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d.docs.live.net/212a0c6777b715dc/Documents/RP/"/>
    </mc:Choice>
  </mc:AlternateContent>
  <bookViews>
    <workbookView xWindow="0" yWindow="0" windowWidth="16380" windowHeight="8190" tabRatio="923" activeTab="12"/>
  </bookViews>
  <sheets>
    <sheet name="Character" sheetId="1" r:id="rId1"/>
    <sheet name="Non-Human" sheetId="24" r:id="rId2"/>
    <sheet name="Skills" sheetId="4" r:id="rId3"/>
    <sheet name="Magic" sheetId="5" r:id="rId4"/>
    <sheet name="Spells or Powers" sheetId="3" r:id="rId5"/>
    <sheet name="Posessions" sheetId="13" r:id="rId6"/>
    <sheet name="Aging" sheetId="10" r:id="rId7"/>
    <sheet name="Twilight" sheetId="12" r:id="rId8"/>
    <sheet name="Timeline" sheetId="6" r:id="rId9"/>
    <sheet name="XP" sheetId="17" r:id="rId10"/>
    <sheet name="Start Character" sheetId="18" r:id="rId11"/>
    <sheet name="Calcs" sheetId="9" r:id="rId12"/>
    <sheet name="Wiki - Main" sheetId="20" r:id="rId13"/>
    <sheet name="Wiki - Magic" sheetId="22" r:id="rId14"/>
    <sheet name="Wiki - Powers" sheetId="25" r:id="rId15"/>
    <sheet name="Wiki - Skills" sheetId="21" r:id="rId16"/>
    <sheet name="Wiki - Stats" sheetId="23" r:id="rId17"/>
  </sheets>
  <definedNames>
    <definedName name="Characteristics">Calcs!$I$11:$I$17</definedName>
    <definedName name="index5h2" localSheetId="0">Character!$I$8</definedName>
    <definedName name="index5h2" localSheetId="10">'Start Character'!$I$10</definedName>
    <definedName name="index5h2" localSheetId="9">XP!#REF!</definedName>
    <definedName name="_xlnm.Print_Area" localSheetId="10">'Start Character'!$A$1:$O$77</definedName>
    <definedName name="TypesofCharacter">Calcs!$A$68:$A$71</definedName>
    <definedName name="VirtuesandFlaws">Calcs!$D$54:$D$65</definedName>
  </definedNames>
  <calcPr calcId="162913"/>
</workbook>
</file>

<file path=xl/calcChain.xml><?xml version="1.0" encoding="utf-8"?>
<calcChain xmlns="http://schemas.openxmlformats.org/spreadsheetml/2006/main">
  <c r="D4" i="12" l="1"/>
  <c r="AN35" i="9" l="1"/>
  <c r="AN33" i="9"/>
  <c r="AO34" i="9"/>
  <c r="AQ34" i="9"/>
  <c r="K10" i="10"/>
  <c r="N10" i="10" s="1"/>
  <c r="K11" i="10"/>
  <c r="N11" i="10"/>
  <c r="K12" i="10"/>
  <c r="N12" i="10"/>
  <c r="K13" i="10"/>
  <c r="K14" i="10"/>
  <c r="N14" i="10" s="1"/>
  <c r="K15" i="10"/>
  <c r="N15" i="10"/>
  <c r="K16" i="10"/>
  <c r="N16" i="10" s="1"/>
  <c r="K17" i="10"/>
  <c r="N17" i="10"/>
  <c r="K18" i="10"/>
  <c r="K19" i="10"/>
  <c r="N19" i="10"/>
  <c r="K20" i="10"/>
  <c r="N20" i="10" s="1"/>
  <c r="K21" i="10"/>
  <c r="N21" i="10"/>
  <c r="K22" i="10"/>
  <c r="N22" i="10" s="1"/>
  <c r="K23" i="10"/>
  <c r="N23" i="10"/>
  <c r="K24" i="10"/>
  <c r="N24" i="10" s="1"/>
  <c r="K25" i="10"/>
  <c r="N25" i="10" s="1"/>
  <c r="K26" i="10"/>
  <c r="K27" i="10"/>
  <c r="N27" i="10"/>
  <c r="K28" i="10"/>
  <c r="N28" i="10"/>
  <c r="K29" i="10"/>
  <c r="N29" i="10" s="1"/>
  <c r="K30" i="10"/>
  <c r="N30" i="10" s="1"/>
  <c r="K31" i="10"/>
  <c r="N31" i="10"/>
  <c r="K32" i="10"/>
  <c r="K33" i="10"/>
  <c r="N33" i="10"/>
  <c r="K34" i="10"/>
  <c r="N34" i="10" s="1"/>
  <c r="K35" i="10"/>
  <c r="N35" i="10"/>
  <c r="K36" i="10"/>
  <c r="N36" i="10"/>
  <c r="K37" i="10"/>
  <c r="N37" i="10"/>
  <c r="K38" i="10"/>
  <c r="K39" i="10"/>
  <c r="N39" i="10"/>
  <c r="K40" i="10"/>
  <c r="N40" i="10"/>
  <c r="K41" i="10"/>
  <c r="K42" i="10"/>
  <c r="K43" i="10"/>
  <c r="N43" i="10"/>
  <c r="K44" i="10"/>
  <c r="N44" i="10"/>
  <c r="K45" i="10"/>
  <c r="N45" i="10"/>
  <c r="K46" i="10"/>
  <c r="N46" i="10" s="1"/>
  <c r="K47" i="10"/>
  <c r="N47" i="10"/>
  <c r="K48" i="10"/>
  <c r="N48" i="10" s="1"/>
  <c r="K49" i="10"/>
  <c r="K50" i="10"/>
  <c r="N50" i="10" s="1"/>
  <c r="K51" i="10"/>
  <c r="N51" i="10"/>
  <c r="K52" i="10"/>
  <c r="K53" i="10"/>
  <c r="N53" i="10"/>
  <c r="K54" i="10"/>
  <c r="K55" i="10"/>
  <c r="N55" i="10" s="1"/>
  <c r="K56" i="10"/>
  <c r="N56" i="10"/>
  <c r="K57" i="10"/>
  <c r="N57" i="10" s="1"/>
  <c r="K58" i="10"/>
  <c r="K59" i="10"/>
  <c r="N59" i="10"/>
  <c r="K60" i="10"/>
  <c r="N60" i="10"/>
  <c r="K61" i="10"/>
  <c r="N61" i="10" s="1"/>
  <c r="K62" i="10"/>
  <c r="N62" i="10" s="1"/>
  <c r="K63" i="10"/>
  <c r="N63" i="10"/>
  <c r="K64" i="10"/>
  <c r="N64" i="10" s="1"/>
  <c r="K65" i="10"/>
  <c r="K66" i="10"/>
  <c r="N66" i="10" s="1"/>
  <c r="K67" i="10"/>
  <c r="N67" i="10"/>
  <c r="K68" i="10"/>
  <c r="U68" i="10" s="1"/>
  <c r="K69" i="10"/>
  <c r="N69" i="10"/>
  <c r="K70" i="10"/>
  <c r="K71" i="10"/>
  <c r="N71" i="10" s="1"/>
  <c r="K72" i="10"/>
  <c r="N72" i="10"/>
  <c r="K73" i="10"/>
  <c r="K74" i="10"/>
  <c r="K75" i="10"/>
  <c r="N75" i="10" s="1"/>
  <c r="K76" i="10"/>
  <c r="N76" i="10"/>
  <c r="K77" i="10"/>
  <c r="N77" i="10" s="1"/>
  <c r="K78" i="10"/>
  <c r="N78" i="10" s="1"/>
  <c r="K79" i="10"/>
  <c r="N79" i="10"/>
  <c r="K80" i="10"/>
  <c r="N80" i="10" s="1"/>
  <c r="K81" i="10"/>
  <c r="K82" i="10"/>
  <c r="N82" i="10" s="1"/>
  <c r="K83" i="10"/>
  <c r="N83" i="10"/>
  <c r="K84" i="10"/>
  <c r="N84" i="10" s="1"/>
  <c r="K85" i="10"/>
  <c r="N85" i="10"/>
  <c r="K86" i="10"/>
  <c r="K87" i="10"/>
  <c r="K88" i="10"/>
  <c r="N88" i="10" s="1"/>
  <c r="K89" i="10"/>
  <c r="N89" i="10" s="1"/>
  <c r="K90" i="10"/>
  <c r="K91" i="10"/>
  <c r="N91" i="10" s="1"/>
  <c r="K92" i="10"/>
  <c r="N92" i="10"/>
  <c r="K93" i="10"/>
  <c r="N93" i="10" s="1"/>
  <c r="K94" i="10"/>
  <c r="N94" i="10" s="1"/>
  <c r="K95" i="10"/>
  <c r="N95" i="10"/>
  <c r="K96" i="10"/>
  <c r="K97" i="10"/>
  <c r="N97" i="10"/>
  <c r="K98" i="10"/>
  <c r="N98" i="10" s="1"/>
  <c r="K99" i="10"/>
  <c r="N99" i="10"/>
  <c r="K100" i="10"/>
  <c r="N100" i="10"/>
  <c r="K101" i="10"/>
  <c r="N101" i="10"/>
  <c r="K102" i="10"/>
  <c r="K103" i="10"/>
  <c r="N103" i="10" s="1"/>
  <c r="K104" i="10"/>
  <c r="N104" i="10" s="1"/>
  <c r="K105" i="10"/>
  <c r="N105" i="10" s="1"/>
  <c r="K106" i="10"/>
  <c r="K107" i="10"/>
  <c r="N107" i="10" s="1"/>
  <c r="K108" i="10"/>
  <c r="N108" i="10"/>
  <c r="K109" i="10"/>
  <c r="K110" i="10"/>
  <c r="N110" i="10" s="1"/>
  <c r="K111" i="10"/>
  <c r="N111" i="10"/>
  <c r="K112" i="10"/>
  <c r="N112" i="10" s="1"/>
  <c r="K113" i="10"/>
  <c r="N113" i="10"/>
  <c r="K114" i="10"/>
  <c r="K115" i="10"/>
  <c r="N115" i="10"/>
  <c r="K116" i="10"/>
  <c r="N116" i="10" s="1"/>
  <c r="K117" i="10"/>
  <c r="N117" i="10"/>
  <c r="K118" i="10"/>
  <c r="N118" i="10" s="1"/>
  <c r="K119" i="10"/>
  <c r="K120" i="10"/>
  <c r="K121" i="10"/>
  <c r="N121" i="10" s="1"/>
  <c r="K122" i="10"/>
  <c r="N122" i="10" s="1"/>
  <c r="K123" i="10"/>
  <c r="K124" i="10"/>
  <c r="N124" i="10"/>
  <c r="K125" i="10"/>
  <c r="K126" i="10"/>
  <c r="N126" i="10" s="1"/>
  <c r="K127" i="10"/>
  <c r="N127" i="10"/>
  <c r="K128" i="10"/>
  <c r="K129" i="10"/>
  <c r="K130" i="10"/>
  <c r="N130" i="10" s="1"/>
  <c r="K131" i="10"/>
  <c r="N131" i="10"/>
  <c r="K132" i="10"/>
  <c r="N132" i="10"/>
  <c r="K133" i="10"/>
  <c r="N133" i="10"/>
  <c r="K134" i="10"/>
  <c r="N134" i="10" s="1"/>
  <c r="K135" i="10"/>
  <c r="N135" i="10" s="1"/>
  <c r="K136" i="10"/>
  <c r="K137" i="10"/>
  <c r="N137" i="10" s="1"/>
  <c r="K138" i="10"/>
  <c r="N138" i="10" s="1"/>
  <c r="K139" i="10"/>
  <c r="K140" i="10"/>
  <c r="N140" i="10"/>
  <c r="K141" i="10"/>
  <c r="K142" i="10"/>
  <c r="N142" i="10" s="1"/>
  <c r="K143" i="10"/>
  <c r="N143" i="10"/>
  <c r="K144" i="10"/>
  <c r="N144" i="10" s="1"/>
  <c r="K145" i="10"/>
  <c r="K146" i="10"/>
  <c r="K147" i="10"/>
  <c r="N147" i="10"/>
  <c r="K148" i="10"/>
  <c r="N148" i="10" s="1"/>
  <c r="K149" i="10"/>
  <c r="N149" i="10"/>
  <c r="K150" i="10"/>
  <c r="K151" i="10"/>
  <c r="N151" i="10" s="1"/>
  <c r="K152" i="10"/>
  <c r="N152" i="10"/>
  <c r="K153" i="10"/>
  <c r="N153" i="10" s="1"/>
  <c r="K154" i="10"/>
  <c r="N154" i="10" s="1"/>
  <c r="K155" i="10"/>
  <c r="N155" i="10"/>
  <c r="K156" i="10"/>
  <c r="N156" i="10"/>
  <c r="K157" i="10"/>
  <c r="K158" i="10"/>
  <c r="N158" i="10" s="1"/>
  <c r="K159" i="10"/>
  <c r="N159" i="10" s="1"/>
  <c r="K160" i="10"/>
  <c r="N160" i="10" s="1"/>
  <c r="K161" i="10"/>
  <c r="S161" i="10" s="1"/>
  <c r="N161" i="10"/>
  <c r="K162" i="10"/>
  <c r="N162" i="10" s="1"/>
  <c r="K163" i="10"/>
  <c r="N163" i="10"/>
  <c r="K164" i="10"/>
  <c r="N164" i="10" s="1"/>
  <c r="K165" i="10"/>
  <c r="N165" i="10"/>
  <c r="K166" i="10"/>
  <c r="K167" i="10"/>
  <c r="N167" i="10" s="1"/>
  <c r="K168" i="10"/>
  <c r="N168" i="10"/>
  <c r="K169" i="10"/>
  <c r="N169" i="10" s="1"/>
  <c r="K170" i="10"/>
  <c r="N170" i="10" s="1"/>
  <c r="K171" i="10"/>
  <c r="N171" i="10" s="1"/>
  <c r="K172" i="10"/>
  <c r="N172" i="10"/>
  <c r="K173" i="10"/>
  <c r="N173" i="10"/>
  <c r="K174" i="10"/>
  <c r="N174" i="10" s="1"/>
  <c r="K175" i="10"/>
  <c r="N175" i="10" s="1"/>
  <c r="K176" i="10"/>
  <c r="N176" i="10" s="1"/>
  <c r="K177" i="10"/>
  <c r="S177" i="10" s="1"/>
  <c r="N177" i="10"/>
  <c r="K178" i="10"/>
  <c r="N178" i="10" s="1"/>
  <c r="K179" i="10"/>
  <c r="N179" i="10"/>
  <c r="K180" i="10"/>
  <c r="N180" i="10" s="1"/>
  <c r="K181" i="10"/>
  <c r="N181" i="10"/>
  <c r="K182" i="10"/>
  <c r="N182" i="10"/>
  <c r="K183" i="10"/>
  <c r="N183" i="10"/>
  <c r="K184" i="10"/>
  <c r="K185" i="10"/>
  <c r="N185" i="10"/>
  <c r="K186" i="10"/>
  <c r="N186" i="10"/>
  <c r="K187" i="10"/>
  <c r="N187" i="10"/>
  <c r="K188" i="10"/>
  <c r="N188" i="10" s="1"/>
  <c r="K189" i="10"/>
  <c r="N189" i="10"/>
  <c r="K190" i="10"/>
  <c r="N190" i="10"/>
  <c r="K191" i="10"/>
  <c r="N191" i="10"/>
  <c r="K192" i="10"/>
  <c r="N192" i="10" s="1"/>
  <c r="K193" i="10"/>
  <c r="N193" i="10"/>
  <c r="K194" i="10"/>
  <c r="N194" i="10" s="1"/>
  <c r="K195" i="10"/>
  <c r="N195" i="10"/>
  <c r="K196" i="10"/>
  <c r="N196" i="10" s="1"/>
  <c r="K197" i="10"/>
  <c r="N197" i="10"/>
  <c r="K198" i="10"/>
  <c r="K199" i="10"/>
  <c r="N199" i="10"/>
  <c r="K200" i="10"/>
  <c r="K201" i="10"/>
  <c r="N201" i="10"/>
  <c r="K202" i="10"/>
  <c r="N202" i="10" s="1"/>
  <c r="K203" i="10"/>
  <c r="N203" i="10"/>
  <c r="K204" i="10"/>
  <c r="N204" i="10" s="1"/>
  <c r="K205" i="10"/>
  <c r="N205" i="10"/>
  <c r="K206" i="10"/>
  <c r="N206" i="10"/>
  <c r="K207" i="10"/>
  <c r="N207" i="10"/>
  <c r="K208" i="10"/>
  <c r="N208" i="10" s="1"/>
  <c r="K209" i="10"/>
  <c r="N209" i="10"/>
  <c r="K210" i="10"/>
  <c r="K211" i="10"/>
  <c r="N211" i="10"/>
  <c r="K212" i="10"/>
  <c r="N212" i="10" s="1"/>
  <c r="K213" i="10"/>
  <c r="N213" i="10"/>
  <c r="K214" i="10"/>
  <c r="N214" i="10"/>
  <c r="K215" i="10"/>
  <c r="N215" i="10"/>
  <c r="K216" i="10"/>
  <c r="K217" i="10"/>
  <c r="N217" i="10"/>
  <c r="K218" i="10"/>
  <c r="N218" i="10"/>
  <c r="K219" i="10"/>
  <c r="N219" i="10"/>
  <c r="K220" i="10"/>
  <c r="N220" i="10" s="1"/>
  <c r="K221" i="10"/>
  <c r="N221" i="10"/>
  <c r="K222" i="10"/>
  <c r="N222" i="10"/>
  <c r="K223" i="10"/>
  <c r="N223" i="10"/>
  <c r="K224" i="10"/>
  <c r="N224" i="10" s="1"/>
  <c r="K225" i="10"/>
  <c r="N225" i="10"/>
  <c r="K226" i="10"/>
  <c r="N226" i="10" s="1"/>
  <c r="K227" i="10"/>
  <c r="N227" i="10"/>
  <c r="K228" i="10"/>
  <c r="K229" i="10"/>
  <c r="N229" i="10"/>
  <c r="K230" i="10"/>
  <c r="K231" i="10"/>
  <c r="N231" i="10"/>
  <c r="K232" i="10"/>
  <c r="K233" i="10"/>
  <c r="N233" i="10"/>
  <c r="K234" i="10"/>
  <c r="N234" i="10" s="1"/>
  <c r="K235" i="10"/>
  <c r="N235" i="10"/>
  <c r="K236" i="10"/>
  <c r="N236" i="10" s="1"/>
  <c r="K237" i="10"/>
  <c r="N237" i="10"/>
  <c r="K238" i="10"/>
  <c r="N238" i="10"/>
  <c r="K239" i="10"/>
  <c r="N239" i="10"/>
  <c r="K240" i="10"/>
  <c r="N240" i="10" s="1"/>
  <c r="K241" i="10"/>
  <c r="N241" i="10"/>
  <c r="K242" i="10"/>
  <c r="K243" i="10"/>
  <c r="N243" i="10"/>
  <c r="K244" i="10"/>
  <c r="N244" i="10" s="1"/>
  <c r="K245" i="10"/>
  <c r="N245" i="10"/>
  <c r="K246" i="10"/>
  <c r="N246" i="10"/>
  <c r="K247" i="10"/>
  <c r="N247" i="10"/>
  <c r="K248" i="10"/>
  <c r="K249" i="10"/>
  <c r="N249" i="10"/>
  <c r="K250" i="10"/>
  <c r="N250" i="10"/>
  <c r="K251" i="10"/>
  <c r="N251" i="10"/>
  <c r="K252" i="10"/>
  <c r="K253" i="10"/>
  <c r="N253" i="10"/>
  <c r="K254" i="10"/>
  <c r="N254" i="10"/>
  <c r="K255" i="10"/>
  <c r="N255" i="10"/>
  <c r="K256" i="10"/>
  <c r="N256" i="10" s="1"/>
  <c r="K257" i="10"/>
  <c r="N257" i="10"/>
  <c r="K258" i="10"/>
  <c r="N258" i="10" s="1"/>
  <c r="K259" i="10"/>
  <c r="N259" i="10"/>
  <c r="K260" i="10"/>
  <c r="N260" i="10" s="1"/>
  <c r="K261" i="10"/>
  <c r="N261" i="10"/>
  <c r="K262" i="10"/>
  <c r="K263" i="10"/>
  <c r="N263" i="10"/>
  <c r="K264" i="10"/>
  <c r="K265" i="10"/>
  <c r="N265" i="10"/>
  <c r="K266" i="10"/>
  <c r="N266" i="10"/>
  <c r="K267" i="10"/>
  <c r="N267" i="10"/>
  <c r="K268" i="10"/>
  <c r="N268" i="10" s="1"/>
  <c r="K269" i="10"/>
  <c r="N269" i="10"/>
  <c r="K270" i="10"/>
  <c r="N270" i="10"/>
  <c r="K271" i="10"/>
  <c r="N271" i="10"/>
  <c r="K272" i="10"/>
  <c r="N272" i="10" s="1"/>
  <c r="K273" i="10"/>
  <c r="N273" i="10"/>
  <c r="K274" i="10"/>
  <c r="K275" i="10"/>
  <c r="N275" i="10"/>
  <c r="K276" i="10"/>
  <c r="N276" i="10" s="1"/>
  <c r="K277" i="10"/>
  <c r="N277" i="10"/>
  <c r="K278" i="10"/>
  <c r="K279" i="10"/>
  <c r="N279" i="10"/>
  <c r="K280" i="10"/>
  <c r="K281" i="10"/>
  <c r="N281" i="10"/>
  <c r="K282" i="10"/>
  <c r="N282" i="10"/>
  <c r="K283" i="10"/>
  <c r="N283" i="10"/>
  <c r="K284" i="10"/>
  <c r="N284" i="10" s="1"/>
  <c r="K285" i="10"/>
  <c r="N285" i="10"/>
  <c r="K286" i="10"/>
  <c r="N286" i="10"/>
  <c r="K287" i="10"/>
  <c r="N287" i="10"/>
  <c r="K288" i="10"/>
  <c r="N288" i="10" s="1"/>
  <c r="K289" i="10"/>
  <c r="N289" i="10"/>
  <c r="K290" i="10"/>
  <c r="N290" i="10" s="1"/>
  <c r="K291" i="10"/>
  <c r="N291" i="10"/>
  <c r="K292" i="10"/>
  <c r="K293" i="10"/>
  <c r="N293" i="10"/>
  <c r="K294" i="10"/>
  <c r="K295" i="10"/>
  <c r="N295" i="10"/>
  <c r="K296" i="10"/>
  <c r="K297" i="10"/>
  <c r="N297" i="10"/>
  <c r="K298" i="10"/>
  <c r="N298" i="10"/>
  <c r="K299" i="10"/>
  <c r="N299" i="10"/>
  <c r="K300" i="10"/>
  <c r="N300" i="10" s="1"/>
  <c r="K301" i="10"/>
  <c r="N301" i="10"/>
  <c r="K302" i="10"/>
  <c r="N302" i="10"/>
  <c r="K303" i="10"/>
  <c r="N303" i="10"/>
  <c r="K304" i="10"/>
  <c r="N304" i="10" s="1"/>
  <c r="K305" i="10"/>
  <c r="N305" i="10"/>
  <c r="K306" i="10"/>
  <c r="K307" i="10"/>
  <c r="K308" i="10"/>
  <c r="N308" i="10" s="1"/>
  <c r="K309" i="10"/>
  <c r="N309" i="10"/>
  <c r="K310" i="10"/>
  <c r="N310" i="10" s="1"/>
  <c r="K311" i="10"/>
  <c r="N311" i="10"/>
  <c r="K312" i="10"/>
  <c r="K313" i="10"/>
  <c r="N313" i="10" s="1"/>
  <c r="K314" i="10"/>
  <c r="N314" i="10"/>
  <c r="K315" i="10"/>
  <c r="K316" i="10"/>
  <c r="R316" i="10" s="1"/>
  <c r="K317" i="10"/>
  <c r="K318" i="10"/>
  <c r="N318" i="10"/>
  <c r="K319" i="10"/>
  <c r="N319" i="10" s="1"/>
  <c r="K320" i="10"/>
  <c r="N320" i="10" s="1"/>
  <c r="K321" i="10"/>
  <c r="N321" i="10"/>
  <c r="K322" i="10"/>
  <c r="N322" i="10" s="1"/>
  <c r="K323" i="10"/>
  <c r="N323" i="10"/>
  <c r="K324" i="10"/>
  <c r="N324" i="10" s="1"/>
  <c r="K325" i="10"/>
  <c r="N325" i="10"/>
  <c r="K326" i="10"/>
  <c r="K327" i="10"/>
  <c r="N327" i="10"/>
  <c r="K328" i="10"/>
  <c r="K329" i="10"/>
  <c r="K330" i="10"/>
  <c r="N330" i="10" s="1"/>
  <c r="K331" i="10"/>
  <c r="N331" i="10" s="1"/>
  <c r="K332" i="10"/>
  <c r="N332" i="10" s="1"/>
  <c r="K333" i="10"/>
  <c r="N333" i="10"/>
  <c r="K334" i="10"/>
  <c r="N334" i="10"/>
  <c r="K335" i="10"/>
  <c r="K336" i="10"/>
  <c r="N336" i="10" s="1"/>
  <c r="K337" i="10"/>
  <c r="N337" i="10"/>
  <c r="K338" i="10"/>
  <c r="K339" i="10"/>
  <c r="N339" i="10" s="1"/>
  <c r="K340" i="10"/>
  <c r="N340" i="10" s="1"/>
  <c r="K341" i="10"/>
  <c r="N341" i="10"/>
  <c r="K342" i="10"/>
  <c r="N342" i="10"/>
  <c r="K343" i="10"/>
  <c r="N343" i="10"/>
  <c r="K344" i="10"/>
  <c r="K345" i="10"/>
  <c r="N345" i="10" s="1"/>
  <c r="K346" i="10"/>
  <c r="N346" i="10"/>
  <c r="K347" i="10"/>
  <c r="N347" i="10" s="1"/>
  <c r="K348" i="10"/>
  <c r="K349" i="10"/>
  <c r="K350" i="10"/>
  <c r="N350" i="10"/>
  <c r="K351" i="10"/>
  <c r="N351" i="10"/>
  <c r="K352" i="10"/>
  <c r="N352" i="10"/>
  <c r="K353" i="10"/>
  <c r="K354" i="10"/>
  <c r="N354" i="10"/>
  <c r="K355" i="10"/>
  <c r="K356" i="10"/>
  <c r="N356" i="10"/>
  <c r="K357" i="10"/>
  <c r="K358" i="10"/>
  <c r="N358" i="10"/>
  <c r="K359" i="10"/>
  <c r="N359" i="10"/>
  <c r="K360" i="10"/>
  <c r="N360" i="10"/>
  <c r="K361" i="10"/>
  <c r="K362" i="10"/>
  <c r="N362" i="10"/>
  <c r="K363" i="10"/>
  <c r="K364" i="10"/>
  <c r="N364" i="10"/>
  <c r="K365" i="10"/>
  <c r="K366" i="10"/>
  <c r="N366" i="10"/>
  <c r="K367" i="10"/>
  <c r="N367" i="10"/>
  <c r="K368" i="10"/>
  <c r="N368" i="10"/>
  <c r="K369" i="10"/>
  <c r="K370" i="10"/>
  <c r="N370" i="10"/>
  <c r="K371" i="10"/>
  <c r="N371" i="10"/>
  <c r="K372" i="10"/>
  <c r="N372" i="10"/>
  <c r="K373" i="10"/>
  <c r="K374" i="10"/>
  <c r="N374" i="10"/>
  <c r="K375" i="10"/>
  <c r="N375" i="10"/>
  <c r="K376" i="10"/>
  <c r="N376" i="10"/>
  <c r="K377" i="10"/>
  <c r="K378" i="10"/>
  <c r="N378" i="10"/>
  <c r="K379" i="10"/>
  <c r="N379" i="10" s="1"/>
  <c r="K380" i="10"/>
  <c r="N380" i="10"/>
  <c r="K381" i="10"/>
  <c r="K382" i="10"/>
  <c r="N382" i="10"/>
  <c r="K383" i="10"/>
  <c r="R383" i="10" s="1"/>
  <c r="N383" i="10"/>
  <c r="K384" i="10"/>
  <c r="N384" i="10"/>
  <c r="K385" i="10"/>
  <c r="K386" i="10"/>
  <c r="N386" i="10"/>
  <c r="K387" i="10"/>
  <c r="K388" i="10"/>
  <c r="N388" i="10"/>
  <c r="K389" i="10"/>
  <c r="K390" i="10"/>
  <c r="N390" i="10"/>
  <c r="K391" i="10"/>
  <c r="N391" i="10"/>
  <c r="K392" i="10"/>
  <c r="N392" i="10"/>
  <c r="K393" i="10"/>
  <c r="K394" i="10"/>
  <c r="N394" i="10"/>
  <c r="K395" i="10"/>
  <c r="N395" i="10" s="1"/>
  <c r="K396" i="10"/>
  <c r="N396" i="10"/>
  <c r="K397" i="10"/>
  <c r="K398" i="10"/>
  <c r="N398" i="10"/>
  <c r="K399" i="10"/>
  <c r="N399" i="10"/>
  <c r="K400" i="10"/>
  <c r="N400" i="10"/>
  <c r="K401" i="10"/>
  <c r="K402" i="10"/>
  <c r="N402" i="10"/>
  <c r="K403" i="10"/>
  <c r="N403" i="10"/>
  <c r="K404" i="10"/>
  <c r="N404" i="10"/>
  <c r="K405" i="10"/>
  <c r="K406" i="10"/>
  <c r="N406" i="10"/>
  <c r="K407" i="10"/>
  <c r="R407" i="10" s="1"/>
  <c r="N407" i="10"/>
  <c r="K408" i="10"/>
  <c r="N408" i="10"/>
  <c r="K409" i="10"/>
  <c r="K410" i="10"/>
  <c r="N410" i="10"/>
  <c r="K411" i="10"/>
  <c r="N411" i="10" s="1"/>
  <c r="K412" i="10"/>
  <c r="N412" i="10"/>
  <c r="K413" i="10"/>
  <c r="K414" i="10"/>
  <c r="N414" i="10"/>
  <c r="K415" i="10"/>
  <c r="R415" i="10" s="1"/>
  <c r="N415" i="10"/>
  <c r="K416" i="10"/>
  <c r="N416" i="10"/>
  <c r="K417" i="10"/>
  <c r="K418" i="10"/>
  <c r="N418" i="10"/>
  <c r="K419" i="10"/>
  <c r="K420" i="10"/>
  <c r="N420" i="10"/>
  <c r="K421" i="10"/>
  <c r="K422" i="10"/>
  <c r="N422" i="10"/>
  <c r="K423" i="10"/>
  <c r="N423" i="10"/>
  <c r="K424" i="10"/>
  <c r="N424" i="10"/>
  <c r="K425" i="10"/>
  <c r="K426" i="10"/>
  <c r="N426" i="10"/>
  <c r="K427" i="10"/>
  <c r="K428" i="10"/>
  <c r="N428" i="10"/>
  <c r="K429" i="10"/>
  <c r="K430" i="10"/>
  <c r="N430" i="10"/>
  <c r="K431" i="10"/>
  <c r="N431" i="10"/>
  <c r="K432" i="10"/>
  <c r="N432" i="10"/>
  <c r="K433" i="10"/>
  <c r="K434" i="10"/>
  <c r="N434" i="10"/>
  <c r="K435" i="10"/>
  <c r="N435" i="10"/>
  <c r="K436" i="10"/>
  <c r="N436" i="10"/>
  <c r="K437" i="10"/>
  <c r="K438" i="10"/>
  <c r="N438" i="10"/>
  <c r="K439" i="10"/>
  <c r="R439" i="10" s="1"/>
  <c r="N439" i="10"/>
  <c r="K440" i="10"/>
  <c r="N440" i="10"/>
  <c r="K441" i="10"/>
  <c r="K442" i="10"/>
  <c r="N442" i="10"/>
  <c r="K443" i="10"/>
  <c r="N443" i="10" s="1"/>
  <c r="K444" i="10"/>
  <c r="N444" i="10"/>
  <c r="K445" i="10"/>
  <c r="K446" i="10"/>
  <c r="N446" i="10"/>
  <c r="K447" i="10"/>
  <c r="R447" i="10" s="1"/>
  <c r="N447" i="10"/>
  <c r="K448" i="10"/>
  <c r="N448" i="10"/>
  <c r="K449" i="10"/>
  <c r="K450" i="10"/>
  <c r="N450" i="10"/>
  <c r="K451" i="10"/>
  <c r="K452" i="10"/>
  <c r="N452" i="10"/>
  <c r="K453" i="10"/>
  <c r="K454" i="10"/>
  <c r="N454" i="10"/>
  <c r="K455" i="10"/>
  <c r="N455" i="10"/>
  <c r="K456" i="10"/>
  <c r="N456" i="10"/>
  <c r="K457" i="10"/>
  <c r="K458" i="10"/>
  <c r="N458" i="10"/>
  <c r="K459" i="10"/>
  <c r="N459" i="10"/>
  <c r="K460" i="10"/>
  <c r="N460" i="10"/>
  <c r="K461" i="10"/>
  <c r="K462" i="10"/>
  <c r="N462" i="10"/>
  <c r="K463" i="10"/>
  <c r="N463" i="10"/>
  <c r="K464" i="10"/>
  <c r="N464" i="10"/>
  <c r="K465" i="10"/>
  <c r="K466" i="10"/>
  <c r="N466" i="10"/>
  <c r="K467" i="10"/>
  <c r="N467" i="10"/>
  <c r="K468" i="10"/>
  <c r="N468" i="10"/>
  <c r="K469" i="10"/>
  <c r="K470" i="10"/>
  <c r="N470" i="10"/>
  <c r="K471" i="10"/>
  <c r="R471" i="10" s="1"/>
  <c r="N471" i="10"/>
  <c r="K472" i="10"/>
  <c r="N472" i="10"/>
  <c r="K473" i="10"/>
  <c r="K474" i="10"/>
  <c r="N474" i="10"/>
  <c r="K475" i="10"/>
  <c r="N475" i="10" s="1"/>
  <c r="K476" i="10"/>
  <c r="N476" i="10"/>
  <c r="K477" i="10"/>
  <c r="K478" i="10"/>
  <c r="N478" i="10"/>
  <c r="K479" i="10"/>
  <c r="R479" i="10" s="1"/>
  <c r="N479" i="10"/>
  <c r="K480" i="10"/>
  <c r="N480" i="10"/>
  <c r="K481" i="10"/>
  <c r="K482" i="10"/>
  <c r="N482" i="10"/>
  <c r="K483" i="10"/>
  <c r="K484" i="10"/>
  <c r="N484" i="10"/>
  <c r="K485" i="10"/>
  <c r="K486" i="10"/>
  <c r="N486" i="10"/>
  <c r="K487" i="10"/>
  <c r="N487" i="10"/>
  <c r="K488" i="10"/>
  <c r="N488" i="10"/>
  <c r="L15" i="9"/>
  <c r="L16" i="9" s="1"/>
  <c r="L17" i="9" s="1"/>
  <c r="L18" i="9" s="1"/>
  <c r="L19" i="9"/>
  <c r="L20" i="9"/>
  <c r="L21" i="9" s="1"/>
  <c r="L22" i="9"/>
  <c r="L23" i="9" s="1"/>
  <c r="L24" i="9" s="1"/>
  <c r="I15" i="9"/>
  <c r="J15" i="9"/>
  <c r="K15" i="9"/>
  <c r="K16" i="9" s="1"/>
  <c r="I16" i="9"/>
  <c r="J16" i="9" s="1"/>
  <c r="I17" i="9"/>
  <c r="L13" i="9"/>
  <c r="L12" i="9" s="1"/>
  <c r="L11" i="9" s="1"/>
  <c r="L10" i="9" s="1"/>
  <c r="L9" i="9"/>
  <c r="L8" i="9" s="1"/>
  <c r="L7" i="9" s="1"/>
  <c r="L6" i="9" s="1"/>
  <c r="L5" i="9"/>
  <c r="L4" i="9" s="1"/>
  <c r="I13" i="9"/>
  <c r="I12" i="9"/>
  <c r="J12" i="9" s="1"/>
  <c r="K12" i="9" s="1"/>
  <c r="I11" i="9"/>
  <c r="J13" i="9"/>
  <c r="K13" i="9"/>
  <c r="A201" i="23"/>
  <c r="A200" i="23"/>
  <c r="A199" i="23"/>
  <c r="A198" i="23"/>
  <c r="A197" i="23"/>
  <c r="A196" i="23"/>
  <c r="A195" i="23"/>
  <c r="A194" i="23"/>
  <c r="A193" i="23"/>
  <c r="A192" i="23"/>
  <c r="A191" i="23"/>
  <c r="A190" i="23"/>
  <c r="A189" i="23"/>
  <c r="A188" i="23"/>
  <c r="A187" i="23"/>
  <c r="A186" i="23"/>
  <c r="A185" i="23"/>
  <c r="A184" i="23"/>
  <c r="A183" i="23"/>
  <c r="A182" i="23"/>
  <c r="A181" i="23"/>
  <c r="A180" i="23"/>
  <c r="A179" i="23"/>
  <c r="A178" i="23"/>
  <c r="A177" i="23"/>
  <c r="A176" i="23"/>
  <c r="A175" i="23"/>
  <c r="A174" i="23"/>
  <c r="A173" i="23"/>
  <c r="A172" i="23"/>
  <c r="A171" i="23"/>
  <c r="A170" i="23"/>
  <c r="A169" i="23"/>
  <c r="A168" i="23"/>
  <c r="A167" i="23"/>
  <c r="A166" i="23"/>
  <c r="A165" i="23"/>
  <c r="A164" i="23"/>
  <c r="A163" i="23"/>
  <c r="A162" i="23"/>
  <c r="A161" i="23"/>
  <c r="A160" i="23"/>
  <c r="A159" i="23"/>
  <c r="A158" i="23"/>
  <c r="A157" i="23"/>
  <c r="A156" i="23"/>
  <c r="A155" i="23"/>
  <c r="A154" i="23"/>
  <c r="A153" i="23"/>
  <c r="A152" i="23"/>
  <c r="A151" i="23"/>
  <c r="A150" i="23"/>
  <c r="A149" i="23"/>
  <c r="A148" i="23"/>
  <c r="A147" i="23"/>
  <c r="A146" i="23"/>
  <c r="A145" i="23"/>
  <c r="A144" i="23"/>
  <c r="A143" i="23"/>
  <c r="A142" i="23"/>
  <c r="A141" i="23"/>
  <c r="A140" i="23"/>
  <c r="A139" i="23"/>
  <c r="A39" i="23"/>
  <c r="A8" i="23"/>
  <c r="A138" i="23"/>
  <c r="A137" i="23"/>
  <c r="A136" i="23"/>
  <c r="A135" i="23"/>
  <c r="A134" i="23"/>
  <c r="A133" i="23"/>
  <c r="A132" i="23"/>
  <c r="A131" i="23"/>
  <c r="A130" i="23"/>
  <c r="A129" i="23"/>
  <c r="A128" i="23"/>
  <c r="A127" i="23"/>
  <c r="A126" i="23"/>
  <c r="A125" i="23"/>
  <c r="A124" i="23"/>
  <c r="A123" i="23"/>
  <c r="A122" i="23"/>
  <c r="A121" i="23"/>
  <c r="A120" i="23"/>
  <c r="A119" i="23"/>
  <c r="A118" i="23"/>
  <c r="R10" i="10"/>
  <c r="R11" i="10"/>
  <c r="R12" i="10"/>
  <c r="R14" i="10"/>
  <c r="R15" i="10"/>
  <c r="R16" i="10"/>
  <c r="R17" i="10"/>
  <c r="R19" i="10"/>
  <c r="R20" i="10"/>
  <c r="R21" i="10"/>
  <c r="R22" i="10"/>
  <c r="R23" i="10"/>
  <c r="R24" i="10"/>
  <c r="R25" i="10"/>
  <c r="R27" i="10"/>
  <c r="R28" i="10"/>
  <c r="R29" i="10"/>
  <c r="R30" i="10"/>
  <c r="R31" i="10"/>
  <c r="R32" i="10"/>
  <c r="R33" i="10"/>
  <c r="R34" i="10"/>
  <c r="R35" i="10"/>
  <c r="R36" i="10"/>
  <c r="R37" i="10"/>
  <c r="R39" i="10"/>
  <c r="R40" i="10"/>
  <c r="R43" i="10"/>
  <c r="R44" i="10"/>
  <c r="R45" i="10"/>
  <c r="R46" i="10"/>
  <c r="R47" i="10"/>
  <c r="R48" i="10"/>
  <c r="R49" i="10"/>
  <c r="R50" i="10"/>
  <c r="R51" i="10"/>
  <c r="R53" i="10"/>
  <c r="R55" i="10"/>
  <c r="R56" i="10"/>
  <c r="R57" i="10"/>
  <c r="R59" i="10"/>
  <c r="R60" i="10"/>
  <c r="R61" i="10"/>
  <c r="R62" i="10"/>
  <c r="R64" i="10"/>
  <c r="R66" i="10"/>
  <c r="R67" i="10"/>
  <c r="R68" i="10"/>
  <c r="R69" i="10"/>
  <c r="R71" i="10"/>
  <c r="R72" i="10"/>
  <c r="R75" i="10"/>
  <c r="R76" i="10"/>
  <c r="R77" i="10"/>
  <c r="R78" i="10"/>
  <c r="R80" i="10"/>
  <c r="R82" i="10"/>
  <c r="R83" i="10"/>
  <c r="R84" i="10"/>
  <c r="R85" i="10"/>
  <c r="R88" i="10"/>
  <c r="R89" i="10"/>
  <c r="R91" i="10"/>
  <c r="R92" i="10"/>
  <c r="R93" i="10"/>
  <c r="R94" i="10"/>
  <c r="R95" i="10"/>
  <c r="R96" i="10"/>
  <c r="R97" i="10"/>
  <c r="R98" i="10"/>
  <c r="R99" i="10"/>
  <c r="R100" i="10"/>
  <c r="R101" i="10"/>
  <c r="R103" i="10"/>
  <c r="R104" i="10"/>
  <c r="R105" i="10"/>
  <c r="R107" i="10"/>
  <c r="R108" i="10"/>
  <c r="R110" i="10"/>
  <c r="R111" i="10"/>
  <c r="R112" i="10"/>
  <c r="R113" i="10"/>
  <c r="R115" i="10"/>
  <c r="R116" i="10"/>
  <c r="R117" i="10"/>
  <c r="R118" i="10"/>
  <c r="R120" i="10"/>
  <c r="R121" i="10"/>
  <c r="R122" i="10"/>
  <c r="R124" i="10"/>
  <c r="R126" i="10"/>
  <c r="R127" i="10"/>
  <c r="R130" i="10"/>
  <c r="R131" i="10"/>
  <c r="R132" i="10"/>
  <c r="R133" i="10"/>
  <c r="R134" i="10"/>
  <c r="R135" i="10"/>
  <c r="R136" i="10"/>
  <c r="R137" i="10"/>
  <c r="R138" i="10"/>
  <c r="R140" i="10"/>
  <c r="R142" i="10"/>
  <c r="R143" i="10"/>
  <c r="R144" i="10"/>
  <c r="R147" i="10"/>
  <c r="R148" i="10"/>
  <c r="R149" i="10"/>
  <c r="R151" i="10"/>
  <c r="R153" i="10"/>
  <c r="R154" i="10"/>
  <c r="R155" i="10"/>
  <c r="R156" i="10"/>
  <c r="R158" i="10"/>
  <c r="R159" i="10"/>
  <c r="R160" i="10"/>
  <c r="R161" i="10"/>
  <c r="R162" i="10"/>
  <c r="R163" i="10"/>
  <c r="R164" i="10"/>
  <c r="R165" i="10"/>
  <c r="R167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3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9" i="10"/>
  <c r="R200" i="10"/>
  <c r="R201" i="10"/>
  <c r="R203" i="10"/>
  <c r="R204" i="10"/>
  <c r="R205" i="10"/>
  <c r="R206" i="10"/>
  <c r="R207" i="10"/>
  <c r="R208" i="10"/>
  <c r="R209" i="10"/>
  <c r="R211" i="10"/>
  <c r="R212" i="10"/>
  <c r="R213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9" i="10"/>
  <c r="R231" i="10"/>
  <c r="R232" i="10"/>
  <c r="R233" i="10"/>
  <c r="R235" i="10"/>
  <c r="R236" i="10"/>
  <c r="R237" i="10"/>
  <c r="R238" i="10"/>
  <c r="R239" i="10"/>
  <c r="R240" i="10"/>
  <c r="R241" i="10"/>
  <c r="R243" i="10"/>
  <c r="R244" i="10"/>
  <c r="R245" i="10"/>
  <c r="R247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3" i="10"/>
  <c r="R264" i="10"/>
  <c r="R265" i="10"/>
  <c r="R267" i="10"/>
  <c r="R268" i="10"/>
  <c r="R269" i="10"/>
  <c r="R270" i="10"/>
  <c r="R271" i="10"/>
  <c r="R272" i="10"/>
  <c r="R273" i="10"/>
  <c r="R275" i="10"/>
  <c r="R276" i="10"/>
  <c r="R277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3" i="10"/>
  <c r="R295" i="10"/>
  <c r="R297" i="10"/>
  <c r="R299" i="10"/>
  <c r="R300" i="10"/>
  <c r="R301" i="10"/>
  <c r="R302" i="10"/>
  <c r="R303" i="10"/>
  <c r="R304" i="10"/>
  <c r="R305" i="10"/>
  <c r="R307" i="10"/>
  <c r="R308" i="10"/>
  <c r="R309" i="10"/>
  <c r="R311" i="10"/>
  <c r="R312" i="10"/>
  <c r="R313" i="10"/>
  <c r="R314" i="10"/>
  <c r="R318" i="10"/>
  <c r="R320" i="10"/>
  <c r="R321" i="10"/>
  <c r="R322" i="10"/>
  <c r="R323" i="10"/>
  <c r="R324" i="10"/>
  <c r="R325" i="10"/>
  <c r="R327" i="10"/>
  <c r="R328" i="10"/>
  <c r="R329" i="10"/>
  <c r="R331" i="10"/>
  <c r="R332" i="10"/>
  <c r="R334" i="10"/>
  <c r="R336" i="10"/>
  <c r="R337" i="10"/>
  <c r="R340" i="10"/>
  <c r="R341" i="10"/>
  <c r="R343" i="10"/>
  <c r="R345" i="10"/>
  <c r="R346" i="10"/>
  <c r="R347" i="10"/>
  <c r="R350" i="10"/>
  <c r="R352" i="10"/>
  <c r="R354" i="10"/>
  <c r="R356" i="10"/>
  <c r="R358" i="10"/>
  <c r="R360" i="10"/>
  <c r="R361" i="10"/>
  <c r="R362" i="10"/>
  <c r="R364" i="10"/>
  <c r="R366" i="10"/>
  <c r="R368" i="10"/>
  <c r="R369" i="10"/>
  <c r="R370" i="10"/>
  <c r="R371" i="10"/>
  <c r="R372" i="10"/>
  <c r="R374" i="10"/>
  <c r="R376" i="10"/>
  <c r="R378" i="10"/>
  <c r="R379" i="10"/>
  <c r="R380" i="10"/>
  <c r="R382" i="10"/>
  <c r="R384" i="10"/>
  <c r="R385" i="10"/>
  <c r="R386" i="10"/>
  <c r="R388" i="10"/>
  <c r="R390" i="10"/>
  <c r="R392" i="10"/>
  <c r="R393" i="10"/>
  <c r="R394" i="10"/>
  <c r="R395" i="10"/>
  <c r="R396" i="10"/>
  <c r="R398" i="10"/>
  <c r="R400" i="10"/>
  <c r="R401" i="10"/>
  <c r="R402" i="10"/>
  <c r="R403" i="10"/>
  <c r="R404" i="10"/>
  <c r="R406" i="10"/>
  <c r="R408" i="10"/>
  <c r="R410" i="10"/>
  <c r="R411" i="10"/>
  <c r="R412" i="10"/>
  <c r="R414" i="10"/>
  <c r="R416" i="10"/>
  <c r="R418" i="10"/>
  <c r="R420" i="10"/>
  <c r="R422" i="10"/>
  <c r="R424" i="10"/>
  <c r="R425" i="10"/>
  <c r="R426" i="10"/>
  <c r="R427" i="10"/>
  <c r="R428" i="10"/>
  <c r="R430" i="10"/>
  <c r="R432" i="10"/>
  <c r="R433" i="10"/>
  <c r="R434" i="10"/>
  <c r="R435" i="10"/>
  <c r="R436" i="10"/>
  <c r="R438" i="10"/>
  <c r="R440" i="10"/>
  <c r="R442" i="10"/>
  <c r="R443" i="10"/>
  <c r="R444" i="10"/>
  <c r="R446" i="10"/>
  <c r="R448" i="10"/>
  <c r="R450" i="10"/>
  <c r="R452" i="10"/>
  <c r="R454" i="10"/>
  <c r="R456" i="10"/>
  <c r="R457" i="10"/>
  <c r="R458" i="10"/>
  <c r="R460" i="10"/>
  <c r="R462" i="10"/>
  <c r="R464" i="10"/>
  <c r="R465" i="10"/>
  <c r="R466" i="10"/>
  <c r="R467" i="10"/>
  <c r="R468" i="10"/>
  <c r="R470" i="10"/>
  <c r="R472" i="10"/>
  <c r="R474" i="10"/>
  <c r="R475" i="10"/>
  <c r="R476" i="10"/>
  <c r="R478" i="10"/>
  <c r="R480" i="10"/>
  <c r="R482" i="10"/>
  <c r="R484" i="10"/>
  <c r="R486" i="10"/>
  <c r="R488" i="10"/>
  <c r="AD5" i="9"/>
  <c r="A106" i="23"/>
  <c r="A101" i="23"/>
  <c r="A100" i="23"/>
  <c r="A99" i="23"/>
  <c r="A98" i="23"/>
  <c r="S10" i="10"/>
  <c r="S11" i="10"/>
  <c r="S12" i="10"/>
  <c r="S14" i="10"/>
  <c r="S15" i="10"/>
  <c r="S16" i="10"/>
  <c r="S17" i="10"/>
  <c r="S19" i="10"/>
  <c r="S20" i="10"/>
  <c r="S21" i="10"/>
  <c r="S22" i="10"/>
  <c r="S23" i="10"/>
  <c r="S24" i="10"/>
  <c r="S25" i="10"/>
  <c r="S27" i="10"/>
  <c r="S28" i="10"/>
  <c r="S29" i="10"/>
  <c r="S30" i="10"/>
  <c r="S31" i="10"/>
  <c r="S33" i="10"/>
  <c r="S34" i="10"/>
  <c r="S35" i="10"/>
  <c r="S36" i="10"/>
  <c r="S37" i="10"/>
  <c r="S38" i="10"/>
  <c r="S39" i="10"/>
  <c r="S40" i="10"/>
  <c r="S43" i="10"/>
  <c r="S44" i="10"/>
  <c r="S45" i="10"/>
  <c r="S46" i="10"/>
  <c r="S47" i="10"/>
  <c r="S48" i="10"/>
  <c r="S50" i="10"/>
  <c r="S51" i="10"/>
  <c r="S53" i="10"/>
  <c r="S54" i="10"/>
  <c r="S55" i="10"/>
  <c r="S56" i="10"/>
  <c r="S57" i="10"/>
  <c r="S59" i="10"/>
  <c r="S60" i="10"/>
  <c r="S61" i="10"/>
  <c r="S62" i="10"/>
  <c r="S64" i="10"/>
  <c r="S66" i="10"/>
  <c r="S67" i="10"/>
  <c r="S68" i="10"/>
  <c r="S69" i="10"/>
  <c r="S70" i="10"/>
  <c r="S71" i="10"/>
  <c r="S72" i="10"/>
  <c r="S75" i="10"/>
  <c r="S76" i="10"/>
  <c r="S77" i="10"/>
  <c r="S78" i="10"/>
  <c r="S79" i="10"/>
  <c r="S80" i="10"/>
  <c r="S82" i="10"/>
  <c r="S83" i="10"/>
  <c r="S84" i="10"/>
  <c r="S85" i="10"/>
  <c r="S87" i="10"/>
  <c r="S88" i="10"/>
  <c r="S89" i="10"/>
  <c r="S91" i="10"/>
  <c r="S92" i="10"/>
  <c r="S93" i="10"/>
  <c r="S94" i="10"/>
  <c r="S95" i="10"/>
  <c r="S97" i="10"/>
  <c r="S98" i="10"/>
  <c r="S99" i="10"/>
  <c r="S100" i="10"/>
  <c r="S101" i="10"/>
  <c r="S103" i="10"/>
  <c r="S104" i="10"/>
  <c r="S105" i="10"/>
  <c r="S107" i="10"/>
  <c r="S108" i="10"/>
  <c r="S109" i="10"/>
  <c r="S110" i="10"/>
  <c r="S111" i="10"/>
  <c r="S112" i="10"/>
  <c r="S113" i="10"/>
  <c r="S115" i="10"/>
  <c r="S116" i="10"/>
  <c r="S117" i="10"/>
  <c r="S118" i="10"/>
  <c r="S119" i="10"/>
  <c r="S121" i="10"/>
  <c r="S122" i="10"/>
  <c r="S124" i="10"/>
  <c r="S125" i="10"/>
  <c r="S126" i="10"/>
  <c r="S127" i="10"/>
  <c r="S130" i="10"/>
  <c r="S131" i="10"/>
  <c r="S132" i="10"/>
  <c r="S133" i="10"/>
  <c r="S134" i="10"/>
  <c r="S135" i="10"/>
  <c r="S137" i="10"/>
  <c r="S138" i="10"/>
  <c r="S140" i="10"/>
  <c r="S142" i="10"/>
  <c r="S143" i="10"/>
  <c r="S144" i="10"/>
  <c r="S147" i="10"/>
  <c r="S148" i="10"/>
  <c r="S149" i="10"/>
  <c r="S151" i="10"/>
  <c r="S153" i="10"/>
  <c r="S154" i="10"/>
  <c r="S155" i="10"/>
  <c r="S156" i="10"/>
  <c r="S157" i="10"/>
  <c r="S158" i="10"/>
  <c r="S159" i="10"/>
  <c r="S160" i="10"/>
  <c r="S162" i="10"/>
  <c r="S163" i="10"/>
  <c r="S164" i="10"/>
  <c r="S165" i="10"/>
  <c r="S166" i="10"/>
  <c r="S167" i="10"/>
  <c r="S169" i="10"/>
  <c r="S170" i="10"/>
  <c r="S171" i="10"/>
  <c r="S172" i="10"/>
  <c r="S173" i="10"/>
  <c r="S174" i="10"/>
  <c r="S175" i="10"/>
  <c r="S176" i="10"/>
  <c r="S178" i="10"/>
  <c r="S179" i="10"/>
  <c r="S180" i="10"/>
  <c r="S181" i="10"/>
  <c r="S182" i="10"/>
  <c r="S183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1" i="10"/>
  <c r="S203" i="10"/>
  <c r="S204" i="10"/>
  <c r="S205" i="10"/>
  <c r="S206" i="10"/>
  <c r="S207" i="10"/>
  <c r="S208" i="10"/>
  <c r="S209" i="10"/>
  <c r="S211" i="10"/>
  <c r="S212" i="10"/>
  <c r="S213" i="10"/>
  <c r="S215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3" i="10"/>
  <c r="S235" i="10"/>
  <c r="S236" i="10"/>
  <c r="S237" i="10"/>
  <c r="S238" i="10"/>
  <c r="S239" i="10"/>
  <c r="S240" i="10"/>
  <c r="S241" i="10"/>
  <c r="S243" i="10"/>
  <c r="S244" i="10"/>
  <c r="S245" i="10"/>
  <c r="S246" i="10"/>
  <c r="S247" i="10"/>
  <c r="S249" i="10"/>
  <c r="S250" i="10"/>
  <c r="S251" i="10"/>
  <c r="S253" i="10"/>
  <c r="S254" i="10"/>
  <c r="S255" i="10"/>
  <c r="S256" i="10"/>
  <c r="S257" i="10"/>
  <c r="S258" i="10"/>
  <c r="S259" i="10"/>
  <c r="S260" i="10"/>
  <c r="S261" i="10"/>
  <c r="S262" i="10"/>
  <c r="S263" i="10"/>
  <c r="S265" i="10"/>
  <c r="S267" i="10"/>
  <c r="S268" i="10"/>
  <c r="S269" i="10"/>
  <c r="S270" i="10"/>
  <c r="S271" i="10"/>
  <c r="S272" i="10"/>
  <c r="S273" i="10"/>
  <c r="S275" i="10"/>
  <c r="S276" i="10"/>
  <c r="S277" i="10"/>
  <c r="S279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7" i="10"/>
  <c r="S299" i="10"/>
  <c r="S300" i="10"/>
  <c r="S301" i="10"/>
  <c r="S302" i="10"/>
  <c r="S303" i="10"/>
  <c r="S304" i="10"/>
  <c r="S305" i="10"/>
  <c r="S308" i="10"/>
  <c r="S309" i="10"/>
  <c r="S311" i="10"/>
  <c r="S313" i="10"/>
  <c r="S314" i="10"/>
  <c r="S318" i="10"/>
  <c r="S319" i="10"/>
  <c r="S320" i="10"/>
  <c r="S322" i="10"/>
  <c r="S323" i="10"/>
  <c r="S324" i="10"/>
  <c r="S325" i="10"/>
  <c r="S327" i="10"/>
  <c r="S331" i="10"/>
  <c r="S332" i="10"/>
  <c r="S333" i="10"/>
  <c r="S334" i="10"/>
  <c r="S335" i="10"/>
  <c r="S336" i="10"/>
  <c r="S337" i="10"/>
  <c r="S339" i="10"/>
  <c r="S340" i="10"/>
  <c r="S341" i="10"/>
  <c r="S342" i="10"/>
  <c r="S343" i="10"/>
  <c r="S345" i="10"/>
  <c r="S346" i="10"/>
  <c r="S347" i="10"/>
  <c r="S348" i="10"/>
  <c r="S349" i="10"/>
  <c r="S350" i="10"/>
  <c r="S351" i="10"/>
  <c r="S352" i="10"/>
  <c r="S354" i="10"/>
  <c r="S356" i="10"/>
  <c r="S357" i="10"/>
  <c r="S358" i="10"/>
  <c r="S359" i="10"/>
  <c r="S360" i="10"/>
  <c r="S362" i="10"/>
  <c r="S364" i="10"/>
  <c r="S365" i="10"/>
  <c r="S366" i="10"/>
  <c r="S367" i="10"/>
  <c r="S368" i="10"/>
  <c r="S370" i="10"/>
  <c r="S371" i="10"/>
  <c r="S372" i="10"/>
  <c r="S374" i="10"/>
  <c r="S375" i="10"/>
  <c r="S376" i="10"/>
  <c r="S378" i="10"/>
  <c r="S379" i="10"/>
  <c r="S380" i="10"/>
  <c r="S382" i="10"/>
  <c r="S383" i="10"/>
  <c r="S384" i="10"/>
  <c r="S386" i="10"/>
  <c r="S387" i="10"/>
  <c r="S388" i="10"/>
  <c r="S389" i="10"/>
  <c r="S390" i="10"/>
  <c r="S392" i="10"/>
  <c r="S394" i="10"/>
  <c r="S395" i="10"/>
  <c r="S396" i="10"/>
  <c r="S397" i="10"/>
  <c r="S398" i="10"/>
  <c r="S400" i="10"/>
  <c r="S402" i="10"/>
  <c r="S403" i="10"/>
  <c r="S404" i="10"/>
  <c r="S406" i="10"/>
  <c r="S407" i="10"/>
  <c r="S408" i="10"/>
  <c r="S410" i="10"/>
  <c r="S411" i="10"/>
  <c r="S412" i="10"/>
  <c r="S413" i="10"/>
  <c r="S414" i="10"/>
  <c r="S415" i="10"/>
  <c r="S416" i="10"/>
  <c r="S418" i="10"/>
  <c r="S420" i="10"/>
  <c r="S421" i="10"/>
  <c r="S422" i="10"/>
  <c r="S423" i="10"/>
  <c r="S424" i="10"/>
  <c r="S426" i="10"/>
  <c r="S428" i="10"/>
  <c r="S429" i="10"/>
  <c r="S430" i="10"/>
  <c r="S431" i="10"/>
  <c r="S432" i="10"/>
  <c r="S434" i="10"/>
  <c r="S435" i="10"/>
  <c r="S436" i="10"/>
  <c r="S438" i="10"/>
  <c r="S439" i="10"/>
  <c r="S440" i="10"/>
  <c r="S442" i="10"/>
  <c r="S443" i="10"/>
  <c r="S444" i="10"/>
  <c r="S446" i="10"/>
  <c r="S447" i="10"/>
  <c r="S448" i="10"/>
  <c r="S450" i="10"/>
  <c r="S451" i="10"/>
  <c r="S452" i="10"/>
  <c r="S453" i="10"/>
  <c r="S454" i="10"/>
  <c r="S456" i="10"/>
  <c r="S458" i="10"/>
  <c r="S459" i="10"/>
  <c r="S460" i="10"/>
  <c r="S461" i="10"/>
  <c r="S462" i="10"/>
  <c r="S464" i="10"/>
  <c r="S466" i="10"/>
  <c r="S467" i="10"/>
  <c r="S468" i="10"/>
  <c r="S470" i="10"/>
  <c r="S471" i="10"/>
  <c r="S472" i="10"/>
  <c r="S474" i="10"/>
  <c r="S475" i="10"/>
  <c r="S476" i="10"/>
  <c r="S477" i="10"/>
  <c r="S478" i="10"/>
  <c r="S479" i="10"/>
  <c r="S480" i="10"/>
  <c r="S482" i="10"/>
  <c r="S484" i="10"/>
  <c r="S485" i="10"/>
  <c r="S486" i="10"/>
  <c r="S487" i="10"/>
  <c r="S488" i="10"/>
  <c r="A95" i="23"/>
  <c r="A94" i="23"/>
  <c r="A89" i="23"/>
  <c r="A88" i="23"/>
  <c r="F36" i="1"/>
  <c r="G36" i="1"/>
  <c r="A85" i="23"/>
  <c r="A80" i="23"/>
  <c r="A79" i="23"/>
  <c r="A78" i="23"/>
  <c r="A77" i="23"/>
  <c r="A74" i="23"/>
  <c r="A68" i="23"/>
  <c r="A67" i="23"/>
  <c r="A66" i="23"/>
  <c r="A65" i="23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7" i="10"/>
  <c r="U28" i="10"/>
  <c r="U29" i="10"/>
  <c r="U30" i="10"/>
  <c r="U31" i="10"/>
  <c r="U32" i="10"/>
  <c r="U33" i="10"/>
  <c r="U34" i="10"/>
  <c r="U35" i="10"/>
  <c r="U36" i="10"/>
  <c r="U37" i="10"/>
  <c r="U39" i="10"/>
  <c r="U40" i="10"/>
  <c r="U43" i="10"/>
  <c r="U44" i="10"/>
  <c r="U45" i="10"/>
  <c r="U46" i="10"/>
  <c r="U47" i="10"/>
  <c r="U48" i="10"/>
  <c r="U49" i="10"/>
  <c r="U50" i="10"/>
  <c r="U51" i="10"/>
  <c r="U53" i="10"/>
  <c r="U55" i="10"/>
  <c r="U56" i="10"/>
  <c r="U57" i="10"/>
  <c r="U58" i="10"/>
  <c r="U59" i="10"/>
  <c r="U60" i="10"/>
  <c r="U61" i="10"/>
  <c r="U62" i="10"/>
  <c r="U64" i="10"/>
  <c r="U65" i="10"/>
  <c r="U66" i="10"/>
  <c r="U67" i="10"/>
  <c r="U69" i="10"/>
  <c r="U71" i="10"/>
  <c r="U72" i="10"/>
  <c r="U73" i="10"/>
  <c r="U74" i="10"/>
  <c r="U75" i="10"/>
  <c r="U76" i="10"/>
  <c r="U77" i="10"/>
  <c r="U78" i="10"/>
  <c r="U80" i="10"/>
  <c r="U82" i="10"/>
  <c r="U83" i="10"/>
  <c r="U84" i="10"/>
  <c r="U85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20" i="10"/>
  <c r="U121" i="10"/>
  <c r="U122" i="10"/>
  <c r="U124" i="10"/>
  <c r="U125" i="10"/>
  <c r="U126" i="10"/>
  <c r="U127" i="10"/>
  <c r="U129" i="10"/>
  <c r="U130" i="10"/>
  <c r="U131" i="10"/>
  <c r="U132" i="10"/>
  <c r="U133" i="10"/>
  <c r="U134" i="10"/>
  <c r="U135" i="10"/>
  <c r="U136" i="10"/>
  <c r="U137" i="10"/>
  <c r="U138" i="10"/>
  <c r="U140" i="10"/>
  <c r="U142" i="10"/>
  <c r="U143" i="10"/>
  <c r="U144" i="10"/>
  <c r="U145" i="10"/>
  <c r="U147" i="10"/>
  <c r="U148" i="10"/>
  <c r="U149" i="10"/>
  <c r="U151" i="10"/>
  <c r="U152" i="10"/>
  <c r="U153" i="10"/>
  <c r="U154" i="10"/>
  <c r="U155" i="10"/>
  <c r="U156" i="10"/>
  <c r="U158" i="10"/>
  <c r="U159" i="10"/>
  <c r="U160" i="10"/>
  <c r="U161" i="10"/>
  <c r="U162" i="10"/>
  <c r="U163" i="10"/>
  <c r="U164" i="10"/>
  <c r="U165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3" i="10"/>
  <c r="U185" i="10"/>
  <c r="U186" i="10"/>
  <c r="U187" i="10"/>
  <c r="U188" i="10"/>
  <c r="U189" i="10"/>
  <c r="U190" i="10"/>
  <c r="U191" i="10"/>
  <c r="U192" i="10"/>
  <c r="U193" i="10"/>
  <c r="U194" i="10"/>
  <c r="U195" i="10"/>
  <c r="U196" i="10"/>
  <c r="U197" i="10"/>
  <c r="U199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1" i="10"/>
  <c r="U232" i="10"/>
  <c r="U233" i="10"/>
  <c r="U235" i="10"/>
  <c r="U236" i="10"/>
  <c r="U237" i="10"/>
  <c r="U238" i="10"/>
  <c r="U239" i="10"/>
  <c r="U240" i="10"/>
  <c r="U241" i="10"/>
  <c r="U243" i="10"/>
  <c r="U244" i="10"/>
  <c r="U245" i="10"/>
  <c r="U247" i="10"/>
  <c r="U248" i="10"/>
  <c r="U249" i="10"/>
  <c r="U250" i="10"/>
  <c r="U251" i="10"/>
  <c r="U253" i="10"/>
  <c r="U254" i="10"/>
  <c r="U255" i="10"/>
  <c r="U256" i="10"/>
  <c r="U257" i="10"/>
  <c r="U258" i="10"/>
  <c r="U259" i="10"/>
  <c r="U260" i="10"/>
  <c r="U261" i="10"/>
  <c r="U263" i="10"/>
  <c r="U264" i="10"/>
  <c r="U265" i="10"/>
  <c r="U266" i="10"/>
  <c r="U267" i="10"/>
  <c r="U268" i="10"/>
  <c r="U269" i="10"/>
  <c r="U270" i="10"/>
  <c r="U271" i="10"/>
  <c r="U272" i="10"/>
  <c r="U273" i="10"/>
  <c r="U274" i="10"/>
  <c r="U275" i="10"/>
  <c r="U276" i="10"/>
  <c r="U277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3" i="10"/>
  <c r="U295" i="10"/>
  <c r="U297" i="10"/>
  <c r="U298" i="10"/>
  <c r="U299" i="10"/>
  <c r="U300" i="10"/>
  <c r="U301" i="10"/>
  <c r="U302" i="10"/>
  <c r="U303" i="10"/>
  <c r="U304" i="10"/>
  <c r="U305" i="10"/>
  <c r="U306" i="10"/>
  <c r="U307" i="10"/>
  <c r="U308" i="10"/>
  <c r="U309" i="10"/>
  <c r="U311" i="10"/>
  <c r="U312" i="10"/>
  <c r="U313" i="10"/>
  <c r="U314" i="10"/>
  <c r="U318" i="10"/>
  <c r="U320" i="10"/>
  <c r="U322" i="10"/>
  <c r="U323" i="10"/>
  <c r="U324" i="10"/>
  <c r="U325" i="10"/>
  <c r="U327" i="10"/>
  <c r="U329" i="10"/>
  <c r="U330" i="10"/>
  <c r="U331" i="10"/>
  <c r="U332" i="10"/>
  <c r="U333" i="10"/>
  <c r="U334" i="10"/>
  <c r="U336" i="10"/>
  <c r="U337" i="10"/>
  <c r="U340" i="10"/>
  <c r="U341" i="10"/>
  <c r="U343" i="10"/>
  <c r="U344" i="10"/>
  <c r="U345" i="10"/>
  <c r="U346" i="10"/>
  <c r="U347" i="10"/>
  <c r="U349" i="10"/>
  <c r="U350" i="10"/>
  <c r="U352" i="10"/>
  <c r="U354" i="10"/>
  <c r="U356" i="10"/>
  <c r="U357" i="10"/>
  <c r="U358" i="10"/>
  <c r="U360" i="10"/>
  <c r="U361" i="10"/>
  <c r="U362" i="10"/>
  <c r="U364" i="10"/>
  <c r="U365" i="10"/>
  <c r="U366" i="10"/>
  <c r="U368" i="10"/>
  <c r="U369" i="10"/>
  <c r="U370" i="10"/>
  <c r="U371" i="10"/>
  <c r="U372" i="10"/>
  <c r="U374" i="10"/>
  <c r="U376" i="10"/>
  <c r="U377" i="10"/>
  <c r="U378" i="10"/>
  <c r="U379" i="10"/>
  <c r="U380" i="10"/>
  <c r="U382" i="10"/>
  <c r="U383" i="10"/>
  <c r="U384" i="10"/>
  <c r="U385" i="10"/>
  <c r="U386" i="10"/>
  <c r="U387" i="10"/>
  <c r="U388" i="10"/>
  <c r="U389" i="10"/>
  <c r="U390" i="10"/>
  <c r="U392" i="10"/>
  <c r="U393" i="10"/>
  <c r="U394" i="10"/>
  <c r="U395" i="10"/>
  <c r="U396" i="10"/>
  <c r="U397" i="10"/>
  <c r="U398" i="10"/>
  <c r="U400" i="10"/>
  <c r="U401" i="10"/>
  <c r="U402" i="10"/>
  <c r="U403" i="10"/>
  <c r="U404" i="10"/>
  <c r="U406" i="10"/>
  <c r="U407" i="10"/>
  <c r="U408" i="10"/>
  <c r="U409" i="10"/>
  <c r="U410" i="10"/>
  <c r="U411" i="10"/>
  <c r="U412" i="10"/>
  <c r="U414" i="10"/>
  <c r="U415" i="10"/>
  <c r="U416" i="10"/>
  <c r="U418" i="10"/>
  <c r="U419" i="10"/>
  <c r="U420" i="10"/>
  <c r="U421" i="10"/>
  <c r="U422" i="10"/>
  <c r="U424" i="10"/>
  <c r="U425" i="10"/>
  <c r="U426" i="10"/>
  <c r="U428" i="10"/>
  <c r="U429" i="10"/>
  <c r="U430" i="10"/>
  <c r="U432" i="10"/>
  <c r="U433" i="10"/>
  <c r="U434" i="10"/>
  <c r="U435" i="10"/>
  <c r="U436" i="10"/>
  <c r="U438" i="10"/>
  <c r="U439" i="10"/>
  <c r="U440" i="10"/>
  <c r="U441" i="10"/>
  <c r="U442" i="10"/>
  <c r="U443" i="10"/>
  <c r="U444" i="10"/>
  <c r="U446" i="10"/>
  <c r="U447" i="10"/>
  <c r="U448" i="10"/>
  <c r="U449" i="10"/>
  <c r="U450" i="10"/>
  <c r="U451" i="10"/>
  <c r="U452" i="10"/>
  <c r="U453" i="10"/>
  <c r="U454" i="10"/>
  <c r="U456" i="10"/>
  <c r="U457" i="10"/>
  <c r="U458" i="10"/>
  <c r="U459" i="10"/>
  <c r="U460" i="10"/>
  <c r="U461" i="10"/>
  <c r="U462" i="10"/>
  <c r="U464" i="10"/>
  <c r="U465" i="10"/>
  <c r="U466" i="10"/>
  <c r="U467" i="10"/>
  <c r="U468" i="10"/>
  <c r="U470" i="10"/>
  <c r="U471" i="10"/>
  <c r="U472" i="10"/>
  <c r="U474" i="10"/>
  <c r="U475" i="10"/>
  <c r="U476" i="10"/>
  <c r="U478" i="10"/>
  <c r="U479" i="10"/>
  <c r="U480" i="10"/>
  <c r="U482" i="10"/>
  <c r="U483" i="10"/>
  <c r="U484" i="10"/>
  <c r="U485" i="10"/>
  <c r="U486" i="10"/>
  <c r="U488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7" i="10"/>
  <c r="T28" i="10"/>
  <c r="T29" i="10"/>
  <c r="T30" i="10"/>
  <c r="T31" i="10"/>
  <c r="T33" i="10"/>
  <c r="T34" i="10"/>
  <c r="T35" i="10"/>
  <c r="T36" i="10"/>
  <c r="T37" i="10"/>
  <c r="T39" i="10"/>
  <c r="T40" i="10"/>
  <c r="T42" i="10"/>
  <c r="T43" i="10"/>
  <c r="T44" i="10"/>
  <c r="T45" i="10"/>
  <c r="T46" i="10"/>
  <c r="T47" i="10"/>
  <c r="T48" i="10"/>
  <c r="T49" i="10"/>
  <c r="T50" i="10"/>
  <c r="T51" i="10"/>
  <c r="T53" i="10"/>
  <c r="T55" i="10"/>
  <c r="T56" i="10"/>
  <c r="T57" i="10"/>
  <c r="T59" i="10"/>
  <c r="T60" i="10"/>
  <c r="T61" i="10"/>
  <c r="T62" i="10"/>
  <c r="T64" i="10"/>
  <c r="T66" i="10"/>
  <c r="T67" i="10"/>
  <c r="T68" i="10"/>
  <c r="T69" i="10"/>
  <c r="T71" i="10"/>
  <c r="T72" i="10"/>
  <c r="T75" i="10"/>
  <c r="T76" i="10"/>
  <c r="T77" i="10"/>
  <c r="T78" i="10"/>
  <c r="T79" i="10"/>
  <c r="T80" i="10"/>
  <c r="T82" i="10"/>
  <c r="T83" i="10"/>
  <c r="T84" i="10"/>
  <c r="T85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3" i="10"/>
  <c r="T104" i="10"/>
  <c r="T105" i="10"/>
  <c r="T106" i="10"/>
  <c r="T107" i="10"/>
  <c r="T108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4" i="10"/>
  <c r="T125" i="10"/>
  <c r="T126" i="10"/>
  <c r="T127" i="10"/>
  <c r="T129" i="10"/>
  <c r="T130" i="10"/>
  <c r="T131" i="10"/>
  <c r="T132" i="10"/>
  <c r="T133" i="10"/>
  <c r="T134" i="10"/>
  <c r="T135" i="10"/>
  <c r="T136" i="10"/>
  <c r="T137" i="10"/>
  <c r="T138" i="10"/>
  <c r="T140" i="10"/>
  <c r="T142" i="10"/>
  <c r="T143" i="10"/>
  <c r="T144" i="10"/>
  <c r="T145" i="10"/>
  <c r="T147" i="10"/>
  <c r="T148" i="10"/>
  <c r="T149" i="10"/>
  <c r="T151" i="10"/>
  <c r="T152" i="10"/>
  <c r="T153" i="10"/>
  <c r="T154" i="10"/>
  <c r="T155" i="10"/>
  <c r="T156" i="10"/>
  <c r="T158" i="10"/>
  <c r="T159" i="10"/>
  <c r="T160" i="10"/>
  <c r="T161" i="10"/>
  <c r="T162" i="10"/>
  <c r="T163" i="10"/>
  <c r="T164" i="10"/>
  <c r="T165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3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3" i="10"/>
  <c r="T244" i="10"/>
  <c r="T245" i="10"/>
  <c r="T246" i="10"/>
  <c r="T247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1" i="10"/>
  <c r="T312" i="10"/>
  <c r="T313" i="10"/>
  <c r="T314" i="10"/>
  <c r="T316" i="10"/>
  <c r="T318" i="10"/>
  <c r="T319" i="10"/>
  <c r="T320" i="10"/>
  <c r="T321" i="10"/>
  <c r="T322" i="10"/>
  <c r="T323" i="10"/>
  <c r="T324" i="10"/>
  <c r="T325" i="10"/>
  <c r="T327" i="10"/>
  <c r="T329" i="10"/>
  <c r="T330" i="10"/>
  <c r="T331" i="10"/>
  <c r="T332" i="10"/>
  <c r="T334" i="10"/>
  <c r="T335" i="10"/>
  <c r="T336" i="10"/>
  <c r="T337" i="10"/>
  <c r="T338" i="10"/>
  <c r="T340" i="10"/>
  <c r="T341" i="10"/>
  <c r="T342" i="10"/>
  <c r="T343" i="10"/>
  <c r="T345" i="10"/>
  <c r="T346" i="10"/>
  <c r="T347" i="10"/>
  <c r="T350" i="10"/>
  <c r="T351" i="10"/>
  <c r="T352" i="10"/>
  <c r="T354" i="10"/>
  <c r="T355" i="10"/>
  <c r="T356" i="10"/>
  <c r="T357" i="10"/>
  <c r="T358" i="10"/>
  <c r="T360" i="10"/>
  <c r="T361" i="10"/>
  <c r="T362" i="10"/>
  <c r="T364" i="10"/>
  <c r="T365" i="10"/>
  <c r="T366" i="10"/>
  <c r="T368" i="10"/>
  <c r="T369" i="10"/>
  <c r="T370" i="10"/>
  <c r="T371" i="10"/>
  <c r="T372" i="10"/>
  <c r="T374" i="10"/>
  <c r="T375" i="10"/>
  <c r="T376" i="10"/>
  <c r="T377" i="10"/>
  <c r="T378" i="10"/>
  <c r="T379" i="10"/>
  <c r="T380" i="10"/>
  <c r="T382" i="10"/>
  <c r="T383" i="10"/>
  <c r="T384" i="10"/>
  <c r="T385" i="10"/>
  <c r="T386" i="10"/>
  <c r="T387" i="10"/>
  <c r="T388" i="10"/>
  <c r="T389" i="10"/>
  <c r="T390" i="10"/>
  <c r="T392" i="10"/>
  <c r="T393" i="10"/>
  <c r="T394" i="10"/>
  <c r="T395" i="10"/>
  <c r="T396" i="10"/>
  <c r="T397" i="10"/>
  <c r="T398" i="10"/>
  <c r="T400" i="10"/>
  <c r="T401" i="10"/>
  <c r="T402" i="10"/>
  <c r="T403" i="10"/>
  <c r="T404" i="10"/>
  <c r="T406" i="10"/>
  <c r="T407" i="10"/>
  <c r="T408" i="10"/>
  <c r="T409" i="10"/>
  <c r="T410" i="10"/>
  <c r="T411" i="10"/>
  <c r="T412" i="10"/>
  <c r="T414" i="10"/>
  <c r="T415" i="10"/>
  <c r="T416" i="10"/>
  <c r="T418" i="10"/>
  <c r="T419" i="10"/>
  <c r="T420" i="10"/>
  <c r="T421" i="10"/>
  <c r="T422" i="10"/>
  <c r="T424" i="10"/>
  <c r="T425" i="10"/>
  <c r="T426" i="10"/>
  <c r="T427" i="10"/>
  <c r="T428" i="10"/>
  <c r="T429" i="10"/>
  <c r="T430" i="10"/>
  <c r="T432" i="10"/>
  <c r="T433" i="10"/>
  <c r="T434" i="10"/>
  <c r="T435" i="10"/>
  <c r="T436" i="10"/>
  <c r="T438" i="10"/>
  <c r="T439" i="10"/>
  <c r="T440" i="10"/>
  <c r="T441" i="10"/>
  <c r="T442" i="10"/>
  <c r="T443" i="10"/>
  <c r="T444" i="10"/>
  <c r="T446" i="10"/>
  <c r="T447" i="10"/>
  <c r="T448" i="10"/>
  <c r="T450" i="10"/>
  <c r="T451" i="10"/>
  <c r="T452" i="10"/>
  <c r="T453" i="10"/>
  <c r="T454" i="10"/>
  <c r="T456" i="10"/>
  <c r="T457" i="10"/>
  <c r="T458" i="10"/>
  <c r="T460" i="10"/>
  <c r="T461" i="10"/>
  <c r="T462" i="10"/>
  <c r="T464" i="10"/>
  <c r="T465" i="10"/>
  <c r="T466" i="10"/>
  <c r="T467" i="10"/>
  <c r="T468" i="10"/>
  <c r="T470" i="10"/>
  <c r="T471" i="10"/>
  <c r="T472" i="10"/>
  <c r="T474" i="10"/>
  <c r="T475" i="10"/>
  <c r="T476" i="10"/>
  <c r="T478" i="10"/>
  <c r="T479" i="10"/>
  <c r="T480" i="10"/>
  <c r="T482" i="10"/>
  <c r="T484" i="10"/>
  <c r="T485" i="10"/>
  <c r="T486" i="10"/>
  <c r="T488" i="10"/>
  <c r="A59" i="23"/>
  <c r="A58" i="23"/>
  <c r="A54" i="23"/>
  <c r="A53" i="23"/>
  <c r="A52" i="23"/>
  <c r="A51" i="23"/>
  <c r="A50" i="23"/>
  <c r="A49" i="23"/>
  <c r="A48" i="23"/>
  <c r="A47" i="23"/>
  <c r="A46" i="23"/>
  <c r="A45" i="23"/>
  <c r="A44" i="23"/>
  <c r="A43" i="23"/>
  <c r="A42" i="23"/>
  <c r="A41" i="23"/>
  <c r="A40" i="23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7" i="10"/>
  <c r="Q28" i="10"/>
  <c r="Q29" i="10"/>
  <c r="Q30" i="10"/>
  <c r="Q31" i="10"/>
  <c r="Q33" i="10"/>
  <c r="Q34" i="10"/>
  <c r="Q35" i="10"/>
  <c r="Q36" i="10"/>
  <c r="Q37" i="10"/>
  <c r="Q38" i="10"/>
  <c r="Q39" i="10"/>
  <c r="Q40" i="10"/>
  <c r="Q42" i="10"/>
  <c r="Q43" i="10"/>
  <c r="Q44" i="10"/>
  <c r="Q45" i="10"/>
  <c r="Q46" i="10"/>
  <c r="Q47" i="10"/>
  <c r="Q48" i="10"/>
  <c r="Q49" i="10"/>
  <c r="Q50" i="10"/>
  <c r="Q51" i="10"/>
  <c r="Q53" i="10"/>
  <c r="Q54" i="10"/>
  <c r="Q55" i="10"/>
  <c r="Q56" i="10"/>
  <c r="Q57" i="10"/>
  <c r="Q59" i="10"/>
  <c r="Q60" i="10"/>
  <c r="Q61" i="10"/>
  <c r="Q62" i="10"/>
  <c r="Q64" i="10"/>
  <c r="Q66" i="10"/>
  <c r="Q67" i="10"/>
  <c r="Q68" i="10"/>
  <c r="Q69" i="10"/>
  <c r="Q70" i="10"/>
  <c r="Q71" i="10"/>
  <c r="Q72" i="10"/>
  <c r="Q74" i="10"/>
  <c r="Q75" i="10"/>
  <c r="Q76" i="10"/>
  <c r="Q77" i="10"/>
  <c r="Q78" i="10"/>
  <c r="Q79" i="10"/>
  <c r="Q80" i="10"/>
  <c r="Q82" i="10"/>
  <c r="Q83" i="10"/>
  <c r="Q84" i="10"/>
  <c r="Q85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6" i="10"/>
  <c r="Q147" i="10"/>
  <c r="Q148" i="10"/>
  <c r="Q149" i="10"/>
  <c r="Q151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3" i="10"/>
  <c r="Q244" i="10"/>
  <c r="Q245" i="10"/>
  <c r="Q246" i="10"/>
  <c r="Q247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1" i="10"/>
  <c r="Q312" i="10"/>
  <c r="Q313" i="10"/>
  <c r="Q314" i="10"/>
  <c r="Q315" i="10"/>
  <c r="Q316" i="10"/>
  <c r="Q318" i="10"/>
  <c r="Q319" i="10"/>
  <c r="Q320" i="10"/>
  <c r="Q322" i="10"/>
  <c r="Q323" i="10"/>
  <c r="Q324" i="10"/>
  <c r="Q325" i="10"/>
  <c r="Q327" i="10"/>
  <c r="Q329" i="10"/>
  <c r="Q330" i="10"/>
  <c r="Q331" i="10"/>
  <c r="Q332" i="10"/>
  <c r="Q333" i="10"/>
  <c r="Q334" i="10"/>
  <c r="Q335" i="10"/>
  <c r="Q336" i="10"/>
  <c r="Q337" i="10"/>
  <c r="Q338" i="10"/>
  <c r="Q340" i="10"/>
  <c r="Q341" i="10"/>
  <c r="Q342" i="10"/>
  <c r="Q343" i="10"/>
  <c r="Q345" i="10"/>
  <c r="Q346" i="10"/>
  <c r="Q347" i="10"/>
  <c r="Q349" i="10"/>
  <c r="Q350" i="10"/>
  <c r="Q351" i="10"/>
  <c r="Q352" i="10"/>
  <c r="Q354" i="10"/>
  <c r="Q356" i="10"/>
  <c r="Q357" i="10"/>
  <c r="Q358" i="10"/>
  <c r="Q360" i="10"/>
  <c r="Q361" i="10"/>
  <c r="Q362" i="10"/>
  <c r="Q364" i="10"/>
  <c r="Q365" i="10"/>
  <c r="Q366" i="10"/>
  <c r="Q368" i="10"/>
  <c r="Q369" i="10"/>
  <c r="Q370" i="10"/>
  <c r="Q371" i="10"/>
  <c r="Q372" i="10"/>
  <c r="Q374" i="10"/>
  <c r="Q375" i="10"/>
  <c r="Q376" i="10"/>
  <c r="Q378" i="10"/>
  <c r="Q379" i="10"/>
  <c r="Q380" i="10"/>
  <c r="Q381" i="10"/>
  <c r="Q382" i="10"/>
  <c r="Q383" i="10"/>
  <c r="Q384" i="10"/>
  <c r="Q386" i="10"/>
  <c r="Q387" i="10"/>
  <c r="Q388" i="10"/>
  <c r="Q389" i="10"/>
  <c r="Q390" i="10"/>
  <c r="Q392" i="10"/>
  <c r="Q393" i="10"/>
  <c r="Q394" i="10"/>
  <c r="Q395" i="10"/>
  <c r="Q396" i="10"/>
  <c r="Q397" i="10"/>
  <c r="Q398" i="10"/>
  <c r="Q400" i="10"/>
  <c r="Q401" i="10"/>
  <c r="Q402" i="10"/>
  <c r="Q403" i="10"/>
  <c r="Q404" i="10"/>
  <c r="Q406" i="10"/>
  <c r="Q407" i="10"/>
  <c r="Q408" i="10"/>
  <c r="Q410" i="10"/>
  <c r="Q411" i="10"/>
  <c r="Q412" i="10"/>
  <c r="Q413" i="10"/>
  <c r="Q414" i="10"/>
  <c r="Q415" i="10"/>
  <c r="Q416" i="10"/>
  <c r="Q418" i="10"/>
  <c r="Q419" i="10"/>
  <c r="Q420" i="10"/>
  <c r="Q421" i="10"/>
  <c r="Q422" i="10"/>
  <c r="Q424" i="10"/>
  <c r="Q425" i="10"/>
  <c r="Q426" i="10"/>
  <c r="Q427" i="10"/>
  <c r="Q428" i="10"/>
  <c r="Q429" i="10"/>
  <c r="Q430" i="10"/>
  <c r="Q432" i="10"/>
  <c r="Q433" i="10"/>
  <c r="Q434" i="10"/>
  <c r="Q435" i="10"/>
  <c r="Q436" i="10"/>
  <c r="Q437" i="10"/>
  <c r="Q438" i="10"/>
  <c r="Q439" i="10"/>
  <c r="Q440" i="10"/>
  <c r="Q442" i="10"/>
  <c r="Q443" i="10"/>
  <c r="Q444" i="10"/>
  <c r="Q445" i="10"/>
  <c r="Q446" i="10"/>
  <c r="Q447" i="10"/>
  <c r="Q448" i="10"/>
  <c r="Q450" i="10"/>
  <c r="Q451" i="10"/>
  <c r="Q452" i="10"/>
  <c r="Q453" i="10"/>
  <c r="Q454" i="10"/>
  <c r="Q456" i="10"/>
  <c r="Q457" i="10"/>
  <c r="Q458" i="10"/>
  <c r="Q460" i="10"/>
  <c r="Q461" i="10"/>
  <c r="Q462" i="10"/>
  <c r="Q464" i="10"/>
  <c r="Q465" i="10"/>
  <c r="Q466" i="10"/>
  <c r="Q467" i="10"/>
  <c r="Q468" i="10"/>
  <c r="Q470" i="10"/>
  <c r="Q471" i="10"/>
  <c r="Q472" i="10"/>
  <c r="Q474" i="10"/>
  <c r="Q475" i="10"/>
  <c r="Q476" i="10"/>
  <c r="Q477" i="10"/>
  <c r="Q478" i="10"/>
  <c r="Q479" i="10"/>
  <c r="Q480" i="10"/>
  <c r="Q482" i="10"/>
  <c r="Q484" i="10"/>
  <c r="Q485" i="10"/>
  <c r="Q486" i="10"/>
  <c r="Q488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7" i="10"/>
  <c r="P28" i="10"/>
  <c r="P29" i="10"/>
  <c r="P30" i="10"/>
  <c r="P31" i="10"/>
  <c r="P33" i="10"/>
  <c r="P34" i="10"/>
  <c r="P35" i="10"/>
  <c r="P36" i="10"/>
  <c r="P37" i="10"/>
  <c r="P38" i="10"/>
  <c r="P39" i="10"/>
  <c r="P40" i="10"/>
  <c r="P42" i="10"/>
  <c r="P43" i="10"/>
  <c r="P44" i="10"/>
  <c r="P45" i="10"/>
  <c r="P46" i="10"/>
  <c r="P47" i="10"/>
  <c r="P48" i="10"/>
  <c r="P49" i="10"/>
  <c r="P50" i="10"/>
  <c r="P51" i="10"/>
  <c r="P53" i="10"/>
  <c r="P54" i="10"/>
  <c r="P55" i="10"/>
  <c r="P56" i="10"/>
  <c r="P57" i="10"/>
  <c r="P59" i="10"/>
  <c r="P60" i="10"/>
  <c r="P61" i="10"/>
  <c r="P62" i="10"/>
  <c r="P64" i="10"/>
  <c r="P66" i="10"/>
  <c r="P67" i="10"/>
  <c r="P68" i="10"/>
  <c r="P69" i="10"/>
  <c r="P70" i="10"/>
  <c r="P71" i="10"/>
  <c r="P72" i="10"/>
  <c r="P74" i="10"/>
  <c r="P75" i="10"/>
  <c r="P76" i="10"/>
  <c r="P77" i="10"/>
  <c r="P78" i="10"/>
  <c r="P79" i="10"/>
  <c r="P80" i="10"/>
  <c r="P82" i="10"/>
  <c r="P83" i="10"/>
  <c r="P84" i="10"/>
  <c r="P85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6" i="10"/>
  <c r="P147" i="10"/>
  <c r="P148" i="10"/>
  <c r="P149" i="10"/>
  <c r="P151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3" i="10"/>
  <c r="P244" i="10"/>
  <c r="P245" i="10"/>
  <c r="P246" i="10"/>
  <c r="P247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1" i="10"/>
  <c r="P312" i="10"/>
  <c r="P313" i="10"/>
  <c r="P314" i="10"/>
  <c r="P315" i="10"/>
  <c r="P318" i="10"/>
  <c r="P319" i="10"/>
  <c r="P320" i="10"/>
  <c r="P322" i="10"/>
  <c r="P323" i="10"/>
  <c r="P324" i="10"/>
  <c r="P325" i="10"/>
  <c r="P327" i="10"/>
  <c r="P329" i="10"/>
  <c r="P330" i="10"/>
  <c r="P331" i="10"/>
  <c r="P332" i="10"/>
  <c r="P333" i="10"/>
  <c r="P334" i="10"/>
  <c r="P335" i="10"/>
  <c r="P336" i="10"/>
  <c r="P337" i="10"/>
  <c r="P338" i="10"/>
  <c r="P340" i="10"/>
  <c r="P341" i="10"/>
  <c r="P342" i="10"/>
  <c r="P343" i="10"/>
  <c r="P345" i="10"/>
  <c r="P346" i="10"/>
  <c r="P347" i="10"/>
  <c r="P349" i="10"/>
  <c r="P350" i="10"/>
  <c r="P351" i="10"/>
  <c r="P352" i="10"/>
  <c r="P354" i="10"/>
  <c r="P356" i="10"/>
  <c r="P357" i="10"/>
  <c r="P358" i="10"/>
  <c r="P359" i="10"/>
  <c r="P360" i="10"/>
  <c r="P361" i="10"/>
  <c r="P362" i="10"/>
  <c r="P364" i="10"/>
  <c r="P365" i="10"/>
  <c r="P366" i="10"/>
  <c r="P367" i="10"/>
  <c r="P368" i="10"/>
  <c r="P369" i="10"/>
  <c r="P370" i="10"/>
  <c r="P371" i="10"/>
  <c r="P372" i="10"/>
  <c r="P374" i="10"/>
  <c r="P375" i="10"/>
  <c r="P376" i="10"/>
  <c r="P378" i="10"/>
  <c r="P379" i="10"/>
  <c r="P380" i="10"/>
  <c r="P381" i="10"/>
  <c r="P382" i="10"/>
  <c r="P383" i="10"/>
  <c r="P384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6" i="10"/>
  <c r="P407" i="10"/>
  <c r="P408" i="10"/>
  <c r="P410" i="10"/>
  <c r="P411" i="10"/>
  <c r="P412" i="10"/>
  <c r="P413" i="10"/>
  <c r="P414" i="10"/>
  <c r="P415" i="10"/>
  <c r="P416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2" i="10"/>
  <c r="P433" i="10"/>
  <c r="P434" i="10"/>
  <c r="P435" i="10"/>
  <c r="P436" i="10"/>
  <c r="P437" i="10"/>
  <c r="P438" i="10"/>
  <c r="P439" i="10"/>
  <c r="P440" i="10"/>
  <c r="P442" i="10"/>
  <c r="P443" i="10"/>
  <c r="P444" i="10"/>
  <c r="P446" i="10"/>
  <c r="P447" i="10"/>
  <c r="P448" i="10"/>
  <c r="P450" i="10"/>
  <c r="P451" i="10"/>
  <c r="P452" i="10"/>
  <c r="P453" i="10"/>
  <c r="P454" i="10"/>
  <c r="P456" i="10"/>
  <c r="P457" i="10"/>
  <c r="P458" i="10"/>
  <c r="P460" i="10"/>
  <c r="P461" i="10"/>
  <c r="P462" i="10"/>
  <c r="P463" i="10"/>
  <c r="P464" i="10"/>
  <c r="P465" i="10"/>
  <c r="P466" i="10"/>
  <c r="P467" i="10"/>
  <c r="P468" i="10"/>
  <c r="P470" i="10"/>
  <c r="P471" i="10"/>
  <c r="P472" i="10"/>
  <c r="P474" i="10"/>
  <c r="P475" i="10"/>
  <c r="P476" i="10"/>
  <c r="P477" i="10"/>
  <c r="P478" i="10"/>
  <c r="P479" i="10"/>
  <c r="P480" i="10"/>
  <c r="P482" i="10"/>
  <c r="P484" i="10"/>
  <c r="P485" i="10"/>
  <c r="P486" i="10"/>
  <c r="P487" i="10"/>
  <c r="P488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7" i="10"/>
  <c r="O28" i="10"/>
  <c r="O29" i="10"/>
  <c r="O30" i="10"/>
  <c r="O31" i="10"/>
  <c r="O33" i="10"/>
  <c r="O34" i="10"/>
  <c r="O35" i="10"/>
  <c r="O36" i="10"/>
  <c r="O37" i="10"/>
  <c r="O38" i="10"/>
  <c r="O39" i="10"/>
  <c r="O40" i="10"/>
  <c r="O42" i="10"/>
  <c r="O43" i="10"/>
  <c r="O44" i="10"/>
  <c r="O45" i="10"/>
  <c r="O46" i="10"/>
  <c r="O47" i="10"/>
  <c r="O48" i="10"/>
  <c r="O49" i="10"/>
  <c r="O50" i="10"/>
  <c r="O51" i="10"/>
  <c r="O53" i="10"/>
  <c r="O54" i="10"/>
  <c r="O55" i="10"/>
  <c r="O56" i="10"/>
  <c r="O57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4" i="10"/>
  <c r="O125" i="10"/>
  <c r="O126" i="10"/>
  <c r="O127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8" i="10"/>
  <c r="O319" i="10"/>
  <c r="O320" i="10"/>
  <c r="O321" i="10"/>
  <c r="O322" i="10"/>
  <c r="O323" i="10"/>
  <c r="O324" i="10"/>
  <c r="O325" i="10"/>
  <c r="O326" i="10"/>
  <c r="O327" i="10"/>
  <c r="O329" i="10"/>
  <c r="O330" i="10"/>
  <c r="O331" i="10"/>
  <c r="O332" i="10"/>
  <c r="O333" i="10"/>
  <c r="O334" i="10"/>
  <c r="O335" i="10"/>
  <c r="O336" i="10"/>
  <c r="O337" i="10"/>
  <c r="O338" i="10"/>
  <c r="O340" i="10"/>
  <c r="O341" i="10"/>
  <c r="O342" i="10"/>
  <c r="O343" i="10"/>
  <c r="O344" i="10"/>
  <c r="O345" i="10"/>
  <c r="O346" i="10"/>
  <c r="O347" i="10"/>
  <c r="O349" i="10"/>
  <c r="O350" i="10"/>
  <c r="O351" i="10"/>
  <c r="O352" i="10"/>
  <c r="O354" i="10"/>
  <c r="O356" i="10"/>
  <c r="O357" i="10"/>
  <c r="O358" i="10"/>
  <c r="O359" i="10"/>
  <c r="O360" i="10"/>
  <c r="O361" i="10"/>
  <c r="O362" i="10"/>
  <c r="O364" i="10"/>
  <c r="O365" i="10"/>
  <c r="O366" i="10"/>
  <c r="O367" i="10"/>
  <c r="O368" i="10"/>
  <c r="O369" i="10"/>
  <c r="O370" i="10"/>
  <c r="O371" i="10"/>
  <c r="O372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8" i="10"/>
  <c r="O429" i="10"/>
  <c r="O430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6" i="10"/>
  <c r="O447" i="10"/>
  <c r="O448" i="10"/>
  <c r="O449" i="10"/>
  <c r="O450" i="10"/>
  <c r="O451" i="10"/>
  <c r="O452" i="10"/>
  <c r="O453" i="10"/>
  <c r="O454" i="10"/>
  <c r="O456" i="10"/>
  <c r="O457" i="10"/>
  <c r="O458" i="10"/>
  <c r="O460" i="10"/>
  <c r="O461" i="10"/>
  <c r="O462" i="10"/>
  <c r="O463" i="10"/>
  <c r="O464" i="10"/>
  <c r="O465" i="10"/>
  <c r="O466" i="10"/>
  <c r="O467" i="10"/>
  <c r="O468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4" i="10"/>
  <c r="O485" i="10"/>
  <c r="O486" i="10"/>
  <c r="O487" i="10"/>
  <c r="O488" i="10"/>
  <c r="A27" i="23"/>
  <c r="O5" i="9"/>
  <c r="O6" i="9"/>
  <c r="P6" i="9" s="1"/>
  <c r="Q6" i="9" s="1"/>
  <c r="O7" i="9"/>
  <c r="O8" i="9"/>
  <c r="P7" i="9"/>
  <c r="P5" i="9"/>
  <c r="Q5" i="9" s="1"/>
  <c r="A13" i="23"/>
  <c r="A5" i="20"/>
  <c r="A5" i="23" s="1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A202" i="23"/>
  <c r="A113" i="23"/>
  <c r="A112" i="23"/>
  <c r="A107" i="23"/>
  <c r="A104" i="23"/>
  <c r="A103" i="23"/>
  <c r="A96" i="23"/>
  <c r="A93" i="23"/>
  <c r="A92" i="23"/>
  <c r="A91" i="23"/>
  <c r="A87" i="23"/>
  <c r="A84" i="23"/>
  <c r="A83" i="23"/>
  <c r="A82" i="23"/>
  <c r="A76" i="23"/>
  <c r="A73" i="23"/>
  <c r="A72" i="23"/>
  <c r="A71" i="23"/>
  <c r="A70" i="23"/>
  <c r="A60" i="23"/>
  <c r="A57" i="23"/>
  <c r="A56" i="23"/>
  <c r="A55" i="23"/>
  <c r="A38" i="23"/>
  <c r="A28" i="23"/>
  <c r="A26" i="23"/>
  <c r="A25" i="23"/>
  <c r="A24" i="23"/>
  <c r="A14" i="23"/>
  <c r="A12" i="23"/>
  <c r="A11" i="23"/>
  <c r="A10" i="23"/>
  <c r="A7" i="23"/>
  <c r="A4" i="23"/>
  <c r="B42" i="24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2" i="24"/>
  <c r="B11" i="24"/>
  <c r="K40" i="1"/>
  <c r="K39" i="1"/>
  <c r="K38" i="1"/>
  <c r="K37" i="1"/>
  <c r="A138" i="22"/>
  <c r="A14" i="25"/>
  <c r="A42" i="20"/>
  <c r="A28" i="20"/>
  <c r="F22" i="9"/>
  <c r="F23" i="9"/>
  <c r="A251" i="21"/>
  <c r="A250" i="21"/>
  <c r="A243" i="21"/>
  <c r="A242" i="21"/>
  <c r="A241" i="21"/>
  <c r="A240" i="21"/>
  <c r="A239" i="21"/>
  <c r="A225" i="21"/>
  <c r="A224" i="21"/>
  <c r="A223" i="21"/>
  <c r="A222" i="21"/>
  <c r="A213" i="21"/>
  <c r="A212" i="21"/>
  <c r="A211" i="21"/>
  <c r="A210" i="21"/>
  <c r="A198" i="21"/>
  <c r="A197" i="21"/>
  <c r="A196" i="21"/>
  <c r="A195" i="21"/>
  <c r="A186" i="21"/>
  <c r="A185" i="21"/>
  <c r="A184" i="21"/>
  <c r="A183" i="21"/>
  <c r="A182" i="21"/>
  <c r="A176" i="21"/>
  <c r="A175" i="21"/>
  <c r="A174" i="21"/>
  <c r="A173" i="21"/>
  <c r="A172" i="21"/>
  <c r="A164" i="21"/>
  <c r="A163" i="21"/>
  <c r="A162" i="21"/>
  <c r="A161" i="21"/>
  <c r="A160" i="21"/>
  <c r="J49" i="1"/>
  <c r="A154" i="21" s="1"/>
  <c r="A149" i="21"/>
  <c r="A148" i="21"/>
  <c r="A147" i="21"/>
  <c r="A146" i="21"/>
  <c r="A145" i="21"/>
  <c r="A133" i="21"/>
  <c r="B51" i="1"/>
  <c r="A128" i="21" s="1"/>
  <c r="A121" i="21"/>
  <c r="A120" i="21"/>
  <c r="A119" i="21"/>
  <c r="A118" i="21"/>
  <c r="A117" i="21"/>
  <c r="A116" i="21"/>
  <c r="A68" i="21"/>
  <c r="A67" i="21"/>
  <c r="A66" i="21"/>
  <c r="A65" i="21"/>
  <c r="A64" i="21"/>
  <c r="A14" i="21"/>
  <c r="A13" i="21"/>
  <c r="A12" i="21"/>
  <c r="A11" i="21"/>
  <c r="A10" i="21"/>
  <c r="A8" i="21"/>
  <c r="A7" i="21"/>
  <c r="A4" i="21"/>
  <c r="A146" i="25"/>
  <c r="A145" i="25"/>
  <c r="A144" i="25"/>
  <c r="A143" i="25"/>
  <c r="A142" i="25"/>
  <c r="A141" i="25"/>
  <c r="A140" i="25"/>
  <c r="A139" i="25"/>
  <c r="A138" i="25"/>
  <c r="A137" i="25"/>
  <c r="A136" i="25"/>
  <c r="A135" i="25"/>
  <c r="A134" i="25"/>
  <c r="A133" i="25"/>
  <c r="A132" i="25"/>
  <c r="A131" i="25"/>
  <c r="A130" i="25"/>
  <c r="A129" i="25"/>
  <c r="A128" i="25"/>
  <c r="A127" i="25"/>
  <c r="A126" i="25"/>
  <c r="A125" i="25"/>
  <c r="A124" i="25"/>
  <c r="A123" i="25"/>
  <c r="A122" i="25"/>
  <c r="A121" i="25"/>
  <c r="A120" i="25"/>
  <c r="A119" i="25"/>
  <c r="A118" i="25"/>
  <c r="A117" i="25"/>
  <c r="A116" i="25"/>
  <c r="A115" i="25"/>
  <c r="A114" i="25"/>
  <c r="A113" i="25"/>
  <c r="A112" i="25"/>
  <c r="A111" i="25"/>
  <c r="A110" i="25"/>
  <c r="A109" i="25"/>
  <c r="A108" i="25"/>
  <c r="A107" i="25"/>
  <c r="A106" i="25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3" i="25"/>
  <c r="A12" i="25"/>
  <c r="A11" i="25"/>
  <c r="A10" i="25"/>
  <c r="A8" i="25"/>
  <c r="A7" i="25"/>
  <c r="A4" i="25"/>
  <c r="A270" i="22"/>
  <c r="A269" i="22"/>
  <c r="A268" i="22"/>
  <c r="A267" i="22"/>
  <c r="A266" i="22"/>
  <c r="A265" i="22"/>
  <c r="A264" i="22"/>
  <c r="A263" i="22"/>
  <c r="A262" i="22"/>
  <c r="A261" i="22"/>
  <c r="A260" i="22"/>
  <c r="A259" i="22"/>
  <c r="A258" i="22"/>
  <c r="A257" i="22"/>
  <c r="A256" i="22"/>
  <c r="A255" i="22"/>
  <c r="A254" i="22"/>
  <c r="A253" i="22"/>
  <c r="A252" i="22"/>
  <c r="A251" i="22"/>
  <c r="A250" i="22"/>
  <c r="A249" i="22"/>
  <c r="A248" i="22"/>
  <c r="A247" i="22"/>
  <c r="A246" i="22"/>
  <c r="A245" i="22"/>
  <c r="A244" i="22"/>
  <c r="A243" i="22"/>
  <c r="A242" i="22"/>
  <c r="A241" i="22"/>
  <c r="A240" i="22"/>
  <c r="A239" i="22"/>
  <c r="A238" i="22"/>
  <c r="A237" i="22"/>
  <c r="A236" i="22"/>
  <c r="A235" i="22"/>
  <c r="A234" i="22"/>
  <c r="A233" i="22"/>
  <c r="A232" i="22"/>
  <c r="A231" i="22"/>
  <c r="A230" i="22"/>
  <c r="A229" i="22"/>
  <c r="A228" i="22"/>
  <c r="A227" i="22"/>
  <c r="A226" i="22"/>
  <c r="A225" i="22"/>
  <c r="A224" i="22"/>
  <c r="A223" i="22"/>
  <c r="A222" i="22"/>
  <c r="A221" i="22"/>
  <c r="A220" i="22"/>
  <c r="A219" i="22"/>
  <c r="A218" i="22"/>
  <c r="A217" i="22"/>
  <c r="A216" i="22"/>
  <c r="A215" i="22"/>
  <c r="A214" i="22"/>
  <c r="A213" i="22"/>
  <c r="A212" i="22"/>
  <c r="A211" i="22"/>
  <c r="A210" i="22"/>
  <c r="A209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4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7" i="22"/>
  <c r="A136" i="22"/>
  <c r="A135" i="22" s="1"/>
  <c r="A134" i="22"/>
  <c r="A133" i="22"/>
  <c r="Y5" i="9"/>
  <c r="Y6" i="9"/>
  <c r="Y7" i="9"/>
  <c r="Z6" i="9"/>
  <c r="Z5" i="9"/>
  <c r="AA5" i="9"/>
  <c r="AA6" i="9"/>
  <c r="A126" i="22"/>
  <c r="A125" i="22"/>
  <c r="A124" i="22"/>
  <c r="A123" i="22"/>
  <c r="A116" i="22"/>
  <c r="A115" i="22"/>
  <c r="A114" i="22"/>
  <c r="A113" i="22"/>
  <c r="A112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14" i="22"/>
  <c r="A13" i="22"/>
  <c r="A12" i="22"/>
  <c r="A11" i="22"/>
  <c r="A10" i="22"/>
  <c r="A8" i="22"/>
  <c r="A7" i="22"/>
  <c r="A4" i="22"/>
  <c r="P1912" i="20"/>
  <c r="O1912" i="20"/>
  <c r="N1912" i="20"/>
  <c r="M1912" i="20"/>
  <c r="L1912" i="20"/>
  <c r="K1912" i="20"/>
  <c r="J1912" i="20"/>
  <c r="I1912" i="20"/>
  <c r="H1912" i="20"/>
  <c r="G1912" i="20"/>
  <c r="F1912" i="20"/>
  <c r="E1912" i="20"/>
  <c r="D1912" i="20"/>
  <c r="C1912" i="20"/>
  <c r="B1912" i="20"/>
  <c r="A1912" i="20"/>
  <c r="P1911" i="20"/>
  <c r="O1911" i="20"/>
  <c r="N1911" i="20"/>
  <c r="M1911" i="20"/>
  <c r="L1911" i="20"/>
  <c r="K1911" i="20"/>
  <c r="J1911" i="20"/>
  <c r="I1911" i="20"/>
  <c r="H1911" i="20"/>
  <c r="G1911" i="20"/>
  <c r="F1911" i="20"/>
  <c r="E1911" i="20"/>
  <c r="D1911" i="20"/>
  <c r="C1911" i="20"/>
  <c r="B1911" i="20"/>
  <c r="A1911" i="20"/>
  <c r="P1910" i="20"/>
  <c r="O1910" i="20"/>
  <c r="N1910" i="20"/>
  <c r="M1910" i="20"/>
  <c r="L1910" i="20"/>
  <c r="K1910" i="20"/>
  <c r="J1910" i="20"/>
  <c r="I1910" i="20"/>
  <c r="H1910" i="20"/>
  <c r="G1910" i="20"/>
  <c r="F1910" i="20"/>
  <c r="E1910" i="20"/>
  <c r="D1910" i="20"/>
  <c r="C1910" i="20"/>
  <c r="B1910" i="20"/>
  <c r="A1910" i="20"/>
  <c r="P1909" i="20"/>
  <c r="O1909" i="20"/>
  <c r="N1909" i="20"/>
  <c r="M1909" i="20"/>
  <c r="L1909" i="20"/>
  <c r="K1909" i="20"/>
  <c r="J1909" i="20"/>
  <c r="I1909" i="20"/>
  <c r="H1909" i="20"/>
  <c r="G1909" i="20"/>
  <c r="F1909" i="20"/>
  <c r="E1909" i="20"/>
  <c r="D1909" i="20"/>
  <c r="C1909" i="20"/>
  <c r="B1909" i="20"/>
  <c r="A1909" i="20"/>
  <c r="P1908" i="20"/>
  <c r="O1908" i="20"/>
  <c r="N1908" i="20"/>
  <c r="M1908" i="20"/>
  <c r="L1908" i="20"/>
  <c r="K1908" i="20"/>
  <c r="J1908" i="20"/>
  <c r="I1908" i="20"/>
  <c r="H1908" i="20"/>
  <c r="G1908" i="20"/>
  <c r="F1908" i="20"/>
  <c r="E1908" i="20"/>
  <c r="D1908" i="20"/>
  <c r="C1908" i="20"/>
  <c r="B1908" i="20"/>
  <c r="A1908" i="20"/>
  <c r="P1907" i="20"/>
  <c r="O1907" i="20"/>
  <c r="N1907" i="20"/>
  <c r="M1907" i="20"/>
  <c r="L1907" i="20"/>
  <c r="K1907" i="20"/>
  <c r="J1907" i="20"/>
  <c r="I1907" i="20"/>
  <c r="H1907" i="20"/>
  <c r="G1907" i="20"/>
  <c r="F1907" i="20"/>
  <c r="E1907" i="20"/>
  <c r="D1907" i="20"/>
  <c r="C1907" i="20"/>
  <c r="B1907" i="20"/>
  <c r="A1907" i="20"/>
  <c r="P1906" i="20"/>
  <c r="O1906" i="20"/>
  <c r="N1906" i="20"/>
  <c r="M1906" i="20"/>
  <c r="L1906" i="20"/>
  <c r="K1906" i="20"/>
  <c r="J1906" i="20"/>
  <c r="I1906" i="20"/>
  <c r="H1906" i="20"/>
  <c r="G1906" i="20"/>
  <c r="F1906" i="20"/>
  <c r="E1906" i="20"/>
  <c r="D1906" i="20"/>
  <c r="C1906" i="20"/>
  <c r="B1906" i="20"/>
  <c r="A1906" i="20"/>
  <c r="P1905" i="20"/>
  <c r="O1905" i="20"/>
  <c r="N1905" i="20"/>
  <c r="M1905" i="20"/>
  <c r="L1905" i="20"/>
  <c r="K1905" i="20"/>
  <c r="J1905" i="20"/>
  <c r="I1905" i="20"/>
  <c r="H1905" i="20"/>
  <c r="G1905" i="20"/>
  <c r="F1905" i="20"/>
  <c r="E1905" i="20"/>
  <c r="D1905" i="20"/>
  <c r="C1905" i="20"/>
  <c r="B1905" i="20"/>
  <c r="A1905" i="20"/>
  <c r="P1904" i="20"/>
  <c r="O1904" i="20"/>
  <c r="N1904" i="20"/>
  <c r="M1904" i="20"/>
  <c r="L1904" i="20"/>
  <c r="K1904" i="20"/>
  <c r="J1904" i="20"/>
  <c r="I1904" i="20"/>
  <c r="H1904" i="20"/>
  <c r="G1904" i="20"/>
  <c r="F1904" i="20"/>
  <c r="E1904" i="20"/>
  <c r="D1904" i="20"/>
  <c r="C1904" i="20"/>
  <c r="B1904" i="20"/>
  <c r="A1904" i="20"/>
  <c r="P1903" i="20"/>
  <c r="O1903" i="20"/>
  <c r="N1903" i="20"/>
  <c r="M1903" i="20"/>
  <c r="L1903" i="20"/>
  <c r="K1903" i="20"/>
  <c r="J1903" i="20"/>
  <c r="I1903" i="20"/>
  <c r="H1903" i="20"/>
  <c r="G1903" i="20"/>
  <c r="F1903" i="20"/>
  <c r="E1903" i="20"/>
  <c r="D1903" i="20"/>
  <c r="C1903" i="20"/>
  <c r="B1903" i="20"/>
  <c r="A1903" i="20"/>
  <c r="P1902" i="20"/>
  <c r="O1902" i="20"/>
  <c r="N1902" i="20"/>
  <c r="M1902" i="20"/>
  <c r="L1902" i="20"/>
  <c r="K1902" i="20"/>
  <c r="J1902" i="20"/>
  <c r="I1902" i="20"/>
  <c r="H1902" i="20"/>
  <c r="G1902" i="20"/>
  <c r="F1902" i="20"/>
  <c r="E1902" i="20"/>
  <c r="D1902" i="20"/>
  <c r="C1902" i="20"/>
  <c r="B1902" i="20"/>
  <c r="A1902" i="20"/>
  <c r="P1901" i="20"/>
  <c r="O1901" i="20"/>
  <c r="N1901" i="20"/>
  <c r="M1901" i="20"/>
  <c r="L1901" i="20"/>
  <c r="K1901" i="20"/>
  <c r="J1901" i="20"/>
  <c r="I1901" i="20"/>
  <c r="H1901" i="20"/>
  <c r="G1901" i="20"/>
  <c r="F1901" i="20"/>
  <c r="E1901" i="20"/>
  <c r="D1901" i="20"/>
  <c r="C1901" i="20"/>
  <c r="B1901" i="20"/>
  <c r="A1901" i="20"/>
  <c r="P1900" i="20"/>
  <c r="O1900" i="20"/>
  <c r="N1900" i="20"/>
  <c r="M1900" i="20"/>
  <c r="L1900" i="20"/>
  <c r="K1900" i="20"/>
  <c r="J1900" i="20"/>
  <c r="I1900" i="20"/>
  <c r="H1900" i="20"/>
  <c r="G1900" i="20"/>
  <c r="F1900" i="20"/>
  <c r="E1900" i="20"/>
  <c r="D1900" i="20"/>
  <c r="C1900" i="20"/>
  <c r="B1900" i="20"/>
  <c r="A1900" i="20"/>
  <c r="P1899" i="20"/>
  <c r="O1899" i="20"/>
  <c r="N1899" i="20"/>
  <c r="M1899" i="20"/>
  <c r="L1899" i="20"/>
  <c r="K1899" i="20"/>
  <c r="J1899" i="20"/>
  <c r="I1899" i="20"/>
  <c r="H1899" i="20"/>
  <c r="G1899" i="20"/>
  <c r="F1899" i="20"/>
  <c r="E1899" i="20"/>
  <c r="D1899" i="20"/>
  <c r="C1899" i="20"/>
  <c r="B1899" i="20"/>
  <c r="A1899" i="20"/>
  <c r="P1898" i="20"/>
  <c r="O1898" i="20"/>
  <c r="N1898" i="20"/>
  <c r="M1898" i="20"/>
  <c r="L1898" i="20"/>
  <c r="K1898" i="20"/>
  <c r="J1898" i="20"/>
  <c r="I1898" i="20"/>
  <c r="H1898" i="20"/>
  <c r="G1898" i="20"/>
  <c r="F1898" i="20"/>
  <c r="E1898" i="20"/>
  <c r="D1898" i="20"/>
  <c r="C1898" i="20"/>
  <c r="B1898" i="20"/>
  <c r="A1898" i="20"/>
  <c r="P1897" i="20"/>
  <c r="O1897" i="20"/>
  <c r="N1897" i="20"/>
  <c r="M1897" i="20"/>
  <c r="L1897" i="20"/>
  <c r="K1897" i="20"/>
  <c r="J1897" i="20"/>
  <c r="I1897" i="20"/>
  <c r="H1897" i="20"/>
  <c r="G1897" i="20"/>
  <c r="F1897" i="20"/>
  <c r="E1897" i="20"/>
  <c r="D1897" i="20"/>
  <c r="C1897" i="20"/>
  <c r="B1897" i="20"/>
  <c r="A1897" i="20"/>
  <c r="P1896" i="20"/>
  <c r="O1896" i="20"/>
  <c r="N1896" i="20"/>
  <c r="M1896" i="20"/>
  <c r="L1896" i="20"/>
  <c r="K1896" i="20"/>
  <c r="J1896" i="20"/>
  <c r="I1896" i="20"/>
  <c r="H1896" i="20"/>
  <c r="G1896" i="20"/>
  <c r="F1896" i="20"/>
  <c r="E1896" i="20"/>
  <c r="D1896" i="20"/>
  <c r="C1896" i="20"/>
  <c r="B1896" i="20"/>
  <c r="A1896" i="20"/>
  <c r="P1895" i="20"/>
  <c r="O1895" i="20"/>
  <c r="N1895" i="20"/>
  <c r="M1895" i="20"/>
  <c r="L1895" i="20"/>
  <c r="K1895" i="20"/>
  <c r="J1895" i="20"/>
  <c r="I1895" i="20"/>
  <c r="H1895" i="20"/>
  <c r="G1895" i="20"/>
  <c r="F1895" i="20"/>
  <c r="E1895" i="20"/>
  <c r="D1895" i="20"/>
  <c r="C1895" i="20"/>
  <c r="B1895" i="20"/>
  <c r="A1895" i="20"/>
  <c r="P1894" i="20"/>
  <c r="O1894" i="20"/>
  <c r="N1894" i="20"/>
  <c r="M1894" i="20"/>
  <c r="L1894" i="20"/>
  <c r="K1894" i="20"/>
  <c r="J1894" i="20"/>
  <c r="I1894" i="20"/>
  <c r="H1894" i="20"/>
  <c r="G1894" i="20"/>
  <c r="F1894" i="20"/>
  <c r="E1894" i="20"/>
  <c r="D1894" i="20"/>
  <c r="C1894" i="20"/>
  <c r="B1894" i="20"/>
  <c r="A1894" i="20"/>
  <c r="P1893" i="20"/>
  <c r="O1893" i="20"/>
  <c r="N1893" i="20"/>
  <c r="M1893" i="20"/>
  <c r="L1893" i="20"/>
  <c r="K1893" i="20"/>
  <c r="J1893" i="20"/>
  <c r="I1893" i="20"/>
  <c r="H1893" i="20"/>
  <c r="G1893" i="20"/>
  <c r="F1893" i="20"/>
  <c r="E1893" i="20"/>
  <c r="D1893" i="20"/>
  <c r="C1893" i="20"/>
  <c r="B1893" i="20"/>
  <c r="A1893" i="20"/>
  <c r="P1892" i="20"/>
  <c r="O1892" i="20"/>
  <c r="N1892" i="20"/>
  <c r="M1892" i="20"/>
  <c r="L1892" i="20"/>
  <c r="K1892" i="20"/>
  <c r="J1892" i="20"/>
  <c r="I1892" i="20"/>
  <c r="H1892" i="20"/>
  <c r="G1892" i="20"/>
  <c r="F1892" i="20"/>
  <c r="E1892" i="20"/>
  <c r="D1892" i="20"/>
  <c r="C1892" i="20"/>
  <c r="B1892" i="20"/>
  <c r="A1892" i="20"/>
  <c r="P1891" i="20"/>
  <c r="O1891" i="20"/>
  <c r="N1891" i="20"/>
  <c r="M1891" i="20"/>
  <c r="L1891" i="20"/>
  <c r="K1891" i="20"/>
  <c r="J1891" i="20"/>
  <c r="I1891" i="20"/>
  <c r="H1891" i="20"/>
  <c r="G1891" i="20"/>
  <c r="F1891" i="20"/>
  <c r="E1891" i="20"/>
  <c r="D1891" i="20"/>
  <c r="C1891" i="20"/>
  <c r="B1891" i="20"/>
  <c r="A1891" i="20"/>
  <c r="P1890" i="20"/>
  <c r="O1890" i="20"/>
  <c r="N1890" i="20"/>
  <c r="M1890" i="20"/>
  <c r="L1890" i="20"/>
  <c r="K1890" i="20"/>
  <c r="J1890" i="20"/>
  <c r="I1890" i="20"/>
  <c r="H1890" i="20"/>
  <c r="G1890" i="20"/>
  <c r="F1890" i="20"/>
  <c r="E1890" i="20"/>
  <c r="D1890" i="20"/>
  <c r="C1890" i="20"/>
  <c r="B1890" i="20"/>
  <c r="A1890" i="20"/>
  <c r="P1889" i="20"/>
  <c r="O1889" i="20"/>
  <c r="N1889" i="20"/>
  <c r="M1889" i="20"/>
  <c r="L1889" i="20"/>
  <c r="K1889" i="20"/>
  <c r="J1889" i="20"/>
  <c r="I1889" i="20"/>
  <c r="H1889" i="20"/>
  <c r="G1889" i="20"/>
  <c r="F1889" i="20"/>
  <c r="E1889" i="20"/>
  <c r="D1889" i="20"/>
  <c r="C1889" i="20"/>
  <c r="B1889" i="20"/>
  <c r="A1889" i="20"/>
  <c r="P1888" i="20"/>
  <c r="O1888" i="20"/>
  <c r="N1888" i="20"/>
  <c r="M1888" i="20"/>
  <c r="L1888" i="20"/>
  <c r="K1888" i="20"/>
  <c r="J1888" i="20"/>
  <c r="I1888" i="20"/>
  <c r="H1888" i="20"/>
  <c r="G1888" i="20"/>
  <c r="F1888" i="20"/>
  <c r="E1888" i="20"/>
  <c r="D1888" i="20"/>
  <c r="C1888" i="20"/>
  <c r="B1888" i="20"/>
  <c r="A1888" i="20"/>
  <c r="P1887" i="20"/>
  <c r="O1887" i="20"/>
  <c r="N1887" i="20"/>
  <c r="M1887" i="20"/>
  <c r="L1887" i="20"/>
  <c r="K1887" i="20"/>
  <c r="J1887" i="20"/>
  <c r="I1887" i="20"/>
  <c r="H1887" i="20"/>
  <c r="G1887" i="20"/>
  <c r="F1887" i="20"/>
  <c r="E1887" i="20"/>
  <c r="D1887" i="20"/>
  <c r="C1887" i="20"/>
  <c r="B1887" i="20"/>
  <c r="A1887" i="20"/>
  <c r="P1886" i="20"/>
  <c r="O1886" i="20"/>
  <c r="N1886" i="20"/>
  <c r="M1886" i="20"/>
  <c r="L1886" i="20"/>
  <c r="K1886" i="20"/>
  <c r="J1886" i="20"/>
  <c r="I1886" i="20"/>
  <c r="H1886" i="20"/>
  <c r="G1886" i="20"/>
  <c r="F1886" i="20"/>
  <c r="E1886" i="20"/>
  <c r="D1886" i="20"/>
  <c r="C1886" i="20"/>
  <c r="B1886" i="20"/>
  <c r="A1886" i="20"/>
  <c r="P1885" i="20"/>
  <c r="O1885" i="20"/>
  <c r="N1885" i="20"/>
  <c r="M1885" i="20"/>
  <c r="L1885" i="20"/>
  <c r="K1885" i="20"/>
  <c r="J1885" i="20"/>
  <c r="I1885" i="20"/>
  <c r="H1885" i="20"/>
  <c r="G1885" i="20"/>
  <c r="F1885" i="20"/>
  <c r="E1885" i="20"/>
  <c r="D1885" i="20"/>
  <c r="C1885" i="20"/>
  <c r="B1885" i="20"/>
  <c r="A1885" i="20"/>
  <c r="P1884" i="20"/>
  <c r="O1884" i="20"/>
  <c r="N1884" i="20"/>
  <c r="M1884" i="20"/>
  <c r="L1884" i="20"/>
  <c r="K1884" i="20"/>
  <c r="J1884" i="20"/>
  <c r="I1884" i="20"/>
  <c r="H1884" i="20"/>
  <c r="G1884" i="20"/>
  <c r="F1884" i="20"/>
  <c r="E1884" i="20"/>
  <c r="D1884" i="20"/>
  <c r="C1884" i="20"/>
  <c r="B1884" i="20"/>
  <c r="A1884" i="20"/>
  <c r="P1883" i="20"/>
  <c r="O1883" i="20"/>
  <c r="N1883" i="20"/>
  <c r="M1883" i="20"/>
  <c r="L1883" i="20"/>
  <c r="K1883" i="20"/>
  <c r="J1883" i="20"/>
  <c r="I1883" i="20"/>
  <c r="H1883" i="20"/>
  <c r="G1883" i="20"/>
  <c r="F1883" i="20"/>
  <c r="E1883" i="20"/>
  <c r="D1883" i="20"/>
  <c r="C1883" i="20"/>
  <c r="B1883" i="20"/>
  <c r="A1883" i="20"/>
  <c r="P1882" i="20"/>
  <c r="O1882" i="20"/>
  <c r="N1882" i="20"/>
  <c r="M1882" i="20"/>
  <c r="L1882" i="20"/>
  <c r="K1882" i="20"/>
  <c r="J1882" i="20"/>
  <c r="I1882" i="20"/>
  <c r="H1882" i="20"/>
  <c r="G1882" i="20"/>
  <c r="F1882" i="20"/>
  <c r="E1882" i="20"/>
  <c r="D1882" i="20"/>
  <c r="C1882" i="20"/>
  <c r="B1882" i="20"/>
  <c r="A1882" i="20"/>
  <c r="P1881" i="20"/>
  <c r="O1881" i="20"/>
  <c r="N1881" i="20"/>
  <c r="M1881" i="20"/>
  <c r="L1881" i="20"/>
  <c r="K1881" i="20"/>
  <c r="J1881" i="20"/>
  <c r="I1881" i="20"/>
  <c r="H1881" i="20"/>
  <c r="G1881" i="20"/>
  <c r="F1881" i="20"/>
  <c r="E1881" i="20"/>
  <c r="D1881" i="20"/>
  <c r="C1881" i="20"/>
  <c r="B1881" i="20"/>
  <c r="A1881" i="20"/>
  <c r="P1880" i="20"/>
  <c r="O1880" i="20"/>
  <c r="N1880" i="20"/>
  <c r="M1880" i="20"/>
  <c r="L1880" i="20"/>
  <c r="K1880" i="20"/>
  <c r="J1880" i="20"/>
  <c r="I1880" i="20"/>
  <c r="H1880" i="20"/>
  <c r="G1880" i="20"/>
  <c r="F1880" i="20"/>
  <c r="E1880" i="20"/>
  <c r="D1880" i="20"/>
  <c r="C1880" i="20"/>
  <c r="B1880" i="20"/>
  <c r="A1880" i="20"/>
  <c r="P1879" i="20"/>
  <c r="O1879" i="20"/>
  <c r="N1879" i="20"/>
  <c r="M1879" i="20"/>
  <c r="L1879" i="20"/>
  <c r="K1879" i="20"/>
  <c r="J1879" i="20"/>
  <c r="I1879" i="20"/>
  <c r="H1879" i="20"/>
  <c r="G1879" i="20"/>
  <c r="F1879" i="20"/>
  <c r="E1879" i="20"/>
  <c r="D1879" i="20"/>
  <c r="C1879" i="20"/>
  <c r="B1879" i="20"/>
  <c r="A1879" i="20"/>
  <c r="P1878" i="20"/>
  <c r="O1878" i="20"/>
  <c r="N1878" i="20"/>
  <c r="M1878" i="20"/>
  <c r="L1878" i="20"/>
  <c r="K1878" i="20"/>
  <c r="J1878" i="20"/>
  <c r="I1878" i="20"/>
  <c r="H1878" i="20"/>
  <c r="G1878" i="20"/>
  <c r="F1878" i="20"/>
  <c r="E1878" i="20"/>
  <c r="D1878" i="20"/>
  <c r="C1878" i="20"/>
  <c r="B1878" i="20"/>
  <c r="A1878" i="20"/>
  <c r="P1877" i="20"/>
  <c r="O1877" i="20"/>
  <c r="N1877" i="20"/>
  <c r="M1877" i="20"/>
  <c r="L1877" i="20"/>
  <c r="K1877" i="20"/>
  <c r="J1877" i="20"/>
  <c r="I1877" i="20"/>
  <c r="H1877" i="20"/>
  <c r="G1877" i="20"/>
  <c r="F1877" i="20"/>
  <c r="E1877" i="20"/>
  <c r="D1877" i="20"/>
  <c r="C1877" i="20"/>
  <c r="B1877" i="20"/>
  <c r="A1877" i="20"/>
  <c r="P1876" i="20"/>
  <c r="O1876" i="20"/>
  <c r="N1876" i="20"/>
  <c r="M1876" i="20"/>
  <c r="L1876" i="20"/>
  <c r="K1876" i="20"/>
  <c r="J1876" i="20"/>
  <c r="I1876" i="20"/>
  <c r="H1876" i="20"/>
  <c r="G1876" i="20"/>
  <c r="F1876" i="20"/>
  <c r="E1876" i="20"/>
  <c r="D1876" i="20"/>
  <c r="C1876" i="20"/>
  <c r="B1876" i="20"/>
  <c r="A1876" i="20"/>
  <c r="P1875" i="20"/>
  <c r="O1875" i="20"/>
  <c r="N1875" i="20"/>
  <c r="M1875" i="20"/>
  <c r="L1875" i="20"/>
  <c r="K1875" i="20"/>
  <c r="J1875" i="20"/>
  <c r="I1875" i="20"/>
  <c r="H1875" i="20"/>
  <c r="G1875" i="20"/>
  <c r="F1875" i="20"/>
  <c r="E1875" i="20"/>
  <c r="D1875" i="20"/>
  <c r="C1875" i="20"/>
  <c r="B1875" i="20"/>
  <c r="A1875" i="20"/>
  <c r="P1874" i="20"/>
  <c r="O1874" i="20"/>
  <c r="N1874" i="20"/>
  <c r="M1874" i="20"/>
  <c r="L1874" i="20"/>
  <c r="K1874" i="20"/>
  <c r="J1874" i="20"/>
  <c r="I1874" i="20"/>
  <c r="H1874" i="20"/>
  <c r="G1874" i="20"/>
  <c r="F1874" i="20"/>
  <c r="E1874" i="20"/>
  <c r="D1874" i="20"/>
  <c r="C1874" i="20"/>
  <c r="B1874" i="20"/>
  <c r="A1874" i="20"/>
  <c r="P1873" i="20"/>
  <c r="O1873" i="20"/>
  <c r="N1873" i="20"/>
  <c r="M1873" i="20"/>
  <c r="L1873" i="20"/>
  <c r="K1873" i="20"/>
  <c r="J1873" i="20"/>
  <c r="I1873" i="20"/>
  <c r="H1873" i="20"/>
  <c r="G1873" i="20"/>
  <c r="F1873" i="20"/>
  <c r="E1873" i="20"/>
  <c r="D1873" i="20"/>
  <c r="C1873" i="20"/>
  <c r="B1873" i="20"/>
  <c r="A1873" i="20"/>
  <c r="P1872" i="20"/>
  <c r="O1872" i="20"/>
  <c r="N1872" i="20"/>
  <c r="M1872" i="20"/>
  <c r="L1872" i="20"/>
  <c r="K1872" i="20"/>
  <c r="J1872" i="20"/>
  <c r="I1872" i="20"/>
  <c r="H1872" i="20"/>
  <c r="G1872" i="20"/>
  <c r="F1872" i="20"/>
  <c r="E1872" i="20"/>
  <c r="D1872" i="20"/>
  <c r="C1872" i="20"/>
  <c r="B1872" i="20"/>
  <c r="A1872" i="20"/>
  <c r="P1871" i="20"/>
  <c r="O1871" i="20"/>
  <c r="N1871" i="20"/>
  <c r="M1871" i="20"/>
  <c r="L1871" i="20"/>
  <c r="K1871" i="20"/>
  <c r="J1871" i="20"/>
  <c r="I1871" i="20"/>
  <c r="H1871" i="20"/>
  <c r="G1871" i="20"/>
  <c r="F1871" i="20"/>
  <c r="E1871" i="20"/>
  <c r="D1871" i="20"/>
  <c r="C1871" i="20"/>
  <c r="B1871" i="20"/>
  <c r="A1871" i="20"/>
  <c r="P1870" i="20"/>
  <c r="O1870" i="20"/>
  <c r="N1870" i="20"/>
  <c r="M1870" i="20"/>
  <c r="L1870" i="20"/>
  <c r="K1870" i="20"/>
  <c r="J1870" i="20"/>
  <c r="I1870" i="20"/>
  <c r="H1870" i="20"/>
  <c r="G1870" i="20"/>
  <c r="F1870" i="20"/>
  <c r="E1870" i="20"/>
  <c r="D1870" i="20"/>
  <c r="C1870" i="20"/>
  <c r="B1870" i="20"/>
  <c r="A1870" i="20"/>
  <c r="P1869" i="20"/>
  <c r="O1869" i="20"/>
  <c r="N1869" i="20"/>
  <c r="M1869" i="20"/>
  <c r="L1869" i="20"/>
  <c r="K1869" i="20"/>
  <c r="J1869" i="20"/>
  <c r="I1869" i="20"/>
  <c r="H1869" i="20"/>
  <c r="G1869" i="20"/>
  <c r="F1869" i="20"/>
  <c r="E1869" i="20"/>
  <c r="D1869" i="20"/>
  <c r="C1869" i="20"/>
  <c r="B1869" i="20"/>
  <c r="A1869" i="20"/>
  <c r="P1868" i="20"/>
  <c r="O1868" i="20"/>
  <c r="N1868" i="20"/>
  <c r="M1868" i="20"/>
  <c r="L1868" i="20"/>
  <c r="K1868" i="20"/>
  <c r="J1868" i="20"/>
  <c r="I1868" i="20"/>
  <c r="H1868" i="20"/>
  <c r="G1868" i="20"/>
  <c r="F1868" i="20"/>
  <c r="E1868" i="20"/>
  <c r="D1868" i="20"/>
  <c r="C1868" i="20"/>
  <c r="B1868" i="20"/>
  <c r="A1868" i="20"/>
  <c r="P1867" i="20"/>
  <c r="O1867" i="20"/>
  <c r="N1867" i="20"/>
  <c r="M1867" i="20"/>
  <c r="L1867" i="20"/>
  <c r="K1867" i="20"/>
  <c r="J1867" i="20"/>
  <c r="I1867" i="20"/>
  <c r="H1867" i="20"/>
  <c r="G1867" i="20"/>
  <c r="F1867" i="20"/>
  <c r="E1867" i="20"/>
  <c r="D1867" i="20"/>
  <c r="C1867" i="20"/>
  <c r="B1867" i="20"/>
  <c r="A1867" i="20"/>
  <c r="P1866" i="20"/>
  <c r="O1866" i="20"/>
  <c r="N1866" i="20"/>
  <c r="M1866" i="20"/>
  <c r="L1866" i="20"/>
  <c r="K1866" i="20"/>
  <c r="J1866" i="20"/>
  <c r="I1866" i="20"/>
  <c r="H1866" i="20"/>
  <c r="G1866" i="20"/>
  <c r="F1866" i="20"/>
  <c r="E1866" i="20"/>
  <c r="D1866" i="20"/>
  <c r="C1866" i="20"/>
  <c r="B1866" i="20"/>
  <c r="A1866" i="20"/>
  <c r="P1865" i="20"/>
  <c r="O1865" i="20"/>
  <c r="N1865" i="20"/>
  <c r="M1865" i="20"/>
  <c r="L1865" i="20"/>
  <c r="K1865" i="20"/>
  <c r="J1865" i="20"/>
  <c r="I1865" i="20"/>
  <c r="H1865" i="20"/>
  <c r="G1865" i="20"/>
  <c r="F1865" i="20"/>
  <c r="E1865" i="20"/>
  <c r="D1865" i="20"/>
  <c r="C1865" i="20"/>
  <c r="B1865" i="20"/>
  <c r="A1865" i="20"/>
  <c r="P1864" i="20"/>
  <c r="O1864" i="20"/>
  <c r="N1864" i="20"/>
  <c r="M1864" i="20"/>
  <c r="L1864" i="20"/>
  <c r="K1864" i="20"/>
  <c r="J1864" i="20"/>
  <c r="I1864" i="20"/>
  <c r="H1864" i="20"/>
  <c r="G1864" i="20"/>
  <c r="F1864" i="20"/>
  <c r="E1864" i="20"/>
  <c r="D1864" i="20"/>
  <c r="C1864" i="20"/>
  <c r="B1864" i="20"/>
  <c r="A1864" i="20"/>
  <c r="P1863" i="20"/>
  <c r="O1863" i="20"/>
  <c r="N1863" i="20"/>
  <c r="M1863" i="20"/>
  <c r="L1863" i="20"/>
  <c r="K1863" i="20"/>
  <c r="J1863" i="20"/>
  <c r="I1863" i="20"/>
  <c r="H1863" i="20"/>
  <c r="G1863" i="20"/>
  <c r="F1863" i="20"/>
  <c r="E1863" i="20"/>
  <c r="D1863" i="20"/>
  <c r="C1863" i="20"/>
  <c r="B1863" i="20"/>
  <c r="A1863" i="20"/>
  <c r="P1862" i="20"/>
  <c r="O1862" i="20"/>
  <c r="N1862" i="20"/>
  <c r="M1862" i="20"/>
  <c r="L1862" i="20"/>
  <c r="K1862" i="20"/>
  <c r="J1862" i="20"/>
  <c r="I1862" i="20"/>
  <c r="H1862" i="20"/>
  <c r="G1862" i="20"/>
  <c r="F1862" i="20"/>
  <c r="E1862" i="20"/>
  <c r="D1862" i="20"/>
  <c r="C1862" i="20"/>
  <c r="B1862" i="20"/>
  <c r="A1862" i="20"/>
  <c r="P1861" i="20"/>
  <c r="O1861" i="20"/>
  <c r="N1861" i="20"/>
  <c r="M1861" i="20"/>
  <c r="L1861" i="20"/>
  <c r="K1861" i="20"/>
  <c r="J1861" i="20"/>
  <c r="I1861" i="20"/>
  <c r="H1861" i="20"/>
  <c r="G1861" i="20"/>
  <c r="F1861" i="20"/>
  <c r="E1861" i="20"/>
  <c r="D1861" i="20"/>
  <c r="C1861" i="20"/>
  <c r="B1861" i="20"/>
  <c r="A1861" i="20"/>
  <c r="P1860" i="20"/>
  <c r="O1860" i="20"/>
  <c r="N1860" i="20"/>
  <c r="M1860" i="20"/>
  <c r="L1860" i="20"/>
  <c r="K1860" i="20"/>
  <c r="J1860" i="20"/>
  <c r="I1860" i="20"/>
  <c r="H1860" i="20"/>
  <c r="G1860" i="20"/>
  <c r="F1860" i="20"/>
  <c r="E1860" i="20"/>
  <c r="D1860" i="20"/>
  <c r="C1860" i="20"/>
  <c r="B1860" i="20"/>
  <c r="A1860" i="20"/>
  <c r="P1859" i="20"/>
  <c r="O1859" i="20"/>
  <c r="N1859" i="20"/>
  <c r="M1859" i="20"/>
  <c r="L1859" i="20"/>
  <c r="K1859" i="20"/>
  <c r="J1859" i="20"/>
  <c r="I1859" i="20"/>
  <c r="H1859" i="20"/>
  <c r="G1859" i="20"/>
  <c r="F1859" i="20"/>
  <c r="E1859" i="20"/>
  <c r="D1859" i="20"/>
  <c r="C1859" i="20"/>
  <c r="B1859" i="20"/>
  <c r="A1859" i="20"/>
  <c r="P1858" i="20"/>
  <c r="O1858" i="20"/>
  <c r="N1858" i="20"/>
  <c r="M1858" i="20"/>
  <c r="L1858" i="20"/>
  <c r="K1858" i="20"/>
  <c r="J1858" i="20"/>
  <c r="I1858" i="20"/>
  <c r="H1858" i="20"/>
  <c r="G1858" i="20"/>
  <c r="F1858" i="20"/>
  <c r="E1858" i="20"/>
  <c r="D1858" i="20"/>
  <c r="C1858" i="20"/>
  <c r="B1858" i="20"/>
  <c r="A1858" i="20"/>
  <c r="P1857" i="20"/>
  <c r="O1857" i="20"/>
  <c r="N1857" i="20"/>
  <c r="M1857" i="20"/>
  <c r="L1857" i="20"/>
  <c r="K1857" i="20"/>
  <c r="J1857" i="20"/>
  <c r="I1857" i="20"/>
  <c r="H1857" i="20"/>
  <c r="G1857" i="20"/>
  <c r="F1857" i="20"/>
  <c r="E1857" i="20"/>
  <c r="D1857" i="20"/>
  <c r="C1857" i="20"/>
  <c r="B1857" i="20"/>
  <c r="A1857" i="20"/>
  <c r="P1856" i="20"/>
  <c r="O1856" i="20"/>
  <c r="N1856" i="20"/>
  <c r="M1856" i="20"/>
  <c r="L1856" i="20"/>
  <c r="K1856" i="20"/>
  <c r="J1856" i="20"/>
  <c r="I1856" i="20"/>
  <c r="H1856" i="20"/>
  <c r="G1856" i="20"/>
  <c r="F1856" i="20"/>
  <c r="E1856" i="20"/>
  <c r="D1856" i="20"/>
  <c r="C1856" i="20"/>
  <c r="B1856" i="20"/>
  <c r="A1856" i="20"/>
  <c r="P1855" i="20"/>
  <c r="O1855" i="20"/>
  <c r="N1855" i="20"/>
  <c r="M1855" i="20"/>
  <c r="L1855" i="20"/>
  <c r="K1855" i="20"/>
  <c r="J1855" i="20"/>
  <c r="I1855" i="20"/>
  <c r="H1855" i="20"/>
  <c r="G1855" i="20"/>
  <c r="F1855" i="20"/>
  <c r="E1855" i="20"/>
  <c r="D1855" i="20"/>
  <c r="C1855" i="20"/>
  <c r="B1855" i="20"/>
  <c r="A1855" i="20"/>
  <c r="P1854" i="20"/>
  <c r="O1854" i="20"/>
  <c r="N1854" i="20"/>
  <c r="M1854" i="20"/>
  <c r="L1854" i="20"/>
  <c r="K1854" i="20"/>
  <c r="J1854" i="20"/>
  <c r="I1854" i="20"/>
  <c r="H1854" i="20"/>
  <c r="G1854" i="20"/>
  <c r="F1854" i="20"/>
  <c r="E1854" i="20"/>
  <c r="D1854" i="20"/>
  <c r="C1854" i="20"/>
  <c r="B1854" i="20"/>
  <c r="A1854" i="20"/>
  <c r="P1853" i="20"/>
  <c r="O1853" i="20"/>
  <c r="N1853" i="20"/>
  <c r="M1853" i="20"/>
  <c r="L1853" i="20"/>
  <c r="K1853" i="20"/>
  <c r="J1853" i="20"/>
  <c r="I1853" i="20"/>
  <c r="H1853" i="20"/>
  <c r="G1853" i="20"/>
  <c r="F1853" i="20"/>
  <c r="E1853" i="20"/>
  <c r="D1853" i="20"/>
  <c r="C1853" i="20"/>
  <c r="B1853" i="20"/>
  <c r="A1853" i="20"/>
  <c r="P1852" i="20"/>
  <c r="O1852" i="20"/>
  <c r="N1852" i="20"/>
  <c r="M1852" i="20"/>
  <c r="L1852" i="20"/>
  <c r="K1852" i="20"/>
  <c r="J1852" i="20"/>
  <c r="I1852" i="20"/>
  <c r="H1852" i="20"/>
  <c r="G1852" i="20"/>
  <c r="F1852" i="20"/>
  <c r="E1852" i="20"/>
  <c r="D1852" i="20"/>
  <c r="C1852" i="20"/>
  <c r="B1852" i="20"/>
  <c r="A1852" i="20"/>
  <c r="P1851" i="20"/>
  <c r="O1851" i="20"/>
  <c r="N1851" i="20"/>
  <c r="M1851" i="20"/>
  <c r="L1851" i="20"/>
  <c r="K1851" i="20"/>
  <c r="J1851" i="20"/>
  <c r="I1851" i="20"/>
  <c r="H1851" i="20"/>
  <c r="G1851" i="20"/>
  <c r="F1851" i="20"/>
  <c r="E1851" i="20"/>
  <c r="D1851" i="20"/>
  <c r="C1851" i="20"/>
  <c r="B1851" i="20"/>
  <c r="A1851" i="20"/>
  <c r="P1850" i="20"/>
  <c r="O1850" i="20"/>
  <c r="N1850" i="20"/>
  <c r="M1850" i="20"/>
  <c r="L1850" i="20"/>
  <c r="K1850" i="20"/>
  <c r="J1850" i="20"/>
  <c r="I1850" i="20"/>
  <c r="H1850" i="20"/>
  <c r="G1850" i="20"/>
  <c r="F1850" i="20"/>
  <c r="E1850" i="20"/>
  <c r="D1850" i="20"/>
  <c r="C1850" i="20"/>
  <c r="B1850" i="20"/>
  <c r="A1850" i="20"/>
  <c r="P1849" i="20"/>
  <c r="O1849" i="20"/>
  <c r="N1849" i="20"/>
  <c r="M1849" i="20"/>
  <c r="L1849" i="20"/>
  <c r="K1849" i="20"/>
  <c r="J1849" i="20"/>
  <c r="I1849" i="20"/>
  <c r="H1849" i="20"/>
  <c r="G1849" i="20"/>
  <c r="F1849" i="20"/>
  <c r="E1849" i="20"/>
  <c r="D1849" i="20"/>
  <c r="C1849" i="20"/>
  <c r="B1849" i="20"/>
  <c r="A1849" i="20"/>
  <c r="P1848" i="20"/>
  <c r="O1848" i="20"/>
  <c r="N1848" i="20"/>
  <c r="M1848" i="20"/>
  <c r="L1848" i="20"/>
  <c r="K1848" i="20"/>
  <c r="J1848" i="20"/>
  <c r="I1848" i="20"/>
  <c r="H1848" i="20"/>
  <c r="G1848" i="20"/>
  <c r="F1848" i="20"/>
  <c r="E1848" i="20"/>
  <c r="D1848" i="20"/>
  <c r="C1848" i="20"/>
  <c r="B1848" i="20"/>
  <c r="A1848" i="20"/>
  <c r="P1847" i="20"/>
  <c r="O1847" i="20"/>
  <c r="N1847" i="20"/>
  <c r="M1847" i="20"/>
  <c r="L1847" i="20"/>
  <c r="K1847" i="20"/>
  <c r="J1847" i="20"/>
  <c r="I1847" i="20"/>
  <c r="H1847" i="20"/>
  <c r="G1847" i="20"/>
  <c r="F1847" i="20"/>
  <c r="E1847" i="20"/>
  <c r="D1847" i="20"/>
  <c r="C1847" i="20"/>
  <c r="B1847" i="20"/>
  <c r="A1847" i="20"/>
  <c r="P1846" i="20"/>
  <c r="O1846" i="20"/>
  <c r="N1846" i="20"/>
  <c r="M1846" i="20"/>
  <c r="L1846" i="20"/>
  <c r="K1846" i="20"/>
  <c r="J1846" i="20"/>
  <c r="I1846" i="20"/>
  <c r="H1846" i="20"/>
  <c r="G1846" i="20"/>
  <c r="F1846" i="20"/>
  <c r="E1846" i="20"/>
  <c r="D1846" i="20"/>
  <c r="C1846" i="20"/>
  <c r="B1846" i="20"/>
  <c r="A1846" i="20"/>
  <c r="P1845" i="20"/>
  <c r="O1845" i="20"/>
  <c r="N1845" i="20"/>
  <c r="M1845" i="20"/>
  <c r="L1845" i="20"/>
  <c r="K1845" i="20"/>
  <c r="J1845" i="20"/>
  <c r="I1845" i="20"/>
  <c r="H1845" i="20"/>
  <c r="G1845" i="20"/>
  <c r="F1845" i="20"/>
  <c r="E1845" i="20"/>
  <c r="D1845" i="20"/>
  <c r="C1845" i="20"/>
  <c r="B1845" i="20"/>
  <c r="A1845" i="20"/>
  <c r="P1844" i="20"/>
  <c r="O1844" i="20"/>
  <c r="N1844" i="20"/>
  <c r="M1844" i="20"/>
  <c r="L1844" i="20"/>
  <c r="K1844" i="20"/>
  <c r="J1844" i="20"/>
  <c r="I1844" i="20"/>
  <c r="H1844" i="20"/>
  <c r="G1844" i="20"/>
  <c r="F1844" i="20"/>
  <c r="E1844" i="20"/>
  <c r="D1844" i="20"/>
  <c r="C1844" i="20"/>
  <c r="B1844" i="20"/>
  <c r="A1844" i="20"/>
  <c r="P1843" i="20"/>
  <c r="O1843" i="20"/>
  <c r="N1843" i="20"/>
  <c r="M1843" i="20"/>
  <c r="L1843" i="20"/>
  <c r="K1843" i="20"/>
  <c r="J1843" i="20"/>
  <c r="I1843" i="20"/>
  <c r="H1843" i="20"/>
  <c r="G1843" i="20"/>
  <c r="F1843" i="20"/>
  <c r="E1843" i="20"/>
  <c r="D1843" i="20"/>
  <c r="C1843" i="20"/>
  <c r="B1843" i="20"/>
  <c r="A1843" i="20"/>
  <c r="P1842" i="20"/>
  <c r="O1842" i="20"/>
  <c r="N1842" i="20"/>
  <c r="M1842" i="20"/>
  <c r="L1842" i="20"/>
  <c r="K1842" i="20"/>
  <c r="J1842" i="20"/>
  <c r="I1842" i="20"/>
  <c r="H1842" i="20"/>
  <c r="G1842" i="20"/>
  <c r="F1842" i="20"/>
  <c r="E1842" i="20"/>
  <c r="D1842" i="20"/>
  <c r="C1842" i="20"/>
  <c r="B1842" i="20"/>
  <c r="A1842" i="20"/>
  <c r="P1841" i="20"/>
  <c r="O1841" i="20"/>
  <c r="N1841" i="20"/>
  <c r="M1841" i="20"/>
  <c r="L1841" i="20"/>
  <c r="K1841" i="20"/>
  <c r="J1841" i="20"/>
  <c r="I1841" i="20"/>
  <c r="H1841" i="20"/>
  <c r="G1841" i="20"/>
  <c r="F1841" i="20"/>
  <c r="E1841" i="20"/>
  <c r="D1841" i="20"/>
  <c r="C1841" i="20"/>
  <c r="B1841" i="20"/>
  <c r="A1841" i="20"/>
  <c r="P1840" i="20"/>
  <c r="O1840" i="20"/>
  <c r="N1840" i="20"/>
  <c r="M1840" i="20"/>
  <c r="L1840" i="20"/>
  <c r="K1840" i="20"/>
  <c r="J1840" i="20"/>
  <c r="I1840" i="20"/>
  <c r="H1840" i="20"/>
  <c r="G1840" i="20"/>
  <c r="F1840" i="20"/>
  <c r="E1840" i="20"/>
  <c r="D1840" i="20"/>
  <c r="C1840" i="20"/>
  <c r="B1840" i="20"/>
  <c r="A1840" i="20"/>
  <c r="P1839" i="20"/>
  <c r="O1839" i="20"/>
  <c r="N1839" i="20"/>
  <c r="M1839" i="20"/>
  <c r="L1839" i="20"/>
  <c r="K1839" i="20"/>
  <c r="J1839" i="20"/>
  <c r="I1839" i="20"/>
  <c r="H1839" i="20"/>
  <c r="G1839" i="20"/>
  <c r="F1839" i="20"/>
  <c r="E1839" i="20"/>
  <c r="D1839" i="20"/>
  <c r="C1839" i="20"/>
  <c r="B1839" i="20"/>
  <c r="A1839" i="20"/>
  <c r="P1838" i="20"/>
  <c r="O1838" i="20"/>
  <c r="N1838" i="20"/>
  <c r="M1838" i="20"/>
  <c r="L1838" i="20"/>
  <c r="K1838" i="20"/>
  <c r="J1838" i="20"/>
  <c r="I1838" i="20"/>
  <c r="H1838" i="20"/>
  <c r="G1838" i="20"/>
  <c r="F1838" i="20"/>
  <c r="E1838" i="20"/>
  <c r="D1838" i="20"/>
  <c r="C1838" i="20"/>
  <c r="B1838" i="20"/>
  <c r="A1838" i="20"/>
  <c r="P1837" i="20"/>
  <c r="O1837" i="20"/>
  <c r="N1837" i="20"/>
  <c r="M1837" i="20"/>
  <c r="L1837" i="20"/>
  <c r="K1837" i="20"/>
  <c r="J1837" i="20"/>
  <c r="I1837" i="20"/>
  <c r="H1837" i="20"/>
  <c r="G1837" i="20"/>
  <c r="F1837" i="20"/>
  <c r="E1837" i="20"/>
  <c r="D1837" i="20"/>
  <c r="C1837" i="20"/>
  <c r="B1837" i="20"/>
  <c r="A1837" i="20"/>
  <c r="P1836" i="20"/>
  <c r="O1836" i="20"/>
  <c r="N1836" i="20"/>
  <c r="M1836" i="20"/>
  <c r="L1836" i="20"/>
  <c r="K1836" i="20"/>
  <c r="J1836" i="20"/>
  <c r="I1836" i="20"/>
  <c r="H1836" i="20"/>
  <c r="G1836" i="20"/>
  <c r="F1836" i="20"/>
  <c r="E1836" i="20"/>
  <c r="D1836" i="20"/>
  <c r="C1836" i="20"/>
  <c r="B1836" i="20"/>
  <c r="A1836" i="20"/>
  <c r="P1835" i="20"/>
  <c r="O1835" i="20"/>
  <c r="N1835" i="20"/>
  <c r="M1835" i="20"/>
  <c r="L1835" i="20"/>
  <c r="K1835" i="20"/>
  <c r="J1835" i="20"/>
  <c r="I1835" i="20"/>
  <c r="H1835" i="20"/>
  <c r="G1835" i="20"/>
  <c r="F1835" i="20"/>
  <c r="E1835" i="20"/>
  <c r="D1835" i="20"/>
  <c r="C1835" i="20"/>
  <c r="B1835" i="20"/>
  <c r="A1835" i="20"/>
  <c r="P1834" i="20"/>
  <c r="O1834" i="20"/>
  <c r="N1834" i="20"/>
  <c r="M1834" i="20"/>
  <c r="L1834" i="20"/>
  <c r="K1834" i="20"/>
  <c r="J1834" i="20"/>
  <c r="I1834" i="20"/>
  <c r="H1834" i="20"/>
  <c r="G1834" i="20"/>
  <c r="F1834" i="20"/>
  <c r="E1834" i="20"/>
  <c r="D1834" i="20"/>
  <c r="C1834" i="20"/>
  <c r="B1834" i="20"/>
  <c r="A1834" i="20"/>
  <c r="P1833" i="20"/>
  <c r="O1833" i="20"/>
  <c r="N1833" i="20"/>
  <c r="M1833" i="20"/>
  <c r="L1833" i="20"/>
  <c r="K1833" i="20"/>
  <c r="J1833" i="20"/>
  <c r="I1833" i="20"/>
  <c r="H1833" i="20"/>
  <c r="G1833" i="20"/>
  <c r="F1833" i="20"/>
  <c r="E1833" i="20"/>
  <c r="D1833" i="20"/>
  <c r="C1833" i="20"/>
  <c r="B1833" i="20"/>
  <c r="A1833" i="20"/>
  <c r="P1832" i="20"/>
  <c r="O1832" i="20"/>
  <c r="N1832" i="20"/>
  <c r="M1832" i="20"/>
  <c r="L1832" i="20"/>
  <c r="K1832" i="20"/>
  <c r="J1832" i="20"/>
  <c r="I1832" i="20"/>
  <c r="H1832" i="20"/>
  <c r="G1832" i="20"/>
  <c r="F1832" i="20"/>
  <c r="E1832" i="20"/>
  <c r="D1832" i="20"/>
  <c r="C1832" i="20"/>
  <c r="B1832" i="20"/>
  <c r="A1832" i="20"/>
  <c r="P1831" i="20"/>
  <c r="O1831" i="20"/>
  <c r="N1831" i="20"/>
  <c r="M1831" i="20"/>
  <c r="L1831" i="20"/>
  <c r="K1831" i="20"/>
  <c r="J1831" i="20"/>
  <c r="I1831" i="20"/>
  <c r="H1831" i="20"/>
  <c r="G1831" i="20"/>
  <c r="F1831" i="20"/>
  <c r="E1831" i="20"/>
  <c r="D1831" i="20"/>
  <c r="C1831" i="20"/>
  <c r="B1831" i="20"/>
  <c r="A1831" i="20"/>
  <c r="P1830" i="20"/>
  <c r="O1830" i="20"/>
  <c r="N1830" i="20"/>
  <c r="M1830" i="20"/>
  <c r="L1830" i="20"/>
  <c r="K1830" i="20"/>
  <c r="J1830" i="20"/>
  <c r="I1830" i="20"/>
  <c r="H1830" i="20"/>
  <c r="G1830" i="20"/>
  <c r="F1830" i="20"/>
  <c r="E1830" i="20"/>
  <c r="D1830" i="20"/>
  <c r="C1830" i="20"/>
  <c r="B1830" i="20"/>
  <c r="A1830" i="20"/>
  <c r="P1829" i="20"/>
  <c r="O1829" i="20"/>
  <c r="N1829" i="20"/>
  <c r="M1829" i="20"/>
  <c r="L1829" i="20"/>
  <c r="K1829" i="20"/>
  <c r="J1829" i="20"/>
  <c r="I1829" i="20"/>
  <c r="H1829" i="20"/>
  <c r="G1829" i="20"/>
  <c r="F1829" i="20"/>
  <c r="E1829" i="20"/>
  <c r="D1829" i="20"/>
  <c r="C1829" i="20"/>
  <c r="B1829" i="20"/>
  <c r="A1829" i="20"/>
  <c r="P1828" i="20"/>
  <c r="O1828" i="20"/>
  <c r="N1828" i="20"/>
  <c r="M1828" i="20"/>
  <c r="L1828" i="20"/>
  <c r="K1828" i="20"/>
  <c r="J1828" i="20"/>
  <c r="I1828" i="20"/>
  <c r="H1828" i="20"/>
  <c r="G1828" i="20"/>
  <c r="F1828" i="20"/>
  <c r="E1828" i="20"/>
  <c r="D1828" i="20"/>
  <c r="C1828" i="20"/>
  <c r="B1828" i="20"/>
  <c r="A1828" i="20"/>
  <c r="P1827" i="20"/>
  <c r="O1827" i="20"/>
  <c r="N1827" i="20"/>
  <c r="M1827" i="20"/>
  <c r="L1827" i="20"/>
  <c r="K1827" i="20"/>
  <c r="J1827" i="20"/>
  <c r="I1827" i="20"/>
  <c r="H1827" i="20"/>
  <c r="G1827" i="20"/>
  <c r="F1827" i="20"/>
  <c r="E1827" i="20"/>
  <c r="D1827" i="20"/>
  <c r="C1827" i="20"/>
  <c r="B1827" i="20"/>
  <c r="A1827" i="20"/>
  <c r="P1826" i="20"/>
  <c r="O1826" i="20"/>
  <c r="N1826" i="20"/>
  <c r="M1826" i="20"/>
  <c r="L1826" i="20"/>
  <c r="K1826" i="20"/>
  <c r="J1826" i="20"/>
  <c r="I1826" i="20"/>
  <c r="H1826" i="20"/>
  <c r="G1826" i="20"/>
  <c r="F1826" i="20"/>
  <c r="E1826" i="20"/>
  <c r="D1826" i="20"/>
  <c r="C1826" i="20"/>
  <c r="B1826" i="20"/>
  <c r="A1826" i="20"/>
  <c r="P1825" i="20"/>
  <c r="O1825" i="20"/>
  <c r="N1825" i="20"/>
  <c r="M1825" i="20"/>
  <c r="L1825" i="20"/>
  <c r="K1825" i="20"/>
  <c r="J1825" i="20"/>
  <c r="I1825" i="20"/>
  <c r="H1825" i="20"/>
  <c r="G1825" i="20"/>
  <c r="F1825" i="20"/>
  <c r="E1825" i="20"/>
  <c r="D1825" i="20"/>
  <c r="C1825" i="20"/>
  <c r="B1825" i="20"/>
  <c r="A1825" i="20"/>
  <c r="P1824" i="20"/>
  <c r="O1824" i="20"/>
  <c r="N1824" i="20"/>
  <c r="M1824" i="20"/>
  <c r="L1824" i="20"/>
  <c r="K1824" i="20"/>
  <c r="J1824" i="20"/>
  <c r="I1824" i="20"/>
  <c r="H1824" i="20"/>
  <c r="G1824" i="20"/>
  <c r="F1824" i="20"/>
  <c r="E1824" i="20"/>
  <c r="D1824" i="20"/>
  <c r="C1824" i="20"/>
  <c r="B1824" i="20"/>
  <c r="A1824" i="20"/>
  <c r="P1823" i="20"/>
  <c r="O1823" i="20"/>
  <c r="N1823" i="20"/>
  <c r="M1823" i="20"/>
  <c r="L1823" i="20"/>
  <c r="K1823" i="20"/>
  <c r="J1823" i="20"/>
  <c r="I1823" i="20"/>
  <c r="H1823" i="20"/>
  <c r="G1823" i="20"/>
  <c r="F1823" i="20"/>
  <c r="E1823" i="20"/>
  <c r="D1823" i="20"/>
  <c r="C1823" i="20"/>
  <c r="B1823" i="20"/>
  <c r="A1823" i="20"/>
  <c r="P1822" i="20"/>
  <c r="O1822" i="20"/>
  <c r="N1822" i="20"/>
  <c r="M1822" i="20"/>
  <c r="L1822" i="20"/>
  <c r="K1822" i="20"/>
  <c r="J1822" i="20"/>
  <c r="I1822" i="20"/>
  <c r="H1822" i="20"/>
  <c r="G1822" i="20"/>
  <c r="F1822" i="20"/>
  <c r="E1822" i="20"/>
  <c r="D1822" i="20"/>
  <c r="C1822" i="20"/>
  <c r="B1822" i="20"/>
  <c r="A1822" i="20"/>
  <c r="P1821" i="20"/>
  <c r="O1821" i="20"/>
  <c r="N1821" i="20"/>
  <c r="M1821" i="20"/>
  <c r="L1821" i="20"/>
  <c r="K1821" i="20"/>
  <c r="J1821" i="20"/>
  <c r="I1821" i="20"/>
  <c r="H1821" i="20"/>
  <c r="G1821" i="20"/>
  <c r="F1821" i="20"/>
  <c r="E1821" i="20"/>
  <c r="D1821" i="20"/>
  <c r="C1821" i="20"/>
  <c r="B1821" i="20"/>
  <c r="A1821" i="20"/>
  <c r="P1820" i="20"/>
  <c r="O1820" i="20"/>
  <c r="N1820" i="20"/>
  <c r="M1820" i="20"/>
  <c r="L1820" i="20"/>
  <c r="K1820" i="20"/>
  <c r="J1820" i="20"/>
  <c r="I1820" i="20"/>
  <c r="H1820" i="20"/>
  <c r="G1820" i="20"/>
  <c r="F1820" i="20"/>
  <c r="E1820" i="20"/>
  <c r="D1820" i="20"/>
  <c r="C1820" i="20"/>
  <c r="B1820" i="20"/>
  <c r="A1820" i="20"/>
  <c r="P1819" i="20"/>
  <c r="O1819" i="20"/>
  <c r="N1819" i="20"/>
  <c r="M1819" i="20"/>
  <c r="L1819" i="20"/>
  <c r="K1819" i="20"/>
  <c r="J1819" i="20"/>
  <c r="I1819" i="20"/>
  <c r="H1819" i="20"/>
  <c r="G1819" i="20"/>
  <c r="F1819" i="20"/>
  <c r="E1819" i="20"/>
  <c r="D1819" i="20"/>
  <c r="C1819" i="20"/>
  <c r="B1819" i="20"/>
  <c r="A1819" i="20"/>
  <c r="P1818" i="20"/>
  <c r="O1818" i="20"/>
  <c r="N1818" i="20"/>
  <c r="M1818" i="20"/>
  <c r="L1818" i="20"/>
  <c r="K1818" i="20"/>
  <c r="J1818" i="20"/>
  <c r="I1818" i="20"/>
  <c r="H1818" i="20"/>
  <c r="G1818" i="20"/>
  <c r="F1818" i="20"/>
  <c r="E1818" i="20"/>
  <c r="D1818" i="20"/>
  <c r="C1818" i="20"/>
  <c r="B1818" i="20"/>
  <c r="A1818" i="20"/>
  <c r="P1817" i="20"/>
  <c r="O1817" i="20"/>
  <c r="N1817" i="20"/>
  <c r="M1817" i="20"/>
  <c r="L1817" i="20"/>
  <c r="K1817" i="20"/>
  <c r="J1817" i="20"/>
  <c r="I1817" i="20"/>
  <c r="H1817" i="20"/>
  <c r="G1817" i="20"/>
  <c r="F1817" i="20"/>
  <c r="E1817" i="20"/>
  <c r="D1817" i="20"/>
  <c r="C1817" i="20"/>
  <c r="B1817" i="20"/>
  <c r="A1817" i="20"/>
  <c r="P1816" i="20"/>
  <c r="O1816" i="20"/>
  <c r="N1816" i="20"/>
  <c r="M1816" i="20"/>
  <c r="L1816" i="20"/>
  <c r="K1816" i="20"/>
  <c r="J1816" i="20"/>
  <c r="I1816" i="20"/>
  <c r="H1816" i="20"/>
  <c r="G1816" i="20"/>
  <c r="F1816" i="20"/>
  <c r="E1816" i="20"/>
  <c r="D1816" i="20"/>
  <c r="C1816" i="20"/>
  <c r="B1816" i="20"/>
  <c r="A1816" i="20"/>
  <c r="P1815" i="20"/>
  <c r="O1815" i="20"/>
  <c r="N1815" i="20"/>
  <c r="M1815" i="20"/>
  <c r="L1815" i="20"/>
  <c r="K1815" i="20"/>
  <c r="J1815" i="20"/>
  <c r="I1815" i="20"/>
  <c r="H1815" i="20"/>
  <c r="G1815" i="20"/>
  <c r="F1815" i="20"/>
  <c r="E1815" i="20"/>
  <c r="D1815" i="20"/>
  <c r="C1815" i="20"/>
  <c r="B1815" i="20"/>
  <c r="A1815" i="20"/>
  <c r="P1814" i="20"/>
  <c r="O1814" i="20"/>
  <c r="N1814" i="20"/>
  <c r="M1814" i="20"/>
  <c r="L1814" i="20"/>
  <c r="K1814" i="20"/>
  <c r="J1814" i="20"/>
  <c r="I1814" i="20"/>
  <c r="H1814" i="20"/>
  <c r="G1814" i="20"/>
  <c r="F1814" i="20"/>
  <c r="E1814" i="20"/>
  <c r="D1814" i="20"/>
  <c r="C1814" i="20"/>
  <c r="B1814" i="20"/>
  <c r="A1814" i="20"/>
  <c r="P1813" i="20"/>
  <c r="O1813" i="20"/>
  <c r="N1813" i="20"/>
  <c r="M1813" i="20"/>
  <c r="L1813" i="20"/>
  <c r="K1813" i="20"/>
  <c r="J1813" i="20"/>
  <c r="I1813" i="20"/>
  <c r="H1813" i="20"/>
  <c r="G1813" i="20"/>
  <c r="F1813" i="20"/>
  <c r="E1813" i="20"/>
  <c r="D1813" i="20"/>
  <c r="C1813" i="20"/>
  <c r="B1813" i="20"/>
  <c r="A1813" i="20"/>
  <c r="P1812" i="20"/>
  <c r="O1812" i="20"/>
  <c r="N1812" i="20"/>
  <c r="M1812" i="20"/>
  <c r="L1812" i="20"/>
  <c r="K1812" i="20"/>
  <c r="J1812" i="20"/>
  <c r="I1812" i="20"/>
  <c r="H1812" i="20"/>
  <c r="G1812" i="20"/>
  <c r="F1812" i="20"/>
  <c r="E1812" i="20"/>
  <c r="D1812" i="20"/>
  <c r="C1812" i="20"/>
  <c r="B1812" i="20"/>
  <c r="A1812" i="20"/>
  <c r="P1811" i="20"/>
  <c r="O1811" i="20"/>
  <c r="N1811" i="20"/>
  <c r="M1811" i="20"/>
  <c r="L1811" i="20"/>
  <c r="K1811" i="20"/>
  <c r="J1811" i="20"/>
  <c r="I1811" i="20"/>
  <c r="H1811" i="20"/>
  <c r="G1811" i="20"/>
  <c r="F1811" i="20"/>
  <c r="E1811" i="20"/>
  <c r="D1811" i="20"/>
  <c r="C1811" i="20"/>
  <c r="B1811" i="20"/>
  <c r="A1811" i="20"/>
  <c r="P1810" i="20"/>
  <c r="O1810" i="20"/>
  <c r="N1810" i="20"/>
  <c r="M1810" i="20"/>
  <c r="L1810" i="20"/>
  <c r="K1810" i="20"/>
  <c r="J1810" i="20"/>
  <c r="I1810" i="20"/>
  <c r="H1810" i="20"/>
  <c r="G1810" i="20"/>
  <c r="F1810" i="20"/>
  <c r="E1810" i="20"/>
  <c r="D1810" i="20"/>
  <c r="C1810" i="20"/>
  <c r="B1810" i="20"/>
  <c r="A1810" i="20"/>
  <c r="P1809" i="20"/>
  <c r="O1809" i="20"/>
  <c r="N1809" i="20"/>
  <c r="M1809" i="20"/>
  <c r="L1809" i="20"/>
  <c r="K1809" i="20"/>
  <c r="J1809" i="20"/>
  <c r="I1809" i="20"/>
  <c r="H1809" i="20"/>
  <c r="G1809" i="20"/>
  <c r="F1809" i="20"/>
  <c r="E1809" i="20"/>
  <c r="D1809" i="20"/>
  <c r="C1809" i="20"/>
  <c r="B1809" i="20"/>
  <c r="A1809" i="20"/>
  <c r="P1808" i="20"/>
  <c r="O1808" i="20"/>
  <c r="N1808" i="20"/>
  <c r="M1808" i="20"/>
  <c r="L1808" i="20"/>
  <c r="K1808" i="20"/>
  <c r="J1808" i="20"/>
  <c r="I1808" i="20"/>
  <c r="H1808" i="20"/>
  <c r="G1808" i="20"/>
  <c r="F1808" i="20"/>
  <c r="E1808" i="20"/>
  <c r="D1808" i="20"/>
  <c r="C1808" i="20"/>
  <c r="B1808" i="20"/>
  <c r="A1808" i="20"/>
  <c r="P1807" i="20"/>
  <c r="O1807" i="20"/>
  <c r="N1807" i="20"/>
  <c r="M1807" i="20"/>
  <c r="L1807" i="20"/>
  <c r="K1807" i="20"/>
  <c r="J1807" i="20"/>
  <c r="I1807" i="20"/>
  <c r="H1807" i="20"/>
  <c r="G1807" i="20"/>
  <c r="F1807" i="20"/>
  <c r="E1807" i="20"/>
  <c r="D1807" i="20"/>
  <c r="C1807" i="20"/>
  <c r="B1807" i="20"/>
  <c r="A1807" i="20"/>
  <c r="P1806" i="20"/>
  <c r="O1806" i="20"/>
  <c r="N1806" i="20"/>
  <c r="M1806" i="20"/>
  <c r="L1806" i="20"/>
  <c r="K1806" i="20"/>
  <c r="J1806" i="20"/>
  <c r="I1806" i="20"/>
  <c r="H1806" i="20"/>
  <c r="G1806" i="20"/>
  <c r="F1806" i="20"/>
  <c r="E1806" i="20"/>
  <c r="D1806" i="20"/>
  <c r="C1806" i="20"/>
  <c r="B1806" i="20"/>
  <c r="A1806" i="20"/>
  <c r="P1805" i="20"/>
  <c r="O1805" i="20"/>
  <c r="N1805" i="20"/>
  <c r="M1805" i="20"/>
  <c r="L1805" i="20"/>
  <c r="K1805" i="20"/>
  <c r="J1805" i="20"/>
  <c r="I1805" i="20"/>
  <c r="H1805" i="20"/>
  <c r="G1805" i="20"/>
  <c r="F1805" i="20"/>
  <c r="E1805" i="20"/>
  <c r="D1805" i="20"/>
  <c r="C1805" i="20"/>
  <c r="B1805" i="20"/>
  <c r="A1805" i="20"/>
  <c r="P1804" i="20"/>
  <c r="O1804" i="20"/>
  <c r="N1804" i="20"/>
  <c r="M1804" i="20"/>
  <c r="L1804" i="20"/>
  <c r="K1804" i="20"/>
  <c r="J1804" i="20"/>
  <c r="I1804" i="20"/>
  <c r="H1804" i="20"/>
  <c r="G1804" i="20"/>
  <c r="F1804" i="20"/>
  <c r="E1804" i="20"/>
  <c r="D1804" i="20"/>
  <c r="C1804" i="20"/>
  <c r="B1804" i="20"/>
  <c r="A1804" i="20"/>
  <c r="P1803" i="20"/>
  <c r="O1803" i="20"/>
  <c r="N1803" i="20"/>
  <c r="M1803" i="20"/>
  <c r="L1803" i="20"/>
  <c r="K1803" i="20"/>
  <c r="J1803" i="20"/>
  <c r="I1803" i="20"/>
  <c r="H1803" i="20"/>
  <c r="G1803" i="20"/>
  <c r="F1803" i="20"/>
  <c r="E1803" i="20"/>
  <c r="D1803" i="20"/>
  <c r="C1803" i="20"/>
  <c r="B1803" i="20"/>
  <c r="A1803" i="20"/>
  <c r="P1802" i="20"/>
  <c r="O1802" i="20"/>
  <c r="N1802" i="20"/>
  <c r="M1802" i="20"/>
  <c r="L1802" i="20"/>
  <c r="K1802" i="20"/>
  <c r="J1802" i="20"/>
  <c r="I1802" i="20"/>
  <c r="H1802" i="20"/>
  <c r="G1802" i="20"/>
  <c r="F1802" i="20"/>
  <c r="E1802" i="20"/>
  <c r="D1802" i="20"/>
  <c r="C1802" i="20"/>
  <c r="B1802" i="20"/>
  <c r="A1802" i="20"/>
  <c r="P1801" i="20"/>
  <c r="O1801" i="20"/>
  <c r="N1801" i="20"/>
  <c r="M1801" i="20"/>
  <c r="L1801" i="20"/>
  <c r="K1801" i="20"/>
  <c r="J1801" i="20"/>
  <c r="I1801" i="20"/>
  <c r="H1801" i="20"/>
  <c r="G1801" i="20"/>
  <c r="F1801" i="20"/>
  <c r="E1801" i="20"/>
  <c r="D1801" i="20"/>
  <c r="C1801" i="20"/>
  <c r="B1801" i="20"/>
  <c r="A1801" i="20"/>
  <c r="P1800" i="20"/>
  <c r="O1800" i="20"/>
  <c r="N1800" i="20"/>
  <c r="M1800" i="20"/>
  <c r="L1800" i="20"/>
  <c r="K1800" i="20"/>
  <c r="J1800" i="20"/>
  <c r="I1800" i="20"/>
  <c r="H1800" i="20"/>
  <c r="G1800" i="20"/>
  <c r="F1800" i="20"/>
  <c r="E1800" i="20"/>
  <c r="D1800" i="20"/>
  <c r="C1800" i="20"/>
  <c r="B1800" i="20"/>
  <c r="A1800" i="20"/>
  <c r="P1799" i="20"/>
  <c r="O1799" i="20"/>
  <c r="N1799" i="20"/>
  <c r="M1799" i="20"/>
  <c r="L1799" i="20"/>
  <c r="K1799" i="20"/>
  <c r="J1799" i="20"/>
  <c r="I1799" i="20"/>
  <c r="H1799" i="20"/>
  <c r="G1799" i="20"/>
  <c r="F1799" i="20"/>
  <c r="E1799" i="20"/>
  <c r="D1799" i="20"/>
  <c r="C1799" i="20"/>
  <c r="B1799" i="20"/>
  <c r="A1799" i="20"/>
  <c r="P1798" i="20"/>
  <c r="O1798" i="20"/>
  <c r="N1798" i="20"/>
  <c r="M1798" i="20"/>
  <c r="L1798" i="20"/>
  <c r="K1798" i="20"/>
  <c r="J1798" i="20"/>
  <c r="I1798" i="20"/>
  <c r="H1798" i="20"/>
  <c r="G1798" i="20"/>
  <c r="F1798" i="20"/>
  <c r="E1798" i="20"/>
  <c r="D1798" i="20"/>
  <c r="C1798" i="20"/>
  <c r="B1798" i="20"/>
  <c r="A1798" i="20"/>
  <c r="P1797" i="20"/>
  <c r="O1797" i="20"/>
  <c r="N1797" i="20"/>
  <c r="M1797" i="20"/>
  <c r="L1797" i="20"/>
  <c r="K1797" i="20"/>
  <c r="J1797" i="20"/>
  <c r="I1797" i="20"/>
  <c r="H1797" i="20"/>
  <c r="G1797" i="20"/>
  <c r="F1797" i="20"/>
  <c r="E1797" i="20"/>
  <c r="D1797" i="20"/>
  <c r="C1797" i="20"/>
  <c r="B1797" i="20"/>
  <c r="A1797" i="20"/>
  <c r="P1796" i="20"/>
  <c r="O1796" i="20"/>
  <c r="N1796" i="20"/>
  <c r="M1796" i="20"/>
  <c r="L1796" i="20"/>
  <c r="K1796" i="20"/>
  <c r="J1796" i="20"/>
  <c r="I1796" i="20"/>
  <c r="H1796" i="20"/>
  <c r="G1796" i="20"/>
  <c r="F1796" i="20"/>
  <c r="E1796" i="20"/>
  <c r="D1796" i="20"/>
  <c r="C1796" i="20"/>
  <c r="B1796" i="20"/>
  <c r="A1796" i="20"/>
  <c r="P1795" i="20"/>
  <c r="O1795" i="20"/>
  <c r="N1795" i="20"/>
  <c r="M1795" i="20"/>
  <c r="L1795" i="20"/>
  <c r="K1795" i="20"/>
  <c r="J1795" i="20"/>
  <c r="I1795" i="20"/>
  <c r="H1795" i="20"/>
  <c r="G1795" i="20"/>
  <c r="F1795" i="20"/>
  <c r="E1795" i="20"/>
  <c r="D1795" i="20"/>
  <c r="C1795" i="20"/>
  <c r="B1795" i="20"/>
  <c r="A1795" i="20"/>
  <c r="P1794" i="20"/>
  <c r="O1794" i="20"/>
  <c r="N1794" i="20"/>
  <c r="M1794" i="20"/>
  <c r="L1794" i="20"/>
  <c r="K1794" i="20"/>
  <c r="J1794" i="20"/>
  <c r="I1794" i="20"/>
  <c r="H1794" i="20"/>
  <c r="G1794" i="20"/>
  <c r="F1794" i="20"/>
  <c r="E1794" i="20"/>
  <c r="D1794" i="20"/>
  <c r="C1794" i="20"/>
  <c r="B1794" i="20"/>
  <c r="A1794" i="20"/>
  <c r="P1793" i="20"/>
  <c r="O1793" i="20"/>
  <c r="N1793" i="20"/>
  <c r="M1793" i="20"/>
  <c r="L1793" i="20"/>
  <c r="K1793" i="20"/>
  <c r="J1793" i="20"/>
  <c r="I1793" i="20"/>
  <c r="H1793" i="20"/>
  <c r="G1793" i="20"/>
  <c r="F1793" i="20"/>
  <c r="E1793" i="20"/>
  <c r="D1793" i="20"/>
  <c r="C1793" i="20"/>
  <c r="B1793" i="20"/>
  <c r="A1793" i="20"/>
  <c r="P1792" i="20"/>
  <c r="O1792" i="20"/>
  <c r="N1792" i="20"/>
  <c r="M1792" i="20"/>
  <c r="L1792" i="20"/>
  <c r="K1792" i="20"/>
  <c r="J1792" i="20"/>
  <c r="I1792" i="20"/>
  <c r="H1792" i="20"/>
  <c r="G1792" i="20"/>
  <c r="F1792" i="20"/>
  <c r="E1792" i="20"/>
  <c r="D1792" i="20"/>
  <c r="C1792" i="20"/>
  <c r="B1792" i="20"/>
  <c r="A1792" i="20"/>
  <c r="P1791" i="20"/>
  <c r="O1791" i="20"/>
  <c r="N1791" i="20"/>
  <c r="M1791" i="20"/>
  <c r="L1791" i="20"/>
  <c r="K1791" i="20"/>
  <c r="J1791" i="20"/>
  <c r="I1791" i="20"/>
  <c r="H1791" i="20"/>
  <c r="G1791" i="20"/>
  <c r="F1791" i="20"/>
  <c r="E1791" i="20"/>
  <c r="D1791" i="20"/>
  <c r="C1791" i="20"/>
  <c r="B1791" i="20"/>
  <c r="A1791" i="20"/>
  <c r="P1790" i="20"/>
  <c r="O1790" i="20"/>
  <c r="N1790" i="20"/>
  <c r="M1790" i="20"/>
  <c r="L1790" i="20"/>
  <c r="K1790" i="20"/>
  <c r="J1790" i="20"/>
  <c r="I1790" i="20"/>
  <c r="H1790" i="20"/>
  <c r="G1790" i="20"/>
  <c r="F1790" i="20"/>
  <c r="E1790" i="20"/>
  <c r="D1790" i="20"/>
  <c r="C1790" i="20"/>
  <c r="B1790" i="20"/>
  <c r="A1790" i="20"/>
  <c r="P1789" i="20"/>
  <c r="O1789" i="20"/>
  <c r="N1789" i="20"/>
  <c r="M1789" i="20"/>
  <c r="L1789" i="20"/>
  <c r="K1789" i="20"/>
  <c r="J1789" i="20"/>
  <c r="I1789" i="20"/>
  <c r="H1789" i="20"/>
  <c r="G1789" i="20"/>
  <c r="F1789" i="20"/>
  <c r="E1789" i="20"/>
  <c r="D1789" i="20"/>
  <c r="C1789" i="20"/>
  <c r="B1789" i="20"/>
  <c r="A1789" i="20"/>
  <c r="P1788" i="20"/>
  <c r="O1788" i="20"/>
  <c r="N1788" i="20"/>
  <c r="M1788" i="20"/>
  <c r="L1788" i="20"/>
  <c r="K1788" i="20"/>
  <c r="J1788" i="20"/>
  <c r="I1788" i="20"/>
  <c r="H1788" i="20"/>
  <c r="G1788" i="20"/>
  <c r="F1788" i="20"/>
  <c r="E1788" i="20"/>
  <c r="D1788" i="20"/>
  <c r="C1788" i="20"/>
  <c r="B1788" i="20"/>
  <c r="A1788" i="20"/>
  <c r="P1787" i="20"/>
  <c r="O1787" i="20"/>
  <c r="N1787" i="20"/>
  <c r="M1787" i="20"/>
  <c r="L1787" i="20"/>
  <c r="K1787" i="20"/>
  <c r="J1787" i="20"/>
  <c r="I1787" i="20"/>
  <c r="H1787" i="20"/>
  <c r="G1787" i="20"/>
  <c r="F1787" i="20"/>
  <c r="E1787" i="20"/>
  <c r="D1787" i="20"/>
  <c r="C1787" i="20"/>
  <c r="B1787" i="20"/>
  <c r="A1787" i="20"/>
  <c r="P1786" i="20"/>
  <c r="O1786" i="20"/>
  <c r="N1786" i="20"/>
  <c r="M1786" i="20"/>
  <c r="L1786" i="20"/>
  <c r="K1786" i="20"/>
  <c r="J1786" i="20"/>
  <c r="I1786" i="20"/>
  <c r="H1786" i="20"/>
  <c r="G1786" i="20"/>
  <c r="F1786" i="20"/>
  <c r="E1786" i="20"/>
  <c r="D1786" i="20"/>
  <c r="C1786" i="20"/>
  <c r="B1786" i="20"/>
  <c r="A1786" i="20"/>
  <c r="P1785" i="20"/>
  <c r="O1785" i="20"/>
  <c r="N1785" i="20"/>
  <c r="M1785" i="20"/>
  <c r="L1785" i="20"/>
  <c r="K1785" i="20"/>
  <c r="J1785" i="20"/>
  <c r="I1785" i="20"/>
  <c r="H1785" i="20"/>
  <c r="G1785" i="20"/>
  <c r="F1785" i="20"/>
  <c r="E1785" i="20"/>
  <c r="D1785" i="20"/>
  <c r="C1785" i="20"/>
  <c r="B1785" i="20"/>
  <c r="A1785" i="20"/>
  <c r="P1784" i="20"/>
  <c r="O1784" i="20"/>
  <c r="N1784" i="20"/>
  <c r="M1784" i="20"/>
  <c r="L1784" i="20"/>
  <c r="K1784" i="20"/>
  <c r="J1784" i="20"/>
  <c r="I1784" i="20"/>
  <c r="H1784" i="20"/>
  <c r="G1784" i="20"/>
  <c r="F1784" i="20"/>
  <c r="E1784" i="20"/>
  <c r="D1784" i="20"/>
  <c r="C1784" i="20"/>
  <c r="B1784" i="20"/>
  <c r="A1784" i="20"/>
  <c r="P1783" i="20"/>
  <c r="O1783" i="20"/>
  <c r="N1783" i="20"/>
  <c r="M1783" i="20"/>
  <c r="L1783" i="20"/>
  <c r="K1783" i="20"/>
  <c r="J1783" i="20"/>
  <c r="I1783" i="20"/>
  <c r="H1783" i="20"/>
  <c r="G1783" i="20"/>
  <c r="F1783" i="20"/>
  <c r="E1783" i="20"/>
  <c r="D1783" i="20"/>
  <c r="C1783" i="20"/>
  <c r="B1783" i="20"/>
  <c r="A1783" i="20"/>
  <c r="P1782" i="20"/>
  <c r="O1782" i="20"/>
  <c r="N1782" i="20"/>
  <c r="M1782" i="20"/>
  <c r="L1782" i="20"/>
  <c r="K1782" i="20"/>
  <c r="J1782" i="20"/>
  <c r="I1782" i="20"/>
  <c r="H1782" i="20"/>
  <c r="G1782" i="20"/>
  <c r="F1782" i="20"/>
  <c r="E1782" i="20"/>
  <c r="D1782" i="20"/>
  <c r="C1782" i="20"/>
  <c r="B1782" i="20"/>
  <c r="A1782" i="20"/>
  <c r="P1781" i="20"/>
  <c r="O1781" i="20"/>
  <c r="N1781" i="20"/>
  <c r="M1781" i="20"/>
  <c r="L1781" i="20"/>
  <c r="K1781" i="20"/>
  <c r="J1781" i="20"/>
  <c r="I1781" i="20"/>
  <c r="H1781" i="20"/>
  <c r="G1781" i="20"/>
  <c r="F1781" i="20"/>
  <c r="E1781" i="20"/>
  <c r="D1781" i="20"/>
  <c r="C1781" i="20"/>
  <c r="B1781" i="20"/>
  <c r="A1781" i="20"/>
  <c r="P1780" i="20"/>
  <c r="O1780" i="20"/>
  <c r="N1780" i="20"/>
  <c r="M1780" i="20"/>
  <c r="L1780" i="20"/>
  <c r="K1780" i="20"/>
  <c r="J1780" i="20"/>
  <c r="I1780" i="20"/>
  <c r="H1780" i="20"/>
  <c r="G1780" i="20"/>
  <c r="F1780" i="20"/>
  <c r="E1780" i="20"/>
  <c r="D1780" i="20"/>
  <c r="C1780" i="20"/>
  <c r="B1780" i="20"/>
  <c r="A1780" i="20"/>
  <c r="P1779" i="20"/>
  <c r="O1779" i="20"/>
  <c r="N1779" i="20"/>
  <c r="M1779" i="20"/>
  <c r="L1779" i="20"/>
  <c r="K1779" i="20"/>
  <c r="J1779" i="20"/>
  <c r="I1779" i="20"/>
  <c r="H1779" i="20"/>
  <c r="G1779" i="20"/>
  <c r="F1779" i="20"/>
  <c r="E1779" i="20"/>
  <c r="D1779" i="20"/>
  <c r="C1779" i="20"/>
  <c r="B1779" i="20"/>
  <c r="A1779" i="20"/>
  <c r="P1778" i="20"/>
  <c r="O1778" i="20"/>
  <c r="N1778" i="20"/>
  <c r="M1778" i="20"/>
  <c r="L1778" i="20"/>
  <c r="K1778" i="20"/>
  <c r="J1778" i="20"/>
  <c r="I1778" i="20"/>
  <c r="H1778" i="20"/>
  <c r="G1778" i="20"/>
  <c r="F1778" i="20"/>
  <c r="E1778" i="20"/>
  <c r="D1778" i="20"/>
  <c r="C1778" i="20"/>
  <c r="B1778" i="20"/>
  <c r="A1778" i="20"/>
  <c r="P1777" i="20"/>
  <c r="O1777" i="20"/>
  <c r="N1777" i="20"/>
  <c r="M1777" i="20"/>
  <c r="L1777" i="20"/>
  <c r="K1777" i="20"/>
  <c r="J1777" i="20"/>
  <c r="I1777" i="20"/>
  <c r="H1777" i="20"/>
  <c r="G1777" i="20"/>
  <c r="F1777" i="20"/>
  <c r="E1777" i="20"/>
  <c r="D1777" i="20"/>
  <c r="C1777" i="20"/>
  <c r="B1777" i="20"/>
  <c r="A1777" i="20"/>
  <c r="P1776" i="20"/>
  <c r="O1776" i="20"/>
  <c r="N1776" i="20"/>
  <c r="M1776" i="20"/>
  <c r="L1776" i="20"/>
  <c r="K1776" i="20"/>
  <c r="J1776" i="20"/>
  <c r="I1776" i="20"/>
  <c r="H1776" i="20"/>
  <c r="G1776" i="20"/>
  <c r="F1776" i="20"/>
  <c r="E1776" i="20"/>
  <c r="D1776" i="20"/>
  <c r="C1776" i="20"/>
  <c r="B1776" i="20"/>
  <c r="A1776" i="20"/>
  <c r="P1775" i="20"/>
  <c r="O1775" i="20"/>
  <c r="N1775" i="20"/>
  <c r="M1775" i="20"/>
  <c r="L1775" i="20"/>
  <c r="K1775" i="20"/>
  <c r="J1775" i="20"/>
  <c r="I1775" i="20"/>
  <c r="H1775" i="20"/>
  <c r="G1775" i="20"/>
  <c r="F1775" i="20"/>
  <c r="E1775" i="20"/>
  <c r="D1775" i="20"/>
  <c r="C1775" i="20"/>
  <c r="B1775" i="20"/>
  <c r="A1775" i="20"/>
  <c r="P1774" i="20"/>
  <c r="O1774" i="20"/>
  <c r="N1774" i="20"/>
  <c r="M1774" i="20"/>
  <c r="L1774" i="20"/>
  <c r="K1774" i="20"/>
  <c r="J1774" i="20"/>
  <c r="I1774" i="20"/>
  <c r="H1774" i="20"/>
  <c r="G1774" i="20"/>
  <c r="F1774" i="20"/>
  <c r="E1774" i="20"/>
  <c r="D1774" i="20"/>
  <c r="C1774" i="20"/>
  <c r="B1774" i="20"/>
  <c r="A1774" i="20"/>
  <c r="P1773" i="20"/>
  <c r="O1773" i="20"/>
  <c r="N1773" i="20"/>
  <c r="M1773" i="20"/>
  <c r="L1773" i="20"/>
  <c r="K1773" i="20"/>
  <c r="J1773" i="20"/>
  <c r="I1773" i="20"/>
  <c r="H1773" i="20"/>
  <c r="G1773" i="20"/>
  <c r="F1773" i="20"/>
  <c r="E1773" i="20"/>
  <c r="D1773" i="20"/>
  <c r="C1773" i="20"/>
  <c r="B1773" i="20"/>
  <c r="A1773" i="20"/>
  <c r="P1772" i="20"/>
  <c r="O1772" i="20"/>
  <c r="N1772" i="20"/>
  <c r="M1772" i="20"/>
  <c r="L1772" i="20"/>
  <c r="K1772" i="20"/>
  <c r="J1772" i="20"/>
  <c r="I1772" i="20"/>
  <c r="H1772" i="20"/>
  <c r="G1772" i="20"/>
  <c r="F1772" i="20"/>
  <c r="E1772" i="20"/>
  <c r="D1772" i="20"/>
  <c r="C1772" i="20"/>
  <c r="B1772" i="20"/>
  <c r="A1772" i="20"/>
  <c r="P1771" i="20"/>
  <c r="O1771" i="20"/>
  <c r="N1771" i="20"/>
  <c r="M1771" i="20"/>
  <c r="L1771" i="20"/>
  <c r="K1771" i="20"/>
  <c r="J1771" i="20"/>
  <c r="I1771" i="20"/>
  <c r="H1771" i="20"/>
  <c r="G1771" i="20"/>
  <c r="F1771" i="20"/>
  <c r="E1771" i="20"/>
  <c r="D1771" i="20"/>
  <c r="C1771" i="20"/>
  <c r="B1771" i="20"/>
  <c r="A1771" i="20"/>
  <c r="P1770" i="20"/>
  <c r="O1770" i="20"/>
  <c r="N1770" i="20"/>
  <c r="M1770" i="20"/>
  <c r="L1770" i="20"/>
  <c r="K1770" i="20"/>
  <c r="J1770" i="20"/>
  <c r="I1770" i="20"/>
  <c r="H1770" i="20"/>
  <c r="G1770" i="20"/>
  <c r="F1770" i="20"/>
  <c r="E1770" i="20"/>
  <c r="D1770" i="20"/>
  <c r="C1770" i="20"/>
  <c r="B1770" i="20"/>
  <c r="A1770" i="20"/>
  <c r="P1769" i="20"/>
  <c r="O1769" i="20"/>
  <c r="N1769" i="20"/>
  <c r="M1769" i="20"/>
  <c r="L1769" i="20"/>
  <c r="K1769" i="20"/>
  <c r="J1769" i="20"/>
  <c r="I1769" i="20"/>
  <c r="H1769" i="20"/>
  <c r="G1769" i="20"/>
  <c r="F1769" i="20"/>
  <c r="E1769" i="20"/>
  <c r="D1769" i="20"/>
  <c r="C1769" i="20"/>
  <c r="B1769" i="20"/>
  <c r="A1769" i="20"/>
  <c r="P1768" i="20"/>
  <c r="O1768" i="20"/>
  <c r="N1768" i="20"/>
  <c r="M1768" i="20"/>
  <c r="L1768" i="20"/>
  <c r="K1768" i="20"/>
  <c r="J1768" i="20"/>
  <c r="I1768" i="20"/>
  <c r="H1768" i="20"/>
  <c r="G1768" i="20"/>
  <c r="F1768" i="20"/>
  <c r="E1768" i="20"/>
  <c r="D1768" i="20"/>
  <c r="C1768" i="20"/>
  <c r="B1768" i="20"/>
  <c r="A1768" i="20"/>
  <c r="P1767" i="20"/>
  <c r="O1767" i="20"/>
  <c r="N1767" i="20"/>
  <c r="M1767" i="20"/>
  <c r="L1767" i="20"/>
  <c r="K1767" i="20"/>
  <c r="J1767" i="20"/>
  <c r="I1767" i="20"/>
  <c r="H1767" i="20"/>
  <c r="G1767" i="20"/>
  <c r="F1767" i="20"/>
  <c r="E1767" i="20"/>
  <c r="D1767" i="20"/>
  <c r="C1767" i="20"/>
  <c r="B1767" i="20"/>
  <c r="A1767" i="20"/>
  <c r="P1766" i="20"/>
  <c r="O1766" i="20"/>
  <c r="N1766" i="20"/>
  <c r="M1766" i="20"/>
  <c r="L1766" i="20"/>
  <c r="K1766" i="20"/>
  <c r="J1766" i="20"/>
  <c r="I1766" i="20"/>
  <c r="H1766" i="20"/>
  <c r="G1766" i="20"/>
  <c r="F1766" i="20"/>
  <c r="E1766" i="20"/>
  <c r="D1766" i="20"/>
  <c r="C1766" i="20"/>
  <c r="B1766" i="20"/>
  <c r="A1766" i="20"/>
  <c r="P1765" i="20"/>
  <c r="O1765" i="20"/>
  <c r="N1765" i="20"/>
  <c r="M1765" i="20"/>
  <c r="L1765" i="20"/>
  <c r="K1765" i="20"/>
  <c r="J1765" i="20"/>
  <c r="I1765" i="20"/>
  <c r="H1765" i="20"/>
  <c r="G1765" i="20"/>
  <c r="F1765" i="20"/>
  <c r="E1765" i="20"/>
  <c r="D1765" i="20"/>
  <c r="C1765" i="20"/>
  <c r="B1765" i="20"/>
  <c r="A1765" i="20"/>
  <c r="P1764" i="20"/>
  <c r="O1764" i="20"/>
  <c r="N1764" i="20"/>
  <c r="M1764" i="20"/>
  <c r="L1764" i="20"/>
  <c r="K1764" i="20"/>
  <c r="J1764" i="20"/>
  <c r="I1764" i="20"/>
  <c r="H1764" i="20"/>
  <c r="G1764" i="20"/>
  <c r="F1764" i="20"/>
  <c r="E1764" i="20"/>
  <c r="D1764" i="20"/>
  <c r="C1764" i="20"/>
  <c r="B1764" i="20"/>
  <c r="A1764" i="20"/>
  <c r="P1763" i="20"/>
  <c r="O1763" i="20"/>
  <c r="N1763" i="20"/>
  <c r="M1763" i="20"/>
  <c r="L1763" i="20"/>
  <c r="K1763" i="20"/>
  <c r="J1763" i="20"/>
  <c r="I1763" i="20"/>
  <c r="H1763" i="20"/>
  <c r="G1763" i="20"/>
  <c r="F1763" i="20"/>
  <c r="E1763" i="20"/>
  <c r="D1763" i="20"/>
  <c r="C1763" i="20"/>
  <c r="B1763" i="20"/>
  <c r="A1763" i="20"/>
  <c r="P1762" i="20"/>
  <c r="O1762" i="20"/>
  <c r="N1762" i="20"/>
  <c r="M1762" i="20"/>
  <c r="L1762" i="20"/>
  <c r="K1762" i="20"/>
  <c r="J1762" i="20"/>
  <c r="I1762" i="20"/>
  <c r="H1762" i="20"/>
  <c r="G1762" i="20"/>
  <c r="F1762" i="20"/>
  <c r="E1762" i="20"/>
  <c r="D1762" i="20"/>
  <c r="C1762" i="20"/>
  <c r="B1762" i="20"/>
  <c r="A1762" i="20"/>
  <c r="P1761" i="20"/>
  <c r="O1761" i="20"/>
  <c r="N1761" i="20"/>
  <c r="M1761" i="20"/>
  <c r="L1761" i="20"/>
  <c r="K1761" i="20"/>
  <c r="J1761" i="20"/>
  <c r="I1761" i="20"/>
  <c r="H1761" i="20"/>
  <c r="G1761" i="20"/>
  <c r="F1761" i="20"/>
  <c r="E1761" i="20"/>
  <c r="D1761" i="20"/>
  <c r="C1761" i="20"/>
  <c r="B1761" i="20"/>
  <c r="A1761" i="20"/>
  <c r="P1760" i="20"/>
  <c r="O1760" i="20"/>
  <c r="N1760" i="20"/>
  <c r="M1760" i="20"/>
  <c r="L1760" i="20"/>
  <c r="K1760" i="20"/>
  <c r="J1760" i="20"/>
  <c r="I1760" i="20"/>
  <c r="H1760" i="20"/>
  <c r="G1760" i="20"/>
  <c r="F1760" i="20"/>
  <c r="E1760" i="20"/>
  <c r="D1760" i="20"/>
  <c r="C1760" i="20"/>
  <c r="B1760" i="20"/>
  <c r="A1760" i="20"/>
  <c r="P1759" i="20"/>
  <c r="O1759" i="20"/>
  <c r="N1759" i="20"/>
  <c r="M1759" i="20"/>
  <c r="L1759" i="20"/>
  <c r="K1759" i="20"/>
  <c r="J1759" i="20"/>
  <c r="I1759" i="20"/>
  <c r="H1759" i="20"/>
  <c r="G1759" i="20"/>
  <c r="F1759" i="20"/>
  <c r="E1759" i="20"/>
  <c r="D1759" i="20"/>
  <c r="C1759" i="20"/>
  <c r="B1759" i="20"/>
  <c r="A1759" i="20"/>
  <c r="P1758" i="20"/>
  <c r="O1758" i="20"/>
  <c r="N1758" i="20"/>
  <c r="M1758" i="20"/>
  <c r="L1758" i="20"/>
  <c r="K1758" i="20"/>
  <c r="J1758" i="20"/>
  <c r="I1758" i="20"/>
  <c r="H1758" i="20"/>
  <c r="G1758" i="20"/>
  <c r="F1758" i="20"/>
  <c r="E1758" i="20"/>
  <c r="D1758" i="20"/>
  <c r="C1758" i="20"/>
  <c r="B1758" i="20"/>
  <c r="A1758" i="20"/>
  <c r="P1757" i="20"/>
  <c r="O1757" i="20"/>
  <c r="N1757" i="20"/>
  <c r="M1757" i="20"/>
  <c r="L1757" i="20"/>
  <c r="K1757" i="20"/>
  <c r="J1757" i="20"/>
  <c r="I1757" i="20"/>
  <c r="H1757" i="20"/>
  <c r="G1757" i="20"/>
  <c r="F1757" i="20"/>
  <c r="E1757" i="20"/>
  <c r="D1757" i="20"/>
  <c r="C1757" i="20"/>
  <c r="B1757" i="20"/>
  <c r="A1757" i="20"/>
  <c r="P1756" i="20"/>
  <c r="O1756" i="20"/>
  <c r="N1756" i="20"/>
  <c r="M1756" i="20"/>
  <c r="L1756" i="20"/>
  <c r="K1756" i="20"/>
  <c r="J1756" i="20"/>
  <c r="I1756" i="20"/>
  <c r="H1756" i="20"/>
  <c r="G1756" i="20"/>
  <c r="F1756" i="20"/>
  <c r="E1756" i="20"/>
  <c r="D1756" i="20"/>
  <c r="C1756" i="20"/>
  <c r="B1756" i="20"/>
  <c r="A1756" i="20"/>
  <c r="P1755" i="20"/>
  <c r="O1755" i="20"/>
  <c r="N1755" i="20"/>
  <c r="M1755" i="20"/>
  <c r="L1755" i="20"/>
  <c r="K1755" i="20"/>
  <c r="J1755" i="20"/>
  <c r="I1755" i="20"/>
  <c r="H1755" i="20"/>
  <c r="G1755" i="20"/>
  <c r="F1755" i="20"/>
  <c r="E1755" i="20"/>
  <c r="D1755" i="20"/>
  <c r="C1755" i="20"/>
  <c r="B1755" i="20"/>
  <c r="A1755" i="20"/>
  <c r="P1754" i="20"/>
  <c r="O1754" i="20"/>
  <c r="N1754" i="20"/>
  <c r="M1754" i="20"/>
  <c r="L1754" i="20"/>
  <c r="K1754" i="20"/>
  <c r="J1754" i="20"/>
  <c r="I1754" i="20"/>
  <c r="H1754" i="20"/>
  <c r="G1754" i="20"/>
  <c r="F1754" i="20"/>
  <c r="E1754" i="20"/>
  <c r="D1754" i="20"/>
  <c r="C1754" i="20"/>
  <c r="B1754" i="20"/>
  <c r="A1754" i="20"/>
  <c r="P1753" i="20"/>
  <c r="O1753" i="20"/>
  <c r="N1753" i="20"/>
  <c r="M1753" i="20"/>
  <c r="L1753" i="20"/>
  <c r="K1753" i="20"/>
  <c r="J1753" i="20"/>
  <c r="I1753" i="20"/>
  <c r="H1753" i="20"/>
  <c r="G1753" i="20"/>
  <c r="F1753" i="20"/>
  <c r="E1753" i="20"/>
  <c r="D1753" i="20"/>
  <c r="C1753" i="20"/>
  <c r="B1753" i="20"/>
  <c r="A1753" i="20"/>
  <c r="P1752" i="20"/>
  <c r="O1752" i="20"/>
  <c r="N1752" i="20"/>
  <c r="M1752" i="20"/>
  <c r="L1752" i="20"/>
  <c r="K1752" i="20"/>
  <c r="J1752" i="20"/>
  <c r="I1752" i="20"/>
  <c r="H1752" i="20"/>
  <c r="G1752" i="20"/>
  <c r="F1752" i="20"/>
  <c r="E1752" i="20"/>
  <c r="D1752" i="20"/>
  <c r="C1752" i="20"/>
  <c r="B1752" i="20"/>
  <c r="A1752" i="20"/>
  <c r="P1751" i="20"/>
  <c r="O1751" i="20"/>
  <c r="N1751" i="20"/>
  <c r="M1751" i="20"/>
  <c r="L1751" i="20"/>
  <c r="K1751" i="20"/>
  <c r="J1751" i="20"/>
  <c r="I1751" i="20"/>
  <c r="H1751" i="20"/>
  <c r="G1751" i="20"/>
  <c r="F1751" i="20"/>
  <c r="E1751" i="20"/>
  <c r="D1751" i="20"/>
  <c r="C1751" i="20"/>
  <c r="B1751" i="20"/>
  <c r="A1751" i="20"/>
  <c r="P1750" i="20"/>
  <c r="O1750" i="20"/>
  <c r="N1750" i="20"/>
  <c r="M1750" i="20"/>
  <c r="L1750" i="20"/>
  <c r="K1750" i="20"/>
  <c r="J1750" i="20"/>
  <c r="I1750" i="20"/>
  <c r="H1750" i="20"/>
  <c r="G1750" i="20"/>
  <c r="F1750" i="20"/>
  <c r="E1750" i="20"/>
  <c r="D1750" i="20"/>
  <c r="C1750" i="20"/>
  <c r="B1750" i="20"/>
  <c r="A1750" i="20"/>
  <c r="P1749" i="20"/>
  <c r="O1749" i="20"/>
  <c r="N1749" i="20"/>
  <c r="M1749" i="20"/>
  <c r="L1749" i="20"/>
  <c r="K1749" i="20"/>
  <c r="J1749" i="20"/>
  <c r="I1749" i="20"/>
  <c r="H1749" i="20"/>
  <c r="G1749" i="20"/>
  <c r="F1749" i="20"/>
  <c r="E1749" i="20"/>
  <c r="D1749" i="20"/>
  <c r="C1749" i="20"/>
  <c r="B1749" i="20"/>
  <c r="A1749" i="20"/>
  <c r="P1748" i="20"/>
  <c r="O1748" i="20"/>
  <c r="N1748" i="20"/>
  <c r="M1748" i="20"/>
  <c r="L1748" i="20"/>
  <c r="K1748" i="20"/>
  <c r="J1748" i="20"/>
  <c r="I1748" i="20"/>
  <c r="H1748" i="20"/>
  <c r="G1748" i="20"/>
  <c r="F1748" i="20"/>
  <c r="E1748" i="20"/>
  <c r="D1748" i="20"/>
  <c r="C1748" i="20"/>
  <c r="B1748" i="20"/>
  <c r="A1748" i="20"/>
  <c r="P1747" i="20"/>
  <c r="O1747" i="20"/>
  <c r="N1747" i="20"/>
  <c r="M1747" i="20"/>
  <c r="L1747" i="20"/>
  <c r="K1747" i="20"/>
  <c r="J1747" i="20"/>
  <c r="I1747" i="20"/>
  <c r="H1747" i="20"/>
  <c r="G1747" i="20"/>
  <c r="F1747" i="20"/>
  <c r="E1747" i="20"/>
  <c r="D1747" i="20"/>
  <c r="C1747" i="20"/>
  <c r="B1747" i="20"/>
  <c r="A1747" i="20"/>
  <c r="P1746" i="20"/>
  <c r="O1746" i="20"/>
  <c r="N1746" i="20"/>
  <c r="M1746" i="20"/>
  <c r="L1746" i="20"/>
  <c r="K1746" i="20"/>
  <c r="J1746" i="20"/>
  <c r="I1746" i="20"/>
  <c r="H1746" i="20"/>
  <c r="G1746" i="20"/>
  <c r="F1746" i="20"/>
  <c r="E1746" i="20"/>
  <c r="D1746" i="20"/>
  <c r="C1746" i="20"/>
  <c r="B1746" i="20"/>
  <c r="A1746" i="20"/>
  <c r="P1745" i="20"/>
  <c r="O1745" i="20"/>
  <c r="N1745" i="20"/>
  <c r="M1745" i="20"/>
  <c r="L1745" i="20"/>
  <c r="K1745" i="20"/>
  <c r="J1745" i="20"/>
  <c r="I1745" i="20"/>
  <c r="H1745" i="20"/>
  <c r="G1745" i="20"/>
  <c r="F1745" i="20"/>
  <c r="E1745" i="20"/>
  <c r="D1745" i="20"/>
  <c r="C1745" i="20"/>
  <c r="B1745" i="20"/>
  <c r="A1745" i="20"/>
  <c r="P1744" i="20"/>
  <c r="O1744" i="20"/>
  <c r="N1744" i="20"/>
  <c r="M1744" i="20"/>
  <c r="L1744" i="20"/>
  <c r="K1744" i="20"/>
  <c r="J1744" i="20"/>
  <c r="I1744" i="20"/>
  <c r="H1744" i="20"/>
  <c r="G1744" i="20"/>
  <c r="F1744" i="20"/>
  <c r="E1744" i="20"/>
  <c r="D1744" i="20"/>
  <c r="C1744" i="20"/>
  <c r="B1744" i="20"/>
  <c r="A1744" i="20"/>
  <c r="P1743" i="20"/>
  <c r="O1743" i="20"/>
  <c r="N1743" i="20"/>
  <c r="M1743" i="20"/>
  <c r="L1743" i="20"/>
  <c r="K1743" i="20"/>
  <c r="J1743" i="20"/>
  <c r="I1743" i="20"/>
  <c r="H1743" i="20"/>
  <c r="G1743" i="20"/>
  <c r="F1743" i="20"/>
  <c r="E1743" i="20"/>
  <c r="D1743" i="20"/>
  <c r="C1743" i="20"/>
  <c r="B1743" i="20"/>
  <c r="A1743" i="20"/>
  <c r="P1742" i="20"/>
  <c r="O1742" i="20"/>
  <c r="N1742" i="20"/>
  <c r="M1742" i="20"/>
  <c r="L1742" i="20"/>
  <c r="K1742" i="20"/>
  <c r="J1742" i="20"/>
  <c r="I1742" i="20"/>
  <c r="H1742" i="20"/>
  <c r="G1742" i="20"/>
  <c r="F1742" i="20"/>
  <c r="E1742" i="20"/>
  <c r="D1742" i="20"/>
  <c r="C1742" i="20"/>
  <c r="B1742" i="20"/>
  <c r="A1742" i="20"/>
  <c r="P1741" i="20"/>
  <c r="O1741" i="20"/>
  <c r="N1741" i="20"/>
  <c r="M1741" i="20"/>
  <c r="L1741" i="20"/>
  <c r="K1741" i="20"/>
  <c r="J1741" i="20"/>
  <c r="I1741" i="20"/>
  <c r="H1741" i="20"/>
  <c r="G1741" i="20"/>
  <c r="F1741" i="20"/>
  <c r="E1741" i="20"/>
  <c r="D1741" i="20"/>
  <c r="C1741" i="20"/>
  <c r="B1741" i="20"/>
  <c r="A1741" i="20"/>
  <c r="P1740" i="20"/>
  <c r="O1740" i="20"/>
  <c r="N1740" i="20"/>
  <c r="M1740" i="20"/>
  <c r="L1740" i="20"/>
  <c r="K1740" i="20"/>
  <c r="J1740" i="20"/>
  <c r="I1740" i="20"/>
  <c r="H1740" i="20"/>
  <c r="G1740" i="20"/>
  <c r="F1740" i="20"/>
  <c r="E1740" i="20"/>
  <c r="D1740" i="20"/>
  <c r="C1740" i="20"/>
  <c r="B1740" i="20"/>
  <c r="A1740" i="20"/>
  <c r="P1739" i="20"/>
  <c r="O1739" i="20"/>
  <c r="N1739" i="20"/>
  <c r="M1739" i="20"/>
  <c r="L1739" i="20"/>
  <c r="K1739" i="20"/>
  <c r="J1739" i="20"/>
  <c r="I1739" i="20"/>
  <c r="H1739" i="20"/>
  <c r="G1739" i="20"/>
  <c r="F1739" i="20"/>
  <c r="E1739" i="20"/>
  <c r="D1739" i="20"/>
  <c r="C1739" i="20"/>
  <c r="B1739" i="20"/>
  <c r="A1739" i="20"/>
  <c r="P1738" i="20"/>
  <c r="O1738" i="20"/>
  <c r="N1738" i="20"/>
  <c r="M1738" i="20"/>
  <c r="L1738" i="20"/>
  <c r="K1738" i="20"/>
  <c r="J1738" i="20"/>
  <c r="I1738" i="20"/>
  <c r="H1738" i="20"/>
  <c r="G1738" i="20"/>
  <c r="F1738" i="20"/>
  <c r="E1738" i="20"/>
  <c r="D1738" i="20"/>
  <c r="C1738" i="20"/>
  <c r="B1738" i="20"/>
  <c r="A1738" i="20"/>
  <c r="P1737" i="20"/>
  <c r="O1737" i="20"/>
  <c r="N1737" i="20"/>
  <c r="M1737" i="20"/>
  <c r="L1737" i="20"/>
  <c r="K1737" i="20"/>
  <c r="J1737" i="20"/>
  <c r="I1737" i="20"/>
  <c r="H1737" i="20"/>
  <c r="G1737" i="20"/>
  <c r="F1737" i="20"/>
  <c r="E1737" i="20"/>
  <c r="D1737" i="20"/>
  <c r="C1737" i="20"/>
  <c r="B1737" i="20"/>
  <c r="A1737" i="20"/>
  <c r="P1736" i="20"/>
  <c r="O1736" i="20"/>
  <c r="N1736" i="20"/>
  <c r="M1736" i="20"/>
  <c r="L1736" i="20"/>
  <c r="K1736" i="20"/>
  <c r="J1736" i="20"/>
  <c r="I1736" i="20"/>
  <c r="H1736" i="20"/>
  <c r="G1736" i="20"/>
  <c r="F1736" i="20"/>
  <c r="E1736" i="20"/>
  <c r="D1736" i="20"/>
  <c r="C1736" i="20"/>
  <c r="B1736" i="20"/>
  <c r="A1736" i="20"/>
  <c r="P1735" i="20"/>
  <c r="O1735" i="20"/>
  <c r="N1735" i="20"/>
  <c r="M1735" i="20"/>
  <c r="L1735" i="20"/>
  <c r="K1735" i="20"/>
  <c r="J1735" i="20"/>
  <c r="I1735" i="20"/>
  <c r="H1735" i="20"/>
  <c r="G1735" i="20"/>
  <c r="F1735" i="20"/>
  <c r="E1735" i="20"/>
  <c r="D1735" i="20"/>
  <c r="C1735" i="20"/>
  <c r="B1735" i="20"/>
  <c r="A1735" i="20"/>
  <c r="P1734" i="20"/>
  <c r="O1734" i="20"/>
  <c r="N1734" i="20"/>
  <c r="M1734" i="20"/>
  <c r="L1734" i="20"/>
  <c r="K1734" i="20"/>
  <c r="J1734" i="20"/>
  <c r="I1734" i="20"/>
  <c r="H1734" i="20"/>
  <c r="G1734" i="20"/>
  <c r="F1734" i="20"/>
  <c r="E1734" i="20"/>
  <c r="D1734" i="20"/>
  <c r="C1734" i="20"/>
  <c r="B1734" i="20"/>
  <c r="A1734" i="20"/>
  <c r="P1733" i="20"/>
  <c r="O1733" i="20"/>
  <c r="N1733" i="20"/>
  <c r="M1733" i="20"/>
  <c r="L1733" i="20"/>
  <c r="K1733" i="20"/>
  <c r="J1733" i="20"/>
  <c r="I1733" i="20"/>
  <c r="H1733" i="20"/>
  <c r="G1733" i="20"/>
  <c r="F1733" i="20"/>
  <c r="E1733" i="20"/>
  <c r="D1733" i="20"/>
  <c r="C1733" i="20"/>
  <c r="B1733" i="20"/>
  <c r="A1733" i="20"/>
  <c r="P1732" i="20"/>
  <c r="O1732" i="20"/>
  <c r="N1732" i="20"/>
  <c r="M1732" i="20"/>
  <c r="L1732" i="20"/>
  <c r="K1732" i="20"/>
  <c r="J1732" i="20"/>
  <c r="I1732" i="20"/>
  <c r="H1732" i="20"/>
  <c r="G1732" i="20"/>
  <c r="F1732" i="20"/>
  <c r="E1732" i="20"/>
  <c r="D1732" i="20"/>
  <c r="C1732" i="20"/>
  <c r="B1732" i="20"/>
  <c r="A1732" i="20"/>
  <c r="P1731" i="20"/>
  <c r="O1731" i="20"/>
  <c r="N1731" i="20"/>
  <c r="M1731" i="20"/>
  <c r="L1731" i="20"/>
  <c r="K1731" i="20"/>
  <c r="J1731" i="20"/>
  <c r="I1731" i="20"/>
  <c r="H1731" i="20"/>
  <c r="G1731" i="20"/>
  <c r="F1731" i="20"/>
  <c r="E1731" i="20"/>
  <c r="D1731" i="20"/>
  <c r="C1731" i="20"/>
  <c r="B1731" i="20"/>
  <c r="A1731" i="20"/>
  <c r="P1730" i="20"/>
  <c r="O1730" i="20"/>
  <c r="N1730" i="20"/>
  <c r="M1730" i="20"/>
  <c r="L1730" i="20"/>
  <c r="K1730" i="20"/>
  <c r="J1730" i="20"/>
  <c r="I1730" i="20"/>
  <c r="H1730" i="20"/>
  <c r="G1730" i="20"/>
  <c r="F1730" i="20"/>
  <c r="E1730" i="20"/>
  <c r="D1730" i="20"/>
  <c r="C1730" i="20"/>
  <c r="B1730" i="20"/>
  <c r="A1730" i="20"/>
  <c r="P1729" i="20"/>
  <c r="O1729" i="20"/>
  <c r="N1729" i="20"/>
  <c r="M1729" i="20"/>
  <c r="L1729" i="20"/>
  <c r="K1729" i="20"/>
  <c r="J1729" i="20"/>
  <c r="I1729" i="20"/>
  <c r="H1729" i="20"/>
  <c r="G1729" i="20"/>
  <c r="F1729" i="20"/>
  <c r="E1729" i="20"/>
  <c r="D1729" i="20"/>
  <c r="C1729" i="20"/>
  <c r="B1729" i="20"/>
  <c r="A1729" i="20"/>
  <c r="P1728" i="20"/>
  <c r="O1728" i="20"/>
  <c r="N1728" i="20"/>
  <c r="M1728" i="20"/>
  <c r="L1728" i="20"/>
  <c r="K1728" i="20"/>
  <c r="J1728" i="20"/>
  <c r="I1728" i="20"/>
  <c r="H1728" i="20"/>
  <c r="G1728" i="20"/>
  <c r="F1728" i="20"/>
  <c r="E1728" i="20"/>
  <c r="D1728" i="20"/>
  <c r="C1728" i="20"/>
  <c r="B1728" i="20"/>
  <c r="A1728" i="20"/>
  <c r="P1727" i="20"/>
  <c r="O1727" i="20"/>
  <c r="N1727" i="20"/>
  <c r="M1727" i="20"/>
  <c r="L1727" i="20"/>
  <c r="K1727" i="20"/>
  <c r="J1727" i="20"/>
  <c r="I1727" i="20"/>
  <c r="H1727" i="20"/>
  <c r="G1727" i="20"/>
  <c r="F1727" i="20"/>
  <c r="E1727" i="20"/>
  <c r="D1727" i="20"/>
  <c r="C1727" i="20"/>
  <c r="B1727" i="20"/>
  <c r="A1727" i="20"/>
  <c r="P1726" i="20"/>
  <c r="O1726" i="20"/>
  <c r="N1726" i="20"/>
  <c r="M1726" i="20"/>
  <c r="L1726" i="20"/>
  <c r="K1726" i="20"/>
  <c r="J1726" i="20"/>
  <c r="I1726" i="20"/>
  <c r="H1726" i="20"/>
  <c r="G1726" i="20"/>
  <c r="F1726" i="20"/>
  <c r="E1726" i="20"/>
  <c r="D1726" i="20"/>
  <c r="C1726" i="20"/>
  <c r="B1726" i="20"/>
  <c r="A1726" i="20"/>
  <c r="P1725" i="20"/>
  <c r="O1725" i="20"/>
  <c r="N1725" i="20"/>
  <c r="M1725" i="20"/>
  <c r="L1725" i="20"/>
  <c r="K1725" i="20"/>
  <c r="J1725" i="20"/>
  <c r="I1725" i="20"/>
  <c r="H1725" i="20"/>
  <c r="G1725" i="20"/>
  <c r="F1725" i="20"/>
  <c r="E1725" i="20"/>
  <c r="D1725" i="20"/>
  <c r="C1725" i="20"/>
  <c r="B1725" i="20"/>
  <c r="A1725" i="20"/>
  <c r="P1724" i="20"/>
  <c r="O1724" i="20"/>
  <c r="N1724" i="20"/>
  <c r="M1724" i="20"/>
  <c r="L1724" i="20"/>
  <c r="K1724" i="20"/>
  <c r="J1724" i="20"/>
  <c r="I1724" i="20"/>
  <c r="H1724" i="20"/>
  <c r="G1724" i="20"/>
  <c r="F1724" i="20"/>
  <c r="E1724" i="20"/>
  <c r="D1724" i="20"/>
  <c r="C1724" i="20"/>
  <c r="B1724" i="20"/>
  <c r="A1724" i="20"/>
  <c r="P1723" i="20"/>
  <c r="O1723" i="20"/>
  <c r="N1723" i="20"/>
  <c r="M1723" i="20"/>
  <c r="L1723" i="20"/>
  <c r="K1723" i="20"/>
  <c r="J1723" i="20"/>
  <c r="I1723" i="20"/>
  <c r="H1723" i="20"/>
  <c r="G1723" i="20"/>
  <c r="F1723" i="20"/>
  <c r="E1723" i="20"/>
  <c r="D1723" i="20"/>
  <c r="C1723" i="20"/>
  <c r="B1723" i="20"/>
  <c r="A1723" i="20"/>
  <c r="P1722" i="20"/>
  <c r="O1722" i="20"/>
  <c r="N1722" i="20"/>
  <c r="M1722" i="20"/>
  <c r="L1722" i="20"/>
  <c r="K1722" i="20"/>
  <c r="J1722" i="20"/>
  <c r="I1722" i="20"/>
  <c r="H1722" i="20"/>
  <c r="G1722" i="20"/>
  <c r="F1722" i="20"/>
  <c r="E1722" i="20"/>
  <c r="D1722" i="20"/>
  <c r="C1722" i="20"/>
  <c r="B1722" i="20"/>
  <c r="A1722" i="20"/>
  <c r="P1721" i="20"/>
  <c r="O1721" i="20"/>
  <c r="N1721" i="20"/>
  <c r="M1721" i="20"/>
  <c r="L1721" i="20"/>
  <c r="K1721" i="20"/>
  <c r="J1721" i="20"/>
  <c r="I1721" i="20"/>
  <c r="H1721" i="20"/>
  <c r="G1721" i="20"/>
  <c r="F1721" i="20"/>
  <c r="E1721" i="20"/>
  <c r="D1721" i="20"/>
  <c r="C1721" i="20"/>
  <c r="B1721" i="20"/>
  <c r="A1721" i="20"/>
  <c r="P1720" i="20"/>
  <c r="O1720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B1720" i="20"/>
  <c r="A1720" i="20"/>
  <c r="P1719" i="20"/>
  <c r="O1719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B1719" i="20"/>
  <c r="A1719" i="20"/>
  <c r="P1718" i="20"/>
  <c r="O1718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B1718" i="20"/>
  <c r="A1718" i="20"/>
  <c r="P1717" i="20"/>
  <c r="O1717" i="20"/>
  <c r="N1717" i="20"/>
  <c r="M1717" i="20"/>
  <c r="L1717" i="20"/>
  <c r="K1717" i="20"/>
  <c r="J1717" i="20"/>
  <c r="I1717" i="20"/>
  <c r="H1717" i="20"/>
  <c r="G1717" i="20"/>
  <c r="F1717" i="20"/>
  <c r="E1717" i="20"/>
  <c r="D1717" i="20"/>
  <c r="C1717" i="20"/>
  <c r="B1717" i="20"/>
  <c r="A1717" i="20"/>
  <c r="P1716" i="20"/>
  <c r="O1716" i="20"/>
  <c r="N1716" i="20"/>
  <c r="M1716" i="20"/>
  <c r="L1716" i="20"/>
  <c r="K1716" i="20"/>
  <c r="J1716" i="20"/>
  <c r="I1716" i="20"/>
  <c r="H1716" i="20"/>
  <c r="G1716" i="20"/>
  <c r="F1716" i="20"/>
  <c r="E1716" i="20"/>
  <c r="D1716" i="20"/>
  <c r="C1716" i="20"/>
  <c r="B1716" i="20"/>
  <c r="A1716" i="20"/>
  <c r="P1715" i="20"/>
  <c r="O1715" i="20"/>
  <c r="N1715" i="20"/>
  <c r="M1715" i="20"/>
  <c r="L1715" i="20"/>
  <c r="K1715" i="20"/>
  <c r="J1715" i="20"/>
  <c r="I1715" i="20"/>
  <c r="H1715" i="20"/>
  <c r="G1715" i="20"/>
  <c r="F1715" i="20"/>
  <c r="E1715" i="20"/>
  <c r="D1715" i="20"/>
  <c r="C1715" i="20"/>
  <c r="B1715" i="20"/>
  <c r="A1715" i="20"/>
  <c r="P1714" i="20"/>
  <c r="O1714" i="20"/>
  <c r="N1714" i="20"/>
  <c r="M1714" i="20"/>
  <c r="L1714" i="20"/>
  <c r="K1714" i="20"/>
  <c r="J1714" i="20"/>
  <c r="I1714" i="20"/>
  <c r="H1714" i="20"/>
  <c r="G1714" i="20"/>
  <c r="F1714" i="20"/>
  <c r="E1714" i="20"/>
  <c r="D1714" i="20"/>
  <c r="C1714" i="20"/>
  <c r="B1714" i="20"/>
  <c r="A1714" i="20"/>
  <c r="P1713" i="20"/>
  <c r="O1713" i="20"/>
  <c r="N1713" i="20"/>
  <c r="M1713" i="20"/>
  <c r="L1713" i="20"/>
  <c r="K1713" i="20"/>
  <c r="J1713" i="20"/>
  <c r="I1713" i="20"/>
  <c r="H1713" i="20"/>
  <c r="G1713" i="20"/>
  <c r="F1713" i="20"/>
  <c r="E1713" i="20"/>
  <c r="D1713" i="20"/>
  <c r="C1713" i="20"/>
  <c r="B1713" i="20"/>
  <c r="A1713" i="20"/>
  <c r="P1712" i="20"/>
  <c r="O1712" i="20"/>
  <c r="N1712" i="20"/>
  <c r="M1712" i="20"/>
  <c r="L1712" i="20"/>
  <c r="K1712" i="20"/>
  <c r="J1712" i="20"/>
  <c r="I1712" i="20"/>
  <c r="H1712" i="20"/>
  <c r="G1712" i="20"/>
  <c r="F1712" i="20"/>
  <c r="E1712" i="20"/>
  <c r="D1712" i="20"/>
  <c r="C1712" i="20"/>
  <c r="B1712" i="20"/>
  <c r="A1712" i="20"/>
  <c r="P1711" i="20"/>
  <c r="O1711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B1711" i="20"/>
  <c r="A1711" i="20"/>
  <c r="P1710" i="20"/>
  <c r="O1710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B1710" i="20"/>
  <c r="A1710" i="20"/>
  <c r="P1709" i="20"/>
  <c r="O1709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B1709" i="20"/>
  <c r="A1709" i="20"/>
  <c r="P1708" i="20"/>
  <c r="O1708" i="20"/>
  <c r="N1708" i="20"/>
  <c r="M1708" i="20"/>
  <c r="L1708" i="20"/>
  <c r="K1708" i="20"/>
  <c r="J1708" i="20"/>
  <c r="I1708" i="20"/>
  <c r="H1708" i="20"/>
  <c r="G1708" i="20"/>
  <c r="F1708" i="20"/>
  <c r="E1708" i="20"/>
  <c r="D1708" i="20"/>
  <c r="C1708" i="20"/>
  <c r="B1708" i="20"/>
  <c r="A1708" i="20"/>
  <c r="P1707" i="20"/>
  <c r="O1707" i="20"/>
  <c r="N1707" i="20"/>
  <c r="M1707" i="20"/>
  <c r="L1707" i="20"/>
  <c r="K1707" i="20"/>
  <c r="J1707" i="20"/>
  <c r="I1707" i="20"/>
  <c r="H1707" i="20"/>
  <c r="G1707" i="20"/>
  <c r="F1707" i="20"/>
  <c r="E1707" i="20"/>
  <c r="D1707" i="20"/>
  <c r="C1707" i="20"/>
  <c r="B1707" i="20"/>
  <c r="A1707" i="20"/>
  <c r="P1706" i="20"/>
  <c r="O1706" i="20"/>
  <c r="N1706" i="20"/>
  <c r="M1706" i="20"/>
  <c r="L1706" i="20"/>
  <c r="K1706" i="20"/>
  <c r="J1706" i="20"/>
  <c r="I1706" i="20"/>
  <c r="H1706" i="20"/>
  <c r="G1706" i="20"/>
  <c r="F1706" i="20"/>
  <c r="E1706" i="20"/>
  <c r="D1706" i="20"/>
  <c r="C1706" i="20"/>
  <c r="B1706" i="20"/>
  <c r="A1706" i="20"/>
  <c r="P1705" i="20"/>
  <c r="O1705" i="20"/>
  <c r="N1705" i="20"/>
  <c r="M1705" i="20"/>
  <c r="L1705" i="20"/>
  <c r="K1705" i="20"/>
  <c r="J1705" i="20"/>
  <c r="I1705" i="20"/>
  <c r="H1705" i="20"/>
  <c r="G1705" i="20"/>
  <c r="F1705" i="20"/>
  <c r="E1705" i="20"/>
  <c r="D1705" i="20"/>
  <c r="C1705" i="20"/>
  <c r="B1705" i="20"/>
  <c r="A1705" i="20"/>
  <c r="P1704" i="20"/>
  <c r="O1704" i="20"/>
  <c r="N1704" i="20"/>
  <c r="M1704" i="20"/>
  <c r="L1704" i="20"/>
  <c r="K1704" i="20"/>
  <c r="J1704" i="20"/>
  <c r="I1704" i="20"/>
  <c r="H1704" i="20"/>
  <c r="G1704" i="20"/>
  <c r="F1704" i="20"/>
  <c r="E1704" i="20"/>
  <c r="D1704" i="20"/>
  <c r="C1704" i="20"/>
  <c r="B1704" i="20"/>
  <c r="A1704" i="20"/>
  <c r="P1703" i="20"/>
  <c r="O1703" i="20"/>
  <c r="N1703" i="20"/>
  <c r="M1703" i="20"/>
  <c r="L1703" i="20"/>
  <c r="K1703" i="20"/>
  <c r="J1703" i="20"/>
  <c r="I1703" i="20"/>
  <c r="H1703" i="20"/>
  <c r="G1703" i="20"/>
  <c r="F1703" i="20"/>
  <c r="E1703" i="20"/>
  <c r="D1703" i="20"/>
  <c r="C1703" i="20"/>
  <c r="B1703" i="20"/>
  <c r="A1703" i="20"/>
  <c r="P1702" i="20"/>
  <c r="O1702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B1702" i="20"/>
  <c r="A1702" i="20"/>
  <c r="P1701" i="20"/>
  <c r="O1701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B1701" i="20"/>
  <c r="A1701" i="20"/>
  <c r="P1700" i="20"/>
  <c r="O1700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B1700" i="20"/>
  <c r="A1700" i="20"/>
  <c r="P1699" i="20"/>
  <c r="O1699" i="20"/>
  <c r="N1699" i="20"/>
  <c r="M1699" i="20"/>
  <c r="L1699" i="20"/>
  <c r="K1699" i="20"/>
  <c r="J1699" i="20"/>
  <c r="I1699" i="20"/>
  <c r="H1699" i="20"/>
  <c r="G1699" i="20"/>
  <c r="F1699" i="20"/>
  <c r="E1699" i="20"/>
  <c r="D1699" i="20"/>
  <c r="C1699" i="20"/>
  <c r="B1699" i="20"/>
  <c r="A1699" i="20"/>
  <c r="P1698" i="20"/>
  <c r="O1698" i="20"/>
  <c r="N1698" i="20"/>
  <c r="M1698" i="20"/>
  <c r="L1698" i="20"/>
  <c r="K1698" i="20"/>
  <c r="J1698" i="20"/>
  <c r="I1698" i="20"/>
  <c r="H1698" i="20"/>
  <c r="G1698" i="20"/>
  <c r="F1698" i="20"/>
  <c r="E1698" i="20"/>
  <c r="D1698" i="20"/>
  <c r="C1698" i="20"/>
  <c r="B1698" i="20"/>
  <c r="A1698" i="20"/>
  <c r="P1697" i="20"/>
  <c r="O1697" i="20"/>
  <c r="N1697" i="20"/>
  <c r="M1697" i="20"/>
  <c r="L1697" i="20"/>
  <c r="K1697" i="20"/>
  <c r="J1697" i="20"/>
  <c r="I1697" i="20"/>
  <c r="H1697" i="20"/>
  <c r="G1697" i="20"/>
  <c r="F1697" i="20"/>
  <c r="E1697" i="20"/>
  <c r="D1697" i="20"/>
  <c r="C1697" i="20"/>
  <c r="B1697" i="20"/>
  <c r="A1697" i="20"/>
  <c r="P1696" i="20"/>
  <c r="O1696" i="20"/>
  <c r="N1696" i="20"/>
  <c r="M1696" i="20"/>
  <c r="L1696" i="20"/>
  <c r="K1696" i="20"/>
  <c r="J1696" i="20"/>
  <c r="I1696" i="20"/>
  <c r="H1696" i="20"/>
  <c r="G1696" i="20"/>
  <c r="F1696" i="20"/>
  <c r="E1696" i="20"/>
  <c r="D1696" i="20"/>
  <c r="C1696" i="20"/>
  <c r="B1696" i="20"/>
  <c r="A1696" i="20"/>
  <c r="P1695" i="20"/>
  <c r="O1695" i="20"/>
  <c r="N1695" i="20"/>
  <c r="M1695" i="20"/>
  <c r="L1695" i="20"/>
  <c r="K1695" i="20"/>
  <c r="J1695" i="20"/>
  <c r="I1695" i="20"/>
  <c r="H1695" i="20"/>
  <c r="G1695" i="20"/>
  <c r="F1695" i="20"/>
  <c r="E1695" i="20"/>
  <c r="D1695" i="20"/>
  <c r="C1695" i="20"/>
  <c r="B1695" i="20"/>
  <c r="A1695" i="20"/>
  <c r="P1694" i="20"/>
  <c r="O1694" i="20"/>
  <c r="N1694" i="20"/>
  <c r="M1694" i="20"/>
  <c r="L1694" i="20"/>
  <c r="K1694" i="20"/>
  <c r="J1694" i="20"/>
  <c r="I1694" i="20"/>
  <c r="H1694" i="20"/>
  <c r="G1694" i="20"/>
  <c r="F1694" i="20"/>
  <c r="E1694" i="20"/>
  <c r="D1694" i="20"/>
  <c r="C1694" i="20"/>
  <c r="B1694" i="20"/>
  <c r="A1694" i="20"/>
  <c r="P1693" i="20"/>
  <c r="O1693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B1693" i="20"/>
  <c r="A1693" i="20"/>
  <c r="P1692" i="20"/>
  <c r="O1692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B1692" i="20"/>
  <c r="A1692" i="20"/>
  <c r="P1691" i="20"/>
  <c r="O1691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B1691" i="20"/>
  <c r="A1691" i="20"/>
  <c r="P1690" i="20"/>
  <c r="O1690" i="20"/>
  <c r="N1690" i="20"/>
  <c r="M1690" i="20"/>
  <c r="L1690" i="20"/>
  <c r="K1690" i="20"/>
  <c r="J1690" i="20"/>
  <c r="I1690" i="20"/>
  <c r="H1690" i="20"/>
  <c r="G1690" i="20"/>
  <c r="F1690" i="20"/>
  <c r="E1690" i="20"/>
  <c r="D1690" i="20"/>
  <c r="C1690" i="20"/>
  <c r="B1690" i="20"/>
  <c r="A1690" i="20"/>
  <c r="P1689" i="20"/>
  <c r="O1689" i="20"/>
  <c r="N1689" i="20"/>
  <c r="M1689" i="20"/>
  <c r="L1689" i="20"/>
  <c r="K1689" i="20"/>
  <c r="J1689" i="20"/>
  <c r="I1689" i="20"/>
  <c r="H1689" i="20"/>
  <c r="G1689" i="20"/>
  <c r="F1689" i="20"/>
  <c r="E1689" i="20"/>
  <c r="D1689" i="20"/>
  <c r="C1689" i="20"/>
  <c r="B1689" i="20"/>
  <c r="A1689" i="20"/>
  <c r="P1688" i="20"/>
  <c r="O1688" i="20"/>
  <c r="N1688" i="20"/>
  <c r="M1688" i="20"/>
  <c r="L1688" i="20"/>
  <c r="K1688" i="20"/>
  <c r="J1688" i="20"/>
  <c r="I1688" i="20"/>
  <c r="H1688" i="20"/>
  <c r="G1688" i="20"/>
  <c r="F1688" i="20"/>
  <c r="E1688" i="20"/>
  <c r="D1688" i="20"/>
  <c r="C1688" i="20"/>
  <c r="B1688" i="20"/>
  <c r="A1688" i="20"/>
  <c r="P1687" i="20"/>
  <c r="O1687" i="20"/>
  <c r="N1687" i="20"/>
  <c r="M1687" i="20"/>
  <c r="L1687" i="20"/>
  <c r="K1687" i="20"/>
  <c r="J1687" i="20"/>
  <c r="I1687" i="20"/>
  <c r="H1687" i="20"/>
  <c r="G1687" i="20"/>
  <c r="F1687" i="20"/>
  <c r="E1687" i="20"/>
  <c r="D1687" i="20"/>
  <c r="C1687" i="20"/>
  <c r="B1687" i="20"/>
  <c r="A1687" i="20"/>
  <c r="P1686" i="20"/>
  <c r="O1686" i="20"/>
  <c r="N1686" i="20"/>
  <c r="M1686" i="20"/>
  <c r="L1686" i="20"/>
  <c r="K1686" i="20"/>
  <c r="J1686" i="20"/>
  <c r="I1686" i="20"/>
  <c r="H1686" i="20"/>
  <c r="G1686" i="20"/>
  <c r="F1686" i="20"/>
  <c r="E1686" i="20"/>
  <c r="D1686" i="20"/>
  <c r="C1686" i="20"/>
  <c r="B1686" i="20"/>
  <c r="A1686" i="20"/>
  <c r="P1685" i="20"/>
  <c r="O1685" i="20"/>
  <c r="N1685" i="20"/>
  <c r="M1685" i="20"/>
  <c r="L1685" i="20"/>
  <c r="K1685" i="20"/>
  <c r="J1685" i="20"/>
  <c r="I1685" i="20"/>
  <c r="H1685" i="20"/>
  <c r="G1685" i="20"/>
  <c r="F1685" i="20"/>
  <c r="E1685" i="20"/>
  <c r="D1685" i="20"/>
  <c r="C1685" i="20"/>
  <c r="B1685" i="20"/>
  <c r="A1685" i="20"/>
  <c r="P1684" i="20"/>
  <c r="O1684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B1684" i="20"/>
  <c r="A1684" i="20"/>
  <c r="P1683" i="20"/>
  <c r="O1683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B1683" i="20"/>
  <c r="A1683" i="20"/>
  <c r="P1682" i="20"/>
  <c r="O1682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B1682" i="20"/>
  <c r="A1682" i="20"/>
  <c r="P1681" i="20"/>
  <c r="O1681" i="20"/>
  <c r="N1681" i="20"/>
  <c r="M1681" i="20"/>
  <c r="L1681" i="20"/>
  <c r="K1681" i="20"/>
  <c r="J1681" i="20"/>
  <c r="I1681" i="20"/>
  <c r="H1681" i="20"/>
  <c r="G1681" i="20"/>
  <c r="F1681" i="20"/>
  <c r="E1681" i="20"/>
  <c r="D1681" i="20"/>
  <c r="C1681" i="20"/>
  <c r="B1681" i="20"/>
  <c r="A1681" i="20"/>
  <c r="P1680" i="20"/>
  <c r="O1680" i="20"/>
  <c r="N1680" i="20"/>
  <c r="M1680" i="20"/>
  <c r="L1680" i="20"/>
  <c r="K1680" i="20"/>
  <c r="J1680" i="20"/>
  <c r="I1680" i="20"/>
  <c r="H1680" i="20"/>
  <c r="G1680" i="20"/>
  <c r="F1680" i="20"/>
  <c r="E1680" i="20"/>
  <c r="D1680" i="20"/>
  <c r="C1680" i="20"/>
  <c r="B1680" i="20"/>
  <c r="A1680" i="20"/>
  <c r="P1679" i="20"/>
  <c r="O1679" i="20"/>
  <c r="N1679" i="20"/>
  <c r="M1679" i="20"/>
  <c r="L1679" i="20"/>
  <c r="K1679" i="20"/>
  <c r="J1679" i="20"/>
  <c r="I1679" i="20"/>
  <c r="H1679" i="20"/>
  <c r="G1679" i="20"/>
  <c r="F1679" i="20"/>
  <c r="E1679" i="20"/>
  <c r="D1679" i="20"/>
  <c r="C1679" i="20"/>
  <c r="B1679" i="20"/>
  <c r="A1679" i="20"/>
  <c r="P1678" i="20"/>
  <c r="O1678" i="20"/>
  <c r="N1678" i="20"/>
  <c r="M1678" i="20"/>
  <c r="L1678" i="20"/>
  <c r="K1678" i="20"/>
  <c r="J1678" i="20"/>
  <c r="I1678" i="20"/>
  <c r="H1678" i="20"/>
  <c r="G1678" i="20"/>
  <c r="F1678" i="20"/>
  <c r="E1678" i="20"/>
  <c r="D1678" i="20"/>
  <c r="C1678" i="20"/>
  <c r="B1678" i="20"/>
  <c r="A1678" i="20"/>
  <c r="P1677" i="20"/>
  <c r="O1677" i="20"/>
  <c r="N1677" i="20"/>
  <c r="M1677" i="20"/>
  <c r="L1677" i="20"/>
  <c r="K1677" i="20"/>
  <c r="J1677" i="20"/>
  <c r="I1677" i="20"/>
  <c r="H1677" i="20"/>
  <c r="G1677" i="20"/>
  <c r="F1677" i="20"/>
  <c r="E1677" i="20"/>
  <c r="D1677" i="20"/>
  <c r="C1677" i="20"/>
  <c r="B1677" i="20"/>
  <c r="A1677" i="20"/>
  <c r="P1676" i="20"/>
  <c r="O1676" i="20"/>
  <c r="N1676" i="20"/>
  <c r="M1676" i="20"/>
  <c r="L1676" i="20"/>
  <c r="K1676" i="20"/>
  <c r="J1676" i="20"/>
  <c r="I1676" i="20"/>
  <c r="H1676" i="20"/>
  <c r="G1676" i="20"/>
  <c r="F1676" i="20"/>
  <c r="E1676" i="20"/>
  <c r="D1676" i="20"/>
  <c r="C1676" i="20"/>
  <c r="B1676" i="20"/>
  <c r="A1676" i="20"/>
  <c r="P1675" i="20"/>
  <c r="O1675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B1675" i="20"/>
  <c r="A1675" i="20"/>
  <c r="P1674" i="20"/>
  <c r="O1674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B1674" i="20"/>
  <c r="A1674" i="20"/>
  <c r="P1673" i="20"/>
  <c r="O1673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B1673" i="20"/>
  <c r="A1673" i="20"/>
  <c r="P1672" i="20"/>
  <c r="O1672" i="20"/>
  <c r="N1672" i="20"/>
  <c r="M1672" i="20"/>
  <c r="L1672" i="20"/>
  <c r="K1672" i="20"/>
  <c r="J1672" i="20"/>
  <c r="I1672" i="20"/>
  <c r="H1672" i="20"/>
  <c r="G1672" i="20"/>
  <c r="F1672" i="20"/>
  <c r="E1672" i="20"/>
  <c r="D1672" i="20"/>
  <c r="C1672" i="20"/>
  <c r="B1672" i="20"/>
  <c r="A1672" i="20"/>
  <c r="P1671" i="20"/>
  <c r="O1671" i="20"/>
  <c r="N1671" i="20"/>
  <c r="M1671" i="20"/>
  <c r="L1671" i="20"/>
  <c r="K1671" i="20"/>
  <c r="J1671" i="20"/>
  <c r="I1671" i="20"/>
  <c r="H1671" i="20"/>
  <c r="G1671" i="20"/>
  <c r="F1671" i="20"/>
  <c r="E1671" i="20"/>
  <c r="D1671" i="20"/>
  <c r="C1671" i="20"/>
  <c r="B1671" i="20"/>
  <c r="A1671" i="20"/>
  <c r="P1670" i="20"/>
  <c r="O1670" i="20"/>
  <c r="N1670" i="20"/>
  <c r="M1670" i="20"/>
  <c r="L1670" i="20"/>
  <c r="K1670" i="20"/>
  <c r="J1670" i="20"/>
  <c r="I1670" i="20"/>
  <c r="H1670" i="20"/>
  <c r="G1670" i="20"/>
  <c r="F1670" i="20"/>
  <c r="E1670" i="20"/>
  <c r="D1670" i="20"/>
  <c r="C1670" i="20"/>
  <c r="B1670" i="20"/>
  <c r="A1670" i="20"/>
  <c r="P1669" i="20"/>
  <c r="O1669" i="20"/>
  <c r="N1669" i="20"/>
  <c r="M1669" i="20"/>
  <c r="L1669" i="20"/>
  <c r="K1669" i="20"/>
  <c r="J1669" i="20"/>
  <c r="I1669" i="20"/>
  <c r="H1669" i="20"/>
  <c r="G1669" i="20"/>
  <c r="F1669" i="20"/>
  <c r="E1669" i="20"/>
  <c r="D1669" i="20"/>
  <c r="C1669" i="20"/>
  <c r="B1669" i="20"/>
  <c r="A1669" i="20"/>
  <c r="P1668" i="20"/>
  <c r="O1668" i="20"/>
  <c r="N1668" i="20"/>
  <c r="M1668" i="20"/>
  <c r="L1668" i="20"/>
  <c r="K1668" i="20"/>
  <c r="J1668" i="20"/>
  <c r="I1668" i="20"/>
  <c r="H1668" i="20"/>
  <c r="G1668" i="20"/>
  <c r="F1668" i="20"/>
  <c r="E1668" i="20"/>
  <c r="D1668" i="20"/>
  <c r="C1668" i="20"/>
  <c r="B1668" i="20"/>
  <c r="A1668" i="20"/>
  <c r="P1667" i="20"/>
  <c r="O1667" i="20"/>
  <c r="N1667" i="20"/>
  <c r="M1667" i="20"/>
  <c r="L1667" i="20"/>
  <c r="K1667" i="20"/>
  <c r="J1667" i="20"/>
  <c r="I1667" i="20"/>
  <c r="H1667" i="20"/>
  <c r="G1667" i="20"/>
  <c r="F1667" i="20"/>
  <c r="E1667" i="20"/>
  <c r="D1667" i="20"/>
  <c r="C1667" i="20"/>
  <c r="B1667" i="20"/>
  <c r="A1667" i="20"/>
  <c r="P1666" i="20"/>
  <c r="O1666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B1666" i="20"/>
  <c r="A1666" i="20"/>
  <c r="P1665" i="20"/>
  <c r="O1665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B1665" i="20"/>
  <c r="A1665" i="20"/>
  <c r="P1664" i="20"/>
  <c r="O1664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4" i="20"/>
  <c r="A1664" i="20"/>
  <c r="P1663" i="20"/>
  <c r="O1663" i="20"/>
  <c r="N1663" i="20"/>
  <c r="M1663" i="20"/>
  <c r="L1663" i="20"/>
  <c r="K1663" i="20"/>
  <c r="J1663" i="20"/>
  <c r="I1663" i="20"/>
  <c r="H1663" i="20"/>
  <c r="G1663" i="20"/>
  <c r="F1663" i="20"/>
  <c r="E1663" i="20"/>
  <c r="D1663" i="20"/>
  <c r="C1663" i="20"/>
  <c r="B1663" i="20"/>
  <c r="A1663" i="20"/>
  <c r="P1662" i="20"/>
  <c r="O1662" i="20"/>
  <c r="N1662" i="20"/>
  <c r="M1662" i="20"/>
  <c r="L1662" i="20"/>
  <c r="K1662" i="20"/>
  <c r="J1662" i="20"/>
  <c r="I1662" i="20"/>
  <c r="H1662" i="20"/>
  <c r="G1662" i="20"/>
  <c r="F1662" i="20"/>
  <c r="E1662" i="20"/>
  <c r="D1662" i="20"/>
  <c r="C1662" i="20"/>
  <c r="B1662" i="20"/>
  <c r="A1662" i="20"/>
  <c r="P1661" i="20"/>
  <c r="O1661" i="20"/>
  <c r="N1661" i="20"/>
  <c r="M1661" i="20"/>
  <c r="L1661" i="20"/>
  <c r="K1661" i="20"/>
  <c r="J1661" i="20"/>
  <c r="I1661" i="20"/>
  <c r="H1661" i="20"/>
  <c r="G1661" i="20"/>
  <c r="F1661" i="20"/>
  <c r="E1661" i="20"/>
  <c r="D1661" i="20"/>
  <c r="C1661" i="20"/>
  <c r="B1661" i="20"/>
  <c r="A1661" i="20"/>
  <c r="P1660" i="20"/>
  <c r="O1660" i="20"/>
  <c r="N1660" i="20"/>
  <c r="M1660" i="20"/>
  <c r="L1660" i="20"/>
  <c r="K1660" i="20"/>
  <c r="J1660" i="20"/>
  <c r="I1660" i="20"/>
  <c r="H1660" i="20"/>
  <c r="G1660" i="20"/>
  <c r="F1660" i="20"/>
  <c r="E1660" i="20"/>
  <c r="D1660" i="20"/>
  <c r="C1660" i="20"/>
  <c r="B1660" i="20"/>
  <c r="A1660" i="20"/>
  <c r="P1659" i="20"/>
  <c r="O1659" i="20"/>
  <c r="N1659" i="20"/>
  <c r="M1659" i="20"/>
  <c r="L1659" i="20"/>
  <c r="K1659" i="20"/>
  <c r="J1659" i="20"/>
  <c r="I1659" i="20"/>
  <c r="H1659" i="20"/>
  <c r="G1659" i="20"/>
  <c r="F1659" i="20"/>
  <c r="E1659" i="20"/>
  <c r="D1659" i="20"/>
  <c r="C1659" i="20"/>
  <c r="B1659" i="20"/>
  <c r="A1659" i="20"/>
  <c r="P1658" i="20"/>
  <c r="O1658" i="20"/>
  <c r="N1658" i="20"/>
  <c r="M1658" i="20"/>
  <c r="L1658" i="20"/>
  <c r="K1658" i="20"/>
  <c r="J1658" i="20"/>
  <c r="I1658" i="20"/>
  <c r="H1658" i="20"/>
  <c r="G1658" i="20"/>
  <c r="F1658" i="20"/>
  <c r="E1658" i="20"/>
  <c r="D1658" i="20"/>
  <c r="C1658" i="20"/>
  <c r="B1658" i="20"/>
  <c r="A1658" i="20"/>
  <c r="P1657" i="20"/>
  <c r="O1657" i="20"/>
  <c r="N1657" i="20"/>
  <c r="M1657" i="20"/>
  <c r="L1657" i="20"/>
  <c r="K1657" i="20"/>
  <c r="J1657" i="20"/>
  <c r="I1657" i="20"/>
  <c r="G1657" i="20"/>
  <c r="F1657" i="20"/>
  <c r="E1657" i="20"/>
  <c r="D1657" i="20"/>
  <c r="C1657" i="20"/>
  <c r="B1657" i="20"/>
  <c r="A1657" i="20"/>
  <c r="P1656" i="20"/>
  <c r="O1656" i="20"/>
  <c r="N1656" i="20"/>
  <c r="M1656" i="20"/>
  <c r="L1656" i="20"/>
  <c r="K1656" i="20"/>
  <c r="J1656" i="20"/>
  <c r="I1656" i="20"/>
  <c r="G1656" i="20"/>
  <c r="F1656" i="20"/>
  <c r="E1656" i="20"/>
  <c r="D1656" i="20"/>
  <c r="C1656" i="20"/>
  <c r="B1656" i="20"/>
  <c r="A1656" i="20"/>
  <c r="P1655" i="20"/>
  <c r="O1655" i="20"/>
  <c r="N1655" i="20"/>
  <c r="M1655" i="20"/>
  <c r="L1655" i="20"/>
  <c r="K1655" i="20"/>
  <c r="J1655" i="20"/>
  <c r="I1655" i="20"/>
  <c r="G1655" i="20"/>
  <c r="F1655" i="20"/>
  <c r="E1655" i="20"/>
  <c r="D1655" i="20"/>
  <c r="C1655" i="20"/>
  <c r="B1655" i="20"/>
  <c r="A1655" i="20"/>
  <c r="P1654" i="20"/>
  <c r="O1654" i="20"/>
  <c r="N1654" i="20"/>
  <c r="M1654" i="20"/>
  <c r="L1654" i="20"/>
  <c r="K1654" i="20"/>
  <c r="J1654" i="20"/>
  <c r="I1654" i="20"/>
  <c r="G1654" i="20"/>
  <c r="F1654" i="20"/>
  <c r="E1654" i="20"/>
  <c r="D1654" i="20"/>
  <c r="C1654" i="20"/>
  <c r="B1654" i="20"/>
  <c r="A1654" i="20"/>
  <c r="P1653" i="20"/>
  <c r="A1653" i="20"/>
  <c r="P1652" i="20"/>
  <c r="A1652" i="20"/>
  <c r="P1651" i="20"/>
  <c r="A1651" i="20"/>
  <c r="P1650" i="20"/>
  <c r="A1650" i="20"/>
  <c r="P1649" i="20"/>
  <c r="A1649" i="20"/>
  <c r="P1648" i="20"/>
  <c r="A1648" i="20"/>
  <c r="P1647" i="20"/>
  <c r="A1647" i="20"/>
  <c r="P1646" i="20"/>
  <c r="A1646" i="20"/>
  <c r="P1645" i="20"/>
  <c r="A1645" i="20"/>
  <c r="P1644" i="20"/>
  <c r="A1644" i="20"/>
  <c r="P1643" i="20"/>
  <c r="A1643" i="20"/>
  <c r="P1642" i="20"/>
  <c r="A1642" i="20"/>
  <c r="P1641" i="20"/>
  <c r="A1641" i="20"/>
  <c r="P1640" i="20"/>
  <c r="A1640" i="20"/>
  <c r="P1639" i="20"/>
  <c r="A1639" i="20"/>
  <c r="P1638" i="20"/>
  <c r="A1638" i="20"/>
  <c r="A1637" i="20"/>
  <c r="P1636" i="20"/>
  <c r="A1636" i="20"/>
  <c r="P1635" i="20"/>
  <c r="A1635" i="20"/>
  <c r="P1634" i="20"/>
  <c r="A1634" i="20"/>
  <c r="P1633" i="20"/>
  <c r="A1633" i="20"/>
  <c r="P1632" i="20"/>
  <c r="A1632" i="20"/>
  <c r="P1631" i="20"/>
  <c r="A1631" i="20"/>
  <c r="A1630" i="20"/>
  <c r="A1629" i="20"/>
  <c r="P1628" i="20"/>
  <c r="A1628" i="20"/>
  <c r="P1627" i="20"/>
  <c r="A1627" i="20"/>
  <c r="P1626" i="20"/>
  <c r="A1626" i="20"/>
  <c r="P1625" i="20"/>
  <c r="A1625" i="20"/>
  <c r="P1624" i="20"/>
  <c r="A1624" i="20"/>
  <c r="P1623" i="20"/>
  <c r="A1623" i="20"/>
  <c r="A1622" i="20"/>
  <c r="K1621" i="20"/>
  <c r="A1619" i="20"/>
  <c r="A1618" i="20"/>
  <c r="A1617" i="20"/>
  <c r="A1616" i="20"/>
  <c r="A1615" i="20"/>
  <c r="A1614" i="20"/>
  <c r="A1613" i="20"/>
  <c r="A1612" i="20"/>
  <c r="A1611" i="20"/>
  <c r="A1610" i="20"/>
  <c r="A1609" i="20"/>
  <c r="A1608" i="20"/>
  <c r="A1607" i="20"/>
  <c r="A1606" i="20"/>
  <c r="A1605" i="20"/>
  <c r="A1604" i="20"/>
  <c r="A1603" i="20"/>
  <c r="A1602" i="20"/>
  <c r="A1601" i="20"/>
  <c r="A1600" i="20"/>
  <c r="A1599" i="20"/>
  <c r="A1598" i="20"/>
  <c r="A1597" i="20"/>
  <c r="A1596" i="20"/>
  <c r="A1595" i="20"/>
  <c r="A1594" i="20"/>
  <c r="A1593" i="20"/>
  <c r="A1592" i="20"/>
  <c r="A1591" i="20"/>
  <c r="A1590" i="20"/>
  <c r="A1589" i="20"/>
  <c r="A1588" i="20"/>
  <c r="A1587" i="20"/>
  <c r="A1586" i="20"/>
  <c r="A1585" i="20"/>
  <c r="A1584" i="20"/>
  <c r="A1583" i="20"/>
  <c r="A1582" i="20"/>
  <c r="A1581" i="20"/>
  <c r="A1580" i="20"/>
  <c r="A1579" i="20"/>
  <c r="A1578" i="20"/>
  <c r="A1577" i="20"/>
  <c r="A1576" i="20"/>
  <c r="A1575" i="20"/>
  <c r="A1574" i="20"/>
  <c r="A1573" i="20"/>
  <c r="A1572" i="20"/>
  <c r="A1571" i="20"/>
  <c r="A1570" i="20"/>
  <c r="A1569" i="20"/>
  <c r="A1568" i="20"/>
  <c r="A1567" i="20"/>
  <c r="A1566" i="20"/>
  <c r="A1565" i="20"/>
  <c r="A1564" i="20"/>
  <c r="A1563" i="20"/>
  <c r="A1562" i="20"/>
  <c r="A1561" i="20"/>
  <c r="A1560" i="20"/>
  <c r="A1559" i="20"/>
  <c r="A1558" i="20"/>
  <c r="A1557" i="20"/>
  <c r="A1556" i="20"/>
  <c r="A1555" i="20"/>
  <c r="A1554" i="20"/>
  <c r="A1553" i="20"/>
  <c r="A1552" i="20"/>
  <c r="A1551" i="20"/>
  <c r="A1550" i="20"/>
  <c r="A1549" i="20"/>
  <c r="A1548" i="20"/>
  <c r="A1547" i="20"/>
  <c r="A1546" i="20"/>
  <c r="A1545" i="20"/>
  <c r="A1544" i="20"/>
  <c r="A1543" i="20"/>
  <c r="A1542" i="20"/>
  <c r="A1541" i="20"/>
  <c r="A1540" i="20"/>
  <c r="A1539" i="20"/>
  <c r="A1538" i="20"/>
  <c r="A1537" i="20"/>
  <c r="A1536" i="20"/>
  <c r="A1535" i="20"/>
  <c r="A1534" i="20"/>
  <c r="A1533" i="20"/>
  <c r="A1532" i="20"/>
  <c r="A1531" i="20"/>
  <c r="A1530" i="20"/>
  <c r="A1529" i="20"/>
  <c r="A1528" i="20"/>
  <c r="A1527" i="20"/>
  <c r="A1526" i="20"/>
  <c r="A1525" i="20"/>
  <c r="A1524" i="20"/>
  <c r="A1523" i="20"/>
  <c r="A1522" i="20"/>
  <c r="A1521" i="20"/>
  <c r="A1520" i="20"/>
  <c r="A1519" i="20"/>
  <c r="A1518" i="20"/>
  <c r="A1517" i="20"/>
  <c r="A1516" i="20"/>
  <c r="A1515" i="20"/>
  <c r="A1514" i="20"/>
  <c r="A1513" i="20"/>
  <c r="A1512" i="20"/>
  <c r="A1511" i="20"/>
  <c r="A1510" i="20"/>
  <c r="A1509" i="20"/>
  <c r="A1508" i="20"/>
  <c r="A1507" i="20"/>
  <c r="A1506" i="20"/>
  <c r="A1505" i="20"/>
  <c r="A1504" i="20"/>
  <c r="A1503" i="20"/>
  <c r="A1502" i="20"/>
  <c r="A1501" i="20"/>
  <c r="A1500" i="20"/>
  <c r="A1499" i="20"/>
  <c r="A1498" i="20"/>
  <c r="A1497" i="20"/>
  <c r="A1496" i="20"/>
  <c r="A1495" i="20"/>
  <c r="A1494" i="20"/>
  <c r="A1493" i="20"/>
  <c r="A1492" i="20"/>
  <c r="A1491" i="20"/>
  <c r="A1490" i="20"/>
  <c r="A1489" i="20"/>
  <c r="A1488" i="20"/>
  <c r="A1487" i="20"/>
  <c r="A1486" i="20"/>
  <c r="A1485" i="20"/>
  <c r="A1484" i="20"/>
  <c r="A1483" i="20"/>
  <c r="A1482" i="20"/>
  <c r="A1481" i="20"/>
  <c r="A1480" i="20"/>
  <c r="A1479" i="20"/>
  <c r="A1478" i="20"/>
  <c r="A1477" i="20"/>
  <c r="A1476" i="20"/>
  <c r="A1475" i="20"/>
  <c r="A1474" i="20"/>
  <c r="A1473" i="20"/>
  <c r="A1472" i="20"/>
  <c r="A1471" i="20"/>
  <c r="A1470" i="20"/>
  <c r="A1469" i="20"/>
  <c r="A1468" i="20"/>
  <c r="A1467" i="20"/>
  <c r="A1466" i="20"/>
  <c r="A1465" i="20"/>
  <c r="A1464" i="20"/>
  <c r="A1463" i="20"/>
  <c r="A1462" i="20"/>
  <c r="A1461" i="20"/>
  <c r="A1460" i="20"/>
  <c r="A1459" i="20"/>
  <c r="A1458" i="20"/>
  <c r="A1457" i="20"/>
  <c r="A1456" i="20"/>
  <c r="A1455" i="20"/>
  <c r="A1454" i="20"/>
  <c r="A1453" i="20"/>
  <c r="A1452" i="20"/>
  <c r="A1451" i="20"/>
  <c r="A1450" i="20"/>
  <c r="A1449" i="20"/>
  <c r="A1448" i="20"/>
  <c r="A1447" i="20"/>
  <c r="A1446" i="20"/>
  <c r="A1445" i="20"/>
  <c r="A1444" i="20"/>
  <c r="A1443" i="20"/>
  <c r="A1442" i="20"/>
  <c r="A1441" i="20"/>
  <c r="A1440" i="20"/>
  <c r="A1439" i="20"/>
  <c r="A1438" i="20"/>
  <c r="A1437" i="20"/>
  <c r="A1436" i="20"/>
  <c r="A1435" i="20"/>
  <c r="A1434" i="20"/>
  <c r="A1433" i="20"/>
  <c r="A1432" i="20"/>
  <c r="A1431" i="20"/>
  <c r="A1430" i="20"/>
  <c r="A1429" i="20"/>
  <c r="A1428" i="20"/>
  <c r="A1427" i="20"/>
  <c r="A1426" i="20"/>
  <c r="A1425" i="20"/>
  <c r="A1424" i="20"/>
  <c r="A1423" i="20"/>
  <c r="A1422" i="20"/>
  <c r="A1421" i="20"/>
  <c r="A1420" i="20"/>
  <c r="A1419" i="20"/>
  <c r="A1418" i="20"/>
  <c r="A1417" i="20"/>
  <c r="A1416" i="20"/>
  <c r="A1415" i="20"/>
  <c r="A1414" i="20"/>
  <c r="A1413" i="20"/>
  <c r="A1412" i="20"/>
  <c r="A1411" i="20"/>
  <c r="A1410" i="20"/>
  <c r="A1409" i="20"/>
  <c r="A1408" i="20"/>
  <c r="A1407" i="20"/>
  <c r="A1406" i="20"/>
  <c r="A1405" i="20"/>
  <c r="A1404" i="20"/>
  <c r="A1403" i="20"/>
  <c r="A1402" i="20"/>
  <c r="A1401" i="20"/>
  <c r="A1400" i="20"/>
  <c r="A1399" i="20"/>
  <c r="A1398" i="20"/>
  <c r="A1397" i="20"/>
  <c r="A1396" i="20"/>
  <c r="A1395" i="20"/>
  <c r="A1394" i="20"/>
  <c r="A1393" i="20"/>
  <c r="A1392" i="20"/>
  <c r="A1391" i="20"/>
  <c r="A1390" i="20"/>
  <c r="A1389" i="20"/>
  <c r="A1388" i="20"/>
  <c r="A1387" i="20"/>
  <c r="A1386" i="20"/>
  <c r="A1385" i="20"/>
  <c r="A1384" i="20"/>
  <c r="A1383" i="20"/>
  <c r="A1382" i="20"/>
  <c r="A1381" i="20"/>
  <c r="A1380" i="20"/>
  <c r="A1379" i="20"/>
  <c r="A1378" i="20"/>
  <c r="A1377" i="20"/>
  <c r="A1376" i="20"/>
  <c r="A1375" i="20"/>
  <c r="A1374" i="20"/>
  <c r="A1373" i="20"/>
  <c r="A1372" i="20"/>
  <c r="A1371" i="20"/>
  <c r="A1370" i="20"/>
  <c r="A1369" i="20"/>
  <c r="A1368" i="20"/>
  <c r="A1367" i="20"/>
  <c r="A1366" i="20"/>
  <c r="A1365" i="20"/>
  <c r="A1364" i="20"/>
  <c r="A1363" i="20"/>
  <c r="A1362" i="20"/>
  <c r="A1361" i="20"/>
  <c r="A1360" i="20"/>
  <c r="A1359" i="20"/>
  <c r="A1358" i="20"/>
  <c r="A1357" i="20"/>
  <c r="A1356" i="20"/>
  <c r="A1355" i="20"/>
  <c r="A1354" i="20"/>
  <c r="A1353" i="20"/>
  <c r="A1352" i="20"/>
  <c r="A1351" i="20"/>
  <c r="A1350" i="20"/>
  <c r="A1349" i="20"/>
  <c r="A1348" i="20"/>
  <c r="A1347" i="20"/>
  <c r="A1346" i="20"/>
  <c r="A1345" i="20"/>
  <c r="A1344" i="20"/>
  <c r="A1343" i="20"/>
  <c r="A1342" i="20"/>
  <c r="A1341" i="20"/>
  <c r="A1340" i="20"/>
  <c r="A1339" i="20"/>
  <c r="A1338" i="20"/>
  <c r="A1337" i="20"/>
  <c r="A1336" i="20"/>
  <c r="A1335" i="20"/>
  <c r="A1334" i="20"/>
  <c r="A1333" i="20"/>
  <c r="A1332" i="20"/>
  <c r="A1331" i="20"/>
  <c r="A1330" i="20"/>
  <c r="A1329" i="20"/>
  <c r="A1328" i="20"/>
  <c r="A1327" i="20"/>
  <c r="A1326" i="20"/>
  <c r="A1325" i="20"/>
  <c r="A1324" i="20"/>
  <c r="A1323" i="20"/>
  <c r="A1322" i="20"/>
  <c r="A1321" i="20"/>
  <c r="A1320" i="20"/>
  <c r="A1319" i="20"/>
  <c r="A1318" i="20"/>
  <c r="A1317" i="20"/>
  <c r="A1316" i="20"/>
  <c r="A1315" i="20"/>
  <c r="A1314" i="20"/>
  <c r="A1313" i="20"/>
  <c r="A1312" i="20"/>
  <c r="A1311" i="20"/>
  <c r="A1310" i="20"/>
  <c r="A1309" i="20"/>
  <c r="A1308" i="20"/>
  <c r="A1307" i="20"/>
  <c r="A1306" i="20"/>
  <c r="A1305" i="20"/>
  <c r="A1304" i="20"/>
  <c r="A1303" i="20"/>
  <c r="A1302" i="20"/>
  <c r="A1301" i="20"/>
  <c r="A1300" i="20"/>
  <c r="A1299" i="20"/>
  <c r="A1298" i="20"/>
  <c r="A1297" i="20"/>
  <c r="A1296" i="20"/>
  <c r="A1295" i="20"/>
  <c r="A1294" i="20"/>
  <c r="A1293" i="20"/>
  <c r="A1292" i="20"/>
  <c r="A1291" i="20"/>
  <c r="A1290" i="20"/>
  <c r="A1289" i="20"/>
  <c r="A1288" i="20"/>
  <c r="A1287" i="20"/>
  <c r="A1286" i="20"/>
  <c r="A1285" i="20"/>
  <c r="A1284" i="20"/>
  <c r="A1283" i="20"/>
  <c r="A1282" i="20"/>
  <c r="A1281" i="20"/>
  <c r="A1280" i="20"/>
  <c r="A1279" i="20"/>
  <c r="A1278" i="20"/>
  <c r="A1277" i="20"/>
  <c r="A1276" i="20"/>
  <c r="A1275" i="20"/>
  <c r="A1274" i="20"/>
  <c r="A1273" i="20"/>
  <c r="A1272" i="20"/>
  <c r="A1271" i="20"/>
  <c r="A1270" i="20"/>
  <c r="A1269" i="20"/>
  <c r="A1268" i="20"/>
  <c r="A1267" i="20"/>
  <c r="A1266" i="20"/>
  <c r="A1265" i="20"/>
  <c r="A1264" i="20"/>
  <c r="A1263" i="20"/>
  <c r="A1262" i="20"/>
  <c r="A1261" i="20"/>
  <c r="A1260" i="20"/>
  <c r="A1259" i="20"/>
  <c r="A1258" i="20"/>
  <c r="A1257" i="20"/>
  <c r="A1256" i="20"/>
  <c r="A1255" i="20"/>
  <c r="A1254" i="20"/>
  <c r="A1253" i="20"/>
  <c r="A1252" i="20"/>
  <c r="A1251" i="20"/>
  <c r="A1250" i="20"/>
  <c r="A1249" i="20"/>
  <c r="A1248" i="20"/>
  <c r="A1247" i="20"/>
  <c r="A1246" i="20"/>
  <c r="A1245" i="20"/>
  <c r="A1244" i="20"/>
  <c r="A1243" i="20"/>
  <c r="A1242" i="20"/>
  <c r="A1241" i="20"/>
  <c r="A1240" i="20"/>
  <c r="A1239" i="20"/>
  <c r="A1238" i="20"/>
  <c r="A1237" i="20"/>
  <c r="A1236" i="20"/>
  <c r="A1235" i="20"/>
  <c r="A1234" i="20"/>
  <c r="A1233" i="20"/>
  <c r="A1232" i="20"/>
  <c r="A1231" i="20"/>
  <c r="A1230" i="20"/>
  <c r="A1229" i="20"/>
  <c r="A1228" i="20"/>
  <c r="A1227" i="20"/>
  <c r="A1226" i="20"/>
  <c r="A1225" i="20"/>
  <c r="A1224" i="20"/>
  <c r="A1223" i="20"/>
  <c r="A1222" i="20"/>
  <c r="A1221" i="20"/>
  <c r="A1220" i="20"/>
  <c r="A1219" i="20"/>
  <c r="A1218" i="20"/>
  <c r="A1217" i="20"/>
  <c r="A1216" i="20"/>
  <c r="A1215" i="20"/>
  <c r="A1214" i="20"/>
  <c r="A1213" i="20"/>
  <c r="A1212" i="20"/>
  <c r="A1211" i="20"/>
  <c r="A1210" i="20"/>
  <c r="A1209" i="20"/>
  <c r="A1208" i="20"/>
  <c r="A1207" i="20"/>
  <c r="A1206" i="20"/>
  <c r="A1205" i="20"/>
  <c r="A1204" i="20"/>
  <c r="A1203" i="20"/>
  <c r="A1202" i="20"/>
  <c r="A1201" i="20"/>
  <c r="A1200" i="20"/>
  <c r="A1199" i="20"/>
  <c r="A1198" i="20"/>
  <c r="A1197" i="20"/>
  <c r="A1196" i="20"/>
  <c r="A1195" i="20"/>
  <c r="A1194" i="20"/>
  <c r="A1193" i="20"/>
  <c r="A1192" i="20"/>
  <c r="A1191" i="20"/>
  <c r="A1190" i="20"/>
  <c r="A1189" i="20"/>
  <c r="A1188" i="20"/>
  <c r="A1187" i="20"/>
  <c r="A1186" i="20"/>
  <c r="A1185" i="20"/>
  <c r="A1184" i="20"/>
  <c r="A1183" i="20"/>
  <c r="A1182" i="20"/>
  <c r="A1181" i="20"/>
  <c r="A1180" i="20"/>
  <c r="A1179" i="20"/>
  <c r="A1178" i="20"/>
  <c r="A1177" i="20"/>
  <c r="A1176" i="20"/>
  <c r="A1175" i="20"/>
  <c r="A1174" i="20"/>
  <c r="A1173" i="20"/>
  <c r="A1172" i="20"/>
  <c r="A1171" i="20"/>
  <c r="A1170" i="20"/>
  <c r="A1169" i="20"/>
  <c r="A1168" i="20"/>
  <c r="A1167" i="20"/>
  <c r="A1166" i="20"/>
  <c r="A1165" i="20"/>
  <c r="A1164" i="20"/>
  <c r="A1163" i="20"/>
  <c r="A1162" i="20"/>
  <c r="A1161" i="20"/>
  <c r="A1160" i="20"/>
  <c r="A1159" i="20"/>
  <c r="A1158" i="20"/>
  <c r="A1157" i="20"/>
  <c r="A1156" i="20"/>
  <c r="A1155" i="20"/>
  <c r="A1154" i="20"/>
  <c r="A1153" i="20"/>
  <c r="A1152" i="20"/>
  <c r="A1151" i="20"/>
  <c r="A1150" i="20"/>
  <c r="A1149" i="20"/>
  <c r="A1148" i="20"/>
  <c r="A1147" i="20"/>
  <c r="A1146" i="20"/>
  <c r="A1145" i="20"/>
  <c r="A1144" i="20"/>
  <c r="A1143" i="20"/>
  <c r="A1142" i="20"/>
  <c r="A1141" i="20"/>
  <c r="A1140" i="20"/>
  <c r="A1139" i="20"/>
  <c r="A1138" i="20"/>
  <c r="A1137" i="20"/>
  <c r="A1136" i="20"/>
  <c r="A1135" i="20"/>
  <c r="A1134" i="20"/>
  <c r="A1133" i="20"/>
  <c r="A1132" i="20"/>
  <c r="A1131" i="20"/>
  <c r="A1130" i="20"/>
  <c r="A1129" i="20"/>
  <c r="A1128" i="20"/>
  <c r="A1127" i="20"/>
  <c r="A1126" i="20"/>
  <c r="A1125" i="20"/>
  <c r="A1124" i="20"/>
  <c r="A1123" i="20"/>
  <c r="A1122" i="20"/>
  <c r="A1121" i="20"/>
  <c r="A1120" i="20"/>
  <c r="A1119" i="20"/>
  <c r="A1118" i="20"/>
  <c r="A1117" i="20"/>
  <c r="A1116" i="20"/>
  <c r="A1115" i="20"/>
  <c r="A1114" i="20"/>
  <c r="A1113" i="20"/>
  <c r="A1112" i="20"/>
  <c r="A1111" i="20"/>
  <c r="A1110" i="20"/>
  <c r="A1109" i="20"/>
  <c r="A1108" i="20"/>
  <c r="A1107" i="20"/>
  <c r="A1106" i="20"/>
  <c r="A1105" i="20"/>
  <c r="A1104" i="20"/>
  <c r="A1103" i="20"/>
  <c r="A1102" i="20"/>
  <c r="A1101" i="20"/>
  <c r="A1100" i="20"/>
  <c r="A1099" i="20"/>
  <c r="A1098" i="20"/>
  <c r="A1097" i="20"/>
  <c r="A1096" i="20"/>
  <c r="A1095" i="20"/>
  <c r="A1094" i="20"/>
  <c r="A1093" i="20"/>
  <c r="A1092" i="20"/>
  <c r="A1091" i="20"/>
  <c r="A1090" i="20"/>
  <c r="A1089" i="20"/>
  <c r="A1088" i="20"/>
  <c r="A1087" i="20"/>
  <c r="A1086" i="20"/>
  <c r="A1085" i="20"/>
  <c r="A1084" i="20"/>
  <c r="A1083" i="20"/>
  <c r="A1082" i="20"/>
  <c r="A1081" i="20"/>
  <c r="A1080" i="20"/>
  <c r="A1079" i="20"/>
  <c r="A1078" i="20"/>
  <c r="A1077" i="20"/>
  <c r="A1076" i="20"/>
  <c r="A1075" i="20"/>
  <c r="A1074" i="20"/>
  <c r="A1073" i="20"/>
  <c r="A1072" i="20"/>
  <c r="A1071" i="20"/>
  <c r="A1070" i="20"/>
  <c r="A1069" i="20"/>
  <c r="A1068" i="20"/>
  <c r="A1067" i="20"/>
  <c r="A1066" i="20"/>
  <c r="A1065" i="20"/>
  <c r="A1064" i="20"/>
  <c r="A1063" i="20"/>
  <c r="A1062" i="20"/>
  <c r="A1061" i="20"/>
  <c r="A1060" i="20"/>
  <c r="A1059" i="20"/>
  <c r="A1058" i="20"/>
  <c r="A1057" i="20"/>
  <c r="A1056" i="20"/>
  <c r="A1055" i="20"/>
  <c r="A1054" i="20"/>
  <c r="A1053" i="20"/>
  <c r="A1052" i="20"/>
  <c r="A1051" i="20"/>
  <c r="A1050" i="20"/>
  <c r="A1049" i="20"/>
  <c r="A1048" i="20"/>
  <c r="A1047" i="20"/>
  <c r="A1046" i="20"/>
  <c r="A1045" i="20"/>
  <c r="A1044" i="20"/>
  <c r="A1043" i="20"/>
  <c r="A1042" i="20"/>
  <c r="A1041" i="20"/>
  <c r="A1040" i="20"/>
  <c r="A1039" i="20"/>
  <c r="A1038" i="20"/>
  <c r="A1037" i="20"/>
  <c r="A1036" i="20"/>
  <c r="A1035" i="20"/>
  <c r="A1034" i="20"/>
  <c r="A1033" i="20"/>
  <c r="A1032" i="20"/>
  <c r="A1031" i="20"/>
  <c r="A1030" i="20"/>
  <c r="A1029" i="20"/>
  <c r="A1028" i="20"/>
  <c r="A1027" i="20"/>
  <c r="A1026" i="20"/>
  <c r="A1025" i="20"/>
  <c r="A1024" i="20"/>
  <c r="A1023" i="20"/>
  <c r="A1022" i="20"/>
  <c r="A1021" i="20"/>
  <c r="A1020" i="20"/>
  <c r="A1019" i="20"/>
  <c r="A1018" i="20"/>
  <c r="A1017" i="20"/>
  <c r="A1016" i="20"/>
  <c r="A1015" i="20"/>
  <c r="A1014" i="20"/>
  <c r="A1013" i="20"/>
  <c r="A1012" i="20"/>
  <c r="A1011" i="20"/>
  <c r="A1010" i="20"/>
  <c r="A1009" i="20"/>
  <c r="A1008" i="20"/>
  <c r="A1007" i="20"/>
  <c r="A1006" i="20"/>
  <c r="A1005" i="20"/>
  <c r="A1004" i="20"/>
  <c r="A1003" i="20"/>
  <c r="A1002" i="20"/>
  <c r="A1001" i="20"/>
  <c r="A1000" i="20"/>
  <c r="A999" i="20"/>
  <c r="A998" i="20"/>
  <c r="A997" i="20"/>
  <c r="A996" i="20"/>
  <c r="A995" i="20"/>
  <c r="A994" i="20"/>
  <c r="A993" i="20"/>
  <c r="A992" i="20"/>
  <c r="A991" i="20"/>
  <c r="A990" i="20"/>
  <c r="A989" i="20"/>
  <c r="A988" i="20"/>
  <c r="A987" i="20"/>
  <c r="A986" i="20"/>
  <c r="A985" i="20"/>
  <c r="A984" i="20"/>
  <c r="A983" i="20"/>
  <c r="A982" i="20"/>
  <c r="A981" i="20"/>
  <c r="A980" i="20"/>
  <c r="A979" i="20"/>
  <c r="A978" i="20"/>
  <c r="A977" i="20"/>
  <c r="A976" i="20"/>
  <c r="A975" i="20"/>
  <c r="A974" i="20"/>
  <c r="A973" i="20"/>
  <c r="A972" i="20"/>
  <c r="A971" i="20"/>
  <c r="A970" i="20"/>
  <c r="A969" i="20"/>
  <c r="A968" i="20"/>
  <c r="A967" i="20"/>
  <c r="A966" i="20"/>
  <c r="A965" i="20"/>
  <c r="A964" i="20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16" i="20"/>
  <c r="A915" i="20"/>
  <c r="A914" i="20"/>
  <c r="A913" i="20"/>
  <c r="A912" i="20"/>
  <c r="A911" i="20"/>
  <c r="A910" i="20"/>
  <c r="A909" i="20"/>
  <c r="A908" i="20"/>
  <c r="A90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880" i="20"/>
  <c r="A879" i="20"/>
  <c r="A878" i="20"/>
  <c r="A877" i="20"/>
  <c r="A876" i="20"/>
  <c r="A875" i="20"/>
  <c r="A874" i="20"/>
  <c r="A873" i="20"/>
  <c r="A872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A832" i="20"/>
  <c r="A831" i="20"/>
  <c r="A830" i="20"/>
  <c r="A829" i="20"/>
  <c r="A828" i="20"/>
  <c r="A827" i="20"/>
  <c r="A826" i="20"/>
  <c r="A825" i="20"/>
  <c r="A824" i="20"/>
  <c r="A823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4" i="20"/>
  <c r="A803" i="20"/>
  <c r="A802" i="20"/>
  <c r="A801" i="20"/>
  <c r="A800" i="20"/>
  <c r="A799" i="20"/>
  <c r="A798" i="20"/>
  <c r="A797" i="20"/>
  <c r="A796" i="20"/>
  <c r="A795" i="20"/>
  <c r="A794" i="20"/>
  <c r="A793" i="20"/>
  <c r="A792" i="20"/>
  <c r="A791" i="20"/>
  <c r="A790" i="20"/>
  <c r="A789" i="20"/>
  <c r="A788" i="20"/>
  <c r="A787" i="20"/>
  <c r="A786" i="20"/>
  <c r="A785" i="20"/>
  <c r="A784" i="20"/>
  <c r="A783" i="20"/>
  <c r="A782" i="20"/>
  <c r="A781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60" i="20"/>
  <c r="A759" i="20"/>
  <c r="A758" i="20"/>
  <c r="A757" i="20"/>
  <c r="A756" i="20"/>
  <c r="A755" i="20"/>
  <c r="A754" i="20"/>
  <c r="A753" i="20"/>
  <c r="A752" i="20"/>
  <c r="A751" i="20"/>
  <c r="A750" i="20"/>
  <c r="A749" i="20"/>
  <c r="A748" i="20"/>
  <c r="A747" i="20"/>
  <c r="A746" i="20"/>
  <c r="A745" i="20"/>
  <c r="A744" i="20"/>
  <c r="A743" i="20"/>
  <c r="A742" i="20"/>
  <c r="A741" i="20"/>
  <c r="A740" i="20"/>
  <c r="A739" i="20"/>
  <c r="A738" i="20"/>
  <c r="A737" i="20"/>
  <c r="A736" i="20"/>
  <c r="A735" i="20"/>
  <c r="A734" i="20"/>
  <c r="A733" i="20"/>
  <c r="A732" i="20"/>
  <c r="A731" i="20"/>
  <c r="A730" i="20"/>
  <c r="A729" i="20"/>
  <c r="A728" i="20"/>
  <c r="A727" i="20"/>
  <c r="A726" i="20"/>
  <c r="A725" i="20"/>
  <c r="A724" i="20"/>
  <c r="A723" i="20"/>
  <c r="A722" i="20"/>
  <c r="A721" i="20"/>
  <c r="A720" i="20"/>
  <c r="A719" i="20"/>
  <c r="A718" i="20"/>
  <c r="A717" i="20"/>
  <c r="A716" i="20"/>
  <c r="A715" i="20"/>
  <c r="A714" i="20"/>
  <c r="A713" i="20"/>
  <c r="A712" i="20"/>
  <c r="A711" i="20"/>
  <c r="A710" i="20"/>
  <c r="A709" i="20"/>
  <c r="A708" i="20"/>
  <c r="A707" i="20"/>
  <c r="A706" i="20"/>
  <c r="A705" i="20"/>
  <c r="A704" i="20"/>
  <c r="A703" i="20"/>
  <c r="A702" i="20"/>
  <c r="A701" i="20"/>
  <c r="A700" i="20"/>
  <c r="A699" i="20"/>
  <c r="A698" i="20"/>
  <c r="A697" i="20"/>
  <c r="A696" i="20"/>
  <c r="A695" i="20"/>
  <c r="A694" i="20"/>
  <c r="A693" i="20"/>
  <c r="A692" i="20"/>
  <c r="A691" i="20"/>
  <c r="A690" i="20"/>
  <c r="A689" i="20"/>
  <c r="A688" i="20"/>
  <c r="A687" i="20"/>
  <c r="A686" i="20"/>
  <c r="A685" i="20"/>
  <c r="A684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2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3" i="20"/>
  <c r="A632" i="20"/>
  <c r="A631" i="20"/>
  <c r="A630" i="20"/>
  <c r="A629" i="20"/>
  <c r="A628" i="20"/>
  <c r="A627" i="20"/>
  <c r="A626" i="20"/>
  <c r="A625" i="20"/>
  <c r="A624" i="20"/>
  <c r="A623" i="20"/>
  <c r="A622" i="20"/>
  <c r="A621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A600" i="20"/>
  <c r="A599" i="20"/>
  <c r="A598" i="20"/>
  <c r="A597" i="20"/>
  <c r="A596" i="20"/>
  <c r="A595" i="20"/>
  <c r="A594" i="20"/>
  <c r="A593" i="20"/>
  <c r="A592" i="20"/>
  <c r="A591" i="20"/>
  <c r="A590" i="20"/>
  <c r="A589" i="20"/>
  <c r="A588" i="20"/>
  <c r="A587" i="20"/>
  <c r="A586" i="20"/>
  <c r="A585" i="20"/>
  <c r="A584" i="20"/>
  <c r="A583" i="20"/>
  <c r="A582" i="20"/>
  <c r="A581" i="20"/>
  <c r="A580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60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7" i="20"/>
  <c r="A546" i="20"/>
  <c r="A545" i="20"/>
  <c r="A544" i="20"/>
  <c r="A543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20" i="20"/>
  <c r="A519" i="20"/>
  <c r="A518" i="20"/>
  <c r="A517" i="20"/>
  <c r="A516" i="20"/>
  <c r="A515" i="20"/>
  <c r="A514" i="20"/>
  <c r="A513" i="20"/>
  <c r="A512" i="20"/>
  <c r="A511" i="20"/>
  <c r="A510" i="20"/>
  <c r="A509" i="20"/>
  <c r="A508" i="20"/>
  <c r="A507" i="20"/>
  <c r="A506" i="20"/>
  <c r="A505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4" i="20"/>
  <c r="A343" i="20"/>
  <c r="A342" i="20"/>
  <c r="A341" i="20"/>
  <c r="A340" i="20"/>
  <c r="A339" i="20"/>
  <c r="A338" i="20"/>
  <c r="A337" i="20"/>
  <c r="A336" i="20"/>
  <c r="A335" i="20"/>
  <c r="A334" i="20"/>
  <c r="A333" i="20"/>
  <c r="A332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1" i="20"/>
  <c r="A100" i="20"/>
  <c r="A99" i="20"/>
  <c r="K98" i="20"/>
  <c r="A98" i="20"/>
  <c r="K95" i="20"/>
  <c r="K93" i="20"/>
  <c r="K92" i="20"/>
  <c r="K91" i="20"/>
  <c r="K90" i="20"/>
  <c r="K89" i="20"/>
  <c r="K88" i="20"/>
  <c r="A80" i="20"/>
  <c r="A79" i="20"/>
  <c r="A78" i="20"/>
  <c r="A77" i="20"/>
  <c r="A59" i="20"/>
  <c r="A58" i="20"/>
  <c r="A57" i="20"/>
  <c r="A56" i="20"/>
  <c r="A55" i="20"/>
  <c r="A54" i="20"/>
  <c r="A53" i="20"/>
  <c r="A52" i="20"/>
  <c r="A51" i="20"/>
  <c r="A50" i="20"/>
  <c r="A49" i="20"/>
  <c r="A41" i="20"/>
  <c r="A40" i="20"/>
  <c r="A39" i="20"/>
  <c r="A38" i="20"/>
  <c r="A36" i="20"/>
  <c r="A35" i="20"/>
  <c r="A34" i="20"/>
  <c r="A33" i="20"/>
  <c r="A32" i="20"/>
  <c r="A31" i="20"/>
  <c r="A30" i="20"/>
  <c r="A29" i="20"/>
  <c r="F28" i="20"/>
  <c r="A27" i="20"/>
  <c r="A26" i="20"/>
  <c r="A25" i="20"/>
  <c r="A24" i="20"/>
  <c r="A14" i="20"/>
  <c r="A13" i="20"/>
  <c r="A12" i="20"/>
  <c r="A11" i="20"/>
  <c r="A10" i="20"/>
  <c r="A8" i="20"/>
  <c r="A7" i="20"/>
  <c r="A5" i="22"/>
  <c r="A4" i="20"/>
  <c r="O48" i="9"/>
  <c r="O49" i="9" s="1"/>
  <c r="O50" i="9"/>
  <c r="O51" i="9" s="1"/>
  <c r="O52" i="9" s="1"/>
  <c r="O33" i="9"/>
  <c r="O34" i="9"/>
  <c r="O35" i="9"/>
  <c r="O36" i="9"/>
  <c r="O37" i="9" s="1"/>
  <c r="O38" i="9" s="1"/>
  <c r="O39" i="9"/>
  <c r="O40" i="9" s="1"/>
  <c r="O41" i="9" s="1"/>
  <c r="D137" i="9"/>
  <c r="R5" i="9"/>
  <c r="R6" i="9"/>
  <c r="R7" i="9" s="1"/>
  <c r="R8" i="9"/>
  <c r="R9" i="9" s="1"/>
  <c r="R10" i="9" s="1"/>
  <c r="R11" i="9" s="1"/>
  <c r="R12" i="9" s="1"/>
  <c r="R13" i="9" s="1"/>
  <c r="R14" i="9" s="1"/>
  <c r="R15" i="9" s="1"/>
  <c r="R16" i="9" s="1"/>
  <c r="R17" i="9" s="1"/>
  <c r="R18" i="9" s="1"/>
  <c r="R19" i="9" s="1"/>
  <c r="R20" i="9" s="1"/>
  <c r="R21" i="9" s="1"/>
  <c r="R22" i="9" s="1"/>
  <c r="R23" i="9" s="1"/>
  <c r="R24" i="9" s="1"/>
  <c r="AG5" i="9"/>
  <c r="AG6" i="9"/>
  <c r="AG7" i="9"/>
  <c r="AG8" i="9"/>
  <c r="AG9" i="9" s="1"/>
  <c r="AG10" i="9" s="1"/>
  <c r="AG11" i="9" s="1"/>
  <c r="AG12" i="9" s="1"/>
  <c r="AG13" i="9" s="1"/>
  <c r="AG14" i="9" s="1"/>
  <c r="AG15" i="9" s="1"/>
  <c r="AG16" i="9" s="1"/>
  <c r="AG17" i="9" s="1"/>
  <c r="AG18" i="9" s="1"/>
  <c r="AG19" i="9" s="1"/>
  <c r="AG20" i="9" s="1"/>
  <c r="AG21" i="9" s="1"/>
  <c r="AG22" i="9"/>
  <c r="AG23" i="9" s="1"/>
  <c r="AG24" i="9" s="1"/>
  <c r="AG25" i="9" s="1"/>
  <c r="AG26" i="9" s="1"/>
  <c r="AG27" i="9" s="1"/>
  <c r="AG28" i="9" s="1"/>
  <c r="AG29" i="9" s="1"/>
  <c r="AG30" i="9" s="1"/>
  <c r="AG31" i="9" s="1"/>
  <c r="AG32" i="9" s="1"/>
  <c r="AG33" i="9" s="1"/>
  <c r="AG34" i="9" s="1"/>
  <c r="AG35" i="9" s="1"/>
  <c r="AG36" i="9" s="1"/>
  <c r="AG37" i="9" s="1"/>
  <c r="AG38" i="9" s="1"/>
  <c r="AG39" i="9" s="1"/>
  <c r="AG40" i="9" s="1"/>
  <c r="AG41" i="9" s="1"/>
  <c r="AG42" i="9" s="1"/>
  <c r="AG43" i="9" s="1"/>
  <c r="AG44" i="9" s="1"/>
  <c r="AB5" i="9"/>
  <c r="AB6" i="9"/>
  <c r="AB7" i="9"/>
  <c r="AB8" i="9"/>
  <c r="AB9" i="9" s="1"/>
  <c r="AB10" i="9" s="1"/>
  <c r="AB11" i="9" s="1"/>
  <c r="AB12" i="9" s="1"/>
  <c r="AB13" i="9" s="1"/>
  <c r="AB14" i="9" s="1"/>
  <c r="AB15" i="9" s="1"/>
  <c r="AB16" i="9" s="1"/>
  <c r="AB17" i="9" s="1"/>
  <c r="AB18" i="9" s="1"/>
  <c r="AB19" i="9"/>
  <c r="AB20" i="9" s="1"/>
  <c r="AB21" i="9" s="1"/>
  <c r="AB22" i="9" s="1"/>
  <c r="AB23" i="9" s="1"/>
  <c r="AB24" i="9" s="1"/>
  <c r="AB25" i="9" s="1"/>
  <c r="AB26" i="9" s="1"/>
  <c r="AB27" i="9" s="1"/>
  <c r="AB28" i="9" s="1"/>
  <c r="AB29" i="9" s="1"/>
  <c r="AB30" i="9" s="1"/>
  <c r="AB31" i="9" s="1"/>
  <c r="AB32" i="9" s="1"/>
  <c r="AB33" i="9" s="1"/>
  <c r="AB34" i="9" s="1"/>
  <c r="AB35" i="9" s="1"/>
  <c r="AB36" i="9" s="1"/>
  <c r="AB37" i="9" s="1"/>
  <c r="AB38" i="9" s="1"/>
  <c r="AB39" i="9" s="1"/>
  <c r="AB40" i="9" s="1"/>
  <c r="AB41" i="9" s="1"/>
  <c r="AB42" i="9" s="1"/>
  <c r="AB43" i="9" s="1"/>
  <c r="AB44" i="9" s="1"/>
  <c r="W5" i="9"/>
  <c r="W6" i="9"/>
  <c r="W7" i="9"/>
  <c r="W8" i="9"/>
  <c r="W9" i="9" s="1"/>
  <c r="W10" i="9" s="1"/>
  <c r="W11" i="9" s="1"/>
  <c r="W12" i="9" s="1"/>
  <c r="W13" i="9" s="1"/>
  <c r="W14" i="9" s="1"/>
  <c r="W15" i="9" s="1"/>
  <c r="W16" i="9" s="1"/>
  <c r="W17" i="9" s="1"/>
  <c r="W18" i="9" s="1"/>
  <c r="W19" i="9" s="1"/>
  <c r="W20" i="9" s="1"/>
  <c r="W21" i="9" s="1"/>
  <c r="W22" i="9" s="1"/>
  <c r="W23" i="9" s="1"/>
  <c r="W24" i="9" s="1"/>
  <c r="T5" i="9"/>
  <c r="T6" i="9"/>
  <c r="T7" i="9"/>
  <c r="T8" i="9"/>
  <c r="U7" i="9"/>
  <c r="V7" i="9" s="1"/>
  <c r="U5" i="9"/>
  <c r="V5" i="9" s="1"/>
  <c r="U6" i="9"/>
  <c r="V6" i="9" s="1"/>
  <c r="F21" i="9"/>
  <c r="AJ14" i="9"/>
  <c r="AJ13" i="9"/>
  <c r="AJ12" i="9"/>
  <c r="AJ11" i="9"/>
  <c r="AJ10" i="9"/>
  <c r="AJ9" i="9"/>
  <c r="AK9" i="9" s="1"/>
  <c r="AJ8" i="9"/>
  <c r="AJ7" i="9"/>
  <c r="AJ6" i="9"/>
  <c r="AK6" i="9" s="1"/>
  <c r="AK7" i="9" s="1"/>
  <c r="AK8" i="9" s="1"/>
  <c r="AJ5" i="9"/>
  <c r="AK5" i="9"/>
  <c r="J14" i="9"/>
  <c r="AJ4" i="9"/>
  <c r="N77" i="18"/>
  <c r="F77" i="18"/>
  <c r="N76" i="18"/>
  <c r="F76" i="18"/>
  <c r="N75" i="18"/>
  <c r="F75" i="18"/>
  <c r="N74" i="18"/>
  <c r="F74" i="18"/>
  <c r="N73" i="18"/>
  <c r="F73" i="18"/>
  <c r="N72" i="18"/>
  <c r="F72" i="18"/>
  <c r="N71" i="18"/>
  <c r="F71" i="18"/>
  <c r="N70" i="18"/>
  <c r="F70" i="18"/>
  <c r="N69" i="18"/>
  <c r="F69" i="18"/>
  <c r="N68" i="18"/>
  <c r="F68" i="18"/>
  <c r="N67" i="18"/>
  <c r="F67" i="18"/>
  <c r="N66" i="18"/>
  <c r="F66" i="18"/>
  <c r="N65" i="18"/>
  <c r="F65" i="18"/>
  <c r="N64" i="18"/>
  <c r="F64" i="18"/>
  <c r="F62" i="18" s="1"/>
  <c r="N63" i="18"/>
  <c r="F63" i="18"/>
  <c r="O5" i="18"/>
  <c r="K5" i="18"/>
  <c r="J41" i="17"/>
  <c r="F41" i="17"/>
  <c r="B41" i="17"/>
  <c r="J40" i="17"/>
  <c r="F40" i="17"/>
  <c r="B40" i="17"/>
  <c r="J39" i="17"/>
  <c r="F39" i="17"/>
  <c r="B39" i="17"/>
  <c r="J38" i="17"/>
  <c r="F38" i="17"/>
  <c r="B38" i="17"/>
  <c r="J37" i="17"/>
  <c r="F37" i="17"/>
  <c r="B37" i="17"/>
  <c r="M32" i="17"/>
  <c r="N32" i="17" s="1"/>
  <c r="J32" i="17"/>
  <c r="I32" i="17"/>
  <c r="E32" i="17"/>
  <c r="F32" i="17" s="1"/>
  <c r="B32" i="17"/>
  <c r="B66" i="1" s="1"/>
  <c r="A143" i="21" s="1"/>
  <c r="M31" i="17"/>
  <c r="N31" i="17" s="1"/>
  <c r="I31" i="17"/>
  <c r="J31" i="17" s="1"/>
  <c r="E31" i="17"/>
  <c r="F31" i="17" s="1"/>
  <c r="B31" i="17"/>
  <c r="B65" i="1" s="1"/>
  <c r="A142" i="21" s="1"/>
  <c r="N30" i="17"/>
  <c r="M30" i="17"/>
  <c r="I30" i="17"/>
  <c r="J30" i="17" s="1"/>
  <c r="F30" i="17"/>
  <c r="E30" i="17"/>
  <c r="B30" i="17"/>
  <c r="B64" i="1" s="1"/>
  <c r="A141" i="21" s="1"/>
  <c r="N29" i="17"/>
  <c r="M29" i="17"/>
  <c r="I29" i="17"/>
  <c r="J29" i="17" s="1"/>
  <c r="F29" i="17"/>
  <c r="E29" i="17"/>
  <c r="B29" i="17"/>
  <c r="B63" i="1" s="1"/>
  <c r="A140" i="21" s="1"/>
  <c r="M28" i="17"/>
  <c r="N28" i="17" s="1"/>
  <c r="J28" i="17"/>
  <c r="I28" i="17"/>
  <c r="E28" i="17"/>
  <c r="F28" i="17" s="1"/>
  <c r="B28" i="17"/>
  <c r="B62" i="1" s="1"/>
  <c r="A139" i="21" s="1"/>
  <c r="M27" i="17"/>
  <c r="N27" i="17" s="1"/>
  <c r="F27" i="17"/>
  <c r="E27" i="17"/>
  <c r="B27" i="17"/>
  <c r="B61" i="1" s="1"/>
  <c r="A138" i="21" s="1"/>
  <c r="M26" i="17"/>
  <c r="N26" i="17" s="1"/>
  <c r="B26" i="17"/>
  <c r="B60" i="1" s="1"/>
  <c r="A137" i="21" s="1"/>
  <c r="M25" i="17"/>
  <c r="N25" i="17" s="1"/>
  <c r="J25" i="17"/>
  <c r="J59" i="1" s="1"/>
  <c r="A180" i="21" s="1"/>
  <c r="B25" i="17"/>
  <c r="B59" i="1" s="1"/>
  <c r="A136" i="21" s="1"/>
  <c r="M24" i="17"/>
  <c r="N24" i="17" s="1"/>
  <c r="J24" i="17"/>
  <c r="J58" i="1" s="1"/>
  <c r="A179" i="21" s="1"/>
  <c r="F24" i="17"/>
  <c r="E24" i="17"/>
  <c r="B24" i="17"/>
  <c r="B58" i="1" s="1"/>
  <c r="A135" i="21" s="1"/>
  <c r="N23" i="17"/>
  <c r="M23" i="17"/>
  <c r="J23" i="17"/>
  <c r="J57" i="1" s="1"/>
  <c r="A178" i="21" s="1"/>
  <c r="E23" i="17"/>
  <c r="F23" i="17" s="1"/>
  <c r="B23" i="17"/>
  <c r="B57" i="1" s="1"/>
  <c r="A134" i="21" s="1"/>
  <c r="M22" i="17"/>
  <c r="N22" i="17" s="1"/>
  <c r="J22" i="17"/>
  <c r="J56" i="1" s="1"/>
  <c r="A177" i="21" s="1"/>
  <c r="F22" i="17"/>
  <c r="E22" i="17"/>
  <c r="B22" i="17"/>
  <c r="B56" i="1" s="1"/>
  <c r="F21" i="17"/>
  <c r="E21" i="17"/>
  <c r="B21" i="17"/>
  <c r="B55" i="1" s="1"/>
  <c r="A132" i="21" s="1"/>
  <c r="E20" i="17"/>
  <c r="F20" i="17" s="1"/>
  <c r="B20" i="17"/>
  <c r="B54" i="1" s="1"/>
  <c r="A131" i="21" s="1"/>
  <c r="M19" i="17"/>
  <c r="N19" i="17" s="1"/>
  <c r="J19" i="17"/>
  <c r="J53" i="1" s="1"/>
  <c r="A158" i="21" s="1"/>
  <c r="F19" i="17"/>
  <c r="E19" i="17"/>
  <c r="B19" i="17"/>
  <c r="B53" i="1" s="1"/>
  <c r="A130" i="21" s="1"/>
  <c r="M18" i="17"/>
  <c r="N18" i="17" s="1"/>
  <c r="J18" i="17"/>
  <c r="J52" i="1" s="1"/>
  <c r="B18" i="17"/>
  <c r="B52" i="1" s="1"/>
  <c r="A129" i="21" s="1"/>
  <c r="N17" i="17"/>
  <c r="M17" i="17"/>
  <c r="J17" i="17"/>
  <c r="J51" i="1" s="1"/>
  <c r="B4" i="5" s="1"/>
  <c r="B17" i="17"/>
  <c r="M16" i="17"/>
  <c r="N16" i="17" s="1"/>
  <c r="J16" i="17"/>
  <c r="J50" i="1" s="1"/>
  <c r="A155" i="21" s="1"/>
  <c r="F16" i="17"/>
  <c r="F50" i="1" s="1"/>
  <c r="A170" i="21" s="1"/>
  <c r="B16" i="17"/>
  <c r="B50" i="1" s="1"/>
  <c r="A127" i="21" s="1"/>
  <c r="N15" i="17"/>
  <c r="M15" i="17"/>
  <c r="J15" i="17"/>
  <c r="F15" i="17"/>
  <c r="F49" i="1" s="1"/>
  <c r="A169" i="21" s="1"/>
  <c r="B15" i="17"/>
  <c r="B49" i="1" s="1"/>
  <c r="M14" i="17"/>
  <c r="N14" i="17" s="1"/>
  <c r="J14" i="17"/>
  <c r="J48" i="1" s="1"/>
  <c r="A153" i="21" s="1"/>
  <c r="F14" i="17"/>
  <c r="F48" i="1" s="1"/>
  <c r="A168" i="21" s="1"/>
  <c r="B14" i="17"/>
  <c r="B48" i="1" s="1"/>
  <c r="A125" i="21" s="1"/>
  <c r="M13" i="17"/>
  <c r="N13" i="17" s="1"/>
  <c r="J13" i="17"/>
  <c r="J47" i="1" s="1"/>
  <c r="A152" i="21" s="1"/>
  <c r="F13" i="17"/>
  <c r="F47" i="1" s="1"/>
  <c r="A167" i="21" s="1"/>
  <c r="B13" i="17"/>
  <c r="B47" i="1" s="1"/>
  <c r="A124" i="21" s="1"/>
  <c r="N12" i="17"/>
  <c r="M12" i="17"/>
  <c r="J12" i="17"/>
  <c r="J46" i="1" s="1"/>
  <c r="A151" i="21" s="1"/>
  <c r="F12" i="17"/>
  <c r="F46" i="1" s="1"/>
  <c r="A166" i="21" s="1"/>
  <c r="B12" i="17"/>
  <c r="B46" i="1" s="1"/>
  <c r="A123" i="21" s="1"/>
  <c r="N11" i="17"/>
  <c r="M11" i="17"/>
  <c r="J11" i="17"/>
  <c r="J45" i="1" s="1"/>
  <c r="A150" i="21" s="1"/>
  <c r="F11" i="17"/>
  <c r="F45" i="1" s="1"/>
  <c r="B11" i="17"/>
  <c r="B45" i="1" s="1"/>
  <c r="A122" i="21" s="1"/>
  <c r="E8" i="17"/>
  <c r="D8" i="17"/>
  <c r="C8" i="17"/>
  <c r="B8" i="17"/>
  <c r="A8" i="17"/>
  <c r="F8" i="17" s="1"/>
  <c r="F7" i="17"/>
  <c r="E7" i="17"/>
  <c r="D7" i="17"/>
  <c r="C7" i="17"/>
  <c r="B7" i="17"/>
  <c r="A7" i="17"/>
  <c r="E6" i="17"/>
  <c r="D6" i="17"/>
  <c r="C6" i="17"/>
  <c r="B6" i="17"/>
  <c r="A6" i="17"/>
  <c r="F6" i="17" s="1"/>
  <c r="E5" i="17"/>
  <c r="D5" i="17"/>
  <c r="C5" i="17"/>
  <c r="B5" i="17"/>
  <c r="A5" i="17"/>
  <c r="F5" i="17" s="1"/>
  <c r="F4" i="17"/>
  <c r="E4" i="17"/>
  <c r="D4" i="17"/>
  <c r="C4" i="17"/>
  <c r="B4" i="17"/>
  <c r="A4" i="17"/>
  <c r="B3" i="6"/>
  <c r="A3" i="6"/>
  <c r="R1524" i="12"/>
  <c r="V1524" i="12" s="1"/>
  <c r="AA1524" i="12" s="1"/>
  <c r="B27" i="12"/>
  <c r="B28" i="12"/>
  <c r="B29" i="12" s="1"/>
  <c r="R1523" i="12"/>
  <c r="V1523" i="12" s="1"/>
  <c r="AA1523" i="12" s="1"/>
  <c r="R1522" i="12"/>
  <c r="V1522" i="12" s="1"/>
  <c r="AA1522" i="12" s="1"/>
  <c r="R1521" i="12"/>
  <c r="V1521" i="12" s="1"/>
  <c r="AA1521" i="12" s="1"/>
  <c r="AB1521" i="12" s="1"/>
  <c r="R1520" i="12"/>
  <c r="V1520" i="12" s="1"/>
  <c r="AA1520" i="12" s="1"/>
  <c r="R1519" i="12"/>
  <c r="V1519" i="12" s="1"/>
  <c r="AA1519" i="12" s="1"/>
  <c r="R1518" i="12"/>
  <c r="V1518" i="12" s="1"/>
  <c r="AA1518" i="12" s="1"/>
  <c r="R1517" i="12"/>
  <c r="V1517" i="12" s="1"/>
  <c r="AA1517" i="12" s="1"/>
  <c r="AD1517" i="12" s="1"/>
  <c r="R1516" i="12"/>
  <c r="V1516" i="12" s="1"/>
  <c r="AA1516" i="12" s="1"/>
  <c r="R1515" i="12"/>
  <c r="V1515" i="12" s="1"/>
  <c r="AA1515" i="12" s="1"/>
  <c r="R1514" i="12"/>
  <c r="V1514" i="12" s="1"/>
  <c r="AA1514" i="12" s="1"/>
  <c r="R1513" i="12"/>
  <c r="V1513" i="12" s="1"/>
  <c r="AA1513" i="12" s="1"/>
  <c r="R1512" i="12"/>
  <c r="V1512" i="12" s="1"/>
  <c r="AA1512" i="12" s="1"/>
  <c r="R1511" i="12"/>
  <c r="V1511" i="12" s="1"/>
  <c r="AA1511" i="12" s="1"/>
  <c r="R1510" i="12"/>
  <c r="V1510" i="12" s="1"/>
  <c r="AA1510" i="12" s="1"/>
  <c r="R1509" i="12"/>
  <c r="V1509" i="12" s="1"/>
  <c r="AA1509" i="12" s="1"/>
  <c r="AD1509" i="12" s="1"/>
  <c r="R1508" i="12"/>
  <c r="V1508" i="12" s="1"/>
  <c r="AA1508" i="12" s="1"/>
  <c r="R1507" i="12"/>
  <c r="V1507" i="12" s="1"/>
  <c r="AA1507" i="12" s="1"/>
  <c r="R1506" i="12"/>
  <c r="V1506" i="12" s="1"/>
  <c r="AA1506" i="12" s="1"/>
  <c r="R1505" i="12"/>
  <c r="V1505" i="12" s="1"/>
  <c r="AA1505" i="12" s="1"/>
  <c r="R1504" i="12"/>
  <c r="V1504" i="12" s="1"/>
  <c r="AA1504" i="12" s="1"/>
  <c r="AB1504" i="12" s="1"/>
  <c r="V1503" i="12"/>
  <c r="AA1503" i="12" s="1"/>
  <c r="R1503" i="12"/>
  <c r="R1502" i="12"/>
  <c r="V1502" i="12" s="1"/>
  <c r="AA1502" i="12" s="1"/>
  <c r="R1501" i="12"/>
  <c r="V1501" i="12" s="1"/>
  <c r="AA1501" i="12" s="1"/>
  <c r="R1500" i="12"/>
  <c r="V1500" i="12" s="1"/>
  <c r="AA1500" i="12" s="1"/>
  <c r="R1499" i="12"/>
  <c r="V1499" i="12" s="1"/>
  <c r="AA1499" i="12" s="1"/>
  <c r="R1498" i="12"/>
  <c r="V1498" i="12" s="1"/>
  <c r="AA1498" i="12" s="1"/>
  <c r="R1497" i="12"/>
  <c r="V1497" i="12" s="1"/>
  <c r="AA1497" i="12" s="1"/>
  <c r="R1496" i="12"/>
  <c r="V1496" i="12" s="1"/>
  <c r="AA1496" i="12" s="1"/>
  <c r="AD1496" i="12" s="1"/>
  <c r="R1495" i="12"/>
  <c r="V1495" i="12" s="1"/>
  <c r="AA1495" i="12" s="1"/>
  <c r="R1494" i="12"/>
  <c r="V1494" i="12" s="1"/>
  <c r="AA1494" i="12" s="1"/>
  <c r="R1493" i="12"/>
  <c r="V1493" i="12" s="1"/>
  <c r="AA1493" i="12" s="1"/>
  <c r="R1492" i="12"/>
  <c r="V1492" i="12" s="1"/>
  <c r="AA1492" i="12" s="1"/>
  <c r="R1491" i="12"/>
  <c r="V1491" i="12" s="1"/>
  <c r="AA1491" i="12" s="1"/>
  <c r="V1490" i="12"/>
  <c r="AA1490" i="12" s="1"/>
  <c r="R1490" i="12"/>
  <c r="R1489" i="12"/>
  <c r="V1489" i="12" s="1"/>
  <c r="AA1489" i="12" s="1"/>
  <c r="R1488" i="12"/>
  <c r="V1488" i="12" s="1"/>
  <c r="AA1488" i="12" s="1"/>
  <c r="R1487" i="12"/>
  <c r="V1487" i="12" s="1"/>
  <c r="AA1487" i="12" s="1"/>
  <c r="R1486" i="12"/>
  <c r="V1486" i="12" s="1"/>
  <c r="AA1486" i="12" s="1"/>
  <c r="R1485" i="12"/>
  <c r="V1485" i="12" s="1"/>
  <c r="AA1485" i="12" s="1"/>
  <c r="R1484" i="12"/>
  <c r="V1484" i="12" s="1"/>
  <c r="AA1484" i="12" s="1"/>
  <c r="R1483" i="12"/>
  <c r="V1483" i="12" s="1"/>
  <c r="AA1483" i="12" s="1"/>
  <c r="AD1483" i="12" s="1"/>
  <c r="R1482" i="12"/>
  <c r="V1482" i="12" s="1"/>
  <c r="AA1482" i="12" s="1"/>
  <c r="R1481" i="12"/>
  <c r="V1481" i="12" s="1"/>
  <c r="AA1481" i="12" s="1"/>
  <c r="R1480" i="12"/>
  <c r="V1480" i="12" s="1"/>
  <c r="AA1480" i="12" s="1"/>
  <c r="V1479" i="12"/>
  <c r="AA1479" i="12" s="1"/>
  <c r="AB1479" i="12" s="1"/>
  <c r="R1479" i="12"/>
  <c r="R1478" i="12"/>
  <c r="V1478" i="12" s="1"/>
  <c r="AA1478" i="12" s="1"/>
  <c r="AB1478" i="12" s="1"/>
  <c r="R1477" i="12"/>
  <c r="V1477" i="12" s="1"/>
  <c r="AA1477" i="12" s="1"/>
  <c r="AA1476" i="12"/>
  <c r="AB1476" i="12" s="1"/>
  <c r="R1476" i="12"/>
  <c r="V1476" i="12" s="1"/>
  <c r="R1475" i="12"/>
  <c r="V1475" i="12" s="1"/>
  <c r="AA1475" i="12" s="1"/>
  <c r="R1474" i="12"/>
  <c r="V1474" i="12" s="1"/>
  <c r="AA1474" i="12" s="1"/>
  <c r="R1473" i="12"/>
  <c r="V1473" i="12" s="1"/>
  <c r="AA1473" i="12" s="1"/>
  <c r="R1472" i="12"/>
  <c r="V1472" i="12" s="1"/>
  <c r="AA1472" i="12" s="1"/>
  <c r="V1471" i="12"/>
  <c r="AA1471" i="12" s="1"/>
  <c r="R1471" i="12"/>
  <c r="R1470" i="12"/>
  <c r="V1470" i="12" s="1"/>
  <c r="AA1470" i="12" s="1"/>
  <c r="R1469" i="12"/>
  <c r="V1469" i="12" s="1"/>
  <c r="AA1469" i="12" s="1"/>
  <c r="R1468" i="12"/>
  <c r="V1468" i="12" s="1"/>
  <c r="AA1468" i="12" s="1"/>
  <c r="R1467" i="12"/>
  <c r="V1467" i="12" s="1"/>
  <c r="AA1467" i="12" s="1"/>
  <c r="AD1467" i="12" s="1"/>
  <c r="V1466" i="12"/>
  <c r="AA1466" i="12" s="1"/>
  <c r="R1466" i="12"/>
  <c r="V1465" i="12"/>
  <c r="AA1465" i="12" s="1"/>
  <c r="R1465" i="12"/>
  <c r="R1464" i="12"/>
  <c r="V1464" i="12" s="1"/>
  <c r="AA1464" i="12" s="1"/>
  <c r="V1463" i="12"/>
  <c r="AA1463" i="12" s="1"/>
  <c r="R1463" i="12"/>
  <c r="R1462" i="12"/>
  <c r="V1462" i="12" s="1"/>
  <c r="AA1462" i="12" s="1"/>
  <c r="R1461" i="12"/>
  <c r="V1461" i="12" s="1"/>
  <c r="AA1461" i="12" s="1"/>
  <c r="R1460" i="12"/>
  <c r="V1460" i="12" s="1"/>
  <c r="AA1460" i="12" s="1"/>
  <c r="R1459" i="12"/>
  <c r="V1459" i="12" s="1"/>
  <c r="AA1459" i="12" s="1"/>
  <c r="R1458" i="12"/>
  <c r="V1458" i="12" s="1"/>
  <c r="AA1458" i="12" s="1"/>
  <c r="R1457" i="12"/>
  <c r="V1457" i="12" s="1"/>
  <c r="AA1457" i="12" s="1"/>
  <c r="AB1457" i="12" s="1"/>
  <c r="R1456" i="12"/>
  <c r="V1456" i="12" s="1"/>
  <c r="AA1456" i="12" s="1"/>
  <c r="R1455" i="12"/>
  <c r="V1455" i="12" s="1"/>
  <c r="AA1455" i="12" s="1"/>
  <c r="AB1455" i="12" s="1"/>
  <c r="V1454" i="12"/>
  <c r="AA1454" i="12" s="1"/>
  <c r="R1454" i="12"/>
  <c r="V1453" i="12"/>
  <c r="AA1453" i="12" s="1"/>
  <c r="R1453" i="12"/>
  <c r="R1452" i="12"/>
  <c r="V1452" i="12" s="1"/>
  <c r="AA1452" i="12" s="1"/>
  <c r="R1451" i="12"/>
  <c r="V1451" i="12" s="1"/>
  <c r="AA1451" i="12" s="1"/>
  <c r="AD1451" i="12" s="1"/>
  <c r="R1450" i="12"/>
  <c r="V1450" i="12" s="1"/>
  <c r="AA1450" i="12" s="1"/>
  <c r="V1449" i="12"/>
  <c r="AA1449" i="12" s="1"/>
  <c r="R1449" i="12"/>
  <c r="R1448" i="12"/>
  <c r="V1448" i="12" s="1"/>
  <c r="AA1448" i="12" s="1"/>
  <c r="R1447" i="12"/>
  <c r="V1447" i="12" s="1"/>
  <c r="AA1447" i="12" s="1"/>
  <c r="R1446" i="12"/>
  <c r="V1446" i="12" s="1"/>
  <c r="AA1446" i="12" s="1"/>
  <c r="AD1446" i="12" s="1"/>
  <c r="R1445" i="12"/>
  <c r="V1445" i="12" s="1"/>
  <c r="AA1445" i="12" s="1"/>
  <c r="V1444" i="12"/>
  <c r="AA1444" i="12" s="1"/>
  <c r="R1444" i="12"/>
  <c r="V1443" i="12"/>
  <c r="AA1443" i="12" s="1"/>
  <c r="AB1443" i="12" s="1"/>
  <c r="R1443" i="12"/>
  <c r="V1442" i="12"/>
  <c r="AA1442" i="12" s="1"/>
  <c r="R1442" i="12"/>
  <c r="AA1441" i="12"/>
  <c r="R1441" i="12"/>
  <c r="V1441" i="12" s="1"/>
  <c r="R1440" i="12"/>
  <c r="V1440" i="12" s="1"/>
  <c r="AA1440" i="12" s="1"/>
  <c r="V1439" i="12"/>
  <c r="AA1439" i="12" s="1"/>
  <c r="R1439" i="12"/>
  <c r="R1438" i="12"/>
  <c r="V1438" i="12" s="1"/>
  <c r="AA1438" i="12" s="1"/>
  <c r="V1437" i="12"/>
  <c r="AA1437" i="12" s="1"/>
  <c r="R1437" i="12"/>
  <c r="R1436" i="12"/>
  <c r="V1436" i="12" s="1"/>
  <c r="AA1436" i="12" s="1"/>
  <c r="V1435" i="12"/>
  <c r="AA1435" i="12" s="1"/>
  <c r="AD1435" i="12" s="1"/>
  <c r="R1435" i="12"/>
  <c r="R1434" i="12"/>
  <c r="V1434" i="12" s="1"/>
  <c r="AA1434" i="12" s="1"/>
  <c r="R1433" i="12"/>
  <c r="V1433" i="12" s="1"/>
  <c r="AA1433" i="12" s="1"/>
  <c r="V1432" i="12"/>
  <c r="AA1432" i="12" s="1"/>
  <c r="AD1432" i="12" s="1"/>
  <c r="R1432" i="12"/>
  <c r="R1431" i="12"/>
  <c r="V1431" i="12" s="1"/>
  <c r="AA1431" i="12" s="1"/>
  <c r="R1430" i="12"/>
  <c r="V1430" i="12" s="1"/>
  <c r="AA1430" i="12" s="1"/>
  <c r="R1429" i="12"/>
  <c r="V1429" i="12" s="1"/>
  <c r="AA1429" i="12" s="1"/>
  <c r="R1428" i="12"/>
  <c r="V1428" i="12" s="1"/>
  <c r="AA1428" i="12" s="1"/>
  <c r="R1427" i="12"/>
  <c r="V1427" i="12" s="1"/>
  <c r="AA1427" i="12" s="1"/>
  <c r="R1426" i="12"/>
  <c r="V1426" i="12" s="1"/>
  <c r="AA1426" i="12" s="1"/>
  <c r="R1425" i="12"/>
  <c r="V1425" i="12" s="1"/>
  <c r="AA1425" i="12" s="1"/>
  <c r="R1424" i="12"/>
  <c r="V1424" i="12" s="1"/>
  <c r="AA1424" i="12" s="1"/>
  <c r="R1423" i="12"/>
  <c r="V1423" i="12" s="1"/>
  <c r="AA1423" i="12" s="1"/>
  <c r="R1422" i="12"/>
  <c r="V1422" i="12" s="1"/>
  <c r="AA1422" i="12" s="1"/>
  <c r="R1421" i="12"/>
  <c r="V1421" i="12" s="1"/>
  <c r="AA1421" i="12" s="1"/>
  <c r="R1420" i="12"/>
  <c r="V1420" i="12" s="1"/>
  <c r="AA1420" i="12" s="1"/>
  <c r="R1419" i="12"/>
  <c r="V1419" i="12" s="1"/>
  <c r="AA1419" i="12" s="1"/>
  <c r="R1418" i="12"/>
  <c r="V1418" i="12" s="1"/>
  <c r="AA1418" i="12" s="1"/>
  <c r="R1417" i="12"/>
  <c r="V1417" i="12" s="1"/>
  <c r="AA1417" i="12" s="1"/>
  <c r="R1416" i="12"/>
  <c r="V1416" i="12" s="1"/>
  <c r="AA1416" i="12" s="1"/>
  <c r="AB1416" i="12" s="1"/>
  <c r="V1415" i="12"/>
  <c r="AA1415" i="12" s="1"/>
  <c r="R1415" i="12"/>
  <c r="R1414" i="12"/>
  <c r="V1414" i="12" s="1"/>
  <c r="AA1414" i="12" s="1"/>
  <c r="V1413" i="12"/>
  <c r="AA1413" i="12" s="1"/>
  <c r="R1413" i="12"/>
  <c r="R1412" i="12"/>
  <c r="V1412" i="12" s="1"/>
  <c r="AA1412" i="12" s="1"/>
  <c r="AD1412" i="12" s="1"/>
  <c r="R1411" i="12"/>
  <c r="V1411" i="12" s="1"/>
  <c r="AA1411" i="12" s="1"/>
  <c r="R1410" i="12"/>
  <c r="V1410" i="12" s="1"/>
  <c r="AA1410" i="12" s="1"/>
  <c r="R1409" i="12"/>
  <c r="V1409" i="12" s="1"/>
  <c r="AA1409" i="12" s="1"/>
  <c r="R1408" i="12"/>
  <c r="V1408" i="12" s="1"/>
  <c r="AA1408" i="12" s="1"/>
  <c r="R1407" i="12"/>
  <c r="V1407" i="12" s="1"/>
  <c r="AA1407" i="12" s="1"/>
  <c r="R1406" i="12"/>
  <c r="V1406" i="12" s="1"/>
  <c r="AA1406" i="12" s="1"/>
  <c r="AD1406" i="12" s="1"/>
  <c r="R1405" i="12"/>
  <c r="V1405" i="12" s="1"/>
  <c r="AA1405" i="12" s="1"/>
  <c r="R1404" i="12"/>
  <c r="V1404" i="12" s="1"/>
  <c r="AA1404" i="12" s="1"/>
  <c r="AB1404" i="12" s="1"/>
  <c r="V1403" i="12"/>
  <c r="AA1403" i="12" s="1"/>
  <c r="R1403" i="12"/>
  <c r="R1402" i="12"/>
  <c r="V1402" i="12" s="1"/>
  <c r="AA1402" i="12" s="1"/>
  <c r="R1401" i="12"/>
  <c r="V1401" i="12" s="1"/>
  <c r="AA1401" i="12" s="1"/>
  <c r="R1400" i="12"/>
  <c r="V1400" i="12" s="1"/>
  <c r="AA1400" i="12" s="1"/>
  <c r="R1399" i="12"/>
  <c r="V1399" i="12" s="1"/>
  <c r="AA1399" i="12" s="1"/>
  <c r="AB1399" i="12" s="1"/>
  <c r="R1398" i="12"/>
  <c r="V1398" i="12" s="1"/>
  <c r="AA1398" i="12" s="1"/>
  <c r="R1397" i="12"/>
  <c r="V1397" i="12" s="1"/>
  <c r="AA1397" i="12" s="1"/>
  <c r="AD1397" i="12" s="1"/>
  <c r="V1396" i="12"/>
  <c r="AA1396" i="12" s="1"/>
  <c r="AD1396" i="12" s="1"/>
  <c r="AB1396" i="12"/>
  <c r="R1396" i="12"/>
  <c r="R1395" i="12"/>
  <c r="V1395" i="12" s="1"/>
  <c r="AA1395" i="12" s="1"/>
  <c r="R1394" i="12"/>
  <c r="V1394" i="12" s="1"/>
  <c r="AA1394" i="12" s="1"/>
  <c r="R1393" i="12"/>
  <c r="V1393" i="12" s="1"/>
  <c r="AA1393" i="12" s="1"/>
  <c r="R1392" i="12"/>
  <c r="V1392" i="12" s="1"/>
  <c r="AA1392" i="12" s="1"/>
  <c r="V1391" i="12"/>
  <c r="AA1391" i="12" s="1"/>
  <c r="R1391" i="12"/>
  <c r="R1390" i="12"/>
  <c r="V1390" i="12" s="1"/>
  <c r="AA1390" i="12" s="1"/>
  <c r="R1389" i="12"/>
  <c r="V1389" i="12" s="1"/>
  <c r="AA1389" i="12" s="1"/>
  <c r="R1388" i="12"/>
  <c r="V1388" i="12" s="1"/>
  <c r="AA1388" i="12" s="1"/>
  <c r="R1387" i="12"/>
  <c r="V1387" i="12" s="1"/>
  <c r="AA1387" i="12" s="1"/>
  <c r="R1386" i="12"/>
  <c r="V1386" i="12" s="1"/>
  <c r="AA1386" i="12" s="1"/>
  <c r="R1385" i="12"/>
  <c r="V1385" i="12" s="1"/>
  <c r="AA1385" i="12" s="1"/>
  <c r="R1384" i="12"/>
  <c r="V1384" i="12" s="1"/>
  <c r="AA1384" i="12" s="1"/>
  <c r="AB1384" i="12" s="1"/>
  <c r="R1383" i="12"/>
  <c r="V1383" i="12" s="1"/>
  <c r="AA1383" i="12" s="1"/>
  <c r="R1382" i="12"/>
  <c r="V1382" i="12" s="1"/>
  <c r="AA1382" i="12" s="1"/>
  <c r="R1381" i="12"/>
  <c r="V1381" i="12" s="1"/>
  <c r="AA1381" i="12" s="1"/>
  <c r="R1380" i="12"/>
  <c r="V1380" i="12" s="1"/>
  <c r="AA1380" i="12" s="1"/>
  <c r="R1379" i="12"/>
  <c r="V1379" i="12" s="1"/>
  <c r="AA1379" i="12" s="1"/>
  <c r="R1378" i="12"/>
  <c r="V1378" i="12" s="1"/>
  <c r="AA1378" i="12" s="1"/>
  <c r="R1377" i="12"/>
  <c r="V1377" i="12" s="1"/>
  <c r="AA1377" i="12" s="1"/>
  <c r="R1376" i="12"/>
  <c r="V1376" i="12" s="1"/>
  <c r="AA1376" i="12" s="1"/>
  <c r="R1375" i="12"/>
  <c r="V1375" i="12" s="1"/>
  <c r="AA1375" i="12" s="1"/>
  <c r="V1374" i="12"/>
  <c r="AA1374" i="12" s="1"/>
  <c r="R1374" i="12"/>
  <c r="R1373" i="12"/>
  <c r="V1373" i="12" s="1"/>
  <c r="AA1373" i="12" s="1"/>
  <c r="V1372" i="12"/>
  <c r="AA1372" i="12" s="1"/>
  <c r="R1372" i="12"/>
  <c r="R1371" i="12"/>
  <c r="V1371" i="12" s="1"/>
  <c r="AA1371" i="12" s="1"/>
  <c r="AD1371" i="12" s="1"/>
  <c r="R1370" i="12"/>
  <c r="V1370" i="12" s="1"/>
  <c r="AA1370" i="12" s="1"/>
  <c r="R1369" i="12"/>
  <c r="V1369" i="12" s="1"/>
  <c r="AA1369" i="12" s="1"/>
  <c r="V1368" i="12"/>
  <c r="AA1368" i="12" s="1"/>
  <c r="R1368" i="12"/>
  <c r="R1367" i="12"/>
  <c r="V1367" i="12" s="1"/>
  <c r="AA1367" i="12" s="1"/>
  <c r="R1366" i="12"/>
  <c r="V1366" i="12" s="1"/>
  <c r="AA1366" i="12" s="1"/>
  <c r="R1365" i="12"/>
  <c r="V1365" i="12" s="1"/>
  <c r="AA1365" i="12" s="1"/>
  <c r="R1364" i="12"/>
  <c r="V1364" i="12" s="1"/>
  <c r="AA1364" i="12" s="1"/>
  <c r="AB1364" i="12" s="1"/>
  <c r="R1363" i="12"/>
  <c r="V1363" i="12" s="1"/>
  <c r="AA1363" i="12" s="1"/>
  <c r="R1362" i="12"/>
  <c r="V1362" i="12" s="1"/>
  <c r="AA1362" i="12" s="1"/>
  <c r="R1361" i="12"/>
  <c r="V1361" i="12" s="1"/>
  <c r="AA1361" i="12" s="1"/>
  <c r="R1360" i="12"/>
  <c r="V1360" i="12" s="1"/>
  <c r="AA1360" i="12" s="1"/>
  <c r="R1359" i="12"/>
  <c r="V1359" i="12" s="1"/>
  <c r="AA1359" i="12" s="1"/>
  <c r="R1358" i="12"/>
  <c r="V1358" i="12" s="1"/>
  <c r="AA1358" i="12" s="1"/>
  <c r="R1357" i="12"/>
  <c r="V1357" i="12" s="1"/>
  <c r="AA1357" i="12" s="1"/>
  <c r="R1356" i="12"/>
  <c r="V1356" i="12" s="1"/>
  <c r="AA1356" i="12" s="1"/>
  <c r="R1355" i="12"/>
  <c r="V1355" i="12" s="1"/>
  <c r="AA1355" i="12" s="1"/>
  <c r="R1354" i="12"/>
  <c r="V1354" i="12" s="1"/>
  <c r="AA1354" i="12" s="1"/>
  <c r="R1353" i="12"/>
  <c r="V1353" i="12" s="1"/>
  <c r="AA1353" i="12" s="1"/>
  <c r="AD1353" i="12" s="1"/>
  <c r="R1352" i="12"/>
  <c r="V1352" i="12" s="1"/>
  <c r="AA1352" i="12" s="1"/>
  <c r="AD1352" i="12" s="1"/>
  <c r="R1351" i="12"/>
  <c r="V1351" i="12" s="1"/>
  <c r="AA1351" i="12" s="1"/>
  <c r="R1350" i="12"/>
  <c r="V1350" i="12" s="1"/>
  <c r="AA1350" i="12" s="1"/>
  <c r="R1349" i="12"/>
  <c r="V1349" i="12" s="1"/>
  <c r="AA1349" i="12" s="1"/>
  <c r="AD1349" i="12" s="1"/>
  <c r="R1348" i="12"/>
  <c r="V1348" i="12" s="1"/>
  <c r="AA1348" i="12" s="1"/>
  <c r="V1347" i="12"/>
  <c r="AA1347" i="12" s="1"/>
  <c r="R1347" i="12"/>
  <c r="R1346" i="12"/>
  <c r="V1346" i="12" s="1"/>
  <c r="AA1346" i="12" s="1"/>
  <c r="R1345" i="12"/>
  <c r="V1345" i="12" s="1"/>
  <c r="AA1345" i="12" s="1"/>
  <c r="R1344" i="12"/>
  <c r="V1344" i="12" s="1"/>
  <c r="AA1344" i="12" s="1"/>
  <c r="R1343" i="12"/>
  <c r="V1343" i="12" s="1"/>
  <c r="AA1343" i="12" s="1"/>
  <c r="R1342" i="12"/>
  <c r="V1342" i="12" s="1"/>
  <c r="AA1342" i="12" s="1"/>
  <c r="AB1342" i="12" s="1"/>
  <c r="R1341" i="12"/>
  <c r="V1341" i="12" s="1"/>
  <c r="AA1341" i="12" s="1"/>
  <c r="R1340" i="12"/>
  <c r="V1340" i="12" s="1"/>
  <c r="AA1340" i="12" s="1"/>
  <c r="R1339" i="12"/>
  <c r="V1339" i="12" s="1"/>
  <c r="AA1339" i="12" s="1"/>
  <c r="AB1339" i="12" s="1"/>
  <c r="R1338" i="12"/>
  <c r="V1338" i="12" s="1"/>
  <c r="AA1338" i="12" s="1"/>
  <c r="R1337" i="12"/>
  <c r="V1337" i="12" s="1"/>
  <c r="AA1337" i="12" s="1"/>
  <c r="R1336" i="12"/>
  <c r="V1336" i="12" s="1"/>
  <c r="AA1336" i="12" s="1"/>
  <c r="AD1336" i="12" s="1"/>
  <c r="R1335" i="12"/>
  <c r="V1335" i="12" s="1"/>
  <c r="AA1335" i="12" s="1"/>
  <c r="R1334" i="12"/>
  <c r="V1334" i="12" s="1"/>
  <c r="AA1334" i="12" s="1"/>
  <c r="R1333" i="12"/>
  <c r="V1333" i="12" s="1"/>
  <c r="AA1333" i="12" s="1"/>
  <c r="R1332" i="12"/>
  <c r="V1332" i="12" s="1"/>
  <c r="AA1332" i="12" s="1"/>
  <c r="AB1332" i="12" s="1"/>
  <c r="V1331" i="12"/>
  <c r="AA1331" i="12" s="1"/>
  <c r="R1331" i="12"/>
  <c r="V1330" i="12"/>
  <c r="AA1330" i="12" s="1"/>
  <c r="R1330" i="12"/>
  <c r="R1329" i="12"/>
  <c r="V1329" i="12" s="1"/>
  <c r="AA1329" i="12" s="1"/>
  <c r="R1328" i="12"/>
  <c r="V1328" i="12" s="1"/>
  <c r="AA1328" i="12" s="1"/>
  <c r="R1327" i="12"/>
  <c r="V1327" i="12" s="1"/>
  <c r="AA1327" i="12" s="1"/>
  <c r="AB1327" i="12" s="1"/>
  <c r="R1326" i="12"/>
  <c r="V1326" i="12" s="1"/>
  <c r="AA1326" i="12" s="1"/>
  <c r="V1325" i="12"/>
  <c r="AA1325" i="12" s="1"/>
  <c r="R1325" i="12"/>
  <c r="R1324" i="12"/>
  <c r="V1324" i="12" s="1"/>
  <c r="AA1324" i="12" s="1"/>
  <c r="AD1324" i="12" s="1"/>
  <c r="V1323" i="12"/>
  <c r="AA1323" i="12" s="1"/>
  <c r="R1323" i="12"/>
  <c r="V1322" i="12"/>
  <c r="AA1322" i="12" s="1"/>
  <c r="R1322" i="12"/>
  <c r="R1321" i="12"/>
  <c r="V1321" i="12" s="1"/>
  <c r="AA1321" i="12" s="1"/>
  <c r="R1320" i="12"/>
  <c r="V1320" i="12" s="1"/>
  <c r="AA1320" i="12" s="1"/>
  <c r="V1319" i="12"/>
  <c r="AA1319" i="12" s="1"/>
  <c r="R1319" i="12"/>
  <c r="R1318" i="12"/>
  <c r="V1318" i="12" s="1"/>
  <c r="AA1318" i="12" s="1"/>
  <c r="R1317" i="12"/>
  <c r="V1317" i="12" s="1"/>
  <c r="AA1317" i="12" s="1"/>
  <c r="V1316" i="12"/>
  <c r="AA1316" i="12" s="1"/>
  <c r="R1316" i="12"/>
  <c r="R1315" i="12"/>
  <c r="V1315" i="12" s="1"/>
  <c r="AA1315" i="12" s="1"/>
  <c r="R1314" i="12"/>
  <c r="V1314" i="12" s="1"/>
  <c r="AA1314" i="12" s="1"/>
  <c r="R1313" i="12"/>
  <c r="V1313" i="12" s="1"/>
  <c r="AA1313" i="12" s="1"/>
  <c r="V1312" i="12"/>
  <c r="AA1312" i="12" s="1"/>
  <c r="R1312" i="12"/>
  <c r="R1311" i="12"/>
  <c r="V1311" i="12" s="1"/>
  <c r="AA1311" i="12" s="1"/>
  <c r="R1310" i="12"/>
  <c r="V1310" i="12" s="1"/>
  <c r="AA1310" i="12" s="1"/>
  <c r="R1309" i="12"/>
  <c r="V1309" i="12" s="1"/>
  <c r="AA1309" i="12" s="1"/>
  <c r="R1308" i="12"/>
  <c r="V1308" i="12" s="1"/>
  <c r="AA1308" i="12" s="1"/>
  <c r="AB1308" i="12" s="1"/>
  <c r="V1307" i="12"/>
  <c r="AA1307" i="12" s="1"/>
  <c r="R1307" i="12"/>
  <c r="R1306" i="12"/>
  <c r="V1306" i="12" s="1"/>
  <c r="AA1306" i="12" s="1"/>
  <c r="R1305" i="12"/>
  <c r="V1305" i="12" s="1"/>
  <c r="AA1305" i="12" s="1"/>
  <c r="V1304" i="12"/>
  <c r="AA1304" i="12" s="1"/>
  <c r="AB1304" i="12" s="1"/>
  <c r="AD1304" i="12"/>
  <c r="R1304" i="12"/>
  <c r="R1303" i="12"/>
  <c r="V1303" i="12" s="1"/>
  <c r="AA1303" i="12" s="1"/>
  <c r="R1302" i="12"/>
  <c r="V1302" i="12" s="1"/>
  <c r="AA1302" i="12" s="1"/>
  <c r="R1301" i="12"/>
  <c r="V1301" i="12" s="1"/>
  <c r="AA1301" i="12" s="1"/>
  <c r="V1300" i="12"/>
  <c r="AA1300" i="12" s="1"/>
  <c r="R1300" i="12"/>
  <c r="R1299" i="12"/>
  <c r="V1299" i="12" s="1"/>
  <c r="AA1299" i="12" s="1"/>
  <c r="R1298" i="12"/>
  <c r="V1298" i="12" s="1"/>
  <c r="AA1298" i="12" s="1"/>
  <c r="R1297" i="12"/>
  <c r="V1297" i="12" s="1"/>
  <c r="AA1297" i="12" s="1"/>
  <c r="V1296" i="12"/>
  <c r="AA1296" i="12" s="1"/>
  <c r="AD1296" i="12" s="1"/>
  <c r="R1296" i="12"/>
  <c r="R1295" i="12"/>
  <c r="V1295" i="12" s="1"/>
  <c r="AA1295" i="12" s="1"/>
  <c r="R1294" i="12"/>
  <c r="V1294" i="12" s="1"/>
  <c r="AA1294" i="12" s="1"/>
  <c r="R1293" i="12"/>
  <c r="V1293" i="12" s="1"/>
  <c r="AA1293" i="12" s="1"/>
  <c r="R1292" i="12"/>
  <c r="V1292" i="12" s="1"/>
  <c r="AA1292" i="12" s="1"/>
  <c r="R1291" i="12"/>
  <c r="V1291" i="12" s="1"/>
  <c r="AA1291" i="12" s="1"/>
  <c r="R1290" i="12"/>
  <c r="V1290" i="12" s="1"/>
  <c r="AA1290" i="12" s="1"/>
  <c r="V1289" i="12"/>
  <c r="AA1289" i="12" s="1"/>
  <c r="R1289" i="12"/>
  <c r="R1288" i="12"/>
  <c r="V1288" i="12" s="1"/>
  <c r="AA1288" i="12" s="1"/>
  <c r="R1287" i="12"/>
  <c r="V1287" i="12" s="1"/>
  <c r="AA1287" i="12" s="1"/>
  <c r="V1286" i="12"/>
  <c r="AA1286" i="12" s="1"/>
  <c r="R1286" i="12"/>
  <c r="R1285" i="12"/>
  <c r="V1285" i="12" s="1"/>
  <c r="AA1285" i="12" s="1"/>
  <c r="AD1285" i="12" s="1"/>
  <c r="R1284" i="12"/>
  <c r="V1284" i="12" s="1"/>
  <c r="AA1284" i="12" s="1"/>
  <c r="R1283" i="12"/>
  <c r="V1283" i="12" s="1"/>
  <c r="AA1283" i="12" s="1"/>
  <c r="AD1283" i="12" s="1"/>
  <c r="R1282" i="12"/>
  <c r="V1282" i="12" s="1"/>
  <c r="AA1282" i="12" s="1"/>
  <c r="R1281" i="12"/>
  <c r="V1281" i="12" s="1"/>
  <c r="AA1281" i="12" s="1"/>
  <c r="R1280" i="12"/>
  <c r="V1280" i="12" s="1"/>
  <c r="AA1280" i="12" s="1"/>
  <c r="V1279" i="12"/>
  <c r="AA1279" i="12" s="1"/>
  <c r="R1279" i="12"/>
  <c r="R1278" i="12"/>
  <c r="V1278" i="12" s="1"/>
  <c r="AA1278" i="12" s="1"/>
  <c r="R1277" i="12"/>
  <c r="V1277" i="12" s="1"/>
  <c r="AA1277" i="12" s="1"/>
  <c r="V1276" i="12"/>
  <c r="AA1276" i="12" s="1"/>
  <c r="R1276" i="12"/>
  <c r="R1275" i="12"/>
  <c r="V1275" i="12" s="1"/>
  <c r="AA1275" i="12" s="1"/>
  <c r="R1274" i="12"/>
  <c r="V1274" i="12" s="1"/>
  <c r="AA1274" i="12" s="1"/>
  <c r="R1273" i="12"/>
  <c r="V1273" i="12" s="1"/>
  <c r="AA1273" i="12" s="1"/>
  <c r="V1272" i="12"/>
  <c r="AA1272" i="12" s="1"/>
  <c r="R1272" i="12"/>
  <c r="R1271" i="12"/>
  <c r="V1271" i="12" s="1"/>
  <c r="AA1271" i="12" s="1"/>
  <c r="R1270" i="12"/>
  <c r="V1270" i="12" s="1"/>
  <c r="AA1270" i="12" s="1"/>
  <c r="AD1270" i="12" s="1"/>
  <c r="V1269" i="12"/>
  <c r="AA1269" i="12" s="1"/>
  <c r="R1269" i="12"/>
  <c r="R1268" i="12"/>
  <c r="V1268" i="12" s="1"/>
  <c r="AA1268" i="12" s="1"/>
  <c r="R1267" i="12"/>
  <c r="V1267" i="12" s="1"/>
  <c r="AA1267" i="12" s="1"/>
  <c r="R1266" i="12"/>
  <c r="V1266" i="12" s="1"/>
  <c r="AA1266" i="12" s="1"/>
  <c r="R1265" i="12"/>
  <c r="V1265" i="12" s="1"/>
  <c r="AA1265" i="12" s="1"/>
  <c r="R1264" i="12"/>
  <c r="V1264" i="12" s="1"/>
  <c r="AA1264" i="12" s="1"/>
  <c r="R1263" i="12"/>
  <c r="V1263" i="12" s="1"/>
  <c r="AA1263" i="12" s="1"/>
  <c r="R1262" i="12"/>
  <c r="V1262" i="12" s="1"/>
  <c r="AA1262" i="12" s="1"/>
  <c r="R1261" i="12"/>
  <c r="V1261" i="12" s="1"/>
  <c r="AA1261" i="12" s="1"/>
  <c r="R1260" i="12"/>
  <c r="V1260" i="12" s="1"/>
  <c r="AA1260" i="12" s="1"/>
  <c r="V1259" i="12"/>
  <c r="AA1259" i="12" s="1"/>
  <c r="R1259" i="12"/>
  <c r="V1258" i="12"/>
  <c r="AA1258" i="12" s="1"/>
  <c r="R1258" i="12"/>
  <c r="R1257" i="12"/>
  <c r="V1257" i="12" s="1"/>
  <c r="AA1257" i="12" s="1"/>
  <c r="R1256" i="12"/>
  <c r="V1256" i="12" s="1"/>
  <c r="AA1256" i="12" s="1"/>
  <c r="AB1256" i="12" s="1"/>
  <c r="V1255" i="12"/>
  <c r="AA1255" i="12" s="1"/>
  <c r="R1255" i="12"/>
  <c r="R1254" i="12"/>
  <c r="V1254" i="12" s="1"/>
  <c r="AA1254" i="12" s="1"/>
  <c r="R1253" i="12"/>
  <c r="V1253" i="12" s="1"/>
  <c r="AA1253" i="12" s="1"/>
  <c r="R1252" i="12"/>
  <c r="V1252" i="12" s="1"/>
  <c r="AA1252" i="12" s="1"/>
  <c r="R1251" i="12"/>
  <c r="V1251" i="12" s="1"/>
  <c r="AA1251" i="12" s="1"/>
  <c r="R1250" i="12"/>
  <c r="V1250" i="12" s="1"/>
  <c r="AA1250" i="12" s="1"/>
  <c r="R1249" i="12"/>
  <c r="V1249" i="12" s="1"/>
  <c r="AA1249" i="12" s="1"/>
  <c r="R1248" i="12"/>
  <c r="V1248" i="12" s="1"/>
  <c r="AA1248" i="12" s="1"/>
  <c r="AB1248" i="12" s="1"/>
  <c r="R1247" i="12"/>
  <c r="V1247" i="12" s="1"/>
  <c r="AA1247" i="12" s="1"/>
  <c r="R1246" i="12"/>
  <c r="V1246" i="12" s="1"/>
  <c r="AA1246" i="12" s="1"/>
  <c r="R1245" i="12"/>
  <c r="V1245" i="12" s="1"/>
  <c r="AA1245" i="12" s="1"/>
  <c r="R1244" i="12"/>
  <c r="V1244" i="12" s="1"/>
  <c r="AA1244" i="12" s="1"/>
  <c r="AD1244" i="12" s="1"/>
  <c r="R1243" i="12"/>
  <c r="V1243" i="12" s="1"/>
  <c r="AA1243" i="12" s="1"/>
  <c r="R1242" i="12"/>
  <c r="V1242" i="12" s="1"/>
  <c r="AA1242" i="12" s="1"/>
  <c r="R1241" i="12"/>
  <c r="V1241" i="12" s="1"/>
  <c r="AA1241" i="12" s="1"/>
  <c r="R1240" i="12"/>
  <c r="V1240" i="12" s="1"/>
  <c r="AA1240" i="12" s="1"/>
  <c r="AD1240" i="12" s="1"/>
  <c r="R1239" i="12"/>
  <c r="V1239" i="12" s="1"/>
  <c r="AA1239" i="12" s="1"/>
  <c r="R1238" i="12"/>
  <c r="V1238" i="12" s="1"/>
  <c r="AA1238" i="12" s="1"/>
  <c r="R1237" i="12"/>
  <c r="V1237" i="12" s="1"/>
  <c r="AA1237" i="12" s="1"/>
  <c r="R1236" i="12"/>
  <c r="V1236" i="12" s="1"/>
  <c r="AA1236" i="12" s="1"/>
  <c r="R1235" i="12"/>
  <c r="V1235" i="12" s="1"/>
  <c r="AA1235" i="12" s="1"/>
  <c r="R1234" i="12"/>
  <c r="V1234" i="12" s="1"/>
  <c r="AA1234" i="12" s="1"/>
  <c r="R1233" i="12"/>
  <c r="V1233" i="12" s="1"/>
  <c r="AA1233" i="12" s="1"/>
  <c r="AD1233" i="12" s="1"/>
  <c r="R1232" i="12"/>
  <c r="V1232" i="12" s="1"/>
  <c r="AA1232" i="12" s="1"/>
  <c r="V1231" i="12"/>
  <c r="AA1231" i="12" s="1"/>
  <c r="R1231" i="12"/>
  <c r="V1230" i="12"/>
  <c r="AA1230" i="12" s="1"/>
  <c r="AD1230" i="12" s="1"/>
  <c r="R1230" i="12"/>
  <c r="R1229" i="12"/>
  <c r="V1229" i="12" s="1"/>
  <c r="AA1229" i="12" s="1"/>
  <c r="R1228" i="12"/>
  <c r="V1228" i="12" s="1"/>
  <c r="AA1228" i="12" s="1"/>
  <c r="R1227" i="12"/>
  <c r="V1227" i="12" s="1"/>
  <c r="AA1227" i="12" s="1"/>
  <c r="R1226" i="12"/>
  <c r="V1226" i="12" s="1"/>
  <c r="AA1226" i="12" s="1"/>
  <c r="R1225" i="12"/>
  <c r="V1225" i="12" s="1"/>
  <c r="AA1225" i="12" s="1"/>
  <c r="V1224" i="12"/>
  <c r="AA1224" i="12" s="1"/>
  <c r="R1224" i="12"/>
  <c r="R1223" i="12"/>
  <c r="V1223" i="12" s="1"/>
  <c r="AA1223" i="12" s="1"/>
  <c r="R1222" i="12"/>
  <c r="V1222" i="12" s="1"/>
  <c r="AA1222" i="12" s="1"/>
  <c r="R1221" i="12"/>
  <c r="V1221" i="12" s="1"/>
  <c r="AA1221" i="12" s="1"/>
  <c r="R1220" i="12"/>
  <c r="V1220" i="12" s="1"/>
  <c r="AA1220" i="12" s="1"/>
  <c r="R1219" i="12"/>
  <c r="V1219" i="12" s="1"/>
  <c r="AA1219" i="12" s="1"/>
  <c r="R1218" i="12"/>
  <c r="V1218" i="12" s="1"/>
  <c r="AA1218" i="12" s="1"/>
  <c r="R1217" i="12"/>
  <c r="V1217" i="12" s="1"/>
  <c r="AA1217" i="12" s="1"/>
  <c r="V1216" i="12"/>
  <c r="AA1216" i="12" s="1"/>
  <c r="R1216" i="12"/>
  <c r="R1215" i="12"/>
  <c r="V1215" i="12" s="1"/>
  <c r="AA1215" i="12" s="1"/>
  <c r="AB1215" i="12" s="1"/>
  <c r="R1214" i="12"/>
  <c r="V1214" i="12" s="1"/>
  <c r="AA1214" i="12" s="1"/>
  <c r="R1213" i="12"/>
  <c r="V1213" i="12" s="1"/>
  <c r="AA1213" i="12" s="1"/>
  <c r="R1212" i="12"/>
  <c r="V1212" i="12" s="1"/>
  <c r="AA1212" i="12" s="1"/>
  <c r="AB1212" i="12" s="1"/>
  <c r="V1211" i="12"/>
  <c r="AA1211" i="12" s="1"/>
  <c r="R1211" i="12"/>
  <c r="R1210" i="12"/>
  <c r="V1210" i="12" s="1"/>
  <c r="AA1210" i="12" s="1"/>
  <c r="AB1210" i="12" s="1"/>
  <c r="R1209" i="12"/>
  <c r="V1209" i="12" s="1"/>
  <c r="AA1209" i="12" s="1"/>
  <c r="V1208" i="12"/>
  <c r="AA1208" i="12" s="1"/>
  <c r="AD1208" i="12" s="1"/>
  <c r="R1208" i="12"/>
  <c r="R1207" i="12"/>
  <c r="V1207" i="12" s="1"/>
  <c r="AA1207" i="12" s="1"/>
  <c r="AD1207" i="12" s="1"/>
  <c r="R1206" i="12"/>
  <c r="V1206" i="12" s="1"/>
  <c r="AA1206" i="12" s="1"/>
  <c r="V1205" i="12"/>
  <c r="AA1205" i="12" s="1"/>
  <c r="AD1205" i="12" s="1"/>
  <c r="R1205" i="12"/>
  <c r="V1204" i="12"/>
  <c r="AA1204" i="12" s="1"/>
  <c r="R1204" i="12"/>
  <c r="R1203" i="12"/>
  <c r="V1203" i="12" s="1"/>
  <c r="AA1203" i="12" s="1"/>
  <c r="R1202" i="12"/>
  <c r="V1202" i="12" s="1"/>
  <c r="AA1202" i="12" s="1"/>
  <c r="V1201" i="12"/>
  <c r="AA1201" i="12" s="1"/>
  <c r="R1201" i="12"/>
  <c r="V1200" i="12"/>
  <c r="AA1200" i="12" s="1"/>
  <c r="R1200" i="12"/>
  <c r="V1199" i="12"/>
  <c r="AA1199" i="12" s="1"/>
  <c r="AB1199" i="12" s="1"/>
  <c r="R1199" i="12"/>
  <c r="V1198" i="12"/>
  <c r="AA1198" i="12" s="1"/>
  <c r="R1198" i="12"/>
  <c r="R1197" i="12"/>
  <c r="V1197" i="12" s="1"/>
  <c r="AA1197" i="12" s="1"/>
  <c r="AB1197" i="12" s="1"/>
  <c r="V1196" i="12"/>
  <c r="AA1196" i="12" s="1"/>
  <c r="R1196" i="12"/>
  <c r="R1195" i="12"/>
  <c r="V1195" i="12" s="1"/>
  <c r="AA1195" i="12" s="1"/>
  <c r="V1194" i="12"/>
  <c r="AA1194" i="12" s="1"/>
  <c r="R1194" i="12"/>
  <c r="V1193" i="12"/>
  <c r="AA1193" i="12" s="1"/>
  <c r="R1193" i="12"/>
  <c r="R1192" i="12"/>
  <c r="V1192" i="12" s="1"/>
  <c r="AA1192" i="12" s="1"/>
  <c r="R1191" i="12"/>
  <c r="V1191" i="12" s="1"/>
  <c r="AA1191" i="12" s="1"/>
  <c r="R1190" i="12"/>
  <c r="V1190" i="12" s="1"/>
  <c r="AA1190" i="12" s="1"/>
  <c r="R1189" i="12"/>
  <c r="V1189" i="12" s="1"/>
  <c r="AA1189" i="12" s="1"/>
  <c r="V1188" i="12"/>
  <c r="AA1188" i="12" s="1"/>
  <c r="R1188" i="12"/>
  <c r="V1187" i="12"/>
  <c r="AA1187" i="12" s="1"/>
  <c r="R1187" i="12"/>
  <c r="R1186" i="12"/>
  <c r="V1186" i="12" s="1"/>
  <c r="AA1186" i="12" s="1"/>
  <c r="V1185" i="12"/>
  <c r="AA1185" i="12" s="1"/>
  <c r="R1185" i="12"/>
  <c r="R1184" i="12"/>
  <c r="V1184" i="12" s="1"/>
  <c r="AA1184" i="12" s="1"/>
  <c r="R1183" i="12"/>
  <c r="V1183" i="12" s="1"/>
  <c r="AA1183" i="12" s="1"/>
  <c r="R1182" i="12"/>
  <c r="V1182" i="12" s="1"/>
  <c r="AA1182" i="12" s="1"/>
  <c r="R1181" i="12"/>
  <c r="V1181" i="12" s="1"/>
  <c r="AA1181" i="12" s="1"/>
  <c r="R1180" i="12"/>
  <c r="V1180" i="12" s="1"/>
  <c r="AA1180" i="12" s="1"/>
  <c r="R1179" i="12"/>
  <c r="V1179" i="12" s="1"/>
  <c r="AA1179" i="12" s="1"/>
  <c r="V1178" i="12"/>
  <c r="AA1178" i="12" s="1"/>
  <c r="R1178" i="12"/>
  <c r="V1177" i="12"/>
  <c r="AA1177" i="12" s="1"/>
  <c r="R1177" i="12"/>
  <c r="R1176" i="12"/>
  <c r="V1176" i="12" s="1"/>
  <c r="AA1176" i="12" s="1"/>
  <c r="R1175" i="12"/>
  <c r="V1175" i="12" s="1"/>
  <c r="AA1175" i="12" s="1"/>
  <c r="R1174" i="12"/>
  <c r="V1174" i="12" s="1"/>
  <c r="AA1174" i="12" s="1"/>
  <c r="R1173" i="12"/>
  <c r="V1173" i="12" s="1"/>
  <c r="AA1173" i="12" s="1"/>
  <c r="R1172" i="12"/>
  <c r="V1172" i="12" s="1"/>
  <c r="AA1172" i="12" s="1"/>
  <c r="AD1172" i="12" s="1"/>
  <c r="R1171" i="12"/>
  <c r="V1171" i="12" s="1"/>
  <c r="AA1171" i="12" s="1"/>
  <c r="R1170" i="12"/>
  <c r="V1170" i="12" s="1"/>
  <c r="AA1170" i="12" s="1"/>
  <c r="R1169" i="12"/>
  <c r="V1169" i="12" s="1"/>
  <c r="AA1169" i="12" s="1"/>
  <c r="R1168" i="12"/>
  <c r="V1168" i="12" s="1"/>
  <c r="AA1168" i="12" s="1"/>
  <c r="AD1168" i="12" s="1"/>
  <c r="R1167" i="12"/>
  <c r="V1167" i="12" s="1"/>
  <c r="AA1167" i="12" s="1"/>
  <c r="AD1167" i="12" s="1"/>
  <c r="R1166" i="12"/>
  <c r="V1166" i="12" s="1"/>
  <c r="AA1166" i="12" s="1"/>
  <c r="R1165" i="12"/>
  <c r="V1165" i="12" s="1"/>
  <c r="AA1165" i="12" s="1"/>
  <c r="AD1165" i="12" s="1"/>
  <c r="R1164" i="12"/>
  <c r="V1164" i="12" s="1"/>
  <c r="AA1164" i="12" s="1"/>
  <c r="R1163" i="12"/>
  <c r="V1163" i="12" s="1"/>
  <c r="AA1163" i="12" s="1"/>
  <c r="V1162" i="12"/>
  <c r="AA1162" i="12" s="1"/>
  <c r="R1162" i="12"/>
  <c r="R1161" i="12"/>
  <c r="V1161" i="12" s="1"/>
  <c r="AA1161" i="12" s="1"/>
  <c r="R1160" i="12"/>
  <c r="V1160" i="12" s="1"/>
  <c r="AA1160" i="12" s="1"/>
  <c r="R1159" i="12"/>
  <c r="V1159" i="12" s="1"/>
  <c r="AA1159" i="12" s="1"/>
  <c r="V1158" i="12"/>
  <c r="AA1158" i="12" s="1"/>
  <c r="R1158" i="12"/>
  <c r="V1157" i="12"/>
  <c r="AA1157" i="12" s="1"/>
  <c r="R1157" i="12"/>
  <c r="R1156" i="12"/>
  <c r="V1156" i="12" s="1"/>
  <c r="AA1156" i="12" s="1"/>
  <c r="AB1156" i="12" s="1"/>
  <c r="R1155" i="12"/>
  <c r="V1155" i="12" s="1"/>
  <c r="AA1155" i="12" s="1"/>
  <c r="R1154" i="12"/>
  <c r="V1154" i="12" s="1"/>
  <c r="AA1154" i="12" s="1"/>
  <c r="R1153" i="12"/>
  <c r="V1153" i="12" s="1"/>
  <c r="AA1153" i="12" s="1"/>
  <c r="R1152" i="12"/>
  <c r="V1152" i="12" s="1"/>
  <c r="AA1152" i="12" s="1"/>
  <c r="AB1152" i="12" s="1"/>
  <c r="R1151" i="12"/>
  <c r="V1151" i="12" s="1"/>
  <c r="AA1151" i="12" s="1"/>
  <c r="R1150" i="12"/>
  <c r="V1150" i="12" s="1"/>
  <c r="AA1150" i="12" s="1"/>
  <c r="R1149" i="12"/>
  <c r="V1149" i="12" s="1"/>
  <c r="AA1149" i="12" s="1"/>
  <c r="R1148" i="12"/>
  <c r="V1148" i="12" s="1"/>
  <c r="AA1148" i="12" s="1"/>
  <c r="AB1148" i="12" s="1"/>
  <c r="R1147" i="12"/>
  <c r="V1147" i="12" s="1"/>
  <c r="AA1147" i="12" s="1"/>
  <c r="R1146" i="12"/>
  <c r="V1146" i="12" s="1"/>
  <c r="AA1146" i="12" s="1"/>
  <c r="V1145" i="12"/>
  <c r="AA1145" i="12" s="1"/>
  <c r="AD1145" i="12" s="1"/>
  <c r="R1145" i="12"/>
  <c r="R1144" i="12"/>
  <c r="V1144" i="12" s="1"/>
  <c r="AA1144" i="12" s="1"/>
  <c r="V1143" i="12"/>
  <c r="AA1143" i="12" s="1"/>
  <c r="R1143" i="12"/>
  <c r="V1142" i="12"/>
  <c r="AA1142" i="12" s="1"/>
  <c r="R1142" i="12"/>
  <c r="R1141" i="12"/>
  <c r="V1141" i="12" s="1"/>
  <c r="AA1141" i="12" s="1"/>
  <c r="R1140" i="12"/>
  <c r="V1140" i="12" s="1"/>
  <c r="AA1140" i="12" s="1"/>
  <c r="AD1140" i="12" s="1"/>
  <c r="R1139" i="12"/>
  <c r="V1139" i="12" s="1"/>
  <c r="AA1139" i="12" s="1"/>
  <c r="R1138" i="12"/>
  <c r="V1138" i="12" s="1"/>
  <c r="AA1138" i="12" s="1"/>
  <c r="R1137" i="12"/>
  <c r="V1137" i="12" s="1"/>
  <c r="AA1137" i="12" s="1"/>
  <c r="V1136" i="12"/>
  <c r="AA1136" i="12" s="1"/>
  <c r="R1136" i="12"/>
  <c r="R1135" i="12"/>
  <c r="V1135" i="12" s="1"/>
  <c r="AA1135" i="12" s="1"/>
  <c r="V1134" i="12"/>
  <c r="AA1134" i="12" s="1"/>
  <c r="R1134" i="12"/>
  <c r="R1133" i="12"/>
  <c r="V1133" i="12" s="1"/>
  <c r="AA1133" i="12" s="1"/>
  <c r="R1132" i="12"/>
  <c r="V1132" i="12" s="1"/>
  <c r="AA1132" i="12" s="1"/>
  <c r="V1131" i="12"/>
  <c r="AA1131" i="12" s="1"/>
  <c r="R1131" i="12"/>
  <c r="R1130" i="12"/>
  <c r="V1130" i="12" s="1"/>
  <c r="AA1130" i="12" s="1"/>
  <c r="V1129" i="12"/>
  <c r="AA1129" i="12" s="1"/>
  <c r="R1129" i="12"/>
  <c r="R1128" i="12"/>
  <c r="V1128" i="12" s="1"/>
  <c r="AA1128" i="12" s="1"/>
  <c r="AD1128" i="12" s="1"/>
  <c r="R1127" i="12"/>
  <c r="V1127" i="12" s="1"/>
  <c r="AA1127" i="12" s="1"/>
  <c r="R1126" i="12"/>
  <c r="V1126" i="12" s="1"/>
  <c r="AA1126" i="12" s="1"/>
  <c r="R1125" i="12"/>
  <c r="V1125" i="12" s="1"/>
  <c r="AA1125" i="12" s="1"/>
  <c r="V1124" i="12"/>
  <c r="AA1124" i="12" s="1"/>
  <c r="R1124" i="12"/>
  <c r="V1123" i="12"/>
  <c r="AA1123" i="12" s="1"/>
  <c r="R1123" i="12"/>
  <c r="R1122" i="12"/>
  <c r="V1122" i="12" s="1"/>
  <c r="AA1122" i="12" s="1"/>
  <c r="V1121" i="12"/>
  <c r="AA1121" i="12" s="1"/>
  <c r="R1121" i="12"/>
  <c r="V1120" i="12"/>
  <c r="AA1120" i="12" s="1"/>
  <c r="R1120" i="12"/>
  <c r="V1119" i="12"/>
  <c r="AA1119" i="12" s="1"/>
  <c r="R1119" i="12"/>
  <c r="R1118" i="12"/>
  <c r="V1118" i="12" s="1"/>
  <c r="AA1118" i="12" s="1"/>
  <c r="R1117" i="12"/>
  <c r="V1117" i="12" s="1"/>
  <c r="AA1117" i="12" s="1"/>
  <c r="AD1117" i="12" s="1"/>
  <c r="R1116" i="12"/>
  <c r="V1116" i="12" s="1"/>
  <c r="AA1116" i="12" s="1"/>
  <c r="AD1116" i="12" s="1"/>
  <c r="R1115" i="12"/>
  <c r="V1115" i="12" s="1"/>
  <c r="AA1115" i="12" s="1"/>
  <c r="R1114" i="12"/>
  <c r="V1114" i="12" s="1"/>
  <c r="AA1114" i="12" s="1"/>
  <c r="R1113" i="12"/>
  <c r="V1113" i="12" s="1"/>
  <c r="AA1113" i="12" s="1"/>
  <c r="V1112" i="12"/>
  <c r="AA1112" i="12" s="1"/>
  <c r="R1112" i="12"/>
  <c r="R1111" i="12"/>
  <c r="V1111" i="12" s="1"/>
  <c r="AA1111" i="12" s="1"/>
  <c r="R1110" i="12"/>
  <c r="V1110" i="12" s="1"/>
  <c r="AA1110" i="12" s="1"/>
  <c r="R1109" i="12"/>
  <c r="V1109" i="12" s="1"/>
  <c r="AA1109" i="12" s="1"/>
  <c r="V1108" i="12"/>
  <c r="AA1108" i="12" s="1"/>
  <c r="AD1108" i="12" s="1"/>
  <c r="AB1108" i="12"/>
  <c r="R1108" i="12"/>
  <c r="V1107" i="12"/>
  <c r="AA1107" i="12" s="1"/>
  <c r="R1107" i="12"/>
  <c r="R1106" i="12"/>
  <c r="V1106" i="12" s="1"/>
  <c r="AA1106" i="12" s="1"/>
  <c r="AD1106" i="12" s="1"/>
  <c r="R1105" i="12"/>
  <c r="V1105" i="12" s="1"/>
  <c r="AA1105" i="12" s="1"/>
  <c r="R1104" i="12"/>
  <c r="V1104" i="12" s="1"/>
  <c r="AA1104" i="12" s="1"/>
  <c r="V1103" i="12"/>
  <c r="AA1103" i="12"/>
  <c r="R1103" i="12"/>
  <c r="R1102" i="12"/>
  <c r="V1102" i="12" s="1"/>
  <c r="AA1102" i="12" s="1"/>
  <c r="R1101" i="12"/>
  <c r="V1101" i="12" s="1"/>
  <c r="AA1101" i="12" s="1"/>
  <c r="V1100" i="12"/>
  <c r="AA1100" i="12" s="1"/>
  <c r="R1100" i="12"/>
  <c r="R1099" i="12"/>
  <c r="V1099" i="12" s="1"/>
  <c r="AA1099" i="12" s="1"/>
  <c r="R1098" i="12"/>
  <c r="V1098" i="12" s="1"/>
  <c r="AA1098" i="12" s="1"/>
  <c r="R1097" i="12"/>
  <c r="V1097" i="12" s="1"/>
  <c r="AA1097" i="12" s="1"/>
  <c r="R1096" i="12"/>
  <c r="V1096" i="12" s="1"/>
  <c r="AA1096" i="12" s="1"/>
  <c r="V1095" i="12"/>
  <c r="AA1095" i="12" s="1"/>
  <c r="R1095" i="12"/>
  <c r="R1094" i="12"/>
  <c r="V1094" i="12" s="1"/>
  <c r="AA1094" i="12" s="1"/>
  <c r="R1093" i="12"/>
  <c r="V1093" i="12" s="1"/>
  <c r="AA1093" i="12" s="1"/>
  <c r="R1092" i="12"/>
  <c r="V1092" i="12" s="1"/>
  <c r="AA1092" i="12" s="1"/>
  <c r="R1091" i="12"/>
  <c r="V1091" i="12" s="1"/>
  <c r="AA1091" i="12" s="1"/>
  <c r="V1090" i="12"/>
  <c r="AA1090" i="12" s="1"/>
  <c r="AD1090" i="12" s="1"/>
  <c r="R1090" i="12"/>
  <c r="R1089" i="12"/>
  <c r="V1089" i="12" s="1"/>
  <c r="AA1089" i="12" s="1"/>
  <c r="V1088" i="12"/>
  <c r="AA1088" i="12" s="1"/>
  <c r="R1088" i="12"/>
  <c r="R1087" i="12"/>
  <c r="V1087" i="12" s="1"/>
  <c r="AA1087" i="12" s="1"/>
  <c r="R1086" i="12"/>
  <c r="V1086" i="12" s="1"/>
  <c r="AA1086" i="12" s="1"/>
  <c r="V1085" i="12"/>
  <c r="AA1085" i="12" s="1"/>
  <c r="R1085" i="12"/>
  <c r="R1084" i="12"/>
  <c r="V1084" i="12" s="1"/>
  <c r="AA1084" i="12" s="1"/>
  <c r="AB1084" i="12" s="1"/>
  <c r="R1083" i="12"/>
  <c r="V1083" i="12" s="1"/>
  <c r="AA1083" i="12" s="1"/>
  <c r="R1082" i="12"/>
  <c r="V1082" i="12" s="1"/>
  <c r="AA1082" i="12" s="1"/>
  <c r="AB1082" i="12" s="1"/>
  <c r="R1081" i="12"/>
  <c r="V1081" i="12" s="1"/>
  <c r="AA1081" i="12" s="1"/>
  <c r="AD1081" i="12" s="1"/>
  <c r="R1080" i="12"/>
  <c r="V1080" i="12" s="1"/>
  <c r="AA1080" i="12" s="1"/>
  <c r="V1079" i="12"/>
  <c r="AA1079" i="12" s="1"/>
  <c r="R1079" i="12"/>
  <c r="R1078" i="12"/>
  <c r="V1078" i="12" s="1"/>
  <c r="AA1078" i="12" s="1"/>
  <c r="AD1077" i="12"/>
  <c r="R1077" i="12"/>
  <c r="V1077" i="12" s="1"/>
  <c r="AA1077" i="12" s="1"/>
  <c r="AB1077" i="12" s="1"/>
  <c r="R1076" i="12"/>
  <c r="V1076" i="12" s="1"/>
  <c r="AA1076" i="12" s="1"/>
  <c r="R1075" i="12"/>
  <c r="V1075" i="12" s="1"/>
  <c r="AA1075" i="12" s="1"/>
  <c r="R1074" i="12"/>
  <c r="V1074" i="12" s="1"/>
  <c r="AA1074" i="12" s="1"/>
  <c r="R1073" i="12"/>
  <c r="V1073" i="12" s="1"/>
  <c r="AA1073" i="12" s="1"/>
  <c r="AD1073" i="12" s="1"/>
  <c r="V1072" i="12"/>
  <c r="AA1072" i="12" s="1"/>
  <c r="R1072" i="12"/>
  <c r="R1071" i="12"/>
  <c r="V1071" i="12" s="1"/>
  <c r="AA1071" i="12" s="1"/>
  <c r="V1070" i="12"/>
  <c r="AA1070" i="12" s="1"/>
  <c r="R1070" i="12"/>
  <c r="R1069" i="12"/>
  <c r="V1069" i="12" s="1"/>
  <c r="AA1069" i="12" s="1"/>
  <c r="R1068" i="12"/>
  <c r="V1068" i="12" s="1"/>
  <c r="AA1068" i="12" s="1"/>
  <c r="R1067" i="12"/>
  <c r="V1067" i="12" s="1"/>
  <c r="AA1067" i="12" s="1"/>
  <c r="R1066" i="12"/>
  <c r="V1066" i="12" s="1"/>
  <c r="AA1066" i="12" s="1"/>
  <c r="AD1066" i="12" s="1"/>
  <c r="R1065" i="12"/>
  <c r="V1065" i="12" s="1"/>
  <c r="AA1065" i="12" s="1"/>
  <c r="R1064" i="12"/>
  <c r="V1064" i="12" s="1"/>
  <c r="AA1064" i="12" s="1"/>
  <c r="AB1064" i="12" s="1"/>
  <c r="R1063" i="12"/>
  <c r="V1063" i="12" s="1"/>
  <c r="AA1063" i="12" s="1"/>
  <c r="R1062" i="12"/>
  <c r="V1062" i="12" s="1"/>
  <c r="AA1062" i="12" s="1"/>
  <c r="R1061" i="12"/>
  <c r="V1061" i="12" s="1"/>
  <c r="AA1061" i="12" s="1"/>
  <c r="R1060" i="12"/>
  <c r="V1060" i="12" s="1"/>
  <c r="AA1060" i="12" s="1"/>
  <c r="R1059" i="12"/>
  <c r="V1059" i="12" s="1"/>
  <c r="AA1059" i="12" s="1"/>
  <c r="AB1059" i="12" s="1"/>
  <c r="R1058" i="12"/>
  <c r="V1058" i="12" s="1"/>
  <c r="AA1058" i="12" s="1"/>
  <c r="V1057" i="12"/>
  <c r="AA1057" i="12" s="1"/>
  <c r="R1057" i="12"/>
  <c r="R1056" i="12"/>
  <c r="V1056" i="12" s="1"/>
  <c r="AA1056" i="12" s="1"/>
  <c r="R1055" i="12"/>
  <c r="V1055" i="12" s="1"/>
  <c r="AA1055" i="12" s="1"/>
  <c r="V1054" i="12"/>
  <c r="AA1054" i="12" s="1"/>
  <c r="R1054" i="12"/>
  <c r="R1053" i="12"/>
  <c r="V1053" i="12" s="1"/>
  <c r="AA1053" i="12" s="1"/>
  <c r="R1052" i="12"/>
  <c r="V1052" i="12" s="1"/>
  <c r="AA1052" i="12" s="1"/>
  <c r="R1051" i="12"/>
  <c r="V1051" i="12" s="1"/>
  <c r="AA1051" i="12" s="1"/>
  <c r="R1050" i="12"/>
  <c r="V1050" i="12" s="1"/>
  <c r="AA1050" i="12" s="1"/>
  <c r="AB1050" i="12" s="1"/>
  <c r="V1049" i="12"/>
  <c r="AA1049" i="12" s="1"/>
  <c r="AB1049" i="12" s="1"/>
  <c r="R1049" i="12"/>
  <c r="R1048" i="12"/>
  <c r="V1048" i="12" s="1"/>
  <c r="AA1048" i="12" s="1"/>
  <c r="AD1048" i="12" s="1"/>
  <c r="R1047" i="12"/>
  <c r="V1047" i="12" s="1"/>
  <c r="AA1047" i="12" s="1"/>
  <c r="R1046" i="12"/>
  <c r="V1046" i="12" s="1"/>
  <c r="AA1046" i="12" s="1"/>
  <c r="R1045" i="12"/>
  <c r="V1045" i="12" s="1"/>
  <c r="AA1045" i="12" s="1"/>
  <c r="V1044" i="12"/>
  <c r="AA1044" i="12" s="1"/>
  <c r="R1044" i="12"/>
  <c r="R1043" i="12"/>
  <c r="V1043" i="12" s="1"/>
  <c r="AA1043" i="12" s="1"/>
  <c r="R1042" i="12"/>
  <c r="V1042" i="12" s="1"/>
  <c r="AA1042" i="12" s="1"/>
  <c r="AD1042" i="12" s="1"/>
  <c r="R1041" i="12"/>
  <c r="V1041" i="12" s="1"/>
  <c r="AA1041" i="12" s="1"/>
  <c r="R1040" i="12"/>
  <c r="V1040" i="12" s="1"/>
  <c r="AA1040" i="12" s="1"/>
  <c r="R1039" i="12"/>
  <c r="V1039" i="12" s="1"/>
  <c r="AA1039" i="12" s="1"/>
  <c r="R1038" i="12"/>
  <c r="V1038" i="12" s="1"/>
  <c r="AA1038" i="12" s="1"/>
  <c r="R1037" i="12"/>
  <c r="V1037" i="12" s="1"/>
  <c r="AA1037" i="12" s="1"/>
  <c r="AD1037" i="12" s="1"/>
  <c r="R1036" i="12"/>
  <c r="V1036" i="12" s="1"/>
  <c r="AA1036" i="12" s="1"/>
  <c r="R1035" i="12"/>
  <c r="V1035" i="12" s="1"/>
  <c r="AA1035" i="12" s="1"/>
  <c r="R1034" i="12"/>
  <c r="V1034" i="12" s="1"/>
  <c r="AA1034" i="12" s="1"/>
  <c r="R1033" i="12"/>
  <c r="V1033" i="12" s="1"/>
  <c r="AA1033" i="12" s="1"/>
  <c r="AB1033" i="12" s="1"/>
  <c r="R1032" i="12"/>
  <c r="V1032" i="12" s="1"/>
  <c r="AA1032" i="12" s="1"/>
  <c r="R1031" i="12"/>
  <c r="V1031" i="12" s="1"/>
  <c r="AA1031" i="12" s="1"/>
  <c r="V1030" i="12"/>
  <c r="AA1030" i="12"/>
  <c r="R1030" i="12"/>
  <c r="R1029" i="12"/>
  <c r="V1029" i="12" s="1"/>
  <c r="AA1029" i="12" s="1"/>
  <c r="AD1029" i="12" s="1"/>
  <c r="V1028" i="12"/>
  <c r="AA1028" i="12" s="1"/>
  <c r="R1028" i="12"/>
  <c r="V1027" i="12"/>
  <c r="AA1027" i="12" s="1"/>
  <c r="R1027" i="12"/>
  <c r="R1026" i="12"/>
  <c r="V1026" i="12" s="1"/>
  <c r="AA1026" i="12" s="1"/>
  <c r="R1025" i="12"/>
  <c r="V1025" i="12" s="1"/>
  <c r="AA1025" i="12" s="1"/>
  <c r="R1024" i="12"/>
  <c r="V1024" i="12" s="1"/>
  <c r="AA1024" i="12" s="1"/>
  <c r="R1023" i="12"/>
  <c r="V1023" i="12" s="1"/>
  <c r="AA1023" i="12" s="1"/>
  <c r="AB1023" i="12" s="1"/>
  <c r="V1022" i="12"/>
  <c r="AA1022" i="12" s="1"/>
  <c r="R1022" i="12"/>
  <c r="R1021" i="12"/>
  <c r="V1021" i="12" s="1"/>
  <c r="AA1021" i="12" s="1"/>
  <c r="R1020" i="12"/>
  <c r="V1020" i="12" s="1"/>
  <c r="AA1020" i="12" s="1"/>
  <c r="R1019" i="12"/>
  <c r="V1019" i="12" s="1"/>
  <c r="AA1019" i="12" s="1"/>
  <c r="R1018" i="12"/>
  <c r="V1018" i="12" s="1"/>
  <c r="AA1018" i="12" s="1"/>
  <c r="R1017" i="12"/>
  <c r="V1017" i="12" s="1"/>
  <c r="AA1017" i="12" s="1"/>
  <c r="AD1017" i="12" s="1"/>
  <c r="V1016" i="12"/>
  <c r="AA1016" i="12" s="1"/>
  <c r="AD1016" i="12" s="1"/>
  <c r="R1016" i="12"/>
  <c r="R1015" i="12"/>
  <c r="V1015" i="12" s="1"/>
  <c r="AA1015" i="12" s="1"/>
  <c r="V1014" i="12"/>
  <c r="AA1014" i="12" s="1"/>
  <c r="R1014" i="12"/>
  <c r="R1013" i="12"/>
  <c r="V1013" i="12" s="1"/>
  <c r="AA1013" i="12" s="1"/>
  <c r="R1012" i="12"/>
  <c r="V1012" i="12" s="1"/>
  <c r="AA1012" i="12" s="1"/>
  <c r="AB1012" i="12" s="1"/>
  <c r="R1011" i="12"/>
  <c r="V1011" i="12" s="1"/>
  <c r="AA1011" i="12" s="1"/>
  <c r="AB1011" i="12" s="1"/>
  <c r="R1010" i="12"/>
  <c r="V1010" i="12" s="1"/>
  <c r="AA1010" i="12" s="1"/>
  <c r="R1009" i="12"/>
  <c r="V1009" i="12" s="1"/>
  <c r="AA1009" i="12" s="1"/>
  <c r="R1008" i="12"/>
  <c r="V1008" i="12" s="1"/>
  <c r="AA1008" i="12" s="1"/>
  <c r="R1007" i="12"/>
  <c r="V1007" i="12" s="1"/>
  <c r="AA1007" i="12" s="1"/>
  <c r="V1006" i="12"/>
  <c r="AA1006" i="12" s="1"/>
  <c r="R1006" i="12"/>
  <c r="R1005" i="12"/>
  <c r="V1005" i="12" s="1"/>
  <c r="AA1005" i="12" s="1"/>
  <c r="R1004" i="12"/>
  <c r="V1004" i="12" s="1"/>
  <c r="AA1004" i="12" s="1"/>
  <c r="R1003" i="12"/>
  <c r="V1003" i="12" s="1"/>
  <c r="AA1003" i="12" s="1"/>
  <c r="AB1003" i="12" s="1"/>
  <c r="R1002" i="12"/>
  <c r="V1002" i="12" s="1"/>
  <c r="AA1002" i="12" s="1"/>
  <c r="R1001" i="12"/>
  <c r="V1001" i="12" s="1"/>
  <c r="AA1001" i="12" s="1"/>
  <c r="R1000" i="12"/>
  <c r="V1000" i="12" s="1"/>
  <c r="AA1000" i="12" s="1"/>
  <c r="R999" i="12"/>
  <c r="V999" i="12" s="1"/>
  <c r="AA999" i="12" s="1"/>
  <c r="R998" i="12"/>
  <c r="V998" i="12" s="1"/>
  <c r="AA998" i="12" s="1"/>
  <c r="V997" i="12"/>
  <c r="AA997" i="12" s="1"/>
  <c r="R997" i="12"/>
  <c r="R996" i="12"/>
  <c r="V996" i="12" s="1"/>
  <c r="AA996" i="12" s="1"/>
  <c r="R995" i="12"/>
  <c r="V995" i="12" s="1"/>
  <c r="AA995" i="12" s="1"/>
  <c r="R994" i="12"/>
  <c r="V994" i="12" s="1"/>
  <c r="AA994" i="12" s="1"/>
  <c r="V993" i="12"/>
  <c r="AA993" i="12" s="1"/>
  <c r="R993" i="12"/>
  <c r="R992" i="12"/>
  <c r="V992" i="12" s="1"/>
  <c r="AA992" i="12" s="1"/>
  <c r="R991" i="12"/>
  <c r="V991" i="12" s="1"/>
  <c r="AA991" i="12" s="1"/>
  <c r="R990" i="12"/>
  <c r="V990" i="12" s="1"/>
  <c r="AA990" i="12" s="1"/>
  <c r="R989" i="12"/>
  <c r="V989" i="12" s="1"/>
  <c r="AA989" i="12" s="1"/>
  <c r="R988" i="12"/>
  <c r="V988" i="12" s="1"/>
  <c r="AA988" i="12" s="1"/>
  <c r="V987" i="12"/>
  <c r="AA987" i="12" s="1"/>
  <c r="R987" i="12"/>
  <c r="R986" i="12"/>
  <c r="V986" i="12" s="1"/>
  <c r="AA986" i="12" s="1"/>
  <c r="R985" i="12"/>
  <c r="V985" i="12" s="1"/>
  <c r="AA985" i="12" s="1"/>
  <c r="R984" i="12"/>
  <c r="V984" i="12" s="1"/>
  <c r="AA984" i="12" s="1"/>
  <c r="AD984" i="12" s="1"/>
  <c r="R983" i="12"/>
  <c r="V983" i="12" s="1"/>
  <c r="AA983" i="12" s="1"/>
  <c r="AB983" i="12" s="1"/>
  <c r="R982" i="12"/>
  <c r="V982" i="12" s="1"/>
  <c r="AA982" i="12" s="1"/>
  <c r="R981" i="12"/>
  <c r="V981" i="12" s="1"/>
  <c r="AA981" i="12" s="1"/>
  <c r="R980" i="12"/>
  <c r="V980" i="12" s="1"/>
  <c r="AA980" i="12" s="1"/>
  <c r="R979" i="12"/>
  <c r="V979" i="12" s="1"/>
  <c r="AA979" i="12" s="1"/>
  <c r="V978" i="12"/>
  <c r="AA978" i="12" s="1"/>
  <c r="R978" i="12"/>
  <c r="V977" i="12"/>
  <c r="AA977" i="12" s="1"/>
  <c r="R977" i="12"/>
  <c r="R976" i="12"/>
  <c r="V976" i="12" s="1"/>
  <c r="AA976" i="12" s="1"/>
  <c r="R975" i="12"/>
  <c r="V975" i="12" s="1"/>
  <c r="AA975" i="12" s="1"/>
  <c r="R974" i="12"/>
  <c r="V974" i="12" s="1"/>
  <c r="AA974" i="12" s="1"/>
  <c r="R973" i="12"/>
  <c r="V973" i="12" s="1"/>
  <c r="AA973" i="12" s="1"/>
  <c r="R972" i="12"/>
  <c r="V972" i="12" s="1"/>
  <c r="AA972" i="12" s="1"/>
  <c r="R971" i="12"/>
  <c r="V971" i="12" s="1"/>
  <c r="AA971" i="12" s="1"/>
  <c r="R970" i="12"/>
  <c r="V970" i="12" s="1"/>
  <c r="AA970" i="12" s="1"/>
  <c r="V969" i="12"/>
  <c r="AA969" i="12" s="1"/>
  <c r="R969" i="12"/>
  <c r="V968" i="12"/>
  <c r="AA968" i="12" s="1"/>
  <c r="R968" i="12"/>
  <c r="R967" i="12"/>
  <c r="V967" i="12" s="1"/>
  <c r="AA967" i="12" s="1"/>
  <c r="V966" i="12"/>
  <c r="AA966" i="12" s="1"/>
  <c r="R966" i="12"/>
  <c r="R965" i="12"/>
  <c r="V965" i="12" s="1"/>
  <c r="AA965" i="12" s="1"/>
  <c r="AB965" i="12" s="1"/>
  <c r="R964" i="12"/>
  <c r="V964" i="12" s="1"/>
  <c r="AA964" i="12" s="1"/>
  <c r="R963" i="12"/>
  <c r="V963" i="12" s="1"/>
  <c r="AA963" i="12" s="1"/>
  <c r="R962" i="12"/>
  <c r="V962" i="12" s="1"/>
  <c r="AA962" i="12" s="1"/>
  <c r="R961" i="12"/>
  <c r="V961" i="12" s="1"/>
  <c r="AA961" i="12" s="1"/>
  <c r="V960" i="12"/>
  <c r="AA960" i="12" s="1"/>
  <c r="R960" i="12"/>
  <c r="R959" i="12"/>
  <c r="V959" i="12" s="1"/>
  <c r="AA959" i="12" s="1"/>
  <c r="R958" i="12"/>
  <c r="V958" i="12" s="1"/>
  <c r="AA958" i="12" s="1"/>
  <c r="R957" i="12"/>
  <c r="V957" i="12" s="1"/>
  <c r="AA957" i="12" s="1"/>
  <c r="R956" i="12"/>
  <c r="V956" i="12" s="1"/>
  <c r="AA956" i="12" s="1"/>
  <c r="R955" i="12"/>
  <c r="V955" i="12" s="1"/>
  <c r="AA955" i="12" s="1"/>
  <c r="R954" i="12"/>
  <c r="V954" i="12" s="1"/>
  <c r="AA954" i="12" s="1"/>
  <c r="V953" i="12"/>
  <c r="AA953" i="12" s="1"/>
  <c r="AD953" i="12" s="1"/>
  <c r="R953" i="12"/>
  <c r="R952" i="12"/>
  <c r="V952" i="12" s="1"/>
  <c r="AA952" i="12" s="1"/>
  <c r="R951" i="12"/>
  <c r="V951" i="12" s="1"/>
  <c r="AA951" i="12" s="1"/>
  <c r="AB951" i="12" s="1"/>
  <c r="R950" i="12"/>
  <c r="V950" i="12" s="1"/>
  <c r="AA950" i="12" s="1"/>
  <c r="V949" i="12"/>
  <c r="AA949" i="12" s="1"/>
  <c r="R949" i="12"/>
  <c r="R948" i="12"/>
  <c r="V948" i="12" s="1"/>
  <c r="AA948" i="12" s="1"/>
  <c r="R947" i="12"/>
  <c r="V947" i="12" s="1"/>
  <c r="AA947" i="12" s="1"/>
  <c r="AB947" i="12" s="1"/>
  <c r="R946" i="12"/>
  <c r="V946" i="12" s="1"/>
  <c r="AA946" i="12" s="1"/>
  <c r="AD946" i="12" s="1"/>
  <c r="R945" i="12"/>
  <c r="V945" i="12" s="1"/>
  <c r="AA945" i="12" s="1"/>
  <c r="R944" i="12"/>
  <c r="V944" i="12" s="1"/>
  <c r="AA944" i="12" s="1"/>
  <c r="AD944" i="12" s="1"/>
  <c r="V943" i="12"/>
  <c r="AA943" i="12" s="1"/>
  <c r="R943" i="12"/>
  <c r="R942" i="12"/>
  <c r="V942" i="12" s="1"/>
  <c r="AA942" i="12" s="1"/>
  <c r="R941" i="12"/>
  <c r="V941" i="12" s="1"/>
  <c r="AA941" i="12" s="1"/>
  <c r="V940" i="12"/>
  <c r="AA940" i="12" s="1"/>
  <c r="R940" i="12"/>
  <c r="R939" i="12"/>
  <c r="V939" i="12" s="1"/>
  <c r="AA939" i="12" s="1"/>
  <c r="R938" i="12"/>
  <c r="V938" i="12" s="1"/>
  <c r="AA938" i="12" s="1"/>
  <c r="V937" i="12"/>
  <c r="AA937" i="12" s="1"/>
  <c r="R937" i="12"/>
  <c r="R936" i="12"/>
  <c r="V936" i="12" s="1"/>
  <c r="AA936" i="12" s="1"/>
  <c r="R935" i="12"/>
  <c r="V935" i="12" s="1"/>
  <c r="AA935" i="12" s="1"/>
  <c r="R934" i="12"/>
  <c r="V934" i="12" s="1"/>
  <c r="AA934" i="12" s="1"/>
  <c r="R933" i="12"/>
  <c r="V933" i="12" s="1"/>
  <c r="AA933" i="12" s="1"/>
  <c r="R932" i="12"/>
  <c r="V932" i="12" s="1"/>
  <c r="AA932" i="12" s="1"/>
  <c r="R931" i="12"/>
  <c r="V931" i="12" s="1"/>
  <c r="AA931" i="12" s="1"/>
  <c r="R930" i="12"/>
  <c r="V930" i="12" s="1"/>
  <c r="AA930" i="12" s="1"/>
  <c r="V929" i="12"/>
  <c r="AA929" i="12" s="1"/>
  <c r="AD929" i="12" s="1"/>
  <c r="R929" i="12"/>
  <c r="V928" i="12"/>
  <c r="AA928" i="12" s="1"/>
  <c r="R928" i="12"/>
  <c r="R927" i="12"/>
  <c r="V927" i="12" s="1"/>
  <c r="AA927" i="12" s="1"/>
  <c r="R926" i="12"/>
  <c r="V926" i="12" s="1"/>
  <c r="AA926" i="12" s="1"/>
  <c r="R925" i="12"/>
  <c r="V925" i="12" s="1"/>
  <c r="AA925" i="12" s="1"/>
  <c r="V924" i="12"/>
  <c r="AA924" i="12" s="1"/>
  <c r="R924" i="12"/>
  <c r="R923" i="12"/>
  <c r="V923" i="12" s="1"/>
  <c r="AA923" i="12" s="1"/>
  <c r="AB923" i="12" s="1"/>
  <c r="R922" i="12"/>
  <c r="V922" i="12" s="1"/>
  <c r="AA922" i="12" s="1"/>
  <c r="R921" i="12"/>
  <c r="V921" i="12" s="1"/>
  <c r="AA921" i="12" s="1"/>
  <c r="AD921" i="12" s="1"/>
  <c r="R920" i="12"/>
  <c r="V920" i="12" s="1"/>
  <c r="AA920" i="12" s="1"/>
  <c r="V919" i="12"/>
  <c r="AA919" i="12" s="1"/>
  <c r="R919" i="12"/>
  <c r="R918" i="12"/>
  <c r="V918" i="12" s="1"/>
  <c r="AA918" i="12" s="1"/>
  <c r="R917" i="12"/>
  <c r="V917" i="12" s="1"/>
  <c r="AA917" i="12" s="1"/>
  <c r="R916" i="12"/>
  <c r="V916" i="12" s="1"/>
  <c r="AA916" i="12" s="1"/>
  <c r="AD916" i="12" s="1"/>
  <c r="R915" i="12"/>
  <c r="V915" i="12" s="1"/>
  <c r="AA915" i="12" s="1"/>
  <c r="R914" i="12"/>
  <c r="V914" i="12" s="1"/>
  <c r="AA914" i="12" s="1"/>
  <c r="AD914" i="12" s="1"/>
  <c r="R913" i="12"/>
  <c r="V913" i="12" s="1"/>
  <c r="AA913" i="12" s="1"/>
  <c r="R912" i="12"/>
  <c r="V912" i="12" s="1"/>
  <c r="AA912" i="12" s="1"/>
  <c r="V911" i="12"/>
  <c r="AA911" i="12" s="1"/>
  <c r="R911" i="12"/>
  <c r="R910" i="12"/>
  <c r="V910" i="12" s="1"/>
  <c r="AA910" i="12" s="1"/>
  <c r="V909" i="12"/>
  <c r="AA909" i="12" s="1"/>
  <c r="R909" i="12"/>
  <c r="V908" i="12"/>
  <c r="AA908" i="12" s="1"/>
  <c r="R908" i="12"/>
  <c r="R907" i="12"/>
  <c r="V907" i="12" s="1"/>
  <c r="AA907" i="12" s="1"/>
  <c r="AB907" i="12" s="1"/>
  <c r="R906" i="12"/>
  <c r="V906" i="12" s="1"/>
  <c r="AA906" i="12" s="1"/>
  <c r="R905" i="12"/>
  <c r="V905" i="12" s="1"/>
  <c r="AA905" i="12" s="1"/>
  <c r="R904" i="12"/>
  <c r="V904" i="12" s="1"/>
  <c r="AA904" i="12" s="1"/>
  <c r="V903" i="12"/>
  <c r="AA903" i="12" s="1"/>
  <c r="AB903" i="12" s="1"/>
  <c r="R903" i="12"/>
  <c r="R902" i="12"/>
  <c r="V902" i="12" s="1"/>
  <c r="AA902" i="12" s="1"/>
  <c r="R901" i="12"/>
  <c r="V901" i="12" s="1"/>
  <c r="AA901" i="12" s="1"/>
  <c r="R900" i="12"/>
  <c r="V900" i="12" s="1"/>
  <c r="AA900" i="12" s="1"/>
  <c r="AA899" i="12"/>
  <c r="R899" i="12"/>
  <c r="V899" i="12" s="1"/>
  <c r="R898" i="12"/>
  <c r="V898" i="12" s="1"/>
  <c r="AA898" i="12" s="1"/>
  <c r="R897" i="12"/>
  <c r="V897" i="12" s="1"/>
  <c r="AA897" i="12" s="1"/>
  <c r="R896" i="12"/>
  <c r="V896" i="12" s="1"/>
  <c r="AA896" i="12" s="1"/>
  <c r="AB896" i="12" s="1"/>
  <c r="R895" i="12"/>
  <c r="V895" i="12" s="1"/>
  <c r="AA895" i="12" s="1"/>
  <c r="R894" i="12"/>
  <c r="V894" i="12" s="1"/>
  <c r="AA894" i="12" s="1"/>
  <c r="AA893" i="12"/>
  <c r="R893" i="12"/>
  <c r="V893" i="12" s="1"/>
  <c r="R892" i="12"/>
  <c r="V892" i="12" s="1"/>
  <c r="AA892" i="12" s="1"/>
  <c r="AB892" i="12" s="1"/>
  <c r="R891" i="12"/>
  <c r="V891" i="12" s="1"/>
  <c r="AA891" i="12" s="1"/>
  <c r="R890" i="12"/>
  <c r="V890" i="12" s="1"/>
  <c r="AA890" i="12" s="1"/>
  <c r="R889" i="12"/>
  <c r="V889" i="12" s="1"/>
  <c r="AA889" i="12" s="1"/>
  <c r="AD889" i="12" s="1"/>
  <c r="R888" i="12"/>
  <c r="V888" i="12" s="1"/>
  <c r="AA888" i="12" s="1"/>
  <c r="R887" i="12"/>
  <c r="V887" i="12" s="1"/>
  <c r="AA887" i="12" s="1"/>
  <c r="V886" i="12"/>
  <c r="AA886" i="12" s="1"/>
  <c r="R886" i="12"/>
  <c r="V885" i="12"/>
  <c r="AA885" i="12" s="1"/>
  <c r="R885" i="12"/>
  <c r="V884" i="12"/>
  <c r="AA884" i="12" s="1"/>
  <c r="AD884" i="12"/>
  <c r="AB884" i="12"/>
  <c r="R884" i="12"/>
  <c r="R883" i="12"/>
  <c r="V883" i="12" s="1"/>
  <c r="AA883" i="12" s="1"/>
  <c r="R882" i="12"/>
  <c r="V882" i="12" s="1"/>
  <c r="AA882" i="12" s="1"/>
  <c r="R881" i="12"/>
  <c r="V881" i="12" s="1"/>
  <c r="AA881" i="12" s="1"/>
  <c r="R880" i="12"/>
  <c r="V880" i="12" s="1"/>
  <c r="AA880" i="12" s="1"/>
  <c r="R879" i="12"/>
  <c r="V879" i="12" s="1"/>
  <c r="AA879" i="12" s="1"/>
  <c r="AB879" i="12" s="1"/>
  <c r="R878" i="12"/>
  <c r="V878" i="12" s="1"/>
  <c r="AA878" i="12" s="1"/>
  <c r="V877" i="12"/>
  <c r="AA877" i="12" s="1"/>
  <c r="R877" i="12"/>
  <c r="R876" i="12"/>
  <c r="V876" i="12" s="1"/>
  <c r="AA876" i="12" s="1"/>
  <c r="AB876" i="12" s="1"/>
  <c r="V875" i="12"/>
  <c r="AA875" i="12" s="1"/>
  <c r="R875" i="12"/>
  <c r="R874" i="12"/>
  <c r="V874" i="12" s="1"/>
  <c r="AA874" i="12" s="1"/>
  <c r="V873" i="12"/>
  <c r="AA873" i="12" s="1"/>
  <c r="R873" i="12"/>
  <c r="R872" i="12"/>
  <c r="V872" i="12" s="1"/>
  <c r="AA872" i="12" s="1"/>
  <c r="AD871" i="12"/>
  <c r="R871" i="12"/>
  <c r="V871" i="12" s="1"/>
  <c r="AA871" i="12" s="1"/>
  <c r="AB871" i="12" s="1"/>
  <c r="R870" i="12"/>
  <c r="V870" i="12" s="1"/>
  <c r="AA870" i="12" s="1"/>
  <c r="R869" i="12"/>
  <c r="V869" i="12" s="1"/>
  <c r="AA869" i="12" s="1"/>
  <c r="V868" i="12"/>
  <c r="AA868" i="12" s="1"/>
  <c r="AD868" i="12" s="1"/>
  <c r="AB868" i="12"/>
  <c r="R868" i="12"/>
  <c r="R867" i="12"/>
  <c r="V867" i="12" s="1"/>
  <c r="AA867" i="12" s="1"/>
  <c r="V866" i="12"/>
  <c r="AA866" i="12" s="1"/>
  <c r="AB866" i="12" s="1"/>
  <c r="R866" i="12"/>
  <c r="R865" i="12"/>
  <c r="V865" i="12" s="1"/>
  <c r="AA865" i="12" s="1"/>
  <c r="R864" i="12"/>
  <c r="V864" i="12" s="1"/>
  <c r="AA864" i="12" s="1"/>
  <c r="AB864" i="12" s="1"/>
  <c r="R863" i="12"/>
  <c r="V863" i="12" s="1"/>
  <c r="AA863" i="12" s="1"/>
  <c r="R862" i="12"/>
  <c r="V862" i="12" s="1"/>
  <c r="AA862" i="12" s="1"/>
  <c r="R861" i="12"/>
  <c r="V861" i="12" s="1"/>
  <c r="AA861" i="12" s="1"/>
  <c r="AB861" i="12" s="1"/>
  <c r="V860" i="12"/>
  <c r="AA860" i="12" s="1"/>
  <c r="R860" i="12"/>
  <c r="V859" i="12"/>
  <c r="AA859" i="12" s="1"/>
  <c r="R859" i="12"/>
  <c r="R858" i="12"/>
  <c r="V858" i="12" s="1"/>
  <c r="AA858" i="12" s="1"/>
  <c r="R857" i="12"/>
  <c r="V857" i="12" s="1"/>
  <c r="AA857" i="12" s="1"/>
  <c r="R856" i="12"/>
  <c r="V856" i="12" s="1"/>
  <c r="AA856" i="12" s="1"/>
  <c r="V855" i="12"/>
  <c r="AA855" i="12" s="1"/>
  <c r="R855" i="12"/>
  <c r="R854" i="12"/>
  <c r="V854" i="12" s="1"/>
  <c r="AA854" i="12" s="1"/>
  <c r="V853" i="12"/>
  <c r="AA853" i="12" s="1"/>
  <c r="R853" i="12"/>
  <c r="R852" i="12"/>
  <c r="V852" i="12" s="1"/>
  <c r="AA852" i="12" s="1"/>
  <c r="AB852" i="12" s="1"/>
  <c r="R851" i="12"/>
  <c r="V851" i="12" s="1"/>
  <c r="AA851" i="12" s="1"/>
  <c r="R850" i="12"/>
  <c r="V850" i="12" s="1"/>
  <c r="AA850" i="12" s="1"/>
  <c r="R849" i="12"/>
  <c r="V849" i="12" s="1"/>
  <c r="AA849" i="12" s="1"/>
  <c r="R848" i="12"/>
  <c r="V848" i="12" s="1"/>
  <c r="AA848" i="12" s="1"/>
  <c r="V847" i="12"/>
  <c r="AA847" i="12" s="1"/>
  <c r="R847" i="12"/>
  <c r="R846" i="12"/>
  <c r="V846" i="12" s="1"/>
  <c r="AA846" i="12" s="1"/>
  <c r="R845" i="12"/>
  <c r="V845" i="12" s="1"/>
  <c r="AA845" i="12" s="1"/>
  <c r="R844" i="12"/>
  <c r="V844" i="12" s="1"/>
  <c r="AA844" i="12" s="1"/>
  <c r="R843" i="12"/>
  <c r="V843" i="12" s="1"/>
  <c r="AA843" i="12" s="1"/>
  <c r="R842" i="12"/>
  <c r="V842" i="12" s="1"/>
  <c r="AA842" i="12" s="1"/>
  <c r="R841" i="12"/>
  <c r="V841" i="12" s="1"/>
  <c r="AA841" i="12" s="1"/>
  <c r="V840" i="12"/>
  <c r="AA840" i="12" s="1"/>
  <c r="R840" i="12"/>
  <c r="R839" i="12"/>
  <c r="V839" i="12" s="1"/>
  <c r="AA839" i="12" s="1"/>
  <c r="R838" i="12"/>
  <c r="V838" i="12" s="1"/>
  <c r="AA838" i="12" s="1"/>
  <c r="R837" i="12"/>
  <c r="V837" i="12" s="1"/>
  <c r="AA837" i="12" s="1"/>
  <c r="V836" i="12"/>
  <c r="AA836" i="12" s="1"/>
  <c r="R836" i="12"/>
  <c r="R835" i="12"/>
  <c r="V835" i="12" s="1"/>
  <c r="AA835" i="12" s="1"/>
  <c r="V834" i="12"/>
  <c r="AA834" i="12" s="1"/>
  <c r="R834" i="12"/>
  <c r="R833" i="12"/>
  <c r="V833" i="12" s="1"/>
  <c r="AA833" i="12" s="1"/>
  <c r="AD833" i="12" s="1"/>
  <c r="R832" i="12"/>
  <c r="V832" i="12" s="1"/>
  <c r="AA832" i="12" s="1"/>
  <c r="R831" i="12"/>
  <c r="V831" i="12" s="1"/>
  <c r="AA831" i="12" s="1"/>
  <c r="R830" i="12"/>
  <c r="V830" i="12" s="1"/>
  <c r="AA830" i="12" s="1"/>
  <c r="R829" i="12"/>
  <c r="V829" i="12" s="1"/>
  <c r="AA829" i="12" s="1"/>
  <c r="R828" i="12"/>
  <c r="V828" i="12" s="1"/>
  <c r="AA828" i="12" s="1"/>
  <c r="AB828" i="12" s="1"/>
  <c r="R827" i="12"/>
  <c r="V827" i="12" s="1"/>
  <c r="AA827" i="12" s="1"/>
  <c r="R826" i="12"/>
  <c r="V826" i="12" s="1"/>
  <c r="AA826" i="12" s="1"/>
  <c r="R825" i="12"/>
  <c r="V825" i="12" s="1"/>
  <c r="AA825" i="12" s="1"/>
  <c r="R824" i="12"/>
  <c r="V824" i="12" s="1"/>
  <c r="AA824" i="12" s="1"/>
  <c r="AB824" i="12" s="1"/>
  <c r="R823" i="12"/>
  <c r="V823" i="12" s="1"/>
  <c r="AA823" i="12" s="1"/>
  <c r="R822" i="12"/>
  <c r="V822" i="12" s="1"/>
  <c r="AA822" i="12" s="1"/>
  <c r="R821" i="12"/>
  <c r="V821" i="12" s="1"/>
  <c r="AA821" i="12" s="1"/>
  <c r="R820" i="12"/>
  <c r="V820" i="12" s="1"/>
  <c r="AA820" i="12" s="1"/>
  <c r="V819" i="12"/>
  <c r="AA819" i="12" s="1"/>
  <c r="R819" i="12"/>
  <c r="R818" i="12"/>
  <c r="V818" i="12" s="1"/>
  <c r="AA818" i="12" s="1"/>
  <c r="AD818" i="12" s="1"/>
  <c r="R817" i="12"/>
  <c r="V817" i="12" s="1"/>
  <c r="AA817" i="12" s="1"/>
  <c r="V816" i="12"/>
  <c r="AA816" i="12" s="1"/>
  <c r="R816" i="12"/>
  <c r="R815" i="12"/>
  <c r="V815" i="12" s="1"/>
  <c r="AA815" i="12" s="1"/>
  <c r="R814" i="12"/>
  <c r="V814" i="12" s="1"/>
  <c r="AA814" i="12" s="1"/>
  <c r="R813" i="12"/>
  <c r="V813" i="12" s="1"/>
  <c r="AA813" i="12" s="1"/>
  <c r="R812" i="12"/>
  <c r="V812" i="12" s="1"/>
  <c r="AA812" i="12" s="1"/>
  <c r="R811" i="12"/>
  <c r="V811" i="12" s="1"/>
  <c r="AA811" i="12" s="1"/>
  <c r="R810" i="12"/>
  <c r="V810" i="12" s="1"/>
  <c r="AA810" i="12" s="1"/>
  <c r="R809" i="12"/>
  <c r="V809" i="12" s="1"/>
  <c r="AA809" i="12" s="1"/>
  <c r="R808" i="12"/>
  <c r="V808" i="12" s="1"/>
  <c r="AA808" i="12" s="1"/>
  <c r="R807" i="12"/>
  <c r="V807" i="12" s="1"/>
  <c r="AA807" i="12" s="1"/>
  <c r="V806" i="12"/>
  <c r="AA806" i="12" s="1"/>
  <c r="R806" i="12"/>
  <c r="R805" i="12"/>
  <c r="V805" i="12" s="1"/>
  <c r="AA805" i="12" s="1"/>
  <c r="R804" i="12"/>
  <c r="V804" i="12" s="1"/>
  <c r="AA804" i="12" s="1"/>
  <c r="R803" i="12"/>
  <c r="V803" i="12" s="1"/>
  <c r="AA803" i="12" s="1"/>
  <c r="R802" i="12"/>
  <c r="V802" i="12" s="1"/>
  <c r="AA802" i="12" s="1"/>
  <c r="V801" i="12"/>
  <c r="AA801" i="12" s="1"/>
  <c r="R801" i="12"/>
  <c r="R800" i="12"/>
  <c r="V800" i="12" s="1"/>
  <c r="AA800" i="12" s="1"/>
  <c r="R799" i="12"/>
  <c r="V799" i="12" s="1"/>
  <c r="AA799" i="12" s="1"/>
  <c r="R798" i="12"/>
  <c r="V798" i="12" s="1"/>
  <c r="AA798" i="12" s="1"/>
  <c r="R797" i="12"/>
  <c r="V797" i="12" s="1"/>
  <c r="AA797" i="12" s="1"/>
  <c r="R796" i="12"/>
  <c r="V796" i="12" s="1"/>
  <c r="AA796" i="12" s="1"/>
  <c r="AB796" i="12" s="1"/>
  <c r="R795" i="12"/>
  <c r="V795" i="12" s="1"/>
  <c r="AA795" i="12" s="1"/>
  <c r="R794" i="12"/>
  <c r="V794" i="12" s="1"/>
  <c r="AA794" i="12" s="1"/>
  <c r="R793" i="12"/>
  <c r="V793" i="12" s="1"/>
  <c r="AA793" i="12" s="1"/>
  <c r="R792" i="12"/>
  <c r="V792" i="12" s="1"/>
  <c r="AA792" i="12" s="1"/>
  <c r="R791" i="12"/>
  <c r="V791" i="12" s="1"/>
  <c r="AA791" i="12" s="1"/>
  <c r="R790" i="12"/>
  <c r="V790" i="12" s="1"/>
  <c r="AA790" i="12" s="1"/>
  <c r="R789" i="12"/>
  <c r="V789" i="12" s="1"/>
  <c r="AA789" i="12" s="1"/>
  <c r="R788" i="12"/>
  <c r="V788" i="12" s="1"/>
  <c r="AA788" i="12" s="1"/>
  <c r="V787" i="12"/>
  <c r="AA787" i="12" s="1"/>
  <c r="R787" i="12"/>
  <c r="R786" i="12"/>
  <c r="V786" i="12" s="1"/>
  <c r="AA786" i="12" s="1"/>
  <c r="R785" i="12"/>
  <c r="V785" i="12" s="1"/>
  <c r="AA785" i="12" s="1"/>
  <c r="R784" i="12"/>
  <c r="V784" i="12" s="1"/>
  <c r="AA784" i="12" s="1"/>
  <c r="AB784" i="12" s="1"/>
  <c r="R783" i="12"/>
  <c r="V783" i="12" s="1"/>
  <c r="AA783" i="12" s="1"/>
  <c r="AD783" i="12" s="1"/>
  <c r="R782" i="12"/>
  <c r="V782" i="12" s="1"/>
  <c r="AA782" i="12" s="1"/>
  <c r="R781" i="12"/>
  <c r="V781" i="12" s="1"/>
  <c r="AA781" i="12" s="1"/>
  <c r="R780" i="12"/>
  <c r="V780" i="12" s="1"/>
  <c r="AA780" i="12" s="1"/>
  <c r="R779" i="12"/>
  <c r="V779" i="12" s="1"/>
  <c r="AA779" i="12" s="1"/>
  <c r="R778" i="12"/>
  <c r="V778" i="12" s="1"/>
  <c r="AA778" i="12" s="1"/>
  <c r="R777" i="12"/>
  <c r="V777" i="12" s="1"/>
  <c r="AA777" i="12" s="1"/>
  <c r="AD777" i="12" s="1"/>
  <c r="R776" i="12"/>
  <c r="V776" i="12" s="1"/>
  <c r="AA776" i="12" s="1"/>
  <c r="R775" i="12"/>
  <c r="V775" i="12" s="1"/>
  <c r="AA775" i="12" s="1"/>
  <c r="R774" i="12"/>
  <c r="V774" i="12" s="1"/>
  <c r="AA774" i="12" s="1"/>
  <c r="R773" i="12"/>
  <c r="V773" i="12" s="1"/>
  <c r="AA773" i="12" s="1"/>
  <c r="V772" i="12"/>
  <c r="AA772" i="12" s="1"/>
  <c r="R772" i="12"/>
  <c r="R771" i="12"/>
  <c r="V771" i="12" s="1"/>
  <c r="AA771" i="12" s="1"/>
  <c r="R770" i="12"/>
  <c r="V770" i="12" s="1"/>
  <c r="AA770" i="12" s="1"/>
  <c r="AB770" i="12" s="1"/>
  <c r="R769" i="12"/>
  <c r="V769" i="12" s="1"/>
  <c r="AA769" i="12" s="1"/>
  <c r="AD769" i="12" s="1"/>
  <c r="R768" i="12"/>
  <c r="V768" i="12" s="1"/>
  <c r="AA768" i="12" s="1"/>
  <c r="R767" i="12"/>
  <c r="V767" i="12" s="1"/>
  <c r="AA767" i="12" s="1"/>
  <c r="R766" i="12"/>
  <c r="V766" i="12" s="1"/>
  <c r="AA766" i="12" s="1"/>
  <c r="R765" i="12"/>
  <c r="V765" i="12" s="1"/>
  <c r="AA765" i="12" s="1"/>
  <c r="V764" i="12"/>
  <c r="AA764" i="12" s="1"/>
  <c r="R764" i="12"/>
  <c r="R763" i="12"/>
  <c r="V763" i="12" s="1"/>
  <c r="AA763" i="12" s="1"/>
  <c r="R762" i="12"/>
  <c r="V762" i="12" s="1"/>
  <c r="AA762" i="12" s="1"/>
  <c r="R761" i="12"/>
  <c r="V761" i="12" s="1"/>
  <c r="AA761" i="12" s="1"/>
  <c r="R760" i="12"/>
  <c r="V760" i="12" s="1"/>
  <c r="AA760" i="12" s="1"/>
  <c r="R759" i="12"/>
  <c r="V759" i="12" s="1"/>
  <c r="AA759" i="12" s="1"/>
  <c r="AD759" i="12" s="1"/>
  <c r="R758" i="12"/>
  <c r="V758" i="12" s="1"/>
  <c r="AA758" i="12" s="1"/>
  <c r="V757" i="12"/>
  <c r="AA757" i="12" s="1"/>
  <c r="AD757" i="12" s="1"/>
  <c r="R757" i="12"/>
  <c r="R756" i="12"/>
  <c r="V756" i="12" s="1"/>
  <c r="AA756" i="12" s="1"/>
  <c r="R755" i="12"/>
  <c r="V755" i="12" s="1"/>
  <c r="AA755" i="12" s="1"/>
  <c r="AB755" i="12" s="1"/>
  <c r="R754" i="12"/>
  <c r="V754" i="12" s="1"/>
  <c r="AA754" i="12" s="1"/>
  <c r="AD754" i="12" s="1"/>
  <c r="R753" i="12"/>
  <c r="V753" i="12" s="1"/>
  <c r="AA753" i="12" s="1"/>
  <c r="R752" i="12"/>
  <c r="V752" i="12" s="1"/>
  <c r="AA752" i="12" s="1"/>
  <c r="V751" i="12"/>
  <c r="AA751" i="12" s="1"/>
  <c r="AD751" i="12" s="1"/>
  <c r="R751" i="12"/>
  <c r="R750" i="12"/>
  <c r="V750" i="12" s="1"/>
  <c r="AA750" i="12" s="1"/>
  <c r="V749" i="12"/>
  <c r="AA749" i="12" s="1"/>
  <c r="AD749" i="12" s="1"/>
  <c r="R749" i="12"/>
  <c r="R748" i="12"/>
  <c r="V748" i="12" s="1"/>
  <c r="AA748" i="12" s="1"/>
  <c r="R747" i="12"/>
  <c r="V747" i="12" s="1"/>
  <c r="AA747" i="12" s="1"/>
  <c r="V746" i="12"/>
  <c r="AA746" i="12" s="1"/>
  <c r="AB746" i="12" s="1"/>
  <c r="R746" i="12"/>
  <c r="R745" i="12"/>
  <c r="V745" i="12" s="1"/>
  <c r="AA745" i="12" s="1"/>
  <c r="V744" i="12"/>
  <c r="AA744" i="12" s="1"/>
  <c r="R744" i="12"/>
  <c r="R743" i="12"/>
  <c r="V743" i="12" s="1"/>
  <c r="AA743" i="12" s="1"/>
  <c r="R742" i="12"/>
  <c r="V742" i="12" s="1"/>
  <c r="AA742" i="12" s="1"/>
  <c r="R741" i="12"/>
  <c r="V741" i="12" s="1"/>
  <c r="AA741" i="12" s="1"/>
  <c r="AD741" i="12" s="1"/>
  <c r="V740" i="12"/>
  <c r="AA740" i="12" s="1"/>
  <c r="R740" i="12"/>
  <c r="R739" i="12"/>
  <c r="V739" i="12" s="1"/>
  <c r="AA739" i="12" s="1"/>
  <c r="R738" i="12"/>
  <c r="V738" i="12" s="1"/>
  <c r="AA738" i="12" s="1"/>
  <c r="AB738" i="12" s="1"/>
  <c r="R737" i="12"/>
  <c r="V737" i="12" s="1"/>
  <c r="AA737" i="12" s="1"/>
  <c r="R736" i="12"/>
  <c r="V736" i="12" s="1"/>
  <c r="AA736" i="12" s="1"/>
  <c r="R735" i="12"/>
  <c r="V735" i="12" s="1"/>
  <c r="AA735" i="12" s="1"/>
  <c r="V734" i="12"/>
  <c r="AA734" i="12" s="1"/>
  <c r="R734" i="12"/>
  <c r="V733" i="12"/>
  <c r="AA733" i="12" s="1"/>
  <c r="R733" i="12"/>
  <c r="R732" i="12"/>
  <c r="V732" i="12" s="1"/>
  <c r="AA732" i="12" s="1"/>
  <c r="R731" i="12"/>
  <c r="V731" i="12" s="1"/>
  <c r="AA731" i="12" s="1"/>
  <c r="R730" i="12"/>
  <c r="V730" i="12" s="1"/>
  <c r="AA730" i="12" s="1"/>
  <c r="R729" i="12"/>
  <c r="V729" i="12" s="1"/>
  <c r="AA729" i="12" s="1"/>
  <c r="R728" i="12"/>
  <c r="V728" i="12" s="1"/>
  <c r="AA728" i="12" s="1"/>
  <c r="R727" i="12"/>
  <c r="V727" i="12" s="1"/>
  <c r="AA727" i="12" s="1"/>
  <c r="R726" i="12"/>
  <c r="V726" i="12" s="1"/>
  <c r="AA726" i="12" s="1"/>
  <c r="R725" i="12"/>
  <c r="V725" i="12" s="1"/>
  <c r="AA725" i="12" s="1"/>
  <c r="V724" i="12"/>
  <c r="AA724" i="12" s="1"/>
  <c r="AB724" i="12" s="1"/>
  <c r="R724" i="12"/>
  <c r="R723" i="12"/>
  <c r="V723" i="12" s="1"/>
  <c r="AA723" i="12" s="1"/>
  <c r="R722" i="12"/>
  <c r="V722" i="12" s="1"/>
  <c r="AA722" i="12" s="1"/>
  <c r="R721" i="12"/>
  <c r="V721" i="12" s="1"/>
  <c r="AA721" i="12" s="1"/>
  <c r="AD721" i="12" s="1"/>
  <c r="R720" i="12"/>
  <c r="V720" i="12" s="1"/>
  <c r="AA720" i="12" s="1"/>
  <c r="R719" i="12"/>
  <c r="V719" i="12" s="1"/>
  <c r="AA719" i="12" s="1"/>
  <c r="AB719" i="12" s="1"/>
  <c r="R718" i="12"/>
  <c r="V718" i="12" s="1"/>
  <c r="AA718" i="12" s="1"/>
  <c r="R717" i="12"/>
  <c r="V717" i="12" s="1"/>
  <c r="AA717" i="12" s="1"/>
  <c r="R716" i="12"/>
  <c r="V716" i="12" s="1"/>
  <c r="AA716" i="12" s="1"/>
  <c r="R715" i="12"/>
  <c r="V715" i="12" s="1"/>
  <c r="AA715" i="12" s="1"/>
  <c r="R714" i="12"/>
  <c r="V714" i="12" s="1"/>
  <c r="AA714" i="12" s="1"/>
  <c r="R713" i="12"/>
  <c r="V713" i="12" s="1"/>
  <c r="AA713" i="12" s="1"/>
  <c r="AD713" i="12" s="1"/>
  <c r="V712" i="12"/>
  <c r="AA712" i="12" s="1"/>
  <c r="R712" i="12"/>
  <c r="R711" i="12"/>
  <c r="V711" i="12" s="1"/>
  <c r="AA711" i="12" s="1"/>
  <c r="R710" i="12"/>
  <c r="V710" i="12" s="1"/>
  <c r="AA710" i="12" s="1"/>
  <c r="R709" i="12"/>
  <c r="V709" i="12" s="1"/>
  <c r="AA709" i="12" s="1"/>
  <c r="R708" i="12"/>
  <c r="V708" i="12" s="1"/>
  <c r="AA708" i="12" s="1"/>
  <c r="AB708" i="12" s="1"/>
  <c r="R707" i="12"/>
  <c r="V707" i="12" s="1"/>
  <c r="AA707" i="12" s="1"/>
  <c r="R706" i="12"/>
  <c r="V706" i="12" s="1"/>
  <c r="AA706" i="12" s="1"/>
  <c r="R705" i="12"/>
  <c r="V705" i="12" s="1"/>
  <c r="AA705" i="12" s="1"/>
  <c r="V704" i="12"/>
  <c r="AA704" i="12" s="1"/>
  <c r="AB704" i="12" s="1"/>
  <c r="R704" i="12"/>
  <c r="R703" i="12"/>
  <c r="V703" i="12" s="1"/>
  <c r="AA703" i="12" s="1"/>
  <c r="V702" i="12"/>
  <c r="AA702" i="12" s="1"/>
  <c r="R702" i="12"/>
  <c r="R701" i="12"/>
  <c r="V701" i="12" s="1"/>
  <c r="AA701" i="12" s="1"/>
  <c r="R700" i="12"/>
  <c r="V700" i="12" s="1"/>
  <c r="AA700" i="12" s="1"/>
  <c r="R699" i="12"/>
  <c r="V699" i="12" s="1"/>
  <c r="AA699" i="12" s="1"/>
  <c r="R698" i="12"/>
  <c r="V698" i="12" s="1"/>
  <c r="AA698" i="12" s="1"/>
  <c r="V697" i="12"/>
  <c r="AA697" i="12" s="1"/>
  <c r="AD697" i="12" s="1"/>
  <c r="R697" i="12"/>
  <c r="R696" i="12"/>
  <c r="V696" i="12" s="1"/>
  <c r="AA696" i="12" s="1"/>
  <c r="V695" i="12"/>
  <c r="AA695" i="12" s="1"/>
  <c r="R695" i="12"/>
  <c r="V694" i="12"/>
  <c r="AA694" i="12" s="1"/>
  <c r="R694" i="12"/>
  <c r="R693" i="12"/>
  <c r="V693" i="12" s="1"/>
  <c r="AA693" i="12" s="1"/>
  <c r="AD693" i="12" s="1"/>
  <c r="R692" i="12"/>
  <c r="V692" i="12" s="1"/>
  <c r="AA692" i="12" s="1"/>
  <c r="R691" i="12"/>
  <c r="V691" i="12" s="1"/>
  <c r="AA691" i="12" s="1"/>
  <c r="AB691" i="12" s="1"/>
  <c r="R690" i="12"/>
  <c r="V690" i="12" s="1"/>
  <c r="AA690" i="12" s="1"/>
  <c r="V689" i="12"/>
  <c r="AA689" i="12" s="1"/>
  <c r="R689" i="12"/>
  <c r="V688" i="12"/>
  <c r="AA688" i="12" s="1"/>
  <c r="R688" i="12"/>
  <c r="R687" i="12"/>
  <c r="V687" i="12" s="1"/>
  <c r="AA687" i="12" s="1"/>
  <c r="R686" i="12"/>
  <c r="V686" i="12" s="1"/>
  <c r="AA686" i="12" s="1"/>
  <c r="V685" i="12"/>
  <c r="AA685" i="12" s="1"/>
  <c r="R685" i="12"/>
  <c r="R684" i="12"/>
  <c r="V684" i="12" s="1"/>
  <c r="AA684" i="12" s="1"/>
  <c r="R683" i="12"/>
  <c r="V683" i="12" s="1"/>
  <c r="AA683" i="12" s="1"/>
  <c r="R682" i="12"/>
  <c r="V682" i="12" s="1"/>
  <c r="AA682" i="12" s="1"/>
  <c r="AB682" i="12" s="1"/>
  <c r="R681" i="12"/>
  <c r="V681" i="12" s="1"/>
  <c r="AA681" i="12" s="1"/>
  <c r="R680" i="12"/>
  <c r="V680" i="12" s="1"/>
  <c r="AA680" i="12" s="1"/>
  <c r="R679" i="12"/>
  <c r="V679" i="12" s="1"/>
  <c r="AA679" i="12" s="1"/>
  <c r="R678" i="12"/>
  <c r="V678" i="12" s="1"/>
  <c r="AA678" i="12" s="1"/>
  <c r="R677" i="12"/>
  <c r="V677" i="12" s="1"/>
  <c r="AA677" i="12" s="1"/>
  <c r="R676" i="12"/>
  <c r="V676" i="12" s="1"/>
  <c r="AA676" i="12" s="1"/>
  <c r="R675" i="12"/>
  <c r="V675" i="12" s="1"/>
  <c r="AA675" i="12" s="1"/>
  <c r="R674" i="12"/>
  <c r="V674" i="12" s="1"/>
  <c r="AA674" i="12" s="1"/>
  <c r="R673" i="12"/>
  <c r="V673" i="12" s="1"/>
  <c r="AA673" i="12" s="1"/>
  <c r="R672" i="12"/>
  <c r="V672" i="12" s="1"/>
  <c r="AA672" i="12" s="1"/>
  <c r="R671" i="12"/>
  <c r="V671" i="12" s="1"/>
  <c r="AA671" i="12" s="1"/>
  <c r="R670" i="12"/>
  <c r="V670" i="12" s="1"/>
  <c r="AA670" i="12" s="1"/>
  <c r="R669" i="12"/>
  <c r="V669" i="12" s="1"/>
  <c r="AA669" i="12" s="1"/>
  <c r="R668" i="12"/>
  <c r="V668" i="12" s="1"/>
  <c r="AA668" i="12" s="1"/>
  <c r="R667" i="12"/>
  <c r="V667" i="12" s="1"/>
  <c r="AA667" i="12" s="1"/>
  <c r="R666" i="12"/>
  <c r="V666" i="12" s="1"/>
  <c r="AA666" i="12" s="1"/>
  <c r="R665" i="12"/>
  <c r="V665" i="12" s="1"/>
  <c r="AA665" i="12" s="1"/>
  <c r="R664" i="12"/>
  <c r="V664" i="12" s="1"/>
  <c r="AA664" i="12" s="1"/>
  <c r="R663" i="12"/>
  <c r="V663" i="12" s="1"/>
  <c r="AA663" i="12" s="1"/>
  <c r="AB663" i="12" s="1"/>
  <c r="V662" i="12"/>
  <c r="AA662" i="12" s="1"/>
  <c r="R662" i="12"/>
  <c r="R661" i="12"/>
  <c r="V661" i="12" s="1"/>
  <c r="AA661" i="12" s="1"/>
  <c r="AB661" i="12" s="1"/>
  <c r="R660" i="12"/>
  <c r="V660" i="12" s="1"/>
  <c r="AA660" i="12" s="1"/>
  <c r="AB660" i="12" s="1"/>
  <c r="R659" i="12"/>
  <c r="V659" i="12" s="1"/>
  <c r="AA659" i="12" s="1"/>
  <c r="R658" i="12"/>
  <c r="V658" i="12" s="1"/>
  <c r="AA658" i="12" s="1"/>
  <c r="R657" i="12"/>
  <c r="V657" i="12" s="1"/>
  <c r="AA657" i="12" s="1"/>
  <c r="R656" i="12"/>
  <c r="V656" i="12" s="1"/>
  <c r="AA656" i="12" s="1"/>
  <c r="R655" i="12"/>
  <c r="V655" i="12" s="1"/>
  <c r="AA655" i="12" s="1"/>
  <c r="AB655" i="12" s="1"/>
  <c r="V654" i="12"/>
  <c r="AA654" i="12" s="1"/>
  <c r="R654" i="12"/>
  <c r="V653" i="12"/>
  <c r="AA653" i="12" s="1"/>
  <c r="AB653" i="12" s="1"/>
  <c r="R653" i="12"/>
  <c r="R652" i="12"/>
  <c r="V652" i="12" s="1"/>
  <c r="AA652" i="12" s="1"/>
  <c r="R651" i="12"/>
  <c r="V651" i="12" s="1"/>
  <c r="AA651" i="12" s="1"/>
  <c r="R650" i="12"/>
  <c r="V650" i="12" s="1"/>
  <c r="AA650" i="12" s="1"/>
  <c r="V649" i="12"/>
  <c r="AA649" i="12" s="1"/>
  <c r="R649" i="12"/>
  <c r="R648" i="12"/>
  <c r="V648" i="12" s="1"/>
  <c r="AA648" i="12" s="1"/>
  <c r="R647" i="12"/>
  <c r="V647" i="12" s="1"/>
  <c r="AA647" i="12" s="1"/>
  <c r="R646" i="12"/>
  <c r="V646" i="12" s="1"/>
  <c r="AA646" i="12" s="1"/>
  <c r="V645" i="12"/>
  <c r="AA645" i="12" s="1"/>
  <c r="AB645" i="12" s="1"/>
  <c r="R645" i="12"/>
  <c r="R644" i="12"/>
  <c r="V644" i="12" s="1"/>
  <c r="AA644" i="12" s="1"/>
  <c r="AB644" i="12" s="1"/>
  <c r="R643" i="12"/>
  <c r="V643" i="12" s="1"/>
  <c r="AA643" i="12" s="1"/>
  <c r="AB643" i="12" s="1"/>
  <c r="R642" i="12"/>
  <c r="V642" i="12" s="1"/>
  <c r="AA642" i="12" s="1"/>
  <c r="R641" i="12"/>
  <c r="V641" i="12" s="1"/>
  <c r="AA641" i="12" s="1"/>
  <c r="V640" i="12"/>
  <c r="AA640" i="12" s="1"/>
  <c r="R640" i="12"/>
  <c r="V639" i="12"/>
  <c r="AA639" i="12" s="1"/>
  <c r="R639" i="12"/>
  <c r="R638" i="12"/>
  <c r="V638" i="12" s="1"/>
  <c r="AA638" i="12" s="1"/>
  <c r="R637" i="12"/>
  <c r="V637" i="12" s="1"/>
  <c r="AA637" i="12" s="1"/>
  <c r="R636" i="12"/>
  <c r="V636" i="12" s="1"/>
  <c r="AA636" i="12" s="1"/>
  <c r="R635" i="12"/>
  <c r="V635" i="12" s="1"/>
  <c r="AA635" i="12" s="1"/>
  <c r="R634" i="12"/>
  <c r="V634" i="12" s="1"/>
  <c r="AA634" i="12" s="1"/>
  <c r="AB634" i="12" s="1"/>
  <c r="R633" i="12"/>
  <c r="V633" i="12" s="1"/>
  <c r="AA633" i="12" s="1"/>
  <c r="R632" i="12"/>
  <c r="V632" i="12" s="1"/>
  <c r="AA632" i="12" s="1"/>
  <c r="AB632" i="12" s="1"/>
  <c r="R631" i="12"/>
  <c r="V631" i="12" s="1"/>
  <c r="AA631" i="12" s="1"/>
  <c r="V630" i="12"/>
  <c r="AA630" i="12" s="1"/>
  <c r="R630" i="12"/>
  <c r="R629" i="12"/>
  <c r="V629" i="12" s="1"/>
  <c r="AA629" i="12" s="1"/>
  <c r="V628" i="12"/>
  <c r="AA628" i="12" s="1"/>
  <c r="R628" i="12"/>
  <c r="R627" i="12"/>
  <c r="V627" i="12" s="1"/>
  <c r="AA627" i="12" s="1"/>
  <c r="AB627" i="12" s="1"/>
  <c r="R626" i="12"/>
  <c r="V626" i="12" s="1"/>
  <c r="AA626" i="12" s="1"/>
  <c r="R625" i="12"/>
  <c r="V625" i="12" s="1"/>
  <c r="AA625" i="12" s="1"/>
  <c r="R624" i="12"/>
  <c r="V624" i="12" s="1"/>
  <c r="AA624" i="12" s="1"/>
  <c r="AD624" i="12" s="1"/>
  <c r="R623" i="12"/>
  <c r="V623" i="12" s="1"/>
  <c r="AA623" i="12" s="1"/>
  <c r="AD623" i="12" s="1"/>
  <c r="R622" i="12"/>
  <c r="V622" i="12" s="1"/>
  <c r="AA622" i="12" s="1"/>
  <c r="R621" i="12"/>
  <c r="V621" i="12" s="1"/>
  <c r="AA621" i="12" s="1"/>
  <c r="R620" i="12"/>
  <c r="V620" i="12" s="1"/>
  <c r="AA620" i="12" s="1"/>
  <c r="V619" i="12"/>
  <c r="AA619" i="12" s="1"/>
  <c r="R619" i="12"/>
  <c r="R618" i="12"/>
  <c r="V618" i="12" s="1"/>
  <c r="AA618" i="12" s="1"/>
  <c r="R617" i="12"/>
  <c r="V617" i="12" s="1"/>
  <c r="AA617" i="12" s="1"/>
  <c r="R616" i="12"/>
  <c r="V616" i="12" s="1"/>
  <c r="AA616" i="12" s="1"/>
  <c r="V615" i="12"/>
  <c r="AA615" i="12" s="1"/>
  <c r="R615" i="12"/>
  <c r="R614" i="12"/>
  <c r="V614" i="12" s="1"/>
  <c r="AA614" i="12" s="1"/>
  <c r="R613" i="12"/>
  <c r="V613" i="12" s="1"/>
  <c r="AA613" i="12" s="1"/>
  <c r="R612" i="12"/>
  <c r="V612" i="12" s="1"/>
  <c r="AA612" i="12" s="1"/>
  <c r="AB612" i="12" s="1"/>
  <c r="V611" i="12"/>
  <c r="AA611" i="12" s="1"/>
  <c r="AB611" i="12" s="1"/>
  <c r="R611" i="12"/>
  <c r="V610" i="12"/>
  <c r="AA610" i="12" s="1"/>
  <c r="R610" i="12"/>
  <c r="R609" i="12"/>
  <c r="V609" i="12" s="1"/>
  <c r="AA609" i="12" s="1"/>
  <c r="AD609" i="12" s="1"/>
  <c r="V608" i="12"/>
  <c r="AA608" i="12" s="1"/>
  <c r="R608" i="12"/>
  <c r="V607" i="12"/>
  <c r="AA607" i="12" s="1"/>
  <c r="R607" i="12"/>
  <c r="V606" i="12"/>
  <c r="AA606" i="12" s="1"/>
  <c r="R606" i="12"/>
  <c r="R605" i="12"/>
  <c r="V605" i="12" s="1"/>
  <c r="AA605" i="12" s="1"/>
  <c r="V604" i="12"/>
  <c r="AA604" i="12" s="1"/>
  <c r="AD604" i="12" s="1"/>
  <c r="R604" i="12"/>
  <c r="R603" i="12"/>
  <c r="V603" i="12" s="1"/>
  <c r="AA603" i="12" s="1"/>
  <c r="R602" i="12"/>
  <c r="V602" i="12" s="1"/>
  <c r="AA602" i="12" s="1"/>
  <c r="V601" i="12"/>
  <c r="AA601" i="12" s="1"/>
  <c r="R601" i="12"/>
  <c r="R600" i="12"/>
  <c r="V600" i="12" s="1"/>
  <c r="AA600" i="12" s="1"/>
  <c r="R599" i="12"/>
  <c r="V599" i="12" s="1"/>
  <c r="AA599" i="12" s="1"/>
  <c r="R598" i="12"/>
  <c r="V598" i="12" s="1"/>
  <c r="AA598" i="12" s="1"/>
  <c r="R597" i="12"/>
  <c r="V597" i="12" s="1"/>
  <c r="AA597" i="12" s="1"/>
  <c r="AB597" i="12" s="1"/>
  <c r="R596" i="12"/>
  <c r="V596" i="12" s="1"/>
  <c r="AA596" i="12" s="1"/>
  <c r="R595" i="12"/>
  <c r="V595" i="12" s="1"/>
  <c r="AA595" i="12" s="1"/>
  <c r="V594" i="12"/>
  <c r="AA594" i="12" s="1"/>
  <c r="R594" i="12"/>
  <c r="R593" i="12"/>
  <c r="V593" i="12" s="1"/>
  <c r="AA593" i="12" s="1"/>
  <c r="AD593" i="12" s="1"/>
  <c r="R592" i="12"/>
  <c r="V592" i="12" s="1"/>
  <c r="AA592" i="12" s="1"/>
  <c r="R591" i="12"/>
  <c r="V591" i="12" s="1"/>
  <c r="AA591" i="12" s="1"/>
  <c r="R590" i="12"/>
  <c r="V590" i="12" s="1"/>
  <c r="AA590" i="12" s="1"/>
  <c r="R589" i="12"/>
  <c r="V589" i="12" s="1"/>
  <c r="AA589" i="12" s="1"/>
  <c r="AB589" i="12" s="1"/>
  <c r="R588" i="12"/>
  <c r="V588" i="12" s="1"/>
  <c r="AA588" i="12" s="1"/>
  <c r="R587" i="12"/>
  <c r="V587" i="12" s="1"/>
  <c r="AA587" i="12" s="1"/>
  <c r="R586" i="12"/>
  <c r="V586" i="12" s="1"/>
  <c r="AA586" i="12" s="1"/>
  <c r="V585" i="12"/>
  <c r="AA585" i="12" s="1"/>
  <c r="AD585" i="12" s="1"/>
  <c r="R585" i="12"/>
  <c r="V584" i="12"/>
  <c r="AA584" i="12" s="1"/>
  <c r="R584" i="12"/>
  <c r="R583" i="12"/>
  <c r="V583" i="12" s="1"/>
  <c r="AA583" i="12" s="1"/>
  <c r="V582" i="12"/>
  <c r="AA582" i="12" s="1"/>
  <c r="R582" i="12"/>
  <c r="R581" i="12"/>
  <c r="V581" i="12" s="1"/>
  <c r="AA581" i="12" s="1"/>
  <c r="AD581" i="12" s="1"/>
  <c r="R580" i="12"/>
  <c r="V580" i="12" s="1"/>
  <c r="AA580" i="12" s="1"/>
  <c r="R579" i="12"/>
  <c r="V579" i="12" s="1"/>
  <c r="AA579" i="12" s="1"/>
  <c r="R578" i="12"/>
  <c r="V578" i="12" s="1"/>
  <c r="AA578" i="12" s="1"/>
  <c r="V577" i="12"/>
  <c r="AA577" i="12" s="1"/>
  <c r="R577" i="12"/>
  <c r="R576" i="12"/>
  <c r="V576" i="12" s="1"/>
  <c r="AA576" i="12" s="1"/>
  <c r="AB576" i="12" s="1"/>
  <c r="R575" i="12"/>
  <c r="V575" i="12" s="1"/>
  <c r="AA575" i="12" s="1"/>
  <c r="R574" i="12"/>
  <c r="V574" i="12" s="1"/>
  <c r="AA574" i="12" s="1"/>
  <c r="V573" i="12"/>
  <c r="AA573" i="12" s="1"/>
  <c r="R573" i="12"/>
  <c r="R572" i="12"/>
  <c r="V572" i="12" s="1"/>
  <c r="AA572" i="12" s="1"/>
  <c r="R571" i="12"/>
  <c r="V571" i="12" s="1"/>
  <c r="AA571" i="12" s="1"/>
  <c r="R570" i="12"/>
  <c r="V570" i="12" s="1"/>
  <c r="AA570" i="12" s="1"/>
  <c r="R569" i="12"/>
  <c r="V569" i="12" s="1"/>
  <c r="AA569" i="12" s="1"/>
  <c r="R568" i="12"/>
  <c r="V568" i="12" s="1"/>
  <c r="AA568" i="12" s="1"/>
  <c r="R567" i="12"/>
  <c r="V567" i="12" s="1"/>
  <c r="AA567" i="12" s="1"/>
  <c r="AD567" i="12" s="1"/>
  <c r="R566" i="12"/>
  <c r="V566" i="12" s="1"/>
  <c r="AA566" i="12" s="1"/>
  <c r="R565" i="12"/>
  <c r="V565" i="12" s="1"/>
  <c r="AA565" i="12" s="1"/>
  <c r="AD565" i="12" s="1"/>
  <c r="R564" i="12"/>
  <c r="V564" i="12" s="1"/>
  <c r="AA564" i="12" s="1"/>
  <c r="V563" i="12"/>
  <c r="AA563" i="12" s="1"/>
  <c r="R563" i="12"/>
  <c r="R562" i="12"/>
  <c r="V562" i="12" s="1"/>
  <c r="AA562" i="12" s="1"/>
  <c r="AD562" i="12" s="1"/>
  <c r="R561" i="12"/>
  <c r="V561" i="12" s="1"/>
  <c r="AA561" i="12" s="1"/>
  <c r="AD561" i="12" s="1"/>
  <c r="R560" i="12"/>
  <c r="V560" i="12" s="1"/>
  <c r="AA560" i="12" s="1"/>
  <c r="R559" i="12"/>
  <c r="V559" i="12" s="1"/>
  <c r="AA559" i="12" s="1"/>
  <c r="V558" i="12"/>
  <c r="AA558" i="12" s="1"/>
  <c r="R558" i="12"/>
  <c r="R557" i="12"/>
  <c r="V557" i="12" s="1"/>
  <c r="AA557" i="12" s="1"/>
  <c r="AD557" i="12" s="1"/>
  <c r="R556" i="12"/>
  <c r="V556" i="12" s="1"/>
  <c r="AA556" i="12" s="1"/>
  <c r="R555" i="12"/>
  <c r="V555" i="12" s="1"/>
  <c r="AA555" i="12" s="1"/>
  <c r="R554" i="12"/>
  <c r="V554" i="12" s="1"/>
  <c r="AA554" i="12" s="1"/>
  <c r="AB554" i="12" s="1"/>
  <c r="R553" i="12"/>
  <c r="V553" i="12" s="1"/>
  <c r="AA553" i="12" s="1"/>
  <c r="R552" i="12"/>
  <c r="V552" i="12" s="1"/>
  <c r="AA552" i="12" s="1"/>
  <c r="AD552" i="12" s="1"/>
  <c r="V551" i="12"/>
  <c r="AA551" i="12" s="1"/>
  <c r="AB551" i="12" s="1"/>
  <c r="R551" i="12"/>
  <c r="R550" i="12"/>
  <c r="V550" i="12" s="1"/>
  <c r="AA550" i="12" s="1"/>
  <c r="R549" i="12"/>
  <c r="V549" i="12" s="1"/>
  <c r="AA549" i="12" s="1"/>
  <c r="AD549" i="12" s="1"/>
  <c r="V548" i="12"/>
  <c r="AA548" i="12" s="1"/>
  <c r="AD548" i="12" s="1"/>
  <c r="R548" i="12"/>
  <c r="R547" i="12"/>
  <c r="V547" i="12" s="1"/>
  <c r="AA547" i="12" s="1"/>
  <c r="R546" i="12"/>
  <c r="V546" i="12" s="1"/>
  <c r="AA546" i="12" s="1"/>
  <c r="AB546" i="12" s="1"/>
  <c r="V545" i="12"/>
  <c r="AA545" i="12" s="1"/>
  <c r="AD545" i="12" s="1"/>
  <c r="R545" i="12"/>
  <c r="V544" i="12"/>
  <c r="AA544" i="12" s="1"/>
  <c r="R544" i="12"/>
  <c r="R543" i="12"/>
  <c r="V543" i="12" s="1"/>
  <c r="AA543" i="12" s="1"/>
  <c r="R542" i="12"/>
  <c r="V542" i="12" s="1"/>
  <c r="AA542" i="12" s="1"/>
  <c r="V541" i="12"/>
  <c r="AA541" i="12" s="1"/>
  <c r="AD541" i="12" s="1"/>
  <c r="R541" i="12"/>
  <c r="R540" i="12"/>
  <c r="V540" i="12" s="1"/>
  <c r="AA540" i="12" s="1"/>
  <c r="AB540" i="12" s="1"/>
  <c r="V539" i="12"/>
  <c r="AA539" i="12" s="1"/>
  <c r="R539" i="12"/>
  <c r="R538" i="12"/>
  <c r="V538" i="12" s="1"/>
  <c r="AA538" i="12" s="1"/>
  <c r="V537" i="12"/>
  <c r="AA537" i="12" s="1"/>
  <c r="AD537" i="12" s="1"/>
  <c r="R537" i="12"/>
  <c r="R536" i="12"/>
  <c r="V536" i="12" s="1"/>
  <c r="AA536" i="12" s="1"/>
  <c r="R535" i="12"/>
  <c r="V535" i="12" s="1"/>
  <c r="AA535" i="12" s="1"/>
  <c r="R534" i="12"/>
  <c r="V534" i="12" s="1"/>
  <c r="AA534" i="12" s="1"/>
  <c r="V533" i="12"/>
  <c r="AA533" i="12" s="1"/>
  <c r="AB533" i="12" s="1"/>
  <c r="R533" i="12"/>
  <c r="V532" i="12"/>
  <c r="AA532" i="12" s="1"/>
  <c r="R532" i="12"/>
  <c r="R531" i="12"/>
  <c r="V531" i="12" s="1"/>
  <c r="AA531" i="12" s="1"/>
  <c r="R530" i="12"/>
  <c r="V530" i="12" s="1"/>
  <c r="AA530" i="12" s="1"/>
  <c r="R529" i="12"/>
  <c r="V529" i="12" s="1"/>
  <c r="AA529" i="12" s="1"/>
  <c r="AD529" i="12" s="1"/>
  <c r="R528" i="12"/>
  <c r="V528" i="12" s="1"/>
  <c r="AA528" i="12" s="1"/>
  <c r="AD528" i="12" s="1"/>
  <c r="R527" i="12"/>
  <c r="V527" i="12" s="1"/>
  <c r="AA527" i="12" s="1"/>
  <c r="R526" i="12"/>
  <c r="V526" i="12" s="1"/>
  <c r="AA526" i="12" s="1"/>
  <c r="R525" i="12"/>
  <c r="V525" i="12" s="1"/>
  <c r="AA525" i="12" s="1"/>
  <c r="R524" i="12"/>
  <c r="V524" i="12" s="1"/>
  <c r="AA524" i="12" s="1"/>
  <c r="R523" i="12"/>
  <c r="V523" i="12" s="1"/>
  <c r="AA523" i="12" s="1"/>
  <c r="AB523" i="12" s="1"/>
  <c r="R522" i="12"/>
  <c r="V522" i="12" s="1"/>
  <c r="AA522" i="12" s="1"/>
  <c r="R521" i="12"/>
  <c r="V521" i="12" s="1"/>
  <c r="AA521" i="12" s="1"/>
  <c r="AD521" i="12" s="1"/>
  <c r="R520" i="12"/>
  <c r="V520" i="12" s="1"/>
  <c r="AA520" i="12" s="1"/>
  <c r="R519" i="12"/>
  <c r="V519" i="12" s="1"/>
  <c r="AA519" i="12" s="1"/>
  <c r="R518" i="12"/>
  <c r="V518" i="12" s="1"/>
  <c r="AA518" i="12" s="1"/>
  <c r="V517" i="12"/>
  <c r="AA517" i="12" s="1"/>
  <c r="R517" i="12"/>
  <c r="R516" i="12"/>
  <c r="V516" i="12" s="1"/>
  <c r="AA516" i="12" s="1"/>
  <c r="AD516" i="12" s="1"/>
  <c r="R515" i="12"/>
  <c r="V515" i="12" s="1"/>
  <c r="AA515" i="12" s="1"/>
  <c r="R514" i="12"/>
  <c r="V514" i="12" s="1"/>
  <c r="AA514" i="12" s="1"/>
  <c r="R513" i="12"/>
  <c r="V513" i="12" s="1"/>
  <c r="AA513" i="12" s="1"/>
  <c r="AD513" i="12" s="1"/>
  <c r="R512" i="12"/>
  <c r="V512" i="12" s="1"/>
  <c r="AA512" i="12" s="1"/>
  <c r="AB512" i="12" s="1"/>
  <c r="R511" i="12"/>
  <c r="V511" i="12" s="1"/>
  <c r="AA511" i="12" s="1"/>
  <c r="R510" i="12"/>
  <c r="V510" i="12" s="1"/>
  <c r="AA510" i="12" s="1"/>
  <c r="R509" i="12"/>
  <c r="V509" i="12" s="1"/>
  <c r="AA509" i="12" s="1"/>
  <c r="R508" i="12"/>
  <c r="V508" i="12" s="1"/>
  <c r="AA508" i="12" s="1"/>
  <c r="R507" i="12"/>
  <c r="V507" i="12" s="1"/>
  <c r="AA507" i="12" s="1"/>
  <c r="R506" i="12"/>
  <c r="V506" i="12" s="1"/>
  <c r="AA506" i="12" s="1"/>
  <c r="AB506" i="12" s="1"/>
  <c r="R505" i="12"/>
  <c r="V505" i="12" s="1"/>
  <c r="AA505" i="12" s="1"/>
  <c r="R504" i="12"/>
  <c r="V504" i="12" s="1"/>
  <c r="AA504" i="12" s="1"/>
  <c r="R503" i="12"/>
  <c r="V503" i="12" s="1"/>
  <c r="AA503" i="12" s="1"/>
  <c r="AD503" i="12" s="1"/>
  <c r="R502" i="12"/>
  <c r="V502" i="12" s="1"/>
  <c r="AA502" i="12" s="1"/>
  <c r="R501" i="12"/>
  <c r="V501" i="12" s="1"/>
  <c r="AA501" i="12" s="1"/>
  <c r="R500" i="12"/>
  <c r="V500" i="12" s="1"/>
  <c r="AA500" i="12" s="1"/>
  <c r="R499" i="12"/>
  <c r="V499" i="12" s="1"/>
  <c r="AA499" i="12" s="1"/>
  <c r="R498" i="12"/>
  <c r="V498" i="12" s="1"/>
  <c r="AA498" i="12" s="1"/>
  <c r="R497" i="12"/>
  <c r="V497" i="12" s="1"/>
  <c r="AA497" i="12" s="1"/>
  <c r="R496" i="12"/>
  <c r="V496" i="12" s="1"/>
  <c r="AA496" i="12" s="1"/>
  <c r="R495" i="12"/>
  <c r="V495" i="12" s="1"/>
  <c r="AA495" i="12" s="1"/>
  <c r="R494" i="12"/>
  <c r="V494" i="12" s="1"/>
  <c r="AA494" i="12" s="1"/>
  <c r="R493" i="12"/>
  <c r="V493" i="12" s="1"/>
  <c r="AA493" i="12" s="1"/>
  <c r="V492" i="12"/>
  <c r="AA492" i="12" s="1"/>
  <c r="AB492" i="12" s="1"/>
  <c r="R492" i="12"/>
  <c r="R491" i="12"/>
  <c r="V491" i="12" s="1"/>
  <c r="AA491" i="12" s="1"/>
  <c r="V490" i="12"/>
  <c r="AA490" i="12" s="1"/>
  <c r="R490" i="12"/>
  <c r="V489" i="12"/>
  <c r="AA489" i="12" s="1"/>
  <c r="R489" i="12"/>
  <c r="V488" i="12"/>
  <c r="AA488" i="12" s="1"/>
  <c r="R488" i="12"/>
  <c r="R487" i="12"/>
  <c r="V487" i="12" s="1"/>
  <c r="AA487" i="12" s="1"/>
  <c r="AB487" i="12" s="1"/>
  <c r="V486" i="12"/>
  <c r="AA486" i="12" s="1"/>
  <c r="R486" i="12"/>
  <c r="R485" i="12"/>
  <c r="V485" i="12" s="1"/>
  <c r="AA485" i="12" s="1"/>
  <c r="AD485" i="12" s="1"/>
  <c r="R484" i="12"/>
  <c r="V484" i="12" s="1"/>
  <c r="AA484" i="12" s="1"/>
  <c r="AB484" i="12" s="1"/>
  <c r="R483" i="12"/>
  <c r="V483" i="12" s="1"/>
  <c r="AA483" i="12" s="1"/>
  <c r="R482" i="12"/>
  <c r="V482" i="12" s="1"/>
  <c r="AA482" i="12" s="1"/>
  <c r="R481" i="12"/>
  <c r="V481" i="12" s="1"/>
  <c r="AA481" i="12" s="1"/>
  <c r="AD481" i="12" s="1"/>
  <c r="V480" i="12"/>
  <c r="AA480" i="12" s="1"/>
  <c r="R480" i="12"/>
  <c r="R479" i="12"/>
  <c r="V479" i="12" s="1"/>
  <c r="AA479" i="12" s="1"/>
  <c r="AD479" i="12" s="1"/>
  <c r="R478" i="12"/>
  <c r="V478" i="12" s="1"/>
  <c r="AA478" i="12" s="1"/>
  <c r="R477" i="12"/>
  <c r="V477" i="12" s="1"/>
  <c r="AA477" i="12" s="1"/>
  <c r="V476" i="12"/>
  <c r="AA476" i="12" s="1"/>
  <c r="R476" i="12"/>
  <c r="V475" i="12"/>
  <c r="AA475" i="12" s="1"/>
  <c r="R475" i="12"/>
  <c r="R474" i="12"/>
  <c r="V474" i="12" s="1"/>
  <c r="AA474" i="12" s="1"/>
  <c r="R473" i="12"/>
  <c r="V473" i="12" s="1"/>
  <c r="AA473" i="12" s="1"/>
  <c r="R472" i="12"/>
  <c r="V472" i="12" s="1"/>
  <c r="AA472" i="12" s="1"/>
  <c r="R471" i="12"/>
  <c r="V471" i="12" s="1"/>
  <c r="AA471" i="12" s="1"/>
  <c r="R470" i="12"/>
  <c r="V470" i="12" s="1"/>
  <c r="AA470" i="12" s="1"/>
  <c r="V469" i="12"/>
  <c r="AA469" i="12" s="1"/>
  <c r="R469" i="12"/>
  <c r="R468" i="12"/>
  <c r="V468" i="12" s="1"/>
  <c r="AA468" i="12" s="1"/>
  <c r="V467" i="12"/>
  <c r="AA467" i="12" s="1"/>
  <c r="R467" i="12"/>
  <c r="R466" i="12"/>
  <c r="V466" i="12" s="1"/>
  <c r="AA466" i="12" s="1"/>
  <c r="R465" i="12"/>
  <c r="V465" i="12" s="1"/>
  <c r="AA465" i="12" s="1"/>
  <c r="R464" i="12"/>
  <c r="V464" i="12" s="1"/>
  <c r="AA464" i="12" s="1"/>
  <c r="R463" i="12"/>
  <c r="V463" i="12" s="1"/>
  <c r="AA463" i="12" s="1"/>
  <c r="R462" i="12"/>
  <c r="V462" i="12" s="1"/>
  <c r="AA462" i="12" s="1"/>
  <c r="V461" i="12"/>
  <c r="AA461" i="12" s="1"/>
  <c r="R461" i="12"/>
  <c r="R460" i="12"/>
  <c r="V460" i="12" s="1"/>
  <c r="AA460" i="12" s="1"/>
  <c r="V459" i="12"/>
  <c r="AA459" i="12"/>
  <c r="R459" i="12"/>
  <c r="R458" i="12"/>
  <c r="V458" i="12" s="1"/>
  <c r="AA458" i="12" s="1"/>
  <c r="AB458" i="12" s="1"/>
  <c r="R457" i="12"/>
  <c r="V457" i="12" s="1"/>
  <c r="AA457" i="12" s="1"/>
  <c r="R456" i="12"/>
  <c r="V456" i="12" s="1"/>
  <c r="AA456" i="12" s="1"/>
  <c r="R455" i="12"/>
  <c r="V455" i="12" s="1"/>
  <c r="AA455" i="12" s="1"/>
  <c r="V454" i="12"/>
  <c r="AA454" i="12" s="1"/>
  <c r="R454" i="12"/>
  <c r="R453" i="12"/>
  <c r="V453" i="12" s="1"/>
  <c r="AA453" i="12" s="1"/>
  <c r="V452" i="12"/>
  <c r="AA452" i="12" s="1"/>
  <c r="R452" i="12"/>
  <c r="R451" i="12"/>
  <c r="V451" i="12" s="1"/>
  <c r="AA451" i="12" s="1"/>
  <c r="AB451" i="12" s="1"/>
  <c r="R450" i="12"/>
  <c r="V450" i="12" s="1"/>
  <c r="AA450" i="12" s="1"/>
  <c r="AB450" i="12" s="1"/>
  <c r="R449" i="12"/>
  <c r="V449" i="12" s="1"/>
  <c r="AA449" i="12" s="1"/>
  <c r="AB449" i="12" s="1"/>
  <c r="R448" i="12"/>
  <c r="V448" i="12" s="1"/>
  <c r="AA448" i="12" s="1"/>
  <c r="R447" i="12"/>
  <c r="V447" i="12" s="1"/>
  <c r="AA447" i="12" s="1"/>
  <c r="AD447" i="12" s="1"/>
  <c r="V446" i="12"/>
  <c r="AA446" i="12" s="1"/>
  <c r="AD446" i="12" s="1"/>
  <c r="R446" i="12"/>
  <c r="V445" i="12"/>
  <c r="AA445" i="12" s="1"/>
  <c r="R445" i="12"/>
  <c r="R444" i="12"/>
  <c r="V444" i="12" s="1"/>
  <c r="AA444" i="12" s="1"/>
  <c r="R443" i="12"/>
  <c r="V443" i="12" s="1"/>
  <c r="AA443" i="12" s="1"/>
  <c r="R442" i="12"/>
  <c r="V442" i="12" s="1"/>
  <c r="AA442" i="12" s="1"/>
  <c r="R441" i="12"/>
  <c r="V441" i="12" s="1"/>
  <c r="AA441" i="12" s="1"/>
  <c r="AB441" i="12" s="1"/>
  <c r="V440" i="12"/>
  <c r="AA440" i="12" s="1"/>
  <c r="R440" i="12"/>
  <c r="R439" i="12"/>
  <c r="V439" i="12" s="1"/>
  <c r="AA439" i="12" s="1"/>
  <c r="AD439" i="12" s="1"/>
  <c r="R438" i="12"/>
  <c r="V438" i="12" s="1"/>
  <c r="AA438" i="12" s="1"/>
  <c r="AD438" i="12" s="1"/>
  <c r="R437" i="12"/>
  <c r="V437" i="12" s="1"/>
  <c r="AA437" i="12" s="1"/>
  <c r="R436" i="12"/>
  <c r="V436" i="12" s="1"/>
  <c r="AA436" i="12" s="1"/>
  <c r="AB436" i="12" s="1"/>
  <c r="R435" i="12"/>
  <c r="V435" i="12" s="1"/>
  <c r="AA435" i="12" s="1"/>
  <c r="V434" i="12"/>
  <c r="AA434" i="12" s="1"/>
  <c r="AB434" i="12" s="1"/>
  <c r="AD434" i="12"/>
  <c r="R434" i="12"/>
  <c r="R433" i="12"/>
  <c r="V433" i="12" s="1"/>
  <c r="AA433" i="12" s="1"/>
  <c r="R432" i="12"/>
  <c r="V432" i="12" s="1"/>
  <c r="AA432" i="12" s="1"/>
  <c r="AB432" i="12" s="1"/>
  <c r="R431" i="12"/>
  <c r="V431" i="12" s="1"/>
  <c r="AA431" i="12" s="1"/>
  <c r="R430" i="12"/>
  <c r="V430" i="12" s="1"/>
  <c r="AA430" i="12" s="1"/>
  <c r="R429" i="12"/>
  <c r="V429" i="12" s="1"/>
  <c r="AA429" i="12" s="1"/>
  <c r="R428" i="12"/>
  <c r="V428" i="12" s="1"/>
  <c r="AA428" i="12" s="1"/>
  <c r="AD428" i="12" s="1"/>
  <c r="R427" i="12"/>
  <c r="V427" i="12" s="1"/>
  <c r="AA427" i="12" s="1"/>
  <c r="R426" i="12"/>
  <c r="V426" i="12" s="1"/>
  <c r="AA426" i="12" s="1"/>
  <c r="R425" i="12"/>
  <c r="V425" i="12" s="1"/>
  <c r="AA425" i="12" s="1"/>
  <c r="R424" i="12"/>
  <c r="V424" i="12" s="1"/>
  <c r="AA424" i="12" s="1"/>
  <c r="AB424" i="12" s="1"/>
  <c r="R423" i="12"/>
  <c r="V423" i="12" s="1"/>
  <c r="AA423" i="12" s="1"/>
  <c r="R422" i="12"/>
  <c r="V422" i="12" s="1"/>
  <c r="AA422" i="12" s="1"/>
  <c r="AD422" i="12" s="1"/>
  <c r="R421" i="12"/>
  <c r="V421" i="12" s="1"/>
  <c r="AA421" i="12" s="1"/>
  <c r="AD421" i="12" s="1"/>
  <c r="R420" i="12"/>
  <c r="V420" i="12" s="1"/>
  <c r="AA420" i="12" s="1"/>
  <c r="V419" i="12"/>
  <c r="AA419" i="12" s="1"/>
  <c r="R419" i="12"/>
  <c r="R418" i="12"/>
  <c r="V418" i="12" s="1"/>
  <c r="AA418" i="12" s="1"/>
  <c r="AB418" i="12" s="1"/>
  <c r="R417" i="12"/>
  <c r="V417" i="12" s="1"/>
  <c r="AA417" i="12" s="1"/>
  <c r="AD417" i="12" s="1"/>
  <c r="R416" i="12"/>
  <c r="V416" i="12" s="1"/>
  <c r="AA416" i="12" s="1"/>
  <c r="R415" i="12"/>
  <c r="V415" i="12" s="1"/>
  <c r="AA415" i="12" s="1"/>
  <c r="AB415" i="12" s="1"/>
  <c r="R414" i="12"/>
  <c r="V414" i="12" s="1"/>
  <c r="AA414" i="12" s="1"/>
  <c r="R413" i="12"/>
  <c r="V413" i="12" s="1"/>
  <c r="AA413" i="12" s="1"/>
  <c r="R412" i="12"/>
  <c r="V412" i="12" s="1"/>
  <c r="AA412" i="12" s="1"/>
  <c r="R411" i="12"/>
  <c r="V411" i="12" s="1"/>
  <c r="AA411" i="12" s="1"/>
  <c r="V410" i="12"/>
  <c r="AA410" i="12" s="1"/>
  <c r="R410" i="12"/>
  <c r="V409" i="12"/>
  <c r="AA409" i="12" s="1"/>
  <c r="R409" i="12"/>
  <c r="R408" i="12"/>
  <c r="V408" i="12" s="1"/>
  <c r="AA408" i="12" s="1"/>
  <c r="R407" i="12"/>
  <c r="V407" i="12" s="1"/>
  <c r="AA407" i="12" s="1"/>
  <c r="R406" i="12"/>
  <c r="V406" i="12" s="1"/>
  <c r="AA406" i="12" s="1"/>
  <c r="AD406" i="12" s="1"/>
  <c r="R405" i="12"/>
  <c r="V405" i="12" s="1"/>
  <c r="AA405" i="12" s="1"/>
  <c r="R404" i="12"/>
  <c r="V404" i="12" s="1"/>
  <c r="AA404" i="12" s="1"/>
  <c r="R403" i="12"/>
  <c r="V403" i="12" s="1"/>
  <c r="AA403" i="12" s="1"/>
  <c r="R402" i="12"/>
  <c r="V402" i="12" s="1"/>
  <c r="AA402" i="12" s="1"/>
  <c r="R401" i="12"/>
  <c r="V401" i="12" s="1"/>
  <c r="AA401" i="12" s="1"/>
  <c r="R400" i="12"/>
  <c r="V400" i="12" s="1"/>
  <c r="AA400" i="12" s="1"/>
  <c r="R399" i="12"/>
  <c r="V399" i="12" s="1"/>
  <c r="AA399" i="12" s="1"/>
  <c r="R398" i="12"/>
  <c r="V398" i="12" s="1"/>
  <c r="AA398" i="12" s="1"/>
  <c r="AD398" i="12" s="1"/>
  <c r="R397" i="12"/>
  <c r="V397" i="12" s="1"/>
  <c r="AA397" i="12" s="1"/>
  <c r="R396" i="12"/>
  <c r="V396" i="12" s="1"/>
  <c r="AA396" i="12" s="1"/>
  <c r="R395" i="12"/>
  <c r="V395" i="12" s="1"/>
  <c r="AA395" i="12" s="1"/>
  <c r="V394" i="12"/>
  <c r="AA394" i="12" s="1"/>
  <c r="AD394" i="12" s="1"/>
  <c r="R394" i="12"/>
  <c r="R393" i="12"/>
  <c r="V393" i="12" s="1"/>
  <c r="AA393" i="12" s="1"/>
  <c r="R392" i="12"/>
  <c r="V392" i="12" s="1"/>
  <c r="AA392" i="12" s="1"/>
  <c r="AB392" i="12" s="1"/>
  <c r="R391" i="12"/>
  <c r="V391" i="12" s="1"/>
  <c r="AA391" i="12" s="1"/>
  <c r="R390" i="12"/>
  <c r="V390" i="12" s="1"/>
  <c r="AA390" i="12" s="1"/>
  <c r="R389" i="12"/>
  <c r="V389" i="12" s="1"/>
  <c r="AA389" i="12" s="1"/>
  <c r="R388" i="12"/>
  <c r="V388" i="12" s="1"/>
  <c r="AA388" i="12" s="1"/>
  <c r="R387" i="12"/>
  <c r="V387" i="12" s="1"/>
  <c r="AA387" i="12" s="1"/>
  <c r="R386" i="12"/>
  <c r="V386" i="12" s="1"/>
  <c r="AA386" i="12" s="1"/>
  <c r="R385" i="12"/>
  <c r="V385" i="12" s="1"/>
  <c r="AA385" i="12" s="1"/>
  <c r="R384" i="12"/>
  <c r="V384" i="12" s="1"/>
  <c r="AA384" i="12" s="1"/>
  <c r="R383" i="12"/>
  <c r="V383" i="12" s="1"/>
  <c r="AA383" i="12" s="1"/>
  <c r="R382" i="12"/>
  <c r="V382" i="12" s="1"/>
  <c r="AA382" i="12" s="1"/>
  <c r="R381" i="12"/>
  <c r="V381" i="12" s="1"/>
  <c r="AA381" i="12" s="1"/>
  <c r="AB381" i="12" s="1"/>
  <c r="R380" i="12"/>
  <c r="V380" i="12" s="1"/>
  <c r="AA380" i="12" s="1"/>
  <c r="AB380" i="12" s="1"/>
  <c r="V379" i="12"/>
  <c r="AA379" i="12" s="1"/>
  <c r="R379" i="12"/>
  <c r="R378" i="12"/>
  <c r="V378" i="12" s="1"/>
  <c r="AA378" i="12" s="1"/>
  <c r="R377" i="12"/>
  <c r="V377" i="12" s="1"/>
  <c r="AA377" i="12" s="1"/>
  <c r="V376" i="12"/>
  <c r="AA376" i="12" s="1"/>
  <c r="AD376" i="12" s="1"/>
  <c r="R376" i="12"/>
  <c r="R375" i="12"/>
  <c r="V375" i="12" s="1"/>
  <c r="AA375" i="12" s="1"/>
  <c r="AB375" i="12" s="1"/>
  <c r="V374" i="12"/>
  <c r="AA374" i="12" s="1"/>
  <c r="AD374" i="12" s="1"/>
  <c r="R374" i="12"/>
  <c r="R373" i="12"/>
  <c r="V373" i="12" s="1"/>
  <c r="AA373" i="12" s="1"/>
  <c r="V372" i="12"/>
  <c r="AA372" i="12" s="1"/>
  <c r="R372" i="12"/>
  <c r="V371" i="12"/>
  <c r="AA371" i="12" s="1"/>
  <c r="R371" i="12"/>
  <c r="R370" i="12"/>
  <c r="V370" i="12" s="1"/>
  <c r="AA370" i="12" s="1"/>
  <c r="R369" i="12"/>
  <c r="V369" i="12" s="1"/>
  <c r="AA369" i="12" s="1"/>
  <c r="V368" i="12"/>
  <c r="AA368" i="12" s="1"/>
  <c r="R368" i="12"/>
  <c r="R367" i="12"/>
  <c r="V367" i="12" s="1"/>
  <c r="AA367" i="12" s="1"/>
  <c r="R366" i="12"/>
  <c r="V366" i="12" s="1"/>
  <c r="AA366" i="12" s="1"/>
  <c r="R365" i="12"/>
  <c r="V365" i="12" s="1"/>
  <c r="AA365" i="12" s="1"/>
  <c r="AD365" i="12" s="1"/>
  <c r="R364" i="12"/>
  <c r="V364" i="12" s="1"/>
  <c r="AA364" i="12" s="1"/>
  <c r="R363" i="12"/>
  <c r="V363" i="12" s="1"/>
  <c r="AA363" i="12" s="1"/>
  <c r="R362" i="12"/>
  <c r="V362" i="12" s="1"/>
  <c r="AA362" i="12" s="1"/>
  <c r="R361" i="12"/>
  <c r="V361" i="12" s="1"/>
  <c r="AA361" i="12" s="1"/>
  <c r="AD361" i="12" s="1"/>
  <c r="V360" i="12"/>
  <c r="AA360" i="12" s="1"/>
  <c r="R360" i="12"/>
  <c r="R359" i="12"/>
  <c r="V359" i="12" s="1"/>
  <c r="AA359" i="12" s="1"/>
  <c r="R358" i="12"/>
  <c r="V358" i="12" s="1"/>
  <c r="AA358" i="12" s="1"/>
  <c r="AD358" i="12" s="1"/>
  <c r="V357" i="12"/>
  <c r="AA357" i="12" s="1"/>
  <c r="AD357" i="12" s="1"/>
  <c r="R357" i="12"/>
  <c r="R356" i="12"/>
  <c r="V356" i="12" s="1"/>
  <c r="AA356" i="12" s="1"/>
  <c r="R355" i="12"/>
  <c r="V355" i="12" s="1"/>
  <c r="AA355" i="12" s="1"/>
  <c r="R354" i="12"/>
  <c r="V354" i="12" s="1"/>
  <c r="AA354" i="12" s="1"/>
  <c r="R353" i="12"/>
  <c r="V353" i="12" s="1"/>
  <c r="AA353" i="12" s="1"/>
  <c r="R352" i="12"/>
  <c r="V352" i="12" s="1"/>
  <c r="AA352" i="12" s="1"/>
  <c r="R351" i="12"/>
  <c r="V351" i="12" s="1"/>
  <c r="AA351" i="12" s="1"/>
  <c r="R350" i="12"/>
  <c r="V350" i="12" s="1"/>
  <c r="AA350" i="12" s="1"/>
  <c r="AD350" i="12" s="1"/>
  <c r="R349" i="12"/>
  <c r="V349" i="12" s="1"/>
  <c r="AA349" i="12" s="1"/>
  <c r="V348" i="12"/>
  <c r="AA348" i="12" s="1"/>
  <c r="R348" i="12"/>
  <c r="R347" i="12"/>
  <c r="V347" i="12" s="1"/>
  <c r="AA347" i="12" s="1"/>
  <c r="R346" i="12"/>
  <c r="V346" i="12" s="1"/>
  <c r="AA346" i="12" s="1"/>
  <c r="AD346" i="12" s="1"/>
  <c r="V345" i="12"/>
  <c r="AA345" i="12" s="1"/>
  <c r="R345" i="12"/>
  <c r="R344" i="12"/>
  <c r="V344" i="12" s="1"/>
  <c r="AA344" i="12" s="1"/>
  <c r="R343" i="12"/>
  <c r="V343" i="12" s="1"/>
  <c r="AA343" i="12" s="1"/>
  <c r="AB343" i="12" s="1"/>
  <c r="R342" i="12"/>
  <c r="V342" i="12" s="1"/>
  <c r="AA342" i="12" s="1"/>
  <c r="R341" i="12"/>
  <c r="V341" i="12" s="1"/>
  <c r="AA341" i="12" s="1"/>
  <c r="R340" i="12"/>
  <c r="V340" i="12" s="1"/>
  <c r="AA340" i="12" s="1"/>
  <c r="V339" i="12"/>
  <c r="AA339" i="12" s="1"/>
  <c r="R339" i="12"/>
  <c r="R338" i="12"/>
  <c r="V338" i="12" s="1"/>
  <c r="AA338" i="12" s="1"/>
  <c r="V337" i="12"/>
  <c r="AA337" i="12"/>
  <c r="R337" i="12"/>
  <c r="V336" i="12"/>
  <c r="AA336" i="12"/>
  <c r="R336" i="12"/>
  <c r="R335" i="12"/>
  <c r="V335" i="12" s="1"/>
  <c r="AA335" i="12" s="1"/>
  <c r="R334" i="12"/>
  <c r="V334" i="12" s="1"/>
  <c r="AA334" i="12" s="1"/>
  <c r="R333" i="12"/>
  <c r="V333" i="12" s="1"/>
  <c r="AA333" i="12" s="1"/>
  <c r="V332" i="12"/>
  <c r="AA332" i="12" s="1"/>
  <c r="R332" i="12"/>
  <c r="R331" i="12"/>
  <c r="V331" i="12" s="1"/>
  <c r="AA331" i="12" s="1"/>
  <c r="R330" i="12"/>
  <c r="V330" i="12" s="1"/>
  <c r="AA330" i="12" s="1"/>
  <c r="AD330" i="12" s="1"/>
  <c r="R329" i="12"/>
  <c r="V329" i="12" s="1"/>
  <c r="AA329" i="12" s="1"/>
  <c r="V328" i="12"/>
  <c r="AA328" i="12" s="1"/>
  <c r="R328" i="12"/>
  <c r="R327" i="12"/>
  <c r="V327" i="12" s="1"/>
  <c r="AA327" i="12" s="1"/>
  <c r="R326" i="12"/>
  <c r="V326" i="12" s="1"/>
  <c r="AA326" i="12" s="1"/>
  <c r="V325" i="12"/>
  <c r="AA325" i="12" s="1"/>
  <c r="R325" i="12"/>
  <c r="R324" i="12"/>
  <c r="V324" i="12" s="1"/>
  <c r="AA324" i="12" s="1"/>
  <c r="AB324" i="12" s="1"/>
  <c r="R323" i="12"/>
  <c r="V323" i="12" s="1"/>
  <c r="AA323" i="12" s="1"/>
  <c r="AB323" i="12" s="1"/>
  <c r="R322" i="12"/>
  <c r="V322" i="12" s="1"/>
  <c r="AA322" i="12" s="1"/>
  <c r="R321" i="12"/>
  <c r="V321" i="12" s="1"/>
  <c r="AA321" i="12" s="1"/>
  <c r="R320" i="12"/>
  <c r="V320" i="12" s="1"/>
  <c r="AA320" i="12" s="1"/>
  <c r="R319" i="12"/>
  <c r="V319" i="12" s="1"/>
  <c r="AA319" i="12" s="1"/>
  <c r="R318" i="12"/>
  <c r="V318" i="12" s="1"/>
  <c r="AA318" i="12" s="1"/>
  <c r="AB318" i="12" s="1"/>
  <c r="R317" i="12"/>
  <c r="V317" i="12" s="1"/>
  <c r="AA317" i="12" s="1"/>
  <c r="V316" i="12"/>
  <c r="AA316" i="12" s="1"/>
  <c r="AB316" i="12" s="1"/>
  <c r="R316" i="12"/>
  <c r="R315" i="12"/>
  <c r="V315" i="12" s="1"/>
  <c r="AA315" i="12" s="1"/>
  <c r="R314" i="12"/>
  <c r="V314" i="12" s="1"/>
  <c r="AA314" i="12" s="1"/>
  <c r="AD314" i="12" s="1"/>
  <c r="R313" i="12"/>
  <c r="V313" i="12" s="1"/>
  <c r="AA313" i="12" s="1"/>
  <c r="R312" i="12"/>
  <c r="V312" i="12" s="1"/>
  <c r="AA312" i="12" s="1"/>
  <c r="R311" i="12"/>
  <c r="V311" i="12" s="1"/>
  <c r="AA311" i="12" s="1"/>
  <c r="R310" i="12"/>
  <c r="V310" i="12" s="1"/>
  <c r="AA310" i="12" s="1"/>
  <c r="R309" i="12"/>
  <c r="V309" i="12" s="1"/>
  <c r="AA309" i="12" s="1"/>
  <c r="R308" i="12"/>
  <c r="V308" i="12" s="1"/>
  <c r="AA308" i="12" s="1"/>
  <c r="V307" i="12"/>
  <c r="AA307" i="12" s="1"/>
  <c r="R307" i="12"/>
  <c r="V306" i="12"/>
  <c r="AA306" i="12" s="1"/>
  <c r="AD306" i="12" s="1"/>
  <c r="R306" i="12"/>
  <c r="R305" i="12"/>
  <c r="V305" i="12" s="1"/>
  <c r="AA305" i="12" s="1"/>
  <c r="R304" i="12"/>
  <c r="V304" i="12" s="1"/>
  <c r="AA304" i="12" s="1"/>
  <c r="AD304" i="12" s="1"/>
  <c r="R303" i="12"/>
  <c r="V303" i="12" s="1"/>
  <c r="AA303" i="12" s="1"/>
  <c r="R302" i="12"/>
  <c r="V302" i="12" s="1"/>
  <c r="AA302" i="12" s="1"/>
  <c r="R301" i="12"/>
  <c r="V301" i="12" s="1"/>
  <c r="AA301" i="12" s="1"/>
  <c r="AB301" i="12" s="1"/>
  <c r="R300" i="12"/>
  <c r="V300" i="12" s="1"/>
  <c r="AA300" i="12" s="1"/>
  <c r="AB300" i="12" s="1"/>
  <c r="R299" i="12"/>
  <c r="V299" i="12" s="1"/>
  <c r="AA299" i="12" s="1"/>
  <c r="AB299" i="12" s="1"/>
  <c r="R298" i="12"/>
  <c r="V298" i="12" s="1"/>
  <c r="AA298" i="12" s="1"/>
  <c r="AD298" i="12" s="1"/>
  <c r="R297" i="12"/>
  <c r="V297" i="12" s="1"/>
  <c r="AA297" i="12" s="1"/>
  <c r="AB297" i="12" s="1"/>
  <c r="R296" i="12"/>
  <c r="V296" i="12" s="1"/>
  <c r="AA296" i="12" s="1"/>
  <c r="R295" i="12"/>
  <c r="V295" i="12" s="1"/>
  <c r="AA295" i="12" s="1"/>
  <c r="R294" i="12"/>
  <c r="V294" i="12" s="1"/>
  <c r="AA294" i="12" s="1"/>
  <c r="V293" i="12"/>
  <c r="AA293" i="12" s="1"/>
  <c r="AD293" i="12" s="1"/>
  <c r="R293" i="12"/>
  <c r="R292" i="12"/>
  <c r="V292" i="12" s="1"/>
  <c r="AA292" i="12" s="1"/>
  <c r="V291" i="12"/>
  <c r="AA291" i="12" s="1"/>
  <c r="R291" i="12"/>
  <c r="R290" i="12"/>
  <c r="V290" i="12" s="1"/>
  <c r="AA290" i="12" s="1"/>
  <c r="AD290" i="12" s="1"/>
  <c r="R289" i="12"/>
  <c r="V289" i="12" s="1"/>
  <c r="AA289" i="12" s="1"/>
  <c r="V288" i="12"/>
  <c r="AA288" i="12" s="1"/>
  <c r="R288" i="12"/>
  <c r="R287" i="12"/>
  <c r="V287" i="12" s="1"/>
  <c r="AA287" i="12" s="1"/>
  <c r="R286" i="12"/>
  <c r="V286" i="12" s="1"/>
  <c r="AA286" i="12" s="1"/>
  <c r="AD286" i="12" s="1"/>
  <c r="R285" i="12"/>
  <c r="V285" i="12" s="1"/>
  <c r="AA285" i="12" s="1"/>
  <c r="R284" i="12"/>
  <c r="V284" i="12" s="1"/>
  <c r="AA284" i="12" s="1"/>
  <c r="R283" i="12"/>
  <c r="V283" i="12" s="1"/>
  <c r="AA283" i="12" s="1"/>
  <c r="AB283" i="12" s="1"/>
  <c r="R282" i="12"/>
  <c r="V282" i="12" s="1"/>
  <c r="AA282" i="12" s="1"/>
  <c r="V281" i="12"/>
  <c r="AA281" i="12" s="1"/>
  <c r="AD281" i="12" s="1"/>
  <c r="R281" i="12"/>
  <c r="R280" i="12"/>
  <c r="V280" i="12" s="1"/>
  <c r="AA280" i="12" s="1"/>
  <c r="R279" i="12"/>
  <c r="V279" i="12" s="1"/>
  <c r="AA279" i="12" s="1"/>
  <c r="R278" i="12"/>
  <c r="V278" i="12" s="1"/>
  <c r="AA278" i="12" s="1"/>
  <c r="R277" i="12"/>
  <c r="V277" i="12" s="1"/>
  <c r="AA277" i="12" s="1"/>
  <c r="AD277" i="12" s="1"/>
  <c r="R276" i="12"/>
  <c r="V276" i="12" s="1"/>
  <c r="AA276" i="12" s="1"/>
  <c r="R275" i="12"/>
  <c r="V275" i="12" s="1"/>
  <c r="AA275" i="12" s="1"/>
  <c r="V274" i="12"/>
  <c r="AA274" i="12" s="1"/>
  <c r="R274" i="12"/>
  <c r="R273" i="12"/>
  <c r="V273" i="12" s="1"/>
  <c r="AA273" i="12" s="1"/>
  <c r="AB273" i="12" s="1"/>
  <c r="R272" i="12"/>
  <c r="V272" i="12" s="1"/>
  <c r="AA272" i="12" s="1"/>
  <c r="R271" i="12"/>
  <c r="V271" i="12" s="1"/>
  <c r="AA271" i="12" s="1"/>
  <c r="R270" i="12"/>
  <c r="V270" i="12" s="1"/>
  <c r="AA270" i="12" s="1"/>
  <c r="AB270" i="12" s="1"/>
  <c r="R269" i="12"/>
  <c r="V269" i="12" s="1"/>
  <c r="AA269" i="12" s="1"/>
  <c r="AD269" i="12" s="1"/>
  <c r="R268" i="12"/>
  <c r="V268" i="12" s="1"/>
  <c r="AA268" i="12" s="1"/>
  <c r="R267" i="12"/>
  <c r="V267" i="12" s="1"/>
  <c r="AA267" i="12" s="1"/>
  <c r="AB267" i="12" s="1"/>
  <c r="R266" i="12"/>
  <c r="V266" i="12" s="1"/>
  <c r="AA266" i="12" s="1"/>
  <c r="R265" i="12"/>
  <c r="V265" i="12" s="1"/>
  <c r="AA265" i="12" s="1"/>
  <c r="AB265" i="12" s="1"/>
  <c r="R264" i="12"/>
  <c r="V264" i="12" s="1"/>
  <c r="AA264" i="12" s="1"/>
  <c r="R263" i="12"/>
  <c r="V263" i="12" s="1"/>
  <c r="AA263" i="12" s="1"/>
  <c r="R262" i="12"/>
  <c r="V262" i="12" s="1"/>
  <c r="AA262" i="12" s="1"/>
  <c r="AB262" i="12" s="1"/>
  <c r="R261" i="12"/>
  <c r="V261" i="12" s="1"/>
  <c r="AA261" i="12" s="1"/>
  <c r="R260" i="12"/>
  <c r="V260" i="12" s="1"/>
  <c r="AA260" i="12" s="1"/>
  <c r="AB260" i="12" s="1"/>
  <c r="R259" i="12"/>
  <c r="V259" i="12" s="1"/>
  <c r="AA259" i="12" s="1"/>
  <c r="R258" i="12"/>
  <c r="V258" i="12" s="1"/>
  <c r="AA258" i="12" s="1"/>
  <c r="R257" i="12"/>
  <c r="V257" i="12" s="1"/>
  <c r="AA257" i="12" s="1"/>
  <c r="AB257" i="12" s="1"/>
  <c r="R256" i="12"/>
  <c r="V256" i="12" s="1"/>
  <c r="AA256" i="12" s="1"/>
  <c r="AB256" i="12" s="1"/>
  <c r="R255" i="12"/>
  <c r="V255" i="12" s="1"/>
  <c r="AA255" i="12" s="1"/>
  <c r="R254" i="12"/>
  <c r="V254" i="12" s="1"/>
  <c r="AA254" i="12" s="1"/>
  <c r="AB254" i="12" s="1"/>
  <c r="R253" i="12"/>
  <c r="V253" i="12" s="1"/>
  <c r="AA253" i="12" s="1"/>
  <c r="V252" i="12"/>
  <c r="AA252" i="12" s="1"/>
  <c r="R252" i="12"/>
  <c r="V251" i="12"/>
  <c r="AA251" i="12" s="1"/>
  <c r="R251" i="12"/>
  <c r="R250" i="12"/>
  <c r="V250" i="12" s="1"/>
  <c r="AA250" i="12" s="1"/>
  <c r="R249" i="12"/>
  <c r="V249" i="12" s="1"/>
  <c r="AA249" i="12" s="1"/>
  <c r="R248" i="12"/>
  <c r="V248" i="12" s="1"/>
  <c r="AA248" i="12" s="1"/>
  <c r="R247" i="12"/>
  <c r="V247" i="12" s="1"/>
  <c r="AA247" i="12" s="1"/>
  <c r="R246" i="12"/>
  <c r="V246" i="12" s="1"/>
  <c r="AA246" i="12" s="1"/>
  <c r="AD246" i="12" s="1"/>
  <c r="V245" i="12"/>
  <c r="AA245" i="12" s="1"/>
  <c r="AB245" i="12" s="1"/>
  <c r="R245" i="12"/>
  <c r="R244" i="12"/>
  <c r="V244" i="12" s="1"/>
  <c r="AA244" i="12" s="1"/>
  <c r="AB244" i="12" s="1"/>
  <c r="R243" i="12"/>
  <c r="V243" i="12" s="1"/>
  <c r="AA243" i="12" s="1"/>
  <c r="R242" i="12"/>
  <c r="V242" i="12" s="1"/>
  <c r="AA242" i="12" s="1"/>
  <c r="R241" i="12"/>
  <c r="V241" i="12" s="1"/>
  <c r="AA241" i="12" s="1"/>
  <c r="R240" i="12"/>
  <c r="V240" i="12" s="1"/>
  <c r="AA240" i="12" s="1"/>
  <c r="R239" i="12"/>
  <c r="V239" i="12" s="1"/>
  <c r="AA239" i="12" s="1"/>
  <c r="R238" i="12"/>
  <c r="V238" i="12" s="1"/>
  <c r="AA238" i="12" s="1"/>
  <c r="V237" i="12"/>
  <c r="AA237" i="12" s="1"/>
  <c r="AB237" i="12" s="1"/>
  <c r="AD237" i="12"/>
  <c r="R237" i="12"/>
  <c r="R236" i="12"/>
  <c r="V236" i="12" s="1"/>
  <c r="AA236" i="12" s="1"/>
  <c r="R235" i="12"/>
  <c r="V235" i="12" s="1"/>
  <c r="AA235" i="12" s="1"/>
  <c r="R234" i="12"/>
  <c r="V234" i="12" s="1"/>
  <c r="AA234" i="12" s="1"/>
  <c r="AD234" i="12" s="1"/>
  <c r="V233" i="12"/>
  <c r="AA233" i="12" s="1"/>
  <c r="AB233" i="12" s="1"/>
  <c r="R233" i="12"/>
  <c r="R232" i="12"/>
  <c r="V232" i="12" s="1"/>
  <c r="AA232" i="12" s="1"/>
  <c r="R231" i="12"/>
  <c r="V231" i="12" s="1"/>
  <c r="AA231" i="12" s="1"/>
  <c r="R230" i="12"/>
  <c r="V230" i="12" s="1"/>
  <c r="AA230" i="12" s="1"/>
  <c r="AD230" i="12" s="1"/>
  <c r="R229" i="12"/>
  <c r="V229" i="12" s="1"/>
  <c r="AA229" i="12" s="1"/>
  <c r="R228" i="12"/>
  <c r="V228" i="12" s="1"/>
  <c r="AA228" i="12" s="1"/>
  <c r="AB228" i="12" s="1"/>
  <c r="R227" i="12"/>
  <c r="V227" i="12" s="1"/>
  <c r="AA227" i="12" s="1"/>
  <c r="AD227" i="12" s="1"/>
  <c r="R226" i="12"/>
  <c r="V226" i="12" s="1"/>
  <c r="AA226" i="12" s="1"/>
  <c r="AD226" i="12" s="1"/>
  <c r="V225" i="12"/>
  <c r="AA225" i="12" s="1"/>
  <c r="AD225" i="12" s="1"/>
  <c r="AB225" i="12"/>
  <c r="R225" i="12"/>
  <c r="R224" i="12"/>
  <c r="V224" i="12" s="1"/>
  <c r="AA224" i="12" s="1"/>
  <c r="R223" i="12"/>
  <c r="V223" i="12" s="1"/>
  <c r="AA223" i="12" s="1"/>
  <c r="R222" i="12"/>
  <c r="V222" i="12" s="1"/>
  <c r="AA222" i="12" s="1"/>
  <c r="AB222" i="12" s="1"/>
  <c r="R221" i="12"/>
  <c r="V221" i="12" s="1"/>
  <c r="AA221" i="12" s="1"/>
  <c r="V220" i="12"/>
  <c r="AA220" i="12" s="1"/>
  <c r="R220" i="12"/>
  <c r="V219" i="12"/>
  <c r="AA219" i="12" s="1"/>
  <c r="R219" i="12"/>
  <c r="R218" i="12"/>
  <c r="V218" i="12" s="1"/>
  <c r="AA218" i="12" s="1"/>
  <c r="R217" i="12"/>
  <c r="V217" i="12" s="1"/>
  <c r="AA217" i="12" s="1"/>
  <c r="R216" i="12"/>
  <c r="V216" i="12" s="1"/>
  <c r="AA216" i="12" s="1"/>
  <c r="AD216" i="12" s="1"/>
  <c r="R215" i="12"/>
  <c r="V215" i="12" s="1"/>
  <c r="AA215" i="12" s="1"/>
  <c r="R214" i="12"/>
  <c r="V214" i="12" s="1"/>
  <c r="AA214" i="12" s="1"/>
  <c r="AD214" i="12" s="1"/>
  <c r="R213" i="12"/>
  <c r="V213" i="12" s="1"/>
  <c r="AA213" i="12" s="1"/>
  <c r="R212" i="12"/>
  <c r="V212" i="12" s="1"/>
  <c r="AA212" i="12" s="1"/>
  <c r="R211" i="12"/>
  <c r="V211" i="12" s="1"/>
  <c r="AA211" i="12" s="1"/>
  <c r="R210" i="12"/>
  <c r="V210" i="12" s="1"/>
  <c r="AA210" i="12" s="1"/>
  <c r="R209" i="12"/>
  <c r="V209" i="12" s="1"/>
  <c r="AA209" i="12" s="1"/>
  <c r="V208" i="12"/>
  <c r="AA208" i="12" s="1"/>
  <c r="AD208" i="12" s="1"/>
  <c r="R208" i="12"/>
  <c r="V207" i="12"/>
  <c r="AA207" i="12" s="1"/>
  <c r="R207" i="12"/>
  <c r="V206" i="12"/>
  <c r="AA206" i="12" s="1"/>
  <c r="AD206" i="12" s="1"/>
  <c r="R206" i="12"/>
  <c r="V205" i="12"/>
  <c r="AA205" i="12" s="1"/>
  <c r="R205" i="12"/>
  <c r="V204" i="12"/>
  <c r="AA204" i="12" s="1"/>
  <c r="R204" i="12"/>
  <c r="V203" i="12"/>
  <c r="AA203" i="12" s="1"/>
  <c r="AB203" i="12" s="1"/>
  <c r="R203" i="12"/>
  <c r="R202" i="12"/>
  <c r="V202" i="12" s="1"/>
  <c r="AA202" i="12" s="1"/>
  <c r="R201" i="12"/>
  <c r="V201" i="12" s="1"/>
  <c r="AA201" i="12" s="1"/>
  <c r="AB201" i="12" s="1"/>
  <c r="R200" i="12"/>
  <c r="V200" i="12" s="1"/>
  <c r="AA200" i="12" s="1"/>
  <c r="V199" i="12"/>
  <c r="AA199" i="12" s="1"/>
  <c r="R199" i="12"/>
  <c r="V198" i="12"/>
  <c r="AA198" i="12" s="1"/>
  <c r="R198" i="12"/>
  <c r="R197" i="12"/>
  <c r="V197" i="12" s="1"/>
  <c r="AA197" i="12" s="1"/>
  <c r="R196" i="12"/>
  <c r="V196" i="12" s="1"/>
  <c r="AA196" i="12" s="1"/>
  <c r="R195" i="12"/>
  <c r="V195" i="12" s="1"/>
  <c r="AA195" i="12" s="1"/>
  <c r="R194" i="12"/>
  <c r="V194" i="12" s="1"/>
  <c r="AA194" i="12" s="1"/>
  <c r="V193" i="12"/>
  <c r="AA193" i="12" s="1"/>
  <c r="R193" i="12"/>
  <c r="R192" i="12"/>
  <c r="V192" i="12" s="1"/>
  <c r="AA192" i="12" s="1"/>
  <c r="R191" i="12"/>
  <c r="V191" i="12" s="1"/>
  <c r="AA191" i="12" s="1"/>
  <c r="R190" i="12"/>
  <c r="V190" i="12" s="1"/>
  <c r="AA190" i="12" s="1"/>
  <c r="R189" i="12"/>
  <c r="V189" i="12" s="1"/>
  <c r="AA189" i="12" s="1"/>
  <c r="R188" i="12"/>
  <c r="V188" i="12" s="1"/>
  <c r="AA188" i="12" s="1"/>
  <c r="R187" i="12"/>
  <c r="V187" i="12" s="1"/>
  <c r="AA187" i="12" s="1"/>
  <c r="R186" i="12"/>
  <c r="V186" i="12" s="1"/>
  <c r="AA186" i="12" s="1"/>
  <c r="R185" i="12"/>
  <c r="V185" i="12" s="1"/>
  <c r="AA185" i="12" s="1"/>
  <c r="R184" i="12"/>
  <c r="V184" i="12" s="1"/>
  <c r="AA184" i="12" s="1"/>
  <c r="AD184" i="12" s="1"/>
  <c r="R183" i="12"/>
  <c r="V183" i="12" s="1"/>
  <c r="AA183" i="12" s="1"/>
  <c r="V182" i="12"/>
  <c r="AA182" i="12" s="1"/>
  <c r="AB182" i="12" s="1"/>
  <c r="R182" i="12"/>
  <c r="R181" i="12"/>
  <c r="V181" i="12" s="1"/>
  <c r="AA181" i="12" s="1"/>
  <c r="R180" i="12"/>
  <c r="V180" i="12" s="1"/>
  <c r="AA180" i="12" s="1"/>
  <c r="R179" i="12"/>
  <c r="V179" i="12" s="1"/>
  <c r="AA179" i="12" s="1"/>
  <c r="V178" i="12"/>
  <c r="AA178" i="12" s="1"/>
  <c r="AD178" i="12" s="1"/>
  <c r="R178" i="12"/>
  <c r="R177" i="12"/>
  <c r="V177" i="12" s="1"/>
  <c r="AA177" i="12" s="1"/>
  <c r="R176" i="12"/>
  <c r="V176" i="12" s="1"/>
  <c r="AA176" i="12" s="1"/>
  <c r="AD176" i="12" s="1"/>
  <c r="V175" i="12"/>
  <c r="AA175" i="12" s="1"/>
  <c r="R175" i="12"/>
  <c r="R174" i="12"/>
  <c r="V174" i="12" s="1"/>
  <c r="AA174" i="12" s="1"/>
  <c r="R173" i="12"/>
  <c r="V173" i="12" s="1"/>
  <c r="AA173" i="12" s="1"/>
  <c r="R172" i="12"/>
  <c r="V172" i="12" s="1"/>
  <c r="AA172" i="12" s="1"/>
  <c r="AB172" i="12" s="1"/>
  <c r="R171" i="12"/>
  <c r="V171" i="12" s="1"/>
  <c r="AA171" i="12" s="1"/>
  <c r="AD171" i="12" s="1"/>
  <c r="R170" i="12"/>
  <c r="V170" i="12" s="1"/>
  <c r="AA170" i="12" s="1"/>
  <c r="AD170" i="12" s="1"/>
  <c r="R169" i="12"/>
  <c r="V169" i="12" s="1"/>
  <c r="AA169" i="12" s="1"/>
  <c r="R168" i="12"/>
  <c r="V168" i="12" s="1"/>
  <c r="AA168" i="12" s="1"/>
  <c r="R167" i="12"/>
  <c r="V167" i="12" s="1"/>
  <c r="AA167" i="12" s="1"/>
  <c r="R166" i="12"/>
  <c r="V166" i="12" s="1"/>
  <c r="AA166" i="12" s="1"/>
  <c r="AD166" i="12" s="1"/>
  <c r="R165" i="12"/>
  <c r="V165" i="12" s="1"/>
  <c r="AA165" i="12" s="1"/>
  <c r="R164" i="12"/>
  <c r="V164" i="12" s="1"/>
  <c r="AA164" i="12" s="1"/>
  <c r="R163" i="12"/>
  <c r="V163" i="12" s="1"/>
  <c r="AA163" i="12" s="1"/>
  <c r="R162" i="12"/>
  <c r="V162" i="12" s="1"/>
  <c r="AA162" i="12" s="1"/>
  <c r="AD162" i="12" s="1"/>
  <c r="R161" i="12"/>
  <c r="V161" i="12" s="1"/>
  <c r="AA161" i="12" s="1"/>
  <c r="R160" i="12"/>
  <c r="V160" i="12" s="1"/>
  <c r="AA160" i="12" s="1"/>
  <c r="AB160" i="12" s="1"/>
  <c r="R159" i="12"/>
  <c r="V159" i="12" s="1"/>
  <c r="AA159" i="12" s="1"/>
  <c r="R158" i="12"/>
  <c r="V158" i="12" s="1"/>
  <c r="AA158" i="12" s="1"/>
  <c r="R157" i="12"/>
  <c r="V157" i="12" s="1"/>
  <c r="AA157" i="12" s="1"/>
  <c r="AB157" i="12" s="1"/>
  <c r="R156" i="12"/>
  <c r="V156" i="12" s="1"/>
  <c r="AA156" i="12" s="1"/>
  <c r="R155" i="12"/>
  <c r="V155" i="12" s="1"/>
  <c r="AA155" i="12" s="1"/>
  <c r="AD155" i="12" s="1"/>
  <c r="V154" i="12"/>
  <c r="AA154" i="12" s="1"/>
  <c r="R154" i="12"/>
  <c r="R153" i="12"/>
  <c r="V153" i="12" s="1"/>
  <c r="AA153" i="12" s="1"/>
  <c r="R152" i="12"/>
  <c r="V152" i="12" s="1"/>
  <c r="AA152" i="12" s="1"/>
  <c r="AB152" i="12" s="1"/>
  <c r="R151" i="12"/>
  <c r="V151" i="12" s="1"/>
  <c r="AA151" i="12" s="1"/>
  <c r="R150" i="12"/>
  <c r="V150" i="12" s="1"/>
  <c r="AA150" i="12" s="1"/>
  <c r="R149" i="12"/>
  <c r="V149" i="12" s="1"/>
  <c r="AA149" i="12" s="1"/>
  <c r="V148" i="12"/>
  <c r="AA148" i="12" s="1"/>
  <c r="R148" i="12"/>
  <c r="R147" i="12"/>
  <c r="V147" i="12" s="1"/>
  <c r="AA147" i="12" s="1"/>
  <c r="R146" i="12"/>
  <c r="V146" i="12" s="1"/>
  <c r="AA146" i="12" s="1"/>
  <c r="R145" i="12"/>
  <c r="V145" i="12" s="1"/>
  <c r="AA145" i="12" s="1"/>
  <c r="R144" i="12"/>
  <c r="V144" i="12" s="1"/>
  <c r="AA144" i="12" s="1"/>
  <c r="AB144" i="12" s="1"/>
  <c r="R143" i="12"/>
  <c r="V143" i="12" s="1"/>
  <c r="AA143" i="12" s="1"/>
  <c r="R142" i="12"/>
  <c r="V142" i="12" s="1"/>
  <c r="AA142" i="12" s="1"/>
  <c r="AB142" i="12" s="1"/>
  <c r="V141" i="12"/>
  <c r="AA141" i="12" s="1"/>
  <c r="AD141" i="12" s="1"/>
  <c r="R141" i="12"/>
  <c r="R140" i="12"/>
  <c r="V140" i="12" s="1"/>
  <c r="AA140" i="12" s="1"/>
  <c r="V139" i="12"/>
  <c r="AA139" i="12" s="1"/>
  <c r="R139" i="12"/>
  <c r="V138" i="12"/>
  <c r="AA138" i="12" s="1"/>
  <c r="R138" i="12"/>
  <c r="R137" i="12"/>
  <c r="V137" i="12" s="1"/>
  <c r="AA137" i="12" s="1"/>
  <c r="R136" i="12"/>
  <c r="V136" i="12" s="1"/>
  <c r="AA136" i="12" s="1"/>
  <c r="R135" i="12"/>
  <c r="V135" i="12" s="1"/>
  <c r="AA135" i="12" s="1"/>
  <c r="R134" i="12"/>
  <c r="V134" i="12" s="1"/>
  <c r="AA134" i="12" s="1"/>
  <c r="R133" i="12"/>
  <c r="V133" i="12" s="1"/>
  <c r="AA133" i="12" s="1"/>
  <c r="AB133" i="12" s="1"/>
  <c r="R132" i="12"/>
  <c r="V132" i="12" s="1"/>
  <c r="AA132" i="12" s="1"/>
  <c r="R131" i="12"/>
  <c r="V131" i="12" s="1"/>
  <c r="AA131" i="12" s="1"/>
  <c r="AD131" i="12" s="1"/>
  <c r="R130" i="12"/>
  <c r="V130" i="12" s="1"/>
  <c r="AA130" i="12" s="1"/>
  <c r="AD130" i="12" s="1"/>
  <c r="R129" i="12"/>
  <c r="V129" i="12" s="1"/>
  <c r="AA129" i="12" s="1"/>
  <c r="AD129" i="12" s="1"/>
  <c r="R128" i="12"/>
  <c r="V128" i="12" s="1"/>
  <c r="AA128" i="12" s="1"/>
  <c r="R127" i="12"/>
  <c r="V127" i="12" s="1"/>
  <c r="AA127" i="12" s="1"/>
  <c r="R126" i="12"/>
  <c r="V126" i="12" s="1"/>
  <c r="AA126" i="12" s="1"/>
  <c r="R125" i="12"/>
  <c r="V125" i="12" s="1"/>
  <c r="AA125" i="12" s="1"/>
  <c r="R124" i="12"/>
  <c r="V124" i="12" s="1"/>
  <c r="AA124" i="12" s="1"/>
  <c r="R123" i="12"/>
  <c r="V123" i="12" s="1"/>
  <c r="AA123" i="12" s="1"/>
  <c r="AD123" i="12" s="1"/>
  <c r="R122" i="12"/>
  <c r="V122" i="12" s="1"/>
  <c r="AA122" i="12" s="1"/>
  <c r="V121" i="12"/>
  <c r="AA121" i="12" s="1"/>
  <c r="AD121" i="12" s="1"/>
  <c r="R121" i="12"/>
  <c r="R120" i="12"/>
  <c r="V120" i="12" s="1"/>
  <c r="AA120" i="12" s="1"/>
  <c r="AD120" i="12" s="1"/>
  <c r="R119" i="12"/>
  <c r="V119" i="12" s="1"/>
  <c r="AA119" i="12" s="1"/>
  <c r="R118" i="12"/>
  <c r="V118" i="12" s="1"/>
  <c r="AA118" i="12" s="1"/>
  <c r="AD118" i="12" s="1"/>
  <c r="R117" i="12"/>
  <c r="V117" i="12" s="1"/>
  <c r="AA117" i="12" s="1"/>
  <c r="R116" i="12"/>
  <c r="V116" i="12" s="1"/>
  <c r="AA116" i="12" s="1"/>
  <c r="AB116" i="12" s="1"/>
  <c r="R115" i="12"/>
  <c r="V115" i="12" s="1"/>
  <c r="AA115" i="12" s="1"/>
  <c r="AD115" i="12" s="1"/>
  <c r="R114" i="12"/>
  <c r="V114" i="12" s="1"/>
  <c r="AA114" i="12" s="1"/>
  <c r="R113" i="12"/>
  <c r="V113" i="12" s="1"/>
  <c r="AA113" i="12" s="1"/>
  <c r="R112" i="12"/>
  <c r="V112" i="12" s="1"/>
  <c r="AA112" i="12" s="1"/>
  <c r="R111" i="12"/>
  <c r="V111" i="12" s="1"/>
  <c r="AA111" i="12" s="1"/>
  <c r="AD111" i="12" s="1"/>
  <c r="R110" i="12"/>
  <c r="V110" i="12" s="1"/>
  <c r="AA110" i="12" s="1"/>
  <c r="R109" i="12"/>
  <c r="V109" i="12" s="1"/>
  <c r="AA109" i="12" s="1"/>
  <c r="R108" i="12"/>
  <c r="V108" i="12" s="1"/>
  <c r="AA108" i="12" s="1"/>
  <c r="R107" i="12"/>
  <c r="V107" i="12" s="1"/>
  <c r="AA107" i="12" s="1"/>
  <c r="R106" i="12"/>
  <c r="V106" i="12" s="1"/>
  <c r="AA106" i="12" s="1"/>
  <c r="AB106" i="12" s="1"/>
  <c r="R105" i="12"/>
  <c r="V105" i="12" s="1"/>
  <c r="AA105" i="12" s="1"/>
  <c r="AB105" i="12" s="1"/>
  <c r="R104" i="12"/>
  <c r="V104" i="12" s="1"/>
  <c r="AA104" i="12" s="1"/>
  <c r="R103" i="12"/>
  <c r="V103" i="12" s="1"/>
  <c r="AA103" i="12" s="1"/>
  <c r="AD103" i="12" s="1"/>
  <c r="R102" i="12"/>
  <c r="V102" i="12" s="1"/>
  <c r="AA102" i="12" s="1"/>
  <c r="V101" i="12"/>
  <c r="AA101" i="12" s="1"/>
  <c r="R101" i="12"/>
  <c r="V100" i="12"/>
  <c r="AA100" i="12" s="1"/>
  <c r="R100" i="12"/>
  <c r="R99" i="12"/>
  <c r="V99" i="12" s="1"/>
  <c r="AA99" i="12" s="1"/>
  <c r="R98" i="12"/>
  <c r="V98" i="12" s="1"/>
  <c r="AA98" i="12" s="1"/>
  <c r="V97" i="12"/>
  <c r="AA97" i="12" s="1"/>
  <c r="AB97" i="12" s="1"/>
  <c r="AD97" i="12"/>
  <c r="R97" i="12"/>
  <c r="R96" i="12"/>
  <c r="V96" i="12" s="1"/>
  <c r="AA96" i="12" s="1"/>
  <c r="R95" i="12"/>
  <c r="V95" i="12" s="1"/>
  <c r="AA95" i="12" s="1"/>
  <c r="AD95" i="12" s="1"/>
  <c r="V94" i="12"/>
  <c r="AA94" i="12" s="1"/>
  <c r="AD94" i="12" s="1"/>
  <c r="R94" i="12"/>
  <c r="R93" i="12"/>
  <c r="V93" i="12" s="1"/>
  <c r="AA93" i="12" s="1"/>
  <c r="AD93" i="12" s="1"/>
  <c r="R92" i="12"/>
  <c r="V92" i="12" s="1"/>
  <c r="AA92" i="12" s="1"/>
  <c r="R91" i="12"/>
  <c r="V91" i="12" s="1"/>
  <c r="AA91" i="12" s="1"/>
  <c r="R90" i="12"/>
  <c r="V90" i="12" s="1"/>
  <c r="AA90" i="12" s="1"/>
  <c r="V89" i="12"/>
  <c r="AA89" i="12" s="1"/>
  <c r="AB89" i="12" s="1"/>
  <c r="R89" i="12"/>
  <c r="R88" i="12"/>
  <c r="V88" i="12" s="1"/>
  <c r="AA88" i="12" s="1"/>
  <c r="R87" i="12"/>
  <c r="V87" i="12" s="1"/>
  <c r="AA87" i="12" s="1"/>
  <c r="R86" i="12"/>
  <c r="V86" i="12" s="1"/>
  <c r="AA86" i="12" s="1"/>
  <c r="R85" i="12"/>
  <c r="V85" i="12" s="1"/>
  <c r="AA85" i="12" s="1"/>
  <c r="R84" i="12"/>
  <c r="V84" i="12" s="1"/>
  <c r="AA84" i="12" s="1"/>
  <c r="V83" i="12"/>
  <c r="AA83" i="12" s="1"/>
  <c r="AD83" i="12" s="1"/>
  <c r="R83" i="12"/>
  <c r="R82" i="12"/>
  <c r="V82" i="12" s="1"/>
  <c r="AA82" i="12" s="1"/>
  <c r="AB82" i="12" s="1"/>
  <c r="R81" i="12"/>
  <c r="V81" i="12" s="1"/>
  <c r="AA81" i="12" s="1"/>
  <c r="AB81" i="12" s="1"/>
  <c r="V80" i="12"/>
  <c r="AA80" i="12" s="1"/>
  <c r="AB80" i="12" s="1"/>
  <c r="R80" i="12"/>
  <c r="R79" i="12"/>
  <c r="V79" i="12" s="1"/>
  <c r="AA79" i="12" s="1"/>
  <c r="R78" i="12"/>
  <c r="V78" i="12" s="1"/>
  <c r="AA78" i="12" s="1"/>
  <c r="R77" i="12"/>
  <c r="V77" i="12" s="1"/>
  <c r="AA77" i="12" s="1"/>
  <c r="AB77" i="12" s="1"/>
  <c r="V76" i="12"/>
  <c r="AA76" i="12" s="1"/>
  <c r="R76" i="12"/>
  <c r="R75" i="12"/>
  <c r="V75" i="12" s="1"/>
  <c r="AA75" i="12" s="1"/>
  <c r="AD75" i="12" s="1"/>
  <c r="R74" i="12"/>
  <c r="V74" i="12" s="1"/>
  <c r="AA74" i="12" s="1"/>
  <c r="R73" i="12"/>
  <c r="V73" i="12" s="1"/>
  <c r="AA73" i="12" s="1"/>
  <c r="AD73" i="12" s="1"/>
  <c r="R72" i="12"/>
  <c r="V72" i="12" s="1"/>
  <c r="AA72" i="12" s="1"/>
  <c r="R71" i="12"/>
  <c r="V71" i="12" s="1"/>
  <c r="AA71" i="12" s="1"/>
  <c r="R70" i="12"/>
  <c r="V70" i="12" s="1"/>
  <c r="AA70" i="12" s="1"/>
  <c r="R69" i="12"/>
  <c r="V69" i="12" s="1"/>
  <c r="AA69" i="12" s="1"/>
  <c r="R68" i="12"/>
  <c r="V68" i="12" s="1"/>
  <c r="AA68" i="12" s="1"/>
  <c r="AB68" i="12" s="1"/>
  <c r="R67" i="12"/>
  <c r="V67" i="12" s="1"/>
  <c r="AA67" i="12" s="1"/>
  <c r="R66" i="12"/>
  <c r="V66" i="12" s="1"/>
  <c r="AA66" i="12" s="1"/>
  <c r="AB66" i="12" s="1"/>
  <c r="R65" i="12"/>
  <c r="V65" i="12" s="1"/>
  <c r="AA65" i="12" s="1"/>
  <c r="AD65" i="12" s="1"/>
  <c r="R64" i="12"/>
  <c r="V64" i="12" s="1"/>
  <c r="AA64" i="12" s="1"/>
  <c r="AD64" i="12" s="1"/>
  <c r="R63" i="12"/>
  <c r="V63" i="12" s="1"/>
  <c r="AA63" i="12" s="1"/>
  <c r="R62" i="12"/>
  <c r="V62" i="12" s="1"/>
  <c r="AA62" i="12" s="1"/>
  <c r="AB62" i="12" s="1"/>
  <c r="R61" i="12"/>
  <c r="V61" i="12" s="1"/>
  <c r="AA61" i="12" s="1"/>
  <c r="AB61" i="12" s="1"/>
  <c r="V60" i="12"/>
  <c r="AA60" i="12" s="1"/>
  <c r="AB60" i="12" s="1"/>
  <c r="R60" i="12"/>
  <c r="R59" i="12"/>
  <c r="V59" i="12" s="1"/>
  <c r="AA59" i="12" s="1"/>
  <c r="R58" i="12"/>
  <c r="V58" i="12" s="1"/>
  <c r="AA58" i="12" s="1"/>
  <c r="R57" i="12"/>
  <c r="V57" i="12" s="1"/>
  <c r="AA57" i="12" s="1"/>
  <c r="R56" i="12"/>
  <c r="V56" i="12" s="1"/>
  <c r="AA56" i="12" s="1"/>
  <c r="V55" i="12"/>
  <c r="AA55" i="12" s="1"/>
  <c r="R55" i="12"/>
  <c r="R54" i="12"/>
  <c r="V54" i="12" s="1"/>
  <c r="AA54" i="12" s="1"/>
  <c r="AD54" i="12" s="1"/>
  <c r="R53" i="12"/>
  <c r="V53" i="12" s="1"/>
  <c r="AA53" i="12" s="1"/>
  <c r="V52" i="12"/>
  <c r="AA52" i="12" s="1"/>
  <c r="R52" i="12"/>
  <c r="R51" i="12"/>
  <c r="V51" i="12" s="1"/>
  <c r="AA51" i="12" s="1"/>
  <c r="AB51" i="12" s="1"/>
  <c r="V50" i="12"/>
  <c r="AA50" i="12" s="1"/>
  <c r="AD50" i="12" s="1"/>
  <c r="AB50" i="12"/>
  <c r="R50" i="12"/>
  <c r="R49" i="12"/>
  <c r="V49" i="12" s="1"/>
  <c r="AA49" i="12" s="1"/>
  <c r="AD49" i="12" s="1"/>
  <c r="R48" i="12"/>
  <c r="V48" i="12" s="1"/>
  <c r="AA48" i="12" s="1"/>
  <c r="AD48" i="12" s="1"/>
  <c r="R47" i="12"/>
  <c r="V47" i="12" s="1"/>
  <c r="AA47" i="12" s="1"/>
  <c r="AD47" i="12" s="1"/>
  <c r="R46" i="12"/>
  <c r="V46" i="12" s="1"/>
  <c r="AA46" i="12" s="1"/>
  <c r="AD46" i="12" s="1"/>
  <c r="V45" i="12"/>
  <c r="AA45" i="12" s="1"/>
  <c r="AD45" i="12" s="1"/>
  <c r="R45" i="12"/>
  <c r="V44" i="12"/>
  <c r="AA44" i="12" s="1"/>
  <c r="R44" i="12"/>
  <c r="R43" i="12"/>
  <c r="V43" i="12" s="1"/>
  <c r="AA43" i="12" s="1"/>
  <c r="AB43" i="12" s="1"/>
  <c r="R42" i="12"/>
  <c r="V42" i="12" s="1"/>
  <c r="AA42" i="12" s="1"/>
  <c r="R41" i="12"/>
  <c r="V41" i="12" s="1"/>
  <c r="AA41" i="12" s="1"/>
  <c r="V40" i="12"/>
  <c r="AA40" i="12" s="1"/>
  <c r="AD40" i="12" s="1"/>
  <c r="R40" i="12"/>
  <c r="R39" i="12"/>
  <c r="V39" i="12" s="1"/>
  <c r="AA39" i="12" s="1"/>
  <c r="AD39" i="12" s="1"/>
  <c r="R38" i="12"/>
  <c r="V38" i="12" s="1"/>
  <c r="AA38" i="12" s="1"/>
  <c r="AD38" i="12" s="1"/>
  <c r="R37" i="12"/>
  <c r="V37" i="12" s="1"/>
  <c r="AA37" i="12" s="1"/>
  <c r="R36" i="12"/>
  <c r="V36" i="12" s="1"/>
  <c r="AA36" i="12" s="1"/>
  <c r="R35" i="12"/>
  <c r="V35" i="12" s="1"/>
  <c r="AA35" i="12" s="1"/>
  <c r="R34" i="12"/>
  <c r="V34" i="12" s="1"/>
  <c r="AA34" i="12" s="1"/>
  <c r="AD34" i="12" s="1"/>
  <c r="R33" i="12"/>
  <c r="V33" i="12" s="1"/>
  <c r="AA33" i="12" s="1"/>
  <c r="R32" i="12"/>
  <c r="V32" i="12" s="1"/>
  <c r="AA32" i="12" s="1"/>
  <c r="R31" i="12"/>
  <c r="V31" i="12" s="1"/>
  <c r="AA31" i="12" s="1"/>
  <c r="AD31" i="12" s="1"/>
  <c r="R30" i="12"/>
  <c r="V30" i="12" s="1"/>
  <c r="AA30" i="12" s="1"/>
  <c r="R29" i="12"/>
  <c r="V29" i="12" s="1"/>
  <c r="AA29" i="12" s="1"/>
  <c r="AD29" i="12" s="1"/>
  <c r="R28" i="12"/>
  <c r="V28" i="12" s="1"/>
  <c r="AA28" i="12" s="1"/>
  <c r="AB28" i="12" s="1"/>
  <c r="R27" i="12"/>
  <c r="V27" i="12" s="1"/>
  <c r="AA27" i="12" s="1"/>
  <c r="A27" i="12"/>
  <c r="R26" i="12"/>
  <c r="V26" i="12" s="1"/>
  <c r="AA26" i="12" s="1"/>
  <c r="AB26" i="12" s="1"/>
  <c r="R25" i="12"/>
  <c r="V25" i="12" s="1"/>
  <c r="AA25" i="12" s="1"/>
  <c r="AB25" i="12" s="1"/>
  <c r="R24" i="12"/>
  <c r="V24" i="12" s="1"/>
  <c r="AA24" i="12" s="1"/>
  <c r="V23" i="12"/>
  <c r="AA23" i="12" s="1"/>
  <c r="AD23" i="12" s="1"/>
  <c r="R23" i="12"/>
  <c r="R22" i="12"/>
  <c r="V22" i="12" s="1"/>
  <c r="AA22" i="12" s="1"/>
  <c r="AD22" i="12" s="1"/>
  <c r="R21" i="12"/>
  <c r="V21" i="12" s="1"/>
  <c r="AA21" i="12" s="1"/>
  <c r="AD21" i="12" s="1"/>
  <c r="R20" i="12"/>
  <c r="V20" i="12" s="1"/>
  <c r="AA20" i="12" s="1"/>
  <c r="R19" i="12"/>
  <c r="V19" i="12" s="1"/>
  <c r="AA19" i="12" s="1"/>
  <c r="AB19" i="12" s="1"/>
  <c r="R18" i="12"/>
  <c r="V18" i="12" s="1"/>
  <c r="AA18" i="12" s="1"/>
  <c r="AB18" i="12" s="1"/>
  <c r="R17" i="12"/>
  <c r="V17" i="12" s="1"/>
  <c r="AA17" i="12" s="1"/>
  <c r="AB17" i="12" s="1"/>
  <c r="R16" i="12"/>
  <c r="V16" i="12" s="1"/>
  <c r="AA16" i="12" s="1"/>
  <c r="V15" i="12"/>
  <c r="AA15" i="12" s="1"/>
  <c r="AB15" i="12" s="1"/>
  <c r="R15" i="12"/>
  <c r="V14" i="12"/>
  <c r="AA14" i="12" s="1"/>
  <c r="R14" i="12"/>
  <c r="R13" i="12"/>
  <c r="V13" i="12" s="1"/>
  <c r="AA13" i="12" s="1"/>
  <c r="AD13" i="12" s="1"/>
  <c r="R12" i="12"/>
  <c r="V12" i="12" s="1"/>
  <c r="AA12" i="12" s="1"/>
  <c r="R11" i="12"/>
  <c r="V11" i="12" s="1"/>
  <c r="AA11" i="12" s="1"/>
  <c r="AD11" i="12" s="1"/>
  <c r="R10" i="12"/>
  <c r="V10" i="12" s="1"/>
  <c r="AA10" i="12" s="1"/>
  <c r="AB10" i="12" s="1"/>
  <c r="R9" i="12"/>
  <c r="V9" i="12" s="1"/>
  <c r="AA9" i="12" s="1"/>
  <c r="AB9" i="12" s="1"/>
  <c r="V8" i="12"/>
  <c r="AA8" i="12" s="1"/>
  <c r="R8" i="12"/>
  <c r="X488" i="10"/>
  <c r="AA488" i="10" s="1"/>
  <c r="Z488" i="10"/>
  <c r="J488" i="10"/>
  <c r="M488" i="10" s="1"/>
  <c r="X487" i="10"/>
  <c r="Z487" i="10"/>
  <c r="AA487" i="10"/>
  <c r="J487" i="10"/>
  <c r="M487" i="10" s="1"/>
  <c r="X486" i="10"/>
  <c r="Z486" i="10"/>
  <c r="AA486" i="10" s="1"/>
  <c r="J486" i="10"/>
  <c r="M486" i="10"/>
  <c r="X485" i="10"/>
  <c r="Z485" i="10"/>
  <c r="J485" i="10"/>
  <c r="M485" i="10"/>
  <c r="X484" i="10"/>
  <c r="Z484" i="10"/>
  <c r="AA484" i="10"/>
  <c r="J484" i="10"/>
  <c r="M484" i="10"/>
  <c r="X483" i="10"/>
  <c r="Z483" i="10"/>
  <c r="AA483" i="10"/>
  <c r="J483" i="10"/>
  <c r="M483" i="10"/>
  <c r="X482" i="10"/>
  <c r="AA482" i="10" s="1"/>
  <c r="Z482" i="10"/>
  <c r="J482" i="10"/>
  <c r="M482" i="10" s="1"/>
  <c r="X481" i="10"/>
  <c r="Z481" i="10"/>
  <c r="AA481" i="10" s="1"/>
  <c r="J481" i="10"/>
  <c r="M481" i="10"/>
  <c r="X480" i="10"/>
  <c r="Z480" i="10"/>
  <c r="J480" i="10"/>
  <c r="M480" i="10" s="1"/>
  <c r="X479" i="10"/>
  <c r="AA479" i="10" s="1"/>
  <c r="Z479" i="10"/>
  <c r="J479" i="10"/>
  <c r="M479" i="10" s="1"/>
  <c r="X478" i="10"/>
  <c r="Z478" i="10"/>
  <c r="AA478" i="10"/>
  <c r="J478" i="10"/>
  <c r="M478" i="10"/>
  <c r="X477" i="10"/>
  <c r="AA477" i="10" s="1"/>
  <c r="Z477" i="10"/>
  <c r="J477" i="10"/>
  <c r="M477" i="10" s="1"/>
  <c r="X476" i="10"/>
  <c r="Z476" i="10"/>
  <c r="AA476" i="10"/>
  <c r="J476" i="10"/>
  <c r="M476" i="10"/>
  <c r="X475" i="10"/>
  <c r="Z475" i="10"/>
  <c r="AA475" i="10"/>
  <c r="J475" i="10"/>
  <c r="M475" i="10" s="1"/>
  <c r="X474" i="10"/>
  <c r="Z474" i="10"/>
  <c r="AA474" i="10" s="1"/>
  <c r="J474" i="10"/>
  <c r="M474" i="10" s="1"/>
  <c r="X473" i="10"/>
  <c r="AA473" i="10" s="1"/>
  <c r="Z473" i="10"/>
  <c r="J473" i="10"/>
  <c r="M473" i="10"/>
  <c r="X472" i="10"/>
  <c r="AA472" i="10" s="1"/>
  <c r="Z472" i="10"/>
  <c r="J472" i="10"/>
  <c r="M472" i="10" s="1"/>
  <c r="X471" i="10"/>
  <c r="Z471" i="10"/>
  <c r="AA471" i="10"/>
  <c r="J471" i="10"/>
  <c r="M471" i="10" s="1"/>
  <c r="X470" i="10"/>
  <c r="Z470" i="10"/>
  <c r="AA470" i="10" s="1"/>
  <c r="J470" i="10"/>
  <c r="M470" i="10"/>
  <c r="X469" i="10"/>
  <c r="Z469" i="10"/>
  <c r="J469" i="10"/>
  <c r="M469" i="10"/>
  <c r="X468" i="10"/>
  <c r="Z468" i="10"/>
  <c r="AA468" i="10"/>
  <c r="J468" i="10"/>
  <c r="M468" i="10"/>
  <c r="X467" i="10"/>
  <c r="Z467" i="10"/>
  <c r="AA467" i="10"/>
  <c r="J467" i="10"/>
  <c r="M467" i="10"/>
  <c r="X466" i="10"/>
  <c r="AA466" i="10" s="1"/>
  <c r="Z466" i="10"/>
  <c r="J466" i="10"/>
  <c r="M466" i="10" s="1"/>
  <c r="X465" i="10"/>
  <c r="Z465" i="10"/>
  <c r="AA465" i="10"/>
  <c r="J465" i="10"/>
  <c r="M465" i="10"/>
  <c r="X464" i="10"/>
  <c r="Z464" i="10"/>
  <c r="J464" i="10"/>
  <c r="M464" i="10" s="1"/>
  <c r="X463" i="10"/>
  <c r="AA463" i="10" s="1"/>
  <c r="Z463" i="10"/>
  <c r="J463" i="10"/>
  <c r="M463" i="10" s="1"/>
  <c r="X462" i="10"/>
  <c r="Z462" i="10"/>
  <c r="AA462" i="10"/>
  <c r="J462" i="10"/>
  <c r="M462" i="10"/>
  <c r="X461" i="10"/>
  <c r="AA461" i="10" s="1"/>
  <c r="Z461" i="10"/>
  <c r="J461" i="10"/>
  <c r="M461" i="10" s="1"/>
  <c r="X460" i="10"/>
  <c r="Z460" i="10"/>
  <c r="AA460" i="10"/>
  <c r="J460" i="10"/>
  <c r="M460" i="10"/>
  <c r="X459" i="10"/>
  <c r="Z459" i="10"/>
  <c r="AA459" i="10"/>
  <c r="J459" i="10"/>
  <c r="M459" i="10" s="1"/>
  <c r="X458" i="10"/>
  <c r="Z458" i="10"/>
  <c r="AA458" i="10"/>
  <c r="J458" i="10"/>
  <c r="M458" i="10" s="1"/>
  <c r="X457" i="10"/>
  <c r="Z457" i="10"/>
  <c r="J457" i="10"/>
  <c r="M457" i="10"/>
  <c r="X456" i="10"/>
  <c r="AA456" i="10" s="1"/>
  <c r="Z456" i="10"/>
  <c r="J456" i="10"/>
  <c r="M456" i="10" s="1"/>
  <c r="X455" i="10"/>
  <c r="Z455" i="10"/>
  <c r="AA455" i="10"/>
  <c r="J455" i="10"/>
  <c r="M455" i="10" s="1"/>
  <c r="X454" i="10"/>
  <c r="Z454" i="10"/>
  <c r="AA454" i="10" s="1"/>
  <c r="J454" i="10"/>
  <c r="M454" i="10"/>
  <c r="X453" i="10"/>
  <c r="Z453" i="10"/>
  <c r="J453" i="10"/>
  <c r="M453" i="10"/>
  <c r="X452" i="10"/>
  <c r="Z452" i="10"/>
  <c r="AA452" i="10"/>
  <c r="J452" i="10"/>
  <c r="M452" i="10"/>
  <c r="X451" i="10"/>
  <c r="Z451" i="10"/>
  <c r="AA451" i="10"/>
  <c r="J451" i="10"/>
  <c r="M451" i="10"/>
  <c r="X450" i="10"/>
  <c r="AA450" i="10" s="1"/>
  <c r="Z450" i="10"/>
  <c r="J450" i="10"/>
  <c r="M450" i="10" s="1"/>
  <c r="X449" i="10"/>
  <c r="Z449" i="10"/>
  <c r="AA449" i="10" s="1"/>
  <c r="J449" i="10"/>
  <c r="M449" i="10"/>
  <c r="X448" i="10"/>
  <c r="Z448" i="10"/>
  <c r="J448" i="10"/>
  <c r="M448" i="10" s="1"/>
  <c r="X447" i="10"/>
  <c r="AA447" i="10" s="1"/>
  <c r="Z447" i="10"/>
  <c r="J447" i="10"/>
  <c r="M447" i="10" s="1"/>
  <c r="X446" i="10"/>
  <c r="Z446" i="10"/>
  <c r="AA446" i="10"/>
  <c r="J446" i="10"/>
  <c r="M446" i="10"/>
  <c r="X445" i="10"/>
  <c r="AA445" i="10" s="1"/>
  <c r="Z445" i="10"/>
  <c r="J445" i="10"/>
  <c r="M445" i="10" s="1"/>
  <c r="X444" i="10"/>
  <c r="Z444" i="10"/>
  <c r="AA444" i="10" s="1"/>
  <c r="J444" i="10"/>
  <c r="M444" i="10"/>
  <c r="X443" i="10"/>
  <c r="AA443" i="10" s="1"/>
  <c r="Z443" i="10"/>
  <c r="J443" i="10"/>
  <c r="M443" i="10" s="1"/>
  <c r="X442" i="10"/>
  <c r="Z442" i="10"/>
  <c r="J442" i="10"/>
  <c r="M442" i="10" s="1"/>
  <c r="X441" i="10"/>
  <c r="Z441" i="10"/>
  <c r="AA441" i="10" s="1"/>
  <c r="J441" i="10"/>
  <c r="M441" i="10"/>
  <c r="X440" i="10"/>
  <c r="Z440" i="10"/>
  <c r="J440" i="10"/>
  <c r="M440" i="10" s="1"/>
  <c r="X439" i="10"/>
  <c r="AA439" i="10" s="1"/>
  <c r="Z439" i="10"/>
  <c r="J439" i="10"/>
  <c r="M439" i="10" s="1"/>
  <c r="X438" i="10"/>
  <c r="Z438" i="10"/>
  <c r="AA438" i="10"/>
  <c r="J438" i="10"/>
  <c r="M438" i="10"/>
  <c r="X437" i="10"/>
  <c r="AA437" i="10" s="1"/>
  <c r="Z437" i="10"/>
  <c r="J437" i="10"/>
  <c r="M437" i="10"/>
  <c r="X436" i="10"/>
  <c r="AA436" i="10" s="1"/>
  <c r="Z436" i="10"/>
  <c r="J436" i="10"/>
  <c r="M436" i="10"/>
  <c r="X435" i="10"/>
  <c r="AA435" i="10" s="1"/>
  <c r="Z435" i="10"/>
  <c r="J435" i="10"/>
  <c r="M435" i="10"/>
  <c r="X434" i="10"/>
  <c r="AA434" i="10" s="1"/>
  <c r="Z434" i="10"/>
  <c r="J434" i="10"/>
  <c r="M434" i="10" s="1"/>
  <c r="X433" i="10"/>
  <c r="AA433" i="10" s="1"/>
  <c r="Z433" i="10"/>
  <c r="J433" i="10"/>
  <c r="M433" i="10"/>
  <c r="X432" i="10"/>
  <c r="Z432" i="10"/>
  <c r="J432" i="10"/>
  <c r="M432" i="10"/>
  <c r="X431" i="10"/>
  <c r="AA431" i="10" s="1"/>
  <c r="Z431" i="10"/>
  <c r="J431" i="10"/>
  <c r="M431" i="10" s="1"/>
  <c r="X430" i="10"/>
  <c r="Z430" i="10"/>
  <c r="AA430" i="10"/>
  <c r="J430" i="10"/>
  <c r="M430" i="10"/>
  <c r="X429" i="10"/>
  <c r="Z429" i="10"/>
  <c r="AA429" i="10"/>
  <c r="J429" i="10"/>
  <c r="M429" i="10"/>
  <c r="X428" i="10"/>
  <c r="Z428" i="10"/>
  <c r="AA428" i="10"/>
  <c r="J428" i="10"/>
  <c r="M428" i="10"/>
  <c r="X427" i="10"/>
  <c r="Z427" i="10"/>
  <c r="AA427" i="10"/>
  <c r="J427" i="10"/>
  <c r="M427" i="10"/>
  <c r="X426" i="10"/>
  <c r="Z426" i="10"/>
  <c r="AA426" i="10"/>
  <c r="J426" i="10"/>
  <c r="M426" i="10" s="1"/>
  <c r="X425" i="10"/>
  <c r="Z425" i="10"/>
  <c r="AA425" i="10"/>
  <c r="J425" i="10"/>
  <c r="M425" i="10"/>
  <c r="X424" i="10"/>
  <c r="Z424" i="10"/>
  <c r="J424" i="10"/>
  <c r="M424" i="10"/>
  <c r="X423" i="10"/>
  <c r="Z423" i="10"/>
  <c r="AA423" i="10"/>
  <c r="J423" i="10"/>
  <c r="M423" i="10" s="1"/>
  <c r="X422" i="10"/>
  <c r="Z422" i="10"/>
  <c r="AA422" i="10" s="1"/>
  <c r="J422" i="10"/>
  <c r="M422" i="10" s="1"/>
  <c r="X421" i="10"/>
  <c r="Z421" i="10"/>
  <c r="AA421" i="10"/>
  <c r="J421" i="10"/>
  <c r="M421" i="10"/>
  <c r="X420" i="10"/>
  <c r="Z420" i="10"/>
  <c r="AA420" i="10"/>
  <c r="J420" i="10"/>
  <c r="M420" i="10" s="1"/>
  <c r="X419" i="10"/>
  <c r="Z419" i="10"/>
  <c r="J419" i="10"/>
  <c r="M419" i="10"/>
  <c r="X418" i="10"/>
  <c r="Z418" i="10"/>
  <c r="AA418" i="10"/>
  <c r="J418" i="10"/>
  <c r="M418" i="10" s="1"/>
  <c r="X417" i="10"/>
  <c r="Z417" i="10"/>
  <c r="J417" i="10"/>
  <c r="M417" i="10"/>
  <c r="X416" i="10"/>
  <c r="AA416" i="10" s="1"/>
  <c r="Z416" i="10"/>
  <c r="J416" i="10"/>
  <c r="M416" i="10"/>
  <c r="X415" i="10"/>
  <c r="Z415" i="10"/>
  <c r="AA415" i="10"/>
  <c r="J415" i="10"/>
  <c r="M415" i="10"/>
  <c r="X414" i="10"/>
  <c r="Z414" i="10"/>
  <c r="AA414" i="10" s="1"/>
  <c r="J414" i="10"/>
  <c r="M414" i="10"/>
  <c r="X413" i="10"/>
  <c r="AA413" i="10" s="1"/>
  <c r="Z413" i="10"/>
  <c r="J413" i="10"/>
  <c r="M413" i="10" s="1"/>
  <c r="X412" i="10"/>
  <c r="AA412" i="10" s="1"/>
  <c r="Z412" i="10"/>
  <c r="J412" i="10"/>
  <c r="M412" i="10"/>
  <c r="X411" i="10"/>
  <c r="Z411" i="10"/>
  <c r="AA411" i="10" s="1"/>
  <c r="J411" i="10"/>
  <c r="M411" i="10"/>
  <c r="X410" i="10"/>
  <c r="AA410" i="10" s="1"/>
  <c r="Z410" i="10"/>
  <c r="J410" i="10"/>
  <c r="M410" i="10" s="1"/>
  <c r="X409" i="10"/>
  <c r="Z409" i="10"/>
  <c r="J409" i="10"/>
  <c r="M409" i="10"/>
  <c r="X408" i="10"/>
  <c r="Z408" i="10"/>
  <c r="J408" i="10"/>
  <c r="M408" i="10"/>
  <c r="X407" i="10"/>
  <c r="AA407" i="10" s="1"/>
  <c r="Z407" i="10"/>
  <c r="J407" i="10"/>
  <c r="M407" i="10" s="1"/>
  <c r="X406" i="10"/>
  <c r="Z406" i="10"/>
  <c r="AA406" i="10"/>
  <c r="J406" i="10"/>
  <c r="M406" i="10"/>
  <c r="X405" i="10"/>
  <c r="AA405" i="10" s="1"/>
  <c r="Z405" i="10"/>
  <c r="J405" i="10"/>
  <c r="M405" i="10"/>
  <c r="X404" i="10"/>
  <c r="AA404" i="10" s="1"/>
  <c r="Z404" i="10"/>
  <c r="J404" i="10"/>
  <c r="M404" i="10"/>
  <c r="X403" i="10"/>
  <c r="Z403" i="10"/>
  <c r="AA403" i="10"/>
  <c r="J403" i="10"/>
  <c r="M403" i="10"/>
  <c r="X402" i="10"/>
  <c r="AA402" i="10" s="1"/>
  <c r="Z402" i="10"/>
  <c r="J402" i="10"/>
  <c r="M402" i="10" s="1"/>
  <c r="X401" i="10"/>
  <c r="AA401" i="10" s="1"/>
  <c r="Z401" i="10"/>
  <c r="J401" i="10"/>
  <c r="M401" i="10"/>
  <c r="X400" i="10"/>
  <c r="Z400" i="10"/>
  <c r="J400" i="10"/>
  <c r="M400" i="10"/>
  <c r="X399" i="10"/>
  <c r="AA399" i="10" s="1"/>
  <c r="Z399" i="10"/>
  <c r="J399" i="10"/>
  <c r="M399" i="10"/>
  <c r="X398" i="10"/>
  <c r="Z398" i="10"/>
  <c r="AA398" i="10"/>
  <c r="J398" i="10"/>
  <c r="M398" i="10" s="1"/>
  <c r="X397" i="10"/>
  <c r="AA397" i="10" s="1"/>
  <c r="Z397" i="10"/>
  <c r="J397" i="10"/>
  <c r="M397" i="10" s="1"/>
  <c r="X396" i="10"/>
  <c r="AA396" i="10" s="1"/>
  <c r="Z396" i="10"/>
  <c r="J396" i="10"/>
  <c r="M396" i="10"/>
  <c r="X395" i="10"/>
  <c r="AA395" i="10" s="1"/>
  <c r="Z395" i="10"/>
  <c r="J395" i="10"/>
  <c r="M395" i="10"/>
  <c r="X394" i="10"/>
  <c r="AA394" i="10" s="1"/>
  <c r="Z394" i="10"/>
  <c r="J394" i="10"/>
  <c r="M394" i="10" s="1"/>
  <c r="X393" i="10"/>
  <c r="AA393" i="10" s="1"/>
  <c r="Z393" i="10"/>
  <c r="J393" i="10"/>
  <c r="M393" i="10"/>
  <c r="X392" i="10"/>
  <c r="Z392" i="10"/>
  <c r="J392" i="10"/>
  <c r="M392" i="10"/>
  <c r="X391" i="10"/>
  <c r="Z391" i="10"/>
  <c r="AA391" i="10"/>
  <c r="J391" i="10"/>
  <c r="M391" i="10" s="1"/>
  <c r="X390" i="10"/>
  <c r="Z390" i="10"/>
  <c r="AA390" i="10"/>
  <c r="J390" i="10"/>
  <c r="M390" i="10" s="1"/>
  <c r="X389" i="10"/>
  <c r="Z389" i="10"/>
  <c r="J389" i="10"/>
  <c r="M389" i="10" s="1"/>
  <c r="X388" i="10"/>
  <c r="Z388" i="10"/>
  <c r="AA388" i="10"/>
  <c r="J388" i="10"/>
  <c r="M388" i="10"/>
  <c r="X387" i="10"/>
  <c r="Z387" i="10"/>
  <c r="J387" i="10"/>
  <c r="M387" i="10" s="1"/>
  <c r="X386" i="10"/>
  <c r="Z386" i="10"/>
  <c r="AA386" i="10"/>
  <c r="J386" i="10"/>
  <c r="M386" i="10" s="1"/>
  <c r="X385" i="10"/>
  <c r="AA385" i="10" s="1"/>
  <c r="Z385" i="10"/>
  <c r="J385" i="10"/>
  <c r="M385" i="10"/>
  <c r="X384" i="10"/>
  <c r="AA384" i="10" s="1"/>
  <c r="Z384" i="10"/>
  <c r="J384" i="10"/>
  <c r="M384" i="10" s="1"/>
  <c r="X383" i="10"/>
  <c r="AA383" i="10" s="1"/>
  <c r="Z383" i="10"/>
  <c r="J383" i="10"/>
  <c r="M383" i="10" s="1"/>
  <c r="X382" i="10"/>
  <c r="Z382" i="10"/>
  <c r="AA382" i="10" s="1"/>
  <c r="J382" i="10"/>
  <c r="M382" i="10"/>
  <c r="X381" i="10"/>
  <c r="Z381" i="10"/>
  <c r="AA381" i="10"/>
  <c r="J381" i="10"/>
  <c r="M381" i="10"/>
  <c r="X380" i="10"/>
  <c r="AA380" i="10" s="1"/>
  <c r="Z380" i="10"/>
  <c r="J380" i="10"/>
  <c r="M380" i="10" s="1"/>
  <c r="X379" i="10"/>
  <c r="Z379" i="10"/>
  <c r="J379" i="10"/>
  <c r="M379" i="10" s="1"/>
  <c r="X378" i="10"/>
  <c r="Z378" i="10"/>
  <c r="AA378" i="10"/>
  <c r="J378" i="10"/>
  <c r="M378" i="10" s="1"/>
  <c r="X377" i="10"/>
  <c r="Z377" i="10"/>
  <c r="J377" i="10"/>
  <c r="M377" i="10"/>
  <c r="X376" i="10"/>
  <c r="Z376" i="10"/>
  <c r="J376" i="10"/>
  <c r="M376" i="10"/>
  <c r="X375" i="10"/>
  <c r="Z375" i="10"/>
  <c r="AA375" i="10"/>
  <c r="J375" i="10"/>
  <c r="M375" i="10" s="1"/>
  <c r="X374" i="10"/>
  <c r="Z374" i="10"/>
  <c r="AA374" i="10" s="1"/>
  <c r="J374" i="10"/>
  <c r="M374" i="10"/>
  <c r="X373" i="10"/>
  <c r="Z373" i="10"/>
  <c r="AA373" i="10"/>
  <c r="J373" i="10"/>
  <c r="M373" i="10"/>
  <c r="X372" i="10"/>
  <c r="Z372" i="10"/>
  <c r="AA372" i="10"/>
  <c r="J372" i="10"/>
  <c r="M372" i="10"/>
  <c r="X371" i="10"/>
  <c r="Z371" i="10"/>
  <c r="AA371" i="10" s="1"/>
  <c r="J371" i="10"/>
  <c r="M371" i="10"/>
  <c r="X370" i="10"/>
  <c r="Z370" i="10"/>
  <c r="AA370" i="10"/>
  <c r="J370" i="10"/>
  <c r="M370" i="10" s="1"/>
  <c r="X369" i="10"/>
  <c r="Z369" i="10"/>
  <c r="AA369" i="10" s="1"/>
  <c r="J369" i="10"/>
  <c r="M369" i="10"/>
  <c r="X368" i="10"/>
  <c r="Z368" i="10"/>
  <c r="J368" i="10"/>
  <c r="M368" i="10"/>
  <c r="X367" i="10"/>
  <c r="AA367" i="10" s="1"/>
  <c r="Z367" i="10"/>
  <c r="J367" i="10"/>
  <c r="M367" i="10"/>
  <c r="X366" i="10"/>
  <c r="Z366" i="10"/>
  <c r="AA366" i="10"/>
  <c r="J366" i="10"/>
  <c r="M366" i="10" s="1"/>
  <c r="X365" i="10"/>
  <c r="AA365" i="10" s="1"/>
  <c r="Z365" i="10"/>
  <c r="J365" i="10"/>
  <c r="M365" i="10" s="1"/>
  <c r="X364" i="10"/>
  <c r="AA364" i="10" s="1"/>
  <c r="Z364" i="10"/>
  <c r="J364" i="10"/>
  <c r="M364" i="10" s="1"/>
  <c r="X363" i="10"/>
  <c r="AA363" i="10" s="1"/>
  <c r="Z363" i="10"/>
  <c r="J363" i="10"/>
  <c r="M363" i="10" s="1"/>
  <c r="X362" i="10"/>
  <c r="AA362" i="10" s="1"/>
  <c r="Z362" i="10"/>
  <c r="J362" i="10"/>
  <c r="M362" i="10" s="1"/>
  <c r="X361" i="10"/>
  <c r="AA361" i="10" s="1"/>
  <c r="Z361" i="10"/>
  <c r="J361" i="10"/>
  <c r="M361" i="10"/>
  <c r="X360" i="10"/>
  <c r="Z360" i="10"/>
  <c r="J360" i="10"/>
  <c r="M360" i="10" s="1"/>
  <c r="X359" i="10"/>
  <c r="Z359" i="10"/>
  <c r="AA359" i="10"/>
  <c r="J359" i="10"/>
  <c r="M359" i="10"/>
  <c r="X358" i="10"/>
  <c r="Z358" i="10"/>
  <c r="AA358" i="10"/>
  <c r="J358" i="10"/>
  <c r="M358" i="10"/>
  <c r="X357" i="10"/>
  <c r="Z357" i="10"/>
  <c r="J357" i="10"/>
  <c r="M357" i="10" s="1"/>
  <c r="X356" i="10"/>
  <c r="Z356" i="10"/>
  <c r="AA356" i="10"/>
  <c r="J356" i="10"/>
  <c r="M356" i="10"/>
  <c r="X355" i="10"/>
  <c r="AA355" i="10" s="1"/>
  <c r="Z355" i="10"/>
  <c r="J355" i="10"/>
  <c r="M355" i="10" s="1"/>
  <c r="X354" i="10"/>
  <c r="Z354" i="10"/>
  <c r="J354" i="10"/>
  <c r="M354" i="10" s="1"/>
  <c r="X353" i="10"/>
  <c r="Z353" i="10"/>
  <c r="AA353" i="10"/>
  <c r="J353" i="10"/>
  <c r="M353" i="10"/>
  <c r="X352" i="10"/>
  <c r="Z352" i="10"/>
  <c r="J352" i="10"/>
  <c r="M352" i="10" s="1"/>
  <c r="X351" i="10"/>
  <c r="AA351" i="10" s="1"/>
  <c r="Z351" i="10"/>
  <c r="J351" i="10"/>
  <c r="M351" i="10" s="1"/>
  <c r="X350" i="10"/>
  <c r="Z350" i="10"/>
  <c r="AA350" i="10"/>
  <c r="J350" i="10"/>
  <c r="M350" i="10" s="1"/>
  <c r="X349" i="10"/>
  <c r="Z349" i="10"/>
  <c r="J349" i="10"/>
  <c r="M349" i="10" s="1"/>
  <c r="X348" i="10"/>
  <c r="AA348" i="10" s="1"/>
  <c r="Z348" i="10"/>
  <c r="J348" i="10"/>
  <c r="M348" i="10"/>
  <c r="X347" i="10"/>
  <c r="Z347" i="10"/>
  <c r="J347" i="10"/>
  <c r="M347" i="10" s="1"/>
  <c r="X346" i="10"/>
  <c r="Z346" i="10"/>
  <c r="AA346" i="10"/>
  <c r="J346" i="10"/>
  <c r="M346" i="10" s="1"/>
  <c r="X345" i="10"/>
  <c r="AA345" i="10" s="1"/>
  <c r="Z345" i="10"/>
  <c r="J345" i="10"/>
  <c r="M345" i="10"/>
  <c r="X344" i="10"/>
  <c r="AA344" i="10" s="1"/>
  <c r="Z344" i="10"/>
  <c r="J344" i="10"/>
  <c r="M344" i="10" s="1"/>
  <c r="X343" i="10"/>
  <c r="AA343" i="10" s="1"/>
  <c r="Z343" i="10"/>
  <c r="J343" i="10"/>
  <c r="M343" i="10" s="1"/>
  <c r="X342" i="10"/>
  <c r="Z342" i="10"/>
  <c r="AA342" i="10" s="1"/>
  <c r="J342" i="10"/>
  <c r="M342" i="10"/>
  <c r="X341" i="10"/>
  <c r="Z341" i="10"/>
  <c r="J341" i="10"/>
  <c r="M341" i="10"/>
  <c r="X340" i="10"/>
  <c r="Z340" i="10"/>
  <c r="J340" i="10"/>
  <c r="M340" i="10"/>
  <c r="X339" i="10"/>
  <c r="Z339" i="10"/>
  <c r="J339" i="10"/>
  <c r="M339" i="10"/>
  <c r="X338" i="10"/>
  <c r="Z338" i="10"/>
  <c r="J338" i="10"/>
  <c r="M338" i="10" s="1"/>
  <c r="X337" i="10"/>
  <c r="Z337" i="10"/>
  <c r="J337" i="10"/>
  <c r="M337" i="10"/>
  <c r="X336" i="10"/>
  <c r="AA336" i="10" s="1"/>
  <c r="Z336" i="10"/>
  <c r="J336" i="10"/>
  <c r="M336" i="10"/>
  <c r="X335" i="10"/>
  <c r="AA335" i="10" s="1"/>
  <c r="Z335" i="10"/>
  <c r="J335" i="10"/>
  <c r="M335" i="10"/>
  <c r="X334" i="10"/>
  <c r="Z334" i="10"/>
  <c r="AA334" i="10"/>
  <c r="J334" i="10"/>
  <c r="M334" i="10" s="1"/>
  <c r="X333" i="10"/>
  <c r="Z333" i="10"/>
  <c r="AA333" i="10"/>
  <c r="J333" i="10"/>
  <c r="M333" i="10" s="1"/>
  <c r="X332" i="10"/>
  <c r="AA332" i="10" s="1"/>
  <c r="Z332" i="10"/>
  <c r="J332" i="10"/>
  <c r="M332" i="10" s="1"/>
  <c r="X331" i="10"/>
  <c r="AA331" i="10" s="1"/>
  <c r="Z331" i="10"/>
  <c r="J331" i="10"/>
  <c r="M331" i="10" s="1"/>
  <c r="X330" i="10"/>
  <c r="AA330" i="10" s="1"/>
  <c r="Z330" i="10"/>
  <c r="J330" i="10"/>
  <c r="M330" i="10" s="1"/>
  <c r="X329" i="10"/>
  <c r="Z329" i="10"/>
  <c r="AA329" i="10"/>
  <c r="J329" i="10"/>
  <c r="M329" i="10"/>
  <c r="X328" i="10"/>
  <c r="Z328" i="10"/>
  <c r="J328" i="10"/>
  <c r="M328" i="10" s="1"/>
  <c r="X327" i="10"/>
  <c r="Z327" i="10"/>
  <c r="AA327" i="10"/>
  <c r="J327" i="10"/>
  <c r="M327" i="10"/>
  <c r="X326" i="10"/>
  <c r="Z326" i="10"/>
  <c r="AA326" i="10"/>
  <c r="J326" i="10"/>
  <c r="M326" i="10"/>
  <c r="X325" i="10"/>
  <c r="Z325" i="10"/>
  <c r="AA325" i="10"/>
  <c r="J325" i="10"/>
  <c r="M325" i="10" s="1"/>
  <c r="X324" i="10"/>
  <c r="Z324" i="10"/>
  <c r="J324" i="10"/>
  <c r="M324" i="10" s="1"/>
  <c r="X323" i="10"/>
  <c r="Z323" i="10"/>
  <c r="AA323" i="10"/>
  <c r="J323" i="10"/>
  <c r="M323" i="10"/>
  <c r="X322" i="10"/>
  <c r="Z322" i="10"/>
  <c r="AA322" i="10"/>
  <c r="J322" i="10"/>
  <c r="M322" i="10" s="1"/>
  <c r="X321" i="10"/>
  <c r="Z321" i="10"/>
  <c r="J321" i="10"/>
  <c r="M321" i="10"/>
  <c r="X320" i="10"/>
  <c r="Z320" i="10"/>
  <c r="J320" i="10"/>
  <c r="M320" i="10"/>
  <c r="X319" i="10"/>
  <c r="AA319" i="10" s="1"/>
  <c r="Z319" i="10"/>
  <c r="J319" i="10"/>
  <c r="M319" i="10"/>
  <c r="X318" i="10"/>
  <c r="Z318" i="10"/>
  <c r="AA318" i="10"/>
  <c r="J318" i="10"/>
  <c r="M318" i="10"/>
  <c r="X317" i="10"/>
  <c r="AA317" i="10" s="1"/>
  <c r="Z317" i="10"/>
  <c r="J317" i="10"/>
  <c r="M317" i="10" s="1"/>
  <c r="X316" i="10"/>
  <c r="Z316" i="10"/>
  <c r="AA316" i="10"/>
  <c r="J316" i="10"/>
  <c r="M316" i="10"/>
  <c r="X315" i="10"/>
  <c r="AA315" i="10" s="1"/>
  <c r="Z315" i="10"/>
  <c r="J315" i="10"/>
  <c r="M315" i="10" s="1"/>
  <c r="X314" i="10"/>
  <c r="AA314" i="10" s="1"/>
  <c r="Z314" i="10"/>
  <c r="J314" i="10"/>
  <c r="M314" i="10" s="1"/>
  <c r="X313" i="10"/>
  <c r="Z313" i="10"/>
  <c r="AA313" i="10"/>
  <c r="J313" i="10"/>
  <c r="M313" i="10"/>
  <c r="X312" i="10"/>
  <c r="Z312" i="10"/>
  <c r="J312" i="10"/>
  <c r="M312" i="10" s="1"/>
  <c r="X311" i="10"/>
  <c r="Z311" i="10"/>
  <c r="AA311" i="10"/>
  <c r="J311" i="10"/>
  <c r="M311" i="10" s="1"/>
  <c r="X310" i="10"/>
  <c r="Z310" i="10"/>
  <c r="AA310" i="10"/>
  <c r="J310" i="10"/>
  <c r="M310" i="10"/>
  <c r="X309" i="10"/>
  <c r="Z309" i="10"/>
  <c r="AA309" i="10"/>
  <c r="J309" i="10"/>
  <c r="M309" i="10"/>
  <c r="X308" i="10"/>
  <c r="AA308" i="10" s="1"/>
  <c r="Z308" i="10"/>
  <c r="J308" i="10"/>
  <c r="M308" i="10"/>
  <c r="X307" i="10"/>
  <c r="AA307" i="10" s="1"/>
  <c r="Z307" i="10"/>
  <c r="J307" i="10"/>
  <c r="M307" i="10"/>
  <c r="X306" i="10"/>
  <c r="AA306" i="10" s="1"/>
  <c r="Z306" i="10"/>
  <c r="J306" i="10"/>
  <c r="M306" i="10" s="1"/>
  <c r="X305" i="10"/>
  <c r="Z305" i="10"/>
  <c r="AA305" i="10"/>
  <c r="J305" i="10"/>
  <c r="M305" i="10"/>
  <c r="X304" i="10"/>
  <c r="Z304" i="10"/>
  <c r="J304" i="10"/>
  <c r="M304" i="10"/>
  <c r="X303" i="10"/>
  <c r="AA303" i="10" s="1"/>
  <c r="Z303" i="10"/>
  <c r="J303" i="10"/>
  <c r="M303" i="10" s="1"/>
  <c r="X302" i="10"/>
  <c r="Z302" i="10"/>
  <c r="AA302" i="10"/>
  <c r="J302" i="10"/>
  <c r="M302" i="10"/>
  <c r="X301" i="10"/>
  <c r="Z301" i="10"/>
  <c r="AA301" i="10"/>
  <c r="J301" i="10"/>
  <c r="M301" i="10"/>
  <c r="X300" i="10"/>
  <c r="Z300" i="10"/>
  <c r="AA300" i="10"/>
  <c r="J300" i="10"/>
  <c r="M300" i="10"/>
  <c r="X299" i="10"/>
  <c r="Z299" i="10"/>
  <c r="AA299" i="10"/>
  <c r="J299" i="10"/>
  <c r="M299" i="10"/>
  <c r="X298" i="10"/>
  <c r="Z298" i="10"/>
  <c r="AA298" i="10"/>
  <c r="J298" i="10"/>
  <c r="M298" i="10" s="1"/>
  <c r="X297" i="10"/>
  <c r="Z297" i="10"/>
  <c r="AA297" i="10"/>
  <c r="J297" i="10"/>
  <c r="M297" i="10"/>
  <c r="X296" i="10"/>
  <c r="Z296" i="10"/>
  <c r="J296" i="10"/>
  <c r="M296" i="10"/>
  <c r="X295" i="10"/>
  <c r="Z295" i="10"/>
  <c r="AA295" i="10"/>
  <c r="J295" i="10"/>
  <c r="M295" i="10"/>
  <c r="X294" i="10"/>
  <c r="Z294" i="10"/>
  <c r="AA294" i="10" s="1"/>
  <c r="J294" i="10"/>
  <c r="M294" i="10"/>
  <c r="X293" i="10"/>
  <c r="Z293" i="10"/>
  <c r="AA293" i="10"/>
  <c r="J293" i="10"/>
  <c r="M293" i="10"/>
  <c r="X292" i="10"/>
  <c r="AA292" i="10" s="1"/>
  <c r="Z292" i="10"/>
  <c r="J292" i="10"/>
  <c r="M292" i="10" s="1"/>
  <c r="X291" i="10"/>
  <c r="AA291" i="10" s="1"/>
  <c r="Z291" i="10"/>
  <c r="J291" i="10"/>
  <c r="M291" i="10"/>
  <c r="X290" i="10"/>
  <c r="AA290" i="10" s="1"/>
  <c r="Z290" i="10"/>
  <c r="J290" i="10"/>
  <c r="M290" i="10" s="1"/>
  <c r="X289" i="10"/>
  <c r="AA289" i="10" s="1"/>
  <c r="Z289" i="10"/>
  <c r="J289" i="10"/>
  <c r="M289" i="10"/>
  <c r="X288" i="10"/>
  <c r="Z288" i="10"/>
  <c r="J288" i="10"/>
  <c r="M288" i="10"/>
  <c r="X287" i="10"/>
  <c r="Z287" i="10"/>
  <c r="AA287" i="10"/>
  <c r="J287" i="10"/>
  <c r="M287" i="10"/>
  <c r="X286" i="10"/>
  <c r="Z286" i="10"/>
  <c r="AA286" i="10"/>
  <c r="J286" i="10"/>
  <c r="M286" i="10"/>
  <c r="X285" i="10"/>
  <c r="Z285" i="10"/>
  <c r="AA285" i="10"/>
  <c r="J285" i="10"/>
  <c r="M285" i="10" s="1"/>
  <c r="X284" i="10"/>
  <c r="Z284" i="10"/>
  <c r="J284" i="10"/>
  <c r="M284" i="10" s="1"/>
  <c r="X283" i="10"/>
  <c r="Z283" i="10"/>
  <c r="AA283" i="10"/>
  <c r="J283" i="10"/>
  <c r="M283" i="10"/>
  <c r="X282" i="10"/>
  <c r="Z282" i="10"/>
  <c r="AA282" i="10"/>
  <c r="J282" i="10"/>
  <c r="M282" i="10" s="1"/>
  <c r="X281" i="10"/>
  <c r="Z281" i="10"/>
  <c r="J281" i="10"/>
  <c r="M281" i="10"/>
  <c r="X280" i="10"/>
  <c r="Z280" i="10"/>
  <c r="J280" i="10"/>
  <c r="M280" i="10"/>
  <c r="X279" i="10"/>
  <c r="AA279" i="10" s="1"/>
  <c r="Z279" i="10"/>
  <c r="J279" i="10"/>
  <c r="M279" i="10" s="1"/>
  <c r="X278" i="10"/>
  <c r="Z278" i="10"/>
  <c r="AA278" i="10"/>
  <c r="J278" i="10"/>
  <c r="M278" i="10"/>
  <c r="X277" i="10"/>
  <c r="Z277" i="10"/>
  <c r="AA277" i="10"/>
  <c r="J277" i="10"/>
  <c r="M277" i="10"/>
  <c r="X276" i="10"/>
  <c r="AA276" i="10" s="1"/>
  <c r="Z276" i="10"/>
  <c r="J276" i="10"/>
  <c r="M276" i="10"/>
  <c r="X275" i="10"/>
  <c r="AA275" i="10" s="1"/>
  <c r="Z275" i="10"/>
  <c r="J275" i="10"/>
  <c r="M275" i="10"/>
  <c r="X274" i="10"/>
  <c r="Z274" i="10"/>
  <c r="AA274" i="10"/>
  <c r="J274" i="10"/>
  <c r="M274" i="10" s="1"/>
  <c r="X273" i="10"/>
  <c r="AA273" i="10" s="1"/>
  <c r="Z273" i="10"/>
  <c r="J273" i="10"/>
  <c r="M273" i="10"/>
  <c r="X272" i="10"/>
  <c r="Z272" i="10"/>
  <c r="J272" i="10"/>
  <c r="M272" i="10"/>
  <c r="X271" i="10"/>
  <c r="AA271" i="10" s="1"/>
  <c r="Z271" i="10"/>
  <c r="J271" i="10"/>
  <c r="M271" i="10"/>
  <c r="X270" i="10"/>
  <c r="Z270" i="10"/>
  <c r="AA270" i="10"/>
  <c r="J270" i="10"/>
  <c r="M270" i="10"/>
  <c r="X269" i="10"/>
  <c r="AA269" i="10" s="1"/>
  <c r="Z269" i="10"/>
  <c r="J269" i="10"/>
  <c r="M269" i="10"/>
  <c r="X268" i="10"/>
  <c r="AA268" i="10" s="1"/>
  <c r="Z268" i="10"/>
  <c r="J268" i="10"/>
  <c r="M268" i="10"/>
  <c r="X267" i="10"/>
  <c r="AA267" i="10" s="1"/>
  <c r="Z267" i="10"/>
  <c r="J267" i="10"/>
  <c r="M267" i="10" s="1"/>
  <c r="X266" i="10"/>
  <c r="AA266" i="10" s="1"/>
  <c r="Z266" i="10"/>
  <c r="J266" i="10"/>
  <c r="M266" i="10" s="1"/>
  <c r="X265" i="10"/>
  <c r="AA265" i="10" s="1"/>
  <c r="Z265" i="10"/>
  <c r="J265" i="10"/>
  <c r="M265" i="10"/>
  <c r="X264" i="10"/>
  <c r="Z264" i="10"/>
  <c r="J264" i="10"/>
  <c r="M264" i="10"/>
  <c r="X263" i="10"/>
  <c r="Z263" i="10"/>
  <c r="AA263" i="10"/>
  <c r="J263" i="10"/>
  <c r="M263" i="10" s="1"/>
  <c r="X262" i="10"/>
  <c r="Z262" i="10"/>
  <c r="AA262" i="10"/>
  <c r="J262" i="10"/>
  <c r="M262" i="10" s="1"/>
  <c r="X261" i="10"/>
  <c r="Z261" i="10"/>
  <c r="J261" i="10"/>
  <c r="M261" i="10"/>
  <c r="X260" i="10"/>
  <c r="AA260" i="10" s="1"/>
  <c r="Z260" i="10"/>
  <c r="J260" i="10"/>
  <c r="M260" i="10"/>
  <c r="X259" i="10"/>
  <c r="AA259" i="10" s="1"/>
  <c r="Z259" i="10"/>
  <c r="J259" i="10"/>
  <c r="M259" i="10" s="1"/>
  <c r="X258" i="10"/>
  <c r="Z258" i="10"/>
  <c r="AA258" i="10" s="1"/>
  <c r="J258" i="10"/>
  <c r="M258" i="10" s="1"/>
  <c r="X257" i="10"/>
  <c r="AA257" i="10" s="1"/>
  <c r="Z257" i="10"/>
  <c r="J257" i="10"/>
  <c r="M257" i="10" s="1"/>
  <c r="X256" i="10"/>
  <c r="Z256" i="10"/>
  <c r="AA256" i="10"/>
  <c r="J256" i="10"/>
  <c r="M256" i="10" s="1"/>
  <c r="X255" i="10"/>
  <c r="AA255" i="10" s="1"/>
  <c r="Z255" i="10"/>
  <c r="J255" i="10"/>
  <c r="M255" i="10" s="1"/>
  <c r="X254" i="10"/>
  <c r="AA254" i="10" s="1"/>
  <c r="Z254" i="10"/>
  <c r="J254" i="10"/>
  <c r="M254" i="10" s="1"/>
  <c r="X253" i="10"/>
  <c r="AA253" i="10" s="1"/>
  <c r="Z253" i="10"/>
  <c r="J253" i="10"/>
  <c r="M253" i="10"/>
  <c r="X252" i="10"/>
  <c r="Z252" i="10"/>
  <c r="J252" i="10"/>
  <c r="M252" i="10" s="1"/>
  <c r="X251" i="10"/>
  <c r="Z251" i="10"/>
  <c r="AA251" i="10"/>
  <c r="J251" i="10"/>
  <c r="M251" i="10"/>
  <c r="X250" i="10"/>
  <c r="Z250" i="10"/>
  <c r="AA250" i="10" s="1"/>
  <c r="J250" i="10"/>
  <c r="M250" i="10" s="1"/>
  <c r="X249" i="10"/>
  <c r="Z249" i="10"/>
  <c r="J249" i="10"/>
  <c r="M249" i="10" s="1"/>
  <c r="X248" i="10"/>
  <c r="Z248" i="10"/>
  <c r="J248" i="10"/>
  <c r="M248" i="10" s="1"/>
  <c r="X247" i="10"/>
  <c r="Z247" i="10"/>
  <c r="J247" i="10"/>
  <c r="M247" i="10" s="1"/>
  <c r="X246" i="10"/>
  <c r="Z246" i="10"/>
  <c r="J246" i="10"/>
  <c r="M246" i="10" s="1"/>
  <c r="X245" i="10"/>
  <c r="Z245" i="10"/>
  <c r="J245" i="10"/>
  <c r="M245" i="10"/>
  <c r="X244" i="10"/>
  <c r="AA244" i="10" s="1"/>
  <c r="Z244" i="10"/>
  <c r="J244" i="10"/>
  <c r="M244" i="10" s="1"/>
  <c r="X243" i="10"/>
  <c r="AA243" i="10" s="1"/>
  <c r="Z243" i="10"/>
  <c r="J243" i="10"/>
  <c r="M243" i="10"/>
  <c r="X242" i="10"/>
  <c r="Z242" i="10"/>
  <c r="AA242" i="10" s="1"/>
  <c r="J242" i="10"/>
  <c r="M242" i="10" s="1"/>
  <c r="X241" i="10"/>
  <c r="Z241" i="10"/>
  <c r="J241" i="10"/>
  <c r="M241" i="10" s="1"/>
  <c r="X240" i="10"/>
  <c r="Z240" i="10"/>
  <c r="J240" i="10"/>
  <c r="M240" i="10"/>
  <c r="X239" i="10"/>
  <c r="AA239" i="10" s="1"/>
  <c r="Z239" i="10"/>
  <c r="J239" i="10"/>
  <c r="M239" i="10"/>
  <c r="X238" i="10"/>
  <c r="AA238" i="10" s="1"/>
  <c r="Z238" i="10"/>
  <c r="J238" i="10"/>
  <c r="M238" i="10" s="1"/>
  <c r="X237" i="10"/>
  <c r="Z237" i="10"/>
  <c r="J237" i="10"/>
  <c r="M237" i="10"/>
  <c r="X236" i="10"/>
  <c r="AA236" i="10" s="1"/>
  <c r="Z236" i="10"/>
  <c r="J236" i="10"/>
  <c r="M236" i="10"/>
  <c r="X235" i="10"/>
  <c r="AA235" i="10" s="1"/>
  <c r="Z235" i="10"/>
  <c r="J235" i="10"/>
  <c r="M235" i="10" s="1"/>
  <c r="X234" i="10"/>
  <c r="Z234" i="10"/>
  <c r="AA234" i="10" s="1"/>
  <c r="J234" i="10"/>
  <c r="M234" i="10"/>
  <c r="X233" i="10"/>
  <c r="Z233" i="10"/>
  <c r="AA233" i="10"/>
  <c r="J233" i="10"/>
  <c r="M233" i="10"/>
  <c r="X232" i="10"/>
  <c r="Z232" i="10"/>
  <c r="AA232" i="10" s="1"/>
  <c r="J232" i="10"/>
  <c r="M232" i="10"/>
  <c r="X231" i="10"/>
  <c r="Z231" i="10"/>
  <c r="AA231" i="10"/>
  <c r="J231" i="10"/>
  <c r="M231" i="10"/>
  <c r="X230" i="10"/>
  <c r="Z230" i="10"/>
  <c r="AA230" i="10"/>
  <c r="J230" i="10"/>
  <c r="M230" i="10" s="1"/>
  <c r="X229" i="10"/>
  <c r="Z229" i="10"/>
  <c r="AA229" i="10" s="1"/>
  <c r="J229" i="10"/>
  <c r="M229" i="10"/>
  <c r="X228" i="10"/>
  <c r="Z228" i="10"/>
  <c r="J228" i="10"/>
  <c r="M228" i="10"/>
  <c r="X227" i="10"/>
  <c r="AA227" i="10" s="1"/>
  <c r="Z227" i="10"/>
  <c r="J227" i="10"/>
  <c r="M227" i="10"/>
  <c r="X226" i="10"/>
  <c r="Z226" i="10"/>
  <c r="AA226" i="10"/>
  <c r="J226" i="10"/>
  <c r="M226" i="10" s="1"/>
  <c r="X225" i="10"/>
  <c r="AA225" i="10" s="1"/>
  <c r="Z225" i="10"/>
  <c r="J225" i="10"/>
  <c r="M225" i="10" s="1"/>
  <c r="X224" i="10"/>
  <c r="Z224" i="10"/>
  <c r="AA224" i="10"/>
  <c r="J224" i="10"/>
  <c r="M224" i="10" s="1"/>
  <c r="X223" i="10"/>
  <c r="AA223" i="10" s="1"/>
  <c r="Z223" i="10"/>
  <c r="J223" i="10"/>
  <c r="M223" i="10" s="1"/>
  <c r="X222" i="10"/>
  <c r="AA222" i="10" s="1"/>
  <c r="Z222" i="10"/>
  <c r="J222" i="10"/>
  <c r="M222" i="10" s="1"/>
  <c r="X221" i="10"/>
  <c r="AA221" i="10" s="1"/>
  <c r="Z221" i="10"/>
  <c r="J221" i="10"/>
  <c r="M221" i="10"/>
  <c r="X220" i="10"/>
  <c r="Z220" i="10"/>
  <c r="J220" i="10"/>
  <c r="M220" i="10" s="1"/>
  <c r="X219" i="10"/>
  <c r="Z219" i="10"/>
  <c r="AA219" i="10"/>
  <c r="J219" i="10"/>
  <c r="M219" i="10"/>
  <c r="X218" i="10"/>
  <c r="Z218" i="10"/>
  <c r="AA218" i="10" s="1"/>
  <c r="J218" i="10"/>
  <c r="M218" i="10" s="1"/>
  <c r="X217" i="10"/>
  <c r="Z217" i="10"/>
  <c r="J217" i="10"/>
  <c r="M217" i="10" s="1"/>
  <c r="X216" i="10"/>
  <c r="Z216" i="10"/>
  <c r="J216" i="10"/>
  <c r="M216" i="10" s="1"/>
  <c r="X215" i="10"/>
  <c r="Z215" i="10"/>
  <c r="J215" i="10"/>
  <c r="M215" i="10" s="1"/>
  <c r="X214" i="10"/>
  <c r="Z214" i="10"/>
  <c r="J214" i="10"/>
  <c r="M214" i="10" s="1"/>
  <c r="X213" i="10"/>
  <c r="Z213" i="10"/>
  <c r="J213" i="10"/>
  <c r="M213" i="10"/>
  <c r="X212" i="10"/>
  <c r="AA212" i="10" s="1"/>
  <c r="Z212" i="10"/>
  <c r="J212" i="10"/>
  <c r="M212" i="10" s="1"/>
  <c r="X211" i="10"/>
  <c r="AA211" i="10" s="1"/>
  <c r="Z211" i="10"/>
  <c r="J211" i="10"/>
  <c r="M211" i="10"/>
  <c r="X210" i="10"/>
  <c r="Z210" i="10"/>
  <c r="AA210" i="10" s="1"/>
  <c r="J210" i="10"/>
  <c r="M210" i="10" s="1"/>
  <c r="X209" i="10"/>
  <c r="Z209" i="10"/>
  <c r="J209" i="10"/>
  <c r="M209" i="10" s="1"/>
  <c r="X208" i="10"/>
  <c r="Z208" i="10"/>
  <c r="J208" i="10"/>
  <c r="M208" i="10"/>
  <c r="X207" i="10"/>
  <c r="AA207" i="10" s="1"/>
  <c r="Z207" i="10"/>
  <c r="J207" i="10"/>
  <c r="M207" i="10"/>
  <c r="X206" i="10"/>
  <c r="AA206" i="10" s="1"/>
  <c r="Z206" i="10"/>
  <c r="J206" i="10"/>
  <c r="M206" i="10" s="1"/>
  <c r="X205" i="10"/>
  <c r="Z205" i="10"/>
  <c r="J205" i="10"/>
  <c r="M205" i="10"/>
  <c r="X204" i="10"/>
  <c r="AA204" i="10" s="1"/>
  <c r="Z204" i="10"/>
  <c r="J204" i="10"/>
  <c r="M204" i="10"/>
  <c r="X203" i="10"/>
  <c r="AA203" i="10" s="1"/>
  <c r="Z203" i="10"/>
  <c r="J203" i="10"/>
  <c r="M203" i="10" s="1"/>
  <c r="X202" i="10"/>
  <c r="Z202" i="10"/>
  <c r="AA202" i="10" s="1"/>
  <c r="J202" i="10"/>
  <c r="M202" i="10"/>
  <c r="X201" i="10"/>
  <c r="Z201" i="10"/>
  <c r="AA201" i="10"/>
  <c r="J201" i="10"/>
  <c r="M201" i="10"/>
  <c r="X200" i="10"/>
  <c r="Z200" i="10"/>
  <c r="AA200" i="10" s="1"/>
  <c r="J200" i="10"/>
  <c r="M200" i="10"/>
  <c r="X199" i="10"/>
  <c r="Z199" i="10"/>
  <c r="AA199" i="10"/>
  <c r="J199" i="10"/>
  <c r="M199" i="10"/>
  <c r="X198" i="10"/>
  <c r="Z198" i="10"/>
  <c r="AA198" i="10"/>
  <c r="J198" i="10"/>
  <c r="M198" i="10" s="1"/>
  <c r="X197" i="10"/>
  <c r="Z197" i="10"/>
  <c r="AA197" i="10" s="1"/>
  <c r="J197" i="10"/>
  <c r="M197" i="10"/>
  <c r="X196" i="10"/>
  <c r="Z196" i="10"/>
  <c r="J196" i="10"/>
  <c r="M196" i="10"/>
  <c r="X195" i="10"/>
  <c r="AA195" i="10" s="1"/>
  <c r="Z195" i="10"/>
  <c r="J195" i="10"/>
  <c r="M195" i="10"/>
  <c r="X194" i="10"/>
  <c r="Z194" i="10"/>
  <c r="AA194" i="10"/>
  <c r="J194" i="10"/>
  <c r="M194" i="10" s="1"/>
  <c r="X193" i="10"/>
  <c r="AA193" i="10" s="1"/>
  <c r="Z193" i="10"/>
  <c r="J193" i="10"/>
  <c r="M193" i="10" s="1"/>
  <c r="X192" i="10"/>
  <c r="Z192" i="10"/>
  <c r="AA192" i="10"/>
  <c r="J192" i="10"/>
  <c r="M192" i="10" s="1"/>
  <c r="X191" i="10"/>
  <c r="AA191" i="10" s="1"/>
  <c r="Z191" i="10"/>
  <c r="J191" i="10"/>
  <c r="M191" i="10" s="1"/>
  <c r="X190" i="10"/>
  <c r="AA190" i="10" s="1"/>
  <c r="Z190" i="10"/>
  <c r="J190" i="10"/>
  <c r="M190" i="10" s="1"/>
  <c r="X189" i="10"/>
  <c r="AA189" i="10" s="1"/>
  <c r="Z189" i="10"/>
  <c r="J189" i="10"/>
  <c r="M189" i="10"/>
  <c r="X188" i="10"/>
  <c r="Z188" i="10"/>
  <c r="J188" i="10"/>
  <c r="M188" i="10" s="1"/>
  <c r="X187" i="10"/>
  <c r="Z187" i="10"/>
  <c r="AA187" i="10"/>
  <c r="J187" i="10"/>
  <c r="M187" i="10"/>
  <c r="X186" i="10"/>
  <c r="Z186" i="10"/>
  <c r="AA186" i="10" s="1"/>
  <c r="J186" i="10"/>
  <c r="M186" i="10" s="1"/>
  <c r="X185" i="10"/>
  <c r="Z185" i="10"/>
  <c r="J185" i="10"/>
  <c r="M185" i="10" s="1"/>
  <c r="X184" i="10"/>
  <c r="Z184" i="10"/>
  <c r="J184" i="10"/>
  <c r="M184" i="10" s="1"/>
  <c r="X183" i="10"/>
  <c r="Z183" i="10"/>
  <c r="J183" i="10"/>
  <c r="M183" i="10" s="1"/>
  <c r="X182" i="10"/>
  <c r="Z182" i="10"/>
  <c r="J182" i="10"/>
  <c r="M182" i="10" s="1"/>
  <c r="X181" i="10"/>
  <c r="Z181" i="10"/>
  <c r="J181" i="10"/>
  <c r="M181" i="10"/>
  <c r="X180" i="10"/>
  <c r="AA180" i="10" s="1"/>
  <c r="Z180" i="10"/>
  <c r="J180" i="10"/>
  <c r="M180" i="10" s="1"/>
  <c r="X179" i="10"/>
  <c r="AA179" i="10" s="1"/>
  <c r="Z179" i="10"/>
  <c r="J179" i="10"/>
  <c r="M179" i="10"/>
  <c r="X178" i="10"/>
  <c r="Z178" i="10"/>
  <c r="AA178" i="10" s="1"/>
  <c r="J178" i="10"/>
  <c r="M178" i="10" s="1"/>
  <c r="X177" i="10"/>
  <c r="Z177" i="10"/>
  <c r="J177" i="10"/>
  <c r="M177" i="10" s="1"/>
  <c r="X176" i="10"/>
  <c r="Z176" i="10"/>
  <c r="J176" i="10"/>
  <c r="M176" i="10"/>
  <c r="X175" i="10"/>
  <c r="AA175" i="10" s="1"/>
  <c r="Z175" i="10"/>
  <c r="J175" i="10"/>
  <c r="M175" i="10"/>
  <c r="X174" i="10"/>
  <c r="AA174" i="10" s="1"/>
  <c r="Z174" i="10"/>
  <c r="J174" i="10"/>
  <c r="M174" i="10" s="1"/>
  <c r="X173" i="10"/>
  <c r="Z173" i="10"/>
  <c r="J173" i="10"/>
  <c r="M173" i="10"/>
  <c r="X172" i="10"/>
  <c r="AA172" i="10" s="1"/>
  <c r="Z172" i="10"/>
  <c r="J172" i="10"/>
  <c r="M172" i="10"/>
  <c r="X171" i="10"/>
  <c r="AA171" i="10" s="1"/>
  <c r="Z171" i="10"/>
  <c r="J171" i="10"/>
  <c r="M171" i="10" s="1"/>
  <c r="X170" i="10"/>
  <c r="Z170" i="10"/>
  <c r="AA170" i="10" s="1"/>
  <c r="J170" i="10"/>
  <c r="M170" i="10"/>
  <c r="X169" i="10"/>
  <c r="Z169" i="10"/>
  <c r="AA169" i="10"/>
  <c r="J169" i="10"/>
  <c r="M169" i="10"/>
  <c r="X168" i="10"/>
  <c r="Z168" i="10"/>
  <c r="AA168" i="10" s="1"/>
  <c r="J168" i="10"/>
  <c r="M168" i="10"/>
  <c r="X167" i="10"/>
  <c r="Z167" i="10"/>
  <c r="AA167" i="10"/>
  <c r="J167" i="10"/>
  <c r="M167" i="10"/>
  <c r="X166" i="10"/>
  <c r="Z166" i="10"/>
  <c r="AA166" i="10"/>
  <c r="J166" i="10"/>
  <c r="M166" i="10" s="1"/>
  <c r="X165" i="10"/>
  <c r="Z165" i="10"/>
  <c r="AA165" i="10" s="1"/>
  <c r="J165" i="10"/>
  <c r="M165" i="10"/>
  <c r="X164" i="10"/>
  <c r="Z164" i="10"/>
  <c r="J164" i="10"/>
  <c r="M164" i="10"/>
  <c r="X163" i="10"/>
  <c r="AA163" i="10" s="1"/>
  <c r="Z163" i="10"/>
  <c r="J163" i="10"/>
  <c r="M163" i="10"/>
  <c r="X162" i="10"/>
  <c r="Z162" i="10"/>
  <c r="AA162" i="10"/>
  <c r="J162" i="10"/>
  <c r="M162" i="10" s="1"/>
  <c r="X161" i="10"/>
  <c r="AA161" i="10" s="1"/>
  <c r="Z161" i="10"/>
  <c r="J161" i="10"/>
  <c r="M161" i="10" s="1"/>
  <c r="X160" i="10"/>
  <c r="Z160" i="10"/>
  <c r="AA160" i="10"/>
  <c r="J160" i="10"/>
  <c r="M160" i="10" s="1"/>
  <c r="X159" i="10"/>
  <c r="AA159" i="10" s="1"/>
  <c r="Z159" i="10"/>
  <c r="J159" i="10"/>
  <c r="M159" i="10" s="1"/>
  <c r="X158" i="10"/>
  <c r="AA158" i="10" s="1"/>
  <c r="Z158" i="10"/>
  <c r="J158" i="10"/>
  <c r="M158" i="10" s="1"/>
  <c r="X157" i="10"/>
  <c r="AA157" i="10" s="1"/>
  <c r="Z157" i="10"/>
  <c r="J157" i="10"/>
  <c r="M157" i="10"/>
  <c r="X156" i="10"/>
  <c r="Z156" i="10"/>
  <c r="J156" i="10"/>
  <c r="M156" i="10" s="1"/>
  <c r="X155" i="10"/>
  <c r="Z155" i="10"/>
  <c r="AA155" i="10"/>
  <c r="J155" i="10"/>
  <c r="M155" i="10"/>
  <c r="X154" i="10"/>
  <c r="Z154" i="10"/>
  <c r="AA154" i="10" s="1"/>
  <c r="J154" i="10"/>
  <c r="M154" i="10" s="1"/>
  <c r="X153" i="10"/>
  <c r="Z153" i="10"/>
  <c r="J153" i="10"/>
  <c r="M153" i="10" s="1"/>
  <c r="X152" i="10"/>
  <c r="Z152" i="10"/>
  <c r="J152" i="10"/>
  <c r="M152" i="10" s="1"/>
  <c r="X151" i="10"/>
  <c r="Z151" i="10"/>
  <c r="J151" i="10"/>
  <c r="M151" i="10" s="1"/>
  <c r="X150" i="10"/>
  <c r="Z150" i="10"/>
  <c r="J150" i="10"/>
  <c r="M150" i="10" s="1"/>
  <c r="X149" i="10"/>
  <c r="Z149" i="10"/>
  <c r="J149" i="10"/>
  <c r="M149" i="10"/>
  <c r="X148" i="10"/>
  <c r="AA148" i="10" s="1"/>
  <c r="Z148" i="10"/>
  <c r="J148" i="10"/>
  <c r="M148" i="10" s="1"/>
  <c r="X147" i="10"/>
  <c r="AA147" i="10" s="1"/>
  <c r="Z147" i="10"/>
  <c r="J147" i="10"/>
  <c r="M147" i="10"/>
  <c r="X146" i="10"/>
  <c r="Z146" i="10"/>
  <c r="AA146" i="10" s="1"/>
  <c r="J146" i="10"/>
  <c r="M146" i="10" s="1"/>
  <c r="X145" i="10"/>
  <c r="Z145" i="10"/>
  <c r="J145" i="10"/>
  <c r="M145" i="10" s="1"/>
  <c r="X144" i="10"/>
  <c r="Z144" i="10"/>
  <c r="J144" i="10"/>
  <c r="M144" i="10"/>
  <c r="X143" i="10"/>
  <c r="AA143" i="10" s="1"/>
  <c r="Z143" i="10"/>
  <c r="J143" i="10"/>
  <c r="M143" i="10"/>
  <c r="X142" i="10"/>
  <c r="AA142" i="10" s="1"/>
  <c r="Z142" i="10"/>
  <c r="J142" i="10"/>
  <c r="M142" i="10" s="1"/>
  <c r="X141" i="10"/>
  <c r="Z141" i="10"/>
  <c r="J141" i="10"/>
  <c r="M141" i="10"/>
  <c r="X140" i="10"/>
  <c r="AA140" i="10" s="1"/>
  <c r="Z140" i="10"/>
  <c r="J140" i="10"/>
  <c r="M140" i="10"/>
  <c r="X139" i="10"/>
  <c r="AA139" i="10" s="1"/>
  <c r="Z139" i="10"/>
  <c r="J139" i="10"/>
  <c r="M139" i="10" s="1"/>
  <c r="X138" i="10"/>
  <c r="Z138" i="10"/>
  <c r="AA138" i="10" s="1"/>
  <c r="J138" i="10"/>
  <c r="M138" i="10"/>
  <c r="X137" i="10"/>
  <c r="Z137" i="10"/>
  <c r="AA137" i="10"/>
  <c r="J137" i="10"/>
  <c r="M137" i="10"/>
  <c r="X136" i="10"/>
  <c r="Z136" i="10"/>
  <c r="AA136" i="10" s="1"/>
  <c r="J136" i="10"/>
  <c r="M136" i="10"/>
  <c r="X135" i="10"/>
  <c r="Z135" i="10"/>
  <c r="AA135" i="10"/>
  <c r="J135" i="10"/>
  <c r="M135" i="10"/>
  <c r="X134" i="10"/>
  <c r="Z134" i="10"/>
  <c r="AA134" i="10"/>
  <c r="J134" i="10"/>
  <c r="M134" i="10" s="1"/>
  <c r="X133" i="10"/>
  <c r="Z133" i="10"/>
  <c r="AA133" i="10" s="1"/>
  <c r="J133" i="10"/>
  <c r="M133" i="10"/>
  <c r="X132" i="10"/>
  <c r="Z132" i="10"/>
  <c r="J132" i="10"/>
  <c r="M132" i="10"/>
  <c r="X131" i="10"/>
  <c r="AA131" i="10" s="1"/>
  <c r="Z131" i="10"/>
  <c r="J131" i="10"/>
  <c r="M131" i="10"/>
  <c r="X130" i="10"/>
  <c r="Z130" i="10"/>
  <c r="AA130" i="10"/>
  <c r="J130" i="10"/>
  <c r="M130" i="10" s="1"/>
  <c r="X129" i="10"/>
  <c r="AA129" i="10" s="1"/>
  <c r="Z129" i="10"/>
  <c r="J129" i="10"/>
  <c r="M129" i="10" s="1"/>
  <c r="X128" i="10"/>
  <c r="Z128" i="10"/>
  <c r="AA128" i="10"/>
  <c r="J128" i="10"/>
  <c r="M128" i="10" s="1"/>
  <c r="X127" i="10"/>
  <c r="AA127" i="10" s="1"/>
  <c r="Z127" i="10"/>
  <c r="J127" i="10"/>
  <c r="M127" i="10" s="1"/>
  <c r="X126" i="10"/>
  <c r="AA126" i="10" s="1"/>
  <c r="Z126" i="10"/>
  <c r="J126" i="10"/>
  <c r="M126" i="10" s="1"/>
  <c r="X125" i="10"/>
  <c r="AA125" i="10" s="1"/>
  <c r="Z125" i="10"/>
  <c r="J125" i="10"/>
  <c r="M125" i="10"/>
  <c r="X124" i="10"/>
  <c r="Z124" i="10"/>
  <c r="J124" i="10"/>
  <c r="M124" i="10" s="1"/>
  <c r="X123" i="10"/>
  <c r="Z123" i="10"/>
  <c r="AA123" i="10"/>
  <c r="J123" i="10"/>
  <c r="M123" i="10"/>
  <c r="X122" i="10"/>
  <c r="Z122" i="10"/>
  <c r="AA122" i="10" s="1"/>
  <c r="J122" i="10"/>
  <c r="M122" i="10" s="1"/>
  <c r="X121" i="10"/>
  <c r="Z121" i="10"/>
  <c r="J121" i="10"/>
  <c r="M121" i="10" s="1"/>
  <c r="X120" i="10"/>
  <c r="Z120" i="10"/>
  <c r="J120" i="10"/>
  <c r="M120" i="10" s="1"/>
  <c r="X119" i="10"/>
  <c r="Z119" i="10"/>
  <c r="J119" i="10"/>
  <c r="M119" i="10" s="1"/>
  <c r="X118" i="10"/>
  <c r="Z118" i="10"/>
  <c r="J118" i="10"/>
  <c r="M118" i="10" s="1"/>
  <c r="X117" i="10"/>
  <c r="Z117" i="10"/>
  <c r="J117" i="10"/>
  <c r="M117" i="10"/>
  <c r="X116" i="10"/>
  <c r="AA116" i="10" s="1"/>
  <c r="Z116" i="10"/>
  <c r="J116" i="10"/>
  <c r="M116" i="10" s="1"/>
  <c r="X115" i="10"/>
  <c r="AA115" i="10" s="1"/>
  <c r="Z115" i="10"/>
  <c r="J115" i="10"/>
  <c r="M115" i="10"/>
  <c r="X114" i="10"/>
  <c r="Z114" i="10"/>
  <c r="AA114" i="10" s="1"/>
  <c r="J114" i="10"/>
  <c r="M114" i="10" s="1"/>
  <c r="X113" i="10"/>
  <c r="Z113" i="10"/>
  <c r="J113" i="10"/>
  <c r="M113" i="10" s="1"/>
  <c r="X112" i="10"/>
  <c r="Z112" i="10"/>
  <c r="J112" i="10"/>
  <c r="M112" i="10"/>
  <c r="X111" i="10"/>
  <c r="AA111" i="10" s="1"/>
  <c r="Z111" i="10"/>
  <c r="J111" i="10"/>
  <c r="M111" i="10"/>
  <c r="X110" i="10"/>
  <c r="AA110" i="10" s="1"/>
  <c r="Z110" i="10"/>
  <c r="J110" i="10"/>
  <c r="M110" i="10" s="1"/>
  <c r="X109" i="10"/>
  <c r="Z109" i="10"/>
  <c r="J109" i="10"/>
  <c r="M109" i="10"/>
  <c r="X108" i="10"/>
  <c r="AA108" i="10" s="1"/>
  <c r="Z108" i="10"/>
  <c r="J108" i="10"/>
  <c r="M108" i="10"/>
  <c r="X107" i="10"/>
  <c r="AA107" i="10" s="1"/>
  <c r="Z107" i="10"/>
  <c r="J107" i="10"/>
  <c r="M107" i="10" s="1"/>
  <c r="X106" i="10"/>
  <c r="Z106" i="10"/>
  <c r="AA106" i="10" s="1"/>
  <c r="J106" i="10"/>
  <c r="M106" i="10"/>
  <c r="X105" i="10"/>
  <c r="Z105" i="10"/>
  <c r="AA105" i="10"/>
  <c r="J105" i="10"/>
  <c r="M105" i="10"/>
  <c r="X104" i="10"/>
  <c r="Z104" i="10"/>
  <c r="AA104" i="10" s="1"/>
  <c r="J104" i="10"/>
  <c r="M104" i="10"/>
  <c r="X103" i="10"/>
  <c r="Z103" i="10"/>
  <c r="AA103" i="10"/>
  <c r="J103" i="10"/>
  <c r="M103" i="10"/>
  <c r="X102" i="10"/>
  <c r="Z102" i="10"/>
  <c r="AA102" i="10"/>
  <c r="J102" i="10"/>
  <c r="M102" i="10" s="1"/>
  <c r="X101" i="10"/>
  <c r="Z101" i="10"/>
  <c r="AA101" i="10" s="1"/>
  <c r="J101" i="10"/>
  <c r="M101" i="10"/>
  <c r="X100" i="10"/>
  <c r="Z100" i="10"/>
  <c r="J100" i="10"/>
  <c r="M100" i="10"/>
  <c r="X99" i="10"/>
  <c r="AA99" i="10" s="1"/>
  <c r="Z99" i="10"/>
  <c r="J99" i="10"/>
  <c r="M99" i="10"/>
  <c r="X98" i="10"/>
  <c r="Z98" i="10"/>
  <c r="AA98" i="10"/>
  <c r="J98" i="10"/>
  <c r="M98" i="10" s="1"/>
  <c r="X97" i="10"/>
  <c r="AA97" i="10" s="1"/>
  <c r="Z97" i="10"/>
  <c r="J97" i="10"/>
  <c r="M97" i="10" s="1"/>
  <c r="X96" i="10"/>
  <c r="Z96" i="10"/>
  <c r="AA96" i="10"/>
  <c r="J96" i="10"/>
  <c r="M96" i="10" s="1"/>
  <c r="X95" i="10"/>
  <c r="AA95" i="10" s="1"/>
  <c r="Z95" i="10"/>
  <c r="J95" i="10"/>
  <c r="M95" i="10" s="1"/>
  <c r="X94" i="10"/>
  <c r="AA94" i="10" s="1"/>
  <c r="Z94" i="10"/>
  <c r="J94" i="10"/>
  <c r="M94" i="10" s="1"/>
  <c r="X93" i="10"/>
  <c r="AA93" i="10" s="1"/>
  <c r="Z93" i="10"/>
  <c r="J93" i="10"/>
  <c r="M93" i="10"/>
  <c r="X92" i="10"/>
  <c r="Z92" i="10"/>
  <c r="J92" i="10"/>
  <c r="M92" i="10" s="1"/>
  <c r="X91" i="10"/>
  <c r="Z91" i="10"/>
  <c r="AA91" i="10"/>
  <c r="J91" i="10"/>
  <c r="M91" i="10"/>
  <c r="X90" i="10"/>
  <c r="Z90" i="10"/>
  <c r="AA90" i="10" s="1"/>
  <c r="J90" i="10"/>
  <c r="M90" i="10" s="1"/>
  <c r="X89" i="10"/>
  <c r="Z89" i="10"/>
  <c r="J89" i="10"/>
  <c r="M89" i="10" s="1"/>
  <c r="X88" i="10"/>
  <c r="Z88" i="10"/>
  <c r="J88" i="10"/>
  <c r="M88" i="10" s="1"/>
  <c r="X87" i="10"/>
  <c r="Z87" i="10"/>
  <c r="J87" i="10"/>
  <c r="M87" i="10" s="1"/>
  <c r="X86" i="10"/>
  <c r="Z86" i="10"/>
  <c r="J86" i="10"/>
  <c r="M86" i="10" s="1"/>
  <c r="X85" i="10"/>
  <c r="Z85" i="10"/>
  <c r="J85" i="10"/>
  <c r="M85" i="10"/>
  <c r="X84" i="10"/>
  <c r="AA84" i="10" s="1"/>
  <c r="Z84" i="10"/>
  <c r="J84" i="10"/>
  <c r="M84" i="10" s="1"/>
  <c r="X83" i="10"/>
  <c r="AA83" i="10" s="1"/>
  <c r="Z83" i="10"/>
  <c r="J83" i="10"/>
  <c r="M83" i="10"/>
  <c r="X82" i="10"/>
  <c r="Z82" i="10"/>
  <c r="AA82" i="10" s="1"/>
  <c r="J82" i="10"/>
  <c r="M82" i="10" s="1"/>
  <c r="X81" i="10"/>
  <c r="Z81" i="10"/>
  <c r="J81" i="10"/>
  <c r="M81" i="10" s="1"/>
  <c r="X80" i="10"/>
  <c r="Z80" i="10"/>
  <c r="J80" i="10"/>
  <c r="M80" i="10"/>
  <c r="X79" i="10"/>
  <c r="AA79" i="10" s="1"/>
  <c r="Z79" i="10"/>
  <c r="J79" i="10"/>
  <c r="M79" i="10"/>
  <c r="X78" i="10"/>
  <c r="AA78" i="10" s="1"/>
  <c r="Z78" i="10"/>
  <c r="J78" i="10"/>
  <c r="M78" i="10" s="1"/>
  <c r="X77" i="10"/>
  <c r="Z77" i="10"/>
  <c r="J77" i="10"/>
  <c r="M77" i="10"/>
  <c r="X76" i="10"/>
  <c r="AA76" i="10" s="1"/>
  <c r="Z76" i="10"/>
  <c r="J76" i="10"/>
  <c r="M76" i="10"/>
  <c r="X75" i="10"/>
  <c r="AA75" i="10" s="1"/>
  <c r="Z75" i="10"/>
  <c r="J75" i="10"/>
  <c r="M75" i="10" s="1"/>
  <c r="X74" i="10"/>
  <c r="Z74" i="10"/>
  <c r="AA74" i="10" s="1"/>
  <c r="J74" i="10"/>
  <c r="M74" i="10"/>
  <c r="X73" i="10"/>
  <c r="Z73" i="10"/>
  <c r="AA73" i="10"/>
  <c r="J73" i="10"/>
  <c r="M73" i="10"/>
  <c r="X72" i="10"/>
  <c r="Z72" i="10"/>
  <c r="AA72" i="10" s="1"/>
  <c r="J72" i="10"/>
  <c r="M72" i="10"/>
  <c r="X71" i="10"/>
  <c r="Z71" i="10"/>
  <c r="AA71" i="10"/>
  <c r="J71" i="10"/>
  <c r="M71" i="10"/>
  <c r="X70" i="10"/>
  <c r="Z70" i="10"/>
  <c r="AA70" i="10"/>
  <c r="J70" i="10"/>
  <c r="M70" i="10" s="1"/>
  <c r="X69" i="10"/>
  <c r="Z69" i="10"/>
  <c r="AA69" i="10" s="1"/>
  <c r="J69" i="10"/>
  <c r="M69" i="10"/>
  <c r="X68" i="10"/>
  <c r="Z68" i="10"/>
  <c r="J68" i="10"/>
  <c r="M68" i="10"/>
  <c r="X67" i="10"/>
  <c r="AA67" i="10" s="1"/>
  <c r="Z67" i="10"/>
  <c r="J67" i="10"/>
  <c r="M67" i="10"/>
  <c r="X66" i="10"/>
  <c r="Z66" i="10"/>
  <c r="AA66" i="10"/>
  <c r="J66" i="10"/>
  <c r="M66" i="10" s="1"/>
  <c r="X65" i="10"/>
  <c r="AA65" i="10" s="1"/>
  <c r="Z65" i="10"/>
  <c r="J65" i="10"/>
  <c r="M65" i="10" s="1"/>
  <c r="X64" i="10"/>
  <c r="Z64" i="10"/>
  <c r="AA64" i="10"/>
  <c r="J64" i="10"/>
  <c r="M64" i="10" s="1"/>
  <c r="X63" i="10"/>
  <c r="AA63" i="10" s="1"/>
  <c r="Z63" i="10"/>
  <c r="J63" i="10"/>
  <c r="M63" i="10" s="1"/>
  <c r="X62" i="10"/>
  <c r="AA62" i="10" s="1"/>
  <c r="Z62" i="10"/>
  <c r="J62" i="10"/>
  <c r="M62" i="10" s="1"/>
  <c r="X61" i="10"/>
  <c r="AA61" i="10" s="1"/>
  <c r="Z61" i="10"/>
  <c r="J61" i="10"/>
  <c r="M61" i="10"/>
  <c r="X60" i="10"/>
  <c r="Z60" i="10"/>
  <c r="J60" i="10"/>
  <c r="M60" i="10" s="1"/>
  <c r="X59" i="10"/>
  <c r="Z59" i="10"/>
  <c r="AA59" i="10"/>
  <c r="J59" i="10"/>
  <c r="M59" i="10"/>
  <c r="X58" i="10"/>
  <c r="Z58" i="10"/>
  <c r="AA58" i="10" s="1"/>
  <c r="J58" i="10"/>
  <c r="M58" i="10" s="1"/>
  <c r="X57" i="10"/>
  <c r="Z57" i="10"/>
  <c r="J57" i="10"/>
  <c r="M57" i="10" s="1"/>
  <c r="X56" i="10"/>
  <c r="Z56" i="10"/>
  <c r="J56" i="10"/>
  <c r="M56" i="10" s="1"/>
  <c r="X55" i="10"/>
  <c r="Z55" i="10"/>
  <c r="J55" i="10"/>
  <c r="M55" i="10" s="1"/>
  <c r="X54" i="10"/>
  <c r="Z54" i="10"/>
  <c r="J54" i="10"/>
  <c r="M54" i="10" s="1"/>
  <c r="X53" i="10"/>
  <c r="Z53" i="10"/>
  <c r="J53" i="10"/>
  <c r="M53" i="10"/>
  <c r="X52" i="10"/>
  <c r="AA52" i="10" s="1"/>
  <c r="Z52" i="10"/>
  <c r="J52" i="10"/>
  <c r="M52" i="10" s="1"/>
  <c r="X51" i="10"/>
  <c r="AA51" i="10" s="1"/>
  <c r="Z51" i="10"/>
  <c r="J51" i="10"/>
  <c r="M51" i="10"/>
  <c r="X50" i="10"/>
  <c r="AA50" i="10" s="1"/>
  <c r="Z50" i="10"/>
  <c r="J50" i="10"/>
  <c r="M50" i="10" s="1"/>
  <c r="X49" i="10"/>
  <c r="Z49" i="10"/>
  <c r="AA49" i="10"/>
  <c r="J49" i="10"/>
  <c r="M49" i="10" s="1"/>
  <c r="X48" i="10"/>
  <c r="Z48" i="10"/>
  <c r="AA48" i="10"/>
  <c r="J48" i="10"/>
  <c r="M48" i="10"/>
  <c r="X47" i="10"/>
  <c r="Z47" i="10"/>
  <c r="J47" i="10"/>
  <c r="M47" i="10"/>
  <c r="X46" i="10"/>
  <c r="AA46" i="10" s="1"/>
  <c r="Z46" i="10"/>
  <c r="J46" i="10"/>
  <c r="M46" i="10" s="1"/>
  <c r="X45" i="10"/>
  <c r="Z45" i="10"/>
  <c r="AA45" i="10" s="1"/>
  <c r="J45" i="10"/>
  <c r="M45" i="10"/>
  <c r="X44" i="10"/>
  <c r="AA44" i="10" s="1"/>
  <c r="Z44" i="10"/>
  <c r="J44" i="10"/>
  <c r="M44" i="10" s="1"/>
  <c r="X43" i="10"/>
  <c r="Z43" i="10"/>
  <c r="AA43" i="10"/>
  <c r="J43" i="10"/>
  <c r="M43" i="10"/>
  <c r="X42" i="10"/>
  <c r="Z42" i="10"/>
  <c r="J42" i="10"/>
  <c r="M42" i="10" s="1"/>
  <c r="X41" i="10"/>
  <c r="AA41" i="10" s="1"/>
  <c r="Z41" i="10"/>
  <c r="J41" i="10"/>
  <c r="M41" i="10" s="1"/>
  <c r="X40" i="10"/>
  <c r="Z40" i="10"/>
  <c r="AA40" i="10"/>
  <c r="J40" i="10"/>
  <c r="M40" i="10"/>
  <c r="X39" i="10"/>
  <c r="AA39" i="10" s="1"/>
  <c r="Z39" i="10"/>
  <c r="J39" i="10"/>
  <c r="M39" i="10"/>
  <c r="X38" i="10"/>
  <c r="AA38" i="10" s="1"/>
  <c r="Z38" i="10"/>
  <c r="J38" i="10"/>
  <c r="M38" i="10" s="1"/>
  <c r="X37" i="10"/>
  <c r="Z37" i="10"/>
  <c r="AA37" i="10" s="1"/>
  <c r="J37" i="10"/>
  <c r="M37" i="10"/>
  <c r="X36" i="10"/>
  <c r="Z36" i="10"/>
  <c r="J36" i="10"/>
  <c r="M36" i="10" s="1"/>
  <c r="X35" i="10"/>
  <c r="AA35" i="10" s="1"/>
  <c r="Z35" i="10"/>
  <c r="J35" i="10"/>
  <c r="M35" i="10"/>
  <c r="X34" i="10"/>
  <c r="Z34" i="10"/>
  <c r="J34" i="10"/>
  <c r="M34" i="10"/>
  <c r="X33" i="10"/>
  <c r="AA33" i="10" s="1"/>
  <c r="Z33" i="10"/>
  <c r="J33" i="10"/>
  <c r="M33" i="10" s="1"/>
  <c r="X32" i="10"/>
  <c r="Z32" i="10"/>
  <c r="AA32" i="10" s="1"/>
  <c r="J32" i="10"/>
  <c r="M32" i="10"/>
  <c r="X31" i="10"/>
  <c r="AA31" i="10" s="1"/>
  <c r="Z31" i="10"/>
  <c r="J31" i="10"/>
  <c r="M31" i="10" s="1"/>
  <c r="X30" i="10"/>
  <c r="Z30" i="10"/>
  <c r="AA30" i="10"/>
  <c r="J30" i="10"/>
  <c r="M30" i="10" s="1"/>
  <c r="X29" i="10"/>
  <c r="Z29" i="10"/>
  <c r="AA29" i="10"/>
  <c r="J29" i="10"/>
  <c r="M29" i="10"/>
  <c r="X28" i="10"/>
  <c r="Z28" i="10"/>
  <c r="J28" i="10"/>
  <c r="M28" i="10" s="1"/>
  <c r="X27" i="10"/>
  <c r="AA27" i="10" s="1"/>
  <c r="Z27" i="10"/>
  <c r="J27" i="10"/>
  <c r="M27" i="10"/>
  <c r="X26" i="10"/>
  <c r="AA26" i="10" s="1"/>
  <c r="Z26" i="10"/>
  <c r="J26" i="10"/>
  <c r="M26" i="10"/>
  <c r="X25" i="10"/>
  <c r="AA25" i="10" s="1"/>
  <c r="Z25" i="10"/>
  <c r="J25" i="10"/>
  <c r="M25" i="10" s="1"/>
  <c r="X24" i="10"/>
  <c r="Z24" i="10"/>
  <c r="AA24" i="10" s="1"/>
  <c r="J24" i="10"/>
  <c r="M24" i="10"/>
  <c r="X23" i="10"/>
  <c r="Z23" i="10"/>
  <c r="J23" i="10"/>
  <c r="M23" i="10" s="1"/>
  <c r="X22" i="10"/>
  <c r="AA22" i="10" s="1"/>
  <c r="Z22" i="10"/>
  <c r="J22" i="10"/>
  <c r="M22" i="10" s="1"/>
  <c r="X21" i="10"/>
  <c r="Z21" i="10"/>
  <c r="AA21" i="10"/>
  <c r="J21" i="10"/>
  <c r="M21" i="10"/>
  <c r="X20" i="10"/>
  <c r="AA20" i="10" s="1"/>
  <c r="Z20" i="10"/>
  <c r="J20" i="10"/>
  <c r="M20" i="10" s="1"/>
  <c r="X19" i="10"/>
  <c r="AA19" i="10" s="1"/>
  <c r="Z19" i="10"/>
  <c r="J19" i="10"/>
  <c r="M19" i="10"/>
  <c r="X18" i="10"/>
  <c r="AA18" i="10" s="1"/>
  <c r="Z18" i="10"/>
  <c r="J18" i="10"/>
  <c r="M18" i="10" s="1"/>
  <c r="X17" i="10"/>
  <c r="Z17" i="10"/>
  <c r="AA17" i="10"/>
  <c r="J17" i="10"/>
  <c r="M17" i="10" s="1"/>
  <c r="X16" i="10"/>
  <c r="Z16" i="10"/>
  <c r="AA16" i="10"/>
  <c r="J16" i="10"/>
  <c r="M16" i="10"/>
  <c r="X15" i="10"/>
  <c r="Z15" i="10"/>
  <c r="J15" i="10"/>
  <c r="M15" i="10"/>
  <c r="X14" i="10"/>
  <c r="AA14" i="10" s="1"/>
  <c r="Z14" i="10"/>
  <c r="J14" i="10"/>
  <c r="M14" i="10" s="1"/>
  <c r="X13" i="10"/>
  <c r="Z13" i="10"/>
  <c r="AA13" i="10" s="1"/>
  <c r="J13" i="10"/>
  <c r="M13" i="10"/>
  <c r="X12" i="10"/>
  <c r="AA12" i="10" s="1"/>
  <c r="Z12" i="10"/>
  <c r="J12" i="10"/>
  <c r="M12" i="10" s="1"/>
  <c r="X11" i="10"/>
  <c r="Z11" i="10"/>
  <c r="AA11" i="10"/>
  <c r="J11" i="10"/>
  <c r="M11" i="10"/>
  <c r="B11" i="10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Z10" i="10"/>
  <c r="X10" i="10"/>
  <c r="J10" i="10"/>
  <c r="M10" i="10" s="1"/>
  <c r="B10" i="10"/>
  <c r="U5" i="10"/>
  <c r="T5" i="10"/>
  <c r="S5" i="10"/>
  <c r="R5" i="10"/>
  <c r="Q5" i="10"/>
  <c r="P5" i="10"/>
  <c r="O5" i="10"/>
  <c r="N5" i="10"/>
  <c r="M5" i="10"/>
  <c r="L5" i="10"/>
  <c r="D5" i="10"/>
  <c r="A10" i="10" s="1"/>
  <c r="C10" i="10" s="1"/>
  <c r="D10" i="10" s="1"/>
  <c r="R4" i="3"/>
  <c r="R3" i="3"/>
  <c r="R2" i="3"/>
  <c r="B8" i="5"/>
  <c r="B6" i="5"/>
  <c r="B5" i="5"/>
  <c r="C42" i="4"/>
  <c r="A42" i="4"/>
  <c r="C41" i="4"/>
  <c r="A41" i="4"/>
  <c r="C40" i="4"/>
  <c r="A40" i="4"/>
  <c r="C39" i="4"/>
  <c r="A39" i="4"/>
  <c r="O38" i="4"/>
  <c r="C38" i="4"/>
  <c r="A38" i="4"/>
  <c r="T37" i="4"/>
  <c r="R37" i="4"/>
  <c r="Q37" i="4"/>
  <c r="O37" i="4"/>
  <c r="M37" i="4"/>
  <c r="W37" i="4" s="1"/>
  <c r="C37" i="4"/>
  <c r="A37" i="4"/>
  <c r="O36" i="4"/>
  <c r="C36" i="4"/>
  <c r="A36" i="4"/>
  <c r="O35" i="4"/>
  <c r="C35" i="4"/>
  <c r="A35" i="4"/>
  <c r="O34" i="4"/>
  <c r="M34" i="4"/>
  <c r="U34" i="4" s="1"/>
  <c r="C34" i="4"/>
  <c r="A34" i="4"/>
  <c r="T33" i="4"/>
  <c r="R33" i="4"/>
  <c r="Q33" i="4"/>
  <c r="O33" i="4"/>
  <c r="M33" i="4"/>
  <c r="W33" i="4" s="1"/>
  <c r="C33" i="4"/>
  <c r="A33" i="4"/>
  <c r="W32" i="4"/>
  <c r="U32" i="4"/>
  <c r="S32" i="4"/>
  <c r="P32" i="4"/>
  <c r="O32" i="4"/>
  <c r="M32" i="4"/>
  <c r="V32" i="4" s="1"/>
  <c r="C32" i="4"/>
  <c r="A32" i="4"/>
  <c r="O31" i="4"/>
  <c r="C31" i="4"/>
  <c r="A31" i="4"/>
  <c r="O30" i="4"/>
  <c r="M30" i="4"/>
  <c r="U30" i="4" s="1"/>
  <c r="C30" i="4"/>
  <c r="A30" i="4"/>
  <c r="T29" i="4"/>
  <c r="R29" i="4"/>
  <c r="Q29" i="4"/>
  <c r="O29" i="4"/>
  <c r="M29" i="4"/>
  <c r="W29" i="4" s="1"/>
  <c r="C29" i="4"/>
  <c r="A29" i="4"/>
  <c r="O28" i="4"/>
  <c r="C28" i="4"/>
  <c r="A28" i="4"/>
  <c r="O27" i="4"/>
  <c r="C27" i="4"/>
  <c r="A27" i="4"/>
  <c r="O26" i="4"/>
  <c r="M26" i="4"/>
  <c r="C26" i="4"/>
  <c r="A26" i="4"/>
  <c r="O25" i="4"/>
  <c r="C25" i="4"/>
  <c r="A25" i="4"/>
  <c r="W24" i="4"/>
  <c r="U24" i="4"/>
  <c r="S24" i="4"/>
  <c r="P24" i="4"/>
  <c r="O24" i="4"/>
  <c r="M24" i="4"/>
  <c r="V24" i="4" s="1"/>
  <c r="C24" i="4"/>
  <c r="A24" i="4"/>
  <c r="O23" i="4"/>
  <c r="C23" i="4"/>
  <c r="A23" i="4"/>
  <c r="O22" i="4"/>
  <c r="M22" i="4"/>
  <c r="U22" i="4" s="1"/>
  <c r="C22" i="4"/>
  <c r="A22" i="4"/>
  <c r="T21" i="4"/>
  <c r="R21" i="4"/>
  <c r="Q21" i="4"/>
  <c r="O21" i="4"/>
  <c r="M21" i="4"/>
  <c r="W21" i="4" s="1"/>
  <c r="C21" i="4"/>
  <c r="A21" i="4"/>
  <c r="W20" i="4"/>
  <c r="U20" i="4"/>
  <c r="S20" i="4"/>
  <c r="P20" i="4"/>
  <c r="O20" i="4"/>
  <c r="M20" i="4"/>
  <c r="V20" i="4" s="1"/>
  <c r="C20" i="4"/>
  <c r="A20" i="4"/>
  <c r="O19" i="4"/>
  <c r="C19" i="4"/>
  <c r="A19" i="4"/>
  <c r="O18" i="4"/>
  <c r="M18" i="4"/>
  <c r="P18" i="4" s="1"/>
  <c r="C18" i="4"/>
  <c r="A18" i="4"/>
  <c r="O17" i="4"/>
  <c r="C17" i="4"/>
  <c r="A17" i="4"/>
  <c r="O16" i="4"/>
  <c r="C16" i="4"/>
  <c r="A16" i="4"/>
  <c r="W15" i="4"/>
  <c r="V15" i="4"/>
  <c r="T15" i="4"/>
  <c r="S15" i="4"/>
  <c r="Q15" i="4"/>
  <c r="O15" i="4"/>
  <c r="M15" i="4"/>
  <c r="C15" i="4"/>
  <c r="A15" i="4"/>
  <c r="O14" i="4"/>
  <c r="M14" i="4"/>
  <c r="U14" i="4" s="1"/>
  <c r="C14" i="4"/>
  <c r="A14" i="4"/>
  <c r="O13" i="4"/>
  <c r="C13" i="4"/>
  <c r="A13" i="4"/>
  <c r="O12" i="4"/>
  <c r="C12" i="4"/>
  <c r="A12" i="4"/>
  <c r="W11" i="4"/>
  <c r="V11" i="4"/>
  <c r="T11" i="4"/>
  <c r="S11" i="4"/>
  <c r="Q11" i="4"/>
  <c r="O11" i="4"/>
  <c r="M11" i="4"/>
  <c r="C11" i="4"/>
  <c r="A11" i="4"/>
  <c r="O10" i="4"/>
  <c r="M10" i="4"/>
  <c r="U10" i="4" s="1"/>
  <c r="C10" i="4"/>
  <c r="A10" i="4"/>
  <c r="O9" i="4"/>
  <c r="C9" i="4"/>
  <c r="A9" i="4"/>
  <c r="W8" i="4"/>
  <c r="U8" i="4"/>
  <c r="S8" i="4"/>
  <c r="P8" i="4"/>
  <c r="O8" i="4"/>
  <c r="M8" i="4"/>
  <c r="V8" i="4" s="1"/>
  <c r="C8" i="4"/>
  <c r="A8" i="4"/>
  <c r="W7" i="4"/>
  <c r="V7" i="4"/>
  <c r="T7" i="4"/>
  <c r="S7" i="4"/>
  <c r="Q7" i="4"/>
  <c r="O7" i="4"/>
  <c r="M7" i="4"/>
  <c r="C7" i="4"/>
  <c r="A7" i="4"/>
  <c r="O6" i="4"/>
  <c r="M6" i="4"/>
  <c r="P6" i="4" s="1"/>
  <c r="C6" i="4"/>
  <c r="A6" i="4"/>
  <c r="T5" i="4"/>
  <c r="R5" i="4"/>
  <c r="Q5" i="4"/>
  <c r="O5" i="4"/>
  <c r="M5" i="4"/>
  <c r="W5" i="4" s="1"/>
  <c r="C5" i="4"/>
  <c r="A5" i="4"/>
  <c r="O4" i="4"/>
  <c r="C4" i="4"/>
  <c r="A4" i="4"/>
  <c r="O3" i="4"/>
  <c r="C3" i="4"/>
  <c r="A3" i="4"/>
  <c r="O2" i="4"/>
  <c r="M2" i="4"/>
  <c r="P2" i="4" s="1"/>
  <c r="C2" i="4"/>
  <c r="A2" i="4"/>
  <c r="U288" i="24"/>
  <c r="S288" i="24"/>
  <c r="Q288" i="24"/>
  <c r="U287" i="24"/>
  <c r="S287" i="24"/>
  <c r="Q287" i="24"/>
  <c r="U286" i="24"/>
  <c r="S286" i="24"/>
  <c r="Q286" i="24"/>
  <c r="U285" i="24"/>
  <c r="S285" i="24"/>
  <c r="Q285" i="24"/>
  <c r="U284" i="24"/>
  <c r="S284" i="24"/>
  <c r="Q284" i="24"/>
  <c r="U283" i="24"/>
  <c r="S283" i="24"/>
  <c r="Q283" i="24"/>
  <c r="U282" i="24"/>
  <c r="S282" i="24"/>
  <c r="Q282" i="24"/>
  <c r="U281" i="24"/>
  <c r="S281" i="24"/>
  <c r="Q281" i="24"/>
  <c r="U280" i="24"/>
  <c r="S280" i="24"/>
  <c r="Q280" i="24"/>
  <c r="U279" i="24"/>
  <c r="S279" i="24"/>
  <c r="Q279" i="24"/>
  <c r="U278" i="24"/>
  <c r="S278" i="24"/>
  <c r="Q278" i="24"/>
  <c r="U277" i="24"/>
  <c r="S277" i="24"/>
  <c r="Q277" i="24"/>
  <c r="U276" i="24"/>
  <c r="S276" i="24"/>
  <c r="Q276" i="24"/>
  <c r="U275" i="24"/>
  <c r="S275" i="24"/>
  <c r="Q275" i="24"/>
  <c r="U274" i="24"/>
  <c r="S274" i="24"/>
  <c r="Q274" i="24"/>
  <c r="U273" i="24"/>
  <c r="S273" i="24"/>
  <c r="Q273" i="24"/>
  <c r="U272" i="24"/>
  <c r="S272" i="24"/>
  <c r="Q272" i="24"/>
  <c r="U271" i="24"/>
  <c r="S271" i="24"/>
  <c r="Q271" i="24"/>
  <c r="U270" i="24"/>
  <c r="S270" i="24"/>
  <c r="Q270" i="24"/>
  <c r="U269" i="24"/>
  <c r="S269" i="24"/>
  <c r="Q269" i="24"/>
  <c r="U268" i="24"/>
  <c r="S268" i="24"/>
  <c r="Q268" i="24"/>
  <c r="U267" i="24"/>
  <c r="S267" i="24"/>
  <c r="Q267" i="24"/>
  <c r="U266" i="24"/>
  <c r="S266" i="24"/>
  <c r="Q266" i="24"/>
  <c r="U265" i="24"/>
  <c r="S265" i="24"/>
  <c r="Q265" i="24"/>
  <c r="U264" i="24"/>
  <c r="S264" i="24"/>
  <c r="Q264" i="24"/>
  <c r="U263" i="24"/>
  <c r="S263" i="24"/>
  <c r="Q263" i="24"/>
  <c r="U262" i="24"/>
  <c r="S262" i="24"/>
  <c r="Q262" i="24"/>
  <c r="U261" i="24"/>
  <c r="S261" i="24"/>
  <c r="Q261" i="24"/>
  <c r="U260" i="24"/>
  <c r="S260" i="24"/>
  <c r="Q260" i="24"/>
  <c r="U259" i="24"/>
  <c r="S259" i="24"/>
  <c r="Q259" i="24"/>
  <c r="U258" i="24"/>
  <c r="S258" i="24"/>
  <c r="Q258" i="24"/>
  <c r="U257" i="24"/>
  <c r="S257" i="24"/>
  <c r="Q257" i="24"/>
  <c r="U256" i="24"/>
  <c r="S256" i="24"/>
  <c r="Q256" i="24"/>
  <c r="U255" i="24"/>
  <c r="S255" i="24"/>
  <c r="Q255" i="24"/>
  <c r="U254" i="24"/>
  <c r="S254" i="24"/>
  <c r="Q254" i="24"/>
  <c r="U253" i="24"/>
  <c r="S253" i="24"/>
  <c r="Q253" i="24"/>
  <c r="U252" i="24"/>
  <c r="S252" i="24"/>
  <c r="Q252" i="24"/>
  <c r="U251" i="24"/>
  <c r="S251" i="24"/>
  <c r="Q251" i="24"/>
  <c r="U250" i="24"/>
  <c r="S250" i="24"/>
  <c r="Q250" i="24"/>
  <c r="U249" i="24"/>
  <c r="S249" i="24"/>
  <c r="Q249" i="24"/>
  <c r="U248" i="24"/>
  <c r="S248" i="24"/>
  <c r="Q248" i="24"/>
  <c r="U247" i="24"/>
  <c r="S247" i="24"/>
  <c r="Q247" i="24"/>
  <c r="U246" i="24"/>
  <c r="S246" i="24"/>
  <c r="Q246" i="24"/>
  <c r="U245" i="24"/>
  <c r="S245" i="24"/>
  <c r="Q245" i="24"/>
  <c r="U244" i="24"/>
  <c r="S244" i="24"/>
  <c r="Q244" i="24"/>
  <c r="U243" i="24"/>
  <c r="S243" i="24"/>
  <c r="Q243" i="24"/>
  <c r="U242" i="24"/>
  <c r="S242" i="24"/>
  <c r="Q242" i="24"/>
  <c r="U241" i="24"/>
  <c r="S241" i="24"/>
  <c r="Q241" i="24"/>
  <c r="U240" i="24"/>
  <c r="S240" i="24"/>
  <c r="Q240" i="24"/>
  <c r="U239" i="24"/>
  <c r="S239" i="24"/>
  <c r="Q239" i="24"/>
  <c r="U238" i="24"/>
  <c r="S238" i="24"/>
  <c r="Q238" i="24"/>
  <c r="U237" i="24"/>
  <c r="S237" i="24"/>
  <c r="Q237" i="24"/>
  <c r="U236" i="24"/>
  <c r="S236" i="24"/>
  <c r="Q236" i="24"/>
  <c r="U235" i="24"/>
  <c r="S235" i="24"/>
  <c r="Q235" i="24"/>
  <c r="U234" i="24"/>
  <c r="S234" i="24"/>
  <c r="Q234" i="24"/>
  <c r="U233" i="24"/>
  <c r="S233" i="24"/>
  <c r="Q233" i="24"/>
  <c r="U232" i="24"/>
  <c r="S232" i="24"/>
  <c r="Q232" i="24"/>
  <c r="U231" i="24"/>
  <c r="S231" i="24"/>
  <c r="Q231" i="24"/>
  <c r="U230" i="24"/>
  <c r="S230" i="24"/>
  <c r="Q230" i="24"/>
  <c r="U229" i="24"/>
  <c r="S229" i="24"/>
  <c r="Q229" i="24"/>
  <c r="U228" i="24"/>
  <c r="S228" i="24"/>
  <c r="Q228" i="24"/>
  <c r="U227" i="24"/>
  <c r="S227" i="24"/>
  <c r="Q227" i="24"/>
  <c r="U226" i="24"/>
  <c r="S226" i="24"/>
  <c r="Q226" i="24"/>
  <c r="U225" i="24"/>
  <c r="S225" i="24"/>
  <c r="Q225" i="24"/>
  <c r="U224" i="24"/>
  <c r="S224" i="24"/>
  <c r="Q224" i="24"/>
  <c r="U223" i="24"/>
  <c r="S223" i="24"/>
  <c r="Q223" i="24"/>
  <c r="U222" i="24"/>
  <c r="S222" i="24"/>
  <c r="Q222" i="24"/>
  <c r="U221" i="24"/>
  <c r="S221" i="24"/>
  <c r="Q221" i="24"/>
  <c r="U220" i="24"/>
  <c r="S220" i="24"/>
  <c r="Q220" i="24"/>
  <c r="U219" i="24"/>
  <c r="S219" i="24"/>
  <c r="Q219" i="24"/>
  <c r="U218" i="24"/>
  <c r="S218" i="24"/>
  <c r="Q218" i="24"/>
  <c r="U217" i="24"/>
  <c r="S217" i="24"/>
  <c r="Q217" i="24"/>
  <c r="U216" i="24"/>
  <c r="S216" i="24"/>
  <c r="Q216" i="24"/>
  <c r="U215" i="24"/>
  <c r="S215" i="24"/>
  <c r="Q215" i="24"/>
  <c r="U214" i="24"/>
  <c r="S214" i="24"/>
  <c r="Q214" i="24"/>
  <c r="U213" i="24"/>
  <c r="S213" i="24"/>
  <c r="Q213" i="24"/>
  <c r="U212" i="24"/>
  <c r="S212" i="24"/>
  <c r="Q212" i="24"/>
  <c r="U211" i="24"/>
  <c r="S211" i="24"/>
  <c r="Q211" i="24"/>
  <c r="U210" i="24"/>
  <c r="S210" i="24"/>
  <c r="Q210" i="24"/>
  <c r="U209" i="24"/>
  <c r="S209" i="24"/>
  <c r="Q209" i="24"/>
  <c r="U208" i="24"/>
  <c r="S208" i="24"/>
  <c r="Q208" i="24"/>
  <c r="U207" i="24"/>
  <c r="S207" i="24"/>
  <c r="Q207" i="24"/>
  <c r="U206" i="24"/>
  <c r="S206" i="24"/>
  <c r="Q206" i="24"/>
  <c r="U205" i="24"/>
  <c r="S205" i="24"/>
  <c r="Q205" i="24"/>
  <c r="U204" i="24"/>
  <c r="S204" i="24"/>
  <c r="Q204" i="24"/>
  <c r="U203" i="24"/>
  <c r="S203" i="24"/>
  <c r="Q203" i="24"/>
  <c r="U202" i="24"/>
  <c r="S202" i="24"/>
  <c r="Q202" i="24"/>
  <c r="U201" i="24"/>
  <c r="S201" i="24"/>
  <c r="Q201" i="24"/>
  <c r="U200" i="24"/>
  <c r="S200" i="24"/>
  <c r="Q200" i="24"/>
  <c r="U199" i="24"/>
  <c r="S199" i="24"/>
  <c r="Q199" i="24"/>
  <c r="U198" i="24"/>
  <c r="S198" i="24"/>
  <c r="Q198" i="24"/>
  <c r="U197" i="24"/>
  <c r="S197" i="24"/>
  <c r="Q197" i="24"/>
  <c r="U196" i="24"/>
  <c r="S196" i="24"/>
  <c r="Q196" i="24"/>
  <c r="U195" i="24"/>
  <c r="S195" i="24"/>
  <c r="Q195" i="24"/>
  <c r="U194" i="24"/>
  <c r="S194" i="24"/>
  <c r="Q194" i="24"/>
  <c r="U193" i="24"/>
  <c r="S193" i="24"/>
  <c r="Q193" i="24"/>
  <c r="U192" i="24"/>
  <c r="S192" i="24"/>
  <c r="Q192" i="24"/>
  <c r="U191" i="24"/>
  <c r="S191" i="24"/>
  <c r="Q191" i="24"/>
  <c r="U190" i="24"/>
  <c r="S190" i="24"/>
  <c r="Q190" i="24"/>
  <c r="U189" i="24"/>
  <c r="S189" i="24"/>
  <c r="Q189" i="24"/>
  <c r="U188" i="24"/>
  <c r="S188" i="24"/>
  <c r="Q188" i="24"/>
  <c r="U187" i="24"/>
  <c r="S187" i="24"/>
  <c r="Q187" i="24"/>
  <c r="U186" i="24"/>
  <c r="S186" i="24"/>
  <c r="Q186" i="24"/>
  <c r="U185" i="24"/>
  <c r="S185" i="24"/>
  <c r="Q185" i="24"/>
  <c r="U184" i="24"/>
  <c r="S184" i="24"/>
  <c r="Q184" i="24"/>
  <c r="U183" i="24"/>
  <c r="S183" i="24"/>
  <c r="Q183" i="24"/>
  <c r="U182" i="24"/>
  <c r="S182" i="24"/>
  <c r="Q182" i="24"/>
  <c r="U181" i="24"/>
  <c r="S181" i="24"/>
  <c r="Q181" i="24"/>
  <c r="U180" i="24"/>
  <c r="S180" i="24"/>
  <c r="Q180" i="24"/>
  <c r="U179" i="24"/>
  <c r="S179" i="24"/>
  <c r="Q179" i="24"/>
  <c r="U178" i="24"/>
  <c r="S178" i="24"/>
  <c r="Q178" i="24"/>
  <c r="U177" i="24"/>
  <c r="S177" i="24"/>
  <c r="Q177" i="24"/>
  <c r="U176" i="24"/>
  <c r="S176" i="24"/>
  <c r="Q176" i="24"/>
  <c r="U175" i="24"/>
  <c r="S175" i="24"/>
  <c r="Q175" i="24"/>
  <c r="U174" i="24"/>
  <c r="S174" i="24"/>
  <c r="Q174" i="24"/>
  <c r="U173" i="24"/>
  <c r="S173" i="24"/>
  <c r="Q173" i="24"/>
  <c r="U172" i="24"/>
  <c r="S172" i="24"/>
  <c r="Q172" i="24"/>
  <c r="U171" i="24"/>
  <c r="S171" i="24"/>
  <c r="Q171" i="24"/>
  <c r="U170" i="24"/>
  <c r="S170" i="24"/>
  <c r="Q170" i="24"/>
  <c r="U169" i="24"/>
  <c r="S169" i="24"/>
  <c r="Q169" i="24"/>
  <c r="U168" i="24"/>
  <c r="S168" i="24"/>
  <c r="Q168" i="24"/>
  <c r="U167" i="24"/>
  <c r="S167" i="24"/>
  <c r="Q167" i="24"/>
  <c r="U166" i="24"/>
  <c r="S166" i="24"/>
  <c r="Q166" i="24"/>
  <c r="U165" i="24"/>
  <c r="S165" i="24"/>
  <c r="Q165" i="24"/>
  <c r="U164" i="24"/>
  <c r="S164" i="24"/>
  <c r="Q164" i="24"/>
  <c r="U163" i="24"/>
  <c r="S163" i="24"/>
  <c r="Q163" i="24"/>
  <c r="U162" i="24"/>
  <c r="S162" i="24"/>
  <c r="Q162" i="24"/>
  <c r="U161" i="24"/>
  <c r="S161" i="24"/>
  <c r="Q161" i="24"/>
  <c r="U160" i="24"/>
  <c r="S160" i="24"/>
  <c r="Q160" i="24"/>
  <c r="U159" i="24"/>
  <c r="S159" i="24"/>
  <c r="Q159" i="24"/>
  <c r="U158" i="24"/>
  <c r="S158" i="24"/>
  <c r="Q158" i="24"/>
  <c r="U157" i="24"/>
  <c r="S157" i="24"/>
  <c r="Q157" i="24"/>
  <c r="U156" i="24"/>
  <c r="S156" i="24"/>
  <c r="Q156" i="24"/>
  <c r="U155" i="24"/>
  <c r="S155" i="24"/>
  <c r="Q155" i="24"/>
  <c r="U154" i="24"/>
  <c r="S154" i="24"/>
  <c r="Q154" i="24"/>
  <c r="U153" i="24"/>
  <c r="S153" i="24"/>
  <c r="Q153" i="24"/>
  <c r="U152" i="24"/>
  <c r="S152" i="24"/>
  <c r="Q152" i="24"/>
  <c r="U151" i="24"/>
  <c r="S151" i="24"/>
  <c r="Q151" i="24"/>
  <c r="U150" i="24"/>
  <c r="S150" i="24"/>
  <c r="Q150" i="24"/>
  <c r="U149" i="24"/>
  <c r="S149" i="24"/>
  <c r="Q149" i="24"/>
  <c r="U148" i="24"/>
  <c r="S148" i="24"/>
  <c r="Q148" i="24"/>
  <c r="U147" i="24"/>
  <c r="S147" i="24"/>
  <c r="Q147" i="24"/>
  <c r="U146" i="24"/>
  <c r="S146" i="24"/>
  <c r="Q146" i="24"/>
  <c r="U145" i="24"/>
  <c r="S145" i="24"/>
  <c r="Q145" i="24"/>
  <c r="U144" i="24"/>
  <c r="S144" i="24"/>
  <c r="Q144" i="24"/>
  <c r="U143" i="24"/>
  <c r="S143" i="24"/>
  <c r="Q143" i="24"/>
  <c r="U142" i="24"/>
  <c r="S142" i="24"/>
  <c r="Q142" i="24"/>
  <c r="U141" i="24"/>
  <c r="S141" i="24"/>
  <c r="Q141" i="24"/>
  <c r="U140" i="24"/>
  <c r="S140" i="24"/>
  <c r="Q140" i="24"/>
  <c r="U139" i="24"/>
  <c r="S139" i="24"/>
  <c r="Q139" i="24"/>
  <c r="U138" i="24"/>
  <c r="S138" i="24"/>
  <c r="Q138" i="24"/>
  <c r="U137" i="24"/>
  <c r="S137" i="24"/>
  <c r="Q137" i="24"/>
  <c r="U136" i="24"/>
  <c r="S136" i="24"/>
  <c r="Q136" i="24"/>
  <c r="U135" i="24"/>
  <c r="S135" i="24"/>
  <c r="Q135" i="24"/>
  <c r="U134" i="24"/>
  <c r="S134" i="24"/>
  <c r="Q134" i="24"/>
  <c r="U133" i="24"/>
  <c r="S133" i="24"/>
  <c r="Q133" i="24"/>
  <c r="U132" i="24"/>
  <c r="S132" i="24"/>
  <c r="Q132" i="24"/>
  <c r="U131" i="24"/>
  <c r="S131" i="24"/>
  <c r="Q131" i="24"/>
  <c r="U130" i="24"/>
  <c r="S130" i="24"/>
  <c r="Q130" i="24"/>
  <c r="U129" i="24"/>
  <c r="S129" i="24"/>
  <c r="Q129" i="24"/>
  <c r="U128" i="24"/>
  <c r="S128" i="24"/>
  <c r="Q128" i="24"/>
  <c r="U127" i="24"/>
  <c r="S127" i="24"/>
  <c r="Q127" i="24"/>
  <c r="U126" i="24"/>
  <c r="S126" i="24"/>
  <c r="Q126" i="24"/>
  <c r="U125" i="24"/>
  <c r="S125" i="24"/>
  <c r="Q125" i="24"/>
  <c r="U124" i="24"/>
  <c r="S124" i="24"/>
  <c r="Q124" i="24"/>
  <c r="U123" i="24"/>
  <c r="S123" i="24"/>
  <c r="Q123" i="24"/>
  <c r="U122" i="24"/>
  <c r="S122" i="24"/>
  <c r="Q122" i="24"/>
  <c r="U121" i="24"/>
  <c r="S121" i="24"/>
  <c r="Q121" i="24"/>
  <c r="U120" i="24"/>
  <c r="S120" i="24"/>
  <c r="Q120" i="24"/>
  <c r="U119" i="24"/>
  <c r="S119" i="24"/>
  <c r="Q119" i="24"/>
  <c r="U118" i="24"/>
  <c r="S118" i="24"/>
  <c r="Q118" i="24"/>
  <c r="U117" i="24"/>
  <c r="S117" i="24"/>
  <c r="Q117" i="24"/>
  <c r="U116" i="24"/>
  <c r="S116" i="24"/>
  <c r="Q116" i="24"/>
  <c r="U115" i="24"/>
  <c r="S115" i="24"/>
  <c r="Q115" i="24"/>
  <c r="U114" i="24"/>
  <c r="S114" i="24"/>
  <c r="Q114" i="24"/>
  <c r="U113" i="24"/>
  <c r="S113" i="24"/>
  <c r="Q113" i="24"/>
  <c r="U112" i="24"/>
  <c r="S112" i="24"/>
  <c r="Q112" i="24"/>
  <c r="U111" i="24"/>
  <c r="S111" i="24"/>
  <c r="Q111" i="24"/>
  <c r="U110" i="24"/>
  <c r="S110" i="24"/>
  <c r="Q110" i="24"/>
  <c r="U109" i="24"/>
  <c r="S109" i="24"/>
  <c r="Q109" i="24"/>
  <c r="U108" i="24"/>
  <c r="S108" i="24"/>
  <c r="Q108" i="24"/>
  <c r="U107" i="24"/>
  <c r="S107" i="24"/>
  <c r="Q107" i="24"/>
  <c r="U106" i="24"/>
  <c r="S106" i="24"/>
  <c r="Q106" i="24"/>
  <c r="U105" i="24"/>
  <c r="S105" i="24"/>
  <c r="Q105" i="24"/>
  <c r="U104" i="24"/>
  <c r="S104" i="24"/>
  <c r="Q104" i="24"/>
  <c r="U103" i="24"/>
  <c r="S103" i="24"/>
  <c r="Q103" i="24"/>
  <c r="U102" i="24"/>
  <c r="S102" i="24"/>
  <c r="Q102" i="24"/>
  <c r="U101" i="24"/>
  <c r="S101" i="24"/>
  <c r="Q101" i="24"/>
  <c r="U100" i="24"/>
  <c r="S100" i="24"/>
  <c r="Q100" i="24"/>
  <c r="U99" i="24"/>
  <c r="S99" i="24"/>
  <c r="Q99" i="24"/>
  <c r="U98" i="24"/>
  <c r="S98" i="24"/>
  <c r="Q98" i="24"/>
  <c r="U97" i="24"/>
  <c r="S97" i="24"/>
  <c r="Q97" i="24"/>
  <c r="U96" i="24"/>
  <c r="S96" i="24"/>
  <c r="Q96" i="24"/>
  <c r="U95" i="24"/>
  <c r="S95" i="24"/>
  <c r="Q95" i="24"/>
  <c r="U94" i="24"/>
  <c r="S94" i="24"/>
  <c r="Q94" i="24"/>
  <c r="U93" i="24"/>
  <c r="S93" i="24"/>
  <c r="Q93" i="24"/>
  <c r="U92" i="24"/>
  <c r="S92" i="24"/>
  <c r="Q92" i="24"/>
  <c r="U91" i="24"/>
  <c r="S91" i="24"/>
  <c r="Q91" i="24"/>
  <c r="U90" i="24"/>
  <c r="S90" i="24"/>
  <c r="Q90" i="24"/>
  <c r="U89" i="24"/>
  <c r="S89" i="24"/>
  <c r="Q89" i="24"/>
  <c r="U88" i="24"/>
  <c r="S88" i="24"/>
  <c r="Q88" i="24"/>
  <c r="U87" i="24"/>
  <c r="S87" i="24"/>
  <c r="Q87" i="24"/>
  <c r="U86" i="24"/>
  <c r="S86" i="24"/>
  <c r="Q86" i="24"/>
  <c r="U85" i="24"/>
  <c r="S85" i="24"/>
  <c r="Q85" i="24"/>
  <c r="U84" i="24"/>
  <c r="S84" i="24"/>
  <c r="Q84" i="24"/>
  <c r="U83" i="24"/>
  <c r="S83" i="24"/>
  <c r="Q83" i="24"/>
  <c r="U82" i="24"/>
  <c r="S82" i="24"/>
  <c r="Q82" i="24"/>
  <c r="U81" i="24"/>
  <c r="S81" i="24"/>
  <c r="Q81" i="24"/>
  <c r="U80" i="24"/>
  <c r="S80" i="24"/>
  <c r="Q80" i="24"/>
  <c r="U79" i="24"/>
  <c r="S79" i="24"/>
  <c r="Q79" i="24"/>
  <c r="U78" i="24"/>
  <c r="S78" i="24"/>
  <c r="Q78" i="24"/>
  <c r="U77" i="24"/>
  <c r="S77" i="24"/>
  <c r="Q77" i="24"/>
  <c r="U76" i="24"/>
  <c r="S76" i="24"/>
  <c r="Q76" i="24"/>
  <c r="U75" i="24"/>
  <c r="S75" i="24"/>
  <c r="Q75" i="24"/>
  <c r="U74" i="24"/>
  <c r="S74" i="24"/>
  <c r="Q74" i="24"/>
  <c r="U73" i="24"/>
  <c r="S73" i="24"/>
  <c r="Q73" i="24"/>
  <c r="U72" i="24"/>
  <c r="S72" i="24"/>
  <c r="Q72" i="24"/>
  <c r="U71" i="24"/>
  <c r="S71" i="24"/>
  <c r="Q71" i="24"/>
  <c r="U70" i="24"/>
  <c r="S70" i="24"/>
  <c r="Q70" i="24"/>
  <c r="U69" i="24"/>
  <c r="S69" i="24"/>
  <c r="Q69" i="24"/>
  <c r="U68" i="24"/>
  <c r="S68" i="24"/>
  <c r="Q68" i="24"/>
  <c r="U67" i="24"/>
  <c r="S67" i="24"/>
  <c r="Q67" i="24"/>
  <c r="U66" i="24"/>
  <c r="S66" i="24"/>
  <c r="Q66" i="24"/>
  <c r="U65" i="24"/>
  <c r="S65" i="24"/>
  <c r="Q65" i="24"/>
  <c r="U64" i="24"/>
  <c r="S64" i="24"/>
  <c r="Q64" i="24"/>
  <c r="U63" i="24"/>
  <c r="S63" i="24"/>
  <c r="Q63" i="24"/>
  <c r="U62" i="24"/>
  <c r="S62" i="24"/>
  <c r="Q62" i="24"/>
  <c r="U61" i="24"/>
  <c r="S61" i="24"/>
  <c r="Q61" i="24"/>
  <c r="U60" i="24"/>
  <c r="S60" i="24"/>
  <c r="Q60" i="24"/>
  <c r="U59" i="24"/>
  <c r="S59" i="24"/>
  <c r="Q59" i="24"/>
  <c r="U58" i="24"/>
  <c r="S58" i="24"/>
  <c r="Q58" i="24"/>
  <c r="U57" i="24"/>
  <c r="S57" i="24"/>
  <c r="Q57" i="24"/>
  <c r="U56" i="24"/>
  <c r="S56" i="24"/>
  <c r="Q56" i="24"/>
  <c r="U55" i="24"/>
  <c r="S55" i="24"/>
  <c r="Q55" i="24"/>
  <c r="U54" i="24"/>
  <c r="S54" i="24"/>
  <c r="Q54" i="24"/>
  <c r="U53" i="24"/>
  <c r="S53" i="24"/>
  <c r="Q53" i="24"/>
  <c r="U52" i="24"/>
  <c r="S52" i="24"/>
  <c r="Q52" i="24"/>
  <c r="U51" i="24"/>
  <c r="S51" i="24"/>
  <c r="Q51" i="24"/>
  <c r="U50" i="24"/>
  <c r="S50" i="24"/>
  <c r="Q50" i="24"/>
  <c r="U49" i="24"/>
  <c r="S49" i="24"/>
  <c r="Q49" i="24"/>
  <c r="U48" i="24"/>
  <c r="S48" i="24"/>
  <c r="Q48" i="24"/>
  <c r="U47" i="24"/>
  <c r="S47" i="24"/>
  <c r="Q47" i="24"/>
  <c r="U46" i="24"/>
  <c r="S46" i="24"/>
  <c r="Q46" i="24"/>
  <c r="U45" i="24"/>
  <c r="S45" i="24"/>
  <c r="Q45" i="24"/>
  <c r="U44" i="24"/>
  <c r="S44" i="24"/>
  <c r="Q44" i="24"/>
  <c r="U43" i="24"/>
  <c r="S43" i="24"/>
  <c r="Q43" i="24"/>
  <c r="U42" i="24"/>
  <c r="S42" i="24"/>
  <c r="Q42" i="24"/>
  <c r="U41" i="24"/>
  <c r="S41" i="24"/>
  <c r="Q41" i="24"/>
  <c r="U40" i="24"/>
  <c r="S40" i="24"/>
  <c r="Q40" i="24"/>
  <c r="U39" i="24"/>
  <c r="S39" i="24"/>
  <c r="Q39" i="24"/>
  <c r="U38" i="24"/>
  <c r="S38" i="24"/>
  <c r="Q38" i="24"/>
  <c r="U37" i="24"/>
  <c r="S37" i="24"/>
  <c r="Q37" i="24"/>
  <c r="U36" i="24"/>
  <c r="S36" i="24"/>
  <c r="Q36" i="24"/>
  <c r="U35" i="24"/>
  <c r="S35" i="24"/>
  <c r="Q35" i="24"/>
  <c r="U34" i="24"/>
  <c r="S34" i="24"/>
  <c r="Q34" i="24"/>
  <c r="U33" i="24"/>
  <c r="S33" i="24"/>
  <c r="Q33" i="24"/>
  <c r="U32" i="24"/>
  <c r="S32" i="24"/>
  <c r="Q32" i="24"/>
  <c r="U31" i="24"/>
  <c r="S31" i="24"/>
  <c r="Q31" i="24"/>
  <c r="U30" i="24"/>
  <c r="S30" i="24"/>
  <c r="Q30" i="24"/>
  <c r="U29" i="24"/>
  <c r="S29" i="24"/>
  <c r="Q29" i="24"/>
  <c r="U28" i="24"/>
  <c r="S28" i="24"/>
  <c r="Q28" i="24"/>
  <c r="U27" i="24"/>
  <c r="S27" i="24"/>
  <c r="Q27" i="24"/>
  <c r="F27" i="24"/>
  <c r="C27" i="24" s="1"/>
  <c r="B27" i="24"/>
  <c r="U26" i="24"/>
  <c r="S26" i="24"/>
  <c r="Q26" i="24"/>
  <c r="U25" i="24"/>
  <c r="S25" i="24"/>
  <c r="Q25" i="24"/>
  <c r="U24" i="24"/>
  <c r="S24" i="24"/>
  <c r="Q24" i="24"/>
  <c r="U23" i="24"/>
  <c r="S23" i="24"/>
  <c r="Q23" i="24"/>
  <c r="U22" i="24"/>
  <c r="S22" i="24"/>
  <c r="Q22" i="24"/>
  <c r="U21" i="24"/>
  <c r="S21" i="24"/>
  <c r="Q21" i="24"/>
  <c r="U20" i="24"/>
  <c r="S20" i="24"/>
  <c r="Q20" i="24"/>
  <c r="U19" i="24"/>
  <c r="S19" i="24"/>
  <c r="Q19" i="24"/>
  <c r="U18" i="24"/>
  <c r="S18" i="24"/>
  <c r="Q18" i="24"/>
  <c r="J18" i="24"/>
  <c r="U17" i="24"/>
  <c r="S17" i="24"/>
  <c r="Q17" i="24"/>
  <c r="J17" i="24"/>
  <c r="U16" i="24"/>
  <c r="S16" i="24"/>
  <c r="Q16" i="24"/>
  <c r="U15" i="24"/>
  <c r="S15" i="24"/>
  <c r="Q15" i="24"/>
  <c r="U14" i="24"/>
  <c r="S14" i="24"/>
  <c r="Q14" i="24"/>
  <c r="U13" i="24"/>
  <c r="S13" i="24"/>
  <c r="Q13" i="24"/>
  <c r="U12" i="24"/>
  <c r="S12" i="24"/>
  <c r="Q12" i="24"/>
  <c r="U11" i="24"/>
  <c r="S11" i="24"/>
  <c r="Q11" i="24"/>
  <c r="U10" i="24"/>
  <c r="S10" i="24"/>
  <c r="Q10" i="24"/>
  <c r="B10" i="24"/>
  <c r="U9" i="24"/>
  <c r="S9" i="24"/>
  <c r="Q9" i="24"/>
  <c r="U8" i="24"/>
  <c r="S8" i="24"/>
  <c r="Q8" i="24"/>
  <c r="U7" i="24"/>
  <c r="S7" i="24"/>
  <c r="Q7" i="24"/>
  <c r="U6" i="24"/>
  <c r="S6" i="24"/>
  <c r="Q6" i="24"/>
  <c r="J6" i="24"/>
  <c r="U5" i="24"/>
  <c r="S5" i="24"/>
  <c r="Q5" i="24"/>
  <c r="J5" i="24"/>
  <c r="U4" i="24"/>
  <c r="S4" i="24"/>
  <c r="Q4" i="24"/>
  <c r="O4" i="24"/>
  <c r="O5" i="24" s="1"/>
  <c r="O6" i="24" s="1"/>
  <c r="O7" i="24" s="1"/>
  <c r="O8" i="24" s="1"/>
  <c r="O9" i="24" s="1"/>
  <c r="O10" i="24" s="1"/>
  <c r="O11" i="24" s="1"/>
  <c r="O12" i="24" s="1"/>
  <c r="O13" i="24" s="1"/>
  <c r="O14" i="24" s="1"/>
  <c r="O15" i="24" s="1"/>
  <c r="O16" i="24" s="1"/>
  <c r="O17" i="24" s="1"/>
  <c r="O18" i="24" s="1"/>
  <c r="O19" i="24" s="1"/>
  <c r="O20" i="24" s="1"/>
  <c r="O21" i="24" s="1"/>
  <c r="O22" i="24" s="1"/>
  <c r="O23" i="24" s="1"/>
  <c r="O24" i="24" s="1"/>
  <c r="O25" i="24" s="1"/>
  <c r="O26" i="24" s="1"/>
  <c r="O27" i="24" s="1"/>
  <c r="O28" i="24" s="1"/>
  <c r="O29" i="24" s="1"/>
  <c r="O30" i="24" s="1"/>
  <c r="O31" i="24" s="1"/>
  <c r="O32" i="24" s="1"/>
  <c r="O33" i="24" s="1"/>
  <c r="O34" i="24" s="1"/>
  <c r="O35" i="24" s="1"/>
  <c r="O36" i="24" s="1"/>
  <c r="O37" i="24" s="1"/>
  <c r="O38" i="24" s="1"/>
  <c r="O39" i="24" s="1"/>
  <c r="O40" i="24" s="1"/>
  <c r="O41" i="24" s="1"/>
  <c r="O42" i="24" s="1"/>
  <c r="O43" i="24" s="1"/>
  <c r="O44" i="24" s="1"/>
  <c r="O45" i="24" s="1"/>
  <c r="O46" i="24" s="1"/>
  <c r="O47" i="24" s="1"/>
  <c r="O48" i="24" s="1"/>
  <c r="O49" i="24" s="1"/>
  <c r="O50" i="24" s="1"/>
  <c r="O51" i="24" s="1"/>
  <c r="O52" i="24" s="1"/>
  <c r="O53" i="24" s="1"/>
  <c r="O54" i="24" s="1"/>
  <c r="O55" i="24" s="1"/>
  <c r="O56" i="24" s="1"/>
  <c r="O57" i="24" s="1"/>
  <c r="O58" i="24" s="1"/>
  <c r="O59" i="24" s="1"/>
  <c r="O60" i="24" s="1"/>
  <c r="O61" i="24" s="1"/>
  <c r="O62" i="24" s="1"/>
  <c r="O63" i="24" s="1"/>
  <c r="O64" i="24" s="1"/>
  <c r="O65" i="24" s="1"/>
  <c r="O66" i="24" s="1"/>
  <c r="O67" i="24" s="1"/>
  <c r="O68" i="24" s="1"/>
  <c r="O69" i="24" s="1"/>
  <c r="O70" i="24" s="1"/>
  <c r="O71" i="24" s="1"/>
  <c r="O72" i="24" s="1"/>
  <c r="O73" i="24" s="1"/>
  <c r="O74" i="24" s="1"/>
  <c r="O75" i="24" s="1"/>
  <c r="O76" i="24" s="1"/>
  <c r="O77" i="24" s="1"/>
  <c r="O78" i="24" s="1"/>
  <c r="O79" i="24" s="1"/>
  <c r="O80" i="24" s="1"/>
  <c r="O81" i="24" s="1"/>
  <c r="O82" i="24" s="1"/>
  <c r="O83" i="24" s="1"/>
  <c r="O84" i="24" s="1"/>
  <c r="O85" i="24" s="1"/>
  <c r="O86" i="24" s="1"/>
  <c r="O87" i="24" s="1"/>
  <c r="O88" i="24" s="1"/>
  <c r="O89" i="24" s="1"/>
  <c r="O90" i="24" s="1"/>
  <c r="O91" i="24" s="1"/>
  <c r="O92" i="24" s="1"/>
  <c r="O93" i="24" s="1"/>
  <c r="O94" i="24" s="1"/>
  <c r="O95" i="24" s="1"/>
  <c r="O96" i="24" s="1"/>
  <c r="O97" i="24" s="1"/>
  <c r="O98" i="24" s="1"/>
  <c r="O99" i="24" s="1"/>
  <c r="O100" i="24" s="1"/>
  <c r="O101" i="24" s="1"/>
  <c r="O102" i="24" s="1"/>
  <c r="O103" i="24" s="1"/>
  <c r="O104" i="24" s="1"/>
  <c r="O105" i="24" s="1"/>
  <c r="O106" i="24" s="1"/>
  <c r="O107" i="24" s="1"/>
  <c r="O108" i="24" s="1"/>
  <c r="O109" i="24" s="1"/>
  <c r="O110" i="24" s="1"/>
  <c r="O111" i="24" s="1"/>
  <c r="O112" i="24" s="1"/>
  <c r="O113" i="24" s="1"/>
  <c r="O114" i="24" s="1"/>
  <c r="O115" i="24" s="1"/>
  <c r="O116" i="24" s="1"/>
  <c r="O117" i="24" s="1"/>
  <c r="O118" i="24" s="1"/>
  <c r="O119" i="24" s="1"/>
  <c r="O120" i="24" s="1"/>
  <c r="O121" i="24" s="1"/>
  <c r="O122" i="24" s="1"/>
  <c r="O123" i="24" s="1"/>
  <c r="O124" i="24" s="1"/>
  <c r="O125" i="24" s="1"/>
  <c r="O126" i="24" s="1"/>
  <c r="O127" i="24" s="1"/>
  <c r="O128" i="24" s="1"/>
  <c r="O129" i="24" s="1"/>
  <c r="O130" i="24" s="1"/>
  <c r="O131" i="24" s="1"/>
  <c r="O132" i="24" s="1"/>
  <c r="O133" i="24" s="1"/>
  <c r="O134" i="24" s="1"/>
  <c r="O135" i="24" s="1"/>
  <c r="O136" i="24" s="1"/>
  <c r="O137" i="24" s="1"/>
  <c r="O138" i="24" s="1"/>
  <c r="O139" i="24" s="1"/>
  <c r="O140" i="24" s="1"/>
  <c r="O141" i="24" s="1"/>
  <c r="O142" i="24" s="1"/>
  <c r="O143" i="24" s="1"/>
  <c r="O144" i="24" s="1"/>
  <c r="O145" i="24" s="1"/>
  <c r="O146" i="24" s="1"/>
  <c r="O147" i="24" s="1"/>
  <c r="O148" i="24" s="1"/>
  <c r="O149" i="24" s="1"/>
  <c r="O150" i="24" s="1"/>
  <c r="O151" i="24" s="1"/>
  <c r="O152" i="24" s="1"/>
  <c r="O153" i="24" s="1"/>
  <c r="O154" i="24" s="1"/>
  <c r="O155" i="24" s="1"/>
  <c r="O156" i="24" s="1"/>
  <c r="O157" i="24" s="1"/>
  <c r="O158" i="24" s="1"/>
  <c r="O159" i="24" s="1"/>
  <c r="O160" i="24" s="1"/>
  <c r="O161" i="24" s="1"/>
  <c r="O162" i="24" s="1"/>
  <c r="O163" i="24" s="1"/>
  <c r="O164" i="24" s="1"/>
  <c r="O165" i="24" s="1"/>
  <c r="O166" i="24" s="1"/>
  <c r="O167" i="24" s="1"/>
  <c r="O168" i="24" s="1"/>
  <c r="O169" i="24" s="1"/>
  <c r="O170" i="24" s="1"/>
  <c r="O171" i="24" s="1"/>
  <c r="O172" i="24" s="1"/>
  <c r="O173" i="24" s="1"/>
  <c r="O174" i="24" s="1"/>
  <c r="O175" i="24" s="1"/>
  <c r="O176" i="24" s="1"/>
  <c r="O177" i="24" s="1"/>
  <c r="O178" i="24" s="1"/>
  <c r="O179" i="24" s="1"/>
  <c r="O180" i="24" s="1"/>
  <c r="O181" i="24" s="1"/>
  <c r="O182" i="24" s="1"/>
  <c r="O183" i="24" s="1"/>
  <c r="O184" i="24" s="1"/>
  <c r="O185" i="24" s="1"/>
  <c r="O186" i="24" s="1"/>
  <c r="O187" i="24" s="1"/>
  <c r="O188" i="24" s="1"/>
  <c r="O189" i="24" s="1"/>
  <c r="O190" i="24" s="1"/>
  <c r="O191" i="24" s="1"/>
  <c r="O192" i="24" s="1"/>
  <c r="O193" i="24" s="1"/>
  <c r="O194" i="24" s="1"/>
  <c r="O195" i="24" s="1"/>
  <c r="O196" i="24" s="1"/>
  <c r="O197" i="24" s="1"/>
  <c r="O198" i="24" s="1"/>
  <c r="O199" i="24" s="1"/>
  <c r="O200" i="24" s="1"/>
  <c r="O201" i="24" s="1"/>
  <c r="O202" i="24" s="1"/>
  <c r="O203" i="24" s="1"/>
  <c r="O204" i="24" s="1"/>
  <c r="O205" i="24" s="1"/>
  <c r="O206" i="24" s="1"/>
  <c r="O207" i="24" s="1"/>
  <c r="O208" i="24" s="1"/>
  <c r="O209" i="24" s="1"/>
  <c r="O210" i="24" s="1"/>
  <c r="O211" i="24" s="1"/>
  <c r="O212" i="24" s="1"/>
  <c r="O213" i="24" s="1"/>
  <c r="O214" i="24" s="1"/>
  <c r="O215" i="24" s="1"/>
  <c r="O216" i="24" s="1"/>
  <c r="O217" i="24" s="1"/>
  <c r="O218" i="24" s="1"/>
  <c r="O219" i="24" s="1"/>
  <c r="O220" i="24" s="1"/>
  <c r="O221" i="24" s="1"/>
  <c r="O222" i="24" s="1"/>
  <c r="O223" i="24" s="1"/>
  <c r="O224" i="24" s="1"/>
  <c r="O225" i="24" s="1"/>
  <c r="O226" i="24" s="1"/>
  <c r="O227" i="24" s="1"/>
  <c r="O228" i="24" s="1"/>
  <c r="O229" i="24" s="1"/>
  <c r="O230" i="24" s="1"/>
  <c r="O231" i="24" s="1"/>
  <c r="O232" i="24" s="1"/>
  <c r="O233" i="24" s="1"/>
  <c r="O234" i="24" s="1"/>
  <c r="O235" i="24" s="1"/>
  <c r="O236" i="24" s="1"/>
  <c r="O237" i="24" s="1"/>
  <c r="O238" i="24" s="1"/>
  <c r="O239" i="24" s="1"/>
  <c r="O240" i="24" s="1"/>
  <c r="O241" i="24" s="1"/>
  <c r="O242" i="24" s="1"/>
  <c r="O243" i="24" s="1"/>
  <c r="O244" i="24" s="1"/>
  <c r="O245" i="24" s="1"/>
  <c r="O246" i="24" s="1"/>
  <c r="O247" i="24" s="1"/>
  <c r="O248" i="24" s="1"/>
  <c r="O249" i="24" s="1"/>
  <c r="O250" i="24" s="1"/>
  <c r="O251" i="24" s="1"/>
  <c r="O252" i="24" s="1"/>
  <c r="O253" i="24" s="1"/>
  <c r="O254" i="24" s="1"/>
  <c r="O255" i="24" s="1"/>
  <c r="O256" i="24" s="1"/>
  <c r="O257" i="24" s="1"/>
  <c r="O258" i="24" s="1"/>
  <c r="O259" i="24" s="1"/>
  <c r="O260" i="24" s="1"/>
  <c r="O261" i="24" s="1"/>
  <c r="O262" i="24" s="1"/>
  <c r="O263" i="24" s="1"/>
  <c r="O264" i="24" s="1"/>
  <c r="O265" i="24" s="1"/>
  <c r="O266" i="24" s="1"/>
  <c r="O267" i="24" s="1"/>
  <c r="O268" i="24" s="1"/>
  <c r="O269" i="24" s="1"/>
  <c r="O270" i="24" s="1"/>
  <c r="O271" i="24" s="1"/>
  <c r="O272" i="24" s="1"/>
  <c r="O273" i="24" s="1"/>
  <c r="O274" i="24" s="1"/>
  <c r="O275" i="24" s="1"/>
  <c r="O276" i="24" s="1"/>
  <c r="O277" i="24" s="1"/>
  <c r="O278" i="24" s="1"/>
  <c r="O279" i="24" s="1"/>
  <c r="O280" i="24" s="1"/>
  <c r="O281" i="24" s="1"/>
  <c r="O282" i="24" s="1"/>
  <c r="O283" i="24" s="1"/>
  <c r="O284" i="24" s="1"/>
  <c r="O285" i="24" s="1"/>
  <c r="O286" i="24" s="1"/>
  <c r="O287" i="24" s="1"/>
  <c r="O288" i="24" s="1"/>
  <c r="F2" i="24"/>
  <c r="B6" i="24" s="1"/>
  <c r="O91" i="1"/>
  <c r="N91" i="1"/>
  <c r="M91" i="1"/>
  <c r="L91" i="1"/>
  <c r="K91" i="1"/>
  <c r="J91" i="1"/>
  <c r="I91" i="1"/>
  <c r="A96" i="20" s="1"/>
  <c r="G91" i="1"/>
  <c r="F91" i="1" s="1"/>
  <c r="E91" i="1"/>
  <c r="D91" i="1"/>
  <c r="C91" i="1"/>
  <c r="B91" i="1"/>
  <c r="A91" i="1"/>
  <c r="A75" i="20" s="1"/>
  <c r="O90" i="1"/>
  <c r="N90" i="1"/>
  <c r="M90" i="1"/>
  <c r="L90" i="1"/>
  <c r="K90" i="1"/>
  <c r="J90" i="1"/>
  <c r="I90" i="1"/>
  <c r="A95" i="20" s="1"/>
  <c r="G90" i="1"/>
  <c r="F90" i="1"/>
  <c r="E90" i="1"/>
  <c r="D90" i="1"/>
  <c r="C90" i="1"/>
  <c r="B90" i="1"/>
  <c r="A90" i="1"/>
  <c r="A74" i="20" s="1"/>
  <c r="O89" i="1"/>
  <c r="N89" i="1" s="1"/>
  <c r="M89" i="1"/>
  <c r="L89" i="1"/>
  <c r="K89" i="1"/>
  <c r="J89" i="1"/>
  <c r="I89" i="1"/>
  <c r="A94" i="20" s="1"/>
  <c r="G89" i="1"/>
  <c r="F89" i="1"/>
  <c r="E89" i="1"/>
  <c r="D89" i="1"/>
  <c r="C89" i="1"/>
  <c r="B89" i="1"/>
  <c r="A89" i="1"/>
  <c r="A73" i="20" s="1"/>
  <c r="O88" i="1"/>
  <c r="N88" i="1"/>
  <c r="M88" i="1"/>
  <c r="L88" i="1"/>
  <c r="K88" i="1"/>
  <c r="J88" i="1"/>
  <c r="I88" i="1"/>
  <c r="A93" i="20" s="1"/>
  <c r="G88" i="1"/>
  <c r="F88" i="1" s="1"/>
  <c r="E88" i="1"/>
  <c r="D88" i="1"/>
  <c r="C88" i="1"/>
  <c r="B88" i="1"/>
  <c r="A88" i="1"/>
  <c r="A72" i="20" s="1"/>
  <c r="O87" i="1"/>
  <c r="N87" i="1"/>
  <c r="M87" i="1"/>
  <c r="L87" i="1"/>
  <c r="K87" i="1"/>
  <c r="J87" i="1"/>
  <c r="I87" i="1"/>
  <c r="A92" i="20" s="1"/>
  <c r="G87" i="1"/>
  <c r="F87" i="1"/>
  <c r="E87" i="1"/>
  <c r="D87" i="1"/>
  <c r="C87" i="1"/>
  <c r="B87" i="1"/>
  <c r="A87" i="1"/>
  <c r="A71" i="20" s="1"/>
  <c r="O86" i="1"/>
  <c r="N86" i="1" s="1"/>
  <c r="M86" i="1"/>
  <c r="L86" i="1"/>
  <c r="K86" i="1"/>
  <c r="J86" i="1"/>
  <c r="I86" i="1"/>
  <c r="A91" i="20" s="1"/>
  <c r="G86" i="1"/>
  <c r="F86" i="1"/>
  <c r="E86" i="1"/>
  <c r="D86" i="1"/>
  <c r="C86" i="1"/>
  <c r="B86" i="1"/>
  <c r="A86" i="1"/>
  <c r="A70" i="20" s="1"/>
  <c r="O85" i="1"/>
  <c r="N85" i="1" s="1"/>
  <c r="M85" i="1"/>
  <c r="L85" i="1"/>
  <c r="K85" i="1"/>
  <c r="J85" i="1"/>
  <c r="I85" i="1"/>
  <c r="A90" i="20" s="1"/>
  <c r="G85" i="1"/>
  <c r="F85" i="1"/>
  <c r="E85" i="1"/>
  <c r="D85" i="1"/>
  <c r="C85" i="1"/>
  <c r="B85" i="1"/>
  <c r="A85" i="1"/>
  <c r="A69" i="20" s="1"/>
  <c r="O84" i="1"/>
  <c r="N84" i="1"/>
  <c r="M84" i="1"/>
  <c r="L84" i="1"/>
  <c r="K84" i="1"/>
  <c r="J84" i="1"/>
  <c r="I84" i="1"/>
  <c r="A89" i="20" s="1"/>
  <c r="G84" i="1"/>
  <c r="F84" i="1" s="1"/>
  <c r="E84" i="1"/>
  <c r="D84" i="1"/>
  <c r="C84" i="1"/>
  <c r="B84" i="1"/>
  <c r="A84" i="1"/>
  <c r="A68" i="20" s="1"/>
  <c r="O83" i="1"/>
  <c r="N83" i="1" s="1"/>
  <c r="M83" i="1"/>
  <c r="L83" i="1"/>
  <c r="K83" i="1"/>
  <c r="J83" i="1"/>
  <c r="I83" i="1"/>
  <c r="A88" i="20" s="1"/>
  <c r="G83" i="1"/>
  <c r="F83" i="1"/>
  <c r="E83" i="1"/>
  <c r="D83" i="1"/>
  <c r="C83" i="1"/>
  <c r="B83" i="1"/>
  <c r="A83" i="1"/>
  <c r="A67" i="20" s="1"/>
  <c r="O82" i="1"/>
  <c r="N82" i="1"/>
  <c r="M82" i="1"/>
  <c r="L82" i="1"/>
  <c r="K82" i="1"/>
  <c r="J82" i="1"/>
  <c r="I82" i="1"/>
  <c r="A87" i="20" s="1"/>
  <c r="G82" i="1"/>
  <c r="F82" i="1"/>
  <c r="E82" i="1"/>
  <c r="D82" i="1"/>
  <c r="C82" i="1"/>
  <c r="B82" i="1"/>
  <c r="A82" i="1"/>
  <c r="A66" i="20" s="1"/>
  <c r="O81" i="1"/>
  <c r="N81" i="1" s="1"/>
  <c r="M81" i="1"/>
  <c r="L81" i="1"/>
  <c r="K81" i="1"/>
  <c r="J81" i="1"/>
  <c r="I81" i="1"/>
  <c r="A86" i="20" s="1"/>
  <c r="G81" i="1"/>
  <c r="F81" i="1"/>
  <c r="E81" i="1"/>
  <c r="D81" i="1"/>
  <c r="C81" i="1"/>
  <c r="B81" i="1"/>
  <c r="A81" i="1"/>
  <c r="A65" i="20" s="1"/>
  <c r="O80" i="1"/>
  <c r="N80" i="1"/>
  <c r="M80" i="1"/>
  <c r="L80" i="1"/>
  <c r="K80" i="1"/>
  <c r="J80" i="1"/>
  <c r="I80" i="1"/>
  <c r="A85" i="20" s="1"/>
  <c r="G80" i="1"/>
  <c r="F80" i="1" s="1"/>
  <c r="E80" i="1"/>
  <c r="D80" i="1"/>
  <c r="C80" i="1"/>
  <c r="B80" i="1"/>
  <c r="A80" i="1"/>
  <c r="A64" i="20" s="1"/>
  <c r="O79" i="1"/>
  <c r="N79" i="1"/>
  <c r="M79" i="1"/>
  <c r="L79" i="1"/>
  <c r="K79" i="1"/>
  <c r="J79" i="1"/>
  <c r="I79" i="1"/>
  <c r="A84" i="20" s="1"/>
  <c r="G79" i="1"/>
  <c r="F79" i="1" s="1"/>
  <c r="E79" i="1"/>
  <c r="D79" i="1"/>
  <c r="C79" i="1"/>
  <c r="B79" i="1"/>
  <c r="A79" i="1"/>
  <c r="A63" i="20" s="1"/>
  <c r="O78" i="1"/>
  <c r="N78" i="1"/>
  <c r="M78" i="1"/>
  <c r="L78" i="1"/>
  <c r="K78" i="1"/>
  <c r="J78" i="1"/>
  <c r="I78" i="1"/>
  <c r="A83" i="20" s="1"/>
  <c r="G78" i="1"/>
  <c r="F78" i="1"/>
  <c r="E78" i="1"/>
  <c r="D78" i="1"/>
  <c r="C78" i="1"/>
  <c r="B78" i="1"/>
  <c r="A78" i="1"/>
  <c r="A62" i="20" s="1"/>
  <c r="O77" i="1"/>
  <c r="N77" i="1" s="1"/>
  <c r="M77" i="1"/>
  <c r="L77" i="1"/>
  <c r="K77" i="1"/>
  <c r="J77" i="1"/>
  <c r="I77" i="1"/>
  <c r="A82" i="20" s="1"/>
  <c r="G77" i="1"/>
  <c r="F77" i="1" s="1"/>
  <c r="E77" i="1"/>
  <c r="D77" i="1"/>
  <c r="C77" i="1"/>
  <c r="B77" i="1"/>
  <c r="A77" i="1"/>
  <c r="A61" i="20" s="1"/>
  <c r="N66" i="1"/>
  <c r="M66" i="1"/>
  <c r="A237" i="21" s="1"/>
  <c r="I66" i="1"/>
  <c r="A248" i="21" s="1"/>
  <c r="E66" i="1"/>
  <c r="A220" i="21" s="1"/>
  <c r="M65" i="1"/>
  <c r="J65" i="1"/>
  <c r="I65" i="1"/>
  <c r="A247" i="21" s="1"/>
  <c r="E65" i="1"/>
  <c r="A219" i="21" s="1"/>
  <c r="N64" i="1"/>
  <c r="M64" i="1"/>
  <c r="A235" i="21" s="1"/>
  <c r="I64" i="1"/>
  <c r="M36" i="4" s="1"/>
  <c r="F64" i="1"/>
  <c r="E64" i="1"/>
  <c r="A218" i="21" s="1"/>
  <c r="N63" i="1"/>
  <c r="M63" i="1"/>
  <c r="A234" i="21" s="1"/>
  <c r="I63" i="1"/>
  <c r="A245" i="21" s="1"/>
  <c r="E63" i="1"/>
  <c r="N62" i="1"/>
  <c r="M62" i="1"/>
  <c r="A233" i="21" s="1"/>
  <c r="I62" i="1"/>
  <c r="A244" i="21" s="1"/>
  <c r="E62" i="1"/>
  <c r="A216" i="21" s="1"/>
  <c r="M61" i="1"/>
  <c r="F61" i="1"/>
  <c r="E61" i="1"/>
  <c r="M60" i="1"/>
  <c r="A231" i="21" s="1"/>
  <c r="N59" i="1"/>
  <c r="M59" i="1"/>
  <c r="A230" i="21" s="1"/>
  <c r="M58" i="1"/>
  <c r="F58" i="1"/>
  <c r="E58" i="1"/>
  <c r="A193" i="21" s="1"/>
  <c r="N57" i="1"/>
  <c r="M57" i="1"/>
  <c r="A228" i="21" s="1"/>
  <c r="E57" i="1"/>
  <c r="A192" i="21" s="1"/>
  <c r="M56" i="1"/>
  <c r="F56" i="1"/>
  <c r="E56" i="1"/>
  <c r="A191" i="21" s="1"/>
  <c r="E55" i="1"/>
  <c r="A190" i="21" s="1"/>
  <c r="E54" i="1"/>
  <c r="A189" i="21" s="1"/>
  <c r="M53" i="1"/>
  <c r="F53" i="1"/>
  <c r="E53" i="1"/>
  <c r="N52" i="1"/>
  <c r="M52" i="1"/>
  <c r="A207" i="21" s="1"/>
  <c r="N51" i="1"/>
  <c r="M51" i="1"/>
  <c r="A206" i="21" s="1"/>
  <c r="M50" i="1"/>
  <c r="M19" i="4" s="1"/>
  <c r="N49" i="1"/>
  <c r="M49" i="1"/>
  <c r="A204" i="21" s="1"/>
  <c r="M48" i="1"/>
  <c r="A203" i="21" s="1"/>
  <c r="M47" i="1"/>
  <c r="A202" i="21" s="1"/>
  <c r="M46" i="1"/>
  <c r="N45" i="1"/>
  <c r="M45" i="1"/>
  <c r="N36" i="1"/>
  <c r="C36" i="1"/>
  <c r="A75" i="23" s="1"/>
  <c r="G33" i="1"/>
  <c r="E33" i="1"/>
  <c r="G32" i="1"/>
  <c r="E32" i="1"/>
  <c r="G31" i="1"/>
  <c r="E31" i="1"/>
  <c r="G30" i="1"/>
  <c r="E30" i="1"/>
  <c r="E29" i="1"/>
  <c r="E28" i="1"/>
  <c r="E27" i="1"/>
  <c r="E26" i="1"/>
  <c r="G23" i="1"/>
  <c r="F23" i="1"/>
  <c r="E23" i="1"/>
  <c r="D23" i="1"/>
  <c r="C23" i="1"/>
  <c r="B23" i="1"/>
  <c r="A23" i="1"/>
  <c r="A47" i="20" s="1"/>
  <c r="G22" i="1"/>
  <c r="E22" i="1"/>
  <c r="D22" i="1"/>
  <c r="C22" i="1"/>
  <c r="B22" i="1"/>
  <c r="A22" i="1"/>
  <c r="A46" i="20" s="1"/>
  <c r="G21" i="1"/>
  <c r="F21" i="1"/>
  <c r="E21" i="1"/>
  <c r="D21" i="1"/>
  <c r="C21" i="1"/>
  <c r="B21" i="1"/>
  <c r="A21" i="1"/>
  <c r="A45" i="20" s="1"/>
  <c r="G20" i="1"/>
  <c r="E20" i="1"/>
  <c r="D20" i="1"/>
  <c r="C20" i="1"/>
  <c r="B20" i="1"/>
  <c r="A20" i="1"/>
  <c r="G19" i="1"/>
  <c r="F19" i="1"/>
  <c r="E19" i="1"/>
  <c r="D19" i="1"/>
  <c r="C19" i="1"/>
  <c r="B19" i="1"/>
  <c r="A19" i="1"/>
  <c r="A43" i="20" s="1"/>
  <c r="O16" i="1"/>
  <c r="N16" i="1"/>
  <c r="M16" i="1"/>
  <c r="A22" i="20" s="1"/>
  <c r="F16" i="1"/>
  <c r="A22" i="23" s="1"/>
  <c r="O15" i="1"/>
  <c r="N15" i="1"/>
  <c r="M15" i="1"/>
  <c r="A21" i="20" s="1"/>
  <c r="F15" i="1"/>
  <c r="A21" i="23" s="1"/>
  <c r="O14" i="1"/>
  <c r="N14" i="1"/>
  <c r="A20" i="20" s="1"/>
  <c r="F14" i="1"/>
  <c r="A20" i="23" s="1"/>
  <c r="O13" i="1"/>
  <c r="N13" i="1"/>
  <c r="A19" i="20" s="1"/>
  <c r="O12" i="1"/>
  <c r="N12" i="1"/>
  <c r="A18" i="20" s="1"/>
  <c r="O11" i="1"/>
  <c r="N11" i="1"/>
  <c r="A17" i="20" s="1"/>
  <c r="F11" i="1"/>
  <c r="A17" i="23" s="1"/>
  <c r="O10" i="1"/>
  <c r="N10" i="1"/>
  <c r="A16" i="20" s="1"/>
  <c r="F10" i="1"/>
  <c r="A16" i="23" s="1"/>
  <c r="O9" i="1"/>
  <c r="N9" i="1"/>
  <c r="A15" i="20" s="1"/>
  <c r="F9" i="1"/>
  <c r="A15" i="23" s="1"/>
  <c r="F6" i="1"/>
  <c r="B6" i="1"/>
  <c r="F5" i="1"/>
  <c r="B5" i="1"/>
  <c r="K4" i="1"/>
  <c r="F4" i="1"/>
  <c r="B4" i="1"/>
  <c r="O3" i="1"/>
  <c r="K3" i="1"/>
  <c r="F3" i="1"/>
  <c r="B3" i="1"/>
  <c r="B1" i="1"/>
  <c r="A2" i="20"/>
  <c r="A2" i="23" s="1"/>
  <c r="A5" i="21"/>
  <c r="A5" i="25"/>
  <c r="G4" i="24"/>
  <c r="A2" i="21"/>
  <c r="A2" i="22"/>
  <c r="AD1212" i="12" l="1"/>
  <c r="AD1404" i="12"/>
  <c r="AB545" i="12"/>
  <c r="AD746" i="12"/>
  <c r="AB1208" i="12"/>
  <c r="AD1084" i="12"/>
  <c r="AD1197" i="12"/>
  <c r="AD1416" i="12"/>
  <c r="AB94" i="12"/>
  <c r="AB246" i="12"/>
  <c r="AB1016" i="12"/>
  <c r="AB281" i="12"/>
  <c r="AD492" i="12"/>
  <c r="AD576" i="12"/>
  <c r="AB23" i="12"/>
  <c r="AB439" i="12"/>
  <c r="AB1145" i="12"/>
  <c r="AB1205" i="12"/>
  <c r="AD1061" i="12"/>
  <c r="AB1061" i="12"/>
  <c r="AB53" i="12"/>
  <c r="AD53" i="12"/>
  <c r="AD125" i="12"/>
  <c r="AB125" i="12"/>
  <c r="AD280" i="12"/>
  <c r="AB280" i="12"/>
  <c r="AB48" i="12"/>
  <c r="AD589" i="12"/>
  <c r="AB624" i="12"/>
  <c r="AD157" i="12"/>
  <c r="AD644" i="12"/>
  <c r="AD655" i="12"/>
  <c r="AB1324" i="12"/>
  <c r="AD551" i="12"/>
  <c r="AB604" i="12"/>
  <c r="AD852" i="12"/>
  <c r="AB1165" i="12"/>
  <c r="AD1384" i="12"/>
  <c r="AD375" i="12"/>
  <c r="AB1073" i="12"/>
  <c r="AB1412" i="12"/>
  <c r="AD554" i="12"/>
  <c r="AB769" i="12"/>
  <c r="AD1478" i="12"/>
  <c r="AB171" i="12"/>
  <c r="AD1012" i="12"/>
  <c r="AD1064" i="12"/>
  <c r="AB1467" i="12"/>
  <c r="AD106" i="12"/>
  <c r="AD233" i="12"/>
  <c r="AD245" i="12"/>
  <c r="AB759" i="12"/>
  <c r="AB777" i="12"/>
  <c r="AD1457" i="12"/>
  <c r="AD458" i="12"/>
  <c r="AB1517" i="12"/>
  <c r="AD1504" i="12"/>
  <c r="AD612" i="12"/>
  <c r="AB22" i="12"/>
  <c r="AB121" i="12"/>
  <c r="AD392" i="12"/>
  <c r="AB479" i="12"/>
  <c r="AB1037" i="12"/>
  <c r="AD1050" i="12"/>
  <c r="AB1066" i="12"/>
  <c r="AB1397" i="12"/>
  <c r="AB170" i="12"/>
  <c r="AB1483" i="12"/>
  <c r="AB833" i="12"/>
  <c r="AB1336" i="12"/>
  <c r="AD301" i="12"/>
  <c r="AB314" i="12"/>
  <c r="AD343" i="12"/>
  <c r="AB548" i="12"/>
  <c r="AB557" i="12"/>
  <c r="AB1244" i="12"/>
  <c r="AB1270" i="12"/>
  <c r="AD122" i="12"/>
  <c r="AB122" i="12"/>
  <c r="AD253" i="12"/>
  <c r="AB253" i="12"/>
  <c r="AD37" i="12"/>
  <c r="AB37" i="12"/>
  <c r="AD98" i="12"/>
  <c r="AB98" i="12"/>
  <c r="AB248" i="12"/>
  <c r="AD248" i="12"/>
  <c r="AB500" i="12"/>
  <c r="AD500" i="12"/>
  <c r="AD596" i="12"/>
  <c r="AB596" i="12"/>
  <c r="AB377" i="12"/>
  <c r="AD377" i="12"/>
  <c r="AB524" i="12"/>
  <c r="AD524" i="12"/>
  <c r="AD1500" i="12"/>
  <c r="AB1500" i="12"/>
  <c r="AB384" i="12"/>
  <c r="AD384" i="12"/>
  <c r="AD785" i="12"/>
  <c r="AB785" i="12"/>
  <c r="AB85" i="12"/>
  <c r="AD85" i="12"/>
  <c r="AB74" i="12"/>
  <c r="AD74" i="12"/>
  <c r="AD197" i="12"/>
  <c r="AB197" i="12"/>
  <c r="AB112" i="12"/>
  <c r="AD112" i="12"/>
  <c r="AD625" i="12"/>
  <c r="AB625" i="12"/>
  <c r="AD356" i="12"/>
  <c r="AB356" i="12"/>
  <c r="AD407" i="12"/>
  <c r="AB407" i="12"/>
  <c r="AD600" i="12"/>
  <c r="AB600" i="12"/>
  <c r="AB685" i="12"/>
  <c r="AD685" i="12"/>
  <c r="AB743" i="12"/>
  <c r="AD743" i="12"/>
  <c r="AD16" i="12"/>
  <c r="AB16" i="12"/>
  <c r="AB78" i="12"/>
  <c r="AD78" i="12"/>
  <c r="AD169" i="12"/>
  <c r="AB169" i="12"/>
  <c r="AB181" i="12"/>
  <c r="AD181" i="12"/>
  <c r="AB217" i="12"/>
  <c r="AD217" i="12"/>
  <c r="AD333" i="12"/>
  <c r="AB333" i="12"/>
  <c r="AB408" i="12"/>
  <c r="AD408" i="12"/>
  <c r="AD433" i="12"/>
  <c r="AB433" i="12"/>
  <c r="AD1009" i="12"/>
  <c r="AB1009" i="12"/>
  <c r="AB252" i="12"/>
  <c r="AD252" i="12"/>
  <c r="AD410" i="12"/>
  <c r="AB410" i="12"/>
  <c r="AD493" i="12"/>
  <c r="AB493" i="12"/>
  <c r="AD1024" i="12"/>
  <c r="AB1024" i="12"/>
  <c r="AB1387" i="12"/>
  <c r="AD1387" i="12"/>
  <c r="AD1004" i="12"/>
  <c r="AB1004" i="12"/>
  <c r="AD1010" i="12"/>
  <c r="AB1010" i="12"/>
  <c r="AD1305" i="12"/>
  <c r="AB1305" i="12"/>
  <c r="AD1480" i="12"/>
  <c r="AB1480" i="12"/>
  <c r="AB417" i="12"/>
  <c r="AB421" i="12"/>
  <c r="AB631" i="12"/>
  <c r="AD631" i="12"/>
  <c r="AB1103" i="12"/>
  <c r="AD1103" i="12"/>
  <c r="AD1252" i="12"/>
  <c r="AB1252" i="12"/>
  <c r="AB1447" i="12"/>
  <c r="AD1447" i="12"/>
  <c r="AB1459" i="12"/>
  <c r="AD1459" i="12"/>
  <c r="AB38" i="12"/>
  <c r="AD82" i="12"/>
  <c r="AB141" i="12"/>
  <c r="AB184" i="12"/>
  <c r="AB438" i="12"/>
  <c r="AB448" i="12"/>
  <c r="AD448" i="12"/>
  <c r="AD462" i="12"/>
  <c r="AB462" i="12"/>
  <c r="AB561" i="12"/>
  <c r="AB664" i="12"/>
  <c r="AD664" i="12"/>
  <c r="AD770" i="12"/>
  <c r="AB984" i="12"/>
  <c r="AD1196" i="12"/>
  <c r="AB1196" i="12"/>
  <c r="AD1317" i="12"/>
  <c r="AB1317" i="12"/>
  <c r="AD1325" i="12"/>
  <c r="AB1325" i="12"/>
  <c r="AD943" i="12"/>
  <c r="AB943" i="12"/>
  <c r="AB1141" i="12"/>
  <c r="AD1141" i="12"/>
  <c r="AB130" i="12"/>
  <c r="AB559" i="12"/>
  <c r="AD559" i="12"/>
  <c r="AD956" i="12"/>
  <c r="AB956" i="12"/>
  <c r="AB1117" i="12"/>
  <c r="AD1281" i="12"/>
  <c r="AB1281" i="12"/>
  <c r="AB1352" i="12"/>
  <c r="AD1485" i="12"/>
  <c r="AB1485" i="12"/>
  <c r="AB46" i="12"/>
  <c r="AB437" i="12"/>
  <c r="AD437" i="12"/>
  <c r="AB709" i="12"/>
  <c r="AD709" i="12"/>
  <c r="AD932" i="12"/>
  <c r="AB932" i="12"/>
  <c r="AB944" i="12"/>
  <c r="AB1446" i="12"/>
  <c r="AB54" i="12"/>
  <c r="AD144" i="12"/>
  <c r="AB346" i="12"/>
  <c r="AD663" i="12"/>
  <c r="AD1113" i="12"/>
  <c r="AB1113" i="12"/>
  <c r="A28" i="12"/>
  <c r="A29" i="12" s="1"/>
  <c r="AD152" i="12"/>
  <c r="AB206" i="12"/>
  <c r="AB227" i="12"/>
  <c r="AD254" i="12"/>
  <c r="AB269" i="12"/>
  <c r="AB293" i="12"/>
  <c r="AD418" i="12"/>
  <c r="AB521" i="12"/>
  <c r="AB552" i="12"/>
  <c r="AB679" i="12"/>
  <c r="AD679" i="12"/>
  <c r="AD972" i="12"/>
  <c r="AB972" i="12"/>
  <c r="AD1062" i="12"/>
  <c r="AB1062" i="12"/>
  <c r="AB1167" i="12"/>
  <c r="AD1210" i="12"/>
  <c r="AB1229" i="12"/>
  <c r="AD1229" i="12"/>
  <c r="AB1414" i="12"/>
  <c r="AD1414" i="12"/>
  <c r="AD1477" i="12"/>
  <c r="AB1477" i="12"/>
  <c r="AB1036" i="12"/>
  <c r="AD1036" i="12"/>
  <c r="AD267" i="12"/>
  <c r="AB656" i="12"/>
  <c r="AD656" i="12"/>
  <c r="AB675" i="12"/>
  <c r="AD675" i="12"/>
  <c r="AD682" i="12"/>
  <c r="AD796" i="12"/>
  <c r="AB993" i="12"/>
  <c r="AD993" i="12"/>
  <c r="AD393" i="12"/>
  <c r="AB393" i="12"/>
  <c r="AD1007" i="12"/>
  <c r="AB1007" i="12"/>
  <c r="AB1216" i="12"/>
  <c r="AD1216" i="12"/>
  <c r="AB1345" i="12"/>
  <c r="AD1345" i="12"/>
  <c r="AD1369" i="12"/>
  <c r="AB1369" i="12"/>
  <c r="AB1385" i="12"/>
  <c r="AD1385" i="12"/>
  <c r="AB40" i="12"/>
  <c r="AD61" i="12"/>
  <c r="AD66" i="12"/>
  <c r="AD80" i="12"/>
  <c r="AB111" i="12"/>
  <c r="AD182" i="12"/>
  <c r="AB216" i="12"/>
  <c r="AD270" i="12"/>
  <c r="AB406" i="12"/>
  <c r="AD470" i="12"/>
  <c r="AB470" i="12"/>
  <c r="AB537" i="12"/>
  <c r="AB549" i="12"/>
  <c r="AD724" i="12"/>
  <c r="AB1140" i="12"/>
  <c r="AB1151" i="12"/>
  <c r="AD1151" i="12"/>
  <c r="AD1308" i="12"/>
  <c r="AD1327" i="12"/>
  <c r="AD1339" i="12"/>
  <c r="AD1429" i="12"/>
  <c r="AB1429" i="12"/>
  <c r="AB671" i="12"/>
  <c r="AD671" i="12"/>
  <c r="AB692" i="12"/>
  <c r="AD692" i="12"/>
  <c r="AD986" i="12"/>
  <c r="AB986" i="12"/>
  <c r="AD1026" i="12"/>
  <c r="AB1026" i="12"/>
  <c r="AB1122" i="12"/>
  <c r="AD1122" i="12"/>
  <c r="AD1465" i="12"/>
  <c r="AB1465" i="12"/>
  <c r="AD772" i="12"/>
  <c r="AB772" i="12"/>
  <c r="AD793" i="12"/>
  <c r="AB793" i="12"/>
  <c r="AB980" i="12"/>
  <c r="AD980" i="12"/>
  <c r="AD1146" i="12"/>
  <c r="AB1146" i="12"/>
  <c r="AD1170" i="12"/>
  <c r="AB1170" i="12"/>
  <c r="AD1235" i="12"/>
  <c r="AB1235" i="12"/>
  <c r="AD1242" i="12"/>
  <c r="AB1242" i="12"/>
  <c r="AD1461" i="12"/>
  <c r="AB1461" i="12"/>
  <c r="AB1492" i="12"/>
  <c r="AD1492" i="12"/>
  <c r="AD688" i="12"/>
  <c r="AB688" i="12"/>
  <c r="AD815" i="12"/>
  <c r="AB815" i="12"/>
  <c r="AD1204" i="12"/>
  <c r="AB1204" i="12"/>
  <c r="AD1307" i="12"/>
  <c r="AB1307" i="12"/>
  <c r="AD1430" i="12"/>
  <c r="AB1430" i="12"/>
  <c r="AD719" i="12"/>
  <c r="AB754" i="12"/>
  <c r="AB1008" i="12"/>
  <c r="AD1008" i="12"/>
  <c r="AB1175" i="12"/>
  <c r="AD1175" i="12"/>
  <c r="AB1349" i="12"/>
  <c r="AD1399" i="12"/>
  <c r="AD1521" i="12"/>
  <c r="AD1401" i="12"/>
  <c r="AB1401" i="12"/>
  <c r="AD71" i="12"/>
  <c r="AB71" i="12"/>
  <c r="AD79" i="12"/>
  <c r="AB79" i="12"/>
  <c r="AB92" i="12"/>
  <c r="AD92" i="12"/>
  <c r="AB14" i="12"/>
  <c r="AD14" i="12"/>
  <c r="AD56" i="12"/>
  <c r="AB56" i="12"/>
  <c r="AB88" i="12"/>
  <c r="AD88" i="12"/>
  <c r="AB147" i="12"/>
  <c r="AD147" i="12"/>
  <c r="AD189" i="12"/>
  <c r="AB189" i="12"/>
  <c r="A112" i="21"/>
  <c r="T36" i="4"/>
  <c r="Q36" i="4"/>
  <c r="R36" i="4"/>
  <c r="P36" i="4"/>
  <c r="W36" i="4"/>
  <c r="V36" i="4"/>
  <c r="U36" i="4"/>
  <c r="S36" i="4"/>
  <c r="F76" i="1"/>
  <c r="AB84" i="12"/>
  <c r="AD84" i="12"/>
  <c r="AB158" i="12"/>
  <c r="AD158" i="12"/>
  <c r="AD305" i="12"/>
  <c r="AB305" i="12"/>
  <c r="AD67" i="12"/>
  <c r="AB67" i="12"/>
  <c r="AD195" i="12"/>
  <c r="AB195" i="12"/>
  <c r="AB647" i="12"/>
  <c r="AD647" i="12"/>
  <c r="AD629" i="12"/>
  <c r="AB629" i="12"/>
  <c r="AB33" i="12"/>
  <c r="AD33" i="12"/>
  <c r="AB200" i="12"/>
  <c r="AD200" i="12"/>
  <c r="AD59" i="12"/>
  <c r="AB59" i="12"/>
  <c r="AB69" i="12"/>
  <c r="AD69" i="12"/>
  <c r="AB149" i="12"/>
  <c r="AD149" i="12"/>
  <c r="AB373" i="12"/>
  <c r="AD373" i="12"/>
  <c r="AD165" i="12"/>
  <c r="AB165" i="12"/>
  <c r="AB173" i="12"/>
  <c r="AD173" i="12"/>
  <c r="A91" i="21"/>
  <c r="P19" i="4"/>
  <c r="U19" i="4"/>
  <c r="T19" i="4"/>
  <c r="S19" i="4"/>
  <c r="V19" i="4"/>
  <c r="R19" i="4"/>
  <c r="Q19" i="4"/>
  <c r="W19" i="4"/>
  <c r="AB96" i="12"/>
  <c r="AD96" i="12"/>
  <c r="AB109" i="12"/>
  <c r="AD109" i="12"/>
  <c r="AB209" i="12"/>
  <c r="AD209" i="12"/>
  <c r="A232" i="21"/>
  <c r="N61" i="1"/>
  <c r="A100" i="21"/>
  <c r="T26" i="4"/>
  <c r="Q26" i="4"/>
  <c r="H31" i="4"/>
  <c r="I31" i="4"/>
  <c r="K31" i="4"/>
  <c r="D31" i="4"/>
  <c r="F31" i="4"/>
  <c r="G31" i="4"/>
  <c r="E31" i="4"/>
  <c r="J31" i="4"/>
  <c r="H35" i="4"/>
  <c r="I35" i="4"/>
  <c r="K35" i="4"/>
  <c r="D35" i="4"/>
  <c r="A53" i="21" s="1"/>
  <c r="F35" i="4"/>
  <c r="G35" i="4"/>
  <c r="J35" i="4"/>
  <c r="E35" i="4"/>
  <c r="M38" i="4"/>
  <c r="AB459" i="12"/>
  <c r="AD459" i="12"/>
  <c r="AD532" i="12"/>
  <c r="AB532" i="12"/>
  <c r="AD580" i="12"/>
  <c r="AB580" i="12"/>
  <c r="AD602" i="12"/>
  <c r="AB602" i="12"/>
  <c r="AD665" i="12"/>
  <c r="AB665" i="12"/>
  <c r="AB890" i="12"/>
  <c r="AD890" i="12"/>
  <c r="AD976" i="12"/>
  <c r="AB976" i="12"/>
  <c r="AD985" i="12"/>
  <c r="AB985" i="12"/>
  <c r="AD997" i="12"/>
  <c r="AB997" i="12"/>
  <c r="AB1034" i="12"/>
  <c r="AD1034" i="12"/>
  <c r="AB1099" i="12"/>
  <c r="AD1099" i="12"/>
  <c r="AD1119" i="12"/>
  <c r="AB1119" i="12"/>
  <c r="AD1192" i="12"/>
  <c r="AB1192" i="12"/>
  <c r="AB1262" i="12"/>
  <c r="AD1262" i="12"/>
  <c r="AD1282" i="12"/>
  <c r="AB1282" i="12"/>
  <c r="AB1368" i="12"/>
  <c r="AD1368" i="12"/>
  <c r="AB1449" i="12"/>
  <c r="AD1449" i="12"/>
  <c r="J4" i="24"/>
  <c r="N48" i="1"/>
  <c r="A229" i="21"/>
  <c r="N58" i="1"/>
  <c r="J63" i="1"/>
  <c r="J66" i="1"/>
  <c r="N76" i="1"/>
  <c r="AA57" i="10"/>
  <c r="AA89" i="10"/>
  <c r="AA121" i="10"/>
  <c r="AA153" i="10"/>
  <c r="AA185" i="10"/>
  <c r="AA217" i="10"/>
  <c r="AA249" i="10"/>
  <c r="AA261" i="10"/>
  <c r="AA341" i="10"/>
  <c r="AA376" i="10"/>
  <c r="AB65" i="12"/>
  <c r="AB124" i="12"/>
  <c r="AD124" i="12"/>
  <c r="AD133" i="12"/>
  <c r="AB153" i="12"/>
  <c r="AD153" i="12"/>
  <c r="AD160" i="12"/>
  <c r="AD179" i="12"/>
  <c r="AB179" i="12"/>
  <c r="AD222" i="12"/>
  <c r="AB264" i="12"/>
  <c r="AD264" i="12"/>
  <c r="AD272" i="12"/>
  <c r="AB272" i="12"/>
  <c r="AD285" i="12"/>
  <c r="AB285" i="12"/>
  <c r="AD289" i="12"/>
  <c r="AB289" i="12"/>
  <c r="AB329" i="12"/>
  <c r="AD329" i="12"/>
  <c r="AB358" i="12"/>
  <c r="AB387" i="12"/>
  <c r="AD387" i="12"/>
  <c r="AD414" i="12"/>
  <c r="AB414" i="12"/>
  <c r="AD432" i="12"/>
  <c r="AD455" i="12"/>
  <c r="AB455" i="12"/>
  <c r="AD464" i="12"/>
  <c r="AB464" i="12"/>
  <c r="AB472" i="12"/>
  <c r="AD472" i="12"/>
  <c r="AB488" i="12"/>
  <c r="AD488" i="12"/>
  <c r="AD519" i="12"/>
  <c r="AB519" i="12"/>
  <c r="AD564" i="12"/>
  <c r="AB564" i="12"/>
  <c r="AB572" i="12"/>
  <c r="AD572" i="12"/>
  <c r="AB620" i="12"/>
  <c r="AD620" i="12"/>
  <c r="AD633" i="12"/>
  <c r="AB633" i="12"/>
  <c r="AB666" i="12"/>
  <c r="AD666" i="12"/>
  <c r="AB715" i="12"/>
  <c r="AD715" i="12"/>
  <c r="AB727" i="12"/>
  <c r="AD727" i="12"/>
  <c r="AD845" i="12"/>
  <c r="AB845" i="12"/>
  <c r="AB924" i="12"/>
  <c r="AD924" i="12"/>
  <c r="AD935" i="12"/>
  <c r="AB935" i="12"/>
  <c r="AD940" i="12"/>
  <c r="AB940" i="12"/>
  <c r="AD948" i="12"/>
  <c r="AB948" i="12"/>
  <c r="AD1044" i="12"/>
  <c r="AB1044" i="12"/>
  <c r="AB1053" i="12"/>
  <c r="AD1053" i="12"/>
  <c r="AB1187" i="12"/>
  <c r="AD1187" i="12"/>
  <c r="AB1224" i="12"/>
  <c r="AD1224" i="12"/>
  <c r="AB1268" i="12"/>
  <c r="AD1268" i="12"/>
  <c r="AD1329" i="12"/>
  <c r="AB1329" i="12"/>
  <c r="AB1334" i="12"/>
  <c r="AD1334" i="12"/>
  <c r="AD1438" i="12"/>
  <c r="AB1438" i="12"/>
  <c r="A108" i="23"/>
  <c r="A227" i="21"/>
  <c r="A226" i="21"/>
  <c r="N56" i="1"/>
  <c r="F62" i="1"/>
  <c r="F65" i="1"/>
  <c r="M3" i="4"/>
  <c r="S5" i="4"/>
  <c r="A75" i="21"/>
  <c r="P7" i="4"/>
  <c r="U7" i="4"/>
  <c r="P10" i="4"/>
  <c r="A81" i="21"/>
  <c r="P11" i="4"/>
  <c r="U11" i="4"/>
  <c r="P14" i="4"/>
  <c r="A87" i="21"/>
  <c r="P15" i="4"/>
  <c r="U15" i="4"/>
  <c r="S21" i="4"/>
  <c r="P22" i="4"/>
  <c r="M23" i="4"/>
  <c r="P26" i="4"/>
  <c r="M27" i="4"/>
  <c r="S29" i="4"/>
  <c r="P30" i="4"/>
  <c r="M31" i="4"/>
  <c r="S33" i="4"/>
  <c r="P34" i="4"/>
  <c r="M35" i="4"/>
  <c r="S37" i="4"/>
  <c r="AA10" i="10"/>
  <c r="AA23" i="10"/>
  <c r="AA36" i="10"/>
  <c r="AA42" i="10"/>
  <c r="AA54" i="10"/>
  <c r="AA77" i="10"/>
  <c r="AA81" i="10"/>
  <c r="AA86" i="10"/>
  <c r="AA109" i="10"/>
  <c r="AA113" i="10"/>
  <c r="AA118" i="10"/>
  <c r="AA141" i="10"/>
  <c r="AA145" i="10"/>
  <c r="AA150" i="10"/>
  <c r="AA173" i="10"/>
  <c r="AA177" i="10"/>
  <c r="AA182" i="10"/>
  <c r="AA205" i="10"/>
  <c r="AA209" i="10"/>
  <c r="AA214" i="10"/>
  <c r="AA237" i="10"/>
  <c r="AA241" i="10"/>
  <c r="AA246" i="10"/>
  <c r="AA338" i="10"/>
  <c r="AA347" i="10"/>
  <c r="AA354" i="10"/>
  <c r="AA357" i="10"/>
  <c r="AA368" i="10"/>
  <c r="AA379" i="10"/>
  <c r="AA389" i="10"/>
  <c r="AA457" i="10"/>
  <c r="AD10" i="12"/>
  <c r="AD24" i="12"/>
  <c r="AB24" i="12"/>
  <c r="AD28" i="12"/>
  <c r="AB70" i="12"/>
  <c r="AD70" i="12"/>
  <c r="AB99" i="12"/>
  <c r="AD99" i="12"/>
  <c r="AB108" i="12"/>
  <c r="AD108" i="12"/>
  <c r="AD193" i="12"/>
  <c r="AB193" i="12"/>
  <c r="AD201" i="12"/>
  <c r="AB205" i="12"/>
  <c r="AD205" i="12"/>
  <c r="AB208" i="12"/>
  <c r="AD240" i="12"/>
  <c r="AB240" i="12"/>
  <c r="AD260" i="12"/>
  <c r="AB277" i="12"/>
  <c r="AB325" i="12"/>
  <c r="AD325" i="12"/>
  <c r="AB364" i="12"/>
  <c r="AD364" i="12"/>
  <c r="AB369" i="12"/>
  <c r="AD369" i="12"/>
  <c r="AB398" i="12"/>
  <c r="AB428" i="12"/>
  <c r="AD465" i="12"/>
  <c r="AB465" i="12"/>
  <c r="AD497" i="12"/>
  <c r="AB497" i="12"/>
  <c r="AD501" i="12"/>
  <c r="AB501" i="12"/>
  <c r="AD506" i="12"/>
  <c r="AB529" i="12"/>
  <c r="AB599" i="12"/>
  <c r="AD599" i="12"/>
  <c r="AB615" i="12"/>
  <c r="AD615" i="12"/>
  <c r="AD642" i="12"/>
  <c r="AB642" i="12"/>
  <c r="AD657" i="12"/>
  <c r="AB657" i="12"/>
  <c r="AD677" i="12"/>
  <c r="AB677" i="12"/>
  <c r="AD728" i="12"/>
  <c r="AB728" i="12"/>
  <c r="AB739" i="12"/>
  <c r="AD739" i="12"/>
  <c r="AD764" i="12"/>
  <c r="AB764" i="12"/>
  <c r="AD804" i="12"/>
  <c r="AB804" i="12"/>
  <c r="AB820" i="12"/>
  <c r="AD820" i="12"/>
  <c r="AD860" i="12"/>
  <c r="AB860" i="12"/>
  <c r="AB891" i="12"/>
  <c r="AD891" i="12"/>
  <c r="AB909" i="12"/>
  <c r="AD909" i="12"/>
  <c r="AD920" i="12"/>
  <c r="AB920" i="12"/>
  <c r="AB964" i="12"/>
  <c r="AD964" i="12"/>
  <c r="AD990" i="12"/>
  <c r="AB990" i="12"/>
  <c r="AD1022" i="12"/>
  <c r="AB1022" i="12"/>
  <c r="AB1040" i="12"/>
  <c r="AD1040" i="12"/>
  <c r="AD1063" i="12"/>
  <c r="AB1063" i="12"/>
  <c r="AB1067" i="12"/>
  <c r="AD1067" i="12"/>
  <c r="AD1100" i="12"/>
  <c r="AB1100" i="12"/>
  <c r="AD1220" i="12"/>
  <c r="AB1220" i="12"/>
  <c r="AB1263" i="12"/>
  <c r="AD1263" i="12"/>
  <c r="AD1398" i="12"/>
  <c r="AB1398" i="12"/>
  <c r="AD1403" i="12"/>
  <c r="AB1403" i="12"/>
  <c r="AB1502" i="12"/>
  <c r="AD1502" i="12"/>
  <c r="AB1524" i="12"/>
  <c r="AD1524" i="12"/>
  <c r="A70" i="21"/>
  <c r="T2" i="4"/>
  <c r="Q2" i="4"/>
  <c r="A74" i="21"/>
  <c r="T6" i="4"/>
  <c r="Q6" i="4"/>
  <c r="A90" i="21"/>
  <c r="T18" i="4"/>
  <c r="Q18" i="4"/>
  <c r="AD42" i="12"/>
  <c r="AB42" i="12"/>
  <c r="AB58" i="12"/>
  <c r="AD58" i="12"/>
  <c r="AD87" i="12"/>
  <c r="AB87" i="12"/>
  <c r="AB128" i="12"/>
  <c r="AD128" i="12"/>
  <c r="AB137" i="12"/>
  <c r="AD137" i="12"/>
  <c r="AD229" i="12"/>
  <c r="AB229" i="12"/>
  <c r="AD383" i="12"/>
  <c r="AB383" i="12"/>
  <c r="AD536" i="12"/>
  <c r="AB536" i="12"/>
  <c r="AD676" i="12"/>
  <c r="AB676" i="12"/>
  <c r="AB763" i="12"/>
  <c r="AD763" i="12"/>
  <c r="AD788" i="12"/>
  <c r="AB788" i="12"/>
  <c r="AB819" i="12"/>
  <c r="AD819" i="12"/>
  <c r="AD836" i="12"/>
  <c r="AB836" i="12"/>
  <c r="AD908" i="12"/>
  <c r="AB908" i="12"/>
  <c r="A208" i="21"/>
  <c r="N53" i="1"/>
  <c r="R2" i="4"/>
  <c r="R6" i="4"/>
  <c r="R10" i="4"/>
  <c r="R30" i="4"/>
  <c r="AB32" i="12"/>
  <c r="AD32" i="12"/>
  <c r="AB52" i="12"/>
  <c r="AD52" i="12"/>
  <c r="AD194" i="12"/>
  <c r="AB194" i="12"/>
  <c r="AD241" i="12"/>
  <c r="AB241" i="12"/>
  <c r="AB261" i="12"/>
  <c r="AD261" i="12"/>
  <c r="AD569" i="12"/>
  <c r="AB569" i="12"/>
  <c r="AD591" i="12"/>
  <c r="AB591" i="12"/>
  <c r="AD756" i="12"/>
  <c r="AB756" i="12"/>
  <c r="AD781" i="12"/>
  <c r="AB781" i="12"/>
  <c r="AB795" i="12"/>
  <c r="AD795" i="12"/>
  <c r="AD825" i="12"/>
  <c r="AB825" i="12"/>
  <c r="AB837" i="12"/>
  <c r="AD837" i="12"/>
  <c r="AB930" i="12"/>
  <c r="AD930" i="12"/>
  <c r="AD936" i="12"/>
  <c r="AB936" i="12"/>
  <c r="AD1014" i="12"/>
  <c r="AB1014" i="12"/>
  <c r="AB1031" i="12"/>
  <c r="AD1031" i="12"/>
  <c r="AB1060" i="12"/>
  <c r="AD1060" i="12"/>
  <c r="AD1124" i="12"/>
  <c r="AB1124" i="12"/>
  <c r="AB1188" i="12"/>
  <c r="AD1188" i="12"/>
  <c r="AB1254" i="12"/>
  <c r="AD1254" i="12"/>
  <c r="AB1312" i="12"/>
  <c r="AD1312" i="12"/>
  <c r="AD1356" i="12"/>
  <c r="AB1356" i="12"/>
  <c r="AD1472" i="12"/>
  <c r="AB1472" i="12"/>
  <c r="AB1494" i="12"/>
  <c r="AD1494" i="12"/>
  <c r="J21" i="24"/>
  <c r="A44" i="20"/>
  <c r="F20" i="1"/>
  <c r="A205" i="21"/>
  <c r="N50" i="1"/>
  <c r="F57" i="1"/>
  <c r="J62" i="1"/>
  <c r="S2" i="4"/>
  <c r="M4" i="4"/>
  <c r="V5" i="4"/>
  <c r="S6" i="4"/>
  <c r="A78" i="21"/>
  <c r="T8" i="4"/>
  <c r="Q8" i="4"/>
  <c r="H9" i="4"/>
  <c r="I9" i="4"/>
  <c r="A23" i="21" s="1"/>
  <c r="K9" i="4"/>
  <c r="D9" i="4"/>
  <c r="F9" i="4"/>
  <c r="G9" i="4"/>
  <c r="E9" i="4"/>
  <c r="J9" i="4"/>
  <c r="S10" i="4"/>
  <c r="M12" i="4"/>
  <c r="S14" i="4"/>
  <c r="M16" i="4"/>
  <c r="H17" i="4"/>
  <c r="I17" i="4"/>
  <c r="K17" i="4"/>
  <c r="D17" i="4"/>
  <c r="F17" i="4"/>
  <c r="G17" i="4"/>
  <c r="E17" i="4"/>
  <c r="J17" i="4"/>
  <c r="S18" i="4"/>
  <c r="A92" i="21"/>
  <c r="T20" i="4"/>
  <c r="Q20" i="4"/>
  <c r="V21" i="4"/>
  <c r="S22" i="4"/>
  <c r="A98" i="21"/>
  <c r="T24" i="4"/>
  <c r="Q24" i="4"/>
  <c r="H25" i="4"/>
  <c r="I25" i="4"/>
  <c r="K25" i="4"/>
  <c r="D25" i="4"/>
  <c r="F25" i="4"/>
  <c r="G25" i="4"/>
  <c r="E25" i="4"/>
  <c r="J25" i="4"/>
  <c r="S26" i="4"/>
  <c r="M28" i="4"/>
  <c r="H29" i="4"/>
  <c r="I29" i="4"/>
  <c r="K29" i="4"/>
  <c r="D29" i="4"/>
  <c r="F29" i="4"/>
  <c r="G29" i="4"/>
  <c r="E29" i="4"/>
  <c r="A45" i="21" s="1"/>
  <c r="J29" i="4"/>
  <c r="V29" i="4"/>
  <c r="S30" i="4"/>
  <c r="A106" i="21"/>
  <c r="T32" i="4"/>
  <c r="Q32" i="4"/>
  <c r="V33" i="4"/>
  <c r="S34" i="4"/>
  <c r="H37" i="4"/>
  <c r="I37" i="4"/>
  <c r="K37" i="4"/>
  <c r="D37" i="4"/>
  <c r="F37" i="4"/>
  <c r="G37" i="4"/>
  <c r="E37" i="4"/>
  <c r="J37" i="4"/>
  <c r="V37" i="4"/>
  <c r="B12" i="10"/>
  <c r="C11" i="10"/>
  <c r="D11" i="10" s="1"/>
  <c r="AA15" i="10"/>
  <c r="AA28" i="10"/>
  <c r="AA34" i="10"/>
  <c r="AA47" i="10"/>
  <c r="AA56" i="10"/>
  <c r="AA80" i="10"/>
  <c r="AA88" i="10"/>
  <c r="AA112" i="10"/>
  <c r="AA120" i="10"/>
  <c r="AA144" i="10"/>
  <c r="AA152" i="10"/>
  <c r="AA176" i="10"/>
  <c r="AA184" i="10"/>
  <c r="AA208" i="10"/>
  <c r="AA216" i="10"/>
  <c r="AA240" i="10"/>
  <c r="AA248" i="10"/>
  <c r="AA281" i="10"/>
  <c r="AA321" i="10"/>
  <c r="AA340" i="10"/>
  <c r="AA417" i="10"/>
  <c r="AA442" i="10"/>
  <c r="AD113" i="12"/>
  <c r="AB113" i="12"/>
  <c r="AD142" i="12"/>
  <c r="AB190" i="12"/>
  <c r="AD190" i="12"/>
  <c r="AB224" i="12"/>
  <c r="AD224" i="12"/>
  <c r="AB235" i="12"/>
  <c r="AD235" i="12"/>
  <c r="AD242" i="12"/>
  <c r="AB242" i="12"/>
  <c r="AD250" i="12"/>
  <c r="AB250" i="12"/>
  <c r="AD257" i="12"/>
  <c r="AD266" i="12"/>
  <c r="AB266" i="12"/>
  <c r="AB286" i="12"/>
  <c r="AB291" i="12"/>
  <c r="AD291" i="12"/>
  <c r="AB351" i="12"/>
  <c r="AD351" i="12"/>
  <c r="AB360" i="12"/>
  <c r="AD360" i="12"/>
  <c r="AD457" i="12"/>
  <c r="AB457" i="12"/>
  <c r="AD525" i="12"/>
  <c r="AB525" i="12"/>
  <c r="AD578" i="12"/>
  <c r="AB578" i="12"/>
  <c r="AD626" i="12"/>
  <c r="AB626" i="12"/>
  <c r="AB635" i="12"/>
  <c r="AD635" i="12"/>
  <c r="AB668" i="12"/>
  <c r="AD668" i="12"/>
  <c r="AB699" i="12"/>
  <c r="AD699" i="12"/>
  <c r="AD711" i="12"/>
  <c r="AB711" i="12"/>
  <c r="AB735" i="12"/>
  <c r="AD735" i="12"/>
  <c r="AD740" i="12"/>
  <c r="AB740" i="12"/>
  <c r="AD761" i="12"/>
  <c r="AB761" i="12"/>
  <c r="AD834" i="12"/>
  <c r="AB834" i="12"/>
  <c r="AD847" i="12"/>
  <c r="AB847" i="12"/>
  <c r="AD856" i="12"/>
  <c r="AB856" i="12"/>
  <c r="AD887" i="12"/>
  <c r="AB887" i="12"/>
  <c r="AD901" i="12"/>
  <c r="AB901" i="12"/>
  <c r="AB917" i="12"/>
  <c r="AD917" i="12"/>
  <c r="AD960" i="12"/>
  <c r="AB960" i="12"/>
  <c r="AD974" i="12"/>
  <c r="AB974" i="12"/>
  <c r="AB978" i="12"/>
  <c r="AD978" i="12"/>
  <c r="AB1087" i="12"/>
  <c r="AD1087" i="12"/>
  <c r="AB1092" i="12"/>
  <c r="AD1092" i="12"/>
  <c r="AD1164" i="12"/>
  <c r="AB1164" i="12"/>
  <c r="AD1293" i="12"/>
  <c r="AB1293" i="12"/>
  <c r="AD1340" i="12"/>
  <c r="AB1340" i="12"/>
  <c r="A2" i="25"/>
  <c r="F6" i="24"/>
  <c r="A201" i="21"/>
  <c r="N46" i="1"/>
  <c r="F54" i="1"/>
  <c r="N60" i="1"/>
  <c r="A236" i="21"/>
  <c r="N65" i="1"/>
  <c r="U2" i="4"/>
  <c r="U6" i="4"/>
  <c r="R7" i="4"/>
  <c r="R11" i="4"/>
  <c r="R15" i="4"/>
  <c r="U18" i="4"/>
  <c r="U26" i="4"/>
  <c r="AA53" i="10"/>
  <c r="AA68" i="10"/>
  <c r="AA85" i="10"/>
  <c r="AA100" i="10"/>
  <c r="AA117" i="10"/>
  <c r="AA132" i="10"/>
  <c r="AA149" i="10"/>
  <c r="AA164" i="10"/>
  <c r="AA181" i="10"/>
  <c r="AA196" i="10"/>
  <c r="AA213" i="10"/>
  <c r="AA228" i="10"/>
  <c r="AA245" i="10"/>
  <c r="AA284" i="10"/>
  <c r="AA288" i="10"/>
  <c r="AA324" i="10"/>
  <c r="AA337" i="10"/>
  <c r="AA349" i="10"/>
  <c r="AA409" i="10"/>
  <c r="AD15" i="12"/>
  <c r="AD18" i="12"/>
  <c r="AD26" i="12"/>
  <c r="AD72" i="12"/>
  <c r="AB72" i="12"/>
  <c r="AD105" i="12"/>
  <c r="AB118" i="12"/>
  <c r="AB126" i="12"/>
  <c r="AD126" i="12"/>
  <c r="AB155" i="12"/>
  <c r="AD213" i="12"/>
  <c r="AB213" i="12"/>
  <c r="AD238" i="12"/>
  <c r="AB238" i="12"/>
  <c r="AD262" i="12"/>
  <c r="AD296" i="12"/>
  <c r="AB296" i="12"/>
  <c r="AD309" i="12"/>
  <c r="AB309" i="12"/>
  <c r="AB420" i="12"/>
  <c r="AD420" i="12"/>
  <c r="AD452" i="12"/>
  <c r="AB452" i="12"/>
  <c r="AB507" i="12"/>
  <c r="AD507" i="12"/>
  <c r="AD538" i="12"/>
  <c r="AB538" i="12"/>
  <c r="AB669" i="12"/>
  <c r="AD669" i="12"/>
  <c r="AD695" i="12"/>
  <c r="AB695" i="12"/>
  <c r="AD730" i="12"/>
  <c r="AB730" i="12"/>
  <c r="AB771" i="12"/>
  <c r="AD771" i="12"/>
  <c r="AB792" i="12"/>
  <c r="AD792" i="12"/>
  <c r="AD817" i="12"/>
  <c r="AB817" i="12"/>
  <c r="AD821" i="12"/>
  <c r="AB821" i="12"/>
  <c r="AB971" i="12"/>
  <c r="AD971" i="12"/>
  <c r="AD1068" i="12"/>
  <c r="AB1068" i="12"/>
  <c r="AB1079" i="12"/>
  <c r="AD1079" i="12"/>
  <c r="AB1179" i="12"/>
  <c r="AD1179" i="12"/>
  <c r="AD1185" i="12"/>
  <c r="AB1185" i="12"/>
  <c r="AB1231" i="12"/>
  <c r="AD1231" i="12"/>
  <c r="AB1260" i="12"/>
  <c r="AD1260" i="12"/>
  <c r="AD1274" i="12"/>
  <c r="AB1274" i="12"/>
  <c r="AB1280" i="12"/>
  <c r="AD1280" i="12"/>
  <c r="AD1321" i="12"/>
  <c r="AB1321" i="12"/>
  <c r="AD1444" i="12"/>
  <c r="AB1444" i="12"/>
  <c r="AD174" i="12"/>
  <c r="AB174" i="12"/>
  <c r="AD912" i="12"/>
  <c r="AB912" i="12"/>
  <c r="AB922" i="12"/>
  <c r="AD922" i="12"/>
  <c r="AD927" i="12"/>
  <c r="AB927" i="12"/>
  <c r="AB952" i="12"/>
  <c r="AD952" i="12"/>
  <c r="AD988" i="12"/>
  <c r="AB988" i="12"/>
  <c r="AB996" i="12"/>
  <c r="AD996" i="12"/>
  <c r="AD1056" i="12"/>
  <c r="AB1056" i="12"/>
  <c r="AD1088" i="12"/>
  <c r="AB1088" i="12"/>
  <c r="AD1114" i="12"/>
  <c r="AB1114" i="12"/>
  <c r="AD1180" i="12"/>
  <c r="AB1180" i="12"/>
  <c r="AD1523" i="12"/>
  <c r="AB1523" i="12"/>
  <c r="A80" i="21"/>
  <c r="T10" i="4"/>
  <c r="Q10" i="4"/>
  <c r="A86" i="21"/>
  <c r="T14" i="4"/>
  <c r="Q14" i="4"/>
  <c r="A94" i="21"/>
  <c r="T22" i="4"/>
  <c r="Q22" i="4"/>
  <c r="H27" i="4"/>
  <c r="I27" i="4"/>
  <c r="K27" i="4"/>
  <c r="D27" i="4"/>
  <c r="F27" i="4"/>
  <c r="G27" i="4"/>
  <c r="J27" i="4"/>
  <c r="E27" i="4"/>
  <c r="A104" i="21"/>
  <c r="T30" i="4"/>
  <c r="Q30" i="4"/>
  <c r="A110" i="21"/>
  <c r="T34" i="4"/>
  <c r="Q34" i="4"/>
  <c r="AB27" i="12"/>
  <c r="AD27" i="12"/>
  <c r="AB91" i="12"/>
  <c r="AD91" i="12"/>
  <c r="AD315" i="12"/>
  <c r="AB315" i="12"/>
  <c r="AB320" i="12"/>
  <c r="AD320" i="12"/>
  <c r="AD348" i="12"/>
  <c r="AB348" i="12"/>
  <c r="AB386" i="12"/>
  <c r="AD386" i="12"/>
  <c r="AD476" i="12"/>
  <c r="AB476" i="12"/>
  <c r="AB823" i="12"/>
  <c r="AD823" i="12"/>
  <c r="R14" i="4"/>
  <c r="R18" i="4"/>
  <c r="R22" i="4"/>
  <c r="R26" i="4"/>
  <c r="R34" i="4"/>
  <c r="AB104" i="12"/>
  <c r="AD104" i="12"/>
  <c r="AB117" i="12"/>
  <c r="AD117" i="12"/>
  <c r="AB134" i="12"/>
  <c r="AD134" i="12"/>
  <c r="AD186" i="12"/>
  <c r="AB186" i="12"/>
  <c r="AB219" i="12"/>
  <c r="AD219" i="12"/>
  <c r="AB308" i="12"/>
  <c r="AD308" i="12"/>
  <c r="AB317" i="12"/>
  <c r="AD317" i="12"/>
  <c r="AD334" i="12"/>
  <c r="AB334" i="12"/>
  <c r="AD388" i="12"/>
  <c r="AB388" i="12"/>
  <c r="AD429" i="12"/>
  <c r="AB429" i="12"/>
  <c r="AB515" i="12"/>
  <c r="AD515" i="12"/>
  <c r="AD556" i="12"/>
  <c r="AB556" i="12"/>
  <c r="AD652" i="12"/>
  <c r="AB652" i="12"/>
  <c r="AB716" i="12"/>
  <c r="AD716" i="12"/>
  <c r="F22" i="1"/>
  <c r="A246" i="21"/>
  <c r="J64" i="1"/>
  <c r="V2" i="4"/>
  <c r="A73" i="21"/>
  <c r="P5" i="4"/>
  <c r="U5" i="4"/>
  <c r="V6" i="4"/>
  <c r="M9" i="4"/>
  <c r="V10" i="4"/>
  <c r="M13" i="4"/>
  <c r="V14" i="4"/>
  <c r="M17" i="4"/>
  <c r="V18" i="4"/>
  <c r="A93" i="21"/>
  <c r="P21" i="4"/>
  <c r="U21" i="4"/>
  <c r="V22" i="4"/>
  <c r="M25" i="4"/>
  <c r="V26" i="4"/>
  <c r="A103" i="21"/>
  <c r="P29" i="4"/>
  <c r="U29" i="4"/>
  <c r="V30" i="4"/>
  <c r="A107" i="21"/>
  <c r="P33" i="4"/>
  <c r="U33" i="4"/>
  <c r="V34" i="4"/>
  <c r="A113" i="21"/>
  <c r="P37" i="4"/>
  <c r="U37" i="4"/>
  <c r="AB57" i="12"/>
  <c r="AD57" i="12"/>
  <c r="AD90" i="12"/>
  <c r="AB90" i="12"/>
  <c r="AD101" i="12"/>
  <c r="AB101" i="12"/>
  <c r="AB140" i="12"/>
  <c r="AD140" i="12"/>
  <c r="AD163" i="12"/>
  <c r="AB163" i="12"/>
  <c r="AB196" i="12"/>
  <c r="AD196" i="12"/>
  <c r="AB236" i="12"/>
  <c r="AD236" i="12"/>
  <c r="AD251" i="12"/>
  <c r="AB251" i="12"/>
  <c r="AD258" i="12"/>
  <c r="AB258" i="12"/>
  <c r="AB292" i="12"/>
  <c r="AD292" i="12"/>
  <c r="AB353" i="12"/>
  <c r="AD353" i="12"/>
  <c r="AB385" i="12"/>
  <c r="AD385" i="12"/>
  <c r="AB395" i="12"/>
  <c r="AD395" i="12"/>
  <c r="AB400" i="12"/>
  <c r="AD400" i="12"/>
  <c r="AD426" i="12"/>
  <c r="AB426" i="12"/>
  <c r="AD445" i="12"/>
  <c r="AB445" i="12"/>
  <c r="AD471" i="12"/>
  <c r="AB471" i="12"/>
  <c r="AB483" i="12"/>
  <c r="AD483" i="12"/>
  <c r="AB508" i="12"/>
  <c r="AD508" i="12"/>
  <c r="AD543" i="12"/>
  <c r="AB543" i="12"/>
  <c r="AD588" i="12"/>
  <c r="AB588" i="12"/>
  <c r="AD605" i="12"/>
  <c r="AB605" i="12"/>
  <c r="AD636" i="12"/>
  <c r="AB636" i="12"/>
  <c r="AD640" i="12"/>
  <c r="AB640" i="12"/>
  <c r="AD684" i="12"/>
  <c r="AB684" i="12"/>
  <c r="AB731" i="12"/>
  <c r="AD731" i="12"/>
  <c r="AD775" i="12"/>
  <c r="AB775" i="12"/>
  <c r="AB812" i="12"/>
  <c r="AD812" i="12"/>
  <c r="AB827" i="12"/>
  <c r="AD827" i="12"/>
  <c r="AB858" i="12"/>
  <c r="AD858" i="12"/>
  <c r="J16" i="24"/>
  <c r="N47" i="1"/>
  <c r="F55" i="1"/>
  <c r="A217" i="21"/>
  <c r="F63" i="1"/>
  <c r="F66" i="1"/>
  <c r="W2" i="4"/>
  <c r="W6" i="4"/>
  <c r="R8" i="4"/>
  <c r="W10" i="4"/>
  <c r="W14" i="4"/>
  <c r="W18" i="4"/>
  <c r="R20" i="4"/>
  <c r="W22" i="4"/>
  <c r="R24" i="4"/>
  <c r="W26" i="4"/>
  <c r="W30" i="4"/>
  <c r="R32" i="4"/>
  <c r="W34" i="4"/>
  <c r="AA55" i="10"/>
  <c r="AA87" i="10"/>
  <c r="AA119" i="10"/>
  <c r="AA151" i="10"/>
  <c r="AA183" i="10"/>
  <c r="AA215" i="10"/>
  <c r="AA247" i="10"/>
  <c r="AA339" i="10"/>
  <c r="AA377" i="10"/>
  <c r="AA387" i="10"/>
  <c r="AA419" i="10"/>
  <c r="AB8" i="12"/>
  <c r="AD8" i="12"/>
  <c r="AD30" i="12"/>
  <c r="AB30" i="12"/>
  <c r="AB34" i="12"/>
  <c r="AD41" i="12"/>
  <c r="AB41" i="12"/>
  <c r="AB64" i="12"/>
  <c r="AB73" i="12"/>
  <c r="AB76" i="12"/>
  <c r="AD76" i="12"/>
  <c r="AB115" i="12"/>
  <c r="AB132" i="12"/>
  <c r="AD132" i="12"/>
  <c r="AB214" i="12"/>
  <c r="AD228" i="12"/>
  <c r="AD232" i="12"/>
  <c r="AB232" i="12"/>
  <c r="AD288" i="12"/>
  <c r="AB288" i="12"/>
  <c r="AB328" i="12"/>
  <c r="AD328" i="12"/>
  <c r="AD336" i="12"/>
  <c r="AB336" i="12"/>
  <c r="AB362" i="12"/>
  <c r="AD362" i="12"/>
  <c r="AD382" i="12"/>
  <c r="AB382" i="12"/>
  <c r="AD391" i="12"/>
  <c r="AB391" i="12"/>
  <c r="AD441" i="12"/>
  <c r="AB495" i="12"/>
  <c r="AD495" i="12"/>
  <c r="AD504" i="12"/>
  <c r="AB504" i="12"/>
  <c r="AD527" i="12"/>
  <c r="AB527" i="12"/>
  <c r="AB539" i="12"/>
  <c r="AD539" i="12"/>
  <c r="AD628" i="12"/>
  <c r="AB628" i="12"/>
  <c r="AD632" i="12"/>
  <c r="AD660" i="12"/>
  <c r="AD705" i="12"/>
  <c r="AB705" i="12"/>
  <c r="AD732" i="12"/>
  <c r="AB732" i="12"/>
  <c r="AB748" i="12"/>
  <c r="AD748" i="12"/>
  <c r="AB768" i="12"/>
  <c r="AD768" i="12"/>
  <c r="AB797" i="12"/>
  <c r="AD797" i="12"/>
  <c r="AB807" i="12"/>
  <c r="AD807" i="12"/>
  <c r="AD844" i="12"/>
  <c r="AB844" i="12"/>
  <c r="AD849" i="12"/>
  <c r="AB849" i="12"/>
  <c r="AD913" i="12"/>
  <c r="AB913" i="12"/>
  <c r="AD933" i="12"/>
  <c r="AB933" i="12"/>
  <c r="AD962" i="12"/>
  <c r="AB962" i="12"/>
  <c r="AD1038" i="12"/>
  <c r="AB1038" i="12"/>
  <c r="AD1143" i="12"/>
  <c r="AB1143" i="12"/>
  <c r="AD1218" i="12"/>
  <c r="AB1218" i="12"/>
  <c r="AD1266" i="12"/>
  <c r="AB1266" i="12"/>
  <c r="AB1419" i="12"/>
  <c r="AD1419" i="12"/>
  <c r="AD1425" i="12"/>
  <c r="AB1425" i="12"/>
  <c r="AB706" i="12"/>
  <c r="AD706" i="12"/>
  <c r="AB883" i="12"/>
  <c r="AD883" i="12"/>
  <c r="AB955" i="12"/>
  <c r="AD955" i="12"/>
  <c r="AB1080" i="12"/>
  <c r="AD1080" i="12"/>
  <c r="AB1096" i="12"/>
  <c r="AD1096" i="12"/>
  <c r="AB1245" i="12"/>
  <c r="AD1245" i="12"/>
  <c r="AB1275" i="12"/>
  <c r="AD1275" i="12"/>
  <c r="AB1302" i="12"/>
  <c r="AD1302" i="12"/>
  <c r="AD1323" i="12"/>
  <c r="AB1323" i="12"/>
  <c r="AB1377" i="12"/>
  <c r="AD1377" i="12"/>
  <c r="AB1393" i="12"/>
  <c r="AD1393" i="12"/>
  <c r="AB1441" i="12"/>
  <c r="AD1441" i="12"/>
  <c r="AD1448" i="12"/>
  <c r="AB1448" i="12"/>
  <c r="AD1497" i="12"/>
  <c r="AB1497" i="12"/>
  <c r="A199" i="21"/>
  <c r="A200" i="21"/>
  <c r="A188" i="21"/>
  <c r="A187" i="21"/>
  <c r="A215" i="21"/>
  <c r="A214" i="21"/>
  <c r="AA60" i="10"/>
  <c r="AA92" i="10"/>
  <c r="AA124" i="10"/>
  <c r="AA156" i="10"/>
  <c r="AA188" i="10"/>
  <c r="AA220" i="10"/>
  <c r="AA252" i="10"/>
  <c r="AB35" i="12"/>
  <c r="AD35" i="12"/>
  <c r="AB188" i="12"/>
  <c r="AD188" i="12"/>
  <c r="AD221" i="12"/>
  <c r="AB221" i="12"/>
  <c r="AB259" i="12"/>
  <c r="AD259" i="12"/>
  <c r="AB587" i="12"/>
  <c r="AD587" i="12"/>
  <c r="AB717" i="12"/>
  <c r="AD717" i="12"/>
  <c r="AB721" i="12"/>
  <c r="AB741" i="12"/>
  <c r="AD784" i="12"/>
  <c r="AD799" i="12"/>
  <c r="AB799" i="12"/>
  <c r="AB803" i="12"/>
  <c r="AD803" i="12"/>
  <c r="AD879" i="12"/>
  <c r="AB916" i="12"/>
  <c r="AD947" i="12"/>
  <c r="AD999" i="12"/>
  <c r="AB999" i="12"/>
  <c r="AD1003" i="12"/>
  <c r="AD1030" i="12"/>
  <c r="AB1030" i="12"/>
  <c r="AD1121" i="12"/>
  <c r="AB1121" i="12"/>
  <c r="AD1132" i="12"/>
  <c r="AB1132" i="12"/>
  <c r="AD1154" i="12"/>
  <c r="AB1154" i="12"/>
  <c r="AD1294" i="12"/>
  <c r="AB1294" i="12"/>
  <c r="AB1344" i="12"/>
  <c r="AD1344" i="12"/>
  <c r="AB1382" i="12"/>
  <c r="AD1382" i="12"/>
  <c r="AD1445" i="12"/>
  <c r="AB1445" i="12"/>
  <c r="AB1473" i="12"/>
  <c r="AD1473" i="12"/>
  <c r="AD1481" i="12"/>
  <c r="AB1481" i="12"/>
  <c r="AB1510" i="12"/>
  <c r="AD1510" i="12"/>
  <c r="AB1519" i="12"/>
  <c r="AD1519" i="12"/>
  <c r="AB571" i="12"/>
  <c r="AD571" i="12"/>
  <c r="AB658" i="12"/>
  <c r="AD658" i="12"/>
  <c r="AD673" i="12"/>
  <c r="AB673" i="12"/>
  <c r="AB725" i="12"/>
  <c r="AD725" i="12"/>
  <c r="AB779" i="12"/>
  <c r="AD779" i="12"/>
  <c r="AB888" i="12"/>
  <c r="AD888" i="12"/>
  <c r="AD1000" i="12"/>
  <c r="AB1000" i="12"/>
  <c r="AB1065" i="12"/>
  <c r="AD1065" i="12"/>
  <c r="AD1089" i="12"/>
  <c r="AB1089" i="12"/>
  <c r="AB1093" i="12"/>
  <c r="AD1093" i="12"/>
  <c r="AD1104" i="12"/>
  <c r="AB1104" i="12"/>
  <c r="AD1112" i="12"/>
  <c r="AB1112" i="12"/>
  <c r="AB1194" i="12"/>
  <c r="AD1194" i="12"/>
  <c r="AB1237" i="12"/>
  <c r="AD1237" i="12"/>
  <c r="AB1299" i="12"/>
  <c r="AD1299" i="12"/>
  <c r="AD1337" i="12"/>
  <c r="AB1337" i="12"/>
  <c r="AD1361" i="12"/>
  <c r="AB1361" i="12"/>
  <c r="AD1408" i="12"/>
  <c r="AB1408" i="12"/>
  <c r="AB1423" i="12"/>
  <c r="AD1423" i="12"/>
  <c r="AD1470" i="12"/>
  <c r="AB1470" i="12"/>
  <c r="AB1507" i="12"/>
  <c r="AD1507" i="12"/>
  <c r="H24" i="4"/>
  <c r="I24" i="4"/>
  <c r="K24" i="4"/>
  <c r="D24" i="4"/>
  <c r="A40" i="21" s="1"/>
  <c r="E24" i="4"/>
  <c r="F24" i="4"/>
  <c r="G24" i="4"/>
  <c r="J24" i="4"/>
  <c r="H26" i="4"/>
  <c r="I26" i="4"/>
  <c r="K26" i="4"/>
  <c r="D26" i="4"/>
  <c r="A42" i="21" s="1"/>
  <c r="E26" i="4"/>
  <c r="F26" i="4"/>
  <c r="G26" i="4"/>
  <c r="J26" i="4"/>
  <c r="H28" i="4"/>
  <c r="I28" i="4"/>
  <c r="K28" i="4"/>
  <c r="D28" i="4"/>
  <c r="A44" i="21" s="1"/>
  <c r="E28" i="4"/>
  <c r="F28" i="4"/>
  <c r="G28" i="4"/>
  <c r="J28" i="4"/>
  <c r="H30" i="4"/>
  <c r="I30" i="4"/>
  <c r="K30" i="4"/>
  <c r="D30" i="4"/>
  <c r="E30" i="4"/>
  <c r="F30" i="4"/>
  <c r="G30" i="4"/>
  <c r="J30" i="4"/>
  <c r="H32" i="4"/>
  <c r="I32" i="4"/>
  <c r="K32" i="4"/>
  <c r="D32" i="4"/>
  <c r="A50" i="21" s="1"/>
  <c r="E32" i="4"/>
  <c r="F32" i="4"/>
  <c r="G32" i="4"/>
  <c r="J32" i="4"/>
  <c r="H34" i="4"/>
  <c r="I34" i="4"/>
  <c r="K34" i="4"/>
  <c r="D34" i="4"/>
  <c r="E34" i="4"/>
  <c r="F34" i="4"/>
  <c r="G34" i="4"/>
  <c r="J34" i="4"/>
  <c r="AA304" i="10"/>
  <c r="AA312" i="10"/>
  <c r="AA352" i="10"/>
  <c r="AA432" i="10"/>
  <c r="AA440" i="10"/>
  <c r="AA448" i="10"/>
  <c r="AA464" i="10"/>
  <c r="AA480" i="10"/>
  <c r="AD202" i="12"/>
  <c r="AB202" i="12"/>
  <c r="AB321" i="12"/>
  <c r="AD321" i="12"/>
  <c r="AD341" i="12"/>
  <c r="AB341" i="12"/>
  <c r="AD381" i="12"/>
  <c r="AD412" i="12"/>
  <c r="AB412" i="12"/>
  <c r="AD415" i="12"/>
  <c r="AD436" i="12"/>
  <c r="AD477" i="12"/>
  <c r="AB477" i="12"/>
  <c r="AB481" i="12"/>
  <c r="AD487" i="12"/>
  <c r="AB516" i="12"/>
  <c r="AD611" i="12"/>
  <c r="AD653" i="12"/>
  <c r="AB693" i="12"/>
  <c r="AD704" i="12"/>
  <c r="AB751" i="12"/>
  <c r="AB783" i="12"/>
  <c r="AB818" i="12"/>
  <c r="AB835" i="12"/>
  <c r="AD835" i="12"/>
  <c r="AD850" i="12"/>
  <c r="AB850" i="12"/>
  <c r="AD876" i="12"/>
  <c r="AD892" i="12"/>
  <c r="AD896" i="12"/>
  <c r="AD903" i="12"/>
  <c r="AB914" i="12"/>
  <c r="AB953" i="12"/>
  <c r="AD969" i="12"/>
  <c r="AB969" i="12"/>
  <c r="AD1011" i="12"/>
  <c r="AB1042" i="12"/>
  <c r="AD1045" i="12"/>
  <c r="AB1045" i="12"/>
  <c r="AD1049" i="12"/>
  <c r="AD1057" i="12"/>
  <c r="AB1057" i="12"/>
  <c r="AD1082" i="12"/>
  <c r="AB1116" i="12"/>
  <c r="AD1129" i="12"/>
  <c r="AB1129" i="12"/>
  <c r="AB1172" i="12"/>
  <c r="AB1230" i="12"/>
  <c r="AD1248" i="12"/>
  <c r="AD1256" i="12"/>
  <c r="AD1264" i="12"/>
  <c r="AB1264" i="12"/>
  <c r="AD1278" i="12"/>
  <c r="AB1278" i="12"/>
  <c r="AB1287" i="12"/>
  <c r="AD1287" i="12"/>
  <c r="AB1296" i="12"/>
  <c r="AB1371" i="12"/>
  <c r="AB1463" i="12"/>
  <c r="AD1463" i="12"/>
  <c r="AB350" i="12"/>
  <c r="AB354" i="12"/>
  <c r="AD354" i="12"/>
  <c r="AB357" i="12"/>
  <c r="AD396" i="12"/>
  <c r="AB396" i="12"/>
  <c r="AD450" i="12"/>
  <c r="AD484" i="12"/>
  <c r="AD505" i="12"/>
  <c r="AB505" i="12"/>
  <c r="AD540" i="12"/>
  <c r="AB585" i="12"/>
  <c r="AB593" i="12"/>
  <c r="AD700" i="12"/>
  <c r="AB700" i="12"/>
  <c r="AD708" i="12"/>
  <c r="AD755" i="12"/>
  <c r="AD828" i="12"/>
  <c r="AD832" i="12"/>
  <c r="AB832" i="12"/>
  <c r="AB889" i="12"/>
  <c r="AD945" i="12"/>
  <c r="AB945" i="12"/>
  <c r="AB1090" i="12"/>
  <c r="AD1148" i="12"/>
  <c r="AD1152" i="12"/>
  <c r="AD1156" i="12"/>
  <c r="AB1160" i="12"/>
  <c r="AD1160" i="12"/>
  <c r="AB1269" i="12"/>
  <c r="AD1269" i="12"/>
  <c r="AB1319" i="12"/>
  <c r="AD1319" i="12"/>
  <c r="AD1342" i="12"/>
  <c r="AB1367" i="12"/>
  <c r="AD1367" i="12"/>
  <c r="AD1380" i="12"/>
  <c r="AB1380" i="12"/>
  <c r="AB1400" i="12"/>
  <c r="AD1400" i="12"/>
  <c r="AD1427" i="12"/>
  <c r="AB1427" i="12"/>
  <c r="AB1435" i="12"/>
  <c r="AB1451" i="12"/>
  <c r="AD1455" i="12"/>
  <c r="AD1508" i="12"/>
  <c r="AB1508" i="12"/>
  <c r="AD1512" i="12"/>
  <c r="AB1512" i="12"/>
  <c r="AA272" i="10"/>
  <c r="AA280" i="10"/>
  <c r="AA320" i="10"/>
  <c r="AA400" i="10"/>
  <c r="AA408" i="10"/>
  <c r="AB150" i="12"/>
  <c r="AD150" i="12"/>
  <c r="AB275" i="12"/>
  <c r="AD275" i="12"/>
  <c r="AB278" i="12"/>
  <c r="AD278" i="12"/>
  <c r="AD322" i="12"/>
  <c r="AB322" i="12"/>
  <c r="AD368" i="12"/>
  <c r="AB368" i="12"/>
  <c r="AD372" i="12"/>
  <c r="AB372" i="12"/>
  <c r="AD401" i="12"/>
  <c r="AB401" i="12"/>
  <c r="AD478" i="12"/>
  <c r="AB478" i="12"/>
  <c r="AD729" i="12"/>
  <c r="AB729" i="12"/>
  <c r="AB780" i="12"/>
  <c r="AD780" i="12"/>
  <c r="AB794" i="12"/>
  <c r="AD794" i="12"/>
  <c r="AB855" i="12"/>
  <c r="AD855" i="12"/>
  <c r="AD900" i="12"/>
  <c r="AB900" i="12"/>
  <c r="AD911" i="12"/>
  <c r="AB911" i="12"/>
  <c r="AB949" i="12"/>
  <c r="AD949" i="12"/>
  <c r="AD966" i="12"/>
  <c r="AB966" i="12"/>
  <c r="AB970" i="12"/>
  <c r="AD970" i="12"/>
  <c r="AD1130" i="12"/>
  <c r="AB1130" i="12"/>
  <c r="AB1139" i="12"/>
  <c r="AD1139" i="12"/>
  <c r="AD1209" i="12"/>
  <c r="AB1209" i="12"/>
  <c r="AB1249" i="12"/>
  <c r="AD1249" i="12"/>
  <c r="AB1257" i="12"/>
  <c r="AD1257" i="12"/>
  <c r="AD1261" i="12"/>
  <c r="AB1261" i="12"/>
  <c r="AB1431" i="12"/>
  <c r="AD1431" i="12"/>
  <c r="AD1440" i="12"/>
  <c r="AB1440" i="12"/>
  <c r="AB1456" i="12"/>
  <c r="AD1456" i="12"/>
  <c r="AB1464" i="12"/>
  <c r="AD1464" i="12"/>
  <c r="AB1488" i="12"/>
  <c r="AD1488" i="12"/>
  <c r="AD1289" i="12"/>
  <c r="AB1289" i="12"/>
  <c r="AD1297" i="12"/>
  <c r="AB1297" i="12"/>
  <c r="AB1363" i="12"/>
  <c r="AD1363" i="12"/>
  <c r="AB1411" i="12"/>
  <c r="AD1411" i="12"/>
  <c r="AB1424" i="12"/>
  <c r="AD1424" i="12"/>
  <c r="AD1493" i="12"/>
  <c r="AB1493" i="12"/>
  <c r="AA264" i="10"/>
  <c r="AA296" i="10"/>
  <c r="AA328" i="10"/>
  <c r="AA360" i="10"/>
  <c r="AA392" i="10"/>
  <c r="AA424" i="10"/>
  <c r="AA453" i="10"/>
  <c r="AA469" i="10"/>
  <c r="AA485" i="10"/>
  <c r="AB330" i="12"/>
  <c r="AB697" i="12"/>
  <c r="AD861" i="12"/>
  <c r="AD864" i="12"/>
  <c r="AB929" i="12"/>
  <c r="AB946" i="12"/>
  <c r="AB1001" i="12"/>
  <c r="AD1001" i="12"/>
  <c r="AD1023" i="12"/>
  <c r="AB1081" i="12"/>
  <c r="AB1207" i="12"/>
  <c r="AB1320" i="12"/>
  <c r="AD1320" i="12"/>
  <c r="AD1332" i="12"/>
  <c r="AD1365" i="12"/>
  <c r="AB1365" i="12"/>
  <c r="AB1392" i="12"/>
  <c r="AD1392" i="12"/>
  <c r="AD1428" i="12"/>
  <c r="AB1428" i="12"/>
  <c r="AD1476" i="12"/>
  <c r="AD1479" i="12"/>
  <c r="AD1499" i="12"/>
  <c r="AB1499" i="12"/>
  <c r="AD440" i="12"/>
  <c r="AB440" i="12"/>
  <c r="AD496" i="12"/>
  <c r="AB496" i="12"/>
  <c r="AB667" i="12"/>
  <c r="AD667" i="12"/>
  <c r="AD737" i="12"/>
  <c r="AB737" i="12"/>
  <c r="AB989" i="12"/>
  <c r="AD989" i="12"/>
  <c r="AD1076" i="12"/>
  <c r="AB1076" i="12"/>
  <c r="AB1123" i="12"/>
  <c r="AD1123" i="12"/>
  <c r="AD1186" i="12"/>
  <c r="AB1186" i="12"/>
  <c r="AD1232" i="12"/>
  <c r="AB1232" i="12"/>
  <c r="AB1495" i="12"/>
  <c r="AD1495" i="12"/>
  <c r="AD1433" i="12"/>
  <c r="AB1433" i="12"/>
  <c r="AB1496" i="12"/>
  <c r="AD1453" i="12"/>
  <c r="AB1453" i="12"/>
  <c r="B30" i="12"/>
  <c r="A30" i="12"/>
  <c r="B4" i="6"/>
  <c r="A4" i="6"/>
  <c r="A165" i="21"/>
  <c r="B9" i="5"/>
  <c r="A126" i="21"/>
  <c r="AK10" i="9"/>
  <c r="AK11" i="9" s="1"/>
  <c r="AK12" i="9" s="1"/>
  <c r="AK13" i="9" s="1"/>
  <c r="AK14" i="9" s="1"/>
  <c r="B10" i="5"/>
  <c r="Y8" i="9"/>
  <c r="Z7" i="9"/>
  <c r="AA7" i="9" s="1"/>
  <c r="N62" i="18"/>
  <c r="A156" i="21"/>
  <c r="N296" i="10"/>
  <c r="S296" i="10"/>
  <c r="Q296" i="10"/>
  <c r="P296" i="10"/>
  <c r="R296" i="10"/>
  <c r="T296" i="10"/>
  <c r="O296" i="10"/>
  <c r="U296" i="10"/>
  <c r="S242" i="10"/>
  <c r="N242" i="10"/>
  <c r="R242" i="10"/>
  <c r="U242" i="10"/>
  <c r="T242" i="10"/>
  <c r="Q242" i="10"/>
  <c r="P242" i="10"/>
  <c r="O242" i="10"/>
  <c r="N58" i="10"/>
  <c r="S58" i="10"/>
  <c r="R58" i="10"/>
  <c r="T58" i="10"/>
  <c r="Q58" i="10"/>
  <c r="P58" i="10"/>
  <c r="O58" i="10"/>
  <c r="N52" i="10"/>
  <c r="R52" i="10"/>
  <c r="U52" i="10"/>
  <c r="T52" i="10"/>
  <c r="O52" i="10"/>
  <c r="P52" i="10"/>
  <c r="S52" i="10"/>
  <c r="Q52" i="10"/>
  <c r="N41" i="10"/>
  <c r="S41" i="10"/>
  <c r="T41" i="10"/>
  <c r="Q41" i="10"/>
  <c r="P41" i="10"/>
  <c r="U41" i="10"/>
  <c r="R41" i="10"/>
  <c r="O41" i="10"/>
  <c r="N26" i="10"/>
  <c r="S26" i="10"/>
  <c r="R26" i="10"/>
  <c r="U26" i="10"/>
  <c r="O26" i="10"/>
  <c r="T26" i="10"/>
  <c r="P26" i="10"/>
  <c r="Q26" i="10"/>
  <c r="T9" i="9"/>
  <c r="U8" i="9"/>
  <c r="V8" i="9" s="1"/>
  <c r="N128" i="10"/>
  <c r="S128" i="10"/>
  <c r="Q128" i="10"/>
  <c r="P128" i="10"/>
  <c r="T128" i="10"/>
  <c r="R128" i="10"/>
  <c r="U128" i="10"/>
  <c r="O128" i="10"/>
  <c r="A157" i="21"/>
  <c r="B7" i="5"/>
  <c r="V11" i="10"/>
  <c r="I10" i="9"/>
  <c r="J11" i="9"/>
  <c r="K11" i="9" s="1"/>
  <c r="N469" i="10"/>
  <c r="R469" i="10"/>
  <c r="U469" i="10"/>
  <c r="T469" i="10"/>
  <c r="O469" i="10"/>
  <c r="Q469" i="10"/>
  <c r="P469" i="10"/>
  <c r="S469" i="10"/>
  <c r="N373" i="10"/>
  <c r="R373" i="10"/>
  <c r="T373" i="10"/>
  <c r="U373" i="10"/>
  <c r="S373" i="10"/>
  <c r="Q373" i="10"/>
  <c r="O373" i="10"/>
  <c r="P373" i="10"/>
  <c r="O9" i="9"/>
  <c r="P8" i="9"/>
  <c r="AD6" i="9"/>
  <c r="AE5" i="9"/>
  <c r="AF5" i="9" s="1"/>
  <c r="K17" i="9"/>
  <c r="N483" i="10"/>
  <c r="R483" i="10"/>
  <c r="S483" i="10"/>
  <c r="Q483" i="10"/>
  <c r="O483" i="10"/>
  <c r="P483" i="10"/>
  <c r="T483" i="10"/>
  <c r="N473" i="10"/>
  <c r="S473" i="10"/>
  <c r="R473" i="10"/>
  <c r="Q473" i="10"/>
  <c r="P473" i="10"/>
  <c r="U473" i="10"/>
  <c r="T473" i="10"/>
  <c r="R455" i="10"/>
  <c r="Q455" i="10"/>
  <c r="S455" i="10"/>
  <c r="U455" i="10"/>
  <c r="T455" i="10"/>
  <c r="P455" i="10"/>
  <c r="O455" i="10"/>
  <c r="N445" i="10"/>
  <c r="R445" i="10"/>
  <c r="U445" i="10"/>
  <c r="T445" i="10"/>
  <c r="S445" i="10"/>
  <c r="O445" i="10"/>
  <c r="P445" i="10"/>
  <c r="R431" i="10"/>
  <c r="Q431" i="10"/>
  <c r="U431" i="10"/>
  <c r="T431" i="10"/>
  <c r="P431" i="10"/>
  <c r="O431" i="10"/>
  <c r="U363" i="10"/>
  <c r="S363" i="10"/>
  <c r="O363" i="10"/>
  <c r="P363" i="10"/>
  <c r="N363" i="10"/>
  <c r="Q363" i="10"/>
  <c r="T363" i="10"/>
  <c r="R363" i="10"/>
  <c r="N353" i="10"/>
  <c r="S353" i="10"/>
  <c r="Q353" i="10"/>
  <c r="P353" i="10"/>
  <c r="R353" i="10"/>
  <c r="U353" i="10"/>
  <c r="T353" i="10"/>
  <c r="O353" i="10"/>
  <c r="N348" i="10"/>
  <c r="U348" i="10"/>
  <c r="T348" i="10"/>
  <c r="Q348" i="10"/>
  <c r="P348" i="10"/>
  <c r="R348" i="10"/>
  <c r="O348" i="10"/>
  <c r="O459" i="10"/>
  <c r="R459" i="10"/>
  <c r="T459" i="10"/>
  <c r="P459" i="10"/>
  <c r="Q459" i="10"/>
  <c r="N449" i="10"/>
  <c r="S449" i="10"/>
  <c r="Q449" i="10"/>
  <c r="P449" i="10"/>
  <c r="T449" i="10"/>
  <c r="R449" i="10"/>
  <c r="N328" i="10"/>
  <c r="S328" i="10"/>
  <c r="U328" i="10"/>
  <c r="Q328" i="10"/>
  <c r="P328" i="10"/>
  <c r="T328" i="10"/>
  <c r="O328" i="10"/>
  <c r="N317" i="10"/>
  <c r="R317" i="10"/>
  <c r="U317" i="10"/>
  <c r="T317" i="10"/>
  <c r="S317" i="10"/>
  <c r="P317" i="10"/>
  <c r="O317" i="10"/>
  <c r="Q317" i="10"/>
  <c r="K5" i="1"/>
  <c r="A1" i="20" s="1"/>
  <c r="Q7" i="9"/>
  <c r="R339" i="10"/>
  <c r="N405" i="10"/>
  <c r="R405" i="10"/>
  <c r="U405" i="10"/>
  <c r="T405" i="10"/>
  <c r="S405" i="10"/>
  <c r="P405" i="10"/>
  <c r="O405" i="10"/>
  <c r="Q405" i="10"/>
  <c r="S65" i="10"/>
  <c r="N65" i="10"/>
  <c r="T65" i="10"/>
  <c r="R65" i="10"/>
  <c r="Q65" i="10"/>
  <c r="P65" i="10"/>
  <c r="V12" i="10"/>
  <c r="V10" i="10"/>
  <c r="N481" i="10"/>
  <c r="S481" i="10"/>
  <c r="Q481" i="10"/>
  <c r="P481" i="10"/>
  <c r="R481" i="10"/>
  <c r="U481" i="10"/>
  <c r="T481" i="10"/>
  <c r="N355" i="10"/>
  <c r="R355" i="10"/>
  <c r="U355" i="10"/>
  <c r="S355" i="10"/>
  <c r="Q355" i="10"/>
  <c r="O355" i="10"/>
  <c r="P355" i="10"/>
  <c r="N344" i="10"/>
  <c r="S344" i="10"/>
  <c r="R344" i="10"/>
  <c r="Q344" i="10"/>
  <c r="P344" i="10"/>
  <c r="T344" i="10"/>
  <c r="N316" i="10"/>
  <c r="S316" i="10"/>
  <c r="P316" i="10"/>
  <c r="O316" i="10"/>
  <c r="U316" i="10"/>
  <c r="S81" i="10"/>
  <c r="R81" i="10"/>
  <c r="T81" i="10"/>
  <c r="U81" i="10"/>
  <c r="Q81" i="10"/>
  <c r="P81" i="10"/>
  <c r="N81" i="10"/>
  <c r="S427" i="10"/>
  <c r="N427" i="10"/>
  <c r="O427" i="10"/>
  <c r="U427" i="10"/>
  <c r="N417" i="10"/>
  <c r="S417" i="10"/>
  <c r="Q417" i="10"/>
  <c r="P417" i="10"/>
  <c r="U417" i="10"/>
  <c r="R417" i="10"/>
  <c r="T417" i="10"/>
  <c r="U339" i="10"/>
  <c r="T339" i="10"/>
  <c r="O339" i="10"/>
  <c r="Q339" i="10"/>
  <c r="P339" i="10"/>
  <c r="N315" i="10"/>
  <c r="S315" i="10"/>
  <c r="R315" i="10"/>
  <c r="O315" i="10"/>
  <c r="U315" i="10"/>
  <c r="T315" i="10"/>
  <c r="R310" i="10"/>
  <c r="U310" i="10"/>
  <c r="Q310" i="10"/>
  <c r="P310" i="10"/>
  <c r="T310" i="10"/>
  <c r="S310" i="10"/>
  <c r="U123" i="10"/>
  <c r="T123" i="10"/>
  <c r="R123" i="10"/>
  <c r="S123" i="10"/>
  <c r="O123" i="10"/>
  <c r="N123" i="10"/>
  <c r="N86" i="10"/>
  <c r="R86" i="10"/>
  <c r="U86" i="10"/>
  <c r="T86" i="10"/>
  <c r="Q86" i="10"/>
  <c r="P86" i="10"/>
  <c r="S86" i="10"/>
  <c r="R487" i="10"/>
  <c r="Q487" i="10"/>
  <c r="U487" i="10"/>
  <c r="T487" i="10"/>
  <c r="N477" i="10"/>
  <c r="R477" i="10"/>
  <c r="U477" i="10"/>
  <c r="T477" i="10"/>
  <c r="R463" i="10"/>
  <c r="S463" i="10"/>
  <c r="Q463" i="10"/>
  <c r="U463" i="10"/>
  <c r="T463" i="10"/>
  <c r="N387" i="10"/>
  <c r="R387" i="10"/>
  <c r="N377" i="10"/>
  <c r="S377" i="10"/>
  <c r="R377" i="10"/>
  <c r="Q377" i="10"/>
  <c r="P377" i="10"/>
  <c r="R359" i="10"/>
  <c r="U359" i="10"/>
  <c r="Q359" i="10"/>
  <c r="T359" i="10"/>
  <c r="N349" i="10"/>
  <c r="R349" i="10"/>
  <c r="T349" i="10"/>
  <c r="S338" i="10"/>
  <c r="N338" i="10"/>
  <c r="R338" i="10"/>
  <c r="U338" i="10"/>
  <c r="R333" i="10"/>
  <c r="T333" i="10"/>
  <c r="N326" i="10"/>
  <c r="R326" i="10"/>
  <c r="U326" i="10"/>
  <c r="Q326" i="10"/>
  <c r="P326" i="10"/>
  <c r="T326" i="10"/>
  <c r="S326" i="10"/>
  <c r="S321" i="10"/>
  <c r="U321" i="10"/>
  <c r="Q321" i="10"/>
  <c r="P321" i="10"/>
  <c r="R141" i="10"/>
  <c r="N141" i="10"/>
  <c r="S141" i="10"/>
  <c r="U141" i="10"/>
  <c r="T141" i="10"/>
  <c r="S129" i="10"/>
  <c r="N129" i="10"/>
  <c r="Q129" i="10"/>
  <c r="P129" i="10"/>
  <c r="N87" i="10"/>
  <c r="R87" i="10"/>
  <c r="U87" i="10"/>
  <c r="Q87" i="10"/>
  <c r="P87" i="10"/>
  <c r="N42" i="10"/>
  <c r="S42" i="10"/>
  <c r="R42" i="10"/>
  <c r="U42" i="10"/>
  <c r="N32" i="10"/>
  <c r="S32" i="10"/>
  <c r="Q32" i="10"/>
  <c r="P32" i="10"/>
  <c r="O32" i="10"/>
  <c r="V192" i="10" s="1"/>
  <c r="T32" i="10"/>
  <c r="R129" i="10"/>
  <c r="N419" i="10"/>
  <c r="R419" i="10"/>
  <c r="S419" i="10"/>
  <c r="N409" i="10"/>
  <c r="S409" i="10"/>
  <c r="R409" i="10"/>
  <c r="Q409" i="10"/>
  <c r="P409" i="10"/>
  <c r="R391" i="10"/>
  <c r="Q391" i="10"/>
  <c r="S391" i="10"/>
  <c r="U391" i="10"/>
  <c r="T391" i="10"/>
  <c r="N381" i="10"/>
  <c r="R381" i="10"/>
  <c r="U381" i="10"/>
  <c r="T381" i="10"/>
  <c r="S381" i="10"/>
  <c r="R367" i="10"/>
  <c r="U367" i="10"/>
  <c r="Q367" i="10"/>
  <c r="T367" i="10"/>
  <c r="R278" i="10"/>
  <c r="U278" i="10"/>
  <c r="N278" i="10"/>
  <c r="Q278" i="10"/>
  <c r="P278" i="10"/>
  <c r="S278" i="10"/>
  <c r="T278" i="10"/>
  <c r="S210" i="10"/>
  <c r="N210" i="10"/>
  <c r="R210" i="10"/>
  <c r="N200" i="10"/>
  <c r="S200" i="10"/>
  <c r="U200" i="10"/>
  <c r="Q200" i="10"/>
  <c r="P200" i="10"/>
  <c r="T200" i="10"/>
  <c r="N157" i="10"/>
  <c r="R157" i="10"/>
  <c r="U157" i="10"/>
  <c r="T157" i="10"/>
  <c r="S152" i="10"/>
  <c r="Q152" i="10"/>
  <c r="P152" i="10"/>
  <c r="R152" i="10"/>
  <c r="N146" i="10"/>
  <c r="S146" i="10"/>
  <c r="R146" i="10"/>
  <c r="U146" i="10"/>
  <c r="T146" i="10"/>
  <c r="N74" i="10"/>
  <c r="S74" i="10"/>
  <c r="R74" i="10"/>
  <c r="T74" i="10"/>
  <c r="N68" i="10"/>
  <c r="R63" i="10"/>
  <c r="U63" i="10"/>
  <c r="S63" i="10"/>
  <c r="T63" i="10"/>
  <c r="Q63" i="10"/>
  <c r="P63" i="10"/>
  <c r="J17" i="9"/>
  <c r="I18" i="9"/>
  <c r="N437" i="10"/>
  <c r="R437" i="10"/>
  <c r="U437" i="10"/>
  <c r="T437" i="10"/>
  <c r="S437" i="10"/>
  <c r="N385" i="10"/>
  <c r="S385" i="10"/>
  <c r="Q385" i="10"/>
  <c r="P385" i="10"/>
  <c r="N307" i="10"/>
  <c r="S307" i="10"/>
  <c r="N292" i="10"/>
  <c r="R292" i="10"/>
  <c r="U292" i="10"/>
  <c r="N248" i="10"/>
  <c r="S248" i="10"/>
  <c r="R248" i="10"/>
  <c r="Q248" i="10"/>
  <c r="P248" i="10"/>
  <c r="T248" i="10"/>
  <c r="S234" i="10"/>
  <c r="R234" i="10"/>
  <c r="U234" i="10"/>
  <c r="S145" i="10"/>
  <c r="N145" i="10"/>
  <c r="Q145" i="10"/>
  <c r="P145" i="10"/>
  <c r="N139" i="10"/>
  <c r="S139" i="10"/>
  <c r="R139" i="10"/>
  <c r="U139" i="10"/>
  <c r="T139" i="10"/>
  <c r="N109" i="10"/>
  <c r="R109" i="10"/>
  <c r="T109" i="10"/>
  <c r="N102" i="10"/>
  <c r="R102" i="10"/>
  <c r="U102" i="10"/>
  <c r="T102" i="10"/>
  <c r="Q102" i="10"/>
  <c r="P102" i="10"/>
  <c r="S102" i="10"/>
  <c r="N73" i="10"/>
  <c r="S73" i="10"/>
  <c r="T73" i="10"/>
  <c r="R73" i="10"/>
  <c r="Q73" i="10"/>
  <c r="P73" i="10"/>
  <c r="A86" i="23"/>
  <c r="R145" i="10"/>
  <c r="N451" i="10"/>
  <c r="R451" i="10"/>
  <c r="N441" i="10"/>
  <c r="S441" i="10"/>
  <c r="R441" i="10"/>
  <c r="Q441" i="10"/>
  <c r="P441" i="10"/>
  <c r="R423" i="10"/>
  <c r="Q423" i="10"/>
  <c r="U423" i="10"/>
  <c r="T423" i="10"/>
  <c r="N413" i="10"/>
  <c r="R413" i="10"/>
  <c r="U413" i="10"/>
  <c r="T413" i="10"/>
  <c r="R399" i="10"/>
  <c r="S399" i="10"/>
  <c r="Q399" i="10"/>
  <c r="U399" i="10"/>
  <c r="T399" i="10"/>
  <c r="S306" i="10"/>
  <c r="N306" i="10"/>
  <c r="R306" i="10"/>
  <c r="N262" i="10"/>
  <c r="R262" i="10"/>
  <c r="U262" i="10"/>
  <c r="Q262" i="10"/>
  <c r="P262" i="10"/>
  <c r="T262" i="10"/>
  <c r="N252" i="10"/>
  <c r="S252" i="10"/>
  <c r="U252" i="10"/>
  <c r="N228" i="10"/>
  <c r="R228" i="10"/>
  <c r="R214" i="10"/>
  <c r="U214" i="10"/>
  <c r="Q214" i="10"/>
  <c r="P214" i="10"/>
  <c r="S214" i="10"/>
  <c r="T214" i="10"/>
  <c r="N184" i="10"/>
  <c r="S184" i="10"/>
  <c r="R184" i="10"/>
  <c r="Q184" i="10"/>
  <c r="P184" i="10"/>
  <c r="U184" i="10"/>
  <c r="T184" i="10"/>
  <c r="S168" i="10"/>
  <c r="R168" i="10"/>
  <c r="Q168" i="10"/>
  <c r="P168" i="10"/>
  <c r="N150" i="10"/>
  <c r="R150" i="10"/>
  <c r="U150" i="10"/>
  <c r="T150" i="10"/>
  <c r="Q150" i="10"/>
  <c r="P150" i="10"/>
  <c r="S150" i="10"/>
  <c r="N485" i="10"/>
  <c r="R485" i="10"/>
  <c r="N453" i="10"/>
  <c r="R453" i="10"/>
  <c r="N421" i="10"/>
  <c r="R421" i="10"/>
  <c r="N389" i="10"/>
  <c r="R389" i="10"/>
  <c r="N357" i="10"/>
  <c r="R357" i="10"/>
  <c r="R342" i="10"/>
  <c r="U342" i="10"/>
  <c r="N280" i="10"/>
  <c r="S280" i="10"/>
  <c r="S266" i="10"/>
  <c r="R266" i="10"/>
  <c r="N232" i="10"/>
  <c r="S232" i="10"/>
  <c r="N198" i="10"/>
  <c r="R198" i="10"/>
  <c r="U198" i="10"/>
  <c r="N120" i="10"/>
  <c r="S120" i="10"/>
  <c r="N114" i="10"/>
  <c r="S114" i="10"/>
  <c r="R114" i="10"/>
  <c r="R79" i="10"/>
  <c r="U79" i="10"/>
  <c r="N13" i="10"/>
  <c r="V214" i="10" s="1"/>
  <c r="R13" i="10"/>
  <c r="V191" i="10" s="1"/>
  <c r="S13" i="10"/>
  <c r="N457" i="10"/>
  <c r="S457" i="10"/>
  <c r="N425" i="10"/>
  <c r="S425" i="10"/>
  <c r="N393" i="10"/>
  <c r="S393" i="10"/>
  <c r="R375" i="10"/>
  <c r="U375" i="10"/>
  <c r="N361" i="10"/>
  <c r="S361" i="10"/>
  <c r="N294" i="10"/>
  <c r="R294" i="10"/>
  <c r="U294" i="10"/>
  <c r="R246" i="10"/>
  <c r="U246" i="10"/>
  <c r="N166" i="10"/>
  <c r="R166" i="10"/>
  <c r="U166" i="10"/>
  <c r="T166" i="10"/>
  <c r="N125" i="10"/>
  <c r="R125" i="10"/>
  <c r="N119" i="10"/>
  <c r="R119" i="10"/>
  <c r="U119" i="10"/>
  <c r="N96" i="10"/>
  <c r="S96" i="10"/>
  <c r="N90" i="10"/>
  <c r="S90" i="10"/>
  <c r="R90" i="10"/>
  <c r="N18" i="10"/>
  <c r="S18" i="10"/>
  <c r="R18" i="10"/>
  <c r="N461" i="10"/>
  <c r="R461" i="10"/>
  <c r="N429" i="10"/>
  <c r="R429" i="10"/>
  <c r="N397" i="10"/>
  <c r="R397" i="10"/>
  <c r="N365" i="10"/>
  <c r="R365" i="10"/>
  <c r="N335" i="10"/>
  <c r="R335" i="10"/>
  <c r="U335" i="10"/>
  <c r="S330" i="10"/>
  <c r="R330" i="10"/>
  <c r="R319" i="10"/>
  <c r="U319" i="10"/>
  <c r="S274" i="10"/>
  <c r="N274" i="10"/>
  <c r="R274" i="10"/>
  <c r="N216" i="10"/>
  <c r="S216" i="10"/>
  <c r="S202" i="10"/>
  <c r="R202" i="10"/>
  <c r="N136" i="10"/>
  <c r="S136" i="10"/>
  <c r="N49" i="10"/>
  <c r="S49" i="10"/>
  <c r="AO35" i="9"/>
  <c r="AN36" i="9"/>
  <c r="AQ35" i="9"/>
  <c r="N465" i="10"/>
  <c r="S465" i="10"/>
  <c r="N433" i="10"/>
  <c r="S433" i="10"/>
  <c r="N401" i="10"/>
  <c r="S401" i="10"/>
  <c r="N369" i="10"/>
  <c r="S369" i="10"/>
  <c r="R351" i="10"/>
  <c r="U351" i="10"/>
  <c r="S329" i="10"/>
  <c r="N329" i="10"/>
  <c r="N312" i="10"/>
  <c r="S312" i="10"/>
  <c r="S298" i="10"/>
  <c r="R298" i="10"/>
  <c r="N264" i="10"/>
  <c r="S264" i="10"/>
  <c r="N230" i="10"/>
  <c r="R230" i="10"/>
  <c r="U230" i="10"/>
  <c r="R182" i="10"/>
  <c r="U182" i="10"/>
  <c r="T182" i="10"/>
  <c r="N106" i="10"/>
  <c r="S106" i="10"/>
  <c r="R106" i="10"/>
  <c r="N70" i="10"/>
  <c r="R70" i="10"/>
  <c r="U70" i="10"/>
  <c r="T70" i="10"/>
  <c r="N54" i="10"/>
  <c r="R54" i="10"/>
  <c r="U54" i="10"/>
  <c r="T54" i="10"/>
  <c r="N38" i="10"/>
  <c r="R38" i="10"/>
  <c r="U38" i="10"/>
  <c r="T38" i="10"/>
  <c r="AN32" i="9"/>
  <c r="AQ33" i="9"/>
  <c r="AO33" i="9"/>
  <c r="AB148" i="12"/>
  <c r="AD148" i="12"/>
  <c r="AD389" i="12"/>
  <c r="AB389" i="12"/>
  <c r="AD287" i="12"/>
  <c r="AB287" i="12"/>
  <c r="AB332" i="12"/>
  <c r="AD332" i="12"/>
  <c r="AD733" i="12"/>
  <c r="AB733" i="12"/>
  <c r="AD313" i="12"/>
  <c r="AB313" i="12"/>
  <c r="AB198" i="12"/>
  <c r="AD198" i="12"/>
  <c r="AB220" i="12"/>
  <c r="AD220" i="12"/>
  <c r="AD1236" i="12"/>
  <c r="AB1236" i="12"/>
  <c r="AD127" i="12"/>
  <c r="AB127" i="12"/>
  <c r="AD249" i="12"/>
  <c r="AB249" i="12"/>
  <c r="AD86" i="12"/>
  <c r="AB86" i="12"/>
  <c r="AD349" i="12"/>
  <c r="AB349" i="12"/>
  <c r="AD813" i="12"/>
  <c r="AB813" i="12"/>
  <c r="AB136" i="12"/>
  <c r="AD136" i="12"/>
  <c r="AD307" i="12"/>
  <c r="AB307" i="12"/>
  <c r="AD340" i="12"/>
  <c r="AB340" i="12"/>
  <c r="AD390" i="12"/>
  <c r="AB390" i="12"/>
  <c r="AD520" i="12"/>
  <c r="AB520" i="12"/>
  <c r="AD584" i="12"/>
  <c r="AB584" i="12"/>
  <c r="AD622" i="12"/>
  <c r="AB622" i="12"/>
  <c r="AD678" i="12"/>
  <c r="AB678" i="12"/>
  <c r="AD720" i="12"/>
  <c r="AB720" i="12"/>
  <c r="AD745" i="12"/>
  <c r="AB745" i="12"/>
  <c r="AD806" i="12"/>
  <c r="AB806" i="12"/>
  <c r="AD846" i="12"/>
  <c r="AB846" i="12"/>
  <c r="AD910" i="12"/>
  <c r="AB910" i="12"/>
  <c r="AD918" i="12"/>
  <c r="AB918" i="12"/>
  <c r="AD942" i="12"/>
  <c r="AB942" i="12"/>
  <c r="AD1110" i="12"/>
  <c r="AB1110" i="12"/>
  <c r="AB1149" i="12"/>
  <c r="AD1149" i="12"/>
  <c r="AB1173" i="12"/>
  <c r="AD1173" i="12"/>
  <c r="AD1181" i="12"/>
  <c r="AB1181" i="12"/>
  <c r="AB1223" i="12"/>
  <c r="AD1223" i="12"/>
  <c r="AD1362" i="12"/>
  <c r="AB1362" i="12"/>
  <c r="AB1383" i="12"/>
  <c r="AD1383" i="12"/>
  <c r="AB114" i="12"/>
  <c r="AD114" i="12"/>
  <c r="AB204" i="12"/>
  <c r="AD204" i="12"/>
  <c r="AD279" i="12"/>
  <c r="AB279" i="12"/>
  <c r="AD319" i="12"/>
  <c r="AB319" i="12"/>
  <c r="AD345" i="12"/>
  <c r="AB345" i="12"/>
  <c r="AD416" i="12"/>
  <c r="AB416" i="12"/>
  <c r="AD425" i="12"/>
  <c r="AB425" i="12"/>
  <c r="AB491" i="12"/>
  <c r="AD491" i="12"/>
  <c r="AD638" i="12"/>
  <c r="AB638" i="12"/>
  <c r="AD906" i="12"/>
  <c r="AB906" i="12"/>
  <c r="AD1072" i="12"/>
  <c r="AB1072" i="12"/>
  <c r="AD1095" i="12"/>
  <c r="AB1095" i="12"/>
  <c r="AB1133" i="12"/>
  <c r="AD1133" i="12"/>
  <c r="AD1184" i="12"/>
  <c r="AB1184" i="12"/>
  <c r="AB1286" i="12"/>
  <c r="AD1286" i="12"/>
  <c r="AD1460" i="12"/>
  <c r="AB1460" i="12"/>
  <c r="AD1506" i="12"/>
  <c r="AB1506" i="12"/>
  <c r="AD1518" i="12"/>
  <c r="AB1518" i="12"/>
  <c r="AB326" i="12"/>
  <c r="AD326" i="12"/>
  <c r="AB355" i="12"/>
  <c r="AD355" i="12"/>
  <c r="AB371" i="12"/>
  <c r="AD371" i="12"/>
  <c r="AD618" i="12"/>
  <c r="AB618" i="12"/>
  <c r="AD734" i="12"/>
  <c r="AB734" i="12"/>
  <c r="AD773" i="12"/>
  <c r="AB773" i="12"/>
  <c r="AD894" i="12"/>
  <c r="AB894" i="12"/>
  <c r="AD961" i="12"/>
  <c r="AB961" i="12"/>
  <c r="AB1162" i="12"/>
  <c r="AD1162" i="12"/>
  <c r="AD1206" i="12"/>
  <c r="AB1206" i="12"/>
  <c r="AB1267" i="12"/>
  <c r="AD1267" i="12"/>
  <c r="AB1279" i="12"/>
  <c r="AD1279" i="12"/>
  <c r="AD1316" i="12"/>
  <c r="AB1316" i="12"/>
  <c r="AB1407" i="12"/>
  <c r="AD1407" i="12"/>
  <c r="AD1491" i="12"/>
  <c r="AB1491" i="12"/>
  <c r="AD1513" i="12"/>
  <c r="AB1513" i="12"/>
  <c r="AD107" i="12"/>
  <c r="AB107" i="12"/>
  <c r="AD177" i="12"/>
  <c r="AB177" i="12"/>
  <c r="AD231" i="12"/>
  <c r="AB231" i="12"/>
  <c r="AD310" i="12"/>
  <c r="AB310" i="12"/>
  <c r="AB443" i="12"/>
  <c r="AD443" i="12"/>
  <c r="AB475" i="12"/>
  <c r="AD475" i="12"/>
  <c r="AD568" i="12"/>
  <c r="AB568" i="12"/>
  <c r="AB594" i="12"/>
  <c r="AD594" i="12"/>
  <c r="AB603" i="12"/>
  <c r="AD603" i="12"/>
  <c r="AD649" i="12"/>
  <c r="AB649" i="12"/>
  <c r="AD776" i="12"/>
  <c r="AB776" i="12"/>
  <c r="AB859" i="12"/>
  <c r="AD859" i="12"/>
  <c r="AD869" i="12"/>
  <c r="AB869" i="12"/>
  <c r="AD885" i="12"/>
  <c r="AB885" i="12"/>
  <c r="AD937" i="12"/>
  <c r="AB937" i="12"/>
  <c r="AD982" i="12"/>
  <c r="AB982" i="12"/>
  <c r="AD1169" i="12"/>
  <c r="AB1169" i="12"/>
  <c r="AD1182" i="12"/>
  <c r="AB1182" i="12"/>
  <c r="AD1221" i="12"/>
  <c r="AB1221" i="12"/>
  <c r="AD1306" i="12"/>
  <c r="AB1306" i="12"/>
  <c r="AB1347" i="12"/>
  <c r="AD1347" i="12"/>
  <c r="AD1410" i="12"/>
  <c r="AB1410" i="12"/>
  <c r="AB1417" i="12"/>
  <c r="AD1417" i="12"/>
  <c r="AD1468" i="12"/>
  <c r="AB1468" i="12"/>
  <c r="AB156" i="12"/>
  <c r="AD156" i="12"/>
  <c r="AD191" i="12"/>
  <c r="AB191" i="12"/>
  <c r="AD207" i="12"/>
  <c r="AB207" i="12"/>
  <c r="AD223" i="12"/>
  <c r="AB223" i="12"/>
  <c r="AD243" i="12"/>
  <c r="AB243" i="12"/>
  <c r="AD303" i="12"/>
  <c r="AB303" i="12"/>
  <c r="AB379" i="12"/>
  <c r="AD379" i="12"/>
  <c r="AB403" i="12"/>
  <c r="AD403" i="12"/>
  <c r="AB419" i="12"/>
  <c r="AD419" i="12"/>
  <c r="AB535" i="12"/>
  <c r="AD535" i="12"/>
  <c r="AD573" i="12"/>
  <c r="AB573" i="12"/>
  <c r="AB672" i="12"/>
  <c r="AD672" i="12"/>
  <c r="AB696" i="12"/>
  <c r="AD696" i="12"/>
  <c r="AD753" i="12"/>
  <c r="AB753" i="12"/>
  <c r="AB791" i="12"/>
  <c r="AD791" i="12"/>
  <c r="AD810" i="12"/>
  <c r="AB810" i="12"/>
  <c r="AB826" i="12"/>
  <c r="AD826" i="12"/>
  <c r="AD840" i="12"/>
  <c r="AB840" i="12"/>
  <c r="AB872" i="12"/>
  <c r="AD872" i="12"/>
  <c r="AD880" i="12"/>
  <c r="AB880" i="12"/>
  <c r="AD926" i="12"/>
  <c r="AB926" i="12"/>
  <c r="AB931" i="12"/>
  <c r="AD931" i="12"/>
  <c r="AD973" i="12"/>
  <c r="AB973" i="12"/>
  <c r="AD991" i="12"/>
  <c r="AB991" i="12"/>
  <c r="AD994" i="12"/>
  <c r="AB994" i="12"/>
  <c r="AD1055" i="12"/>
  <c r="AB1055" i="12"/>
  <c r="AB1091" i="12"/>
  <c r="AD1091" i="12"/>
  <c r="AD1120" i="12"/>
  <c r="AB1120" i="12"/>
  <c r="AB1157" i="12"/>
  <c r="AD1157" i="12"/>
  <c r="AD1189" i="12"/>
  <c r="AB1189" i="12"/>
  <c r="AB1241" i="12"/>
  <c r="AD1241" i="12"/>
  <c r="AB1247" i="12"/>
  <c r="AD1247" i="12"/>
  <c r="AD1284" i="12"/>
  <c r="AB1284" i="12"/>
  <c r="AB1295" i="12"/>
  <c r="AD1295" i="12"/>
  <c r="AD1333" i="12"/>
  <c r="AB1333" i="12"/>
  <c r="AD9" i="12"/>
  <c r="AB13" i="12"/>
  <c r="AD60" i="12"/>
  <c r="AD62" i="12"/>
  <c r="AD68" i="12"/>
  <c r="AB103" i="12"/>
  <c r="AB110" i="12"/>
  <c r="AD110" i="12"/>
  <c r="AB120" i="12"/>
  <c r="AD161" i="12"/>
  <c r="AB161" i="12"/>
  <c r="AB164" i="12"/>
  <c r="AD164" i="12"/>
  <c r="AB166" i="12"/>
  <c r="AB178" i="12"/>
  <c r="AD203" i="12"/>
  <c r="AB234" i="12"/>
  <c r="AD256" i="12"/>
  <c r="AD273" i="12"/>
  <c r="AD299" i="12"/>
  <c r="AB339" i="12"/>
  <c r="AD339" i="12"/>
  <c r="AD367" i="12"/>
  <c r="AB367" i="12"/>
  <c r="AD413" i="12"/>
  <c r="AB413" i="12"/>
  <c r="AD424" i="12"/>
  <c r="AB444" i="12"/>
  <c r="AD444" i="12"/>
  <c r="AB446" i="12"/>
  <c r="AD453" i="12"/>
  <c r="AB453" i="12"/>
  <c r="AB456" i="12"/>
  <c r="AD456" i="12"/>
  <c r="AB503" i="12"/>
  <c r="AD512" i="12"/>
  <c r="AD522" i="12"/>
  <c r="AB522" i="12"/>
  <c r="AD526" i="12"/>
  <c r="AB526" i="12"/>
  <c r="AB528" i="12"/>
  <c r="AD533" i="12"/>
  <c r="AB541" i="12"/>
  <c r="AD546" i="12"/>
  <c r="AD583" i="12"/>
  <c r="AB583" i="12"/>
  <c r="AD597" i="12"/>
  <c r="AD613" i="12"/>
  <c r="AB613" i="12"/>
  <c r="AD621" i="12"/>
  <c r="AB621" i="12"/>
  <c r="AD650" i="12"/>
  <c r="AB650" i="12"/>
  <c r="AD670" i="12"/>
  <c r="AB670" i="12"/>
  <c r="AB687" i="12"/>
  <c r="AD687" i="12"/>
  <c r="AD694" i="12"/>
  <c r="AB694" i="12"/>
  <c r="AD701" i="12"/>
  <c r="AB701" i="12"/>
  <c r="AD722" i="12"/>
  <c r="AB722" i="12"/>
  <c r="AD758" i="12"/>
  <c r="AB758" i="12"/>
  <c r="AD824" i="12"/>
  <c r="AD865" i="12"/>
  <c r="AB865" i="12"/>
  <c r="AD870" i="12"/>
  <c r="AB870" i="12"/>
  <c r="AD878" i="12"/>
  <c r="AB878" i="12"/>
  <c r="AB938" i="12"/>
  <c r="AD938" i="12"/>
  <c r="AD950" i="12"/>
  <c r="AB950" i="12"/>
  <c r="AD1039" i="12"/>
  <c r="AB1039" i="12"/>
  <c r="AB1048" i="12"/>
  <c r="AD1058" i="12"/>
  <c r="AB1058" i="12"/>
  <c r="AB1155" i="12"/>
  <c r="AD1155" i="12"/>
  <c r="AB1163" i="12"/>
  <c r="AD1163" i="12"/>
  <c r="AD1290" i="12"/>
  <c r="AB1290" i="12"/>
  <c r="AB1331" i="12"/>
  <c r="AD1331" i="12"/>
  <c r="AD55" i="12"/>
  <c r="AB55" i="12"/>
  <c r="AD185" i="12"/>
  <c r="AB185" i="12"/>
  <c r="AD454" i="12"/>
  <c r="AB454" i="12"/>
  <c r="AB544" i="12"/>
  <c r="AD544" i="12"/>
  <c r="AD702" i="12"/>
  <c r="AB702" i="12"/>
  <c r="AD778" i="12"/>
  <c r="AB778" i="12"/>
  <c r="AD63" i="12"/>
  <c r="AB63" i="12"/>
  <c r="AD146" i="12"/>
  <c r="AB146" i="12"/>
  <c r="AD167" i="12"/>
  <c r="AB167" i="12"/>
  <c r="AD218" i="12"/>
  <c r="AB218" i="12"/>
  <c r="AD302" i="12"/>
  <c r="AB302" i="12"/>
  <c r="AD312" i="12"/>
  <c r="AB312" i="12"/>
  <c r="AB331" i="12"/>
  <c r="AD331" i="12"/>
  <c r="AD335" i="12"/>
  <c r="AB335" i="12"/>
  <c r="AD359" i="12"/>
  <c r="AB359" i="12"/>
  <c r="AD570" i="12"/>
  <c r="AB570" i="12"/>
  <c r="AB607" i="12"/>
  <c r="AD607" i="12"/>
  <c r="AB736" i="12"/>
  <c r="AD736" i="12"/>
  <c r="AD767" i="12"/>
  <c r="AB767" i="12"/>
  <c r="AB874" i="12"/>
  <c r="AD874" i="12"/>
  <c r="AD1069" i="12"/>
  <c r="AB1069" i="12"/>
  <c r="AB1098" i="12"/>
  <c r="AD1098" i="12"/>
  <c r="AB1171" i="12"/>
  <c r="AD1171" i="12"/>
  <c r="AD1381" i="12"/>
  <c r="AB1381" i="12"/>
  <c r="AB1475" i="12"/>
  <c r="AD1475" i="12"/>
  <c r="AB1503" i="12"/>
  <c r="AD1503" i="12"/>
  <c r="AD119" i="12"/>
  <c r="AB119" i="12"/>
  <c r="AD255" i="12"/>
  <c r="AB255" i="12"/>
  <c r="AB268" i="12"/>
  <c r="AD268" i="12"/>
  <c r="AB284" i="12"/>
  <c r="AD284" i="12"/>
  <c r="AD502" i="12"/>
  <c r="AB502" i="12"/>
  <c r="AD641" i="12"/>
  <c r="AB641" i="12"/>
  <c r="AD681" i="12"/>
  <c r="AB681" i="12"/>
  <c r="AB698" i="12"/>
  <c r="AD698" i="12"/>
  <c r="AD830" i="12"/>
  <c r="AB830" i="12"/>
  <c r="AB877" i="12"/>
  <c r="AD877" i="12"/>
  <c r="AD998" i="12"/>
  <c r="AB998" i="12"/>
  <c r="AD1052" i="12"/>
  <c r="AB1052" i="12"/>
  <c r="AB1313" i="12"/>
  <c r="AD1313" i="12"/>
  <c r="AD423" i="12"/>
  <c r="AB423" i="12"/>
  <c r="AD489" i="12"/>
  <c r="AB489" i="12"/>
  <c r="AB555" i="12"/>
  <c r="AD555" i="12"/>
  <c r="AD712" i="12"/>
  <c r="AB712" i="12"/>
  <c r="AB21" i="12"/>
  <c r="AB45" i="12"/>
  <c r="AB83" i="12"/>
  <c r="AB129" i="12"/>
  <c r="AB131" i="12"/>
  <c r="AD135" i="12"/>
  <c r="AB135" i="12"/>
  <c r="AB145" i="12"/>
  <c r="AD145" i="12"/>
  <c r="AD187" i="12"/>
  <c r="AB187" i="12"/>
  <c r="AB192" i="12"/>
  <c r="AD192" i="12"/>
  <c r="AB276" i="12"/>
  <c r="AD276" i="12"/>
  <c r="AD294" i="12"/>
  <c r="AB294" i="12"/>
  <c r="AD311" i="12"/>
  <c r="AB311" i="12"/>
  <c r="AB344" i="12"/>
  <c r="AD344" i="12"/>
  <c r="AB347" i="12"/>
  <c r="AD347" i="12"/>
  <c r="AB394" i="12"/>
  <c r="AD431" i="12"/>
  <c r="AB431" i="12"/>
  <c r="AD461" i="12"/>
  <c r="AB461" i="12"/>
  <c r="AD480" i="12"/>
  <c r="AB480" i="12"/>
  <c r="AB490" i="12"/>
  <c r="AD490" i="12"/>
  <c r="AD494" i="12"/>
  <c r="AB494" i="12"/>
  <c r="AB499" i="12"/>
  <c r="AD499" i="12"/>
  <c r="AD517" i="12"/>
  <c r="AB517" i="12"/>
  <c r="AB531" i="12"/>
  <c r="AD531" i="12"/>
  <c r="AB563" i="12"/>
  <c r="AD563" i="12"/>
  <c r="AB565" i="12"/>
  <c r="AB567" i="12"/>
  <c r="AD574" i="12"/>
  <c r="AB574" i="12"/>
  <c r="AB592" i="12"/>
  <c r="AD592" i="12"/>
  <c r="AB595" i="12"/>
  <c r="AD595" i="12"/>
  <c r="AB616" i="12"/>
  <c r="AD616" i="12"/>
  <c r="AD637" i="12"/>
  <c r="AB637" i="12"/>
  <c r="AD744" i="12"/>
  <c r="AB744" i="12"/>
  <c r="AB747" i="12"/>
  <c r="AD747" i="12"/>
  <c r="AB749" i="12"/>
  <c r="AB800" i="12"/>
  <c r="AD800" i="12"/>
  <c r="AD805" i="12"/>
  <c r="AB805" i="12"/>
  <c r="AD822" i="12"/>
  <c r="AB822" i="12"/>
  <c r="AB853" i="12"/>
  <c r="AD853" i="12"/>
  <c r="AD886" i="12"/>
  <c r="AB886" i="12"/>
  <c r="AB898" i="12"/>
  <c r="AD898" i="12"/>
  <c r="AB941" i="12"/>
  <c r="AD941" i="12"/>
  <c r="AD957" i="12"/>
  <c r="AB957" i="12"/>
  <c r="AD967" i="12"/>
  <c r="AB967" i="12"/>
  <c r="AD1002" i="12"/>
  <c r="AB1002" i="12"/>
  <c r="AD1018" i="12"/>
  <c r="AB1018" i="12"/>
  <c r="AD1021" i="12"/>
  <c r="AB1021" i="12"/>
  <c r="AB1035" i="12"/>
  <c r="AD1035" i="12"/>
  <c r="AD1071" i="12"/>
  <c r="AB1071" i="12"/>
  <c r="AD1102" i="12"/>
  <c r="AB1102" i="12"/>
  <c r="AD1125" i="12"/>
  <c r="AB1125" i="12"/>
  <c r="AD1138" i="12"/>
  <c r="AB1138" i="12"/>
  <c r="AD1153" i="12"/>
  <c r="AB1153" i="12"/>
  <c r="AB1213" i="12"/>
  <c r="AD1213" i="12"/>
  <c r="AD1389" i="12"/>
  <c r="AB1389" i="12"/>
  <c r="AB1395" i="12"/>
  <c r="AD1395" i="12"/>
  <c r="AD1442" i="12"/>
  <c r="AB1442" i="12"/>
  <c r="AD295" i="12"/>
  <c r="AB295" i="12"/>
  <c r="AB337" i="12"/>
  <c r="AD337" i="12"/>
  <c r="AB427" i="12"/>
  <c r="AD427" i="12"/>
  <c r="AD442" i="12"/>
  <c r="AB442" i="12"/>
  <c r="AD474" i="12"/>
  <c r="AB474" i="12"/>
  <c r="AB547" i="12"/>
  <c r="AD547" i="12"/>
  <c r="AD577" i="12"/>
  <c r="AB577" i="12"/>
  <c r="AD617" i="12"/>
  <c r="AB617" i="12"/>
  <c r="AB707" i="12"/>
  <c r="AD707" i="12"/>
  <c r="AD801" i="12"/>
  <c r="AB801" i="12"/>
  <c r="AD882" i="12"/>
  <c r="AB882" i="12"/>
  <c r="AB981" i="12"/>
  <c r="AD981" i="12"/>
  <c r="AB1019" i="12"/>
  <c r="AD1019" i="12"/>
  <c r="AD1193" i="12"/>
  <c r="AB1193" i="12"/>
  <c r="AD1318" i="12"/>
  <c r="AB1318" i="12"/>
  <c r="AD1322" i="12"/>
  <c r="AB1322" i="12"/>
  <c r="AB1343" i="12"/>
  <c r="AD1343" i="12"/>
  <c r="AD1426" i="12"/>
  <c r="AB1426" i="12"/>
  <c r="AB139" i="12"/>
  <c r="AD139" i="12"/>
  <c r="AB211" i="12"/>
  <c r="AD211" i="12"/>
  <c r="AD378" i="12"/>
  <c r="AB378" i="12"/>
  <c r="AD762" i="12"/>
  <c r="AB762" i="12"/>
  <c r="AD816" i="12"/>
  <c r="AB816" i="12"/>
  <c r="AD854" i="12"/>
  <c r="AB854" i="12"/>
  <c r="AB899" i="12"/>
  <c r="AD899" i="12"/>
  <c r="AB979" i="12"/>
  <c r="AD979" i="12"/>
  <c r="AD1086" i="12"/>
  <c r="AB1086" i="12"/>
  <c r="AD1126" i="12"/>
  <c r="AB1126" i="12"/>
  <c r="AD1214" i="12"/>
  <c r="AB1214" i="12"/>
  <c r="AD1402" i="12"/>
  <c r="AB1402" i="12"/>
  <c r="AD12" i="12"/>
  <c r="AB12" i="12"/>
  <c r="AB102" i="12"/>
  <c r="AD102" i="12"/>
  <c r="AD263" i="12"/>
  <c r="AB263" i="12"/>
  <c r="AD397" i="12"/>
  <c r="AB397" i="12"/>
  <c r="AD405" i="12"/>
  <c r="AB405" i="12"/>
  <c r="AB467" i="12"/>
  <c r="AD467" i="12"/>
  <c r="AD486" i="12"/>
  <c r="AB486" i="12"/>
  <c r="AB674" i="12"/>
  <c r="AD674" i="12"/>
  <c r="AD686" i="12"/>
  <c r="AB686" i="12"/>
  <c r="AD726" i="12"/>
  <c r="AB726" i="12"/>
  <c r="AD790" i="12"/>
  <c r="AB790" i="12"/>
  <c r="AB802" i="12"/>
  <c r="AD802" i="12"/>
  <c r="AD925" i="12"/>
  <c r="AB925" i="12"/>
  <c r="AB954" i="12"/>
  <c r="AD954" i="12"/>
  <c r="AD1005" i="12"/>
  <c r="AB1005" i="12"/>
  <c r="AD1136" i="12"/>
  <c r="AB1136" i="12"/>
  <c r="AD1201" i="12"/>
  <c r="AB1201" i="12"/>
  <c r="AD1276" i="12"/>
  <c r="AB1276" i="12"/>
  <c r="AB1335" i="12"/>
  <c r="AD1335" i="12"/>
  <c r="AD1341" i="12"/>
  <c r="AB1341" i="12"/>
  <c r="AD1436" i="12"/>
  <c r="AB1436" i="12"/>
  <c r="AD1501" i="12"/>
  <c r="AB1501" i="12"/>
  <c r="AD20" i="12"/>
  <c r="AB20" i="12"/>
  <c r="AB36" i="12"/>
  <c r="AD36" i="12"/>
  <c r="AB44" i="12"/>
  <c r="AD44" i="12"/>
  <c r="AB100" i="12"/>
  <c r="AD100" i="12"/>
  <c r="AD151" i="12"/>
  <c r="AB151" i="12"/>
  <c r="AD168" i="12"/>
  <c r="AB168" i="12"/>
  <c r="AB180" i="12"/>
  <c r="AD180" i="12"/>
  <c r="AD338" i="12"/>
  <c r="AB338" i="12"/>
  <c r="AD366" i="12"/>
  <c r="AB366" i="12"/>
  <c r="AD430" i="12"/>
  <c r="AB430" i="12"/>
  <c r="AD460" i="12"/>
  <c r="AB460" i="12"/>
  <c r="AB514" i="12"/>
  <c r="AD514" i="12"/>
  <c r="AD530" i="12"/>
  <c r="AB530" i="12"/>
  <c r="AD550" i="12"/>
  <c r="AB550" i="12"/>
  <c r="AD654" i="12"/>
  <c r="AB654" i="12"/>
  <c r="AB875" i="12"/>
  <c r="AD875" i="12"/>
  <c r="AB928" i="12"/>
  <c r="AD928" i="12"/>
  <c r="AB1043" i="12"/>
  <c r="AD1043" i="12"/>
  <c r="AD1150" i="12"/>
  <c r="AB1150" i="12"/>
  <c r="AD1177" i="12"/>
  <c r="AB1177" i="12"/>
  <c r="AD1355" i="12"/>
  <c r="AB1355" i="12"/>
  <c r="AB1391" i="12"/>
  <c r="AD1391" i="12"/>
  <c r="AD1454" i="12"/>
  <c r="AB1454" i="12"/>
  <c r="AB1471" i="12"/>
  <c r="AD1471" i="12"/>
  <c r="AD1516" i="12"/>
  <c r="AB1516" i="12"/>
  <c r="AB212" i="12"/>
  <c r="AD212" i="12"/>
  <c r="AD327" i="12"/>
  <c r="AB327" i="12"/>
  <c r="AB463" i="12"/>
  <c r="AD463" i="12"/>
  <c r="AD468" i="12"/>
  <c r="AB468" i="12"/>
  <c r="AB482" i="12"/>
  <c r="AD482" i="12"/>
  <c r="AB608" i="12"/>
  <c r="AD608" i="12"/>
  <c r="AD760" i="12"/>
  <c r="AB760" i="12"/>
  <c r="AB11" i="12"/>
  <c r="AD17" i="12"/>
  <c r="AD19" i="12"/>
  <c r="AD25" i="12"/>
  <c r="AB29" i="12"/>
  <c r="AB31" i="12"/>
  <c r="AB39" i="12"/>
  <c r="AD43" i="12"/>
  <c r="AB47" i="12"/>
  <c r="AB49" i="12"/>
  <c r="AD51" i="12"/>
  <c r="AB75" i="12"/>
  <c r="AD77" i="12"/>
  <c r="AD81" i="12"/>
  <c r="AD89" i="12"/>
  <c r="AB93" i="12"/>
  <c r="AB95" i="12"/>
  <c r="AD116" i="12"/>
  <c r="AB123" i="12"/>
  <c r="AD138" i="12"/>
  <c r="AB138" i="12"/>
  <c r="AD143" i="12"/>
  <c r="AB143" i="12"/>
  <c r="AD154" i="12"/>
  <c r="AB154" i="12"/>
  <c r="AD159" i="12"/>
  <c r="AB159" i="12"/>
  <c r="AB162" i="12"/>
  <c r="AD172" i="12"/>
  <c r="AB176" i="12"/>
  <c r="AD215" i="12"/>
  <c r="AB215" i="12"/>
  <c r="AB226" i="12"/>
  <c r="AB230" i="12"/>
  <c r="AD244" i="12"/>
  <c r="AD283" i="12"/>
  <c r="AD297" i="12"/>
  <c r="AD323" i="12"/>
  <c r="AD342" i="12"/>
  <c r="AB342" i="12"/>
  <c r="AB361" i="12"/>
  <c r="AB363" i="12"/>
  <c r="AD363" i="12"/>
  <c r="AB365" i="12"/>
  <c r="AD370" i="12"/>
  <c r="AB370" i="12"/>
  <c r="AD380" i="12"/>
  <c r="AB399" i="12"/>
  <c r="AD399" i="12"/>
  <c r="AB411" i="12"/>
  <c r="AD411" i="12"/>
  <c r="AB422" i="12"/>
  <c r="AD469" i="12"/>
  <c r="AB469" i="12"/>
  <c r="AD510" i="12"/>
  <c r="AB510" i="12"/>
  <c r="AD523" i="12"/>
  <c r="AB579" i="12"/>
  <c r="AD579" i="12"/>
  <c r="AB581" i="12"/>
  <c r="AD606" i="12"/>
  <c r="AB606" i="12"/>
  <c r="AD627" i="12"/>
  <c r="AB651" i="12"/>
  <c r="AD651" i="12"/>
  <c r="AD662" i="12"/>
  <c r="AB662" i="12"/>
  <c r="AD680" i="12"/>
  <c r="AB680" i="12"/>
  <c r="AD691" i="12"/>
  <c r="AD738" i="12"/>
  <c r="AB786" i="12"/>
  <c r="AD786" i="12"/>
  <c r="AB808" i="12"/>
  <c r="AD808" i="12"/>
  <c r="AD829" i="12"/>
  <c r="AB829" i="12"/>
  <c r="AD841" i="12"/>
  <c r="AB841" i="12"/>
  <c r="AD848" i="12"/>
  <c r="AB848" i="12"/>
  <c r="AB863" i="12"/>
  <c r="AD863" i="12"/>
  <c r="AD866" i="12"/>
  <c r="AD934" i="12"/>
  <c r="AB934" i="12"/>
  <c r="AB939" i="12"/>
  <c r="AD939" i="12"/>
  <c r="AD951" i="12"/>
  <c r="AD1028" i="12"/>
  <c r="AB1028" i="12"/>
  <c r="AD1033" i="12"/>
  <c r="AB1115" i="12"/>
  <c r="AD1115" i="12"/>
  <c r="AB1128" i="12"/>
  <c r="AB1135" i="12"/>
  <c r="AD1135" i="12"/>
  <c r="AD1144" i="12"/>
  <c r="AB1144" i="12"/>
  <c r="AD1200" i="12"/>
  <c r="AB1200" i="12"/>
  <c r="AB1211" i="12"/>
  <c r="AD1211" i="12"/>
  <c r="AD1225" i="12"/>
  <c r="AB1225" i="12"/>
  <c r="AD1291" i="12"/>
  <c r="AB1291" i="12"/>
  <c r="AB1351" i="12"/>
  <c r="AD1351" i="12"/>
  <c r="AD199" i="12"/>
  <c r="AB199" i="12"/>
  <c r="AD265" i="12"/>
  <c r="AD271" i="12"/>
  <c r="AB271" i="12"/>
  <c r="AB290" i="12"/>
  <c r="AB298" i="12"/>
  <c r="AD300" i="12"/>
  <c r="AB304" i="12"/>
  <c r="AB306" i="12"/>
  <c r="AD316" i="12"/>
  <c r="AD318" i="12"/>
  <c r="AD324" i="12"/>
  <c r="AD352" i="12"/>
  <c r="AB352" i="12"/>
  <c r="AB374" i="12"/>
  <c r="AB376" i="12"/>
  <c r="AD404" i="12"/>
  <c r="AB404" i="12"/>
  <c r="AB447" i="12"/>
  <c r="AD449" i="12"/>
  <c r="AD451" i="12"/>
  <c r="AB485" i="12"/>
  <c r="AD498" i="12"/>
  <c r="AB498" i="12"/>
  <c r="AB513" i="12"/>
  <c r="AD534" i="12"/>
  <c r="AB534" i="12"/>
  <c r="AB562" i="12"/>
  <c r="AB609" i="12"/>
  <c r="AB623" i="12"/>
  <c r="AD634" i="12"/>
  <c r="AD643" i="12"/>
  <c r="AD645" i="12"/>
  <c r="AD661" i="12"/>
  <c r="AD689" i="12"/>
  <c r="AB689" i="12"/>
  <c r="AB713" i="12"/>
  <c r="AD752" i="12"/>
  <c r="AB752" i="12"/>
  <c r="AB757" i="12"/>
  <c r="AD766" i="12"/>
  <c r="AB766" i="12"/>
  <c r="AD814" i="12"/>
  <c r="AB814" i="12"/>
  <c r="AD857" i="12"/>
  <c r="AB857" i="12"/>
  <c r="AD897" i="12"/>
  <c r="AB897" i="12"/>
  <c r="AD907" i="12"/>
  <c r="AB919" i="12"/>
  <c r="AD919" i="12"/>
  <c r="AB921" i="12"/>
  <c r="AD923" i="12"/>
  <c r="AD958" i="12"/>
  <c r="AB958" i="12"/>
  <c r="AD965" i="12"/>
  <c r="AD983" i="12"/>
  <c r="AB1015" i="12"/>
  <c r="AD1015" i="12"/>
  <c r="AB1017" i="12"/>
  <c r="AB1029" i="12"/>
  <c r="AD1059" i="12"/>
  <c r="AD1074" i="12"/>
  <c r="AB1074" i="12"/>
  <c r="AD1078" i="12"/>
  <c r="AB1078" i="12"/>
  <c r="AB1106" i="12"/>
  <c r="AD1111" i="12"/>
  <c r="AB1111" i="12"/>
  <c r="AB1131" i="12"/>
  <c r="AD1131" i="12"/>
  <c r="AB1147" i="12"/>
  <c r="AD1147" i="12"/>
  <c r="AD1161" i="12"/>
  <c r="AB1161" i="12"/>
  <c r="AD1166" i="12"/>
  <c r="AB1166" i="12"/>
  <c r="AB1168" i="12"/>
  <c r="AD1183" i="12"/>
  <c r="AB1183" i="12"/>
  <c r="AD1199" i="12"/>
  <c r="AD1226" i="12"/>
  <c r="AB1226" i="12"/>
  <c r="AB1240" i="12"/>
  <c r="AB1288" i="12"/>
  <c r="AD1288" i="12"/>
  <c r="AD1326" i="12"/>
  <c r="AB1326" i="12"/>
  <c r="AB1353" i="12"/>
  <c r="AD1358" i="12"/>
  <c r="AB1358" i="12"/>
  <c r="AD1374" i="12"/>
  <c r="AB1374" i="12"/>
  <c r="AD175" i="12"/>
  <c r="AB175" i="12"/>
  <c r="AD183" i="12"/>
  <c r="AB183" i="12"/>
  <c r="AD210" i="12"/>
  <c r="AB210" i="12"/>
  <c r="AD282" i="12"/>
  <c r="AB282" i="12"/>
  <c r="AD466" i="12"/>
  <c r="AB466" i="12"/>
  <c r="AD473" i="12"/>
  <c r="AB473" i="12"/>
  <c r="AD511" i="12"/>
  <c r="AB511" i="12"/>
  <c r="AD542" i="12"/>
  <c r="AB542" i="12"/>
  <c r="AD553" i="12"/>
  <c r="AB553" i="12"/>
  <c r="AD566" i="12"/>
  <c r="AB566" i="12"/>
  <c r="AD575" i="12"/>
  <c r="AB575" i="12"/>
  <c r="AD614" i="12"/>
  <c r="AB614" i="12"/>
  <c r="AB619" i="12"/>
  <c r="AD619" i="12"/>
  <c r="AB839" i="12"/>
  <c r="AD839" i="12"/>
  <c r="AD842" i="12"/>
  <c r="AB842" i="12"/>
  <c r="AD862" i="12"/>
  <c r="AB862" i="12"/>
  <c r="AD904" i="12"/>
  <c r="AB904" i="12"/>
  <c r="AB963" i="12"/>
  <c r="AD963" i="12"/>
  <c r="AD992" i="12"/>
  <c r="AB992" i="12"/>
  <c r="AB995" i="12"/>
  <c r="AD995" i="12"/>
  <c r="AD1020" i="12"/>
  <c r="AB1020" i="12"/>
  <c r="AD1047" i="12"/>
  <c r="AB1047" i="12"/>
  <c r="AD1054" i="12"/>
  <c r="AB1054" i="12"/>
  <c r="AB1085" i="12"/>
  <c r="AD1085" i="12"/>
  <c r="AD1118" i="12"/>
  <c r="AB1118" i="12"/>
  <c r="AB1159" i="12"/>
  <c r="AD1159" i="12"/>
  <c r="AD1190" i="12"/>
  <c r="AB1190" i="12"/>
  <c r="AD1202" i="12"/>
  <c r="AB1202" i="12"/>
  <c r="AB1219" i="12"/>
  <c r="AD1219" i="12"/>
  <c r="AD1251" i="12"/>
  <c r="AB1251" i="12"/>
  <c r="AB1271" i="12"/>
  <c r="AD1271" i="12"/>
  <c r="AB1366" i="12"/>
  <c r="AD1366" i="12"/>
  <c r="AD239" i="12"/>
  <c r="AB239" i="12"/>
  <c r="AD247" i="12"/>
  <c r="AB247" i="12"/>
  <c r="AD274" i="12"/>
  <c r="AB274" i="12"/>
  <c r="AD402" i="12"/>
  <c r="AB402" i="12"/>
  <c r="AD409" i="12"/>
  <c r="AB409" i="12"/>
  <c r="AB435" i="12"/>
  <c r="AD435" i="12"/>
  <c r="AD509" i="12"/>
  <c r="AB509" i="12"/>
  <c r="AD560" i="12"/>
  <c r="AB560" i="12"/>
  <c r="AD586" i="12"/>
  <c r="AB586" i="12"/>
  <c r="AD601" i="12"/>
  <c r="AB601" i="12"/>
  <c r="AB610" i="12"/>
  <c r="AD610" i="12"/>
  <c r="AD639" i="12"/>
  <c r="AB639" i="12"/>
  <c r="AD648" i="12"/>
  <c r="AB648" i="12"/>
  <c r="AB683" i="12"/>
  <c r="AD683" i="12"/>
  <c r="AD703" i="12"/>
  <c r="AB703" i="12"/>
  <c r="AD714" i="12"/>
  <c r="AB714" i="12"/>
  <c r="AD782" i="12"/>
  <c r="AB782" i="12"/>
  <c r="AB789" i="12"/>
  <c r="AD789" i="12"/>
  <c r="AD798" i="12"/>
  <c r="AB798" i="12"/>
  <c r="AB843" i="12"/>
  <c r="AD843" i="12"/>
  <c r="AB851" i="12"/>
  <c r="AD851" i="12"/>
  <c r="AD893" i="12"/>
  <c r="AB893" i="12"/>
  <c r="AD905" i="12"/>
  <c r="AB905" i="12"/>
  <c r="AD977" i="12"/>
  <c r="AB977" i="12"/>
  <c r="AB1041" i="12"/>
  <c r="AD1041" i="12"/>
  <c r="AB1075" i="12"/>
  <c r="AD1075" i="12"/>
  <c r="AD1097" i="12"/>
  <c r="AB1097" i="12"/>
  <c r="AD1109" i="12"/>
  <c r="AB1109" i="12"/>
  <c r="AD1176" i="12"/>
  <c r="AB1176" i="12"/>
  <c r="AB1203" i="12"/>
  <c r="AD1203" i="12"/>
  <c r="AD1227" i="12"/>
  <c r="AB1227" i="12"/>
  <c r="AB1238" i="12"/>
  <c r="AD1238" i="12"/>
  <c r="AB1259" i="12"/>
  <c r="AD1259" i="12"/>
  <c r="AD1265" i="12"/>
  <c r="AB1265" i="12"/>
  <c r="AB1310" i="12"/>
  <c r="AD1310" i="12"/>
  <c r="AD598" i="12"/>
  <c r="AB598" i="12"/>
  <c r="AD718" i="12"/>
  <c r="AB718" i="12"/>
  <c r="AB811" i="12"/>
  <c r="AD811" i="12"/>
  <c r="AB867" i="12"/>
  <c r="AD867" i="12"/>
  <c r="AD873" i="12"/>
  <c r="AB873" i="12"/>
  <c r="AD975" i="12"/>
  <c r="AB975" i="12"/>
  <c r="AD1013" i="12"/>
  <c r="AB1013" i="12"/>
  <c r="AB1027" i="12"/>
  <c r="AD1027" i="12"/>
  <c r="AD1046" i="12"/>
  <c r="AB1046" i="12"/>
  <c r="AD1137" i="12"/>
  <c r="AB1137" i="12"/>
  <c r="AD1158" i="12"/>
  <c r="AB1158" i="12"/>
  <c r="AD1174" i="12"/>
  <c r="AB1174" i="12"/>
  <c r="AB1195" i="12"/>
  <c r="AD1195" i="12"/>
  <c r="AD1217" i="12"/>
  <c r="AB1217" i="12"/>
  <c r="AD1250" i="12"/>
  <c r="AB1250" i="12"/>
  <c r="AB1255" i="12"/>
  <c r="AD1255" i="12"/>
  <c r="AB1303" i="12"/>
  <c r="AD1303" i="12"/>
  <c r="AD1309" i="12"/>
  <c r="AB1309" i="12"/>
  <c r="AB1359" i="12"/>
  <c r="AD1359" i="12"/>
  <c r="AD1364" i="12"/>
  <c r="AD1394" i="12"/>
  <c r="AB1394" i="12"/>
  <c r="AD1486" i="12"/>
  <c r="AB1486" i="12"/>
  <c r="AB1511" i="12"/>
  <c r="AD1511" i="12"/>
  <c r="AD1405" i="12"/>
  <c r="AB1405" i="12"/>
  <c r="AB1415" i="12"/>
  <c r="AD1415" i="12"/>
  <c r="AD558" i="12"/>
  <c r="AB558" i="12"/>
  <c r="AD590" i="12"/>
  <c r="AB590" i="12"/>
  <c r="AD630" i="12"/>
  <c r="AB630" i="12"/>
  <c r="AB659" i="12"/>
  <c r="AD659" i="12"/>
  <c r="AD690" i="12"/>
  <c r="AB690" i="12"/>
  <c r="AB723" i="12"/>
  <c r="AD723" i="12"/>
  <c r="AD742" i="12"/>
  <c r="AB742" i="12"/>
  <c r="AD765" i="12"/>
  <c r="AB765" i="12"/>
  <c r="AD831" i="12"/>
  <c r="AB831" i="12"/>
  <c r="AD881" i="12"/>
  <c r="AB881" i="12"/>
  <c r="AB915" i="12"/>
  <c r="AD915" i="12"/>
  <c r="AD959" i="12"/>
  <c r="AB959" i="12"/>
  <c r="AD1142" i="12"/>
  <c r="AB1142" i="12"/>
  <c r="AD1178" i="12"/>
  <c r="AB1178" i="12"/>
  <c r="AD1234" i="12"/>
  <c r="AB1234" i="12"/>
  <c r="AB1243" i="12"/>
  <c r="AD1243" i="12"/>
  <c r="AD1246" i="12"/>
  <c r="AB1246" i="12"/>
  <c r="AD1258" i="12"/>
  <c r="AB1258" i="12"/>
  <c r="AD1357" i="12"/>
  <c r="AB1357" i="12"/>
  <c r="AB1379" i="12"/>
  <c r="AD1379" i="12"/>
  <c r="AD1522" i="12"/>
  <c r="AB1522" i="12"/>
  <c r="AB787" i="12"/>
  <c r="AD787" i="12"/>
  <c r="AD809" i="12"/>
  <c r="AB809" i="12"/>
  <c r="AD895" i="12"/>
  <c r="AB895" i="12"/>
  <c r="AD1006" i="12"/>
  <c r="AB1006" i="12"/>
  <c r="AD1025" i="12"/>
  <c r="AB1025" i="12"/>
  <c r="AD1094" i="12"/>
  <c r="AB1094" i="12"/>
  <c r="AD1101" i="12"/>
  <c r="AB1101" i="12"/>
  <c r="AD1272" i="12"/>
  <c r="AB1272" i="12"/>
  <c r="AB1300" i="12"/>
  <c r="AD1300" i="12"/>
  <c r="AD1421" i="12"/>
  <c r="AB1421" i="12"/>
  <c r="AD1452" i="12"/>
  <c r="AB1452" i="12"/>
  <c r="AD1489" i="12"/>
  <c r="AB1489" i="12"/>
  <c r="AD1498" i="12"/>
  <c r="AB1498" i="12"/>
  <c r="AD750" i="12"/>
  <c r="AB750" i="12"/>
  <c r="AD1228" i="12"/>
  <c r="AB1228" i="12"/>
  <c r="AB1253" i="12"/>
  <c r="AD1253" i="12"/>
  <c r="AD1273" i="12"/>
  <c r="AB1273" i="12"/>
  <c r="AD1301" i="12"/>
  <c r="AB1301" i="12"/>
  <c r="AB1315" i="12"/>
  <c r="AD1315" i="12"/>
  <c r="AD1346" i="12"/>
  <c r="AB1346" i="12"/>
  <c r="AB1360" i="12"/>
  <c r="AD1360" i="12"/>
  <c r="AB1375" i="12"/>
  <c r="AD1375" i="12"/>
  <c r="AD1434" i="12"/>
  <c r="AB1434" i="12"/>
  <c r="AB1520" i="12"/>
  <c r="AD1520" i="12"/>
  <c r="AD518" i="12"/>
  <c r="AB518" i="12"/>
  <c r="AD582" i="12"/>
  <c r="AB582" i="12"/>
  <c r="AD646" i="12"/>
  <c r="AB646" i="12"/>
  <c r="AD710" i="12"/>
  <c r="AB710" i="12"/>
  <c r="AD774" i="12"/>
  <c r="AB774" i="12"/>
  <c r="AD838" i="12"/>
  <c r="AB838" i="12"/>
  <c r="AD902" i="12"/>
  <c r="AB902" i="12"/>
  <c r="AD968" i="12"/>
  <c r="AB968" i="12"/>
  <c r="AB987" i="12"/>
  <c r="AD987" i="12"/>
  <c r="AD1032" i="12"/>
  <c r="AB1032" i="12"/>
  <c r="AB1051" i="12"/>
  <c r="AD1051" i="12"/>
  <c r="AB1107" i="12"/>
  <c r="AD1107" i="12"/>
  <c r="AD1127" i="12"/>
  <c r="AB1127" i="12"/>
  <c r="AD1222" i="12"/>
  <c r="AB1222" i="12"/>
  <c r="AB1283" i="12"/>
  <c r="AB1285" i="12"/>
  <c r="AD1292" i="12"/>
  <c r="AB1292" i="12"/>
  <c r="AB1298" i="12"/>
  <c r="AD1298" i="12"/>
  <c r="AB1311" i="12"/>
  <c r="AD1311" i="12"/>
  <c r="AD1338" i="12"/>
  <c r="AB1338" i="12"/>
  <c r="AD1350" i="12"/>
  <c r="AB1350" i="12"/>
  <c r="AD1354" i="12"/>
  <c r="AB1354" i="12"/>
  <c r="AB1372" i="12"/>
  <c r="AD1372" i="12"/>
  <c r="AD1388" i="12"/>
  <c r="AB1388" i="12"/>
  <c r="AB1406" i="12"/>
  <c r="AD1422" i="12"/>
  <c r="AB1422" i="12"/>
  <c r="AB1432" i="12"/>
  <c r="AD1462" i="12"/>
  <c r="AB1462" i="12"/>
  <c r="AD1469" i="12"/>
  <c r="AB1469" i="12"/>
  <c r="AD1474" i="12"/>
  <c r="AB1474" i="12"/>
  <c r="AB1083" i="12"/>
  <c r="AD1083" i="12"/>
  <c r="AD1105" i="12"/>
  <c r="AB1105" i="12"/>
  <c r="AD1191" i="12"/>
  <c r="AB1191" i="12"/>
  <c r="AD1215" i="12"/>
  <c r="AB1233" i="12"/>
  <c r="AD1376" i="12"/>
  <c r="AB1376" i="12"/>
  <c r="AD1443" i="12"/>
  <c r="AB1239" i="12"/>
  <c r="AD1239" i="12"/>
  <c r="AD1277" i="12"/>
  <c r="AB1277" i="12"/>
  <c r="AD1314" i="12"/>
  <c r="AB1314" i="12"/>
  <c r="AD1373" i="12"/>
  <c r="AB1373" i="12"/>
  <c r="AD1413" i="12"/>
  <c r="AB1413" i="12"/>
  <c r="AD1490" i="12"/>
  <c r="AB1490" i="12"/>
  <c r="AD1515" i="12"/>
  <c r="AB1515" i="12"/>
  <c r="AD1070" i="12"/>
  <c r="AB1070" i="12"/>
  <c r="AD1134" i="12"/>
  <c r="AB1134" i="12"/>
  <c r="AD1198" i="12"/>
  <c r="AB1198" i="12"/>
  <c r="AD1330" i="12"/>
  <c r="AB1330" i="12"/>
  <c r="AD1390" i="12"/>
  <c r="AB1390" i="12"/>
  <c r="AB1409" i="12"/>
  <c r="AD1409" i="12"/>
  <c r="AD1420" i="12"/>
  <c r="AB1420" i="12"/>
  <c r="AB1439" i="12"/>
  <c r="AD1439" i="12"/>
  <c r="AB1487" i="12"/>
  <c r="AD1487" i="12"/>
  <c r="AB1328" i="12"/>
  <c r="AD1328" i="12"/>
  <c r="AD1348" i="12"/>
  <c r="AB1348" i="12"/>
  <c r="AD1370" i="12"/>
  <c r="AB1370" i="12"/>
  <c r="AB1505" i="12"/>
  <c r="AD1505" i="12"/>
  <c r="AD1378" i="12"/>
  <c r="AB1378" i="12"/>
  <c r="AD1437" i="12"/>
  <c r="AB1437" i="12"/>
  <c r="AD1458" i="12"/>
  <c r="AB1458" i="12"/>
  <c r="AD1466" i="12"/>
  <c r="AB1466" i="12"/>
  <c r="AD1484" i="12"/>
  <c r="AB1484" i="12"/>
  <c r="AB1509" i="12"/>
  <c r="AD1386" i="12"/>
  <c r="AB1386" i="12"/>
  <c r="AD1418" i="12"/>
  <c r="AB1418" i="12"/>
  <c r="AD1450" i="12"/>
  <c r="AB1450" i="12"/>
  <c r="AD1482" i="12"/>
  <c r="AB1482" i="12"/>
  <c r="AD1514" i="12"/>
  <c r="AB1514" i="12"/>
  <c r="A43" i="21"/>
  <c r="A52" i="21"/>
  <c r="A41" i="21"/>
  <c r="A49" i="21"/>
  <c r="A48" i="21"/>
  <c r="A31" i="21"/>
  <c r="A1" i="23" l="1"/>
  <c r="A1" i="22"/>
  <c r="A1" i="21"/>
  <c r="A1" i="25"/>
  <c r="V162" i="10"/>
  <c r="V481" i="10"/>
  <c r="V321" i="10"/>
  <c r="V193" i="10"/>
  <c r="V65" i="10"/>
  <c r="V416" i="10"/>
  <c r="V320" i="10"/>
  <c r="V224" i="10"/>
  <c r="V128" i="10"/>
  <c r="V32" i="10"/>
  <c r="V415" i="10"/>
  <c r="V187" i="10"/>
  <c r="V314" i="10"/>
  <c r="V446" i="10"/>
  <c r="V318" i="10"/>
  <c r="V135" i="10"/>
  <c r="V363" i="10"/>
  <c r="V55" i="10"/>
  <c r="A79" i="21"/>
  <c r="P9" i="4"/>
  <c r="U9" i="4"/>
  <c r="T9" i="4"/>
  <c r="W9" i="4"/>
  <c r="V9" i="4"/>
  <c r="S9" i="4"/>
  <c r="R9" i="4"/>
  <c r="Q9" i="4"/>
  <c r="A82" i="21"/>
  <c r="T12" i="4"/>
  <c r="Q12" i="4"/>
  <c r="R12" i="4"/>
  <c r="P12" i="4"/>
  <c r="W12" i="4"/>
  <c r="S12" i="4"/>
  <c r="V12" i="4"/>
  <c r="U12" i="4"/>
  <c r="V158" i="10"/>
  <c r="V94" i="10"/>
  <c r="V30" i="10"/>
  <c r="V445" i="10"/>
  <c r="V381" i="10"/>
  <c r="V317" i="10"/>
  <c r="V253" i="10"/>
  <c r="V189" i="10"/>
  <c r="V125" i="10"/>
  <c r="V61" i="10"/>
  <c r="V476" i="10"/>
  <c r="V380" i="10"/>
  <c r="V316" i="10"/>
  <c r="V252" i="10"/>
  <c r="V188" i="10"/>
  <c r="V92" i="10"/>
  <c r="V28" i="10"/>
  <c r="J10" i="9"/>
  <c r="K10" i="9" s="1"/>
  <c r="I9" i="9"/>
  <c r="V266" i="10"/>
  <c r="V303" i="10"/>
  <c r="V435" i="10"/>
  <c r="V307" i="10"/>
  <c r="V103" i="10"/>
  <c r="V486" i="10"/>
  <c r="V294" i="10"/>
  <c r="A5" i="6"/>
  <c r="B5" i="6"/>
  <c r="V186" i="10"/>
  <c r="V154" i="10"/>
  <c r="V122" i="10"/>
  <c r="V90" i="10"/>
  <c r="V58" i="10"/>
  <c r="V26" i="10"/>
  <c r="V473" i="10"/>
  <c r="V441" i="10"/>
  <c r="V409" i="10"/>
  <c r="V377" i="10"/>
  <c r="V345" i="10"/>
  <c r="V313" i="10"/>
  <c r="V281" i="10"/>
  <c r="V249" i="10"/>
  <c r="V217" i="10"/>
  <c r="V185" i="10"/>
  <c r="V153" i="10"/>
  <c r="V121" i="10"/>
  <c r="V89" i="10"/>
  <c r="V57" i="10"/>
  <c r="V25" i="10"/>
  <c r="V472" i="10"/>
  <c r="V440" i="10"/>
  <c r="V408" i="10"/>
  <c r="V376" i="10"/>
  <c r="V344" i="10"/>
  <c r="V312" i="10"/>
  <c r="V280" i="10"/>
  <c r="V248" i="10"/>
  <c r="V216" i="10"/>
  <c r="V184" i="10"/>
  <c r="V152" i="10"/>
  <c r="V120" i="10"/>
  <c r="V88" i="10"/>
  <c r="V56" i="10"/>
  <c r="V24" i="10"/>
  <c r="V383" i="10"/>
  <c r="V255" i="10"/>
  <c r="V59" i="10"/>
  <c r="V410" i="10"/>
  <c r="V282" i="10"/>
  <c r="V15" i="10"/>
  <c r="V430" i="10"/>
  <c r="V366" i="10"/>
  <c r="V302" i="10"/>
  <c r="V238" i="10"/>
  <c r="V71" i="10"/>
  <c r="V203" i="10"/>
  <c r="V475" i="10"/>
  <c r="V411" i="10"/>
  <c r="V347" i="10"/>
  <c r="V283" i="10"/>
  <c r="V219" i="10"/>
  <c r="V63" i="10"/>
  <c r="C12" i="10"/>
  <c r="D12" i="10" s="1"/>
  <c r="B13" i="10"/>
  <c r="V194" i="10"/>
  <c r="V66" i="10"/>
  <c r="V385" i="10"/>
  <c r="V225" i="10"/>
  <c r="V97" i="10"/>
  <c r="V480" i="10"/>
  <c r="V352" i="10"/>
  <c r="V256" i="10"/>
  <c r="V160" i="10"/>
  <c r="V64" i="10"/>
  <c r="V287" i="10"/>
  <c r="V442" i="10"/>
  <c r="V143" i="10"/>
  <c r="V382" i="10"/>
  <c r="V254" i="10"/>
  <c r="V51" i="10"/>
  <c r="V427" i="10"/>
  <c r="V299" i="10"/>
  <c r="A105" i="21"/>
  <c r="P31" i="4"/>
  <c r="U31" i="4"/>
  <c r="T31" i="4"/>
  <c r="S31" i="4"/>
  <c r="V31" i="4"/>
  <c r="R31" i="4"/>
  <c r="Q31" i="4"/>
  <c r="W31" i="4"/>
  <c r="V190" i="10"/>
  <c r="V126" i="10"/>
  <c r="V62" i="10"/>
  <c r="V477" i="10"/>
  <c r="V413" i="10"/>
  <c r="V349" i="10"/>
  <c r="V285" i="10"/>
  <c r="V221" i="10"/>
  <c r="V157" i="10"/>
  <c r="V93" i="10"/>
  <c r="V29" i="10"/>
  <c r="V444" i="10"/>
  <c r="V412" i="10"/>
  <c r="V348" i="10"/>
  <c r="V284" i="10"/>
  <c r="V220" i="10"/>
  <c r="V156" i="10"/>
  <c r="V124" i="10"/>
  <c r="V60" i="10"/>
  <c r="V394" i="10"/>
  <c r="V123" i="10"/>
  <c r="V431" i="10"/>
  <c r="V79" i="10"/>
  <c r="V371" i="10"/>
  <c r="V243" i="10"/>
  <c r="V19" i="10"/>
  <c r="V422" i="10"/>
  <c r="V358" i="10"/>
  <c r="V230" i="10"/>
  <c r="V23" i="10"/>
  <c r="V182" i="10"/>
  <c r="V150" i="10"/>
  <c r="V118" i="10"/>
  <c r="V86" i="10"/>
  <c r="V54" i="10"/>
  <c r="V22" i="10"/>
  <c r="V469" i="10"/>
  <c r="V437" i="10"/>
  <c r="V405" i="10"/>
  <c r="V373" i="10"/>
  <c r="V341" i="10"/>
  <c r="V309" i="10"/>
  <c r="V277" i="10"/>
  <c r="V245" i="10"/>
  <c r="V213" i="10"/>
  <c r="V181" i="10"/>
  <c r="V149" i="10"/>
  <c r="V117" i="10"/>
  <c r="V85" i="10"/>
  <c r="V53" i="10"/>
  <c r="V21" i="10"/>
  <c r="V468" i="10"/>
  <c r="V436" i="10"/>
  <c r="V404" i="10"/>
  <c r="V372" i="10"/>
  <c r="V340" i="10"/>
  <c r="V308" i="10"/>
  <c r="V276" i="10"/>
  <c r="V244" i="10"/>
  <c r="V212" i="10"/>
  <c r="V180" i="10"/>
  <c r="V148" i="10"/>
  <c r="V116" i="10"/>
  <c r="V84" i="10"/>
  <c r="V52" i="10"/>
  <c r="V20" i="10"/>
  <c r="V362" i="10"/>
  <c r="V234" i="10"/>
  <c r="V195" i="10"/>
  <c r="V399" i="10"/>
  <c r="V271" i="10"/>
  <c r="V483" i="10"/>
  <c r="V419" i="10"/>
  <c r="V355" i="10"/>
  <c r="V291" i="10"/>
  <c r="V227" i="10"/>
  <c r="V39" i="10"/>
  <c r="V171" i="10"/>
  <c r="V470" i="10"/>
  <c r="V406" i="10"/>
  <c r="V342" i="10"/>
  <c r="V278" i="10"/>
  <c r="P50" i="5"/>
  <c r="P42" i="5"/>
  <c r="P11" i="5"/>
  <c r="P9" i="5"/>
  <c r="P7" i="5"/>
  <c r="P5" i="5"/>
  <c r="P3" i="5"/>
  <c r="P45" i="5"/>
  <c r="P40" i="5"/>
  <c r="P38" i="5"/>
  <c r="P36" i="5"/>
  <c r="P34" i="5"/>
  <c r="P32" i="5"/>
  <c r="P51" i="5"/>
  <c r="P43" i="5"/>
  <c r="P20" i="5"/>
  <c r="P18" i="5"/>
  <c r="P16" i="5"/>
  <c r="P14" i="5"/>
  <c r="P12" i="5"/>
  <c r="P46" i="5"/>
  <c r="P10" i="5"/>
  <c r="P8" i="5"/>
  <c r="P6" i="5"/>
  <c r="P4" i="5"/>
  <c r="P2" i="5"/>
  <c r="P28" i="5"/>
  <c r="P24" i="5"/>
  <c r="P41" i="5"/>
  <c r="P37" i="5"/>
  <c r="P33" i="5"/>
  <c r="P48" i="5"/>
  <c r="P30" i="5"/>
  <c r="P26" i="5"/>
  <c r="P22" i="5"/>
  <c r="P49" i="5"/>
  <c r="P39" i="5"/>
  <c r="P35" i="5"/>
  <c r="P25" i="5"/>
  <c r="P17" i="5"/>
  <c r="P27" i="5"/>
  <c r="P47" i="5"/>
  <c r="P21" i="5"/>
  <c r="P13" i="5"/>
  <c r="P31" i="5"/>
  <c r="P29" i="5"/>
  <c r="P15" i="5"/>
  <c r="P44" i="5"/>
  <c r="P23" i="5"/>
  <c r="P19" i="5"/>
  <c r="B31" i="12"/>
  <c r="A31" i="12"/>
  <c r="A102" i="21"/>
  <c r="T28" i="4"/>
  <c r="Q28" i="4"/>
  <c r="R28" i="4"/>
  <c r="P28" i="4"/>
  <c r="W28" i="4"/>
  <c r="S28" i="4"/>
  <c r="V28" i="4"/>
  <c r="U28" i="4"/>
  <c r="A101" i="21"/>
  <c r="P27" i="4"/>
  <c r="U27" i="4"/>
  <c r="T27" i="4"/>
  <c r="S27" i="4"/>
  <c r="R27" i="4"/>
  <c r="Q27" i="4"/>
  <c r="W27" i="4"/>
  <c r="V27" i="4"/>
  <c r="A114" i="21"/>
  <c r="T38" i="4"/>
  <c r="Q38" i="4"/>
  <c r="W38" i="4"/>
  <c r="V38" i="4"/>
  <c r="U38" i="4"/>
  <c r="S38" i="4"/>
  <c r="R38" i="4"/>
  <c r="P38" i="4"/>
  <c r="V98" i="10"/>
  <c r="V449" i="10"/>
  <c r="V353" i="10"/>
  <c r="V257" i="10"/>
  <c r="V129" i="10"/>
  <c r="V33" i="10"/>
  <c r="V384" i="10"/>
  <c r="V288" i="10"/>
  <c r="V96" i="10"/>
  <c r="V235" i="10"/>
  <c r="V178" i="10"/>
  <c r="V146" i="10"/>
  <c r="V114" i="10"/>
  <c r="V82" i="10"/>
  <c r="V50" i="10"/>
  <c r="V18" i="10"/>
  <c r="V465" i="10"/>
  <c r="V433" i="10"/>
  <c r="V401" i="10"/>
  <c r="V369" i="10"/>
  <c r="V337" i="10"/>
  <c r="V305" i="10"/>
  <c r="V273" i="10"/>
  <c r="V241" i="10"/>
  <c r="V209" i="10"/>
  <c r="V177" i="10"/>
  <c r="V145" i="10"/>
  <c r="V113" i="10"/>
  <c r="V81" i="10"/>
  <c r="V49" i="10"/>
  <c r="V17" i="10"/>
  <c r="V464" i="10"/>
  <c r="V432" i="10"/>
  <c r="V400" i="10"/>
  <c r="V368" i="10"/>
  <c r="V336" i="10"/>
  <c r="V304" i="10"/>
  <c r="V272" i="10"/>
  <c r="V240" i="10"/>
  <c r="V208" i="10"/>
  <c r="V176" i="10"/>
  <c r="V144" i="10"/>
  <c r="V112" i="10"/>
  <c r="V80" i="10"/>
  <c r="V48" i="10"/>
  <c r="V16" i="10"/>
  <c r="AE6" i="9"/>
  <c r="AF6" i="9" s="1"/>
  <c r="AD7" i="9"/>
  <c r="V479" i="10"/>
  <c r="V351" i="10"/>
  <c r="V223" i="10"/>
  <c r="V131" i="10"/>
  <c r="V378" i="10"/>
  <c r="V250" i="10"/>
  <c r="V478" i="10"/>
  <c r="V414" i="10"/>
  <c r="V350" i="10"/>
  <c r="V286" i="10"/>
  <c r="V222" i="10"/>
  <c r="V179" i="10"/>
  <c r="V139" i="10"/>
  <c r="V459" i="10"/>
  <c r="V395" i="10"/>
  <c r="V331" i="10"/>
  <c r="V267" i="10"/>
  <c r="V183" i="10"/>
  <c r="Y9" i="9"/>
  <c r="Z8" i="9"/>
  <c r="AA8" i="9" s="1"/>
  <c r="A89" i="21"/>
  <c r="P17" i="4"/>
  <c r="U17" i="4"/>
  <c r="T17" i="4"/>
  <c r="W17" i="4"/>
  <c r="V17" i="4"/>
  <c r="S17" i="4"/>
  <c r="R17" i="4"/>
  <c r="Q17" i="4"/>
  <c r="A71" i="21"/>
  <c r="P3" i="4"/>
  <c r="U3" i="4"/>
  <c r="T3" i="4"/>
  <c r="S3" i="4"/>
  <c r="R3" i="4"/>
  <c r="Q3" i="4"/>
  <c r="V3" i="4"/>
  <c r="W3" i="4"/>
  <c r="V99" i="10"/>
  <c r="V127" i="10"/>
  <c r="V226" i="10"/>
  <c r="V247" i="10"/>
  <c r="V290" i="10"/>
  <c r="V311" i="10"/>
  <c r="V354" i="10"/>
  <c r="V375" i="10"/>
  <c r="V418" i="10"/>
  <c r="V439" i="10"/>
  <c r="V482" i="10"/>
  <c r="V35" i="10"/>
  <c r="V163" i="10"/>
  <c r="V215" i="10"/>
  <c r="V258" i="10"/>
  <c r="V279" i="10"/>
  <c r="V322" i="10"/>
  <c r="V343" i="10"/>
  <c r="V386" i="10"/>
  <c r="V407" i="10"/>
  <c r="V450" i="10"/>
  <c r="V471" i="10"/>
  <c r="V91" i="10"/>
  <c r="V95" i="10"/>
  <c r="V242" i="10"/>
  <c r="V327" i="10"/>
  <c r="V370" i="10"/>
  <c r="V455" i="10"/>
  <c r="V155" i="10"/>
  <c r="V263" i="10"/>
  <c r="V306" i="10"/>
  <c r="V391" i="10"/>
  <c r="V434" i="10"/>
  <c r="V27" i="10"/>
  <c r="V31" i="10"/>
  <c r="V231" i="10"/>
  <c r="V402" i="10"/>
  <c r="V487" i="10"/>
  <c r="V423" i="10"/>
  <c r="V295" i="10"/>
  <c r="V466" i="10"/>
  <c r="V159" i="10"/>
  <c r="V338" i="10"/>
  <c r="V274" i="10"/>
  <c r="V359" i="10"/>
  <c r="V210" i="10"/>
  <c r="D6" i="10"/>
  <c r="V206" i="10"/>
  <c r="V174" i="10"/>
  <c r="V142" i="10"/>
  <c r="V110" i="10"/>
  <c r="V78" i="10"/>
  <c r="V46" i="10"/>
  <c r="V14" i="10"/>
  <c r="V461" i="10"/>
  <c r="V429" i="10"/>
  <c r="V397" i="10"/>
  <c r="V365" i="10"/>
  <c r="V333" i="10"/>
  <c r="V301" i="10"/>
  <c r="V269" i="10"/>
  <c r="V237" i="10"/>
  <c r="V205" i="10"/>
  <c r="V173" i="10"/>
  <c r="V141" i="10"/>
  <c r="V109" i="10"/>
  <c r="V77" i="10"/>
  <c r="V45" i="10"/>
  <c r="V13" i="10"/>
  <c r="V460" i="10"/>
  <c r="V428" i="10"/>
  <c r="V396" i="10"/>
  <c r="V364" i="10"/>
  <c r="V332" i="10"/>
  <c r="V300" i="10"/>
  <c r="V268" i="10"/>
  <c r="V236" i="10"/>
  <c r="V204" i="10"/>
  <c r="V172" i="10"/>
  <c r="V140" i="10"/>
  <c r="V108" i="10"/>
  <c r="V76" i="10"/>
  <c r="V44" i="10"/>
  <c r="Q8" i="9"/>
  <c r="V458" i="10"/>
  <c r="V330" i="10"/>
  <c r="V175" i="10"/>
  <c r="V67" i="10"/>
  <c r="V367" i="10"/>
  <c r="V239" i="10"/>
  <c r="V467" i="10"/>
  <c r="V403" i="10"/>
  <c r="V339" i="10"/>
  <c r="V275" i="10"/>
  <c r="V211" i="10"/>
  <c r="V147" i="10"/>
  <c r="V107" i="10"/>
  <c r="V454" i="10"/>
  <c r="V390" i="10"/>
  <c r="V326" i="10"/>
  <c r="V262" i="10"/>
  <c r="V151" i="10"/>
  <c r="A111" i="21"/>
  <c r="P35" i="4"/>
  <c r="U35" i="4"/>
  <c r="T35" i="4"/>
  <c r="S35" i="4"/>
  <c r="V35" i="4"/>
  <c r="R35" i="4"/>
  <c r="Q35" i="4"/>
  <c r="W35" i="4"/>
  <c r="A97" i="21"/>
  <c r="P23" i="4"/>
  <c r="U23" i="4"/>
  <c r="T23" i="4"/>
  <c r="S23" i="4"/>
  <c r="V23" i="4"/>
  <c r="R23" i="4"/>
  <c r="Q23" i="4"/>
  <c r="W23" i="4"/>
  <c r="V130" i="10"/>
  <c r="V34" i="10"/>
  <c r="V417" i="10"/>
  <c r="V289" i="10"/>
  <c r="V161" i="10"/>
  <c r="V448" i="10"/>
  <c r="AN31" i="9"/>
  <c r="AO32" i="9"/>
  <c r="AQ32" i="9"/>
  <c r="I19" i="9"/>
  <c r="J18" i="9"/>
  <c r="K18" i="9" s="1"/>
  <c r="V202" i="10"/>
  <c r="V170" i="10"/>
  <c r="V138" i="10"/>
  <c r="V106" i="10"/>
  <c r="V74" i="10"/>
  <c r="V42" i="10"/>
  <c r="V457" i="10"/>
  <c r="V425" i="10"/>
  <c r="V393" i="10"/>
  <c r="V361" i="10"/>
  <c r="V329" i="10"/>
  <c r="V297" i="10"/>
  <c r="V265" i="10"/>
  <c r="V233" i="10"/>
  <c r="V201" i="10"/>
  <c r="V169" i="10"/>
  <c r="V137" i="10"/>
  <c r="V105" i="10"/>
  <c r="V73" i="10"/>
  <c r="V41" i="10"/>
  <c r="V488" i="10"/>
  <c r="V456" i="10"/>
  <c r="V424" i="10"/>
  <c r="V392" i="10"/>
  <c r="V360" i="10"/>
  <c r="V328" i="10"/>
  <c r="V296" i="10"/>
  <c r="V264" i="10"/>
  <c r="V232" i="10"/>
  <c r="V200" i="10"/>
  <c r="V168" i="10"/>
  <c r="V136" i="10"/>
  <c r="V104" i="10"/>
  <c r="V72" i="10"/>
  <c r="V40" i="10"/>
  <c r="P9" i="9"/>
  <c r="Q9" i="9" s="1"/>
  <c r="O10" i="9"/>
  <c r="V447" i="10"/>
  <c r="V319" i="10"/>
  <c r="V111" i="10"/>
  <c r="V474" i="10"/>
  <c r="V346" i="10"/>
  <c r="V218" i="10"/>
  <c r="V462" i="10"/>
  <c r="V398" i="10"/>
  <c r="V334" i="10"/>
  <c r="V270" i="10"/>
  <c r="V199" i="10"/>
  <c r="V115" i="10"/>
  <c r="V75" i="10"/>
  <c r="V443" i="10"/>
  <c r="V379" i="10"/>
  <c r="V315" i="10"/>
  <c r="V251" i="10"/>
  <c r="V119" i="10"/>
  <c r="T10" i="9"/>
  <c r="U9" i="9"/>
  <c r="V9" i="9" s="1"/>
  <c r="N51" i="5"/>
  <c r="N48" i="5"/>
  <c r="M43" i="5"/>
  <c r="N30" i="5"/>
  <c r="N28" i="5"/>
  <c r="N26" i="5"/>
  <c r="N24" i="5"/>
  <c r="N22" i="5"/>
  <c r="M20" i="5"/>
  <c r="M18" i="5"/>
  <c r="M16" i="5"/>
  <c r="M14" i="5"/>
  <c r="M12" i="5"/>
  <c r="M46" i="5"/>
  <c r="N43" i="5"/>
  <c r="N20" i="5"/>
  <c r="N18" i="5"/>
  <c r="N16" i="5"/>
  <c r="N14" i="5"/>
  <c r="N12" i="5"/>
  <c r="M10" i="5"/>
  <c r="M8" i="5"/>
  <c r="M6" i="5"/>
  <c r="M4" i="5"/>
  <c r="M2" i="5"/>
  <c r="N49" i="5"/>
  <c r="M44" i="5"/>
  <c r="N41" i="5"/>
  <c r="N39" i="5"/>
  <c r="N37" i="5"/>
  <c r="N35" i="5"/>
  <c r="N33" i="5"/>
  <c r="M31" i="5"/>
  <c r="M29" i="5"/>
  <c r="M27" i="5"/>
  <c r="M25" i="5"/>
  <c r="M23" i="5"/>
  <c r="M47" i="5"/>
  <c r="N44" i="5"/>
  <c r="N31" i="5"/>
  <c r="N29" i="5"/>
  <c r="N27" i="5"/>
  <c r="N25" i="5"/>
  <c r="N23" i="5"/>
  <c r="M21" i="5"/>
  <c r="M19" i="5"/>
  <c r="M17" i="5"/>
  <c r="M15" i="5"/>
  <c r="M13" i="5"/>
  <c r="N46" i="5"/>
  <c r="M41" i="5"/>
  <c r="M37" i="5"/>
  <c r="M33" i="5"/>
  <c r="N8" i="5"/>
  <c r="N4" i="5"/>
  <c r="N47" i="5"/>
  <c r="M42" i="5"/>
  <c r="N21" i="5"/>
  <c r="N17" i="5"/>
  <c r="N13" i="5"/>
  <c r="M9" i="5"/>
  <c r="M5" i="5"/>
  <c r="M49" i="5"/>
  <c r="M39" i="5"/>
  <c r="M35" i="5"/>
  <c r="N10" i="5"/>
  <c r="N6" i="5"/>
  <c r="N2" i="5"/>
  <c r="M50" i="5"/>
  <c r="N19" i="5"/>
  <c r="N15" i="5"/>
  <c r="M11" i="5"/>
  <c r="M7" i="5"/>
  <c r="M3" i="5"/>
  <c r="M38" i="5"/>
  <c r="N9" i="5"/>
  <c r="M48" i="5"/>
  <c r="N38" i="5"/>
  <c r="M30" i="5"/>
  <c r="M22" i="5"/>
  <c r="N50" i="5"/>
  <c r="M45" i="5"/>
  <c r="M40" i="5"/>
  <c r="M32" i="5"/>
  <c r="N11" i="5"/>
  <c r="N3" i="5"/>
  <c r="N34" i="5"/>
  <c r="M26" i="5"/>
  <c r="N32" i="5"/>
  <c r="N42" i="5"/>
  <c r="N5" i="5"/>
  <c r="M36" i="5"/>
  <c r="M34" i="5"/>
  <c r="M28" i="5"/>
  <c r="N36" i="5"/>
  <c r="N7" i="5"/>
  <c r="N45" i="5"/>
  <c r="M24" i="5"/>
  <c r="N40" i="5"/>
  <c r="M51" i="5"/>
  <c r="A99" i="21"/>
  <c r="P25" i="4"/>
  <c r="U25" i="4"/>
  <c r="W25" i="4"/>
  <c r="V25" i="4"/>
  <c r="T25" i="4"/>
  <c r="Q25" i="4"/>
  <c r="S25" i="4"/>
  <c r="R25" i="4"/>
  <c r="A83" i="21"/>
  <c r="P13" i="4"/>
  <c r="U13" i="4"/>
  <c r="W13" i="4"/>
  <c r="V13" i="4"/>
  <c r="T13" i="4"/>
  <c r="S13" i="4"/>
  <c r="R13" i="4"/>
  <c r="Q13" i="4"/>
  <c r="A88" i="21"/>
  <c r="T16" i="4"/>
  <c r="Q16" i="4"/>
  <c r="R16" i="4"/>
  <c r="P16" i="4"/>
  <c r="S16" i="4"/>
  <c r="W16" i="4"/>
  <c r="V16" i="4"/>
  <c r="U16" i="4"/>
  <c r="AO36" i="9"/>
  <c r="AN37" i="9"/>
  <c r="AQ36" i="9"/>
  <c r="V198" i="10"/>
  <c r="V166" i="10"/>
  <c r="V134" i="10"/>
  <c r="V102" i="10"/>
  <c r="V70" i="10"/>
  <c r="V38" i="10"/>
  <c r="V485" i="10"/>
  <c r="V453" i="10"/>
  <c r="V421" i="10"/>
  <c r="V389" i="10"/>
  <c r="V357" i="10"/>
  <c r="V325" i="10"/>
  <c r="V293" i="10"/>
  <c r="V261" i="10"/>
  <c r="V229" i="10"/>
  <c r="V197" i="10"/>
  <c r="V165" i="10"/>
  <c r="V133" i="10"/>
  <c r="V101" i="10"/>
  <c r="V69" i="10"/>
  <c r="V37" i="10"/>
  <c r="V484" i="10"/>
  <c r="V452" i="10"/>
  <c r="V420" i="10"/>
  <c r="V388" i="10"/>
  <c r="V356" i="10"/>
  <c r="V324" i="10"/>
  <c r="V292" i="10"/>
  <c r="V260" i="10"/>
  <c r="V228" i="10"/>
  <c r="V196" i="10"/>
  <c r="V164" i="10"/>
  <c r="V132" i="10"/>
  <c r="V100" i="10"/>
  <c r="V68" i="10"/>
  <c r="V36" i="10"/>
  <c r="V426" i="10"/>
  <c r="V298" i="10"/>
  <c r="V47" i="10"/>
  <c r="V463" i="10"/>
  <c r="V335" i="10"/>
  <c r="V207" i="10"/>
  <c r="V451" i="10"/>
  <c r="V387" i="10"/>
  <c r="V323" i="10"/>
  <c r="V259" i="10"/>
  <c r="V167" i="10"/>
  <c r="V83" i="10"/>
  <c r="V43" i="10"/>
  <c r="V438" i="10"/>
  <c r="V374" i="10"/>
  <c r="V310" i="10"/>
  <c r="V246" i="10"/>
  <c r="V87" i="10"/>
  <c r="A55" i="21"/>
  <c r="A72" i="21"/>
  <c r="T4" i="4"/>
  <c r="Q4" i="4"/>
  <c r="R4" i="4"/>
  <c r="P4" i="4"/>
  <c r="W4" i="4"/>
  <c r="V4" i="4"/>
  <c r="U4" i="4"/>
  <c r="S4" i="4"/>
  <c r="U10" i="9" l="1"/>
  <c r="V10" i="9" s="1"/>
  <c r="T11" i="9"/>
  <c r="AO31" i="9"/>
  <c r="AQ31" i="9"/>
  <c r="AN30" i="9"/>
  <c r="AN38" i="9"/>
  <c r="AO37" i="9"/>
  <c r="AQ37" i="9"/>
  <c r="I8" i="9"/>
  <c r="J9" i="9"/>
  <c r="K9" i="9" s="1"/>
  <c r="AE7" i="9"/>
  <c r="AF7" i="9" s="1"/>
  <c r="AD8" i="9"/>
  <c r="I20" i="9"/>
  <c r="J19" i="9"/>
  <c r="K19" i="9" s="1"/>
  <c r="B32" i="12"/>
  <c r="A32" i="12"/>
  <c r="C13" i="10"/>
  <c r="D13" i="10" s="1"/>
  <c r="B14" i="10"/>
  <c r="O11" i="9"/>
  <c r="P10" i="9"/>
  <c r="Q10" i="9" s="1"/>
  <c r="Z9" i="9"/>
  <c r="AA9" i="9" s="1"/>
  <c r="Y10" i="9"/>
  <c r="B6" i="6"/>
  <c r="A6" i="6"/>
  <c r="B33" i="12" l="1"/>
  <c r="A33" i="12"/>
  <c r="Y11" i="9"/>
  <c r="Z10" i="9"/>
  <c r="AA10" i="9" s="1"/>
  <c r="J8" i="9"/>
  <c r="K8" i="9" s="1"/>
  <c r="I7" i="9"/>
  <c r="AN39" i="9"/>
  <c r="AQ38" i="9"/>
  <c r="AO38" i="9"/>
  <c r="B7" i="6"/>
  <c r="A7" i="6"/>
  <c r="B15" i="10"/>
  <c r="C14" i="10"/>
  <c r="D14" i="10" s="1"/>
  <c r="U11" i="9"/>
  <c r="V11" i="9" s="1"/>
  <c r="T12" i="9"/>
  <c r="J20" i="9"/>
  <c r="K20" i="9" s="1"/>
  <c r="I21" i="9"/>
  <c r="AD9" i="9"/>
  <c r="AE8" i="9"/>
  <c r="AF8" i="9" s="1"/>
  <c r="AQ30" i="9"/>
  <c r="AN29" i="9"/>
  <c r="AO30" i="9"/>
  <c r="O12" i="9"/>
  <c r="P11" i="9"/>
  <c r="Q11" i="9" s="1"/>
  <c r="Z11" i="9" l="1"/>
  <c r="AA11" i="9" s="1"/>
  <c r="Y12" i="9"/>
  <c r="I6" i="9"/>
  <c r="J7" i="9"/>
  <c r="K7" i="9" s="1"/>
  <c r="AN28" i="9"/>
  <c r="AO29" i="9"/>
  <c r="AQ29" i="9"/>
  <c r="B16" i="10"/>
  <c r="C15" i="10"/>
  <c r="D15" i="10" s="1"/>
  <c r="AD10" i="9"/>
  <c r="AE9" i="9"/>
  <c r="AF9" i="9" s="1"/>
  <c r="A8" i="6"/>
  <c r="B8" i="6"/>
  <c r="J21" i="9"/>
  <c r="K21" i="9" s="1"/>
  <c r="I22" i="9"/>
  <c r="B34" i="12"/>
  <c r="A34" i="12"/>
  <c r="P12" i="9"/>
  <c r="Q12" i="9" s="1"/>
  <c r="O13" i="9"/>
  <c r="T13" i="9"/>
  <c r="U12" i="9"/>
  <c r="V12" i="9" s="1"/>
  <c r="AN40" i="9"/>
  <c r="AO39" i="9"/>
  <c r="AQ39" i="9"/>
  <c r="B9" i="6" l="1"/>
  <c r="A9" i="6"/>
  <c r="T14" i="9"/>
  <c r="U13" i="9"/>
  <c r="V13" i="9" s="1"/>
  <c r="O14" i="9"/>
  <c r="P13" i="9"/>
  <c r="Q13" i="9" s="1"/>
  <c r="I5" i="9"/>
  <c r="J6" i="9"/>
  <c r="K6" i="9" s="1"/>
  <c r="AO40" i="9"/>
  <c r="AQ40" i="9"/>
  <c r="AN41" i="9"/>
  <c r="AN27" i="9"/>
  <c r="AO28" i="9"/>
  <c r="AQ28" i="9"/>
  <c r="AD11" i="9"/>
  <c r="AE10" i="9"/>
  <c r="AF10" i="9" s="1"/>
  <c r="Z12" i="9"/>
  <c r="AA12" i="9" s="1"/>
  <c r="Y13" i="9"/>
  <c r="A35" i="12"/>
  <c r="B35" i="12"/>
  <c r="B17" i="10"/>
  <c r="C16" i="10"/>
  <c r="D16" i="10" s="1"/>
  <c r="I23" i="9"/>
  <c r="J22" i="9"/>
  <c r="K22" i="9" s="1"/>
  <c r="A36" i="12" l="1"/>
  <c r="B36" i="12"/>
  <c r="AO27" i="9"/>
  <c r="AN26" i="9"/>
  <c r="AQ27" i="9"/>
  <c r="C17" i="10"/>
  <c r="D17" i="10" s="1"/>
  <c r="B18" i="10"/>
  <c r="A10" i="6"/>
  <c r="B10" i="6"/>
  <c r="P14" i="9"/>
  <c r="Q14" i="9" s="1"/>
  <c r="N23" i="18"/>
  <c r="O15" i="9"/>
  <c r="AQ41" i="9"/>
  <c r="AN42" i="9"/>
  <c r="AO41" i="9"/>
  <c r="U14" i="9"/>
  <c r="V14" i="9" s="1"/>
  <c r="T15" i="9"/>
  <c r="Y14" i="9"/>
  <c r="Z13" i="9"/>
  <c r="AA13" i="9" s="1"/>
  <c r="J23" i="9"/>
  <c r="K23" i="9" s="1"/>
  <c r="K24" i="9" s="1"/>
  <c r="I24" i="9"/>
  <c r="J24" i="9" s="1"/>
  <c r="AE11" i="9"/>
  <c r="AF11" i="9" s="1"/>
  <c r="AD12" i="9"/>
  <c r="I4" i="9"/>
  <c r="J5" i="9"/>
  <c r="K5" i="9" s="1"/>
  <c r="D3" i="12" l="1"/>
  <c r="F13" i="1" s="1"/>
  <c r="A19" i="23" s="1"/>
  <c r="L130" i="3"/>
  <c r="L122" i="3"/>
  <c r="L114" i="3"/>
  <c r="L106" i="3"/>
  <c r="L98" i="3"/>
  <c r="L90" i="3"/>
  <c r="L82" i="3"/>
  <c r="L74" i="3"/>
  <c r="L66" i="3"/>
  <c r="L58" i="3"/>
  <c r="L50" i="3"/>
  <c r="L42" i="3"/>
  <c r="L34" i="3"/>
  <c r="L26" i="3"/>
  <c r="L18" i="3"/>
  <c r="L10" i="3"/>
  <c r="L128" i="3"/>
  <c r="L120" i="3"/>
  <c r="L112" i="3"/>
  <c r="L104" i="3"/>
  <c r="L96" i="3"/>
  <c r="L88" i="3"/>
  <c r="L80" i="3"/>
  <c r="L72" i="3"/>
  <c r="L64" i="3"/>
  <c r="L56" i="3"/>
  <c r="L48" i="3"/>
  <c r="L40" i="3"/>
  <c r="L32" i="3"/>
  <c r="L24" i="3"/>
  <c r="L16" i="3"/>
  <c r="L8" i="3"/>
  <c r="L133" i="3"/>
  <c r="L125" i="3"/>
  <c r="L117" i="3"/>
  <c r="L109" i="3"/>
  <c r="L101" i="3"/>
  <c r="L93" i="3"/>
  <c r="L85" i="3"/>
  <c r="L77" i="3"/>
  <c r="L69" i="3"/>
  <c r="L61" i="3"/>
  <c r="L53" i="3"/>
  <c r="L45" i="3"/>
  <c r="L37" i="3"/>
  <c r="L29" i="3"/>
  <c r="L21" i="3"/>
  <c r="L13" i="3"/>
  <c r="L5" i="3"/>
  <c r="L131" i="3"/>
  <c r="L118" i="3"/>
  <c r="L105" i="3"/>
  <c r="L92" i="3"/>
  <c r="L79" i="3"/>
  <c r="L67" i="3"/>
  <c r="L54" i="3"/>
  <c r="L41" i="3"/>
  <c r="L28" i="3"/>
  <c r="L15" i="3"/>
  <c r="L4" i="3"/>
  <c r="L129" i="3"/>
  <c r="L116" i="3"/>
  <c r="L103" i="3"/>
  <c r="L91" i="3"/>
  <c r="L78" i="3"/>
  <c r="L65" i="3"/>
  <c r="L52" i="3"/>
  <c r="L39" i="3"/>
  <c r="L27" i="3"/>
  <c r="L14" i="3"/>
  <c r="L124" i="3"/>
  <c r="L99" i="3"/>
  <c r="L73" i="3"/>
  <c r="L47" i="3"/>
  <c r="L22" i="3"/>
  <c r="L2" i="3"/>
  <c r="L132" i="3"/>
  <c r="L94" i="3"/>
  <c r="L55" i="3"/>
  <c r="L127" i="3"/>
  <c r="L115" i="3"/>
  <c r="L102" i="3"/>
  <c r="L89" i="3"/>
  <c r="L76" i="3"/>
  <c r="L63" i="3"/>
  <c r="L51" i="3"/>
  <c r="L38" i="3"/>
  <c r="L25" i="3"/>
  <c r="L12" i="3"/>
  <c r="L3" i="3"/>
  <c r="L126" i="3"/>
  <c r="L113" i="3"/>
  <c r="L100" i="3"/>
  <c r="L87" i="3"/>
  <c r="L75" i="3"/>
  <c r="L62" i="3"/>
  <c r="L49" i="3"/>
  <c r="L36" i="3"/>
  <c r="L23" i="3"/>
  <c r="L11" i="3"/>
  <c r="L111" i="3"/>
  <c r="L86" i="3"/>
  <c r="L60" i="3"/>
  <c r="L35" i="3"/>
  <c r="L9" i="3"/>
  <c r="L119" i="3"/>
  <c r="L81" i="3"/>
  <c r="L43" i="3"/>
  <c r="L17" i="3"/>
  <c r="L123" i="3"/>
  <c r="L110" i="3"/>
  <c r="L97" i="3"/>
  <c r="L84" i="3"/>
  <c r="L71" i="3"/>
  <c r="L59" i="3"/>
  <c r="L46" i="3"/>
  <c r="L33" i="3"/>
  <c r="L20" i="3"/>
  <c r="L7" i="3"/>
  <c r="L121" i="3"/>
  <c r="L108" i="3"/>
  <c r="L95" i="3"/>
  <c r="L83" i="3"/>
  <c r="L70" i="3"/>
  <c r="L57" i="3"/>
  <c r="L44" i="3"/>
  <c r="L31" i="3"/>
  <c r="L19" i="3"/>
  <c r="L6" i="3"/>
  <c r="L107" i="3"/>
  <c r="L68" i="3"/>
  <c r="L30" i="3"/>
  <c r="W191" i="10"/>
  <c r="W11" i="10"/>
  <c r="W214" i="10"/>
  <c r="W10" i="10"/>
  <c r="W12" i="10"/>
  <c r="W192" i="10"/>
  <c r="W451" i="10"/>
  <c r="W397" i="10"/>
  <c r="W395" i="10"/>
  <c r="W340" i="10"/>
  <c r="W385" i="10"/>
  <c r="W307" i="10"/>
  <c r="W100" i="10"/>
  <c r="W305" i="10"/>
  <c r="W182" i="10"/>
  <c r="W175" i="10"/>
  <c r="W107" i="10"/>
  <c r="W361" i="10"/>
  <c r="W391" i="10"/>
  <c r="W299" i="10"/>
  <c r="W44" i="10"/>
  <c r="W386" i="10"/>
  <c r="W209" i="10"/>
  <c r="W86" i="10"/>
  <c r="W302" i="10"/>
  <c r="W249" i="10"/>
  <c r="W69" i="10"/>
  <c r="W239" i="10"/>
  <c r="W327" i="10"/>
  <c r="W103" i="10"/>
  <c r="W275" i="10"/>
  <c r="W196" i="10"/>
  <c r="W462" i="10"/>
  <c r="W45" i="10"/>
  <c r="W247" i="10"/>
  <c r="W235" i="10"/>
  <c r="W60" i="10"/>
  <c r="W184" i="10"/>
  <c r="W135" i="10"/>
  <c r="W464" i="10"/>
  <c r="W118" i="10"/>
  <c r="W366" i="10"/>
  <c r="W158" i="10"/>
  <c r="W91" i="10"/>
  <c r="W337" i="10"/>
  <c r="W431" i="10"/>
  <c r="W88" i="10"/>
  <c r="W55" i="10"/>
  <c r="W335" i="10"/>
  <c r="W34" i="10"/>
  <c r="W210" i="10"/>
  <c r="W80" i="10"/>
  <c r="W180" i="10"/>
  <c r="W51" i="10"/>
  <c r="W153" i="10"/>
  <c r="W481" i="10"/>
  <c r="W200" i="10"/>
  <c r="W403" i="10"/>
  <c r="W450" i="10"/>
  <c r="W368" i="10"/>
  <c r="W245" i="10"/>
  <c r="W71" i="10"/>
  <c r="W266" i="10"/>
  <c r="W487" i="10"/>
  <c r="W409" i="10"/>
  <c r="W83" i="10"/>
  <c r="W163" i="10"/>
  <c r="W59" i="10"/>
  <c r="W349" i="10"/>
  <c r="W198" i="10"/>
  <c r="W263" i="10"/>
  <c r="W319" i="10"/>
  <c r="W13" i="10"/>
  <c r="W401" i="10"/>
  <c r="W358" i="10"/>
  <c r="W152" i="10"/>
  <c r="W445" i="10"/>
  <c r="W443" i="10"/>
  <c r="W56" i="10"/>
  <c r="W374" i="10"/>
  <c r="W101" i="10"/>
  <c r="W356" i="10"/>
  <c r="W470" i="10"/>
  <c r="W15" i="10"/>
  <c r="W298" i="10"/>
  <c r="W98" i="10"/>
  <c r="W93" i="10"/>
  <c r="W106" i="10"/>
  <c r="W187" i="10"/>
  <c r="W485" i="10"/>
  <c r="W274" i="10"/>
  <c r="W244" i="10"/>
  <c r="W473" i="10"/>
  <c r="W288" i="10"/>
  <c r="W281" i="10"/>
  <c r="W270" i="10"/>
  <c r="W369" i="10"/>
  <c r="W469" i="10"/>
  <c r="W417" i="10"/>
  <c r="W420" i="10"/>
  <c r="W178" i="10"/>
  <c r="W408" i="10"/>
  <c r="W128" i="10"/>
  <c r="W48" i="10"/>
  <c r="W233" i="10"/>
  <c r="W257" i="10"/>
  <c r="W381" i="10"/>
  <c r="W42" i="10"/>
  <c r="W483" i="10"/>
  <c r="W138" i="10"/>
  <c r="W116" i="10"/>
  <c r="W40" i="10"/>
  <c r="W49" i="10"/>
  <c r="W79" i="10"/>
  <c r="W293" i="10"/>
  <c r="W177" i="10"/>
  <c r="W85" i="10"/>
  <c r="W423" i="10"/>
  <c r="W437" i="10"/>
  <c r="W237" i="10"/>
  <c r="W412" i="10"/>
  <c r="W363" i="10"/>
  <c r="W130" i="10"/>
  <c r="W223" i="10"/>
  <c r="W254" i="10"/>
  <c r="W141" i="10"/>
  <c r="W122" i="10"/>
  <c r="W438" i="10"/>
  <c r="W459" i="10"/>
  <c r="W211" i="10"/>
  <c r="W72" i="10"/>
  <c r="W206" i="10"/>
  <c r="W137" i="10"/>
  <c r="W70" i="10"/>
  <c r="W309" i="10"/>
  <c r="W292" i="10"/>
  <c r="W457" i="10"/>
  <c r="W268" i="10"/>
  <c r="W255" i="10"/>
  <c r="W81" i="10"/>
  <c r="W205" i="10"/>
  <c r="W14" i="10"/>
  <c r="W376" i="10"/>
  <c r="W326" i="10"/>
  <c r="W68" i="10"/>
  <c r="W174" i="10"/>
  <c r="W478" i="10"/>
  <c r="W117" i="10"/>
  <c r="W347" i="10"/>
  <c r="W188" i="10"/>
  <c r="W328" i="10"/>
  <c r="W33" i="10"/>
  <c r="W285" i="10"/>
  <c r="W259" i="10"/>
  <c r="W364" i="10"/>
  <c r="W170" i="10"/>
  <c r="W279" i="10"/>
  <c r="W64" i="10"/>
  <c r="W318" i="10"/>
  <c r="W94" i="10"/>
  <c r="W300" i="10"/>
  <c r="W482" i="10"/>
  <c r="W465" i="10"/>
  <c r="W19" i="10"/>
  <c r="W383" i="10"/>
  <c r="W26" i="10"/>
  <c r="W325" i="10"/>
  <c r="W76" i="10"/>
  <c r="W343" i="10"/>
  <c r="W92" i="10"/>
  <c r="W461" i="10"/>
  <c r="W452" i="10"/>
  <c r="W264" i="10"/>
  <c r="W301" i="10"/>
  <c r="W183" i="10"/>
  <c r="W449" i="10"/>
  <c r="W291" i="10"/>
  <c r="W29" i="10"/>
  <c r="W440" i="10"/>
  <c r="W224" i="10"/>
  <c r="W241" i="10"/>
  <c r="W243" i="10"/>
  <c r="W248" i="10"/>
  <c r="W446" i="10"/>
  <c r="W258" i="10"/>
  <c r="W114" i="10"/>
  <c r="W171" i="10"/>
  <c r="W348" i="10"/>
  <c r="W344" i="10"/>
  <c r="W415" i="10"/>
  <c r="W132" i="10"/>
  <c r="W262" i="10"/>
  <c r="W336" i="10"/>
  <c r="W436" i="10"/>
  <c r="W256" i="10"/>
  <c r="W133" i="10"/>
  <c r="W236" i="10"/>
  <c r="W145" i="10"/>
  <c r="W22" i="10"/>
  <c r="W380" i="10"/>
  <c r="W121" i="10"/>
  <c r="W113" i="10"/>
  <c r="W213" i="10"/>
  <c r="W186" i="10"/>
  <c r="W164" i="10"/>
  <c r="W232" i="10"/>
  <c r="W290" i="10"/>
  <c r="W17" i="10"/>
  <c r="W147" i="10"/>
  <c r="W111" i="10"/>
  <c r="W267" i="10"/>
  <c r="W355" i="10"/>
  <c r="W426" i="10"/>
  <c r="W24" i="10"/>
  <c r="W297" i="10"/>
  <c r="W419" i="10"/>
  <c r="W139" i="10"/>
  <c r="W377" i="10"/>
  <c r="W447" i="10"/>
  <c r="W488" i="10"/>
  <c r="W194" i="10"/>
  <c r="W460" i="10"/>
  <c r="W410" i="10"/>
  <c r="W453" i="10"/>
  <c r="W234" i="10"/>
  <c r="W441" i="10"/>
  <c r="W384" i="10"/>
  <c r="W169" i="10"/>
  <c r="W97" i="10"/>
  <c r="W313" i="10"/>
  <c r="W467" i="10"/>
  <c r="W476" i="10"/>
  <c r="W225" i="10"/>
  <c r="W179" i="10"/>
  <c r="W421" i="10"/>
  <c r="W84" i="10"/>
  <c r="W294" i="10"/>
  <c r="W216" i="10"/>
  <c r="W90" i="10"/>
  <c r="W379" i="10"/>
  <c r="W125" i="10"/>
  <c r="W317" i="10"/>
  <c r="W195" i="10"/>
  <c r="W334" i="10"/>
  <c r="W468" i="10"/>
  <c r="W357" i="10"/>
  <c r="W466" i="10"/>
  <c r="W240" i="10"/>
  <c r="W373" i="10"/>
  <c r="W430" i="10"/>
  <c r="W253" i="10"/>
  <c r="W105" i="10"/>
  <c r="W66" i="10"/>
  <c r="W324" i="10"/>
  <c r="W207" i="10"/>
  <c r="W161" i="10"/>
  <c r="W375" i="10"/>
  <c r="W411" i="10"/>
  <c r="W199" i="10"/>
  <c r="W320" i="10"/>
  <c r="W246" i="10"/>
  <c r="W77" i="10"/>
  <c r="W226" i="10"/>
  <c r="W96" i="10"/>
  <c r="W278" i="10"/>
  <c r="W124" i="10"/>
  <c r="W314" i="10"/>
  <c r="W61" i="10"/>
  <c r="W102" i="10"/>
  <c r="W332" i="10"/>
  <c r="W439" i="10"/>
  <c r="W189" i="10"/>
  <c r="W388" i="10"/>
  <c r="W229" i="10"/>
  <c r="W41" i="10"/>
  <c r="W78" i="10"/>
  <c r="W286" i="10"/>
  <c r="W362" i="10"/>
  <c r="W62" i="10"/>
  <c r="W217" i="10"/>
  <c r="W127" i="10"/>
  <c r="W18" i="10"/>
  <c r="W342" i="10"/>
  <c r="W156" i="10"/>
  <c r="W25" i="10"/>
  <c r="W416" i="10"/>
  <c r="W354" i="10"/>
  <c r="W129" i="10"/>
  <c r="W399" i="10"/>
  <c r="W321" i="10"/>
  <c r="W339" i="10"/>
  <c r="W333" i="10"/>
  <c r="W109" i="10"/>
  <c r="W351" i="10"/>
  <c r="W331" i="10"/>
  <c r="W424" i="10"/>
  <c r="W427" i="10"/>
  <c r="W458" i="10"/>
  <c r="W435" i="10"/>
  <c r="W123" i="10"/>
  <c r="W359" i="10"/>
  <c r="W108" i="10"/>
  <c r="W346" i="10"/>
  <c r="W472" i="10"/>
  <c r="W261" i="10"/>
  <c r="W167" i="10"/>
  <c r="W238" i="10"/>
  <c r="W28" i="10"/>
  <c r="W475" i="10"/>
  <c r="W39" i="10"/>
  <c r="W315" i="10"/>
  <c r="W212" i="10"/>
  <c r="W99" i="10"/>
  <c r="W149" i="10"/>
  <c r="W284" i="10"/>
  <c r="W432" i="10"/>
  <c r="W27" i="10"/>
  <c r="W433" i="10"/>
  <c r="W341" i="10"/>
  <c r="W32" i="10"/>
  <c r="W434" i="10"/>
  <c r="W150" i="10"/>
  <c r="W67" i="10"/>
  <c r="W474" i="10"/>
  <c r="W250" i="10"/>
  <c r="W323" i="10"/>
  <c r="W65" i="10"/>
  <c r="W165" i="10"/>
  <c r="W382" i="10"/>
  <c r="W157" i="10"/>
  <c r="W148" i="10"/>
  <c r="W471" i="10"/>
  <c r="W303" i="10"/>
  <c r="W269" i="10"/>
  <c r="W394" i="10"/>
  <c r="W181" i="10"/>
  <c r="W221" i="10"/>
  <c r="W31" i="10"/>
  <c r="W159" i="10"/>
  <c r="W252" i="10"/>
  <c r="W120" i="10"/>
  <c r="W402" i="10"/>
  <c r="W287" i="10"/>
  <c r="W30" i="10"/>
  <c r="W23" i="10"/>
  <c r="W155" i="10"/>
  <c r="W329" i="10"/>
  <c r="W242" i="10"/>
  <c r="W273" i="10"/>
  <c r="W371" i="10"/>
  <c r="W312" i="10"/>
  <c r="W296" i="10"/>
  <c r="W429" i="10"/>
  <c r="W393" i="10"/>
  <c r="W134" i="10"/>
  <c r="W389" i="10"/>
  <c r="W140" i="10"/>
  <c r="W16" i="10"/>
  <c r="W372" i="10"/>
  <c r="W115" i="10"/>
  <c r="W136" i="10"/>
  <c r="W484" i="10"/>
  <c r="W260" i="10"/>
  <c r="W110" i="10"/>
  <c r="W350" i="10"/>
  <c r="W20" i="10"/>
  <c r="W126" i="10"/>
  <c r="W87" i="10"/>
  <c r="W310" i="10"/>
  <c r="W365" i="10"/>
  <c r="W280" i="10"/>
  <c r="W193" i="10"/>
  <c r="W251" i="10"/>
  <c r="W74" i="10"/>
  <c r="W231" i="10"/>
  <c r="W144" i="10"/>
  <c r="W21" i="10"/>
  <c r="W480" i="10"/>
  <c r="W414" i="10"/>
  <c r="W52" i="10"/>
  <c r="W190" i="10"/>
  <c r="W58" i="10"/>
  <c r="W151" i="10"/>
  <c r="W378" i="10"/>
  <c r="W404" i="10"/>
  <c r="W160" i="10"/>
  <c r="W154" i="10"/>
  <c r="W168" i="10"/>
  <c r="W456" i="10"/>
  <c r="W204" i="10"/>
  <c r="W215" i="10"/>
  <c r="W146" i="10"/>
  <c r="W230" i="10"/>
  <c r="W203" i="10"/>
  <c r="W316" i="10"/>
  <c r="W330" i="10"/>
  <c r="W197" i="10"/>
  <c r="W265" i="10"/>
  <c r="W46" i="10"/>
  <c r="W353" i="10"/>
  <c r="W227" i="10"/>
  <c r="W444" i="10"/>
  <c r="W185" i="10"/>
  <c r="W162" i="10"/>
  <c r="W367" i="10"/>
  <c r="W322" i="10"/>
  <c r="W50" i="10"/>
  <c r="W406" i="10"/>
  <c r="W220" i="10"/>
  <c r="W89" i="10"/>
  <c r="W73" i="10"/>
  <c r="W295" i="10"/>
  <c r="W271" i="10"/>
  <c r="W202" i="10"/>
  <c r="W218" i="10"/>
  <c r="W75" i="10"/>
  <c r="W396" i="10"/>
  <c r="W272" i="10"/>
  <c r="W405" i="10"/>
  <c r="W104" i="10"/>
  <c r="W392" i="10"/>
  <c r="W38" i="10"/>
  <c r="W37" i="10"/>
  <c r="W338" i="10"/>
  <c r="W479" i="10"/>
  <c r="W276" i="10"/>
  <c r="W143" i="10"/>
  <c r="W228" i="10"/>
  <c r="W387" i="10"/>
  <c r="W142" i="10"/>
  <c r="W57" i="10"/>
  <c r="W166" i="10"/>
  <c r="W463" i="10"/>
  <c r="W390" i="10"/>
  <c r="W455" i="10"/>
  <c r="W400" i="10"/>
  <c r="W277" i="10"/>
  <c r="W63" i="10"/>
  <c r="W308" i="10"/>
  <c r="W442" i="10"/>
  <c r="W486" i="10"/>
  <c r="W172" i="10"/>
  <c r="W201" i="10"/>
  <c r="W311" i="10"/>
  <c r="W43" i="10"/>
  <c r="W222" i="10"/>
  <c r="W477" i="10"/>
  <c r="W418" i="10"/>
  <c r="W345" i="10"/>
  <c r="W95" i="10"/>
  <c r="W289" i="10"/>
  <c r="W173" i="10"/>
  <c r="W360" i="10"/>
  <c r="W176" i="10"/>
  <c r="W53" i="10"/>
  <c r="W36" i="10"/>
  <c r="W119" i="10"/>
  <c r="W407" i="10"/>
  <c r="W54" i="10"/>
  <c r="W304" i="10"/>
  <c r="W428" i="10"/>
  <c r="W448" i="10"/>
  <c r="W82" i="10"/>
  <c r="W425" i="10"/>
  <c r="W370" i="10"/>
  <c r="W219" i="10"/>
  <c r="W454" i="10"/>
  <c r="W47" i="10"/>
  <c r="W35" i="10"/>
  <c r="W422" i="10"/>
  <c r="W208" i="10"/>
  <c r="W283" i="10"/>
  <c r="W306" i="10"/>
  <c r="W282" i="10"/>
  <c r="W131" i="10"/>
  <c r="W413" i="10"/>
  <c r="W398" i="10"/>
  <c r="W112" i="10"/>
  <c r="W352" i="10"/>
  <c r="AQ42" i="9"/>
  <c r="AO42" i="9"/>
  <c r="AN43" i="9"/>
  <c r="P15" i="9"/>
  <c r="Q15" i="9" s="1"/>
  <c r="O16" i="9"/>
  <c r="AQ26" i="9"/>
  <c r="AO26" i="9"/>
  <c r="AN25" i="9"/>
  <c r="Y15" i="9"/>
  <c r="Z14" i="9"/>
  <c r="AA14" i="9" s="1"/>
  <c r="B37" i="12"/>
  <c r="A37" i="12"/>
  <c r="U15" i="9"/>
  <c r="V15" i="9" s="1"/>
  <c r="T16" i="9"/>
  <c r="B11" i="6"/>
  <c r="A11" i="6"/>
  <c r="J4" i="9"/>
  <c r="K4" i="9" s="1"/>
  <c r="AD13" i="9"/>
  <c r="AE12" i="9"/>
  <c r="AF12" i="9" s="1"/>
  <c r="C18" i="10"/>
  <c r="D18" i="10" s="1"/>
  <c r="B19" i="10"/>
  <c r="AO25" i="9" l="1"/>
  <c r="AN24" i="9"/>
  <c r="AQ25" i="9"/>
  <c r="T17" i="9"/>
  <c r="U16" i="9"/>
  <c r="V16" i="9" s="1"/>
  <c r="B20" i="10"/>
  <c r="C19" i="10"/>
  <c r="D19" i="10" s="1"/>
  <c r="B38" i="12"/>
  <c r="A38" i="12"/>
  <c r="AO43" i="9"/>
  <c r="AQ43" i="9"/>
  <c r="AN44" i="9"/>
  <c r="B12" i="6"/>
  <c r="A12" i="6"/>
  <c r="AD14" i="9"/>
  <c r="AE13" i="9"/>
  <c r="AF13" i="9" s="1"/>
  <c r="Y16" i="9"/>
  <c r="Z15" i="9"/>
  <c r="AA15" i="9" s="1"/>
  <c r="O17" i="9"/>
  <c r="P16" i="9"/>
  <c r="Q16" i="9" s="1"/>
  <c r="F12" i="1"/>
  <c r="AE14" i="9" l="1"/>
  <c r="AF14" i="9" s="1"/>
  <c r="AD15" i="9"/>
  <c r="B39" i="12"/>
  <c r="A39" i="12"/>
  <c r="B21" i="10"/>
  <c r="C20" i="10"/>
  <c r="D20" i="10" s="1"/>
  <c r="AO44" i="9"/>
  <c r="AN45" i="9"/>
  <c r="AQ44" i="9"/>
  <c r="T18" i="9"/>
  <c r="U17" i="9"/>
  <c r="V17" i="9" s="1"/>
  <c r="G12" i="1"/>
  <c r="A18" i="23"/>
  <c r="Z16" i="9"/>
  <c r="AA16" i="9" s="1"/>
  <c r="Y17" i="9"/>
  <c r="AN23" i="9"/>
  <c r="AO24" i="9"/>
  <c r="AQ24" i="9"/>
  <c r="A13" i="6"/>
  <c r="B13" i="6"/>
  <c r="O18" i="9"/>
  <c r="P17" i="9"/>
  <c r="Q17" i="9" s="1"/>
  <c r="Z17" i="9" l="1"/>
  <c r="AA17" i="9" s="1"/>
  <c r="Y18" i="9"/>
  <c r="O19" i="9"/>
  <c r="P18" i="9"/>
  <c r="Q18" i="9" s="1"/>
  <c r="A14" i="6"/>
  <c r="B14" i="6"/>
  <c r="AQ23" i="9"/>
  <c r="AO23" i="9"/>
  <c r="AN22" i="9"/>
  <c r="AN46" i="9"/>
  <c r="AO45" i="9"/>
  <c r="AQ45" i="9"/>
  <c r="B22" i="10"/>
  <c r="C21" i="10"/>
  <c r="D21" i="10" s="1"/>
  <c r="B40" i="12"/>
  <c r="A40" i="12"/>
  <c r="U18" i="9"/>
  <c r="V18" i="9" s="1"/>
  <c r="T19" i="9"/>
  <c r="AE15" i="9"/>
  <c r="AF15" i="9" s="1"/>
  <c r="AD16" i="9"/>
  <c r="A41" i="12" l="1"/>
  <c r="B41" i="12"/>
  <c r="B23" i="10"/>
  <c r="C22" i="10"/>
  <c r="D22" i="10" s="1"/>
  <c r="AD17" i="9"/>
  <c r="AE16" i="9"/>
  <c r="AF16" i="9" s="1"/>
  <c r="U19" i="9"/>
  <c r="V19" i="9" s="1"/>
  <c r="T20" i="9"/>
  <c r="AN47" i="9"/>
  <c r="AQ46" i="9"/>
  <c r="AO46" i="9"/>
  <c r="Y19" i="9"/>
  <c r="Z18" i="9"/>
  <c r="AA18" i="9" s="1"/>
  <c r="B15" i="6"/>
  <c r="A15" i="6"/>
  <c r="O20" i="9"/>
  <c r="P19" i="9"/>
  <c r="Q19" i="9" s="1"/>
  <c r="AQ22" i="9"/>
  <c r="AN21" i="9"/>
  <c r="AO22" i="9"/>
  <c r="O21" i="9" l="1"/>
  <c r="P20" i="9"/>
  <c r="Q20" i="9" s="1"/>
  <c r="T21" i="9"/>
  <c r="U20" i="9"/>
  <c r="V20" i="9" s="1"/>
  <c r="C23" i="10"/>
  <c r="D23" i="10" s="1"/>
  <c r="B24" i="10"/>
  <c r="A42" i="12"/>
  <c r="B42" i="12"/>
  <c r="B16" i="6"/>
  <c r="A16" i="6"/>
  <c r="AD18" i="9"/>
  <c r="AE17" i="9"/>
  <c r="AF17" i="9" s="1"/>
  <c r="Y20" i="9"/>
  <c r="Z19" i="9"/>
  <c r="AA19" i="9" s="1"/>
  <c r="AN20" i="9"/>
  <c r="AO21" i="9"/>
  <c r="AQ21" i="9"/>
  <c r="AN48" i="9"/>
  <c r="AO47" i="9"/>
  <c r="AQ47" i="9"/>
  <c r="B43" i="12" l="1"/>
  <c r="A43" i="12"/>
  <c r="AN19" i="9"/>
  <c r="AO20" i="9"/>
  <c r="AQ20" i="9"/>
  <c r="Z20" i="9"/>
  <c r="AA20" i="9" s="1"/>
  <c r="Y21" i="9"/>
  <c r="AD19" i="9"/>
  <c r="AE18" i="9"/>
  <c r="AF18" i="9" s="1"/>
  <c r="T22" i="9"/>
  <c r="U21" i="9"/>
  <c r="V21" i="9" s="1"/>
  <c r="B25" i="10"/>
  <c r="C24" i="10"/>
  <c r="D24" i="10" s="1"/>
  <c r="AQ48" i="9"/>
  <c r="AN49" i="9"/>
  <c r="AO48" i="9"/>
  <c r="B17" i="6"/>
  <c r="A17" i="6"/>
  <c r="O22" i="9"/>
  <c r="P21" i="9"/>
  <c r="Q21" i="9" s="1"/>
  <c r="AN50" i="9" l="1"/>
  <c r="AO49" i="9"/>
  <c r="AQ49" i="9"/>
  <c r="AE19" i="9"/>
  <c r="AF19" i="9" s="1"/>
  <c r="AD20" i="9"/>
  <c r="C25" i="10"/>
  <c r="D25" i="10" s="1"/>
  <c r="B26" i="10"/>
  <c r="AO19" i="9"/>
  <c r="AN18" i="9"/>
  <c r="AQ19" i="9"/>
  <c r="P22" i="9"/>
  <c r="Q22" i="9" s="1"/>
  <c r="O23" i="9"/>
  <c r="T23" i="9"/>
  <c r="U22" i="9"/>
  <c r="V22" i="9" s="1"/>
  <c r="Z21" i="9"/>
  <c r="AA21" i="9" s="1"/>
  <c r="Y22" i="9"/>
  <c r="A18" i="6"/>
  <c r="B18" i="6"/>
  <c r="A44" i="12"/>
  <c r="B44" i="12"/>
  <c r="Y23" i="9" l="1"/>
  <c r="Z22" i="9"/>
  <c r="AA22" i="9" s="1"/>
  <c r="B27" i="10"/>
  <c r="C26" i="10"/>
  <c r="D26" i="10" s="1"/>
  <c r="AE20" i="9"/>
  <c r="AF20" i="9" s="1"/>
  <c r="AD21" i="9"/>
  <c r="U23" i="9"/>
  <c r="V23" i="9" s="1"/>
  <c r="T24" i="9"/>
  <c r="U24" i="9" s="1"/>
  <c r="B19" i="6"/>
  <c r="A19" i="6"/>
  <c r="B45" i="12"/>
  <c r="A45" i="12"/>
  <c r="P23" i="9"/>
  <c r="Q23" i="9" s="1"/>
  <c r="O24" i="9"/>
  <c r="P24" i="9" s="1"/>
  <c r="Q24" i="9" s="1"/>
  <c r="AQ18" i="9"/>
  <c r="AN17" i="9"/>
  <c r="AO18" i="9"/>
  <c r="AQ50" i="9"/>
  <c r="AO50" i="9"/>
  <c r="AN51" i="9"/>
  <c r="AQ17" i="9" l="1"/>
  <c r="AN16" i="9"/>
  <c r="AO17" i="9"/>
  <c r="V24" i="9"/>
  <c r="B28" i="10"/>
  <c r="C27" i="10"/>
  <c r="D27" i="10" s="1"/>
  <c r="B46" i="12"/>
  <c r="A46" i="12"/>
  <c r="AD22" i="9"/>
  <c r="AE21" i="9"/>
  <c r="AF21" i="9" s="1"/>
  <c r="AO51" i="9"/>
  <c r="AQ51" i="9"/>
  <c r="AN52" i="9"/>
  <c r="B20" i="6"/>
  <c r="A20" i="6"/>
  <c r="Y24" i="9"/>
  <c r="Z23" i="9"/>
  <c r="AA23" i="9" s="1"/>
  <c r="B47" i="12" l="1"/>
  <c r="A47" i="12"/>
  <c r="Z24" i="9"/>
  <c r="AA24" i="9" s="1"/>
  <c r="Y25" i="9"/>
  <c r="B29" i="10"/>
  <c r="C28" i="10"/>
  <c r="D28" i="10" s="1"/>
  <c r="AN15" i="9"/>
  <c r="AO16" i="9"/>
  <c r="AQ16" i="9"/>
  <c r="B21" i="6"/>
  <c r="A21" i="6"/>
  <c r="AO52" i="9"/>
  <c r="AN53" i="9"/>
  <c r="AQ52" i="9"/>
  <c r="AE22" i="9"/>
  <c r="AF22" i="9" s="1"/>
  <c r="AD23" i="9"/>
  <c r="AE23" i="9" l="1"/>
  <c r="AF23" i="9" s="1"/>
  <c r="AD24" i="9"/>
  <c r="AO15" i="9"/>
  <c r="AN14" i="9"/>
  <c r="AQ15" i="9"/>
  <c r="Y26" i="9"/>
  <c r="Z25" i="9"/>
  <c r="AA25" i="9" s="1"/>
  <c r="AN54" i="9"/>
  <c r="AO53" i="9"/>
  <c r="AQ53" i="9"/>
  <c r="F71" i="1"/>
  <c r="D73" i="1"/>
  <c r="D72" i="1"/>
  <c r="B73" i="1"/>
  <c r="D74" i="1"/>
  <c r="B72" i="1"/>
  <c r="F74" i="1"/>
  <c r="B71" i="1"/>
  <c r="B74" i="1"/>
  <c r="F70" i="1"/>
  <c r="D70" i="1"/>
  <c r="D71" i="1"/>
  <c r="B70" i="1"/>
  <c r="F72" i="1"/>
  <c r="F73" i="1"/>
  <c r="A22" i="6"/>
  <c r="B22" i="6"/>
  <c r="C29" i="10"/>
  <c r="D29" i="10" s="1"/>
  <c r="B30" i="10"/>
  <c r="A48" i="12"/>
  <c r="B48" i="12"/>
  <c r="B28" i="5" l="1"/>
  <c r="A129" i="22"/>
  <c r="B17" i="5"/>
  <c r="A108" i="22"/>
  <c r="AN55" i="9"/>
  <c r="AQ54" i="9"/>
  <c r="AO54" i="9"/>
  <c r="B18" i="5"/>
  <c r="A109" i="22"/>
  <c r="B26" i="5"/>
  <c r="A127" i="22"/>
  <c r="A120" i="22"/>
  <c r="B24" i="5"/>
  <c r="AQ14" i="9"/>
  <c r="AO14" i="9"/>
  <c r="AN13" i="9"/>
  <c r="A106" i="22"/>
  <c r="B15" i="5"/>
  <c r="A117" i="22"/>
  <c r="B21" i="5"/>
  <c r="A128" i="22"/>
  <c r="B27" i="5"/>
  <c r="A121" i="22"/>
  <c r="B25" i="5"/>
  <c r="B22" i="5"/>
  <c r="A118" i="22"/>
  <c r="Z26" i="9"/>
  <c r="AA26" i="9" s="1"/>
  <c r="Y27" i="9"/>
  <c r="A119" i="22"/>
  <c r="B23" i="5"/>
  <c r="A23" i="6"/>
  <c r="B23" i="6"/>
  <c r="A107" i="22"/>
  <c r="B16" i="5"/>
  <c r="AE24" i="9"/>
  <c r="AF24" i="9" s="1"/>
  <c r="N37" i="1" s="1"/>
  <c r="A109" i="23" s="1"/>
  <c r="AD25" i="9"/>
  <c r="B49" i="12"/>
  <c r="A49" i="12"/>
  <c r="B31" i="10"/>
  <c r="C30" i="10"/>
  <c r="D30" i="10" s="1"/>
  <c r="B19" i="5"/>
  <c r="A110" i="22"/>
  <c r="B29" i="5"/>
  <c r="A130" i="22"/>
  <c r="A131" i="22"/>
  <c r="B30" i="5"/>
  <c r="G45" i="5" l="1"/>
  <c r="G48" i="5"/>
  <c r="G46" i="5"/>
  <c r="G51" i="5"/>
  <c r="G49" i="5"/>
  <c r="G43" i="5"/>
  <c r="G44" i="5"/>
  <c r="G50" i="5"/>
  <c r="G47" i="5"/>
  <c r="G42" i="5"/>
  <c r="A24" i="6"/>
  <c r="B24" i="6"/>
  <c r="Q16" i="5"/>
  <c r="Q46" i="5"/>
  <c r="Q26" i="5"/>
  <c r="Q6" i="5"/>
  <c r="Q36" i="5"/>
  <c r="AN12" i="9"/>
  <c r="AO13" i="9"/>
  <c r="AQ13" i="9"/>
  <c r="G40" i="5"/>
  <c r="G38" i="5"/>
  <c r="G36" i="5"/>
  <c r="G34" i="5"/>
  <c r="G32" i="5"/>
  <c r="G41" i="5"/>
  <c r="G39" i="5"/>
  <c r="G37" i="5"/>
  <c r="G35" i="5"/>
  <c r="G33" i="5"/>
  <c r="A50" i="12"/>
  <c r="B50" i="12"/>
  <c r="Q35" i="5"/>
  <c r="Q45" i="5"/>
  <c r="Q5" i="5"/>
  <c r="Q15" i="5"/>
  <c r="Q25" i="5"/>
  <c r="Q31" i="5"/>
  <c r="Q21" i="5"/>
  <c r="Q41" i="5"/>
  <c r="Q51" i="5"/>
  <c r="Q11" i="5"/>
  <c r="G30" i="5"/>
  <c r="G28" i="5"/>
  <c r="G26" i="5"/>
  <c r="G24" i="5"/>
  <c r="G22" i="5"/>
  <c r="G31" i="5"/>
  <c r="G27" i="5"/>
  <c r="G23" i="5"/>
  <c r="G29" i="5"/>
  <c r="G25" i="5"/>
  <c r="Q28" i="5"/>
  <c r="Q48" i="5"/>
  <c r="Q8" i="5"/>
  <c r="Q38" i="5"/>
  <c r="Q18" i="5"/>
  <c r="AQ55" i="9"/>
  <c r="AN56" i="9"/>
  <c r="AO55" i="9"/>
  <c r="Z27" i="9"/>
  <c r="AA27" i="9" s="1"/>
  <c r="Y28" i="9"/>
  <c r="G18" i="5"/>
  <c r="G14" i="5"/>
  <c r="G20" i="5"/>
  <c r="G16" i="5"/>
  <c r="G12" i="5"/>
  <c r="G19" i="5"/>
  <c r="G21" i="5"/>
  <c r="G13" i="5"/>
  <c r="G15" i="5"/>
  <c r="G17" i="5"/>
  <c r="G10" i="5"/>
  <c r="G8" i="5"/>
  <c r="G6" i="5"/>
  <c r="G4" i="5"/>
  <c r="G2" i="5"/>
  <c r="G11" i="5"/>
  <c r="G3" i="5"/>
  <c r="G7" i="5"/>
  <c r="G5" i="5"/>
  <c r="G9" i="5"/>
  <c r="Q37" i="5"/>
  <c r="Q27" i="5"/>
  <c r="Q47" i="5"/>
  <c r="Q7" i="5"/>
  <c r="Q17" i="5"/>
  <c r="C31" i="10"/>
  <c r="D31" i="10" s="1"/>
  <c r="B32" i="10"/>
  <c r="Q14" i="5"/>
  <c r="Q34" i="5"/>
  <c r="Q44" i="5"/>
  <c r="Q4" i="5"/>
  <c r="Q24" i="5"/>
  <c r="AD26" i="9"/>
  <c r="AE25" i="9"/>
  <c r="AF25" i="9" s="1"/>
  <c r="Q2" i="5"/>
  <c r="Q22" i="5"/>
  <c r="Q42" i="5"/>
  <c r="Q12" i="5"/>
  <c r="Q32" i="5"/>
  <c r="Q20" i="5"/>
  <c r="Q50" i="5"/>
  <c r="Q40" i="5"/>
  <c r="Q10" i="5"/>
  <c r="Q30" i="5"/>
  <c r="Q43" i="5"/>
  <c r="Q13" i="5"/>
  <c r="Q3" i="5"/>
  <c r="Q23" i="5"/>
  <c r="Q33" i="5"/>
  <c r="Q9" i="5"/>
  <c r="Q19" i="5"/>
  <c r="Q39" i="5"/>
  <c r="Q49" i="5"/>
  <c r="Q29" i="5"/>
  <c r="B51" i="12" l="1"/>
  <c r="A51" i="12"/>
  <c r="AE26" i="9"/>
  <c r="AF26" i="9" s="1"/>
  <c r="AD27" i="9"/>
  <c r="B25" i="6"/>
  <c r="A25" i="6"/>
  <c r="AQ56" i="9"/>
  <c r="AO56" i="9"/>
  <c r="AN57" i="9"/>
  <c r="AN11" i="9"/>
  <c r="AO12" i="9"/>
  <c r="AQ12" i="9"/>
  <c r="Y29" i="9"/>
  <c r="Z28" i="9"/>
  <c r="AA28" i="9" s="1"/>
  <c r="B33" i="10"/>
  <c r="C32" i="10"/>
  <c r="D32" i="10" s="1"/>
  <c r="B34" i="10" l="1"/>
  <c r="C33" i="10"/>
  <c r="D33" i="10" s="1"/>
  <c r="AN58" i="9"/>
  <c r="AQ57" i="9"/>
  <c r="AO57" i="9"/>
  <c r="B26" i="6"/>
  <c r="A26" i="6"/>
  <c r="Z29" i="9"/>
  <c r="AA29" i="9" s="1"/>
  <c r="Y30" i="9"/>
  <c r="AO11" i="9"/>
  <c r="AN10" i="9"/>
  <c r="AQ11" i="9"/>
  <c r="AE27" i="9"/>
  <c r="AF27" i="9" s="1"/>
  <c r="AD28" i="9"/>
  <c r="B52" i="12"/>
  <c r="A52" i="12"/>
  <c r="B27" i="6" l="1"/>
  <c r="A27" i="6"/>
  <c r="AQ10" i="9"/>
  <c r="AO10" i="9"/>
  <c r="AN9" i="9"/>
  <c r="AQ58" i="9"/>
  <c r="AO58" i="9"/>
  <c r="AN59" i="9"/>
  <c r="B53" i="12"/>
  <c r="A53" i="12"/>
  <c r="AD29" i="9"/>
  <c r="AE28" i="9"/>
  <c r="AF28" i="9" s="1"/>
  <c r="Z30" i="9"/>
  <c r="AA30" i="9" s="1"/>
  <c r="Y31" i="9"/>
  <c r="B35" i="10"/>
  <c r="C34" i="10"/>
  <c r="D34" i="10" s="1"/>
  <c r="Z31" i="9" l="1"/>
  <c r="AA31" i="9" s="1"/>
  <c r="Y32" i="9"/>
  <c r="AO9" i="9"/>
  <c r="AQ9" i="9"/>
  <c r="AN8" i="9"/>
  <c r="B36" i="10"/>
  <c r="C35" i="10"/>
  <c r="D35" i="10" s="1"/>
  <c r="AD30" i="9"/>
  <c r="AE29" i="9"/>
  <c r="AF29" i="9" s="1"/>
  <c r="AO59" i="9"/>
  <c r="AQ59" i="9"/>
  <c r="AN60" i="9"/>
  <c r="B54" i="12"/>
  <c r="A54" i="12"/>
  <c r="B28" i="6"/>
  <c r="A28" i="6"/>
  <c r="AE30" i="9" l="1"/>
  <c r="AF30" i="9" s="1"/>
  <c r="AD31" i="9"/>
  <c r="C36" i="10"/>
  <c r="D36" i="10" s="1"/>
  <c r="B37" i="10"/>
  <c r="AN7" i="9"/>
  <c r="AO8" i="9"/>
  <c r="AQ8" i="9"/>
  <c r="B55" i="12"/>
  <c r="A55" i="12"/>
  <c r="Y33" i="9"/>
  <c r="Z32" i="9"/>
  <c r="AA32" i="9" s="1"/>
  <c r="A29" i="6"/>
  <c r="B29" i="6"/>
  <c r="AO60" i="9"/>
  <c r="AN61" i="9"/>
  <c r="AQ60" i="9"/>
  <c r="B56" i="12" l="1"/>
  <c r="A56" i="12"/>
  <c r="B38" i="10"/>
  <c r="C37" i="10"/>
  <c r="D37" i="10" s="1"/>
  <c r="AN62" i="9"/>
  <c r="AO61" i="9"/>
  <c r="AQ61" i="9"/>
  <c r="Y34" i="9"/>
  <c r="Z33" i="9"/>
  <c r="AA33" i="9" s="1"/>
  <c r="AD32" i="9"/>
  <c r="AE31" i="9"/>
  <c r="AF31" i="9" s="1"/>
  <c r="B30" i="6"/>
  <c r="A30" i="6"/>
  <c r="AQ7" i="9"/>
  <c r="AN6" i="9"/>
  <c r="AO7" i="9"/>
  <c r="Y35" i="9" l="1"/>
  <c r="Z34" i="9"/>
  <c r="AA34" i="9" s="1"/>
  <c r="B39" i="10"/>
  <c r="C38" i="10"/>
  <c r="D38" i="10" s="1"/>
  <c r="AN63" i="9"/>
  <c r="AQ62" i="9"/>
  <c r="AO62" i="9"/>
  <c r="AD33" i="9"/>
  <c r="AE32" i="9"/>
  <c r="AF32" i="9" s="1"/>
  <c r="AQ6" i="9"/>
  <c r="AN5" i="9"/>
  <c r="AO6" i="9"/>
  <c r="B31" i="6"/>
  <c r="A31" i="6"/>
  <c r="B57" i="12"/>
  <c r="A57" i="12"/>
  <c r="AD34" i="9" l="1"/>
  <c r="AE33" i="9"/>
  <c r="AF33" i="9" s="1"/>
  <c r="A32" i="6"/>
  <c r="B32" i="6"/>
  <c r="B40" i="10"/>
  <c r="C39" i="10"/>
  <c r="D39" i="10" s="1"/>
  <c r="B58" i="12"/>
  <c r="A58" i="12"/>
  <c r="AQ63" i="9"/>
  <c r="AN64" i="9"/>
  <c r="AO63" i="9"/>
  <c r="AN4" i="9"/>
  <c r="AO5" i="9"/>
  <c r="AQ5" i="9"/>
  <c r="Y36" i="9"/>
  <c r="Z35" i="9"/>
  <c r="AA35" i="9" s="1"/>
  <c r="B41" i="10" l="1"/>
  <c r="C40" i="10"/>
  <c r="D40" i="10" s="1"/>
  <c r="B59" i="12"/>
  <c r="A59" i="12"/>
  <c r="B33" i="6"/>
  <c r="A33" i="6"/>
  <c r="Y37" i="9"/>
  <c r="Z36" i="9"/>
  <c r="AA36" i="9" s="1"/>
  <c r="AO4" i="9"/>
  <c r="AQ4" i="9"/>
  <c r="AN65" i="9"/>
  <c r="AQ64" i="9"/>
  <c r="AO64" i="9"/>
  <c r="AD35" i="9"/>
  <c r="AE34" i="9"/>
  <c r="AF34" i="9" s="1"/>
  <c r="A34" i="6" l="1"/>
  <c r="B34" i="6"/>
  <c r="AP63" i="9"/>
  <c r="AP59" i="9"/>
  <c r="AP55" i="9"/>
  <c r="AP51" i="9"/>
  <c r="AP47" i="9"/>
  <c r="AP43" i="9"/>
  <c r="AP39" i="9"/>
  <c r="AP35" i="9"/>
  <c r="AP31" i="9"/>
  <c r="AP27" i="9"/>
  <c r="AP23" i="9"/>
  <c r="AP19" i="9"/>
  <c r="AP15" i="9"/>
  <c r="AP11" i="9"/>
  <c r="AP7" i="9"/>
  <c r="AP56" i="9"/>
  <c r="AP49" i="9"/>
  <c r="AP44" i="9"/>
  <c r="AP38" i="9"/>
  <c r="AP61" i="9"/>
  <c r="AP54" i="9"/>
  <c r="AP33" i="9"/>
  <c r="AP28" i="9"/>
  <c r="AP22" i="9"/>
  <c r="AP17" i="9"/>
  <c r="AP12" i="9"/>
  <c r="AP6" i="9"/>
  <c r="AP52" i="9"/>
  <c r="AP30" i="9"/>
  <c r="AP25" i="9"/>
  <c r="AP20" i="9"/>
  <c r="AP14" i="9"/>
  <c r="AP9" i="9"/>
  <c r="AP4" i="9"/>
  <c r="AP57" i="9"/>
  <c r="AP46" i="9"/>
  <c r="AP37" i="9"/>
  <c r="AP21" i="9"/>
  <c r="AP13" i="9"/>
  <c r="AP65" i="9"/>
  <c r="AP45" i="9"/>
  <c r="AP29" i="9"/>
  <c r="AP50" i="9"/>
  <c r="AP34" i="9"/>
  <c r="AP16" i="9"/>
  <c r="AP48" i="9"/>
  <c r="AP32" i="9"/>
  <c r="AP64" i="9"/>
  <c r="AP10" i="9"/>
  <c r="AP62" i="9"/>
  <c r="AP42" i="9"/>
  <c r="AP26" i="9"/>
  <c r="AP53" i="9"/>
  <c r="AP18" i="9"/>
  <c r="AP41" i="9"/>
  <c r="AP8" i="9"/>
  <c r="AP36" i="9"/>
  <c r="AP24" i="9"/>
  <c r="AP60" i="9"/>
  <c r="AP40" i="9"/>
  <c r="AP58" i="9"/>
  <c r="AP5" i="9"/>
  <c r="Y38" i="9"/>
  <c r="Z37" i="9"/>
  <c r="AA37" i="9" s="1"/>
  <c r="B60" i="12"/>
  <c r="A60" i="12"/>
  <c r="AQ65" i="9"/>
  <c r="AO65" i="9"/>
  <c r="AN66" i="9"/>
  <c r="AE35" i="9"/>
  <c r="AF35" i="9" s="1"/>
  <c r="AD36" i="9"/>
  <c r="C41" i="10"/>
  <c r="D41" i="10" s="1"/>
  <c r="B42" i="10"/>
  <c r="C42" i="10" l="1"/>
  <c r="D42" i="10" s="1"/>
  <c r="B43" i="10"/>
  <c r="B16" i="1"/>
  <c r="B9" i="1"/>
  <c r="B13" i="1"/>
  <c r="B11" i="1"/>
  <c r="B15" i="1"/>
  <c r="B12" i="1"/>
  <c r="B10" i="1"/>
  <c r="B14" i="1"/>
  <c r="AD37" i="9"/>
  <c r="AE36" i="9"/>
  <c r="AF36" i="9" s="1"/>
  <c r="Y39" i="9"/>
  <c r="Z38" i="9"/>
  <c r="AA38" i="9" s="1"/>
  <c r="AQ66" i="9"/>
  <c r="AN67" i="9"/>
  <c r="AO66" i="9"/>
  <c r="B35" i="6"/>
  <c r="A35" i="6"/>
  <c r="B61" i="12"/>
  <c r="A61" i="12"/>
  <c r="K36" i="1" l="1"/>
  <c r="A97" i="23" s="1"/>
  <c r="A34" i="23"/>
  <c r="B3" i="5"/>
  <c r="I13" i="4"/>
  <c r="I3" i="4"/>
  <c r="I7" i="4"/>
  <c r="I11" i="4"/>
  <c r="I23" i="4"/>
  <c r="I5" i="4"/>
  <c r="I33" i="4"/>
  <c r="I15" i="4"/>
  <c r="I42" i="4"/>
  <c r="I40" i="4"/>
  <c r="I2" i="4"/>
  <c r="I4" i="4"/>
  <c r="I6" i="4"/>
  <c r="I8" i="4"/>
  <c r="I10" i="4"/>
  <c r="I12" i="4"/>
  <c r="I14" i="4"/>
  <c r="I16" i="4"/>
  <c r="I18" i="4"/>
  <c r="I20" i="4"/>
  <c r="I22" i="4"/>
  <c r="I36" i="4"/>
  <c r="I38" i="4"/>
  <c r="I41" i="4"/>
  <c r="I19" i="4"/>
  <c r="I21" i="4"/>
  <c r="I39" i="4"/>
  <c r="AO67" i="9"/>
  <c r="AQ67" i="9"/>
  <c r="AN68" i="9"/>
  <c r="B36" i="6"/>
  <c r="A36" i="6"/>
  <c r="AD38" i="9"/>
  <c r="AE37" i="9"/>
  <c r="AF37" i="9" s="1"/>
  <c r="G27" i="1"/>
  <c r="A62" i="23" s="1"/>
  <c r="A29" i="23"/>
  <c r="B2" i="5"/>
  <c r="D19" i="4"/>
  <c r="D21" i="4"/>
  <c r="D39" i="4"/>
  <c r="A59" i="21" s="1"/>
  <c r="D42" i="4"/>
  <c r="D13" i="4"/>
  <c r="D3" i="4"/>
  <c r="D7" i="4"/>
  <c r="D11" i="4"/>
  <c r="D23" i="4"/>
  <c r="D5" i="4"/>
  <c r="A19" i="21" s="1"/>
  <c r="D40" i="4"/>
  <c r="A60" i="21" s="1"/>
  <c r="D2" i="4"/>
  <c r="D6" i="4"/>
  <c r="D10" i="4"/>
  <c r="D14" i="4"/>
  <c r="D18" i="4"/>
  <c r="D22" i="4"/>
  <c r="D36" i="4"/>
  <c r="D41" i="4"/>
  <c r="D33" i="4"/>
  <c r="D15" i="4"/>
  <c r="D4" i="4"/>
  <c r="D8" i="4"/>
  <c r="D12" i="4"/>
  <c r="D16" i="4"/>
  <c r="D20" i="4"/>
  <c r="A34" i="21" s="1"/>
  <c r="D38" i="4"/>
  <c r="K33" i="1"/>
  <c r="K26" i="1"/>
  <c r="K27" i="1"/>
  <c r="K28" i="1"/>
  <c r="K29" i="1"/>
  <c r="K30" i="1"/>
  <c r="K31" i="1"/>
  <c r="K32" i="1"/>
  <c r="A36" i="23"/>
  <c r="K21" i="4"/>
  <c r="K39" i="4"/>
  <c r="K42" i="4"/>
  <c r="K13" i="4"/>
  <c r="K3" i="4"/>
  <c r="K7" i="4"/>
  <c r="K11" i="4"/>
  <c r="K23" i="4"/>
  <c r="K5" i="4"/>
  <c r="K33" i="4"/>
  <c r="K2" i="4"/>
  <c r="K4" i="4"/>
  <c r="K6" i="4"/>
  <c r="K8" i="4"/>
  <c r="K10" i="4"/>
  <c r="K12" i="4"/>
  <c r="K14" i="4"/>
  <c r="K16" i="4"/>
  <c r="K20" i="4"/>
  <c r="K22" i="4"/>
  <c r="K38" i="4"/>
  <c r="K19" i="4"/>
  <c r="K15" i="4"/>
  <c r="K40" i="4"/>
  <c r="K18" i="4"/>
  <c r="K36" i="4"/>
  <c r="K41" i="4"/>
  <c r="AP67" i="9"/>
  <c r="AP66" i="9"/>
  <c r="I26" i="1"/>
  <c r="A35" i="23"/>
  <c r="I29" i="1"/>
  <c r="I28" i="1"/>
  <c r="I32" i="1"/>
  <c r="I30" i="1"/>
  <c r="I33" i="1"/>
  <c r="I31" i="1"/>
  <c r="J7" i="4"/>
  <c r="J23" i="4"/>
  <c r="J5" i="4"/>
  <c r="J33" i="4"/>
  <c r="J15" i="4"/>
  <c r="J40" i="4"/>
  <c r="J19" i="4"/>
  <c r="J2" i="4"/>
  <c r="J4" i="4"/>
  <c r="J6" i="4"/>
  <c r="J8" i="4"/>
  <c r="J10" i="4"/>
  <c r="J12" i="4"/>
  <c r="J14" i="4"/>
  <c r="J16" i="4"/>
  <c r="J18" i="4"/>
  <c r="J20" i="4"/>
  <c r="J22" i="4"/>
  <c r="J36" i="4"/>
  <c r="J38" i="4"/>
  <c r="J41" i="4"/>
  <c r="I27" i="1"/>
  <c r="J13" i="4"/>
  <c r="J21" i="4"/>
  <c r="J39" i="4"/>
  <c r="J42" i="4"/>
  <c r="J3" i="4"/>
  <c r="J11" i="4"/>
  <c r="A30" i="23"/>
  <c r="E3" i="4"/>
  <c r="E11" i="4"/>
  <c r="E40" i="4"/>
  <c r="E33" i="4"/>
  <c r="E2" i="4"/>
  <c r="E4" i="4"/>
  <c r="E6" i="4"/>
  <c r="E8" i="4"/>
  <c r="E10" i="4"/>
  <c r="E12" i="4"/>
  <c r="E14" i="4"/>
  <c r="E16" i="4"/>
  <c r="E18" i="4"/>
  <c r="E20" i="4"/>
  <c r="E22" i="4"/>
  <c r="E36" i="4"/>
  <c r="E38" i="4"/>
  <c r="E15" i="4"/>
  <c r="E42" i="4"/>
  <c r="E41" i="4"/>
  <c r="E21" i="4"/>
  <c r="E19" i="4"/>
  <c r="E39" i="4"/>
  <c r="E7" i="4"/>
  <c r="E23" i="4"/>
  <c r="E5" i="4"/>
  <c r="E13" i="4"/>
  <c r="B44" i="10"/>
  <c r="C43" i="10"/>
  <c r="D43" i="10" s="1"/>
  <c r="A62" i="12"/>
  <c r="B62" i="12"/>
  <c r="Z39" i="9"/>
  <c r="AA39" i="9" s="1"/>
  <c r="Y40" i="9"/>
  <c r="A31" i="23"/>
  <c r="F41" i="4"/>
  <c r="F40" i="4"/>
  <c r="F19" i="4"/>
  <c r="F2" i="4"/>
  <c r="F4" i="4"/>
  <c r="F6" i="4"/>
  <c r="F8" i="4"/>
  <c r="F10" i="4"/>
  <c r="F12" i="4"/>
  <c r="F14" i="4"/>
  <c r="F16" i="4"/>
  <c r="F18" i="4"/>
  <c r="F20" i="4"/>
  <c r="F22" i="4"/>
  <c r="F36" i="4"/>
  <c r="F38" i="4"/>
  <c r="F21" i="4"/>
  <c r="F39" i="4"/>
  <c r="F42" i="4"/>
  <c r="F13" i="4"/>
  <c r="F15" i="4"/>
  <c r="F3" i="4"/>
  <c r="F7" i="4"/>
  <c r="F11" i="4"/>
  <c r="F23" i="4"/>
  <c r="F5" i="4"/>
  <c r="F33" i="4"/>
  <c r="A32" i="23"/>
  <c r="G15" i="4"/>
  <c r="G41" i="4"/>
  <c r="G40" i="4"/>
  <c r="G19" i="4"/>
  <c r="G2" i="4"/>
  <c r="G4" i="4"/>
  <c r="G6" i="4"/>
  <c r="G8" i="4"/>
  <c r="G10" i="4"/>
  <c r="G12" i="4"/>
  <c r="G14" i="4"/>
  <c r="G16" i="4"/>
  <c r="G18" i="4"/>
  <c r="G20" i="4"/>
  <c r="G22" i="4"/>
  <c r="G36" i="4"/>
  <c r="G38" i="4"/>
  <c r="G21" i="4"/>
  <c r="G39" i="4"/>
  <c r="G42" i="4"/>
  <c r="G3" i="4"/>
  <c r="G11" i="4"/>
  <c r="G5" i="4"/>
  <c r="G33" i="4"/>
  <c r="G13" i="4"/>
  <c r="G7" i="4"/>
  <c r="G23" i="4"/>
  <c r="N38" i="1"/>
  <c r="A110" i="23" s="1"/>
  <c r="M28" i="1"/>
  <c r="M27" i="1"/>
  <c r="A33" i="23"/>
  <c r="M26" i="1"/>
  <c r="M29" i="1"/>
  <c r="M30" i="1"/>
  <c r="M32" i="1"/>
  <c r="M31" i="1"/>
  <c r="M33" i="1"/>
  <c r="H13" i="4"/>
  <c r="H3" i="4"/>
  <c r="H7" i="4"/>
  <c r="H11" i="4"/>
  <c r="H23" i="4"/>
  <c r="H5" i="4"/>
  <c r="H33" i="4"/>
  <c r="H15" i="4"/>
  <c r="H40" i="4"/>
  <c r="H2" i="4"/>
  <c r="H4" i="4"/>
  <c r="H6" i="4"/>
  <c r="H8" i="4"/>
  <c r="H10" i="4"/>
  <c r="H12" i="4"/>
  <c r="H14" i="4"/>
  <c r="H16" i="4"/>
  <c r="H18" i="4"/>
  <c r="H20" i="4"/>
  <c r="H22" i="4"/>
  <c r="H36" i="4"/>
  <c r="H38" i="4"/>
  <c r="H41" i="4"/>
  <c r="H21" i="4"/>
  <c r="H39" i="4"/>
  <c r="H19" i="4"/>
  <c r="H42" i="4"/>
  <c r="A35" i="21" l="1"/>
  <c r="B63" i="12"/>
  <c r="A63" i="12"/>
  <c r="A30" i="21"/>
  <c r="A51" i="21"/>
  <c r="A16" i="21"/>
  <c r="A62" i="21"/>
  <c r="G29" i="1"/>
  <c r="A64" i="23" s="1"/>
  <c r="A56" i="21"/>
  <c r="A26" i="21"/>
  <c r="A32" i="21"/>
  <c r="A25" i="21"/>
  <c r="I15" i="5"/>
  <c r="I25" i="5"/>
  <c r="I6" i="5"/>
  <c r="I44" i="5"/>
  <c r="I48" i="5"/>
  <c r="I38" i="5"/>
  <c r="I20" i="5"/>
  <c r="I47" i="5"/>
  <c r="I34" i="5"/>
  <c r="I9" i="5"/>
  <c r="I3" i="5"/>
  <c r="I7" i="5"/>
  <c r="I2" i="5"/>
  <c r="I23" i="5"/>
  <c r="I35" i="5"/>
  <c r="I26" i="5"/>
  <c r="I4" i="5"/>
  <c r="I28" i="5"/>
  <c r="I51" i="5"/>
  <c r="I49" i="5"/>
  <c r="I41" i="5"/>
  <c r="I21" i="5"/>
  <c r="I10" i="5"/>
  <c r="I45" i="5"/>
  <c r="I50" i="5"/>
  <c r="I22" i="5"/>
  <c r="I29" i="5"/>
  <c r="I46" i="5"/>
  <c r="I13" i="5"/>
  <c r="I16" i="5"/>
  <c r="I11" i="5"/>
  <c r="I5" i="5"/>
  <c r="I36" i="5"/>
  <c r="I37" i="5"/>
  <c r="I18" i="5"/>
  <c r="I42" i="5"/>
  <c r="I14" i="5"/>
  <c r="I19" i="5"/>
  <c r="I12" i="5"/>
  <c r="I30" i="5"/>
  <c r="I33" i="5"/>
  <c r="I43" i="5"/>
  <c r="I17" i="5"/>
  <c r="I40" i="5"/>
  <c r="I39" i="5"/>
  <c r="I8" i="5"/>
  <c r="I32" i="5"/>
  <c r="I27" i="5"/>
  <c r="I24" i="5"/>
  <c r="I31" i="5"/>
  <c r="H4" i="5"/>
  <c r="H49" i="5"/>
  <c r="H22" i="5"/>
  <c r="H18" i="5"/>
  <c r="H10" i="5"/>
  <c r="H19" i="5"/>
  <c r="H32" i="5"/>
  <c r="H43" i="5"/>
  <c r="H23" i="5"/>
  <c r="H38" i="5"/>
  <c r="H17" i="5"/>
  <c r="H29" i="5"/>
  <c r="H46" i="5"/>
  <c r="H44" i="5"/>
  <c r="H16" i="5"/>
  <c r="H11" i="5"/>
  <c r="H5" i="5"/>
  <c r="H47" i="5"/>
  <c r="H45" i="5"/>
  <c r="H37" i="5"/>
  <c r="H40" i="5"/>
  <c r="H30" i="5"/>
  <c r="H42" i="5"/>
  <c r="H8" i="5"/>
  <c r="H15" i="5"/>
  <c r="H14" i="5"/>
  <c r="H34" i="5"/>
  <c r="H33" i="5"/>
  <c r="H12" i="5"/>
  <c r="H48" i="5"/>
  <c r="H2" i="5"/>
  <c r="H13" i="5"/>
  <c r="H35" i="5"/>
  <c r="H39" i="5"/>
  <c r="H36" i="5"/>
  <c r="H26" i="5"/>
  <c r="H28" i="5"/>
  <c r="H51" i="5"/>
  <c r="H9" i="5"/>
  <c r="H3" i="5"/>
  <c r="H21" i="5"/>
  <c r="H27" i="5"/>
  <c r="H7" i="5"/>
  <c r="H31" i="5"/>
  <c r="H25" i="5"/>
  <c r="H6" i="5"/>
  <c r="H24" i="5"/>
  <c r="H41" i="5"/>
  <c r="H20" i="5"/>
  <c r="H50" i="5"/>
  <c r="Y41" i="9"/>
  <c r="Z40" i="9"/>
  <c r="AA40" i="9" s="1"/>
  <c r="A36" i="21"/>
  <c r="A22" i="21"/>
  <c r="A28" i="21"/>
  <c r="A21" i="21"/>
  <c r="A37" i="6"/>
  <c r="B37" i="6"/>
  <c r="A61" i="21"/>
  <c r="A33" i="21"/>
  <c r="AE38" i="9"/>
  <c r="AF38" i="9" s="1"/>
  <c r="AD39" i="9"/>
  <c r="C44" i="10"/>
  <c r="D44" i="10" s="1"/>
  <c r="B45" i="10"/>
  <c r="A18" i="21"/>
  <c r="A24" i="21"/>
  <c r="A17" i="21"/>
  <c r="G28" i="1"/>
  <c r="A63" i="23" s="1"/>
  <c r="AO68" i="9"/>
  <c r="AQ68" i="9"/>
  <c r="AN69" i="9"/>
  <c r="A54" i="21"/>
  <c r="A37" i="21"/>
  <c r="A29" i="21"/>
  <c r="A20" i="21"/>
  <c r="A27" i="21"/>
  <c r="G26" i="1"/>
  <c r="A61" i="23" s="1"/>
  <c r="AN70" i="9" l="1"/>
  <c r="AO69" i="9"/>
  <c r="AQ69" i="9"/>
  <c r="K9" i="5"/>
  <c r="L9" i="5"/>
  <c r="J9" i="5"/>
  <c r="A23" i="22" s="1"/>
  <c r="O9" i="5"/>
  <c r="L6" i="5"/>
  <c r="J6" i="5"/>
  <c r="K6" i="5"/>
  <c r="O6" i="5"/>
  <c r="A20" i="22"/>
  <c r="J25" i="5"/>
  <c r="A43" i="22" s="1"/>
  <c r="K25" i="5"/>
  <c r="L25" i="5"/>
  <c r="O25" i="5"/>
  <c r="C45" i="10"/>
  <c r="D45" i="10" s="1"/>
  <c r="B46" i="10"/>
  <c r="K41" i="5"/>
  <c r="L41" i="5"/>
  <c r="J41" i="5"/>
  <c r="A61" i="22" s="1"/>
  <c r="O41" i="5"/>
  <c r="K3" i="5"/>
  <c r="L3" i="5"/>
  <c r="J3" i="5"/>
  <c r="O3" i="5"/>
  <c r="A17" i="22"/>
  <c r="J13" i="5"/>
  <c r="L13" i="5"/>
  <c r="K13" i="5"/>
  <c r="O13" i="5"/>
  <c r="A29" i="22"/>
  <c r="L8" i="5"/>
  <c r="J8" i="5"/>
  <c r="A22" i="22" s="1"/>
  <c r="K8" i="5"/>
  <c r="O8" i="5"/>
  <c r="K11" i="5"/>
  <c r="L11" i="5"/>
  <c r="J11" i="5"/>
  <c r="O11" i="5"/>
  <c r="A25" i="22"/>
  <c r="J43" i="5"/>
  <c r="A65" i="22" s="1"/>
  <c r="K43" i="5"/>
  <c r="L43" i="5"/>
  <c r="O43" i="5"/>
  <c r="K42" i="5"/>
  <c r="L42" i="5"/>
  <c r="J42" i="5"/>
  <c r="A64" i="22" s="1"/>
  <c r="O42" i="5"/>
  <c r="J31" i="5"/>
  <c r="K31" i="5"/>
  <c r="L31" i="5"/>
  <c r="O31" i="5"/>
  <c r="A49" i="22"/>
  <c r="J26" i="5"/>
  <c r="A44" i="22" s="1"/>
  <c r="K26" i="5"/>
  <c r="L26" i="5"/>
  <c r="O26" i="5"/>
  <c r="K33" i="5"/>
  <c r="L33" i="5"/>
  <c r="J33" i="5"/>
  <c r="O33" i="5"/>
  <c r="A53" i="22"/>
  <c r="K37" i="5"/>
  <c r="L37" i="5"/>
  <c r="J37" i="5"/>
  <c r="O37" i="5"/>
  <c r="A57" i="22"/>
  <c r="J29" i="5"/>
  <c r="A47" i="22" s="1"/>
  <c r="K29" i="5"/>
  <c r="L29" i="5"/>
  <c r="O29" i="5"/>
  <c r="J18" i="5"/>
  <c r="L18" i="5"/>
  <c r="K18" i="5"/>
  <c r="O18" i="5"/>
  <c r="A34" i="22"/>
  <c r="L2" i="5"/>
  <c r="A16" i="22" s="1"/>
  <c r="K2" i="5"/>
  <c r="J2" i="5"/>
  <c r="O2" i="5"/>
  <c r="J48" i="5"/>
  <c r="A70" i="22" s="1"/>
  <c r="K48" i="5"/>
  <c r="L48" i="5"/>
  <c r="O48" i="5"/>
  <c r="L10" i="5"/>
  <c r="K10" i="5"/>
  <c r="J10" i="5"/>
  <c r="O10" i="5"/>
  <c r="A24" i="22"/>
  <c r="Y42" i="9"/>
  <c r="Z41" i="9"/>
  <c r="AA41" i="9" s="1"/>
  <c r="J36" i="5"/>
  <c r="K36" i="5"/>
  <c r="L36" i="5"/>
  <c r="O36" i="5"/>
  <c r="A56" i="22"/>
  <c r="J45" i="5"/>
  <c r="A67" i="22" s="1"/>
  <c r="K45" i="5"/>
  <c r="L45" i="5"/>
  <c r="O45" i="5"/>
  <c r="J17" i="5"/>
  <c r="L17" i="5"/>
  <c r="K17" i="5"/>
  <c r="O17" i="5"/>
  <c r="A33" i="22"/>
  <c r="J22" i="5"/>
  <c r="A40" i="22" s="1"/>
  <c r="K22" i="5"/>
  <c r="L22" i="5"/>
  <c r="O22" i="5"/>
  <c r="J24" i="5"/>
  <c r="A42" i="22" s="1"/>
  <c r="K24" i="5"/>
  <c r="L24" i="5"/>
  <c r="O24" i="5"/>
  <c r="J16" i="5"/>
  <c r="K16" i="5"/>
  <c r="L16" i="5"/>
  <c r="O16" i="5"/>
  <c r="A32" i="22"/>
  <c r="J32" i="5"/>
  <c r="A52" i="22" s="1"/>
  <c r="K32" i="5"/>
  <c r="L32" i="5"/>
  <c r="O32" i="5"/>
  <c r="J30" i="5"/>
  <c r="K30" i="5"/>
  <c r="L30" i="5"/>
  <c r="O30" i="5"/>
  <c r="A48" i="22"/>
  <c r="J12" i="5"/>
  <c r="K12" i="5"/>
  <c r="L12" i="5"/>
  <c r="O12" i="5"/>
  <c r="A28" i="22"/>
  <c r="L46" i="5"/>
  <c r="J46" i="5"/>
  <c r="A68" i="22" s="1"/>
  <c r="K46" i="5"/>
  <c r="O46" i="5"/>
  <c r="B38" i="6"/>
  <c r="A38" i="6"/>
  <c r="K50" i="5"/>
  <c r="L50" i="5"/>
  <c r="J50" i="5"/>
  <c r="A72" i="22" s="1"/>
  <c r="O50" i="5"/>
  <c r="J27" i="5"/>
  <c r="K27" i="5"/>
  <c r="L27" i="5"/>
  <c r="O27" i="5"/>
  <c r="A45" i="22"/>
  <c r="K39" i="5"/>
  <c r="L39" i="5"/>
  <c r="J39" i="5"/>
  <c r="A59" i="22" s="1"/>
  <c r="O39" i="5"/>
  <c r="J14" i="5"/>
  <c r="K14" i="5"/>
  <c r="L14" i="5"/>
  <c r="O14" i="5"/>
  <c r="A30" i="22"/>
  <c r="J47" i="5"/>
  <c r="L47" i="5"/>
  <c r="K47" i="5"/>
  <c r="O47" i="5"/>
  <c r="A69" i="22"/>
  <c r="J38" i="5"/>
  <c r="A58" i="22" s="1"/>
  <c r="K38" i="5"/>
  <c r="L38" i="5"/>
  <c r="O38" i="5"/>
  <c r="K49" i="5"/>
  <c r="L49" i="5"/>
  <c r="J49" i="5"/>
  <c r="O49" i="5"/>
  <c r="A71" i="22"/>
  <c r="B64" i="12"/>
  <c r="A64" i="12"/>
  <c r="AE39" i="9"/>
  <c r="AF39" i="9" s="1"/>
  <c r="AD40" i="9"/>
  <c r="K51" i="5"/>
  <c r="L51" i="5"/>
  <c r="J51" i="5"/>
  <c r="O51" i="5"/>
  <c r="A73" i="22"/>
  <c r="J44" i="5"/>
  <c r="K44" i="5"/>
  <c r="L44" i="5"/>
  <c r="O44" i="5"/>
  <c r="A66" i="22"/>
  <c r="J19" i="5"/>
  <c r="A35" i="22" s="1"/>
  <c r="L19" i="5"/>
  <c r="K19" i="5"/>
  <c r="O19" i="5"/>
  <c r="AP68" i="9"/>
  <c r="AP69" i="9"/>
  <c r="J28" i="5"/>
  <c r="K28" i="5"/>
  <c r="L28" i="5"/>
  <c r="O28" i="5"/>
  <c r="A46" i="22"/>
  <c r="J40" i="5"/>
  <c r="A60" i="22" s="1"/>
  <c r="K40" i="5"/>
  <c r="L40" i="5"/>
  <c r="O40" i="5"/>
  <c r="K7" i="5"/>
  <c r="L7" i="5"/>
  <c r="J7" i="5"/>
  <c r="O7" i="5"/>
  <c r="A21" i="22"/>
  <c r="J34" i="5"/>
  <c r="A54" i="22" s="1"/>
  <c r="K34" i="5"/>
  <c r="L34" i="5"/>
  <c r="O34" i="5"/>
  <c r="J20" i="5"/>
  <c r="A36" i="22" s="1"/>
  <c r="K20" i="5"/>
  <c r="L20" i="5"/>
  <c r="O20" i="5"/>
  <c r="J21" i="5"/>
  <c r="L21" i="5"/>
  <c r="K21" i="5"/>
  <c r="O21" i="5"/>
  <c r="A37" i="22"/>
  <c r="K35" i="5"/>
  <c r="L35" i="5"/>
  <c r="J35" i="5"/>
  <c r="A55" i="22" s="1"/>
  <c r="O35" i="5"/>
  <c r="J15" i="5"/>
  <c r="L15" i="5"/>
  <c r="K15" i="5"/>
  <c r="O15" i="5"/>
  <c r="A31" i="22"/>
  <c r="K5" i="5"/>
  <c r="L5" i="5"/>
  <c r="J5" i="5"/>
  <c r="O5" i="5"/>
  <c r="A19" i="22"/>
  <c r="J23" i="5"/>
  <c r="A41" i="22" s="1"/>
  <c r="K23" i="5"/>
  <c r="L23" i="5"/>
  <c r="O23" i="5"/>
  <c r="L4" i="5"/>
  <c r="J4" i="5"/>
  <c r="K4" i="5"/>
  <c r="O4" i="5"/>
  <c r="A18" i="22"/>
  <c r="B65" i="12" l="1"/>
  <c r="A65" i="12"/>
  <c r="B47" i="10"/>
  <c r="C46" i="10"/>
  <c r="D46" i="10" s="1"/>
  <c r="Z42" i="9"/>
  <c r="AA42" i="9" s="1"/>
  <c r="Y43" i="9"/>
  <c r="AD41" i="9"/>
  <c r="AE40" i="9"/>
  <c r="AF40" i="9" s="1"/>
  <c r="B39" i="6"/>
  <c r="A39" i="6"/>
  <c r="AN71" i="9"/>
  <c r="AQ70" i="9"/>
  <c r="AO70" i="9"/>
  <c r="B48" i="10" l="1"/>
  <c r="C47" i="10"/>
  <c r="D47" i="10" s="1"/>
  <c r="AE41" i="9"/>
  <c r="AF41" i="9" s="1"/>
  <c r="AD42" i="9"/>
  <c r="Z43" i="9"/>
  <c r="AA43" i="9" s="1"/>
  <c r="Y44" i="9"/>
  <c r="Z44" i="9" s="1"/>
  <c r="AA44" i="9" s="1"/>
  <c r="AQ71" i="9"/>
  <c r="AN72" i="9"/>
  <c r="AO71" i="9"/>
  <c r="AP70" i="9"/>
  <c r="AP71" i="9"/>
  <c r="B40" i="6"/>
  <c r="A40" i="6"/>
  <c r="A66" i="12"/>
  <c r="B66" i="12"/>
  <c r="AN73" i="9" l="1"/>
  <c r="AO72" i="9"/>
  <c r="AQ72" i="9"/>
  <c r="AE42" i="9"/>
  <c r="AF42" i="9" s="1"/>
  <c r="AD43" i="9"/>
  <c r="B41" i="6"/>
  <c r="A41" i="6"/>
  <c r="B67" i="12"/>
  <c r="A67" i="12"/>
  <c r="B49" i="10"/>
  <c r="C48" i="10"/>
  <c r="D48" i="10" s="1"/>
  <c r="A68" i="12" l="1"/>
  <c r="B68" i="12"/>
  <c r="B42" i="6"/>
  <c r="A42" i="6"/>
  <c r="AE43" i="9"/>
  <c r="AF43" i="9" s="1"/>
  <c r="AD44" i="9"/>
  <c r="AE44" i="9" s="1"/>
  <c r="AF44" i="9" s="1"/>
  <c r="B50" i="10"/>
  <c r="C49" i="10"/>
  <c r="D49" i="10" s="1"/>
  <c r="AP72" i="9"/>
  <c r="AP73" i="9"/>
  <c r="AO73" i="9"/>
  <c r="AQ73" i="9"/>
  <c r="AN74" i="9"/>
  <c r="C50" i="10" l="1"/>
  <c r="D50" i="10" s="1"/>
  <c r="B51" i="10"/>
  <c r="B43" i="6"/>
  <c r="A43" i="6"/>
  <c r="A69" i="12"/>
  <c r="B69" i="12"/>
  <c r="AQ74" i="9"/>
  <c r="AN75" i="9"/>
  <c r="AO74" i="9"/>
  <c r="AP74" i="9" s="1"/>
  <c r="B44" i="6" l="1"/>
  <c r="A44" i="6"/>
  <c r="AO75" i="9"/>
  <c r="AP75" i="9" s="1"/>
  <c r="AQ75" i="9"/>
  <c r="AN76" i="9"/>
  <c r="B52" i="10"/>
  <c r="C51" i="10"/>
  <c r="D51" i="10" s="1"/>
  <c r="B70" i="12"/>
  <c r="A70" i="12"/>
  <c r="B53" i="10" l="1"/>
  <c r="C52" i="10"/>
  <c r="D52" i="10" s="1"/>
  <c r="AO76" i="9"/>
  <c r="AP76" i="9" s="1"/>
  <c r="AQ76" i="9"/>
  <c r="AN77" i="9"/>
  <c r="B71" i="12"/>
  <c r="A71" i="12"/>
  <c r="A45" i="6"/>
  <c r="B45" i="6"/>
  <c r="AN78" i="9" l="1"/>
  <c r="AO77" i="9"/>
  <c r="AP77" i="9" s="1"/>
  <c r="AQ77" i="9"/>
  <c r="A72" i="12"/>
  <c r="B72" i="12"/>
  <c r="A46" i="6"/>
  <c r="B46" i="6"/>
  <c r="B54" i="10"/>
  <c r="C53" i="10"/>
  <c r="D53" i="10" s="1"/>
  <c r="A73" i="12" l="1"/>
  <c r="B73" i="12"/>
  <c r="A47" i="6"/>
  <c r="B47" i="6"/>
  <c r="C54" i="10"/>
  <c r="D54" i="10" s="1"/>
  <c r="B55" i="10"/>
  <c r="AN79" i="9"/>
  <c r="AQ78" i="9"/>
  <c r="AO78" i="9"/>
  <c r="AP78" i="9" s="1"/>
  <c r="A48" i="6" l="1"/>
  <c r="B48" i="6"/>
  <c r="AQ79" i="9"/>
  <c r="AN80" i="9"/>
  <c r="AO79" i="9"/>
  <c r="AP79" i="9" s="1"/>
  <c r="A74" i="12"/>
  <c r="B74" i="12"/>
  <c r="B56" i="10"/>
  <c r="C55" i="10"/>
  <c r="D55" i="10" s="1"/>
  <c r="AQ80" i="9" l="1"/>
  <c r="AO80" i="9"/>
  <c r="AP80" i="9" s="1"/>
  <c r="AN81" i="9"/>
  <c r="B57" i="10"/>
  <c r="C56" i="10"/>
  <c r="D56" i="10" s="1"/>
  <c r="B49" i="6"/>
  <c r="A49" i="6"/>
  <c r="B75" i="12"/>
  <c r="A75" i="12"/>
  <c r="A50" i="6" l="1"/>
  <c r="B50" i="6"/>
  <c r="AO81" i="9"/>
  <c r="AP81" i="9" s="1"/>
  <c r="AQ81" i="9"/>
  <c r="AN82" i="9"/>
  <c r="B76" i="12"/>
  <c r="A76" i="12"/>
  <c r="B58" i="10"/>
  <c r="C57" i="10"/>
  <c r="D57" i="10" s="1"/>
  <c r="B59" i="10" l="1"/>
  <c r="C58" i="10"/>
  <c r="D58" i="10" s="1"/>
  <c r="B77" i="12"/>
  <c r="A77" i="12"/>
  <c r="A51" i="6"/>
  <c r="B51" i="6"/>
  <c r="AQ82" i="9"/>
  <c r="AN83" i="9"/>
  <c r="AO82" i="9"/>
  <c r="AP82" i="9" s="1"/>
  <c r="AO83" i="9" l="1"/>
  <c r="AP83" i="9" s="1"/>
  <c r="AQ83" i="9"/>
  <c r="AN84" i="9"/>
  <c r="B78" i="12"/>
  <c r="A78" i="12"/>
  <c r="B52" i="6"/>
  <c r="A52" i="6"/>
  <c r="B60" i="10"/>
  <c r="C59" i="10"/>
  <c r="D59" i="10" s="1"/>
  <c r="C60" i="10" l="1"/>
  <c r="D60" i="10" s="1"/>
  <c r="B61" i="10"/>
  <c r="B53" i="6"/>
  <c r="A53" i="6"/>
  <c r="AO84" i="9"/>
  <c r="AP84" i="9" s="1"/>
  <c r="AQ84" i="9"/>
  <c r="B79" i="12"/>
  <c r="A79" i="12"/>
  <c r="A54" i="6" l="1"/>
  <c r="B54" i="6"/>
  <c r="B80" i="12"/>
  <c r="A80" i="12"/>
  <c r="B62" i="10"/>
  <c r="C61" i="10"/>
  <c r="D61" i="10" s="1"/>
  <c r="B63" i="10" l="1"/>
  <c r="C62" i="10"/>
  <c r="D62" i="10" s="1"/>
  <c r="B55" i="6"/>
  <c r="A55" i="6"/>
  <c r="B81" i="12"/>
  <c r="A81" i="12"/>
  <c r="B56" i="6" l="1"/>
  <c r="A56" i="6"/>
  <c r="A82" i="12"/>
  <c r="B82" i="12"/>
  <c r="B64" i="10"/>
  <c r="C63" i="10"/>
  <c r="D63" i="10" s="1"/>
  <c r="B83" i="12" l="1"/>
  <c r="A83" i="12"/>
  <c r="B65" i="10"/>
  <c r="C64" i="10"/>
  <c r="D64" i="10" s="1"/>
  <c r="B57" i="6"/>
  <c r="A57" i="6"/>
  <c r="C65" i="10" l="1"/>
  <c r="D65" i="10" s="1"/>
  <c r="B66" i="10"/>
  <c r="A58" i="6"/>
  <c r="B58" i="6"/>
  <c r="A84" i="12"/>
  <c r="B84" i="12"/>
  <c r="B85" i="12" l="1"/>
  <c r="A85" i="12"/>
  <c r="B67" i="10"/>
  <c r="C66" i="10"/>
  <c r="D66" i="10" s="1"/>
  <c r="A59" i="6"/>
  <c r="B59" i="6"/>
  <c r="A60" i="6" l="1"/>
  <c r="B60" i="6"/>
  <c r="C67" i="10"/>
  <c r="D67" i="10" s="1"/>
  <c r="B68" i="10"/>
  <c r="B86" i="12"/>
  <c r="A86" i="12"/>
  <c r="B87" i="12" l="1"/>
  <c r="A87" i="12"/>
  <c r="C68" i="10"/>
  <c r="D68" i="10" s="1"/>
  <c r="B69" i="10"/>
  <c r="B61" i="6"/>
  <c r="A61" i="6"/>
  <c r="B70" i="10" l="1"/>
  <c r="C69" i="10"/>
  <c r="D69" i="10" s="1"/>
  <c r="B62" i="6"/>
  <c r="A62" i="6"/>
  <c r="B88" i="12"/>
  <c r="A88" i="12"/>
  <c r="B63" i="6" l="1"/>
  <c r="A63" i="6"/>
  <c r="B89" i="12"/>
  <c r="A89" i="12"/>
  <c r="B71" i="10"/>
  <c r="C70" i="10"/>
  <c r="D70" i="10" s="1"/>
  <c r="A90" i="12" l="1"/>
  <c r="B90" i="12"/>
  <c r="B72" i="10"/>
  <c r="C71" i="10"/>
  <c r="D71" i="10" s="1"/>
  <c r="A64" i="6"/>
  <c r="B64" i="6"/>
  <c r="B73" i="10" l="1"/>
  <c r="C72" i="10"/>
  <c r="D72" i="10" s="1"/>
  <c r="A91" i="12"/>
  <c r="B91" i="12"/>
  <c r="B65" i="6"/>
  <c r="A65" i="6"/>
  <c r="A66" i="6" l="1"/>
  <c r="B66" i="6"/>
  <c r="B92" i="12"/>
  <c r="A92" i="12"/>
  <c r="C73" i="10"/>
  <c r="D73" i="10" s="1"/>
  <c r="B74" i="10"/>
  <c r="B75" i="10" l="1"/>
  <c r="C74" i="10"/>
  <c r="D74" i="10" s="1"/>
  <c r="B67" i="6"/>
  <c r="A67" i="6"/>
  <c r="B93" i="12"/>
  <c r="A93" i="12"/>
  <c r="B94" i="12" l="1"/>
  <c r="A94" i="12"/>
  <c r="A68" i="6"/>
  <c r="B68" i="6"/>
  <c r="B76" i="10"/>
  <c r="C75" i="10"/>
  <c r="D75" i="10" s="1"/>
  <c r="A69" i="6" l="1"/>
  <c r="B69" i="6"/>
  <c r="C76" i="10"/>
  <c r="D76" i="10" s="1"/>
  <c r="B77" i="10"/>
  <c r="B95" i="12"/>
  <c r="A95" i="12"/>
  <c r="C77" i="10" l="1"/>
  <c r="D77" i="10" s="1"/>
  <c r="B78" i="10"/>
  <c r="B70" i="6"/>
  <c r="A70" i="6"/>
  <c r="B96" i="12"/>
  <c r="A96" i="12"/>
  <c r="B71" i="6" l="1"/>
  <c r="A71" i="6"/>
  <c r="C78" i="10"/>
  <c r="D78" i="10" s="1"/>
  <c r="B79" i="10"/>
  <c r="A97" i="12"/>
  <c r="B97" i="12"/>
  <c r="B98" i="12" l="1"/>
  <c r="A98" i="12"/>
  <c r="C79" i="10"/>
  <c r="D79" i="10" s="1"/>
  <c r="B80" i="10"/>
  <c r="B72" i="6"/>
  <c r="A72" i="6"/>
  <c r="B81" i="10" l="1"/>
  <c r="C80" i="10"/>
  <c r="D80" i="10" s="1"/>
  <c r="B73" i="6"/>
  <c r="A73" i="6"/>
  <c r="A99" i="12"/>
  <c r="B99" i="12"/>
  <c r="B74" i="6" l="1"/>
  <c r="A74" i="6"/>
  <c r="B100" i="12"/>
  <c r="A100" i="12"/>
  <c r="C81" i="10"/>
  <c r="D81" i="10" s="1"/>
  <c r="B82" i="10"/>
  <c r="C82" i="10" l="1"/>
  <c r="D82" i="10" s="1"/>
  <c r="B83" i="10"/>
  <c r="B101" i="12"/>
  <c r="A101" i="12"/>
  <c r="B75" i="6"/>
  <c r="A75" i="6"/>
  <c r="A76" i="6" l="1"/>
  <c r="B76" i="6"/>
  <c r="B102" i="12"/>
  <c r="A102" i="12"/>
  <c r="B84" i="10"/>
  <c r="C83" i="10"/>
  <c r="D83" i="10" s="1"/>
  <c r="B85" i="10" l="1"/>
  <c r="C84" i="10"/>
  <c r="D84" i="10" s="1"/>
  <c r="A77" i="6"/>
  <c r="B77" i="6"/>
  <c r="B103" i="12"/>
  <c r="A103" i="12"/>
  <c r="B78" i="6" l="1"/>
  <c r="A78" i="6"/>
  <c r="B104" i="12"/>
  <c r="A104" i="12"/>
  <c r="B86" i="10"/>
  <c r="C85" i="10"/>
  <c r="D85" i="10" s="1"/>
  <c r="A105" i="12" l="1"/>
  <c r="B105" i="12"/>
  <c r="C86" i="10"/>
  <c r="D86" i="10" s="1"/>
  <c r="B87" i="10"/>
  <c r="A79" i="6"/>
  <c r="B79" i="6"/>
  <c r="C87" i="10" l="1"/>
  <c r="D87" i="10" s="1"/>
  <c r="B88" i="10"/>
  <c r="A106" i="12"/>
  <c r="B106" i="12"/>
  <c r="B80" i="6"/>
  <c r="A80" i="6"/>
  <c r="B81" i="6" l="1"/>
  <c r="A81" i="6"/>
  <c r="B89" i="10"/>
  <c r="C88" i="10"/>
  <c r="D88" i="10" s="1"/>
  <c r="B107" i="12"/>
  <c r="A107" i="12"/>
  <c r="B90" i="10" l="1"/>
  <c r="C89" i="10"/>
  <c r="D89" i="10" s="1"/>
  <c r="B108" i="12"/>
  <c r="A108" i="12"/>
  <c r="A82" i="6"/>
  <c r="B82" i="6"/>
  <c r="A109" i="12" l="1"/>
  <c r="B109" i="12"/>
  <c r="B83" i="6"/>
  <c r="A83" i="6"/>
  <c r="B91" i="10"/>
  <c r="C90" i="10"/>
  <c r="D90" i="10" s="1"/>
  <c r="B92" i="10" l="1"/>
  <c r="C91" i="10"/>
  <c r="D91" i="10" s="1"/>
  <c r="A110" i="12"/>
  <c r="B110" i="12"/>
  <c r="B84" i="6"/>
  <c r="A84" i="6"/>
  <c r="B111" i="12" l="1"/>
  <c r="A111" i="12"/>
  <c r="B85" i="6"/>
  <c r="A85" i="6"/>
  <c r="C92" i="10"/>
  <c r="D92" i="10" s="1"/>
  <c r="B93" i="10"/>
  <c r="A86" i="6" l="1"/>
  <c r="B86" i="6"/>
  <c r="B94" i="10"/>
  <c r="C93" i="10"/>
  <c r="D93" i="10" s="1"/>
  <c r="B112" i="12"/>
  <c r="A112" i="12"/>
  <c r="B113" i="12" l="1"/>
  <c r="A113" i="12"/>
  <c r="A87" i="6"/>
  <c r="B87" i="6"/>
  <c r="B95" i="10"/>
  <c r="C94" i="10"/>
  <c r="D94" i="10" s="1"/>
  <c r="A88" i="6" l="1"/>
  <c r="B88" i="6"/>
  <c r="B96" i="10"/>
  <c r="C95" i="10"/>
  <c r="D95" i="10" s="1"/>
  <c r="A114" i="12"/>
  <c r="B114" i="12"/>
  <c r="B97" i="10" l="1"/>
  <c r="C96" i="10"/>
  <c r="D96" i="10" s="1"/>
  <c r="A115" i="12"/>
  <c r="B115" i="12"/>
  <c r="B89" i="6"/>
  <c r="A89" i="6"/>
  <c r="B116" i="12" l="1"/>
  <c r="A116" i="12"/>
  <c r="B90" i="6"/>
  <c r="A90" i="6"/>
  <c r="C97" i="10"/>
  <c r="D97" i="10" s="1"/>
  <c r="B98" i="10"/>
  <c r="B99" i="10" l="1"/>
  <c r="C98" i="10"/>
  <c r="D98" i="10" s="1"/>
  <c r="B91" i="6"/>
  <c r="A91" i="6"/>
  <c r="B117" i="12"/>
  <c r="A117" i="12"/>
  <c r="A118" i="12" l="1"/>
  <c r="B118" i="12"/>
  <c r="B92" i="6"/>
  <c r="A92" i="6"/>
  <c r="C99" i="10"/>
  <c r="D99" i="10" s="1"/>
  <c r="B100" i="10"/>
  <c r="C100" i="10" l="1"/>
  <c r="D100" i="10" s="1"/>
  <c r="B101" i="10"/>
  <c r="B119" i="12"/>
  <c r="A119" i="12"/>
  <c r="B93" i="6"/>
  <c r="A93" i="6"/>
  <c r="B120" i="12" l="1"/>
  <c r="A120" i="12"/>
  <c r="B102" i="10"/>
  <c r="C101" i="10"/>
  <c r="D101" i="10" s="1"/>
  <c r="B94" i="6"/>
  <c r="A94" i="6"/>
  <c r="B103" i="10" l="1"/>
  <c r="C102" i="10"/>
  <c r="D102" i="10" s="1"/>
  <c r="A95" i="6"/>
  <c r="B95" i="6"/>
  <c r="A121" i="12"/>
  <c r="B121" i="12"/>
  <c r="B122" i="12" l="1"/>
  <c r="A122" i="12"/>
  <c r="A96" i="6"/>
  <c r="B96" i="6"/>
  <c r="B104" i="10"/>
  <c r="C103" i="10"/>
  <c r="D103" i="10" s="1"/>
  <c r="B97" i="6" l="1"/>
  <c r="A97" i="6"/>
  <c r="B105" i="10"/>
  <c r="C104" i="10"/>
  <c r="D104" i="10" s="1"/>
  <c r="A123" i="12"/>
  <c r="B123" i="12"/>
  <c r="B124" i="12" l="1"/>
  <c r="A124" i="12"/>
  <c r="C105" i="10"/>
  <c r="D105" i="10" s="1"/>
  <c r="B106" i="10"/>
  <c r="A98" i="6"/>
  <c r="B98" i="6"/>
  <c r="B107" i="10" l="1"/>
  <c r="C106" i="10"/>
  <c r="D106" i="10" s="1"/>
  <c r="B99" i="6"/>
  <c r="A99" i="6"/>
  <c r="B125" i="12"/>
  <c r="A125" i="12"/>
  <c r="A100" i="6" l="1"/>
  <c r="B100" i="6"/>
  <c r="A126" i="12"/>
  <c r="B126" i="12"/>
  <c r="B108" i="10"/>
  <c r="C107" i="10"/>
  <c r="D107" i="10" s="1"/>
  <c r="B127" i="12" l="1"/>
  <c r="A127" i="12"/>
  <c r="B101" i="6"/>
  <c r="A101" i="6"/>
  <c r="B109" i="10"/>
  <c r="C108" i="10"/>
  <c r="D108" i="10" s="1"/>
  <c r="B102" i="6" l="1"/>
  <c r="A102" i="6"/>
  <c r="C109" i="10"/>
  <c r="D109" i="10" s="1"/>
  <c r="B110" i="10"/>
  <c r="A128" i="12"/>
  <c r="B128" i="12"/>
  <c r="B129" i="12" l="1"/>
  <c r="A129" i="12"/>
  <c r="C110" i="10"/>
  <c r="D110" i="10" s="1"/>
  <c r="B111" i="10"/>
  <c r="B103" i="6"/>
  <c r="A103" i="6"/>
  <c r="B104" i="6" l="1"/>
  <c r="A104" i="6"/>
  <c r="C111" i="10"/>
  <c r="D111" i="10" s="1"/>
  <c r="B112" i="10"/>
  <c r="A130" i="12"/>
  <c r="B130" i="12"/>
  <c r="B131" i="12" l="1"/>
  <c r="A131" i="12"/>
  <c r="B113" i="10"/>
  <c r="C112" i="10"/>
  <c r="D112" i="10" s="1"/>
  <c r="B105" i="6"/>
  <c r="A105" i="6"/>
  <c r="C113" i="10" l="1"/>
  <c r="D113" i="10" s="1"/>
  <c r="B114" i="10"/>
  <c r="A106" i="6"/>
  <c r="B106" i="6"/>
  <c r="A132" i="12"/>
  <c r="B132" i="12"/>
  <c r="A133" i="12" l="1"/>
  <c r="B133" i="12"/>
  <c r="C114" i="10"/>
  <c r="D114" i="10" s="1"/>
  <c r="B115" i="10"/>
  <c r="A107" i="6"/>
  <c r="B107" i="6"/>
  <c r="B108" i="6" l="1"/>
  <c r="A108" i="6"/>
  <c r="B116" i="10"/>
  <c r="C115" i="10"/>
  <c r="D115" i="10" s="1"/>
  <c r="B134" i="12"/>
  <c r="A134" i="12"/>
  <c r="B117" i="10" l="1"/>
  <c r="C116" i="10"/>
  <c r="D116" i="10" s="1"/>
  <c r="B135" i="12"/>
  <c r="A135" i="12"/>
  <c r="B109" i="6"/>
  <c r="A109" i="6"/>
  <c r="B136" i="12" l="1"/>
  <c r="A136" i="12"/>
  <c r="B110" i="6"/>
  <c r="A110" i="6"/>
  <c r="B118" i="10"/>
  <c r="C117" i="10"/>
  <c r="D117" i="10" s="1"/>
  <c r="B111" i="6" l="1"/>
  <c r="A111" i="6"/>
  <c r="C118" i="10"/>
  <c r="D118" i="10" s="1"/>
  <c r="B119" i="10"/>
  <c r="B137" i="12"/>
  <c r="A137" i="12"/>
  <c r="C119" i="10" l="1"/>
  <c r="D119" i="10" s="1"/>
  <c r="B120" i="10"/>
  <c r="A138" i="12"/>
  <c r="B138" i="12"/>
  <c r="B112" i="6"/>
  <c r="A112" i="6"/>
  <c r="B113" i="6" l="1"/>
  <c r="A113" i="6"/>
  <c r="B121" i="10"/>
  <c r="C120" i="10"/>
  <c r="D120" i="10" s="1"/>
  <c r="A139" i="12"/>
  <c r="B139" i="12"/>
  <c r="B140" i="12" l="1"/>
  <c r="A140" i="12"/>
  <c r="B122" i="10"/>
  <c r="C121" i="10"/>
  <c r="D121" i="10" s="1"/>
  <c r="A114" i="6"/>
  <c r="B114" i="6"/>
  <c r="B123" i="10" l="1"/>
  <c r="C122" i="10"/>
  <c r="D122" i="10" s="1"/>
  <c r="B115" i="6"/>
  <c r="A115" i="6"/>
  <c r="B141" i="12"/>
  <c r="A141" i="12"/>
  <c r="B116" i="6" l="1"/>
  <c r="A116" i="6"/>
  <c r="A142" i="12"/>
  <c r="B142" i="12"/>
  <c r="B124" i="10"/>
  <c r="C123" i="10"/>
  <c r="D123" i="10" s="1"/>
  <c r="B143" i="12" l="1"/>
  <c r="A143" i="12"/>
  <c r="C124" i="10"/>
  <c r="D124" i="10" s="1"/>
  <c r="B125" i="10"/>
  <c r="B117" i="6"/>
  <c r="A117" i="6"/>
  <c r="B126" i="10" l="1"/>
  <c r="C125" i="10"/>
  <c r="D125" i="10" s="1"/>
  <c r="A118" i="6"/>
  <c r="B118" i="6"/>
  <c r="B144" i="12"/>
  <c r="A144" i="12"/>
  <c r="B145" i="12" l="1"/>
  <c r="A145" i="12"/>
  <c r="B119" i="6"/>
  <c r="A119" i="6"/>
  <c r="B127" i="10"/>
  <c r="C126" i="10"/>
  <c r="D126" i="10" s="1"/>
  <c r="B120" i="6" l="1"/>
  <c r="A120" i="6"/>
  <c r="B128" i="10"/>
  <c r="C127" i="10"/>
  <c r="D127" i="10" s="1"/>
  <c r="A146" i="12"/>
  <c r="B146" i="12"/>
  <c r="B129" i="10" l="1"/>
  <c r="C128" i="10"/>
  <c r="D128" i="10" s="1"/>
  <c r="B147" i="12"/>
  <c r="A147" i="12"/>
  <c r="B121" i="6"/>
  <c r="A121" i="6"/>
  <c r="B148" i="12" l="1"/>
  <c r="A148" i="12"/>
  <c r="A122" i="6"/>
  <c r="B122" i="6"/>
  <c r="C129" i="10"/>
  <c r="D129" i="10" s="1"/>
  <c r="B130" i="10"/>
  <c r="B131" i="10" l="1"/>
  <c r="C130" i="10"/>
  <c r="D130" i="10" s="1"/>
  <c r="B123" i="6"/>
  <c r="A123" i="6"/>
  <c r="B149" i="12"/>
  <c r="A149" i="12"/>
  <c r="A124" i="6" l="1"/>
  <c r="B124" i="6"/>
  <c r="A150" i="12"/>
  <c r="B150" i="12"/>
  <c r="B132" i="10"/>
  <c r="C131" i="10"/>
  <c r="D131" i="10" s="1"/>
  <c r="B151" i="12" l="1"/>
  <c r="A151" i="12"/>
  <c r="B125" i="6"/>
  <c r="A125" i="6"/>
  <c r="C132" i="10"/>
  <c r="D132" i="10" s="1"/>
  <c r="B133" i="10"/>
  <c r="B126" i="6" l="1"/>
  <c r="A126" i="6"/>
  <c r="B134" i="10"/>
  <c r="C133" i="10"/>
  <c r="D133" i="10" s="1"/>
  <c r="B152" i="12"/>
  <c r="A152" i="12"/>
  <c r="B135" i="10" l="1"/>
  <c r="C134" i="10"/>
  <c r="D134" i="10" s="1"/>
  <c r="B153" i="12"/>
  <c r="A153" i="12"/>
  <c r="B127" i="6"/>
  <c r="A127" i="6"/>
  <c r="A154" i="12" l="1"/>
  <c r="B154" i="12"/>
  <c r="A128" i="6"/>
  <c r="B128" i="6"/>
  <c r="B136" i="10"/>
  <c r="C135" i="10"/>
  <c r="D135" i="10" s="1"/>
  <c r="B129" i="6" l="1"/>
  <c r="A129" i="6"/>
  <c r="A155" i="12"/>
  <c r="B155" i="12"/>
  <c r="B137" i="10"/>
  <c r="C136" i="10"/>
  <c r="D136" i="10" s="1"/>
  <c r="C137" i="10" l="1"/>
  <c r="D137" i="10" s="1"/>
  <c r="B138" i="10"/>
  <c r="B156" i="12"/>
  <c r="A156" i="12"/>
  <c r="A130" i="6"/>
  <c r="B130" i="6"/>
  <c r="B157" i="12" l="1"/>
  <c r="A157" i="12"/>
  <c r="B139" i="10"/>
  <c r="C138" i="10"/>
  <c r="D138" i="10" s="1"/>
  <c r="A131" i="6"/>
  <c r="B131" i="6"/>
  <c r="B140" i="10" l="1"/>
  <c r="C139" i="10"/>
  <c r="D139" i="10" s="1"/>
  <c r="A132" i="6"/>
  <c r="B132" i="6"/>
  <c r="B158" i="12"/>
  <c r="A158" i="12"/>
  <c r="A133" i="6" l="1"/>
  <c r="B133" i="6"/>
  <c r="B159" i="12"/>
  <c r="A159" i="12"/>
  <c r="B141" i="10"/>
  <c r="C140" i="10"/>
  <c r="D140" i="10" s="1"/>
  <c r="C141" i="10" l="1"/>
  <c r="D141" i="10" s="1"/>
  <c r="B142" i="10"/>
  <c r="B134" i="6"/>
  <c r="A134" i="6"/>
  <c r="A160" i="12"/>
  <c r="B160" i="12"/>
  <c r="B135" i="6" l="1"/>
  <c r="A135" i="6"/>
  <c r="C142" i="10"/>
  <c r="D142" i="10" s="1"/>
  <c r="B143" i="10"/>
  <c r="B161" i="12"/>
  <c r="A161" i="12"/>
  <c r="C143" i="10" l="1"/>
  <c r="D143" i="10" s="1"/>
  <c r="B144" i="10"/>
  <c r="B162" i="12"/>
  <c r="A162" i="12"/>
  <c r="B136" i="6"/>
  <c r="A136" i="6"/>
  <c r="B137" i="6" l="1"/>
  <c r="A137" i="6"/>
  <c r="B163" i="12"/>
  <c r="A163" i="12"/>
  <c r="B145" i="10"/>
  <c r="C144" i="10"/>
  <c r="D144" i="10" s="1"/>
  <c r="C145" i="10" l="1"/>
  <c r="D145" i="10" s="1"/>
  <c r="B146" i="10"/>
  <c r="B164" i="12"/>
  <c r="A164" i="12"/>
  <c r="A138" i="6"/>
  <c r="B138" i="6"/>
  <c r="A165" i="12" l="1"/>
  <c r="B165" i="12"/>
  <c r="C146" i="10"/>
  <c r="D146" i="10" s="1"/>
  <c r="B147" i="10"/>
  <c r="B139" i="6"/>
  <c r="A139" i="6"/>
  <c r="A140" i="6" l="1"/>
  <c r="B140" i="6"/>
  <c r="B148" i="10"/>
  <c r="C147" i="10"/>
  <c r="D147" i="10" s="1"/>
  <c r="B166" i="12"/>
  <c r="A166" i="12"/>
  <c r="B167" i="12" l="1"/>
  <c r="A167" i="12"/>
  <c r="A141" i="6"/>
  <c r="B141" i="6"/>
  <c r="B149" i="10"/>
  <c r="C148" i="10"/>
  <c r="D148" i="10" s="1"/>
  <c r="A142" i="6" l="1"/>
  <c r="B142" i="6"/>
  <c r="B150" i="10"/>
  <c r="C149" i="10"/>
  <c r="D149" i="10" s="1"/>
  <c r="B168" i="12"/>
  <c r="A168" i="12"/>
  <c r="A169" i="12" l="1"/>
  <c r="B169" i="12"/>
  <c r="B143" i="6"/>
  <c r="A143" i="6"/>
  <c r="C150" i="10"/>
  <c r="D150" i="10" s="1"/>
  <c r="B151" i="10"/>
  <c r="C151" i="10" l="1"/>
  <c r="D151" i="10" s="1"/>
  <c r="B152" i="10"/>
  <c r="A170" i="12"/>
  <c r="B170" i="12"/>
  <c r="B144" i="6"/>
  <c r="A144" i="6"/>
  <c r="B145" i="6" l="1"/>
  <c r="A145" i="6"/>
  <c r="B153" i="10"/>
  <c r="C152" i="10"/>
  <c r="D152" i="10" s="1"/>
  <c r="B171" i="12"/>
  <c r="A171" i="12"/>
  <c r="B154" i="10" l="1"/>
  <c r="C153" i="10"/>
  <c r="D153" i="10" s="1"/>
  <c r="B172" i="12"/>
  <c r="A172" i="12"/>
  <c r="A146" i="6"/>
  <c r="B146" i="6"/>
  <c r="B147" i="6" l="1"/>
  <c r="A147" i="6"/>
  <c r="B173" i="12"/>
  <c r="A173" i="12"/>
  <c r="B155" i="10"/>
  <c r="C154" i="10"/>
  <c r="D154" i="10" s="1"/>
  <c r="B156" i="10" l="1"/>
  <c r="C155" i="10"/>
  <c r="D155" i="10" s="1"/>
  <c r="A174" i="12"/>
  <c r="B174" i="12"/>
  <c r="B148" i="6"/>
  <c r="A148" i="6"/>
  <c r="B175" i="12" l="1"/>
  <c r="A175" i="12"/>
  <c r="A149" i="6"/>
  <c r="B149" i="6"/>
  <c r="C156" i="10"/>
  <c r="D156" i="10" s="1"/>
  <c r="B157" i="10"/>
  <c r="B158" i="10" l="1"/>
  <c r="C157" i="10"/>
  <c r="D157" i="10" s="1"/>
  <c r="B150" i="6"/>
  <c r="A150" i="6"/>
  <c r="A176" i="12"/>
  <c r="B176" i="12"/>
  <c r="A151" i="6" l="1"/>
  <c r="B151" i="6"/>
  <c r="B177" i="12"/>
  <c r="A177" i="12"/>
  <c r="B159" i="10"/>
  <c r="C158" i="10"/>
  <c r="D158" i="10" s="1"/>
  <c r="B160" i="10" l="1"/>
  <c r="C159" i="10"/>
  <c r="D159" i="10" s="1"/>
  <c r="A152" i="6"/>
  <c r="B152" i="6"/>
  <c r="A178" i="12"/>
  <c r="B178" i="12"/>
  <c r="B153" i="6" l="1"/>
  <c r="A153" i="6"/>
  <c r="A179" i="12"/>
  <c r="B179" i="12"/>
  <c r="B161" i="10"/>
  <c r="C160" i="10"/>
  <c r="D160" i="10" s="1"/>
  <c r="C161" i="10" l="1"/>
  <c r="D161" i="10" s="1"/>
  <c r="B162" i="10"/>
  <c r="B180" i="12"/>
  <c r="A180" i="12"/>
  <c r="B154" i="6"/>
  <c r="A154" i="6"/>
  <c r="A181" i="12" l="1"/>
  <c r="B181" i="12"/>
  <c r="B163" i="10"/>
  <c r="C162" i="10"/>
  <c r="D162" i="10" s="1"/>
  <c r="A155" i="6"/>
  <c r="B155" i="6"/>
  <c r="B156" i="6" l="1"/>
  <c r="A156" i="6"/>
  <c r="A182" i="12"/>
  <c r="B182" i="12"/>
  <c r="C163" i="10"/>
  <c r="D163" i="10" s="1"/>
  <c r="B164" i="10"/>
  <c r="B183" i="12" l="1"/>
  <c r="A183" i="12"/>
  <c r="C164" i="10"/>
  <c r="D164" i="10" s="1"/>
  <c r="B165" i="10"/>
  <c r="B157" i="6"/>
  <c r="A157" i="6"/>
  <c r="B166" i="10" l="1"/>
  <c r="C165" i="10"/>
  <c r="D165" i="10" s="1"/>
  <c r="B158" i="6"/>
  <c r="A158" i="6"/>
  <c r="B184" i="12"/>
  <c r="A184" i="12"/>
  <c r="A159" i="6" l="1"/>
  <c r="B159" i="6"/>
  <c r="B185" i="12"/>
  <c r="A185" i="12"/>
  <c r="B167" i="10"/>
  <c r="C166" i="10"/>
  <c r="D166" i="10" s="1"/>
  <c r="B168" i="10" l="1"/>
  <c r="C167" i="10"/>
  <c r="D167" i="10" s="1"/>
  <c r="A160" i="6"/>
  <c r="B160" i="6"/>
  <c r="B186" i="12"/>
  <c r="A186" i="12"/>
  <c r="B161" i="6" l="1"/>
  <c r="A161" i="6"/>
  <c r="B187" i="12"/>
  <c r="A187" i="12"/>
  <c r="B169" i="10"/>
  <c r="C168" i="10"/>
  <c r="D168" i="10" s="1"/>
  <c r="A188" i="12" l="1"/>
  <c r="B188" i="12"/>
  <c r="C169" i="10"/>
  <c r="D169" i="10" s="1"/>
  <c r="B170" i="10"/>
  <c r="A162" i="6"/>
  <c r="B162" i="6"/>
  <c r="B163" i="6" l="1"/>
  <c r="A163" i="6"/>
  <c r="B171" i="10"/>
  <c r="C170" i="10"/>
  <c r="D170" i="10" s="1"/>
  <c r="B189" i="12"/>
  <c r="A189" i="12"/>
  <c r="A190" i="12" l="1"/>
  <c r="B190" i="12"/>
  <c r="B172" i="10"/>
  <c r="C171" i="10"/>
  <c r="D171" i="10" s="1"/>
  <c r="A164" i="6"/>
  <c r="B164" i="6"/>
  <c r="B165" i="6" l="1"/>
  <c r="A165" i="6"/>
  <c r="B191" i="12"/>
  <c r="A191" i="12"/>
  <c r="B173" i="10"/>
  <c r="C172" i="10"/>
  <c r="D172" i="10" s="1"/>
  <c r="C173" i="10" l="1"/>
  <c r="D173" i="10" s="1"/>
  <c r="B174" i="10"/>
  <c r="A192" i="12"/>
  <c r="B192" i="12"/>
  <c r="B166" i="6"/>
  <c r="A166" i="6"/>
  <c r="B167" i="6" l="1"/>
  <c r="A167" i="6"/>
  <c r="C174" i="10"/>
  <c r="D174" i="10" s="1"/>
  <c r="B175" i="10"/>
  <c r="B193" i="12"/>
  <c r="A193" i="12"/>
  <c r="C175" i="10" l="1"/>
  <c r="D175" i="10" s="1"/>
  <c r="B176" i="10"/>
  <c r="A194" i="12"/>
  <c r="B194" i="12"/>
  <c r="A168" i="6"/>
  <c r="B168" i="6"/>
  <c r="B169" i="6" l="1"/>
  <c r="A169" i="6"/>
  <c r="B177" i="10"/>
  <c r="C176" i="10"/>
  <c r="D176" i="10" s="1"/>
  <c r="B195" i="12"/>
  <c r="A195" i="12"/>
  <c r="C177" i="10" l="1"/>
  <c r="D177" i="10" s="1"/>
  <c r="B178" i="10"/>
  <c r="B196" i="12"/>
  <c r="A196" i="12"/>
  <c r="A170" i="6"/>
  <c r="B170" i="6"/>
  <c r="B197" i="12" l="1"/>
  <c r="A197" i="12"/>
  <c r="C178" i="10"/>
  <c r="D178" i="10" s="1"/>
  <c r="B179" i="10"/>
  <c r="A171" i="6"/>
  <c r="B171" i="6"/>
  <c r="B172" i="6" l="1"/>
  <c r="A172" i="6"/>
  <c r="B180" i="10"/>
  <c r="C179" i="10"/>
  <c r="D179" i="10" s="1"/>
  <c r="B198" i="12"/>
  <c r="A198" i="12"/>
  <c r="B181" i="10" l="1"/>
  <c r="C180" i="10"/>
  <c r="D180" i="10" s="1"/>
  <c r="B199" i="12"/>
  <c r="A199" i="12"/>
  <c r="B173" i="6"/>
  <c r="A173" i="6"/>
  <c r="B200" i="12" l="1"/>
  <c r="A200" i="12"/>
  <c r="B174" i="6"/>
  <c r="A174" i="6"/>
  <c r="B182" i="10"/>
  <c r="C181" i="10"/>
  <c r="D181" i="10" s="1"/>
  <c r="B175" i="6" l="1"/>
  <c r="A175" i="6"/>
  <c r="C182" i="10"/>
  <c r="D182" i="10" s="1"/>
  <c r="B183" i="10"/>
  <c r="A201" i="12"/>
  <c r="B201" i="12"/>
  <c r="A202" i="12" l="1"/>
  <c r="B202" i="12"/>
  <c r="B184" i="10"/>
  <c r="C183" i="10"/>
  <c r="D183" i="10" s="1"/>
  <c r="B176" i="6"/>
  <c r="A176" i="6"/>
  <c r="B177" i="6" l="1"/>
  <c r="A177" i="6"/>
  <c r="A203" i="12"/>
  <c r="B203" i="12"/>
  <c r="B185" i="10"/>
  <c r="C184" i="10"/>
  <c r="D184" i="10" s="1"/>
  <c r="B204" i="12" l="1"/>
  <c r="A204" i="12"/>
  <c r="B186" i="10"/>
  <c r="C185" i="10"/>
  <c r="D185" i="10" s="1"/>
  <c r="B178" i="6"/>
  <c r="A178" i="6"/>
  <c r="B187" i="10" l="1"/>
  <c r="C186" i="10"/>
  <c r="D186" i="10" s="1"/>
  <c r="A179" i="6"/>
  <c r="B179" i="6"/>
  <c r="B205" i="12"/>
  <c r="A205" i="12"/>
  <c r="A180" i="6" l="1"/>
  <c r="B180" i="6"/>
  <c r="A206" i="12"/>
  <c r="B206" i="12"/>
  <c r="B188" i="10"/>
  <c r="C187" i="10"/>
  <c r="D187" i="10" s="1"/>
  <c r="C188" i="10" l="1"/>
  <c r="D188" i="10" s="1"/>
  <c r="B189" i="10"/>
  <c r="B181" i="6"/>
  <c r="A181" i="6"/>
  <c r="B207" i="12"/>
  <c r="A207" i="12"/>
  <c r="B208" i="12" l="1"/>
  <c r="A208" i="12"/>
  <c r="B182" i="6"/>
  <c r="A182" i="6"/>
  <c r="B190" i="10"/>
  <c r="C189" i="10"/>
  <c r="D189" i="10" s="1"/>
  <c r="B183" i="6" l="1"/>
  <c r="A183" i="6"/>
  <c r="B191" i="10"/>
  <c r="C190" i="10"/>
  <c r="D190" i="10" s="1"/>
  <c r="B209" i="12"/>
  <c r="A209" i="12"/>
  <c r="B192" i="10" l="1"/>
  <c r="C191" i="10"/>
  <c r="D191" i="10" s="1"/>
  <c r="A210" i="12"/>
  <c r="B210" i="12"/>
  <c r="B184" i="6"/>
  <c r="A184" i="6"/>
  <c r="B185" i="6" l="1"/>
  <c r="A185" i="6"/>
  <c r="A211" i="12"/>
  <c r="B211" i="12"/>
  <c r="B193" i="10"/>
  <c r="C192" i="10"/>
  <c r="D192" i="10" s="1"/>
  <c r="C193" i="10" l="1"/>
  <c r="D193" i="10" s="1"/>
  <c r="B194" i="10"/>
  <c r="A212" i="12"/>
  <c r="B212" i="12"/>
  <c r="A186" i="6"/>
  <c r="B186" i="6"/>
  <c r="A187" i="6" l="1"/>
  <c r="B187" i="6"/>
  <c r="B195" i="10"/>
  <c r="C194" i="10"/>
  <c r="D194" i="10" s="1"/>
  <c r="B213" i="12"/>
  <c r="A213" i="12"/>
  <c r="B214" i="12" l="1"/>
  <c r="A214" i="12"/>
  <c r="B188" i="6"/>
  <c r="A188" i="6"/>
  <c r="C195" i="10"/>
  <c r="D195" i="10" s="1"/>
  <c r="B196" i="10"/>
  <c r="B189" i="6" l="1"/>
  <c r="A189" i="6"/>
  <c r="C196" i="10"/>
  <c r="D196" i="10" s="1"/>
  <c r="B197" i="10"/>
  <c r="B215" i="12"/>
  <c r="A215" i="12"/>
  <c r="B198" i="10" l="1"/>
  <c r="C197" i="10"/>
  <c r="D197" i="10" s="1"/>
  <c r="B216" i="12"/>
  <c r="A216" i="12"/>
  <c r="B190" i="6"/>
  <c r="A190" i="6"/>
  <c r="B217" i="12" l="1"/>
  <c r="A217" i="12"/>
  <c r="A191" i="6"/>
  <c r="B191" i="6"/>
  <c r="B199" i="10"/>
  <c r="C198" i="10"/>
  <c r="D198" i="10" s="1"/>
  <c r="B192" i="6" l="1"/>
  <c r="A192" i="6"/>
  <c r="B200" i="10"/>
  <c r="C199" i="10"/>
  <c r="D199" i="10" s="1"/>
  <c r="A218" i="12"/>
  <c r="B218" i="12"/>
  <c r="A219" i="12" l="1"/>
  <c r="B219" i="12"/>
  <c r="B201" i="10"/>
  <c r="C200" i="10"/>
  <c r="D200" i="10" s="1"/>
  <c r="B193" i="6"/>
  <c r="A193" i="6"/>
  <c r="A194" i="6" l="1"/>
  <c r="B194" i="6"/>
  <c r="A220" i="12"/>
  <c r="B220" i="12"/>
  <c r="C201" i="10"/>
  <c r="D201" i="10" s="1"/>
  <c r="B202" i="10"/>
  <c r="B203" i="10" l="1"/>
  <c r="C202" i="10"/>
  <c r="D202" i="10" s="1"/>
  <c r="B221" i="12"/>
  <c r="A221" i="12"/>
  <c r="A195" i="6"/>
  <c r="B195" i="6"/>
  <c r="B222" i="12" l="1"/>
  <c r="A222" i="12"/>
  <c r="B196" i="6"/>
  <c r="A196" i="6"/>
  <c r="B204" i="10"/>
  <c r="C203" i="10"/>
  <c r="D203" i="10" s="1"/>
  <c r="B197" i="6" l="1"/>
  <c r="A197" i="6"/>
  <c r="C204" i="10"/>
  <c r="D204" i="10" s="1"/>
  <c r="B205" i="10"/>
  <c r="B223" i="12"/>
  <c r="A223" i="12"/>
  <c r="C205" i="10" l="1"/>
  <c r="D205" i="10" s="1"/>
  <c r="B206" i="10"/>
  <c r="A224" i="12"/>
  <c r="B224" i="12"/>
  <c r="B198" i="6"/>
  <c r="A198" i="6"/>
  <c r="B199" i="6" l="1"/>
  <c r="A199" i="6"/>
  <c r="C206" i="10"/>
  <c r="D206" i="10" s="1"/>
  <c r="B207" i="10"/>
  <c r="B225" i="12"/>
  <c r="A225" i="12"/>
  <c r="B226" i="12" l="1"/>
  <c r="A226" i="12"/>
  <c r="C207" i="10"/>
  <c r="D207" i="10" s="1"/>
  <c r="B208" i="10"/>
  <c r="B200" i="6"/>
  <c r="A200" i="6"/>
  <c r="B201" i="6" l="1"/>
  <c r="A201" i="6"/>
  <c r="B209" i="10"/>
  <c r="C208" i="10"/>
  <c r="D208" i="10" s="1"/>
  <c r="B227" i="12"/>
  <c r="A227" i="12"/>
  <c r="C209" i="10" l="1"/>
  <c r="D209" i="10" s="1"/>
  <c r="B210" i="10"/>
  <c r="B228" i="12"/>
  <c r="A228" i="12"/>
  <c r="A202" i="6"/>
  <c r="B202" i="6"/>
  <c r="A229" i="12" l="1"/>
  <c r="B229" i="12"/>
  <c r="C210" i="10"/>
  <c r="D210" i="10" s="1"/>
  <c r="B211" i="10"/>
  <c r="A203" i="6"/>
  <c r="B203" i="6"/>
  <c r="B212" i="10" l="1"/>
  <c r="C211" i="10"/>
  <c r="D211" i="10" s="1"/>
  <c r="A230" i="12"/>
  <c r="B230" i="12"/>
  <c r="B204" i="6"/>
  <c r="A204" i="6"/>
  <c r="B231" i="12" l="1"/>
  <c r="A231" i="12"/>
  <c r="B205" i="6"/>
  <c r="A205" i="6"/>
  <c r="B213" i="10"/>
  <c r="C212" i="10"/>
  <c r="D212" i="10" s="1"/>
  <c r="A206" i="6" l="1"/>
  <c r="B206" i="6"/>
  <c r="B214" i="10"/>
  <c r="C213" i="10"/>
  <c r="D213" i="10" s="1"/>
  <c r="B232" i="12"/>
  <c r="A232" i="12"/>
  <c r="B233" i="12" l="1"/>
  <c r="A233" i="12"/>
  <c r="B207" i="6"/>
  <c r="A207" i="6"/>
  <c r="C214" i="10"/>
  <c r="D214" i="10" s="1"/>
  <c r="B215" i="10"/>
  <c r="B208" i="6" l="1"/>
  <c r="A208" i="6"/>
  <c r="C215" i="10"/>
  <c r="D215" i="10" s="1"/>
  <c r="B216" i="10"/>
  <c r="A234" i="12"/>
  <c r="B234" i="12"/>
  <c r="B235" i="12" l="1"/>
  <c r="A235" i="12"/>
  <c r="B217" i="10"/>
  <c r="C216" i="10"/>
  <c r="D216" i="10" s="1"/>
  <c r="B209" i="6"/>
  <c r="A209" i="6"/>
  <c r="B218" i="10" l="1"/>
  <c r="C217" i="10"/>
  <c r="D217" i="10" s="1"/>
  <c r="B210" i="6"/>
  <c r="A210" i="6"/>
  <c r="A236" i="12"/>
  <c r="B236" i="12"/>
  <c r="B237" i="12" l="1"/>
  <c r="A237" i="12"/>
  <c r="B211" i="6"/>
  <c r="A211" i="6"/>
  <c r="B219" i="10"/>
  <c r="C218" i="10"/>
  <c r="D218" i="10" s="1"/>
  <c r="A212" i="6" l="1"/>
  <c r="B212" i="6"/>
  <c r="B220" i="10"/>
  <c r="C219" i="10"/>
  <c r="D219" i="10" s="1"/>
  <c r="A238" i="12"/>
  <c r="B238" i="12"/>
  <c r="B239" i="12" l="1"/>
  <c r="A239" i="12"/>
  <c r="B213" i="6"/>
  <c r="A213" i="6"/>
  <c r="C220" i="10"/>
  <c r="D220" i="10" s="1"/>
  <c r="B221" i="10"/>
  <c r="A214" i="6" l="1"/>
  <c r="B214" i="6"/>
  <c r="B222" i="10"/>
  <c r="C221" i="10"/>
  <c r="D221" i="10" s="1"/>
  <c r="B240" i="12"/>
  <c r="A240" i="12"/>
  <c r="B241" i="12" l="1"/>
  <c r="A241" i="12"/>
  <c r="A215" i="6"/>
  <c r="B215" i="6"/>
  <c r="B223" i="10"/>
  <c r="C222" i="10"/>
  <c r="D222" i="10" s="1"/>
  <c r="B224" i="10" l="1"/>
  <c r="C223" i="10"/>
  <c r="D223" i="10" s="1"/>
  <c r="B216" i="6"/>
  <c r="A216" i="6"/>
  <c r="A242" i="12"/>
  <c r="B242" i="12"/>
  <c r="B217" i="6" l="1"/>
  <c r="A217" i="6"/>
  <c r="A243" i="12"/>
  <c r="B243" i="12"/>
  <c r="B225" i="10"/>
  <c r="C224" i="10"/>
  <c r="D224" i="10" s="1"/>
  <c r="B244" i="12" l="1"/>
  <c r="A244" i="12"/>
  <c r="C225" i="10"/>
  <c r="D225" i="10" s="1"/>
  <c r="B226" i="10"/>
  <c r="B218" i="6"/>
  <c r="A218" i="6"/>
  <c r="B227" i="10" l="1"/>
  <c r="C226" i="10"/>
  <c r="D226" i="10" s="1"/>
  <c r="B219" i="6"/>
  <c r="A219" i="6"/>
  <c r="A245" i="12"/>
  <c r="B245" i="12"/>
  <c r="B246" i="12" l="1"/>
  <c r="A246" i="12"/>
  <c r="B220" i="6"/>
  <c r="A220" i="6"/>
  <c r="B228" i="10"/>
  <c r="C227" i="10"/>
  <c r="D227" i="10" s="1"/>
  <c r="A221" i="6" l="1"/>
  <c r="B221" i="6"/>
  <c r="C228" i="10"/>
  <c r="D228" i="10" s="1"/>
  <c r="B229" i="10"/>
  <c r="B247" i="12"/>
  <c r="A247" i="12"/>
  <c r="B230" i="10" l="1"/>
  <c r="C229" i="10"/>
  <c r="D229" i="10" s="1"/>
  <c r="B222" i="6"/>
  <c r="A222" i="6"/>
  <c r="B248" i="12"/>
  <c r="A248" i="12"/>
  <c r="B223" i="6" l="1"/>
  <c r="A223" i="6"/>
  <c r="B249" i="12"/>
  <c r="A249" i="12"/>
  <c r="B231" i="10"/>
  <c r="C230" i="10"/>
  <c r="D230" i="10" s="1"/>
  <c r="B250" i="12" l="1"/>
  <c r="A250" i="12"/>
  <c r="B232" i="10"/>
  <c r="C231" i="10"/>
  <c r="D231" i="10" s="1"/>
  <c r="A224" i="6"/>
  <c r="B224" i="6"/>
  <c r="B233" i="10" l="1"/>
  <c r="C232" i="10"/>
  <c r="D232" i="10" s="1"/>
  <c r="B225" i="6"/>
  <c r="A225" i="6"/>
  <c r="A251" i="12"/>
  <c r="B251" i="12"/>
  <c r="A252" i="12" l="1"/>
  <c r="B252" i="12"/>
  <c r="A226" i="6"/>
  <c r="B226" i="6"/>
  <c r="C233" i="10"/>
  <c r="D233" i="10" s="1"/>
  <c r="B234" i="10"/>
  <c r="B235" i="10" l="1"/>
  <c r="C234" i="10"/>
  <c r="D234" i="10" s="1"/>
  <c r="B227" i="6"/>
  <c r="A227" i="6"/>
  <c r="B253" i="12"/>
  <c r="A253" i="12"/>
  <c r="B228" i="6" l="1"/>
  <c r="A228" i="6"/>
  <c r="B254" i="12"/>
  <c r="A254" i="12"/>
  <c r="B236" i="10"/>
  <c r="C235" i="10"/>
  <c r="D235" i="10" s="1"/>
  <c r="B255" i="12" l="1"/>
  <c r="A255" i="12"/>
  <c r="B237" i="10"/>
  <c r="C236" i="10"/>
  <c r="D236" i="10" s="1"/>
  <c r="B229" i="6"/>
  <c r="A229" i="6"/>
  <c r="C237" i="10" l="1"/>
  <c r="D237" i="10" s="1"/>
  <c r="B238" i="10"/>
  <c r="B230" i="6"/>
  <c r="A230" i="6"/>
  <c r="B256" i="12"/>
  <c r="A256" i="12"/>
  <c r="B257" i="12" l="1"/>
  <c r="A257" i="12"/>
  <c r="A231" i="6"/>
  <c r="B231" i="6"/>
  <c r="C238" i="10"/>
  <c r="D238" i="10" s="1"/>
  <c r="B239" i="10"/>
  <c r="B232" i="6" l="1"/>
  <c r="A232" i="6"/>
  <c r="C239" i="10"/>
  <c r="D239" i="10" s="1"/>
  <c r="B240" i="10"/>
  <c r="A258" i="12"/>
  <c r="B258" i="12"/>
  <c r="B259" i="12" l="1"/>
  <c r="A259" i="12"/>
  <c r="B241" i="10"/>
  <c r="C240" i="10"/>
  <c r="D240" i="10" s="1"/>
  <c r="B233" i="6"/>
  <c r="A233" i="6"/>
  <c r="C241" i="10" l="1"/>
  <c r="D241" i="10" s="1"/>
  <c r="B242" i="10"/>
  <c r="A234" i="6"/>
  <c r="B234" i="6"/>
  <c r="B260" i="12"/>
  <c r="A260" i="12"/>
  <c r="B261" i="12" l="1"/>
  <c r="A261" i="12"/>
  <c r="C242" i="10"/>
  <c r="D242" i="10" s="1"/>
  <c r="B243" i="10"/>
  <c r="A235" i="6"/>
  <c r="B235" i="6"/>
  <c r="B236" i="6" l="1"/>
  <c r="A236" i="6"/>
  <c r="B244" i="10"/>
  <c r="C243" i="10"/>
  <c r="D243" i="10" s="1"/>
  <c r="B262" i="12"/>
  <c r="A262" i="12"/>
  <c r="B245" i="10" l="1"/>
  <c r="C244" i="10"/>
  <c r="D244" i="10" s="1"/>
  <c r="B263" i="12"/>
  <c r="A263" i="12"/>
  <c r="A237" i="6"/>
  <c r="B237" i="6"/>
  <c r="B264" i="12" l="1"/>
  <c r="A264" i="12"/>
  <c r="B238" i="6"/>
  <c r="A238" i="6"/>
  <c r="B246" i="10"/>
  <c r="C245" i="10"/>
  <c r="D245" i="10" s="1"/>
  <c r="A239" i="6" l="1"/>
  <c r="B239" i="6"/>
  <c r="C246" i="10"/>
  <c r="D246" i="10" s="1"/>
  <c r="B247" i="10"/>
  <c r="A265" i="12"/>
  <c r="B265" i="12"/>
  <c r="C247" i="10" l="1"/>
  <c r="D247" i="10" s="1"/>
  <c r="B248" i="10"/>
  <c r="B240" i="6"/>
  <c r="A240" i="6"/>
  <c r="A266" i="12"/>
  <c r="B266" i="12"/>
  <c r="A267" i="12" l="1"/>
  <c r="B267" i="12"/>
  <c r="B241" i="6"/>
  <c r="A241" i="6"/>
  <c r="B249" i="10"/>
  <c r="C248" i="10"/>
  <c r="D248" i="10" s="1"/>
  <c r="B250" i="10" l="1"/>
  <c r="C249" i="10"/>
  <c r="D249" i="10" s="1"/>
  <c r="B268" i="12"/>
  <c r="A268" i="12"/>
  <c r="A242" i="6"/>
  <c r="B242" i="6"/>
  <c r="B243" i="6" l="1"/>
  <c r="A243" i="6"/>
  <c r="B269" i="12"/>
  <c r="A269" i="12"/>
  <c r="B251" i="10"/>
  <c r="C250" i="10"/>
  <c r="D250" i="10" s="1"/>
  <c r="B252" i="10" l="1"/>
  <c r="C251" i="10"/>
  <c r="D251" i="10" s="1"/>
  <c r="B270" i="12"/>
  <c r="A270" i="12"/>
  <c r="A244" i="6"/>
  <c r="B244" i="6"/>
  <c r="B271" i="12" l="1"/>
  <c r="A271" i="12"/>
  <c r="B245" i="6"/>
  <c r="A245" i="6"/>
  <c r="C252" i="10"/>
  <c r="D252" i="10" s="1"/>
  <c r="B253" i="10"/>
  <c r="B246" i="6" l="1"/>
  <c r="A246" i="6"/>
  <c r="B254" i="10"/>
  <c r="C253" i="10"/>
  <c r="D253" i="10" s="1"/>
  <c r="B272" i="12"/>
  <c r="A272" i="12"/>
  <c r="B255" i="10" l="1"/>
  <c r="C254" i="10"/>
  <c r="D254" i="10" s="1"/>
  <c r="A273" i="12"/>
  <c r="B273" i="12"/>
  <c r="B247" i="6"/>
  <c r="A247" i="6"/>
  <c r="A274" i="12" l="1"/>
  <c r="B274" i="12"/>
  <c r="A248" i="6"/>
  <c r="B248" i="6"/>
  <c r="B256" i="10"/>
  <c r="C255" i="10"/>
  <c r="D255" i="10" s="1"/>
  <c r="B257" i="10" l="1"/>
  <c r="C256" i="10"/>
  <c r="D256" i="10" s="1"/>
  <c r="B275" i="12"/>
  <c r="A275" i="12"/>
  <c r="B249" i="6"/>
  <c r="A249" i="6"/>
  <c r="B276" i="12" l="1"/>
  <c r="A276" i="12"/>
  <c r="A250" i="6"/>
  <c r="B250" i="6"/>
  <c r="C257" i="10"/>
  <c r="D257" i="10" s="1"/>
  <c r="B258" i="10"/>
  <c r="C258" i="10" l="1"/>
  <c r="D258" i="10" s="1"/>
  <c r="B259" i="10"/>
  <c r="B251" i="6"/>
  <c r="A251" i="6"/>
  <c r="B277" i="12"/>
  <c r="A277" i="12"/>
  <c r="A252" i="6" l="1"/>
  <c r="B252" i="6"/>
  <c r="B260" i="10"/>
  <c r="C259" i="10"/>
  <c r="D259" i="10" s="1"/>
  <c r="B278" i="12"/>
  <c r="A278" i="12"/>
  <c r="B279" i="12" l="1"/>
  <c r="A279" i="12"/>
  <c r="B253" i="6"/>
  <c r="A253" i="6"/>
  <c r="B261" i="10"/>
  <c r="C260" i="10"/>
  <c r="D260" i="10" s="1"/>
  <c r="B254" i="6" l="1"/>
  <c r="A254" i="6"/>
  <c r="B262" i="10"/>
  <c r="C261" i="10"/>
  <c r="D261" i="10" s="1"/>
  <c r="B280" i="12"/>
  <c r="A280" i="12"/>
  <c r="B263" i="10" l="1"/>
  <c r="C262" i="10"/>
  <c r="D262" i="10" s="1"/>
  <c r="B281" i="12"/>
  <c r="A281" i="12"/>
  <c r="A255" i="6"/>
  <c r="B255" i="6"/>
  <c r="A256" i="6" l="1"/>
  <c r="B256" i="6"/>
  <c r="A282" i="12"/>
  <c r="B282" i="12"/>
  <c r="B264" i="10"/>
  <c r="C263" i="10"/>
  <c r="D263" i="10" s="1"/>
  <c r="B283" i="12" l="1"/>
  <c r="A283" i="12"/>
  <c r="B257" i="6"/>
  <c r="A257" i="6"/>
  <c r="C264" i="10"/>
  <c r="D264" i="10" s="1"/>
  <c r="B265" i="10"/>
  <c r="A258" i="6" l="1"/>
  <c r="B258" i="6"/>
  <c r="C265" i="10"/>
  <c r="D265" i="10" s="1"/>
  <c r="B266" i="10"/>
  <c r="B284" i="12"/>
  <c r="A284" i="12"/>
  <c r="C266" i="10" l="1"/>
  <c r="D266" i="10" s="1"/>
  <c r="B267" i="10"/>
  <c r="B259" i="6"/>
  <c r="A259" i="6"/>
  <c r="B285" i="12"/>
  <c r="A285" i="12"/>
  <c r="B286" i="12" l="1"/>
  <c r="A286" i="12"/>
  <c r="B260" i="6"/>
  <c r="A260" i="6"/>
  <c r="C267" i="10"/>
  <c r="D267" i="10" s="1"/>
  <c r="B268" i="10"/>
  <c r="B261" i="6" l="1"/>
  <c r="A261" i="6"/>
  <c r="B269" i="10"/>
  <c r="C268" i="10"/>
  <c r="D268" i="10" s="1"/>
  <c r="B287" i="12"/>
  <c r="A287" i="12"/>
  <c r="C269" i="10" l="1"/>
  <c r="D269" i="10" s="1"/>
  <c r="B270" i="10"/>
  <c r="A288" i="12"/>
  <c r="B288" i="12"/>
  <c r="A262" i="6"/>
  <c r="B262" i="6"/>
  <c r="B263" i="6" l="1"/>
  <c r="A263" i="6"/>
  <c r="C270" i="10"/>
  <c r="D270" i="10" s="1"/>
  <c r="B271" i="10"/>
  <c r="B289" i="12"/>
  <c r="A289" i="12"/>
  <c r="C271" i="10" l="1"/>
  <c r="D271" i="10" s="1"/>
  <c r="B272" i="10"/>
  <c r="B290" i="12"/>
  <c r="A290" i="12"/>
  <c r="B264" i="6"/>
  <c r="A264" i="6"/>
  <c r="B291" i="12" l="1"/>
  <c r="A291" i="12"/>
  <c r="C272" i="10"/>
  <c r="D272" i="10" s="1"/>
  <c r="B273" i="10"/>
  <c r="B265" i="6"/>
  <c r="A265" i="6"/>
  <c r="B274" i="10" l="1"/>
  <c r="C273" i="10"/>
  <c r="D273" i="10" s="1"/>
  <c r="A266" i="6"/>
  <c r="B266" i="6"/>
  <c r="A292" i="12"/>
  <c r="B292" i="12"/>
  <c r="A267" i="6" l="1"/>
  <c r="B267" i="6"/>
  <c r="B293" i="12"/>
  <c r="A293" i="12"/>
  <c r="B275" i="10"/>
  <c r="C274" i="10"/>
  <c r="D274" i="10" s="1"/>
  <c r="B276" i="10" l="1"/>
  <c r="C275" i="10"/>
  <c r="D275" i="10" s="1"/>
  <c r="B268" i="6"/>
  <c r="A268" i="6"/>
  <c r="B294" i="12"/>
  <c r="A294" i="12"/>
  <c r="B269" i="6" l="1"/>
  <c r="A269" i="6"/>
  <c r="B295" i="12"/>
  <c r="A295" i="12"/>
  <c r="B277" i="10"/>
  <c r="C276" i="10"/>
  <c r="D276" i="10" s="1"/>
  <c r="B296" i="12" l="1"/>
  <c r="A296" i="12"/>
  <c r="C277" i="10"/>
  <c r="D277" i="10" s="1"/>
  <c r="B278" i="10"/>
  <c r="A270" i="6"/>
  <c r="B270" i="6"/>
  <c r="B271" i="6" l="1"/>
  <c r="A271" i="6"/>
  <c r="B279" i="10"/>
  <c r="C278" i="10"/>
  <c r="D278" i="10" s="1"/>
  <c r="B297" i="12"/>
  <c r="A297" i="12"/>
  <c r="B280" i="10" l="1"/>
  <c r="C279" i="10"/>
  <c r="D279" i="10" s="1"/>
  <c r="A298" i="12"/>
  <c r="B298" i="12"/>
  <c r="B272" i="6"/>
  <c r="A272" i="6"/>
  <c r="B273" i="6" l="1"/>
  <c r="A273" i="6"/>
  <c r="B299" i="12"/>
  <c r="A299" i="12"/>
  <c r="B281" i="10"/>
  <c r="C280" i="10"/>
  <c r="D280" i="10" s="1"/>
  <c r="B300" i="12" l="1"/>
  <c r="A300" i="12"/>
  <c r="C281" i="10"/>
  <c r="D281" i="10" s="1"/>
  <c r="B282" i="10"/>
  <c r="A274" i="6"/>
  <c r="B274" i="6"/>
  <c r="B275" i="6" l="1"/>
  <c r="A275" i="6"/>
  <c r="C282" i="10"/>
  <c r="D282" i="10" s="1"/>
  <c r="B283" i="10"/>
  <c r="A301" i="12"/>
  <c r="B301" i="12"/>
  <c r="B302" i="12" l="1"/>
  <c r="A302" i="12"/>
  <c r="C283" i="10"/>
  <c r="D283" i="10" s="1"/>
  <c r="B284" i="10"/>
  <c r="A276" i="6"/>
  <c r="B276" i="6"/>
  <c r="A277" i="6" l="1"/>
  <c r="B277" i="6"/>
  <c r="B285" i="10"/>
  <c r="C284" i="10"/>
  <c r="D284" i="10" s="1"/>
  <c r="B303" i="12"/>
  <c r="A303" i="12"/>
  <c r="B304" i="12" l="1"/>
  <c r="A304" i="12"/>
  <c r="A278" i="6"/>
  <c r="B278" i="6"/>
  <c r="C285" i="10"/>
  <c r="D285" i="10" s="1"/>
  <c r="B286" i="10"/>
  <c r="C286" i="10" l="1"/>
  <c r="D286" i="10" s="1"/>
  <c r="B287" i="10"/>
  <c r="B279" i="6"/>
  <c r="A279" i="6"/>
  <c r="B305" i="12"/>
  <c r="A305" i="12"/>
  <c r="B280" i="6" l="1"/>
  <c r="A280" i="6"/>
  <c r="B288" i="10"/>
  <c r="C287" i="10"/>
  <c r="D287" i="10" s="1"/>
  <c r="A306" i="12"/>
  <c r="B306" i="12"/>
  <c r="B307" i="12" l="1"/>
  <c r="A307" i="12"/>
  <c r="B289" i="10"/>
  <c r="C288" i="10"/>
  <c r="D288" i="10" s="1"/>
  <c r="B281" i="6"/>
  <c r="A281" i="6"/>
  <c r="B290" i="10" l="1"/>
  <c r="C289" i="10"/>
  <c r="D289" i="10" s="1"/>
  <c r="B282" i="6"/>
  <c r="A282" i="6"/>
  <c r="B308" i="12"/>
  <c r="A308" i="12"/>
  <c r="B283" i="6" l="1"/>
  <c r="A283" i="6"/>
  <c r="A309" i="12"/>
  <c r="B309" i="12"/>
  <c r="C290" i="10"/>
  <c r="D290" i="10" s="1"/>
  <c r="B291" i="10"/>
  <c r="C291" i="10" l="1"/>
  <c r="D291" i="10" s="1"/>
  <c r="B292" i="10"/>
  <c r="B310" i="12"/>
  <c r="A310" i="12"/>
  <c r="B284" i="6"/>
  <c r="A284" i="6"/>
  <c r="B311" i="12" l="1"/>
  <c r="A311" i="12"/>
  <c r="B293" i="10"/>
  <c r="C292" i="10"/>
  <c r="D292" i="10" s="1"/>
  <c r="A285" i="6"/>
  <c r="B285" i="6"/>
  <c r="A286" i="6" l="1"/>
  <c r="B286" i="6"/>
  <c r="B294" i="10"/>
  <c r="C293" i="10"/>
  <c r="D293" i="10" s="1"/>
  <c r="B312" i="12"/>
  <c r="A312" i="12"/>
  <c r="B313" i="12" l="1"/>
  <c r="A313" i="12"/>
  <c r="B287" i="6"/>
  <c r="A287" i="6"/>
  <c r="B295" i="10"/>
  <c r="C294" i="10"/>
  <c r="D294" i="10" s="1"/>
  <c r="B288" i="6" l="1"/>
  <c r="A288" i="6"/>
  <c r="B296" i="10"/>
  <c r="C295" i="10"/>
  <c r="D295" i="10" s="1"/>
  <c r="B314" i="12"/>
  <c r="A314" i="12"/>
  <c r="C296" i="10" l="1"/>
  <c r="D296" i="10" s="1"/>
  <c r="B297" i="10"/>
  <c r="A315" i="12"/>
  <c r="B315" i="12"/>
  <c r="B289" i="6"/>
  <c r="A289" i="6"/>
  <c r="A290" i="6" l="1"/>
  <c r="B290" i="6"/>
  <c r="B298" i="10"/>
  <c r="C297" i="10"/>
  <c r="D297" i="10" s="1"/>
  <c r="A316" i="12"/>
  <c r="B316" i="12"/>
  <c r="B317" i="12" l="1"/>
  <c r="A317" i="12"/>
  <c r="B291" i="6"/>
  <c r="A291" i="6"/>
  <c r="B299" i="10"/>
  <c r="C298" i="10"/>
  <c r="D298" i="10" s="1"/>
  <c r="B292" i="6" l="1"/>
  <c r="A292" i="6"/>
  <c r="B300" i="10"/>
  <c r="C299" i="10"/>
  <c r="D299" i="10" s="1"/>
  <c r="B318" i="12"/>
  <c r="A318" i="12"/>
  <c r="B319" i="12" l="1"/>
  <c r="A319" i="12"/>
  <c r="B301" i="10"/>
  <c r="C300" i="10"/>
  <c r="D300" i="10" s="1"/>
  <c r="B293" i="6"/>
  <c r="A293" i="6"/>
  <c r="B294" i="6" l="1"/>
  <c r="A294" i="6"/>
  <c r="C301" i="10"/>
  <c r="D301" i="10" s="1"/>
  <c r="B302" i="10"/>
  <c r="B320" i="12"/>
  <c r="A320" i="12"/>
  <c r="B321" i="12" l="1"/>
  <c r="A321" i="12"/>
  <c r="B303" i="10"/>
  <c r="C302" i="10"/>
  <c r="D302" i="10" s="1"/>
  <c r="A295" i="6"/>
  <c r="B295" i="6"/>
  <c r="B304" i="10" l="1"/>
  <c r="C303" i="10"/>
  <c r="D303" i="10" s="1"/>
  <c r="B296" i="6"/>
  <c r="A296" i="6"/>
  <c r="A322" i="12"/>
  <c r="B322" i="12"/>
  <c r="B297" i="6" l="1"/>
  <c r="A297" i="6"/>
  <c r="B323" i="12"/>
  <c r="A323" i="12"/>
  <c r="B305" i="10"/>
  <c r="C304" i="10"/>
  <c r="D304" i="10" s="1"/>
  <c r="A324" i="12" l="1"/>
  <c r="B324" i="12"/>
  <c r="B306" i="10"/>
  <c r="C305" i="10"/>
  <c r="D305" i="10" s="1"/>
  <c r="A298" i="6"/>
  <c r="B298" i="6"/>
  <c r="B299" i="6" l="1"/>
  <c r="A299" i="6"/>
  <c r="B325" i="12"/>
  <c r="A325" i="12"/>
  <c r="C306" i="10"/>
  <c r="D306" i="10" s="1"/>
  <c r="B307" i="10"/>
  <c r="B326" i="12" l="1"/>
  <c r="A326" i="12"/>
  <c r="B308" i="10"/>
  <c r="C307" i="10"/>
  <c r="D307" i="10" s="1"/>
  <c r="B300" i="6"/>
  <c r="A300" i="6"/>
  <c r="B309" i="10" l="1"/>
  <c r="C308" i="10"/>
  <c r="D308" i="10" s="1"/>
  <c r="B301" i="6"/>
  <c r="A301" i="6"/>
  <c r="B327" i="12"/>
  <c r="A327" i="12"/>
  <c r="B302" i="6" l="1"/>
  <c r="A302" i="6"/>
  <c r="B328" i="12"/>
  <c r="A328" i="12"/>
  <c r="B310" i="10"/>
  <c r="C309" i="10"/>
  <c r="D309" i="10" s="1"/>
  <c r="A329" i="12" l="1"/>
  <c r="B329" i="12"/>
  <c r="C310" i="10"/>
  <c r="D310" i="10" s="1"/>
  <c r="B311" i="10"/>
  <c r="B303" i="6"/>
  <c r="A303" i="6"/>
  <c r="A304" i="6" l="1"/>
  <c r="B304" i="6"/>
  <c r="A330" i="12"/>
  <c r="B330" i="12"/>
  <c r="C311" i="10"/>
  <c r="D311" i="10" s="1"/>
  <c r="B312" i="10"/>
  <c r="B313" i="10" l="1"/>
  <c r="C312" i="10"/>
  <c r="D312" i="10" s="1"/>
  <c r="B331" i="12"/>
  <c r="A331" i="12"/>
  <c r="B305" i="6"/>
  <c r="A305" i="6"/>
  <c r="B332" i="12" l="1"/>
  <c r="A332" i="12"/>
  <c r="A306" i="6"/>
  <c r="B306" i="6"/>
  <c r="B314" i="10"/>
  <c r="C313" i="10"/>
  <c r="D313" i="10" s="1"/>
  <c r="B307" i="6" l="1"/>
  <c r="A307" i="6"/>
  <c r="C314" i="10"/>
  <c r="D314" i="10" s="1"/>
  <c r="B315" i="10"/>
  <c r="B333" i="12"/>
  <c r="A333" i="12"/>
  <c r="C315" i="10" l="1"/>
  <c r="D315" i="10" s="1"/>
  <c r="B316" i="10"/>
  <c r="A334" i="12"/>
  <c r="B334" i="12"/>
  <c r="A308" i="6"/>
  <c r="B308" i="6"/>
  <c r="B309" i="6" l="1"/>
  <c r="A309" i="6"/>
  <c r="B317" i="10"/>
  <c r="C316" i="10"/>
  <c r="D316" i="10" s="1"/>
  <c r="B335" i="12"/>
  <c r="A335" i="12"/>
  <c r="B318" i="10" l="1"/>
  <c r="C317" i="10"/>
  <c r="D317" i="10" s="1"/>
  <c r="B336" i="12"/>
  <c r="A336" i="12"/>
  <c r="B310" i="6"/>
  <c r="A310" i="6"/>
  <c r="B337" i="12" l="1"/>
  <c r="A337" i="12"/>
  <c r="A311" i="6"/>
  <c r="B311" i="6"/>
  <c r="B319" i="10"/>
  <c r="C318" i="10"/>
  <c r="D318" i="10" s="1"/>
  <c r="A312" i="6" l="1"/>
  <c r="B312" i="6"/>
  <c r="B320" i="10"/>
  <c r="C319" i="10"/>
  <c r="D319" i="10" s="1"/>
  <c r="A338" i="12"/>
  <c r="B338" i="12"/>
  <c r="B339" i="12" l="1"/>
  <c r="A339" i="12"/>
  <c r="B313" i="6"/>
  <c r="A313" i="6"/>
  <c r="B321" i="10"/>
  <c r="C320" i="10"/>
  <c r="D320" i="10" s="1"/>
  <c r="B314" i="6" l="1"/>
  <c r="A314" i="6"/>
  <c r="B322" i="10"/>
  <c r="C321" i="10"/>
  <c r="D321" i="10" s="1"/>
  <c r="B340" i="12"/>
  <c r="A340" i="12"/>
  <c r="B323" i="10" l="1"/>
  <c r="C322" i="10"/>
  <c r="D322" i="10" s="1"/>
  <c r="B341" i="12"/>
  <c r="A341" i="12"/>
  <c r="B315" i="6"/>
  <c r="A315" i="6"/>
  <c r="B342" i="12" l="1"/>
  <c r="A342" i="12"/>
  <c r="B316" i="6"/>
  <c r="A316" i="6"/>
  <c r="C323" i="10"/>
  <c r="D323" i="10" s="1"/>
  <c r="B324" i="10"/>
  <c r="B325" i="10" l="1"/>
  <c r="C324" i="10"/>
  <c r="D324" i="10" s="1"/>
  <c r="B317" i="6"/>
  <c r="A317" i="6"/>
  <c r="B343" i="12"/>
  <c r="A343" i="12"/>
  <c r="B344" i="12" l="1"/>
  <c r="A344" i="12"/>
  <c r="B318" i="6"/>
  <c r="A318" i="6"/>
  <c r="B326" i="10"/>
  <c r="C325" i="10"/>
  <c r="D325" i="10" s="1"/>
  <c r="B319" i="6" l="1"/>
  <c r="A319" i="6"/>
  <c r="C326" i="10"/>
  <c r="D326" i="10" s="1"/>
  <c r="B327" i="10"/>
  <c r="B345" i="12"/>
  <c r="A345" i="12"/>
  <c r="C327" i="10" l="1"/>
  <c r="D327" i="10" s="1"/>
  <c r="B328" i="10"/>
  <c r="A346" i="12"/>
  <c r="B346" i="12"/>
  <c r="B320" i="6"/>
  <c r="A320" i="6"/>
  <c r="B321" i="6" l="1"/>
  <c r="A321" i="6"/>
  <c r="C328" i="10"/>
  <c r="D328" i="10" s="1"/>
  <c r="B329" i="10"/>
  <c r="B347" i="12"/>
  <c r="A347" i="12"/>
  <c r="B330" i="10" l="1"/>
  <c r="C329" i="10"/>
  <c r="D329" i="10" s="1"/>
  <c r="A348" i="12"/>
  <c r="B348" i="12"/>
  <c r="A322" i="6"/>
  <c r="B322" i="6"/>
  <c r="B323" i="6" l="1"/>
  <c r="A323" i="6"/>
  <c r="A349" i="12"/>
  <c r="B349" i="12"/>
  <c r="B331" i="10"/>
  <c r="C330" i="10"/>
  <c r="D330" i="10" s="1"/>
  <c r="B350" i="12" l="1"/>
  <c r="A350" i="12"/>
  <c r="B332" i="10"/>
  <c r="C331" i="10"/>
  <c r="D331" i="10" s="1"/>
  <c r="B324" i="6"/>
  <c r="A324" i="6"/>
  <c r="A325" i="6" l="1"/>
  <c r="B325" i="6"/>
  <c r="B333" i="10"/>
  <c r="C332" i="10"/>
  <c r="D332" i="10" s="1"/>
  <c r="B351" i="12"/>
  <c r="A351" i="12"/>
  <c r="B352" i="12" l="1"/>
  <c r="A352" i="12"/>
  <c r="B326" i="6"/>
  <c r="A326" i="6"/>
  <c r="C333" i="10"/>
  <c r="D333" i="10" s="1"/>
  <c r="B334" i="10"/>
  <c r="B335" i="10" l="1"/>
  <c r="C334" i="10"/>
  <c r="D334" i="10" s="1"/>
  <c r="B327" i="6"/>
  <c r="A327" i="6"/>
  <c r="B353" i="12"/>
  <c r="A353" i="12"/>
  <c r="B328" i="6" l="1"/>
  <c r="A328" i="6"/>
  <c r="B354" i="12"/>
  <c r="A354" i="12"/>
  <c r="B336" i="10"/>
  <c r="C335" i="10"/>
  <c r="D335" i="10" s="1"/>
  <c r="B355" i="12" l="1"/>
  <c r="A355" i="12"/>
  <c r="B337" i="10"/>
  <c r="C336" i="10"/>
  <c r="D336" i="10" s="1"/>
  <c r="B329" i="6"/>
  <c r="A329" i="6"/>
  <c r="B338" i="10" l="1"/>
  <c r="C337" i="10"/>
  <c r="D337" i="10" s="1"/>
  <c r="A330" i="6"/>
  <c r="B330" i="6"/>
  <c r="B356" i="12"/>
  <c r="A356" i="12"/>
  <c r="A357" i="12" l="1"/>
  <c r="B357" i="12"/>
  <c r="A331" i="6"/>
  <c r="B331" i="6"/>
  <c r="C338" i="10"/>
  <c r="D338" i="10" s="1"/>
  <c r="B339" i="10"/>
  <c r="C339" i="10" l="1"/>
  <c r="D339" i="10" s="1"/>
  <c r="B340" i="10"/>
  <c r="A358" i="12"/>
  <c r="B358" i="12"/>
  <c r="B332" i="6"/>
  <c r="A332" i="6"/>
  <c r="A333" i="6" l="1"/>
  <c r="B333" i="6"/>
  <c r="B341" i="10"/>
  <c r="C340" i="10"/>
  <c r="D340" i="10" s="1"/>
  <c r="B359" i="12"/>
  <c r="A359" i="12"/>
  <c r="B360" i="12" l="1"/>
  <c r="A360" i="12"/>
  <c r="B334" i="6"/>
  <c r="A334" i="6"/>
  <c r="B342" i="10"/>
  <c r="C341" i="10"/>
  <c r="D341" i="10" s="1"/>
  <c r="A335" i="6" l="1"/>
  <c r="B335" i="6"/>
  <c r="B343" i="10"/>
  <c r="C342" i="10"/>
  <c r="D342" i="10" s="1"/>
  <c r="B361" i="12"/>
  <c r="A361" i="12"/>
  <c r="A362" i="12" l="1"/>
  <c r="B362" i="12"/>
  <c r="B336" i="6"/>
  <c r="A336" i="6"/>
  <c r="C343" i="10"/>
  <c r="D343" i="10" s="1"/>
  <c r="B344" i="10"/>
  <c r="B363" i="12" l="1"/>
  <c r="A363" i="12"/>
  <c r="C344" i="10"/>
  <c r="D344" i="10" s="1"/>
  <c r="B345" i="10"/>
  <c r="B337" i="6"/>
  <c r="A337" i="6"/>
  <c r="B346" i="10" l="1"/>
  <c r="C345" i="10"/>
  <c r="D345" i="10" s="1"/>
  <c r="A338" i="6"/>
  <c r="B338" i="6"/>
  <c r="A364" i="12"/>
  <c r="B364" i="12"/>
  <c r="B365" i="12" l="1"/>
  <c r="A365" i="12"/>
  <c r="A339" i="6"/>
  <c r="B339" i="6"/>
  <c r="C346" i="10"/>
  <c r="D346" i="10" s="1"/>
  <c r="B347" i="10"/>
  <c r="C347" i="10" l="1"/>
  <c r="D347" i="10" s="1"/>
  <c r="B348" i="10"/>
  <c r="A340" i="6"/>
  <c r="B340" i="6"/>
  <c r="B366" i="12"/>
  <c r="A366" i="12"/>
  <c r="B367" i="12" l="1"/>
  <c r="A367" i="12"/>
  <c r="B349" i="10"/>
  <c r="C348" i="10"/>
  <c r="D348" i="10" s="1"/>
  <c r="B341" i="6"/>
  <c r="A341" i="6"/>
  <c r="C349" i="10" l="1"/>
  <c r="D349" i="10" s="1"/>
  <c r="B350" i="10"/>
  <c r="B342" i="6"/>
  <c r="A342" i="6"/>
  <c r="B368" i="12"/>
  <c r="A368" i="12"/>
  <c r="B343" i="6" l="1"/>
  <c r="A343" i="6"/>
  <c r="C350" i="10"/>
  <c r="D350" i="10" s="1"/>
  <c r="B351" i="10"/>
  <c r="B369" i="12"/>
  <c r="A369" i="12"/>
  <c r="B352" i="10" l="1"/>
  <c r="C351" i="10"/>
  <c r="D351" i="10" s="1"/>
  <c r="A370" i="12"/>
  <c r="B370" i="12"/>
  <c r="B344" i="6"/>
  <c r="A344" i="6"/>
  <c r="B345" i="6" l="1"/>
  <c r="A345" i="6"/>
  <c r="B371" i="12"/>
  <c r="A371" i="12"/>
  <c r="B353" i="10"/>
  <c r="C352" i="10"/>
  <c r="D352" i="10" s="1"/>
  <c r="B372" i="12" l="1"/>
  <c r="A372" i="12"/>
  <c r="C353" i="10"/>
  <c r="D353" i="10" s="1"/>
  <c r="B354" i="10"/>
  <c r="B346" i="6"/>
  <c r="A346" i="6"/>
  <c r="C354" i="10" l="1"/>
  <c r="D354" i="10" s="1"/>
  <c r="B355" i="10"/>
  <c r="B347" i="6"/>
  <c r="A347" i="6"/>
  <c r="A373" i="12"/>
  <c r="B373" i="12"/>
  <c r="B348" i="6" l="1"/>
  <c r="A348" i="6"/>
  <c r="B356" i="10"/>
  <c r="C355" i="10"/>
  <c r="D355" i="10" s="1"/>
  <c r="B374" i="12"/>
  <c r="A374" i="12"/>
  <c r="B357" i="10" l="1"/>
  <c r="C356" i="10"/>
  <c r="D356" i="10" s="1"/>
  <c r="B375" i="12"/>
  <c r="A375" i="12"/>
  <c r="A349" i="6"/>
  <c r="B349" i="6"/>
  <c r="A350" i="6" l="1"/>
  <c r="B350" i="6"/>
  <c r="B376" i="12"/>
  <c r="A376" i="12"/>
  <c r="B358" i="10"/>
  <c r="C357" i="10"/>
  <c r="D357" i="10" s="1"/>
  <c r="C358" i="10" l="1"/>
  <c r="D358" i="10" s="1"/>
  <c r="B359" i="10"/>
  <c r="A377" i="12"/>
  <c r="B377" i="12"/>
  <c r="B351" i="6"/>
  <c r="A351" i="6"/>
  <c r="B352" i="6" l="1"/>
  <c r="A352" i="6"/>
  <c r="B360" i="10"/>
  <c r="C359" i="10"/>
  <c r="D359" i="10" s="1"/>
  <c r="B378" i="12"/>
  <c r="A378" i="12"/>
  <c r="B379" i="12" l="1"/>
  <c r="A379" i="12"/>
  <c r="B361" i="10"/>
  <c r="C360" i="10"/>
  <c r="D360" i="10" s="1"/>
  <c r="B353" i="6"/>
  <c r="A353" i="6"/>
  <c r="C361" i="10" l="1"/>
  <c r="D361" i="10" s="1"/>
  <c r="B362" i="10"/>
  <c r="A354" i="6"/>
  <c r="B354" i="6"/>
  <c r="B380" i="12"/>
  <c r="A380" i="12"/>
  <c r="B381" i="12" l="1"/>
  <c r="A381" i="12"/>
  <c r="C362" i="10"/>
  <c r="D362" i="10" s="1"/>
  <c r="B363" i="10"/>
  <c r="B355" i="6"/>
  <c r="A355" i="6"/>
  <c r="B364" i="10" l="1"/>
  <c r="C363" i="10"/>
  <c r="D363" i="10" s="1"/>
  <c r="B356" i="6"/>
  <c r="A356" i="6"/>
  <c r="B382" i="12"/>
  <c r="A382" i="12"/>
  <c r="B383" i="12" l="1"/>
  <c r="A383" i="12"/>
  <c r="B357" i="6"/>
  <c r="A357" i="6"/>
  <c r="B365" i="10"/>
  <c r="C364" i="10"/>
  <c r="D364" i="10" s="1"/>
  <c r="A358" i="6" l="1"/>
  <c r="B358" i="6"/>
  <c r="B366" i="10"/>
  <c r="C365" i="10"/>
  <c r="D365" i="10" s="1"/>
  <c r="A384" i="12"/>
  <c r="B384" i="12"/>
  <c r="B385" i="12" l="1"/>
  <c r="A385" i="12"/>
  <c r="B359" i="6"/>
  <c r="A359" i="6"/>
  <c r="B367" i="10"/>
  <c r="C366" i="10"/>
  <c r="D366" i="10" s="1"/>
  <c r="A360" i="6" l="1"/>
  <c r="B360" i="6"/>
  <c r="B368" i="10"/>
  <c r="C367" i="10"/>
  <c r="D367" i="10" s="1"/>
  <c r="A386" i="12"/>
  <c r="B386" i="12"/>
  <c r="B361" i="6" l="1"/>
  <c r="A361" i="6"/>
  <c r="B387" i="12"/>
  <c r="A387" i="12"/>
  <c r="C368" i="10"/>
  <c r="D368" i="10" s="1"/>
  <c r="B369" i="10"/>
  <c r="B388" i="12" l="1"/>
  <c r="A388" i="12"/>
  <c r="C369" i="10"/>
  <c r="D369" i="10" s="1"/>
  <c r="B370" i="10"/>
  <c r="A362" i="6"/>
  <c r="B362" i="6"/>
  <c r="B363" i="6" l="1"/>
  <c r="A363" i="6"/>
  <c r="C370" i="10"/>
  <c r="D370" i="10" s="1"/>
  <c r="B371" i="10"/>
  <c r="B389" i="12"/>
  <c r="A389" i="12"/>
  <c r="C371" i="10" l="1"/>
  <c r="D371" i="10" s="1"/>
  <c r="B372" i="10"/>
  <c r="B390" i="12"/>
  <c r="A390" i="12"/>
  <c r="B364" i="6"/>
  <c r="A364" i="6"/>
  <c r="B391" i="12" l="1"/>
  <c r="A391" i="12"/>
  <c r="B373" i="10"/>
  <c r="C372" i="10"/>
  <c r="D372" i="10" s="1"/>
  <c r="B365" i="6"/>
  <c r="A365" i="6"/>
  <c r="B374" i="10" l="1"/>
  <c r="C373" i="10"/>
  <c r="D373" i="10" s="1"/>
  <c r="B366" i="6"/>
  <c r="A366" i="6"/>
  <c r="A392" i="12"/>
  <c r="B392" i="12"/>
  <c r="B393" i="12" l="1"/>
  <c r="A393" i="12"/>
  <c r="A367" i="6"/>
  <c r="B367" i="6"/>
  <c r="C374" i="10"/>
  <c r="D374" i="10" s="1"/>
  <c r="B375" i="10"/>
  <c r="B368" i="6" l="1"/>
  <c r="A368" i="6"/>
  <c r="C375" i="10"/>
  <c r="D375" i="10" s="1"/>
  <c r="B376" i="10"/>
  <c r="A394" i="12"/>
  <c r="B394" i="12"/>
  <c r="B395" i="12" l="1"/>
  <c r="A395" i="12"/>
  <c r="C376" i="10"/>
  <c r="D376" i="10" s="1"/>
  <c r="B377" i="10"/>
  <c r="B369" i="6"/>
  <c r="A369" i="6"/>
  <c r="C377" i="10" l="1"/>
  <c r="D377" i="10" s="1"/>
  <c r="B378" i="10"/>
  <c r="A370" i="6"/>
  <c r="B370" i="6"/>
  <c r="B396" i="12"/>
  <c r="A396" i="12"/>
  <c r="B397" i="12" l="1"/>
  <c r="A397" i="12"/>
  <c r="C378" i="10"/>
  <c r="D378" i="10" s="1"/>
  <c r="B379" i="10"/>
  <c r="A371" i="6"/>
  <c r="B371" i="6"/>
  <c r="B372" i="6" l="1"/>
  <c r="A372" i="6"/>
  <c r="C379" i="10"/>
  <c r="D379" i="10" s="1"/>
  <c r="B380" i="10"/>
  <c r="A398" i="12"/>
  <c r="B398" i="12"/>
  <c r="B381" i="10" l="1"/>
  <c r="C380" i="10"/>
  <c r="D380" i="10" s="1"/>
  <c r="B399" i="12"/>
  <c r="A399" i="12"/>
  <c r="B373" i="6"/>
  <c r="A373" i="6"/>
  <c r="A374" i="6" l="1"/>
  <c r="B374" i="6"/>
  <c r="B400" i="12"/>
  <c r="A400" i="12"/>
  <c r="B382" i="10"/>
  <c r="C381" i="10"/>
  <c r="D381" i="10" s="1"/>
  <c r="C382" i="10" l="1"/>
  <c r="D382" i="10" s="1"/>
  <c r="B383" i="10"/>
  <c r="B375" i="6"/>
  <c r="A375" i="6"/>
  <c r="B401" i="12"/>
  <c r="A401" i="12"/>
  <c r="B376" i="6" l="1"/>
  <c r="A376" i="6"/>
  <c r="B384" i="10"/>
  <c r="C383" i="10"/>
  <c r="D383" i="10" s="1"/>
  <c r="A402" i="12"/>
  <c r="B402" i="12"/>
  <c r="B403" i="12" l="1"/>
  <c r="A403" i="12"/>
  <c r="B385" i="10"/>
  <c r="C384" i="10"/>
  <c r="D384" i="10" s="1"/>
  <c r="B377" i="6"/>
  <c r="A377" i="6"/>
  <c r="C385" i="10" l="1"/>
  <c r="D385" i="10" s="1"/>
  <c r="B386" i="10"/>
  <c r="A378" i="6"/>
  <c r="B378" i="6"/>
  <c r="B404" i="12"/>
  <c r="A404" i="12"/>
  <c r="B405" i="12" l="1"/>
  <c r="A405" i="12"/>
  <c r="C386" i="10"/>
  <c r="D386" i="10" s="1"/>
  <c r="B387" i="10"/>
  <c r="B379" i="6"/>
  <c r="A379" i="6"/>
  <c r="B388" i="10" l="1"/>
  <c r="C387" i="10"/>
  <c r="D387" i="10" s="1"/>
  <c r="B380" i="6"/>
  <c r="A380" i="6"/>
  <c r="B406" i="12"/>
  <c r="A406" i="12"/>
  <c r="B407" i="12" l="1"/>
  <c r="A407" i="12"/>
  <c r="A381" i="6"/>
  <c r="B381" i="6"/>
  <c r="B389" i="10"/>
  <c r="C388" i="10"/>
  <c r="D388" i="10" s="1"/>
  <c r="B382" i="6" l="1"/>
  <c r="A382" i="6"/>
  <c r="B390" i="10"/>
  <c r="C389" i="10"/>
  <c r="D389" i="10" s="1"/>
  <c r="B408" i="12"/>
  <c r="A408" i="12"/>
  <c r="B391" i="10" l="1"/>
  <c r="C390" i="10"/>
  <c r="D390" i="10" s="1"/>
  <c r="B409" i="12"/>
  <c r="A409" i="12"/>
  <c r="B383" i="6"/>
  <c r="A383" i="6"/>
  <c r="A410" i="12" l="1"/>
  <c r="B410" i="12"/>
  <c r="B384" i="6"/>
  <c r="A384" i="6"/>
  <c r="B392" i="10"/>
  <c r="C391" i="10"/>
  <c r="D391" i="10" s="1"/>
  <c r="C392" i="10" l="1"/>
  <c r="D392" i="10" s="1"/>
  <c r="B393" i="10"/>
  <c r="A411" i="12"/>
  <c r="B411" i="12"/>
  <c r="B385" i="6"/>
  <c r="A385" i="6"/>
  <c r="A386" i="6" l="1"/>
  <c r="B386" i="6"/>
  <c r="C393" i="10"/>
  <c r="D393" i="10" s="1"/>
  <c r="B394" i="10"/>
  <c r="A412" i="12"/>
  <c r="B412" i="12"/>
  <c r="C394" i="10" l="1"/>
  <c r="D394" i="10" s="1"/>
  <c r="B395" i="10"/>
  <c r="B387" i="6"/>
  <c r="A387" i="6"/>
  <c r="A413" i="12"/>
  <c r="B413" i="12"/>
  <c r="A388" i="6" l="1"/>
  <c r="B388" i="6"/>
  <c r="C395" i="10"/>
  <c r="D395" i="10" s="1"/>
  <c r="B396" i="10"/>
  <c r="B414" i="12"/>
  <c r="A414" i="12"/>
  <c r="B415" i="12" l="1"/>
  <c r="A415" i="12"/>
  <c r="B397" i="10"/>
  <c r="C396" i="10"/>
  <c r="D396" i="10" s="1"/>
  <c r="B389" i="6"/>
  <c r="A389" i="6"/>
  <c r="C397" i="10" l="1"/>
  <c r="D397" i="10" s="1"/>
  <c r="B398" i="10"/>
  <c r="A390" i="6"/>
  <c r="B390" i="6"/>
  <c r="B416" i="12"/>
  <c r="A416" i="12"/>
  <c r="B417" i="12" l="1"/>
  <c r="A417" i="12"/>
  <c r="C398" i="10"/>
  <c r="D398" i="10" s="1"/>
  <c r="B399" i="10"/>
  <c r="B391" i="6"/>
  <c r="A391" i="6"/>
  <c r="C399" i="10" l="1"/>
  <c r="D399" i="10" s="1"/>
  <c r="B400" i="10"/>
  <c r="A392" i="6"/>
  <c r="B392" i="6"/>
  <c r="B418" i="12"/>
  <c r="A418" i="12"/>
  <c r="B419" i="12" l="1"/>
  <c r="A419" i="12"/>
  <c r="C400" i="10"/>
  <c r="D400" i="10" s="1"/>
  <c r="B401" i="10"/>
  <c r="B393" i="6"/>
  <c r="A393" i="6"/>
  <c r="A394" i="6" l="1"/>
  <c r="B394" i="6"/>
  <c r="B402" i="10"/>
  <c r="C401" i="10"/>
  <c r="D401" i="10" s="1"/>
  <c r="A420" i="12"/>
  <c r="B420" i="12"/>
  <c r="A395" i="6" l="1"/>
  <c r="B395" i="6"/>
  <c r="B421" i="12"/>
  <c r="A421" i="12"/>
  <c r="B403" i="10"/>
  <c r="C402" i="10"/>
  <c r="D402" i="10" s="1"/>
  <c r="B404" i="10" l="1"/>
  <c r="C403" i="10"/>
  <c r="D403" i="10" s="1"/>
  <c r="B396" i="6"/>
  <c r="A396" i="6"/>
  <c r="B422" i="12"/>
  <c r="A422" i="12"/>
  <c r="B397" i="6" l="1"/>
  <c r="A397" i="6"/>
  <c r="B423" i="12"/>
  <c r="A423" i="12"/>
  <c r="B405" i="10"/>
  <c r="C404" i="10"/>
  <c r="D404" i="10" s="1"/>
  <c r="B424" i="12" l="1"/>
  <c r="A424" i="12"/>
  <c r="C405" i="10"/>
  <c r="D405" i="10" s="1"/>
  <c r="B406" i="10"/>
  <c r="A398" i="6"/>
  <c r="B398" i="6"/>
  <c r="B399" i="6" l="1"/>
  <c r="A399" i="6"/>
  <c r="B407" i="10"/>
  <c r="C406" i="10"/>
  <c r="D406" i="10" s="1"/>
  <c r="B425" i="12"/>
  <c r="A425" i="12"/>
  <c r="B408" i="10" l="1"/>
  <c r="C407" i="10"/>
  <c r="D407" i="10" s="1"/>
  <c r="A426" i="12"/>
  <c r="B426" i="12"/>
  <c r="B400" i="6"/>
  <c r="A400" i="6"/>
  <c r="B401" i="6" l="1"/>
  <c r="A401" i="6"/>
  <c r="B427" i="12"/>
  <c r="A427" i="12"/>
  <c r="C408" i="10"/>
  <c r="D408" i="10" s="1"/>
  <c r="B409" i="10"/>
  <c r="B428" i="12" l="1"/>
  <c r="A428" i="12"/>
  <c r="C409" i="10"/>
  <c r="D409" i="10" s="1"/>
  <c r="B410" i="10"/>
  <c r="A402" i="6"/>
  <c r="B402" i="6"/>
  <c r="C410" i="10" l="1"/>
  <c r="D410" i="10" s="1"/>
  <c r="B411" i="10"/>
  <c r="A403" i="6"/>
  <c r="B403" i="6"/>
  <c r="B429" i="12"/>
  <c r="A429" i="12"/>
  <c r="C411" i="10" l="1"/>
  <c r="D411" i="10" s="1"/>
  <c r="B412" i="10"/>
  <c r="B430" i="12"/>
  <c r="A430" i="12"/>
  <c r="A404" i="6"/>
  <c r="B404" i="6"/>
  <c r="B413" i="10" l="1"/>
  <c r="C412" i="10"/>
  <c r="D412" i="10" s="1"/>
  <c r="B405" i="6"/>
  <c r="A405" i="6"/>
  <c r="A431" i="12"/>
  <c r="B431" i="12"/>
  <c r="B432" i="12" l="1"/>
  <c r="A432" i="12"/>
  <c r="A406" i="6"/>
  <c r="B406" i="6"/>
  <c r="C413" i="10"/>
  <c r="D413" i="10" s="1"/>
  <c r="B414" i="10"/>
  <c r="C414" i="10" l="1"/>
  <c r="D414" i="10" s="1"/>
  <c r="B415" i="10"/>
  <c r="B407" i="6"/>
  <c r="A407" i="6"/>
  <c r="A433" i="12"/>
  <c r="B433" i="12"/>
  <c r="B408" i="6" l="1"/>
  <c r="A408" i="6"/>
  <c r="B416" i="10"/>
  <c r="C415" i="10"/>
  <c r="D415" i="10" s="1"/>
  <c r="A434" i="12"/>
  <c r="B434" i="12"/>
  <c r="B417" i="10" l="1"/>
  <c r="C416" i="10"/>
  <c r="D416" i="10" s="1"/>
  <c r="B435" i="12"/>
  <c r="A435" i="12"/>
  <c r="B409" i="6"/>
  <c r="A409" i="6"/>
  <c r="B436" i="12" l="1"/>
  <c r="A436" i="12"/>
  <c r="B410" i="6"/>
  <c r="A410" i="6"/>
  <c r="B418" i="10"/>
  <c r="C417" i="10"/>
  <c r="D417" i="10" s="1"/>
  <c r="B411" i="6" l="1"/>
  <c r="A411" i="6"/>
  <c r="C418" i="10"/>
  <c r="D418" i="10" s="1"/>
  <c r="B419" i="10"/>
  <c r="B437" i="12"/>
  <c r="A437" i="12"/>
  <c r="B438" i="12" l="1"/>
  <c r="A438" i="12"/>
  <c r="C419" i="10"/>
  <c r="D419" i="10" s="1"/>
  <c r="B420" i="10"/>
  <c r="A412" i="6"/>
  <c r="B412" i="6"/>
  <c r="B413" i="6" l="1"/>
  <c r="A413" i="6"/>
  <c r="B421" i="10"/>
  <c r="C420" i="10"/>
  <c r="D420" i="10" s="1"/>
  <c r="A439" i="12"/>
  <c r="B439" i="12"/>
  <c r="B422" i="10" l="1"/>
  <c r="C421" i="10"/>
  <c r="D421" i="10" s="1"/>
  <c r="B440" i="12"/>
  <c r="A440" i="12"/>
  <c r="A414" i="6"/>
  <c r="B414" i="6"/>
  <c r="A441" i="12" l="1"/>
  <c r="B441" i="12"/>
  <c r="B415" i="6"/>
  <c r="A415" i="6"/>
  <c r="B423" i="10"/>
  <c r="C422" i="10"/>
  <c r="D422" i="10" s="1"/>
  <c r="B424" i="10" l="1"/>
  <c r="C423" i="10"/>
  <c r="D423" i="10" s="1"/>
  <c r="A442" i="12"/>
  <c r="B442" i="12"/>
  <c r="B416" i="6"/>
  <c r="A416" i="6"/>
  <c r="B443" i="12" l="1"/>
  <c r="A443" i="12"/>
  <c r="B417" i="6"/>
  <c r="A417" i="6"/>
  <c r="C424" i="10"/>
  <c r="D424" i="10" s="1"/>
  <c r="B425" i="10"/>
  <c r="B426" i="10" l="1"/>
  <c r="C425" i="10"/>
  <c r="D425" i="10" s="1"/>
  <c r="B418" i="6"/>
  <c r="A418" i="6"/>
  <c r="A444" i="12"/>
  <c r="B444" i="12"/>
  <c r="B445" i="12" l="1"/>
  <c r="A445" i="12"/>
  <c r="B419" i="6"/>
  <c r="A419" i="6"/>
  <c r="B427" i="10"/>
  <c r="C426" i="10"/>
  <c r="D426" i="10" s="1"/>
  <c r="B428" i="10" l="1"/>
  <c r="C427" i="10"/>
  <c r="D427" i="10" s="1"/>
  <c r="A420" i="6"/>
  <c r="B420" i="6"/>
  <c r="B446" i="12"/>
  <c r="A446" i="12"/>
  <c r="A447" i="12" l="1"/>
  <c r="B447" i="12"/>
  <c r="B421" i="6"/>
  <c r="A421" i="6"/>
  <c r="B429" i="10"/>
  <c r="C428" i="10"/>
  <c r="D428" i="10" s="1"/>
  <c r="C429" i="10" l="1"/>
  <c r="D429" i="10" s="1"/>
  <c r="B430" i="10"/>
  <c r="B448" i="12"/>
  <c r="A448" i="12"/>
  <c r="A422" i="6"/>
  <c r="B422" i="6"/>
  <c r="B423" i="6" l="1"/>
  <c r="A423" i="6"/>
  <c r="B431" i="10"/>
  <c r="C430" i="10"/>
  <c r="D430" i="10" s="1"/>
  <c r="A449" i="12"/>
  <c r="B449" i="12"/>
  <c r="B432" i="10" l="1"/>
  <c r="C431" i="10"/>
  <c r="D431" i="10" s="1"/>
  <c r="A450" i="12"/>
  <c r="B450" i="12"/>
  <c r="B424" i="6"/>
  <c r="A424" i="6"/>
  <c r="B425" i="6" l="1"/>
  <c r="A425" i="6"/>
  <c r="B451" i="12"/>
  <c r="A451" i="12"/>
  <c r="B433" i="10"/>
  <c r="C432" i="10"/>
  <c r="D432" i="10" s="1"/>
  <c r="B452" i="12" l="1"/>
  <c r="A452" i="12"/>
  <c r="C433" i="10"/>
  <c r="D433" i="10" s="1"/>
  <c r="B434" i="10"/>
  <c r="A426" i="6"/>
  <c r="B426" i="6"/>
  <c r="B427" i="6" l="1"/>
  <c r="A427" i="6"/>
  <c r="C434" i="10"/>
  <c r="D434" i="10" s="1"/>
  <c r="B435" i="10"/>
  <c r="A453" i="12"/>
  <c r="B453" i="12"/>
  <c r="A454" i="12" l="1"/>
  <c r="B454" i="12"/>
  <c r="C435" i="10"/>
  <c r="D435" i="10" s="1"/>
  <c r="B436" i="10"/>
  <c r="B428" i="6"/>
  <c r="A428" i="6"/>
  <c r="B437" i="10" l="1"/>
  <c r="C436" i="10"/>
  <c r="D436" i="10" s="1"/>
  <c r="B429" i="6"/>
  <c r="A429" i="6"/>
  <c r="A455" i="12"/>
  <c r="B455" i="12"/>
  <c r="B430" i="6" l="1"/>
  <c r="A430" i="6"/>
  <c r="B456" i="12"/>
  <c r="A456" i="12"/>
  <c r="B438" i="10"/>
  <c r="C437" i="10"/>
  <c r="D437" i="10" s="1"/>
  <c r="A457" i="12" l="1"/>
  <c r="B457" i="12"/>
  <c r="C438" i="10"/>
  <c r="D438" i="10" s="1"/>
  <c r="B439" i="10"/>
  <c r="A431" i="6"/>
  <c r="B431" i="6"/>
  <c r="B432" i="6" l="1"/>
  <c r="A432" i="6"/>
  <c r="A458" i="12"/>
  <c r="B458" i="12"/>
  <c r="C439" i="10"/>
  <c r="D439" i="10" s="1"/>
  <c r="B440" i="10"/>
  <c r="B459" i="12" l="1"/>
  <c r="A459" i="12"/>
  <c r="B441" i="10"/>
  <c r="C440" i="10"/>
  <c r="D440" i="10" s="1"/>
  <c r="B433" i="6"/>
  <c r="A433" i="6"/>
  <c r="A434" i="6" l="1"/>
  <c r="B434" i="6"/>
  <c r="B442" i="10"/>
  <c r="C441" i="10"/>
  <c r="D441" i="10" s="1"/>
  <c r="B460" i="12"/>
  <c r="A460" i="12"/>
  <c r="C442" i="10" l="1"/>
  <c r="D442" i="10" s="1"/>
  <c r="B443" i="10"/>
  <c r="B461" i="12"/>
  <c r="A461" i="12"/>
  <c r="A435" i="6"/>
  <c r="B435" i="6"/>
  <c r="A462" i="12" l="1"/>
  <c r="B462" i="12"/>
  <c r="C443" i="10"/>
  <c r="D443" i="10" s="1"/>
  <c r="B444" i="10"/>
  <c r="B436" i="6"/>
  <c r="A436" i="6"/>
  <c r="B437" i="6" l="1"/>
  <c r="A437" i="6"/>
  <c r="A463" i="12"/>
  <c r="B463" i="12"/>
  <c r="B445" i="10"/>
  <c r="C444" i="10"/>
  <c r="D444" i="10" s="1"/>
  <c r="B464" i="12" l="1"/>
  <c r="A464" i="12"/>
  <c r="B446" i="10"/>
  <c r="C445" i="10"/>
  <c r="D445" i="10" s="1"/>
  <c r="B438" i="6"/>
  <c r="A438" i="6"/>
  <c r="B447" i="10" l="1"/>
  <c r="C446" i="10"/>
  <c r="D446" i="10" s="1"/>
  <c r="B439" i="6"/>
  <c r="A439" i="6"/>
  <c r="A465" i="12"/>
  <c r="B465" i="12"/>
  <c r="A440" i="6" l="1"/>
  <c r="B440" i="6"/>
  <c r="A466" i="12"/>
  <c r="B466" i="12"/>
  <c r="C447" i="10"/>
  <c r="D447" i="10" s="1"/>
  <c r="B448" i="10"/>
  <c r="B449" i="10" l="1"/>
  <c r="C448" i="10"/>
  <c r="D448" i="10" s="1"/>
  <c r="B441" i="6"/>
  <c r="A441" i="6"/>
  <c r="B467" i="12"/>
  <c r="A467" i="12"/>
  <c r="A442" i="6" l="1"/>
  <c r="B442" i="6"/>
  <c r="A468" i="12"/>
  <c r="B468" i="12"/>
  <c r="B450" i="10"/>
  <c r="C449" i="10"/>
  <c r="D449" i="10" s="1"/>
  <c r="A469" i="12" l="1"/>
  <c r="B469" i="12"/>
  <c r="B443" i="6"/>
  <c r="A443" i="6"/>
  <c r="C450" i="10"/>
  <c r="D450" i="10" s="1"/>
  <c r="B451" i="10"/>
  <c r="A444" i="6" l="1"/>
  <c r="B444" i="6"/>
  <c r="C451" i="10"/>
  <c r="D451" i="10" s="1"/>
  <c r="B452" i="10"/>
  <c r="A470" i="12"/>
  <c r="B470" i="12"/>
  <c r="B453" i="10" l="1"/>
  <c r="C452" i="10"/>
  <c r="D452" i="10" s="1"/>
  <c r="B445" i="6"/>
  <c r="A445" i="6"/>
  <c r="A471" i="12"/>
  <c r="B471" i="12"/>
  <c r="B446" i="6" l="1"/>
  <c r="A446" i="6"/>
  <c r="B472" i="12"/>
  <c r="A472" i="12"/>
  <c r="B454" i="10"/>
  <c r="C453" i="10"/>
  <c r="D453" i="10" s="1"/>
  <c r="B473" i="12" l="1"/>
  <c r="A473" i="12"/>
  <c r="C454" i="10"/>
  <c r="D454" i="10" s="1"/>
  <c r="B455" i="10"/>
  <c r="B447" i="6"/>
  <c r="A447" i="6"/>
  <c r="C455" i="10" l="1"/>
  <c r="D455" i="10" s="1"/>
  <c r="B456" i="10"/>
  <c r="B448" i="6"/>
  <c r="A448" i="6"/>
  <c r="A474" i="12"/>
  <c r="B474" i="12"/>
  <c r="B449" i="6" l="1"/>
  <c r="A449" i="6"/>
  <c r="B457" i="10"/>
  <c r="C456" i="10"/>
  <c r="D456" i="10" s="1"/>
  <c r="B475" i="12"/>
  <c r="A475" i="12"/>
  <c r="B458" i="10" l="1"/>
  <c r="C457" i="10"/>
  <c r="D457" i="10" s="1"/>
  <c r="A476" i="12"/>
  <c r="B476" i="12"/>
  <c r="B450" i="6"/>
  <c r="A450" i="6"/>
  <c r="A477" i="12" l="1"/>
  <c r="B477" i="12"/>
  <c r="A451" i="6"/>
  <c r="B451" i="6"/>
  <c r="C458" i="10"/>
  <c r="D458" i="10" s="1"/>
  <c r="B459" i="10"/>
  <c r="C459" i="10" l="1"/>
  <c r="D459" i="10" s="1"/>
  <c r="B460" i="10"/>
  <c r="B478" i="12"/>
  <c r="A478" i="12"/>
  <c r="B452" i="6"/>
  <c r="A452" i="6"/>
  <c r="A479" i="12" l="1"/>
  <c r="B479" i="12"/>
  <c r="B453" i="6"/>
  <c r="A453" i="6"/>
  <c r="B461" i="10"/>
  <c r="C460" i="10"/>
  <c r="D460" i="10" s="1"/>
  <c r="A454" i="6" l="1"/>
  <c r="B454" i="6"/>
  <c r="B480" i="12"/>
  <c r="A480" i="12"/>
  <c r="C461" i="10"/>
  <c r="D461" i="10" s="1"/>
  <c r="B462" i="10"/>
  <c r="B463" i="10" l="1"/>
  <c r="C462" i="10"/>
  <c r="D462" i="10" s="1"/>
  <c r="B455" i="6"/>
  <c r="A455" i="6"/>
  <c r="A481" i="12"/>
  <c r="B481" i="12"/>
  <c r="B456" i="6" l="1"/>
  <c r="A456" i="6"/>
  <c r="A482" i="12"/>
  <c r="B482" i="12"/>
  <c r="B464" i="10"/>
  <c r="C463" i="10"/>
  <c r="D463" i="10" s="1"/>
  <c r="B483" i="12" l="1"/>
  <c r="A483" i="12"/>
  <c r="B465" i="10"/>
  <c r="C464" i="10"/>
  <c r="D464" i="10" s="1"/>
  <c r="B457" i="6"/>
  <c r="A457" i="6"/>
  <c r="B466" i="10" l="1"/>
  <c r="C465" i="10"/>
  <c r="D465" i="10" s="1"/>
  <c r="A458" i="6"/>
  <c r="B458" i="6"/>
  <c r="B484" i="12"/>
  <c r="A484" i="12"/>
  <c r="A459" i="6" l="1"/>
  <c r="B459" i="6"/>
  <c r="B485" i="12"/>
  <c r="A485" i="12"/>
  <c r="C466" i="10"/>
  <c r="D466" i="10" s="1"/>
  <c r="B467" i="10"/>
  <c r="A486" i="12" l="1"/>
  <c r="B486" i="12"/>
  <c r="C467" i="10"/>
  <c r="D467" i="10" s="1"/>
  <c r="B468" i="10"/>
  <c r="B460" i="6"/>
  <c r="A460" i="6"/>
  <c r="B469" i="10" l="1"/>
  <c r="C468" i="10"/>
  <c r="D468" i="10" s="1"/>
  <c r="B461" i="6"/>
  <c r="A461" i="6"/>
  <c r="A487" i="12"/>
  <c r="B487" i="12"/>
  <c r="B462" i="6" l="1"/>
  <c r="A462" i="6"/>
  <c r="B488" i="12"/>
  <c r="A488" i="12"/>
  <c r="B470" i="10"/>
  <c r="C469" i="10"/>
  <c r="D469" i="10" s="1"/>
  <c r="B489" i="12" l="1"/>
  <c r="A489" i="12"/>
  <c r="B471" i="10"/>
  <c r="C470" i="10"/>
  <c r="D470" i="10" s="1"/>
  <c r="B463" i="6"/>
  <c r="A463" i="6"/>
  <c r="B464" i="6" l="1"/>
  <c r="A464" i="6"/>
  <c r="B472" i="10"/>
  <c r="C471" i="10"/>
  <c r="D471" i="10" s="1"/>
  <c r="A490" i="12"/>
  <c r="B490" i="12"/>
  <c r="C472" i="10" l="1"/>
  <c r="D472" i="10" s="1"/>
  <c r="B473" i="10"/>
  <c r="B491" i="12"/>
  <c r="A491" i="12"/>
  <c r="B465" i="6"/>
  <c r="A465" i="6"/>
  <c r="B492" i="12" l="1"/>
  <c r="A492" i="12"/>
  <c r="B474" i="10"/>
  <c r="C473" i="10"/>
  <c r="D473" i="10" s="1"/>
  <c r="A466" i="6"/>
  <c r="B466" i="6"/>
  <c r="B467" i="6" l="1"/>
  <c r="A467" i="6"/>
  <c r="C474" i="10"/>
  <c r="D474" i="10" s="1"/>
  <c r="B475" i="10"/>
  <c r="B493" i="12"/>
  <c r="A493" i="12"/>
  <c r="C475" i="10" l="1"/>
  <c r="D475" i="10" s="1"/>
  <c r="B476" i="10"/>
  <c r="B494" i="12"/>
  <c r="A494" i="12"/>
  <c r="A468" i="6"/>
  <c r="B468" i="6"/>
  <c r="A469" i="6" l="1"/>
  <c r="B469" i="6"/>
  <c r="A495" i="12"/>
  <c r="B495" i="12"/>
  <c r="B477" i="10"/>
  <c r="C476" i="10"/>
  <c r="D476" i="10" s="1"/>
  <c r="B496" i="12" l="1"/>
  <c r="A496" i="12"/>
  <c r="B470" i="6"/>
  <c r="A470" i="6"/>
  <c r="B478" i="10"/>
  <c r="C477" i="10"/>
  <c r="D477" i="10" s="1"/>
  <c r="B471" i="6" l="1"/>
  <c r="A471" i="6"/>
  <c r="B479" i="10"/>
  <c r="C478" i="10"/>
  <c r="D478" i="10" s="1"/>
  <c r="B497" i="12"/>
  <c r="A497" i="12"/>
  <c r="C479" i="10" l="1"/>
  <c r="D479" i="10" s="1"/>
  <c r="B480" i="10"/>
  <c r="A498" i="12"/>
  <c r="B498" i="12"/>
  <c r="B472" i="6"/>
  <c r="A472" i="6"/>
  <c r="B473" i="6" l="1"/>
  <c r="A473" i="6"/>
  <c r="B481" i="10"/>
  <c r="C480" i="10"/>
  <c r="D480" i="10" s="1"/>
  <c r="B499" i="12"/>
  <c r="A499" i="12"/>
  <c r="B500" i="12" l="1"/>
  <c r="A500" i="12"/>
  <c r="B482" i="10"/>
  <c r="C481" i="10"/>
  <c r="D481" i="10" s="1"/>
  <c r="B474" i="6"/>
  <c r="A474" i="6"/>
  <c r="C482" i="10" l="1"/>
  <c r="D482" i="10" s="1"/>
  <c r="B483" i="10"/>
  <c r="A475" i="6"/>
  <c r="B475" i="6"/>
  <c r="B501" i="12"/>
  <c r="A501" i="12"/>
  <c r="A502" i="12" l="1"/>
  <c r="B502" i="12"/>
  <c r="C483" i="10"/>
  <c r="D483" i="10" s="1"/>
  <c r="B484" i="10"/>
  <c r="A476" i="6"/>
  <c r="B476" i="6"/>
  <c r="A477" i="6" l="1"/>
  <c r="B477" i="6"/>
  <c r="A503" i="12"/>
  <c r="B503" i="12"/>
  <c r="B485" i="10"/>
  <c r="C484" i="10"/>
  <c r="D484" i="10" s="1"/>
  <c r="B504" i="12" l="1"/>
  <c r="A504" i="12"/>
  <c r="B478" i="6"/>
  <c r="A478" i="6"/>
  <c r="B486" i="10"/>
  <c r="C485" i="10"/>
  <c r="D485" i="10" s="1"/>
  <c r="B479" i="6" l="1"/>
  <c r="A479" i="6"/>
  <c r="B487" i="10"/>
  <c r="C486" i="10"/>
  <c r="D486" i="10" s="1"/>
  <c r="A505" i="12"/>
  <c r="B505" i="12"/>
  <c r="A506" i="12" l="1"/>
  <c r="B506" i="12"/>
  <c r="C487" i="10"/>
  <c r="D487" i="10" s="1"/>
  <c r="B488" i="10"/>
  <c r="C488" i="10" s="1"/>
  <c r="D488" i="10" s="1"/>
  <c r="B480" i="6"/>
  <c r="A480" i="6"/>
  <c r="B481" i="6" l="1"/>
  <c r="A481" i="6"/>
  <c r="B507" i="12"/>
  <c r="A507" i="12"/>
  <c r="A508" i="12" l="1"/>
  <c r="B508" i="12"/>
  <c r="A482" i="6"/>
  <c r="B482" i="6"/>
  <c r="B509" i="12" l="1"/>
  <c r="A509" i="12"/>
  <c r="B483" i="6"/>
  <c r="A483" i="6"/>
  <c r="A484" i="6" l="1"/>
  <c r="B484" i="6"/>
  <c r="A510" i="12"/>
  <c r="B510" i="12"/>
  <c r="A511" i="12" l="1"/>
  <c r="B511" i="12"/>
  <c r="B485" i="6"/>
  <c r="A485" i="6"/>
  <c r="A486" i="6" l="1"/>
  <c r="B486" i="6"/>
  <c r="B512" i="12"/>
  <c r="A512" i="12"/>
  <c r="B487" i="6" l="1"/>
  <c r="A487" i="6"/>
  <c r="A513" i="12"/>
  <c r="B513" i="12"/>
  <c r="A514" i="12" l="1"/>
  <c r="B514" i="12"/>
  <c r="B488" i="6"/>
  <c r="A488" i="6"/>
  <c r="B515" i="12" l="1"/>
  <c r="A515" i="12"/>
  <c r="B489" i="6"/>
  <c r="A489" i="6"/>
  <c r="A490" i="6" l="1"/>
  <c r="B490" i="6"/>
  <c r="B516" i="12"/>
  <c r="A516" i="12"/>
  <c r="B517" i="12" l="1"/>
  <c r="A517" i="12"/>
  <c r="B491" i="6"/>
  <c r="A491" i="6"/>
  <c r="B492" i="6" l="1"/>
  <c r="A492" i="6"/>
  <c r="A518" i="12"/>
  <c r="B518" i="12"/>
  <c r="A519" i="12" l="1"/>
  <c r="B519" i="12"/>
  <c r="B493" i="6"/>
  <c r="A493" i="6"/>
  <c r="B494" i="6" l="1"/>
  <c r="A494" i="6"/>
  <c r="B520" i="12"/>
  <c r="A520" i="12"/>
  <c r="B521" i="12" l="1"/>
  <c r="A521" i="12"/>
  <c r="A495" i="6"/>
  <c r="B495" i="6"/>
  <c r="B496" i="6" l="1"/>
  <c r="A496" i="6"/>
  <c r="A522" i="12"/>
  <c r="B522" i="12"/>
  <c r="B523" i="12" l="1"/>
  <c r="A523" i="12"/>
  <c r="B497" i="6"/>
  <c r="A497" i="6"/>
  <c r="A498" i="6" l="1"/>
  <c r="B498" i="6"/>
  <c r="A524" i="12"/>
  <c r="B524" i="12"/>
  <c r="B525" i="12" l="1"/>
  <c r="A525" i="12"/>
  <c r="B499" i="6"/>
  <c r="A499" i="6"/>
  <c r="A500" i="6" l="1"/>
  <c r="B500" i="6"/>
  <c r="A526" i="12"/>
  <c r="B526" i="12"/>
  <c r="A527" i="12" l="1"/>
  <c r="B527" i="12"/>
  <c r="B501" i="6"/>
  <c r="A501" i="6"/>
  <c r="B528" i="12" l="1"/>
  <c r="A528" i="12"/>
  <c r="B502" i="6"/>
  <c r="A502" i="6"/>
  <c r="B503" i="6" l="1"/>
  <c r="A503" i="6"/>
  <c r="B529" i="12"/>
  <c r="A529" i="12"/>
  <c r="A530" i="12" l="1"/>
  <c r="B530" i="12"/>
  <c r="A504" i="6"/>
  <c r="B504" i="6"/>
  <c r="B505" i="6" l="1"/>
  <c r="A505" i="6"/>
  <c r="B531" i="12"/>
  <c r="A531" i="12"/>
  <c r="A532" i="12" l="1"/>
  <c r="B532" i="12"/>
  <c r="A506" i="6"/>
  <c r="B506" i="6"/>
  <c r="A507" i="6" l="1"/>
  <c r="B507" i="6"/>
  <c r="B533" i="12"/>
  <c r="A533" i="12"/>
  <c r="B508" i="6" l="1"/>
  <c r="A508" i="6"/>
  <c r="B534" i="12"/>
  <c r="A534" i="12"/>
  <c r="A535" i="12" l="1"/>
  <c r="B535" i="12"/>
  <c r="B509" i="6"/>
  <c r="A509" i="6"/>
  <c r="B510" i="6" l="1"/>
  <c r="A510" i="6"/>
  <c r="B536" i="12"/>
  <c r="A536" i="12"/>
  <c r="B537" i="12" l="1"/>
  <c r="A537" i="12"/>
  <c r="B511" i="6"/>
  <c r="A511" i="6"/>
  <c r="B512" i="6" l="1"/>
  <c r="A512" i="6"/>
  <c r="A538" i="12"/>
  <c r="B538" i="12"/>
  <c r="B539" i="12" l="1"/>
  <c r="A539" i="12"/>
  <c r="B513" i="6"/>
  <c r="A513" i="6"/>
  <c r="A514" i="6" l="1"/>
  <c r="B514" i="6"/>
  <c r="A540" i="12"/>
  <c r="B540" i="12"/>
  <c r="B541" i="12" l="1"/>
  <c r="A541" i="12"/>
  <c r="B515" i="6"/>
  <c r="A515" i="6"/>
  <c r="B516" i="6" l="1"/>
  <c r="A516" i="6"/>
  <c r="B542" i="12"/>
  <c r="A542" i="12"/>
  <c r="A543" i="12" l="1"/>
  <c r="B543" i="12"/>
  <c r="B517" i="6"/>
  <c r="A517" i="6"/>
  <c r="B544" i="12" l="1"/>
  <c r="A544" i="12"/>
  <c r="B518" i="6"/>
  <c r="A518" i="6"/>
  <c r="B519" i="6" l="1"/>
  <c r="A519" i="6"/>
  <c r="B545" i="12"/>
  <c r="A545" i="12"/>
  <c r="A546" i="12" l="1"/>
  <c r="B546" i="12"/>
  <c r="B520" i="6"/>
  <c r="A520" i="6"/>
  <c r="B547" i="12" l="1"/>
  <c r="A547" i="12"/>
  <c r="B521" i="6"/>
  <c r="A521" i="6"/>
  <c r="A522" i="6" l="1"/>
  <c r="B522" i="6"/>
  <c r="A548" i="12"/>
  <c r="B548" i="12"/>
  <c r="B523" i="6" l="1"/>
  <c r="A523" i="6"/>
  <c r="B549" i="12"/>
  <c r="A549" i="12"/>
  <c r="A550" i="12" l="1"/>
  <c r="B550" i="12"/>
  <c r="A524" i="6"/>
  <c r="B524" i="6"/>
  <c r="A551" i="12" l="1"/>
  <c r="B551" i="12"/>
  <c r="B525" i="6"/>
  <c r="A525" i="6"/>
  <c r="B552" i="12" l="1"/>
  <c r="A552" i="12"/>
  <c r="A526" i="6"/>
  <c r="B526" i="6"/>
  <c r="A527" i="6" l="1"/>
  <c r="B527" i="6"/>
  <c r="B553" i="12"/>
  <c r="A553" i="12"/>
  <c r="B528" i="6" l="1"/>
  <c r="A528" i="6"/>
  <c r="A554" i="12"/>
  <c r="B554" i="12"/>
  <c r="B555" i="12" l="1"/>
  <c r="A555" i="12"/>
  <c r="B529" i="6"/>
  <c r="A529" i="6"/>
  <c r="A530" i="6" l="1"/>
  <c r="B530" i="6"/>
  <c r="B556" i="12"/>
  <c r="A556" i="12"/>
  <c r="B557" i="12" l="1"/>
  <c r="A557" i="12"/>
  <c r="A531" i="6"/>
  <c r="B531" i="6"/>
  <c r="B532" i="6" l="1"/>
  <c r="A532" i="6"/>
  <c r="B558" i="12"/>
  <c r="A558" i="12"/>
  <c r="A559" i="12" l="1"/>
  <c r="B559" i="12"/>
  <c r="B533" i="6"/>
  <c r="A533" i="6"/>
  <c r="B534" i="6" l="1"/>
  <c r="A534" i="6"/>
  <c r="B560" i="12"/>
  <c r="A560" i="12"/>
  <c r="A561" i="12" l="1"/>
  <c r="B561" i="12"/>
  <c r="B535" i="6"/>
  <c r="A535" i="6"/>
  <c r="B536" i="6" l="1"/>
  <c r="A536" i="6"/>
  <c r="A562" i="12"/>
  <c r="B562" i="12"/>
  <c r="B563" i="12" l="1"/>
  <c r="A563" i="12"/>
  <c r="B537" i="6"/>
  <c r="A537" i="6"/>
  <c r="B538" i="6" l="1"/>
  <c r="A538" i="6"/>
  <c r="B564" i="12"/>
  <c r="A564" i="12"/>
  <c r="A565" i="12" l="1"/>
  <c r="B565" i="12"/>
  <c r="B539" i="6"/>
  <c r="A539" i="6"/>
  <c r="B566" i="12" l="1"/>
  <c r="A566" i="12"/>
  <c r="B540" i="6"/>
  <c r="A540" i="6"/>
  <c r="A541" i="6" l="1"/>
  <c r="B541" i="6"/>
  <c r="A567" i="12"/>
  <c r="B567" i="12"/>
  <c r="B568" i="12" l="1"/>
  <c r="A568" i="12"/>
  <c r="A542" i="6"/>
  <c r="B542" i="6"/>
  <c r="B543" i="6" l="1"/>
  <c r="A543" i="6"/>
  <c r="A569" i="12"/>
  <c r="B569" i="12"/>
  <c r="A570" i="12" l="1"/>
  <c r="B570" i="12"/>
  <c r="B544" i="6"/>
  <c r="A544" i="6"/>
  <c r="B571" i="12" l="1"/>
  <c r="A571" i="12"/>
  <c r="B545" i="6"/>
  <c r="A545" i="6"/>
  <c r="A546" i="6" l="1"/>
  <c r="B546" i="6"/>
  <c r="B572" i="12"/>
  <c r="A572" i="12"/>
  <c r="B547" i="6" l="1"/>
  <c r="A547" i="6"/>
  <c r="B573" i="12"/>
  <c r="A573" i="12"/>
  <c r="B574" i="12" l="1"/>
  <c r="A574" i="12"/>
  <c r="B548" i="6"/>
  <c r="A548" i="6"/>
  <c r="B549" i="6" l="1"/>
  <c r="A549" i="6"/>
  <c r="A575" i="12"/>
  <c r="B575" i="12"/>
  <c r="B576" i="12" l="1"/>
  <c r="A576" i="12"/>
  <c r="A550" i="6"/>
  <c r="B550" i="6"/>
  <c r="B551" i="6" l="1"/>
  <c r="A551" i="6"/>
  <c r="A577" i="12"/>
  <c r="B577" i="12"/>
  <c r="A578" i="12" l="1"/>
  <c r="B578" i="12"/>
  <c r="B552" i="6"/>
  <c r="A552" i="6"/>
  <c r="B579" i="12" l="1"/>
  <c r="A579" i="12"/>
  <c r="B553" i="6"/>
  <c r="A553" i="6"/>
  <c r="B554" i="6" l="1"/>
  <c r="A554" i="6"/>
  <c r="A580" i="12"/>
  <c r="B580" i="12"/>
  <c r="A581" i="12" l="1"/>
  <c r="B581" i="12"/>
  <c r="A555" i="6"/>
  <c r="B555" i="6"/>
  <c r="B556" i="6" l="1"/>
  <c r="A556" i="6"/>
  <c r="B582" i="12"/>
  <c r="A582" i="12"/>
  <c r="A583" i="12" l="1"/>
  <c r="B583" i="12"/>
  <c r="B557" i="6"/>
  <c r="A557" i="6"/>
  <c r="B584" i="12" l="1"/>
  <c r="A584" i="12"/>
  <c r="A558" i="6"/>
  <c r="B558" i="6"/>
  <c r="A559" i="6" l="1"/>
  <c r="B559" i="6"/>
  <c r="B585" i="12"/>
  <c r="A585" i="12"/>
  <c r="B560" i="6" l="1"/>
  <c r="A560" i="6"/>
  <c r="A586" i="12"/>
  <c r="B586" i="12"/>
  <c r="B587" i="12" l="1"/>
  <c r="A587" i="12"/>
  <c r="B561" i="6"/>
  <c r="A561" i="6"/>
  <c r="A562" i="6" l="1"/>
  <c r="B562" i="6"/>
  <c r="A588" i="12"/>
  <c r="B588" i="12"/>
  <c r="B589" i="12" l="1"/>
  <c r="A589" i="12"/>
  <c r="A563" i="6"/>
  <c r="B563" i="6"/>
  <c r="B564" i="6" l="1"/>
  <c r="A564" i="6"/>
  <c r="B590" i="12"/>
  <c r="A590" i="12"/>
  <c r="A591" i="12" l="1"/>
  <c r="B591" i="12"/>
  <c r="B565" i="6"/>
  <c r="A565" i="6"/>
  <c r="B592" i="12" l="1"/>
  <c r="A592" i="12"/>
  <c r="B566" i="6"/>
  <c r="A566" i="6"/>
  <c r="B567" i="6" l="1"/>
  <c r="A567" i="6"/>
  <c r="A593" i="12"/>
  <c r="B593" i="12"/>
  <c r="A594" i="12" l="1"/>
  <c r="B594" i="12"/>
  <c r="B568" i="6"/>
  <c r="A568" i="6"/>
  <c r="B595" i="12" l="1"/>
  <c r="A595" i="12"/>
  <c r="B569" i="6"/>
  <c r="A569" i="6"/>
  <c r="A570" i="6" l="1"/>
  <c r="B570" i="6"/>
  <c r="A596" i="12"/>
  <c r="B596" i="12"/>
  <c r="A597" i="12" l="1"/>
  <c r="B597" i="12"/>
  <c r="B571" i="6"/>
  <c r="A571" i="6"/>
  <c r="B598" i="12" l="1"/>
  <c r="A598" i="12"/>
  <c r="B572" i="6"/>
  <c r="A572" i="6"/>
  <c r="B573" i="6" l="1"/>
  <c r="A573" i="6"/>
  <c r="A599" i="12"/>
  <c r="B599" i="12"/>
  <c r="B600" i="12" l="1"/>
  <c r="A600" i="12"/>
  <c r="B574" i="6"/>
  <c r="A574" i="6"/>
  <c r="B575" i="6" l="1"/>
  <c r="A575" i="6"/>
  <c r="B601" i="12"/>
  <c r="A601" i="12"/>
  <c r="A602" i="12" l="1"/>
  <c r="B602" i="12"/>
  <c r="A576" i="6"/>
  <c r="B576" i="6"/>
  <c r="B577" i="6" l="1"/>
  <c r="A577" i="6"/>
  <c r="B603" i="12"/>
  <c r="A603" i="12"/>
  <c r="A604" i="12" l="1"/>
  <c r="B604" i="12"/>
  <c r="A578" i="6"/>
  <c r="B578" i="6"/>
  <c r="B605" i="12" l="1"/>
  <c r="A605" i="12"/>
  <c r="A579" i="6"/>
  <c r="B579" i="6"/>
  <c r="B580" i="6" l="1"/>
  <c r="A580" i="6"/>
  <c r="B606" i="12"/>
  <c r="A606" i="12"/>
  <c r="A607" i="12" l="1"/>
  <c r="B607" i="12"/>
  <c r="B581" i="6"/>
  <c r="A581" i="6"/>
  <c r="B582" i="6" l="1"/>
  <c r="A582" i="6"/>
  <c r="B608" i="12"/>
  <c r="A608" i="12"/>
  <c r="B609" i="12" l="1"/>
  <c r="A609" i="12"/>
  <c r="B583" i="6"/>
  <c r="A583" i="6"/>
  <c r="B584" i="6" l="1"/>
  <c r="A584" i="6"/>
  <c r="A610" i="12"/>
  <c r="B610" i="12"/>
  <c r="B611" i="12" l="1"/>
  <c r="A611" i="12"/>
  <c r="B585" i="6"/>
  <c r="A585" i="6"/>
  <c r="B586" i="6" l="1"/>
  <c r="A586" i="6"/>
  <c r="B612" i="12"/>
  <c r="A612" i="12"/>
  <c r="B613" i="12" l="1"/>
  <c r="A613" i="12"/>
  <c r="A587" i="6"/>
  <c r="B587" i="6"/>
  <c r="B588" i="6" l="1"/>
  <c r="A588" i="6"/>
  <c r="A614" i="12"/>
  <c r="B614" i="12"/>
  <c r="A615" i="12" l="1"/>
  <c r="B615" i="12"/>
  <c r="A589" i="6"/>
  <c r="B589" i="6"/>
  <c r="A590" i="6" l="1"/>
  <c r="B590" i="6"/>
  <c r="B616" i="12"/>
  <c r="A616" i="12"/>
  <c r="B591" i="6" l="1"/>
  <c r="A591" i="6"/>
  <c r="B617" i="12"/>
  <c r="A617" i="12"/>
  <c r="A618" i="12" l="1"/>
  <c r="B618" i="12"/>
  <c r="B592" i="6"/>
  <c r="A592" i="6"/>
  <c r="B619" i="12" l="1"/>
  <c r="A619" i="12"/>
  <c r="B593" i="6"/>
  <c r="A593" i="6"/>
  <c r="A594" i="6" l="1"/>
  <c r="B594" i="6"/>
  <c r="A620" i="12"/>
  <c r="B620" i="12"/>
  <c r="B621" i="12" l="1"/>
  <c r="A621" i="12"/>
  <c r="B595" i="6"/>
  <c r="A595" i="6"/>
  <c r="B596" i="6" l="1"/>
  <c r="A596" i="6"/>
  <c r="A622" i="12"/>
  <c r="B622" i="12"/>
  <c r="A623" i="12" l="1"/>
  <c r="B623" i="12"/>
  <c r="B597" i="6"/>
  <c r="A597" i="6"/>
  <c r="B624" i="12" l="1"/>
  <c r="A624" i="12"/>
  <c r="A598" i="6"/>
  <c r="B598" i="6"/>
  <c r="A599" i="6" l="1"/>
  <c r="B599" i="6"/>
  <c r="A625" i="12"/>
  <c r="B625" i="12"/>
  <c r="B600" i="6" l="1"/>
  <c r="A600" i="6"/>
  <c r="A626" i="12"/>
  <c r="B626" i="12"/>
  <c r="B627" i="12" l="1"/>
  <c r="A627" i="12"/>
  <c r="B601" i="6"/>
  <c r="A601" i="6"/>
  <c r="B602" i="6" l="1"/>
  <c r="A602" i="6"/>
  <c r="B628" i="12"/>
  <c r="A628" i="12"/>
  <c r="A629" i="12" l="1"/>
  <c r="B629" i="12"/>
  <c r="B603" i="6"/>
  <c r="A603" i="6"/>
  <c r="B630" i="12" l="1"/>
  <c r="A630" i="12"/>
  <c r="B604" i="6"/>
  <c r="A604" i="6"/>
  <c r="A605" i="6" l="1"/>
  <c r="B605" i="6"/>
  <c r="A631" i="12"/>
  <c r="B631" i="12"/>
  <c r="B632" i="12" l="1"/>
  <c r="A632" i="12"/>
  <c r="B606" i="6"/>
  <c r="A606" i="6"/>
  <c r="A607" i="6" l="1"/>
  <c r="B607" i="6"/>
  <c r="B633" i="12"/>
  <c r="A633" i="12"/>
  <c r="B608" i="6" l="1"/>
  <c r="A608" i="6"/>
  <c r="A634" i="12"/>
  <c r="B634" i="12"/>
  <c r="B635" i="12" l="1"/>
  <c r="A635" i="12"/>
  <c r="B609" i="6"/>
  <c r="A609" i="6"/>
  <c r="A610" i="6" l="1"/>
  <c r="B610" i="6"/>
  <c r="A636" i="12"/>
  <c r="B636" i="12"/>
  <c r="A637" i="12" l="1"/>
  <c r="B637" i="12"/>
  <c r="B611" i="6"/>
  <c r="A611" i="6"/>
  <c r="A638" i="12" l="1"/>
  <c r="B638" i="12"/>
  <c r="B612" i="6"/>
  <c r="A612" i="6"/>
  <c r="A639" i="12" l="1"/>
  <c r="B639" i="12"/>
  <c r="B613" i="6"/>
  <c r="A613" i="6"/>
  <c r="B640" i="12" l="1"/>
  <c r="A640" i="12"/>
  <c r="B614" i="6"/>
  <c r="A614" i="6"/>
  <c r="B615" i="6" l="1"/>
  <c r="A615" i="6"/>
  <c r="B641" i="12"/>
  <c r="A641" i="12"/>
  <c r="A642" i="12" l="1"/>
  <c r="B642" i="12"/>
  <c r="B616" i="6"/>
  <c r="A616" i="6"/>
  <c r="B643" i="12" l="1"/>
  <c r="A643" i="12"/>
  <c r="B617" i="6"/>
  <c r="A617" i="6"/>
  <c r="A618" i="6" l="1"/>
  <c r="B618" i="6"/>
  <c r="B644" i="12"/>
  <c r="A644" i="12"/>
  <c r="B619" i="6" l="1"/>
  <c r="A619" i="6"/>
  <c r="A645" i="12"/>
  <c r="B645" i="12"/>
  <c r="A646" i="12" l="1"/>
  <c r="B646" i="12"/>
  <c r="B620" i="6"/>
  <c r="A620" i="6"/>
  <c r="A647" i="12" l="1"/>
  <c r="B647" i="12"/>
  <c r="A621" i="6"/>
  <c r="B621" i="6"/>
  <c r="B648" i="12" l="1"/>
  <c r="A648" i="12"/>
  <c r="A622" i="6"/>
  <c r="B622" i="6"/>
  <c r="A623" i="6" l="1"/>
  <c r="B623" i="6"/>
  <c r="B649" i="12"/>
  <c r="A649" i="12"/>
  <c r="B624" i="6" l="1"/>
  <c r="A624" i="6"/>
  <c r="A650" i="12"/>
  <c r="B650" i="12"/>
  <c r="B651" i="12" l="1"/>
  <c r="A651" i="12"/>
  <c r="B625" i="6"/>
  <c r="A625" i="6"/>
  <c r="A626" i="6" l="1"/>
  <c r="B626" i="6"/>
  <c r="A652" i="12"/>
  <c r="B652" i="12"/>
  <c r="B653" i="12" l="1"/>
  <c r="A653" i="12"/>
  <c r="B627" i="6"/>
  <c r="A627" i="6"/>
  <c r="B628" i="6" l="1"/>
  <c r="A628" i="6"/>
  <c r="B654" i="12"/>
  <c r="A654" i="12"/>
  <c r="A655" i="12" l="1"/>
  <c r="B655" i="12"/>
  <c r="B629" i="6"/>
  <c r="A629" i="6"/>
  <c r="B630" i="6" l="1"/>
  <c r="A630" i="6"/>
  <c r="B656" i="12"/>
  <c r="A656" i="12"/>
  <c r="A657" i="12" l="1"/>
  <c r="B657" i="12"/>
  <c r="A631" i="6"/>
  <c r="B631" i="6"/>
  <c r="A658" i="12" l="1"/>
  <c r="B658" i="12"/>
  <c r="A632" i="6"/>
  <c r="B632" i="6"/>
  <c r="B633" i="6" l="1"/>
  <c r="A633" i="6"/>
  <c r="B659" i="12"/>
  <c r="A659" i="12"/>
  <c r="B660" i="12" l="1"/>
  <c r="A660" i="12"/>
  <c r="A634" i="6"/>
  <c r="B634" i="6"/>
  <c r="B635" i="6" l="1"/>
  <c r="A635" i="6"/>
  <c r="A661" i="12"/>
  <c r="B661" i="12"/>
  <c r="A662" i="12" l="1"/>
  <c r="B662" i="12"/>
  <c r="A636" i="6"/>
  <c r="B636" i="6"/>
  <c r="B637" i="6" l="1"/>
  <c r="A637" i="6"/>
  <c r="A663" i="12"/>
  <c r="B663" i="12"/>
  <c r="B664" i="12" l="1"/>
  <c r="A664" i="12"/>
  <c r="B638" i="6"/>
  <c r="A638" i="6"/>
  <c r="A639" i="6" l="1"/>
  <c r="B639" i="6"/>
  <c r="B665" i="12"/>
  <c r="A665" i="12"/>
  <c r="B640" i="6" l="1"/>
  <c r="A640" i="6"/>
  <c r="A666" i="12"/>
  <c r="B666" i="12"/>
  <c r="B667" i="12" l="1"/>
  <c r="A667" i="12"/>
  <c r="B641" i="6"/>
  <c r="A641" i="6"/>
  <c r="A642" i="6" l="1"/>
  <c r="B642" i="6"/>
  <c r="B668" i="12"/>
  <c r="A668" i="12"/>
  <c r="B643" i="6" l="1"/>
  <c r="A643" i="6"/>
  <c r="B669" i="12"/>
  <c r="A669" i="12"/>
  <c r="B670" i="12" l="1"/>
  <c r="A670" i="12"/>
  <c r="B644" i="6"/>
  <c r="A644" i="6"/>
  <c r="A645" i="6" l="1"/>
  <c r="B645" i="6"/>
  <c r="A671" i="12"/>
  <c r="B671" i="12"/>
  <c r="B672" i="12" l="1"/>
  <c r="A672" i="12"/>
  <c r="B646" i="6"/>
  <c r="A646" i="6"/>
  <c r="B647" i="6" l="1"/>
  <c r="A647" i="6"/>
  <c r="B673" i="12"/>
  <c r="A673" i="12"/>
  <c r="A674" i="12" l="1"/>
  <c r="B674" i="12"/>
  <c r="B648" i="6"/>
  <c r="A648" i="6"/>
  <c r="B675" i="12" l="1"/>
  <c r="A675" i="12"/>
  <c r="B649" i="6"/>
  <c r="A649" i="6"/>
  <c r="A650" i="6" l="1"/>
  <c r="B650" i="6"/>
  <c r="A676" i="12"/>
  <c r="B676" i="12"/>
  <c r="A651" i="6" l="1"/>
  <c r="B651" i="6"/>
  <c r="B677" i="12"/>
  <c r="A677" i="12"/>
  <c r="B652" i="6" l="1"/>
  <c r="A652" i="6"/>
  <c r="A678" i="12"/>
  <c r="B678" i="12"/>
  <c r="A679" i="12" l="1"/>
  <c r="B679" i="12"/>
  <c r="A653" i="6"/>
  <c r="B653" i="6"/>
  <c r="B680" i="12" l="1"/>
  <c r="A680" i="12"/>
  <c r="B654" i="6"/>
  <c r="A654" i="6"/>
  <c r="B655" i="6" l="1"/>
  <c r="A655" i="6"/>
  <c r="B681" i="12"/>
  <c r="A681" i="12"/>
  <c r="A682" i="12" l="1"/>
  <c r="B682" i="12"/>
  <c r="B656" i="6"/>
  <c r="A656" i="6"/>
  <c r="B683" i="12" l="1"/>
  <c r="A683" i="12"/>
  <c r="B657" i="6"/>
  <c r="A657" i="6"/>
  <c r="A658" i="6" l="1"/>
  <c r="B658" i="6"/>
  <c r="B684" i="12"/>
  <c r="A684" i="12"/>
  <c r="B659" i="6" l="1"/>
  <c r="A659" i="6"/>
  <c r="B685" i="12"/>
  <c r="A685" i="12"/>
  <c r="B686" i="12" l="1"/>
  <c r="A686" i="12"/>
  <c r="A660" i="6"/>
  <c r="B660" i="6"/>
  <c r="B661" i="6" l="1"/>
  <c r="A661" i="6"/>
  <c r="A687" i="12"/>
  <c r="B687" i="12"/>
  <c r="B688" i="12" l="1"/>
  <c r="A688" i="12"/>
  <c r="B662" i="6"/>
  <c r="A662" i="6"/>
  <c r="B663" i="6" l="1"/>
  <c r="A663" i="6"/>
  <c r="A689" i="12"/>
  <c r="B689" i="12"/>
  <c r="A690" i="12" l="1"/>
  <c r="B690" i="12"/>
  <c r="B664" i="6"/>
  <c r="A664" i="6"/>
  <c r="B691" i="12" l="1"/>
  <c r="A691" i="12"/>
  <c r="B665" i="6"/>
  <c r="A665" i="6"/>
  <c r="B666" i="6" l="1"/>
  <c r="A666" i="6"/>
  <c r="B692" i="12"/>
  <c r="A692" i="12"/>
  <c r="A693" i="12" l="1"/>
  <c r="B693" i="12"/>
  <c r="A667" i="6"/>
  <c r="B667" i="6"/>
  <c r="B668" i="6" l="1"/>
  <c r="A668" i="6"/>
  <c r="A694" i="12"/>
  <c r="B694" i="12"/>
  <c r="A695" i="12" l="1"/>
  <c r="B695" i="12"/>
  <c r="B669" i="6"/>
  <c r="A669" i="6"/>
  <c r="B696" i="12" l="1"/>
  <c r="A696" i="12"/>
  <c r="B670" i="6"/>
  <c r="A670" i="6"/>
  <c r="A671" i="6" l="1"/>
  <c r="B671" i="6"/>
  <c r="B697" i="12"/>
  <c r="A697" i="12"/>
  <c r="A672" i="6" l="1"/>
  <c r="B672" i="6"/>
  <c r="A698" i="12"/>
  <c r="B698" i="12"/>
  <c r="B673" i="6" l="1"/>
  <c r="A673" i="6"/>
  <c r="B699" i="12"/>
  <c r="A699" i="12"/>
  <c r="A700" i="12" l="1"/>
  <c r="B700" i="12"/>
  <c r="A674" i="6"/>
  <c r="B674" i="6"/>
  <c r="B675" i="6" l="1"/>
  <c r="A675" i="6"/>
  <c r="B701" i="12"/>
  <c r="A701" i="12"/>
  <c r="B702" i="12" l="1"/>
  <c r="A702" i="12"/>
  <c r="B676" i="6"/>
  <c r="A676" i="6"/>
  <c r="B677" i="6" l="1"/>
  <c r="A677" i="6"/>
  <c r="A703" i="12"/>
  <c r="B703" i="12"/>
  <c r="B704" i="12" l="1"/>
  <c r="A704" i="12"/>
  <c r="A678" i="6"/>
  <c r="B678" i="6"/>
  <c r="B679" i="6" l="1"/>
  <c r="A679" i="6"/>
  <c r="A705" i="12"/>
  <c r="B705" i="12"/>
  <c r="A706" i="12" l="1"/>
  <c r="B706" i="12"/>
  <c r="A680" i="6"/>
  <c r="B680" i="6"/>
  <c r="B681" i="6" l="1"/>
  <c r="A681" i="6"/>
  <c r="B707" i="12"/>
  <c r="A707" i="12"/>
  <c r="A708" i="12" l="1"/>
  <c r="B708" i="12"/>
  <c r="A682" i="6"/>
  <c r="B682" i="6"/>
  <c r="B683" i="6" l="1"/>
  <c r="A683" i="6"/>
  <c r="B709" i="12"/>
  <c r="A709" i="12"/>
  <c r="A710" i="12" l="1"/>
  <c r="B710" i="12"/>
  <c r="B684" i="6"/>
  <c r="A684" i="6"/>
  <c r="A685" i="6" l="1"/>
  <c r="B685" i="6"/>
  <c r="A711" i="12"/>
  <c r="B711" i="12"/>
  <c r="A686" i="6" l="1"/>
  <c r="B686" i="6"/>
  <c r="B712" i="12"/>
  <c r="A712" i="12"/>
  <c r="B713" i="12" l="1"/>
  <c r="A713" i="12"/>
  <c r="B687" i="6"/>
  <c r="A687" i="6"/>
  <c r="B688" i="6" l="1"/>
  <c r="A688" i="6"/>
  <c r="A714" i="12"/>
  <c r="B714" i="12"/>
  <c r="B715" i="12" l="1"/>
  <c r="A715" i="12"/>
  <c r="B689" i="6"/>
  <c r="A689" i="6"/>
  <c r="B690" i="6" l="1"/>
  <c r="A690" i="6"/>
  <c r="B716" i="12"/>
  <c r="A716" i="12"/>
  <c r="B717" i="12" l="1"/>
  <c r="A717" i="12"/>
  <c r="B691" i="6"/>
  <c r="A691" i="6"/>
  <c r="B692" i="6" l="1"/>
  <c r="A692" i="6"/>
  <c r="A718" i="12"/>
  <c r="B718" i="12"/>
  <c r="A719" i="12" l="1"/>
  <c r="B719" i="12"/>
  <c r="B693" i="6"/>
  <c r="A693" i="6"/>
  <c r="A694" i="6" l="1"/>
  <c r="B694" i="6"/>
  <c r="B720" i="12"/>
  <c r="A720" i="12"/>
  <c r="A721" i="12" l="1"/>
  <c r="B721" i="12"/>
  <c r="B695" i="6"/>
  <c r="A695" i="6"/>
  <c r="B696" i="6" l="1"/>
  <c r="A696" i="6"/>
  <c r="A722" i="12"/>
  <c r="B722" i="12"/>
  <c r="B723" i="12" l="1"/>
  <c r="A723" i="12"/>
  <c r="B697" i="6"/>
  <c r="A697" i="6"/>
  <c r="A698" i="6" l="1"/>
  <c r="B698" i="6"/>
  <c r="A724" i="12"/>
  <c r="B724" i="12"/>
  <c r="B699" i="6" l="1"/>
  <c r="A699" i="6"/>
  <c r="A725" i="12"/>
  <c r="B725" i="12"/>
  <c r="A726" i="12" l="1"/>
  <c r="B726" i="12"/>
  <c r="B700" i="6"/>
  <c r="A700" i="6"/>
  <c r="A727" i="12" l="1"/>
  <c r="B727" i="12"/>
  <c r="A701" i="6"/>
  <c r="B701" i="6"/>
  <c r="B728" i="12" l="1"/>
  <c r="A728" i="12"/>
  <c r="B702" i="6"/>
  <c r="A702" i="6"/>
  <c r="B703" i="6" l="1"/>
  <c r="A703" i="6"/>
  <c r="B729" i="12"/>
  <c r="A729" i="12"/>
  <c r="A730" i="12" l="1"/>
  <c r="B730" i="12"/>
  <c r="A704" i="6"/>
  <c r="B704" i="6"/>
  <c r="B731" i="12" l="1"/>
  <c r="A731" i="12"/>
  <c r="B705" i="6"/>
  <c r="A705" i="6"/>
  <c r="A706" i="6" l="1"/>
  <c r="B706" i="6"/>
  <c r="A732" i="12"/>
  <c r="B732" i="12"/>
  <c r="A707" i="6" l="1"/>
  <c r="B707" i="6"/>
  <c r="B733" i="12"/>
  <c r="A733" i="12"/>
  <c r="B708" i="6" l="1"/>
  <c r="A708" i="6"/>
  <c r="B734" i="12"/>
  <c r="A734" i="12"/>
  <c r="A735" i="12" l="1"/>
  <c r="B735" i="12"/>
  <c r="B709" i="6"/>
  <c r="A709" i="6"/>
  <c r="B736" i="12" l="1"/>
  <c r="A736" i="12"/>
  <c r="B710" i="6"/>
  <c r="A710" i="6"/>
  <c r="B711" i="6" l="1"/>
  <c r="A711" i="6"/>
  <c r="A737" i="12"/>
  <c r="B737" i="12"/>
  <c r="A738" i="12" l="1"/>
  <c r="B738" i="12"/>
  <c r="B712" i="6"/>
  <c r="A712" i="6"/>
  <c r="B713" i="6" l="1"/>
  <c r="A713" i="6"/>
  <c r="B739" i="12"/>
  <c r="A739" i="12"/>
  <c r="A740" i="12" l="1"/>
  <c r="B740" i="12"/>
  <c r="A714" i="6"/>
  <c r="B714" i="6"/>
  <c r="A715" i="6" l="1"/>
  <c r="B715" i="6"/>
  <c r="B741" i="12"/>
  <c r="A741" i="12"/>
  <c r="A716" i="6" l="1"/>
  <c r="B716" i="6"/>
  <c r="A742" i="12"/>
  <c r="B742" i="12"/>
  <c r="A743" i="12" l="1"/>
  <c r="B743" i="12"/>
  <c r="B717" i="6"/>
  <c r="A717" i="6"/>
  <c r="B744" i="12" l="1"/>
  <c r="A744" i="12"/>
  <c r="B718" i="6"/>
  <c r="A718" i="6"/>
  <c r="B719" i="6" l="1"/>
  <c r="A719" i="6"/>
  <c r="B745" i="12"/>
  <c r="A745" i="12"/>
  <c r="A746" i="12" l="1"/>
  <c r="B746" i="12"/>
  <c r="B720" i="6"/>
  <c r="A720" i="6"/>
  <c r="B747" i="12" l="1"/>
  <c r="A747" i="12"/>
  <c r="B721" i="6"/>
  <c r="A721" i="6"/>
  <c r="B722" i="6" l="1"/>
  <c r="A722" i="6"/>
  <c r="A748" i="12"/>
  <c r="B748" i="12"/>
  <c r="B749" i="12" l="1"/>
  <c r="A749" i="12"/>
  <c r="B723" i="6"/>
  <c r="A723" i="6"/>
  <c r="B724" i="6" l="1"/>
  <c r="A724" i="6"/>
  <c r="A750" i="12"/>
  <c r="B750" i="12"/>
  <c r="A751" i="12" l="1"/>
  <c r="B751" i="12"/>
  <c r="B725" i="6"/>
  <c r="A725" i="6"/>
  <c r="B752" i="12" l="1"/>
  <c r="A752" i="12"/>
  <c r="A726" i="6"/>
  <c r="B726" i="6"/>
  <c r="B727" i="6" l="1"/>
  <c r="A727" i="6"/>
  <c r="B753" i="12"/>
  <c r="A753" i="12"/>
  <c r="A754" i="12" l="1"/>
  <c r="B754" i="12"/>
  <c r="B728" i="6"/>
  <c r="A728" i="6"/>
  <c r="B755" i="12" l="1"/>
  <c r="A755" i="12"/>
  <c r="B729" i="6"/>
  <c r="A729" i="6"/>
  <c r="B730" i="6" l="1"/>
  <c r="A730" i="6"/>
  <c r="A756" i="12"/>
  <c r="B756" i="12"/>
  <c r="B757" i="12" l="1"/>
  <c r="A757" i="12"/>
  <c r="A731" i="6"/>
  <c r="B731" i="6"/>
  <c r="B732" i="6" l="1"/>
  <c r="A732" i="6"/>
  <c r="B758" i="12"/>
  <c r="A758" i="12"/>
  <c r="A759" i="12" l="1"/>
  <c r="B759" i="12"/>
  <c r="A733" i="6"/>
  <c r="B733" i="6"/>
  <c r="B760" i="12" l="1"/>
  <c r="A760" i="12"/>
  <c r="B734" i="6"/>
  <c r="A734" i="6"/>
  <c r="B735" i="6" l="1"/>
  <c r="A735" i="6"/>
  <c r="A761" i="12"/>
  <c r="B761" i="12"/>
  <c r="A762" i="12" l="1"/>
  <c r="B762" i="12"/>
  <c r="B736" i="6"/>
  <c r="A736" i="6"/>
  <c r="B763" i="12" l="1"/>
  <c r="A763" i="12"/>
  <c r="B737" i="6"/>
  <c r="A737" i="6"/>
  <c r="A738" i="6" l="1"/>
  <c r="B738" i="6"/>
  <c r="A764" i="12"/>
  <c r="B764" i="12"/>
  <c r="B765" i="12" l="1"/>
  <c r="A765" i="12"/>
  <c r="B739" i="6"/>
  <c r="A739" i="6"/>
  <c r="B740" i="6" l="1"/>
  <c r="A740" i="6"/>
  <c r="A766" i="12"/>
  <c r="B766" i="12"/>
  <c r="A767" i="12" l="1"/>
  <c r="B767" i="12"/>
  <c r="B741" i="6"/>
  <c r="A741" i="6"/>
  <c r="B768" i="12" l="1"/>
  <c r="A768" i="12"/>
  <c r="B742" i="6"/>
  <c r="A742" i="6"/>
  <c r="A743" i="6" l="1"/>
  <c r="B743" i="6"/>
  <c r="B769" i="12"/>
  <c r="A769" i="12"/>
  <c r="B744" i="6" l="1"/>
  <c r="A744" i="6"/>
  <c r="A770" i="12"/>
  <c r="B770" i="12"/>
  <c r="B771" i="12" l="1"/>
  <c r="A771" i="12"/>
  <c r="B745" i="6"/>
  <c r="A745" i="6"/>
  <c r="A746" i="6" l="1"/>
  <c r="B746" i="6"/>
  <c r="B772" i="12"/>
  <c r="A772" i="12"/>
  <c r="B747" i="6" l="1"/>
  <c r="A747" i="6"/>
  <c r="B773" i="12"/>
  <c r="A773" i="12"/>
  <c r="A774" i="12" l="1"/>
  <c r="B774" i="12"/>
  <c r="B748" i="6"/>
  <c r="A748" i="6"/>
  <c r="A775" i="12" l="1"/>
  <c r="B775" i="12"/>
  <c r="B749" i="6"/>
  <c r="A749" i="6"/>
  <c r="B776" i="12" l="1"/>
  <c r="A776" i="12"/>
  <c r="B750" i="6"/>
  <c r="A750" i="6"/>
  <c r="B751" i="6" l="1"/>
  <c r="A751" i="6"/>
  <c r="B777" i="12"/>
  <c r="A777" i="12"/>
  <c r="A778" i="12" l="1"/>
  <c r="B778" i="12"/>
  <c r="B752" i="6"/>
  <c r="A752" i="6"/>
  <c r="B779" i="12" l="1"/>
  <c r="A779" i="12"/>
  <c r="B753" i="6"/>
  <c r="A753" i="6"/>
  <c r="A754" i="6" l="1"/>
  <c r="B754" i="6"/>
  <c r="A780" i="12"/>
  <c r="B780" i="12"/>
  <c r="A755" i="6" l="1"/>
  <c r="B755" i="6"/>
  <c r="B781" i="12"/>
  <c r="A781" i="12"/>
  <c r="A756" i="6" l="1"/>
  <c r="B756" i="6"/>
  <c r="B782" i="12"/>
  <c r="A782" i="12"/>
  <c r="B757" i="6" l="1"/>
  <c r="A757" i="6"/>
  <c r="A783" i="12"/>
  <c r="B783" i="12"/>
  <c r="B784" i="12" l="1"/>
  <c r="A784" i="12"/>
  <c r="B758" i="6"/>
  <c r="A758" i="6"/>
  <c r="B759" i="6" l="1"/>
  <c r="A759" i="6"/>
  <c r="A785" i="12"/>
  <c r="B785" i="12"/>
  <c r="A786" i="12" l="1"/>
  <c r="B786" i="12"/>
  <c r="A760" i="6"/>
  <c r="B760" i="6"/>
  <c r="B787" i="12" l="1"/>
  <c r="A787" i="12"/>
  <c r="B761" i="6"/>
  <c r="A761" i="6"/>
  <c r="A762" i="6" l="1"/>
  <c r="B762" i="6"/>
  <c r="A788" i="12"/>
  <c r="B788" i="12"/>
  <c r="B763" i="6" l="1"/>
  <c r="A763" i="6"/>
  <c r="B789" i="12"/>
  <c r="A789" i="12"/>
  <c r="B790" i="12" l="1"/>
  <c r="A790" i="12"/>
  <c r="A764" i="6"/>
  <c r="B764" i="6"/>
  <c r="B765" i="6" l="1"/>
  <c r="A765" i="6"/>
  <c r="A791" i="12"/>
  <c r="B791" i="12"/>
  <c r="B792" i="12" l="1"/>
  <c r="A792" i="12"/>
  <c r="B766" i="6"/>
  <c r="A766" i="6"/>
  <c r="A767" i="6" l="1"/>
  <c r="B767" i="6"/>
  <c r="A793" i="12"/>
  <c r="B793" i="12"/>
  <c r="A794" i="12" l="1"/>
  <c r="B794" i="12"/>
  <c r="B768" i="6"/>
  <c r="A768" i="6"/>
  <c r="B795" i="12" l="1"/>
  <c r="A795" i="12"/>
  <c r="B769" i="6"/>
  <c r="A769" i="6"/>
  <c r="A770" i="6" l="1"/>
  <c r="B770" i="6"/>
  <c r="A796" i="12"/>
  <c r="B796" i="12"/>
  <c r="B771" i="6" l="1"/>
  <c r="A771" i="6"/>
  <c r="B797" i="12"/>
  <c r="A797" i="12"/>
  <c r="A798" i="12" l="1"/>
  <c r="B798" i="12"/>
  <c r="B772" i="6"/>
  <c r="A772" i="6"/>
  <c r="A799" i="12" l="1"/>
  <c r="B799" i="12"/>
  <c r="B773" i="6"/>
  <c r="A773" i="6"/>
  <c r="B800" i="12" l="1"/>
  <c r="A800" i="12"/>
  <c r="A774" i="6"/>
  <c r="B774" i="6"/>
  <c r="B775" i="6" l="1"/>
  <c r="A775" i="6"/>
  <c r="B801" i="12"/>
  <c r="A801" i="12"/>
  <c r="A802" i="12" l="1"/>
  <c r="B802" i="12"/>
  <c r="B776" i="6"/>
  <c r="A776" i="6"/>
  <c r="B803" i="12" l="1"/>
  <c r="A803" i="12"/>
  <c r="B777" i="6"/>
  <c r="A777" i="6"/>
  <c r="A778" i="6" l="1"/>
  <c r="B778" i="6"/>
  <c r="A804" i="12"/>
  <c r="B804" i="12"/>
  <c r="B779" i="6" l="1"/>
  <c r="A779" i="6"/>
  <c r="A805" i="12"/>
  <c r="B805" i="12"/>
  <c r="A806" i="12" l="1"/>
  <c r="B806" i="12"/>
  <c r="B780" i="6"/>
  <c r="A780" i="6"/>
  <c r="B781" i="6" l="1"/>
  <c r="A781" i="6"/>
  <c r="A807" i="12"/>
  <c r="B807" i="12"/>
  <c r="B808" i="12" l="1"/>
  <c r="A808" i="12"/>
  <c r="B782" i="6"/>
  <c r="A782" i="6"/>
  <c r="B783" i="6" l="1"/>
  <c r="A783" i="6"/>
  <c r="A809" i="12"/>
  <c r="B809" i="12"/>
  <c r="A810" i="12" l="1"/>
  <c r="B810" i="12"/>
  <c r="B784" i="6"/>
  <c r="A784" i="6"/>
  <c r="B811" i="12" l="1"/>
  <c r="A811" i="12"/>
  <c r="B785" i="6"/>
  <c r="A785" i="6"/>
  <c r="A786" i="6" l="1"/>
  <c r="B786" i="6"/>
  <c r="B812" i="12"/>
  <c r="A812" i="12"/>
  <c r="B787" i="6" l="1"/>
  <c r="A787" i="6"/>
  <c r="B813" i="12"/>
  <c r="A813" i="12"/>
  <c r="B814" i="12" l="1"/>
  <c r="A814" i="12"/>
  <c r="A788" i="6"/>
  <c r="B788" i="6"/>
  <c r="B789" i="6" l="1"/>
  <c r="A789" i="6"/>
  <c r="A815" i="12"/>
  <c r="B815" i="12"/>
  <c r="B816" i="12" l="1"/>
  <c r="A816" i="12"/>
  <c r="A790" i="6"/>
  <c r="B790" i="6"/>
  <c r="B791" i="6" l="1"/>
  <c r="A791" i="6"/>
  <c r="A817" i="12"/>
  <c r="B817" i="12"/>
  <c r="A818" i="12" l="1"/>
  <c r="B818" i="12"/>
  <c r="B792" i="6"/>
  <c r="A792" i="6"/>
  <c r="B819" i="12" l="1"/>
  <c r="A819" i="12"/>
  <c r="B793" i="6"/>
  <c r="A793" i="6"/>
  <c r="B794" i="6" l="1"/>
  <c r="A794" i="6"/>
  <c r="B820" i="12"/>
  <c r="A820" i="12"/>
  <c r="A821" i="12" l="1"/>
  <c r="B821" i="12"/>
  <c r="B795" i="6"/>
  <c r="A795" i="6"/>
  <c r="B822" i="12" l="1"/>
  <c r="A822" i="12"/>
  <c r="B796" i="6"/>
  <c r="A796" i="6"/>
  <c r="A797" i="6" l="1"/>
  <c r="B797" i="6"/>
  <c r="A823" i="12"/>
  <c r="B823" i="12"/>
  <c r="B824" i="12" l="1"/>
  <c r="A824" i="12"/>
  <c r="B798" i="6"/>
  <c r="A798" i="6"/>
  <c r="B799" i="6" l="1"/>
  <c r="A799" i="6"/>
  <c r="A825" i="12"/>
  <c r="B825" i="12"/>
  <c r="A826" i="12" l="1"/>
  <c r="B826" i="12"/>
  <c r="B800" i="6"/>
  <c r="A800" i="6"/>
  <c r="B827" i="12" l="1"/>
  <c r="A827" i="12"/>
  <c r="B801" i="6"/>
  <c r="A801" i="6"/>
  <c r="A802" i="6" l="1"/>
  <c r="B802" i="6"/>
  <c r="A828" i="12"/>
  <c r="B828" i="12"/>
  <c r="B803" i="6" l="1"/>
  <c r="A803" i="6"/>
  <c r="B829" i="12"/>
  <c r="A829" i="12"/>
  <c r="B830" i="12" l="1"/>
  <c r="A830" i="12"/>
  <c r="B804" i="6"/>
  <c r="A804" i="6"/>
  <c r="B805" i="6" l="1"/>
  <c r="A805" i="6"/>
  <c r="A831" i="12"/>
  <c r="B831" i="12"/>
  <c r="B832" i="12" l="1"/>
  <c r="A832" i="12"/>
  <c r="B806" i="6"/>
  <c r="A806" i="6"/>
  <c r="B807" i="6" l="1"/>
  <c r="A807" i="6"/>
  <c r="A833" i="12"/>
  <c r="B833" i="12"/>
  <c r="A834" i="12" l="1"/>
  <c r="B834" i="12"/>
  <c r="A808" i="6"/>
  <c r="B808" i="6"/>
  <c r="B809" i="6" l="1"/>
  <c r="A809" i="6"/>
  <c r="B835" i="12"/>
  <c r="A835" i="12"/>
  <c r="A836" i="12" l="1"/>
  <c r="B836" i="12"/>
  <c r="A810" i="6"/>
  <c r="B810" i="6"/>
  <c r="A811" i="6" l="1"/>
  <c r="B811" i="6"/>
  <c r="A837" i="12"/>
  <c r="B837" i="12"/>
  <c r="B838" i="12" l="1"/>
  <c r="A838" i="12"/>
  <c r="B812" i="6"/>
  <c r="A812" i="6"/>
  <c r="B813" i="6" l="1"/>
  <c r="A813" i="6"/>
  <c r="A839" i="12"/>
  <c r="B839" i="12"/>
  <c r="B840" i="12" l="1"/>
  <c r="A840" i="12"/>
  <c r="B814" i="6"/>
  <c r="A814" i="6"/>
  <c r="B815" i="6" l="1"/>
  <c r="A815" i="6"/>
  <c r="A841" i="12"/>
  <c r="B841" i="12"/>
  <c r="A842" i="12" l="1"/>
  <c r="B842" i="12"/>
  <c r="A816" i="6"/>
  <c r="B816" i="6"/>
  <c r="B817" i="6" l="1"/>
  <c r="A817" i="6"/>
  <c r="B843" i="12"/>
  <c r="A843" i="12"/>
  <c r="B844" i="12" l="1"/>
  <c r="A844" i="12"/>
  <c r="A818" i="6"/>
  <c r="B818" i="6"/>
  <c r="B819" i="6" l="1"/>
  <c r="A819" i="6"/>
  <c r="B845" i="12"/>
  <c r="A845" i="12"/>
  <c r="A846" i="12" l="1"/>
  <c r="B846" i="12"/>
  <c r="B820" i="6"/>
  <c r="A820" i="6"/>
  <c r="A847" i="12" l="1"/>
  <c r="B847" i="12"/>
  <c r="B821" i="6"/>
  <c r="A821" i="6"/>
  <c r="B848" i="12" l="1"/>
  <c r="A848" i="12"/>
  <c r="B822" i="6"/>
  <c r="A822" i="6"/>
  <c r="A823" i="6" l="1"/>
  <c r="B823" i="6"/>
  <c r="A849" i="12"/>
  <c r="B849" i="12"/>
  <c r="B824" i="6" l="1"/>
  <c r="A824" i="6"/>
  <c r="A850" i="12"/>
  <c r="B850" i="12"/>
  <c r="B851" i="12" l="1"/>
  <c r="A851" i="12"/>
  <c r="B825" i="6"/>
  <c r="A825" i="6"/>
  <c r="A826" i="6" l="1"/>
  <c r="B826" i="6"/>
  <c r="A852" i="12"/>
  <c r="B852" i="12"/>
  <c r="B827" i="6" l="1"/>
  <c r="A827" i="6"/>
  <c r="A853" i="12"/>
  <c r="B853" i="12"/>
  <c r="B854" i="12" l="1"/>
  <c r="A854" i="12"/>
  <c r="B828" i="6"/>
  <c r="A828" i="6"/>
  <c r="B829" i="6" l="1"/>
  <c r="A829" i="6"/>
  <c r="A855" i="12"/>
  <c r="B855" i="12"/>
  <c r="B856" i="12" l="1"/>
  <c r="A856" i="12"/>
  <c r="A830" i="6"/>
  <c r="B830" i="6"/>
  <c r="B831" i="6" l="1"/>
  <c r="A831" i="6"/>
  <c r="B857" i="12"/>
  <c r="A857" i="12"/>
  <c r="A858" i="12" l="1"/>
  <c r="B858" i="12"/>
  <c r="A832" i="6"/>
  <c r="B832" i="6"/>
  <c r="B859" i="12" l="1"/>
  <c r="A859" i="12"/>
  <c r="B833" i="6"/>
  <c r="A833" i="6"/>
  <c r="A834" i="6" l="1"/>
  <c r="B834" i="6"/>
  <c r="A860" i="12"/>
  <c r="B860" i="12"/>
  <c r="A861" i="12" l="1"/>
  <c r="B861" i="12"/>
  <c r="A835" i="6"/>
  <c r="B835" i="6"/>
  <c r="B836" i="6" l="1"/>
  <c r="A836" i="6"/>
  <c r="B862" i="12"/>
  <c r="A862" i="12"/>
  <c r="A863" i="12" l="1"/>
  <c r="B863" i="12"/>
  <c r="A837" i="6"/>
  <c r="B837" i="6"/>
  <c r="B864" i="12" l="1"/>
  <c r="A864" i="12"/>
  <c r="B838" i="6"/>
  <c r="A838" i="6"/>
  <c r="B839" i="6" l="1"/>
  <c r="A839" i="6"/>
  <c r="A865" i="12"/>
  <c r="B865" i="12"/>
  <c r="A866" i="12" l="1"/>
  <c r="B866" i="12"/>
  <c r="A840" i="6"/>
  <c r="B840" i="6"/>
  <c r="B841" i="6" l="1"/>
  <c r="A841" i="6"/>
  <c r="B867" i="12"/>
  <c r="A867" i="12"/>
  <c r="B868" i="12" l="1"/>
  <c r="A868" i="12"/>
  <c r="B842" i="6"/>
  <c r="A842" i="6"/>
  <c r="B843" i="6" l="1"/>
  <c r="A843" i="6"/>
  <c r="A869" i="12"/>
  <c r="B869" i="12"/>
  <c r="A870" i="12" l="1"/>
  <c r="B870" i="12"/>
  <c r="B844" i="6"/>
  <c r="A844" i="6"/>
  <c r="A871" i="12" l="1"/>
  <c r="B871" i="12"/>
  <c r="B845" i="6"/>
  <c r="A845" i="6"/>
  <c r="B872" i="12" l="1"/>
  <c r="A872" i="12"/>
  <c r="A846" i="6"/>
  <c r="B846" i="6"/>
  <c r="A847" i="6" l="1"/>
  <c r="B847" i="6"/>
  <c r="B873" i="12"/>
  <c r="A873" i="12"/>
  <c r="A848" i="6" l="1"/>
  <c r="B848" i="6"/>
  <c r="A874" i="12"/>
  <c r="B874" i="12"/>
  <c r="B875" i="12" l="1"/>
  <c r="A875" i="12"/>
  <c r="B849" i="6"/>
  <c r="A849" i="6"/>
  <c r="A850" i="6" l="1"/>
  <c r="B850" i="6"/>
  <c r="A876" i="12"/>
  <c r="B876" i="12"/>
  <c r="B877" i="12" l="1"/>
  <c r="A877" i="12"/>
  <c r="B851" i="6"/>
  <c r="A851" i="6"/>
  <c r="B852" i="6" l="1"/>
  <c r="A852" i="6"/>
  <c r="A878" i="12"/>
  <c r="B878" i="12"/>
  <c r="A879" i="12" l="1"/>
  <c r="B879" i="12"/>
  <c r="A853" i="6"/>
  <c r="B853" i="6"/>
  <c r="A854" i="6" l="1"/>
  <c r="B854" i="6"/>
  <c r="B880" i="12"/>
  <c r="A880" i="12"/>
  <c r="B855" i="6" l="1"/>
  <c r="A855" i="6"/>
  <c r="A881" i="12"/>
  <c r="B881" i="12"/>
  <c r="A882" i="12" l="1"/>
  <c r="B882" i="12"/>
  <c r="B856" i="6"/>
  <c r="A856" i="6"/>
  <c r="B883" i="12" l="1"/>
  <c r="A883" i="12"/>
  <c r="A857" i="6"/>
  <c r="B857" i="6"/>
  <c r="A858" i="6" l="1"/>
  <c r="B858" i="6"/>
  <c r="A884" i="12"/>
  <c r="B884" i="12"/>
  <c r="A885" i="12" l="1"/>
  <c r="B885" i="12"/>
  <c r="B859" i="6"/>
  <c r="A859" i="6"/>
  <c r="B886" i="12" l="1"/>
  <c r="A886" i="12"/>
  <c r="B860" i="6"/>
  <c r="A860" i="6"/>
  <c r="B861" i="6" l="1"/>
  <c r="A861" i="6"/>
  <c r="A887" i="12"/>
  <c r="B887" i="12"/>
  <c r="B888" i="12" l="1"/>
  <c r="A888" i="12"/>
  <c r="B862" i="6"/>
  <c r="A862" i="6"/>
  <c r="B863" i="6" l="1"/>
  <c r="A863" i="6"/>
  <c r="B889" i="12"/>
  <c r="A889" i="12"/>
  <c r="A890" i="12" l="1"/>
  <c r="B890" i="12"/>
  <c r="B864" i="6"/>
  <c r="A864" i="6"/>
  <c r="A865" i="6" l="1"/>
  <c r="B865" i="6"/>
  <c r="B891" i="12"/>
  <c r="A891" i="12"/>
  <c r="A892" i="12" l="1"/>
  <c r="B892" i="12"/>
  <c r="A866" i="6"/>
  <c r="B866" i="6"/>
  <c r="B867" i="6" l="1"/>
  <c r="A867" i="6"/>
  <c r="B893" i="12"/>
  <c r="A893" i="12"/>
  <c r="B894" i="12" l="1"/>
  <c r="A894" i="12"/>
  <c r="B868" i="6"/>
  <c r="A868" i="6"/>
  <c r="B869" i="6" l="1"/>
  <c r="A869" i="6"/>
  <c r="A895" i="12"/>
  <c r="B895" i="12"/>
  <c r="B896" i="12" l="1"/>
  <c r="A896" i="12"/>
  <c r="B870" i="6"/>
  <c r="A870" i="6"/>
  <c r="B871" i="6" l="1"/>
  <c r="A871" i="6"/>
  <c r="B897" i="12"/>
  <c r="A897" i="12"/>
  <c r="A898" i="12" l="1"/>
  <c r="B898" i="12"/>
  <c r="A872" i="6"/>
  <c r="B872" i="6"/>
  <c r="B899" i="12" l="1"/>
  <c r="A899" i="12"/>
  <c r="A873" i="6"/>
  <c r="B873" i="6"/>
  <c r="A874" i="6" l="1"/>
  <c r="B874" i="6"/>
  <c r="B900" i="12"/>
  <c r="A900" i="12"/>
  <c r="B875" i="6" l="1"/>
  <c r="A875" i="6"/>
  <c r="B901" i="12"/>
  <c r="A901" i="12"/>
  <c r="A902" i="12" l="1"/>
  <c r="B902" i="12"/>
  <c r="B876" i="6"/>
  <c r="A876" i="6"/>
  <c r="A903" i="12" l="1"/>
  <c r="B903" i="12"/>
  <c r="B877" i="6"/>
  <c r="A877" i="6"/>
  <c r="B904" i="12" l="1"/>
  <c r="A904" i="12"/>
  <c r="B878" i="6"/>
  <c r="A878" i="6"/>
  <c r="B879" i="6" l="1"/>
  <c r="A879" i="6"/>
  <c r="B905" i="12"/>
  <c r="A905" i="12"/>
  <c r="A906" i="12" l="1"/>
  <c r="B906" i="12"/>
  <c r="A880" i="6"/>
  <c r="B880" i="6"/>
  <c r="B907" i="12" l="1"/>
  <c r="A907" i="12"/>
  <c r="B881" i="6"/>
  <c r="A881" i="6"/>
  <c r="A882" i="6" l="1"/>
  <c r="B882" i="6"/>
  <c r="B908" i="12"/>
  <c r="A908" i="12"/>
  <c r="B883" i="6" l="1"/>
  <c r="A883" i="6"/>
  <c r="B909" i="12"/>
  <c r="A909" i="12"/>
  <c r="B910" i="12" l="1"/>
  <c r="A910" i="12"/>
  <c r="B884" i="6"/>
  <c r="A884" i="6"/>
  <c r="B885" i="6" l="1"/>
  <c r="A885" i="6"/>
  <c r="A911" i="12"/>
  <c r="B911" i="12"/>
  <c r="B912" i="12" l="1"/>
  <c r="A912" i="12"/>
  <c r="B886" i="6"/>
  <c r="A886" i="6"/>
  <c r="B887" i="6" l="1"/>
  <c r="A887" i="6"/>
  <c r="A913" i="12"/>
  <c r="B913" i="12"/>
  <c r="A914" i="12" l="1"/>
  <c r="B914" i="12"/>
  <c r="B888" i="6"/>
  <c r="A888" i="6"/>
  <c r="B915" i="12" l="1"/>
  <c r="A915" i="12"/>
  <c r="A889" i="6"/>
  <c r="B889" i="6"/>
  <c r="A890" i="6" l="1"/>
  <c r="B890" i="6"/>
  <c r="B916" i="12"/>
  <c r="A916" i="12"/>
  <c r="B891" i="6" l="1"/>
  <c r="A891" i="6"/>
  <c r="A917" i="12"/>
  <c r="B917" i="12"/>
  <c r="A918" i="12" l="1"/>
  <c r="B918" i="12"/>
  <c r="B892" i="6"/>
  <c r="A892" i="6"/>
  <c r="A919" i="12" l="1"/>
  <c r="B919" i="12"/>
  <c r="A893" i="6"/>
  <c r="B893" i="6"/>
  <c r="B894" i="6" l="1"/>
  <c r="A894" i="6"/>
  <c r="B920" i="12"/>
  <c r="A920" i="12"/>
  <c r="B921" i="12" l="1"/>
  <c r="A921" i="12"/>
  <c r="A895" i="6"/>
  <c r="B895" i="6"/>
  <c r="B896" i="6" l="1"/>
  <c r="A896" i="6"/>
  <c r="A922" i="12"/>
  <c r="B922" i="12"/>
  <c r="B923" i="12" l="1"/>
  <c r="A923" i="12"/>
  <c r="B897" i="6"/>
  <c r="A897" i="6"/>
  <c r="A898" i="6" l="1"/>
  <c r="B898" i="6"/>
  <c r="B924" i="12"/>
  <c r="A924" i="12"/>
  <c r="A899" i="6" l="1"/>
  <c r="B899" i="6"/>
  <c r="B925" i="12"/>
  <c r="A925" i="12"/>
  <c r="B900" i="6" l="1"/>
  <c r="A900" i="6"/>
  <c r="B926" i="12"/>
  <c r="A926" i="12"/>
  <c r="A927" i="12" l="1"/>
  <c r="B927" i="12"/>
  <c r="B901" i="6"/>
  <c r="A901" i="6"/>
  <c r="B928" i="12" l="1"/>
  <c r="A928" i="12"/>
  <c r="B902" i="6"/>
  <c r="A902" i="6"/>
  <c r="B903" i="6" l="1"/>
  <c r="A903" i="6"/>
  <c r="B929" i="12"/>
  <c r="A929" i="12"/>
  <c r="A930" i="12" l="1"/>
  <c r="B930" i="12"/>
  <c r="B904" i="6"/>
  <c r="A904" i="6"/>
  <c r="B931" i="12" l="1"/>
  <c r="A931" i="12"/>
  <c r="B905" i="6"/>
  <c r="A905" i="6"/>
  <c r="B906" i="6" l="1"/>
  <c r="A906" i="6"/>
  <c r="A932" i="12"/>
  <c r="B932" i="12"/>
  <c r="B933" i="12" l="1"/>
  <c r="A933" i="12"/>
  <c r="A907" i="6"/>
  <c r="B907" i="6"/>
  <c r="B908" i="6" l="1"/>
  <c r="A908" i="6"/>
  <c r="A934" i="12"/>
  <c r="B934" i="12"/>
  <c r="A935" i="12" l="1"/>
  <c r="B935" i="12"/>
  <c r="A909" i="6"/>
  <c r="B909" i="6"/>
  <c r="B910" i="6" l="1"/>
  <c r="A910" i="6"/>
  <c r="B936" i="12"/>
  <c r="A936" i="12"/>
  <c r="B937" i="12" l="1"/>
  <c r="A937" i="12"/>
  <c r="B911" i="6"/>
  <c r="A911" i="6"/>
  <c r="B912" i="6" l="1"/>
  <c r="A912" i="6"/>
  <c r="A938" i="12"/>
  <c r="B938" i="12"/>
  <c r="B939" i="12" l="1"/>
  <c r="A939" i="12"/>
  <c r="A913" i="6"/>
  <c r="B913" i="6"/>
  <c r="A914" i="6" l="1"/>
  <c r="B914" i="6"/>
  <c r="B940" i="12"/>
  <c r="A940" i="12"/>
  <c r="B915" i="6" l="1"/>
  <c r="A915" i="6"/>
  <c r="B941" i="12"/>
  <c r="A941" i="12"/>
  <c r="B942" i="12" l="1"/>
  <c r="A942" i="12"/>
  <c r="B916" i="6"/>
  <c r="A916" i="6"/>
  <c r="B917" i="6" l="1"/>
  <c r="A917" i="6"/>
  <c r="A943" i="12"/>
  <c r="B943" i="12"/>
  <c r="B944" i="12" l="1"/>
  <c r="A944" i="12"/>
  <c r="B918" i="6"/>
  <c r="A918" i="6"/>
  <c r="B919" i="6" l="1"/>
  <c r="A919" i="6"/>
  <c r="A945" i="12"/>
  <c r="B945" i="12"/>
  <c r="A946" i="12" l="1"/>
  <c r="B946" i="12"/>
  <c r="A920" i="6"/>
  <c r="B920" i="6"/>
  <c r="A921" i="6" l="1"/>
  <c r="B921" i="6"/>
  <c r="B947" i="12"/>
  <c r="A947" i="12"/>
  <c r="A922" i="6" l="1"/>
  <c r="B922" i="6"/>
  <c r="B948" i="12"/>
  <c r="A948" i="12"/>
  <c r="B923" i="6" l="1"/>
  <c r="A923" i="6"/>
  <c r="A949" i="12"/>
  <c r="B949" i="12"/>
  <c r="A950" i="12" l="1"/>
  <c r="B950" i="12"/>
  <c r="B924" i="6"/>
  <c r="A924" i="6"/>
  <c r="A951" i="12" l="1"/>
  <c r="B951" i="12"/>
  <c r="B925" i="6"/>
  <c r="A925" i="6"/>
  <c r="B952" i="12" l="1"/>
  <c r="A952" i="12"/>
  <c r="B926" i="6"/>
  <c r="A926" i="6"/>
  <c r="B927" i="6" l="1"/>
  <c r="A927" i="6"/>
  <c r="B953" i="12"/>
  <c r="A953" i="12"/>
  <c r="A954" i="12" l="1"/>
  <c r="B954" i="12"/>
  <c r="A928" i="6"/>
  <c r="B928" i="6"/>
  <c r="B929" i="6" l="1"/>
  <c r="A929" i="6"/>
  <c r="B955" i="12"/>
  <c r="A955" i="12"/>
  <c r="A956" i="12" l="1"/>
  <c r="B956" i="12"/>
  <c r="A930" i="6"/>
  <c r="B930" i="6"/>
  <c r="B957" i="12" l="1"/>
  <c r="A957" i="12"/>
  <c r="A931" i="6"/>
  <c r="B931" i="6"/>
  <c r="B932" i="6" l="1"/>
  <c r="A932" i="6"/>
  <c r="B958" i="12"/>
  <c r="A958" i="12"/>
  <c r="A959" i="12" l="1"/>
  <c r="B959" i="12"/>
  <c r="B933" i="6"/>
  <c r="A933" i="6"/>
  <c r="B934" i="6" l="1"/>
  <c r="A934" i="6"/>
  <c r="B960" i="12"/>
  <c r="A960" i="12"/>
  <c r="A961" i="12" l="1"/>
  <c r="B961" i="12"/>
  <c r="A935" i="6"/>
  <c r="B935" i="6"/>
  <c r="A962" i="12" l="1"/>
  <c r="B962" i="12"/>
  <c r="A936" i="6"/>
  <c r="B936" i="6"/>
  <c r="B963" i="12" l="1"/>
  <c r="A963" i="12"/>
  <c r="B937" i="6"/>
  <c r="A937" i="6"/>
  <c r="A938" i="6" l="1"/>
  <c r="B938" i="6"/>
  <c r="A964" i="12"/>
  <c r="B964" i="12"/>
  <c r="B965" i="12" l="1"/>
  <c r="A965" i="12"/>
  <c r="A939" i="6"/>
  <c r="B939" i="6"/>
  <c r="B940" i="6" l="1"/>
  <c r="A940" i="6"/>
  <c r="A966" i="12"/>
  <c r="B966" i="12"/>
  <c r="A967" i="12" l="1"/>
  <c r="B967" i="12"/>
  <c r="A941" i="6"/>
  <c r="B941" i="6"/>
  <c r="B968" i="12" l="1"/>
  <c r="A968" i="12"/>
  <c r="B942" i="6"/>
  <c r="A942" i="6"/>
  <c r="B943" i="6" l="1"/>
  <c r="A943" i="6"/>
  <c r="B969" i="12"/>
  <c r="A969" i="12"/>
  <c r="A970" i="12" l="1"/>
  <c r="B970" i="12"/>
  <c r="B944" i="6"/>
  <c r="A944" i="6"/>
  <c r="B971" i="12" l="1"/>
  <c r="A971" i="12"/>
  <c r="A945" i="6"/>
  <c r="B945" i="6"/>
  <c r="A946" i="6" l="1"/>
  <c r="B946" i="6"/>
  <c r="B972" i="12"/>
  <c r="A972" i="12"/>
  <c r="B947" i="6" l="1"/>
  <c r="A947" i="6"/>
  <c r="B973" i="12"/>
  <c r="A973" i="12"/>
  <c r="A974" i="12" l="1"/>
  <c r="B974" i="12"/>
  <c r="B948" i="6"/>
  <c r="A948" i="6"/>
  <c r="A975" i="12" l="1"/>
  <c r="B975" i="12"/>
  <c r="A949" i="6"/>
  <c r="B949" i="6"/>
  <c r="B950" i="6" l="1"/>
  <c r="A950" i="6"/>
  <c r="B976" i="12"/>
  <c r="A976" i="12"/>
  <c r="A977" i="12" l="1"/>
  <c r="B977" i="12"/>
  <c r="B951" i="6"/>
  <c r="A951" i="6"/>
  <c r="A978" i="12" l="1"/>
  <c r="B978" i="12"/>
  <c r="B952" i="6"/>
  <c r="A952" i="6"/>
  <c r="B979" i="12" l="1"/>
  <c r="A979" i="12"/>
  <c r="B953" i="6"/>
  <c r="A953" i="6"/>
  <c r="A954" i="6" l="1"/>
  <c r="B954" i="6"/>
  <c r="A980" i="12"/>
  <c r="B980" i="12"/>
  <c r="A981" i="12" l="1"/>
  <c r="B981" i="12"/>
  <c r="A955" i="6"/>
  <c r="B955" i="6"/>
  <c r="A982" i="12" l="1"/>
  <c r="B982" i="12"/>
  <c r="B956" i="6"/>
  <c r="A956" i="6"/>
  <c r="A983" i="12" l="1"/>
  <c r="B983" i="12"/>
  <c r="B957" i="6"/>
  <c r="A957" i="6"/>
  <c r="B984" i="12" l="1"/>
  <c r="A984" i="12"/>
  <c r="A958" i="6"/>
  <c r="B958" i="6"/>
  <c r="A959" i="6" l="1"/>
  <c r="B959" i="6"/>
  <c r="B985" i="12"/>
  <c r="A985" i="12"/>
  <c r="A960" i="6" l="1"/>
  <c r="B960" i="6"/>
  <c r="A986" i="12"/>
  <c r="B986" i="12"/>
  <c r="B987" i="12" l="1"/>
  <c r="A987" i="12"/>
  <c r="B961" i="6"/>
  <c r="A961" i="6"/>
  <c r="A962" i="6" l="1"/>
  <c r="B962" i="6"/>
  <c r="A988" i="12"/>
  <c r="B988" i="12"/>
  <c r="A963" i="6" l="1"/>
  <c r="B963" i="6"/>
  <c r="B989" i="12"/>
  <c r="A989" i="12"/>
  <c r="B964" i="6" l="1"/>
  <c r="A964" i="6"/>
  <c r="B990" i="12"/>
  <c r="A990" i="12"/>
  <c r="A991" i="12" l="1"/>
  <c r="B991" i="12"/>
  <c r="B965" i="6"/>
  <c r="A965" i="6"/>
  <c r="B992" i="12" l="1"/>
  <c r="A992" i="12"/>
  <c r="B966" i="6"/>
  <c r="A966" i="6"/>
  <c r="B967" i="6" l="1"/>
  <c r="A967" i="6"/>
  <c r="A993" i="12"/>
  <c r="B993" i="12"/>
  <c r="A994" i="12" l="1"/>
  <c r="B994" i="12"/>
  <c r="B968" i="6"/>
  <c r="A968" i="6"/>
  <c r="B995" i="12" l="1"/>
  <c r="A995" i="12"/>
  <c r="B969" i="6"/>
  <c r="A969" i="6"/>
  <c r="B970" i="6" l="1"/>
  <c r="A970" i="6"/>
  <c r="B996" i="12"/>
  <c r="A996" i="12"/>
  <c r="B997" i="12" l="1"/>
  <c r="A997" i="12"/>
  <c r="A971" i="6"/>
  <c r="B971" i="6"/>
  <c r="B972" i="6" l="1"/>
  <c r="A972" i="6"/>
  <c r="A998" i="12"/>
  <c r="B998" i="12"/>
  <c r="A999" i="12" l="1"/>
  <c r="B999" i="12"/>
  <c r="A973" i="6"/>
  <c r="B973" i="6"/>
  <c r="B974" i="6" l="1"/>
  <c r="A974" i="6"/>
  <c r="B1000" i="12"/>
  <c r="A1000" i="12"/>
  <c r="B1001" i="12" l="1"/>
  <c r="A1001" i="12"/>
  <c r="B975" i="6"/>
  <c r="A975" i="6"/>
  <c r="A976" i="6" l="1"/>
  <c r="B976" i="6"/>
  <c r="A1002" i="12"/>
  <c r="B1002" i="12"/>
  <c r="B1003" i="12" l="1"/>
  <c r="A1003" i="12"/>
  <c r="A977" i="6"/>
  <c r="B977" i="6"/>
  <c r="A978" i="6" l="1"/>
  <c r="B978" i="6"/>
  <c r="A1004" i="12"/>
  <c r="B1004" i="12"/>
  <c r="B1005" i="12" l="1"/>
  <c r="A1005" i="12"/>
  <c r="B979" i="6"/>
  <c r="A979" i="6"/>
  <c r="B980" i="6" l="1"/>
  <c r="A980" i="6"/>
  <c r="B1006" i="12"/>
  <c r="A1006" i="12"/>
  <c r="A1007" i="12" l="1"/>
  <c r="B1007" i="12"/>
  <c r="B981" i="6"/>
  <c r="A981" i="6"/>
  <c r="B1008" i="12" l="1"/>
  <c r="A1008" i="12"/>
  <c r="B982" i="6"/>
  <c r="A982" i="6"/>
  <c r="A983" i="6" l="1"/>
  <c r="B983" i="6"/>
  <c r="B1009" i="12"/>
  <c r="A1009" i="12"/>
  <c r="B984" i="6" l="1"/>
  <c r="A984" i="6"/>
  <c r="A1010" i="12"/>
  <c r="B1010" i="12"/>
  <c r="B1011" i="12" l="1"/>
  <c r="A1011" i="12"/>
  <c r="B985" i="6"/>
  <c r="A985" i="6"/>
  <c r="A986" i="6" l="1"/>
  <c r="B986" i="6"/>
  <c r="B1012" i="12"/>
  <c r="A1012" i="12"/>
  <c r="A987" i="6" l="1"/>
  <c r="B987" i="6"/>
  <c r="B1013" i="12"/>
  <c r="A1013" i="12"/>
  <c r="B988" i="6" l="1"/>
  <c r="A988" i="6"/>
  <c r="A1014" i="12"/>
  <c r="B1014" i="12"/>
  <c r="A1015" i="12" l="1"/>
  <c r="B1015" i="12"/>
  <c r="B989" i="6"/>
  <c r="A989" i="6"/>
  <c r="B1016" i="12" l="1"/>
  <c r="A1016" i="12"/>
  <c r="B990" i="6"/>
  <c r="A990" i="6"/>
  <c r="A991" i="6" l="1"/>
  <c r="B991" i="6"/>
  <c r="A1017" i="12"/>
  <c r="B1017" i="12"/>
  <c r="B992" i="6" l="1"/>
  <c r="A992" i="6"/>
  <c r="A1018" i="12"/>
  <c r="B1018" i="12"/>
  <c r="B1019" i="12" l="1"/>
  <c r="A1019" i="12"/>
  <c r="A993" i="6"/>
  <c r="B993" i="6"/>
  <c r="A994" i="6" l="1"/>
  <c r="B994" i="6"/>
  <c r="A1020" i="12"/>
  <c r="B1020" i="12"/>
  <c r="B1021" i="12" l="1"/>
  <c r="A1021" i="12"/>
  <c r="B995" i="6"/>
  <c r="A995" i="6"/>
  <c r="B996" i="6" l="1"/>
  <c r="A996" i="6"/>
  <c r="B1022" i="12"/>
  <c r="A1022" i="12"/>
  <c r="A1023" i="12" l="1"/>
  <c r="B1023" i="12"/>
  <c r="B997" i="6"/>
  <c r="A997" i="6"/>
  <c r="B1024" i="12" l="1"/>
  <c r="A1024" i="12"/>
  <c r="B998" i="6"/>
  <c r="A998" i="6"/>
  <c r="B999" i="6" l="1"/>
  <c r="A999" i="6"/>
  <c r="B1025" i="12"/>
  <c r="A1025" i="12"/>
  <c r="A1026" i="12" l="1"/>
  <c r="B1026" i="12"/>
  <c r="A1000" i="6"/>
  <c r="B1000" i="6"/>
  <c r="A1001" i="6" l="1"/>
  <c r="B1001" i="6"/>
  <c r="B1027" i="12"/>
  <c r="A1027" i="12"/>
  <c r="A1002" i="6" l="1"/>
  <c r="B1002" i="6"/>
  <c r="B1028" i="12"/>
  <c r="A1028" i="12"/>
  <c r="A1003" i="6" l="1"/>
  <c r="B1003" i="6"/>
  <c r="B1029" i="12"/>
  <c r="A1029" i="12"/>
  <c r="B1004" i="6" l="1"/>
  <c r="A1004" i="6"/>
  <c r="A1030" i="12"/>
  <c r="B1030" i="12"/>
  <c r="A1031" i="12" l="1"/>
  <c r="B1031" i="12"/>
  <c r="B1005" i="6"/>
  <c r="A1005" i="6"/>
  <c r="B1032" i="12" l="1"/>
  <c r="A1032" i="12"/>
  <c r="B1006" i="6"/>
  <c r="A1006" i="6"/>
  <c r="B1007" i="6" l="1"/>
  <c r="A1007" i="6"/>
  <c r="B1033" i="12"/>
  <c r="A1033" i="12"/>
  <c r="A1034" i="12" l="1"/>
  <c r="B1034" i="12"/>
  <c r="A1008" i="6"/>
  <c r="B1008" i="6"/>
  <c r="B1009" i="6" l="1"/>
  <c r="A1009" i="6"/>
  <c r="B1035" i="12"/>
  <c r="A1035" i="12"/>
  <c r="A1036" i="12" l="1"/>
  <c r="B1036" i="12"/>
  <c r="A1010" i="6"/>
  <c r="B1010" i="6"/>
  <c r="B1037" i="12" l="1"/>
  <c r="A1037" i="12"/>
  <c r="B1011" i="6"/>
  <c r="A1011" i="6"/>
  <c r="B1012" i="6" l="1"/>
  <c r="A1012" i="6"/>
  <c r="B1038" i="12"/>
  <c r="A1038" i="12"/>
  <c r="A1039" i="12" l="1"/>
  <c r="B1039" i="12"/>
  <c r="B1013" i="6"/>
  <c r="A1013" i="6"/>
  <c r="B1040" i="12" l="1"/>
  <c r="A1040" i="12"/>
  <c r="A1014" i="6"/>
  <c r="B1014" i="6"/>
  <c r="B1015" i="6" l="1"/>
  <c r="A1015" i="6"/>
  <c r="A1041" i="12"/>
  <c r="B1041" i="12"/>
  <c r="A1042" i="12" l="1"/>
  <c r="B1042" i="12"/>
  <c r="B1016" i="6"/>
  <c r="A1016" i="6"/>
  <c r="B1043" i="12" l="1"/>
  <c r="A1043" i="12"/>
  <c r="B1017" i="6"/>
  <c r="A1017" i="6"/>
  <c r="A1018" i="6" l="1"/>
  <c r="B1018" i="6"/>
  <c r="B1044" i="12"/>
  <c r="A1044" i="12"/>
  <c r="B1019" i="6" l="1"/>
  <c r="A1019" i="6"/>
  <c r="B1045" i="12"/>
  <c r="A1045" i="12"/>
  <c r="A1046" i="12" l="1"/>
  <c r="B1046" i="12"/>
  <c r="B1020" i="6"/>
  <c r="A1020" i="6"/>
  <c r="A1047" i="12" l="1"/>
  <c r="B1047" i="12"/>
  <c r="B1021" i="6"/>
  <c r="A1021" i="6"/>
  <c r="B1048" i="12" l="1"/>
  <c r="A1048" i="12"/>
  <c r="B1022" i="6"/>
  <c r="A1022" i="6"/>
  <c r="A1023" i="6" l="1"/>
  <c r="B1023" i="6"/>
  <c r="A1049" i="12"/>
  <c r="B1049" i="12"/>
  <c r="A1024" i="6" l="1"/>
  <c r="B1024" i="6"/>
  <c r="A1050" i="12"/>
  <c r="B1050" i="12"/>
  <c r="B1025" i="6" l="1"/>
  <c r="A1025" i="6"/>
  <c r="B1051" i="12"/>
  <c r="A1051" i="12"/>
  <c r="A1052" i="12" l="1"/>
  <c r="B1052" i="12"/>
  <c r="A1026" i="6"/>
  <c r="B1026" i="6"/>
  <c r="B1027" i="6" l="1"/>
  <c r="A1027" i="6"/>
  <c r="A1053" i="12"/>
  <c r="B1053" i="12"/>
  <c r="B1054" i="12" l="1"/>
  <c r="A1054" i="12"/>
  <c r="B1028" i="6"/>
  <c r="A1028" i="6"/>
  <c r="A1029" i="6" l="1"/>
  <c r="B1029" i="6"/>
  <c r="A1055" i="12"/>
  <c r="B1055" i="12"/>
  <c r="B1056" i="12" l="1"/>
  <c r="A1056" i="12"/>
  <c r="B1030" i="6"/>
  <c r="A1030" i="6"/>
  <c r="A1031" i="6" l="1"/>
  <c r="B1031" i="6"/>
  <c r="B1057" i="12"/>
  <c r="A1057" i="12"/>
  <c r="B1032" i="6" l="1"/>
  <c r="A1032" i="6"/>
  <c r="A1058" i="12"/>
  <c r="B1058" i="12"/>
  <c r="B1059" i="12" l="1"/>
  <c r="A1059" i="12"/>
  <c r="B1033" i="6"/>
  <c r="A1033" i="6"/>
  <c r="B1034" i="6" l="1"/>
  <c r="A1034" i="6"/>
  <c r="A1060" i="12"/>
  <c r="B1060" i="12"/>
  <c r="B1061" i="12" l="1"/>
  <c r="A1061" i="12"/>
  <c r="A1035" i="6"/>
  <c r="B1035" i="6"/>
  <c r="B1036" i="6" l="1"/>
  <c r="A1036" i="6"/>
  <c r="A1062" i="12"/>
  <c r="B1062" i="12"/>
  <c r="A1063" i="12" l="1"/>
  <c r="B1063" i="12"/>
  <c r="B1037" i="6"/>
  <c r="A1037" i="6"/>
  <c r="B1064" i="12" l="1"/>
  <c r="A1064" i="12"/>
  <c r="B1038" i="6"/>
  <c r="A1038" i="6"/>
  <c r="B1039" i="6" l="1"/>
  <c r="A1039" i="6"/>
  <c r="A1065" i="12"/>
  <c r="B1065" i="12"/>
  <c r="A1066" i="12" l="1"/>
  <c r="B1066" i="12"/>
  <c r="B1040" i="6"/>
  <c r="A1040" i="6"/>
  <c r="B1067" i="12" l="1"/>
  <c r="A1067" i="12"/>
  <c r="B1041" i="6"/>
  <c r="A1041" i="6"/>
  <c r="A1042" i="6" l="1"/>
  <c r="B1042" i="6"/>
  <c r="A1068" i="12"/>
  <c r="B1068" i="12"/>
  <c r="B1069" i="12" l="1"/>
  <c r="A1069" i="12"/>
  <c r="B1043" i="6"/>
  <c r="A1043" i="6"/>
  <c r="B1044" i="6" l="1"/>
  <c r="A1044" i="6"/>
  <c r="B1070" i="12"/>
  <c r="A1070" i="12"/>
  <c r="A1071" i="12" l="1"/>
  <c r="B1071" i="12"/>
  <c r="B1045" i="6"/>
  <c r="A1045" i="6"/>
  <c r="B1072" i="12" l="1"/>
  <c r="A1072" i="12"/>
  <c r="B1046" i="6"/>
  <c r="A1046" i="6"/>
  <c r="B1047" i="6" l="1"/>
  <c r="A1047" i="6"/>
  <c r="A1073" i="12"/>
  <c r="B1073" i="12"/>
  <c r="A1074" i="12" l="1"/>
  <c r="B1074" i="12"/>
  <c r="B1048" i="6"/>
  <c r="A1048" i="6"/>
  <c r="B1075" i="12" l="1"/>
  <c r="A1075" i="12"/>
  <c r="A1049" i="6"/>
  <c r="B1049" i="6"/>
  <c r="A1050" i="6" l="1"/>
  <c r="B1050" i="6"/>
  <c r="B1076" i="12"/>
  <c r="A1076" i="12"/>
  <c r="B1051" i="6" l="1"/>
  <c r="A1051" i="6"/>
  <c r="A1077" i="12"/>
  <c r="B1077" i="12"/>
  <c r="A1078" i="12" l="1"/>
  <c r="B1078" i="12"/>
  <c r="B1052" i="6"/>
  <c r="A1052" i="6"/>
  <c r="A1079" i="12" l="1"/>
  <c r="B1079" i="12"/>
  <c r="B1053" i="6"/>
  <c r="A1053" i="6"/>
  <c r="B1080" i="12" l="1"/>
  <c r="A1080" i="12"/>
  <c r="B1054" i="6"/>
  <c r="A1054" i="6"/>
  <c r="A1055" i="6" l="1"/>
  <c r="B1055" i="6"/>
  <c r="A1081" i="12"/>
  <c r="B1081" i="12"/>
  <c r="A1082" i="12" l="1"/>
  <c r="B1082" i="12"/>
  <c r="A1056" i="6"/>
  <c r="B1056" i="6"/>
  <c r="B1057" i="6" l="1"/>
  <c r="A1057" i="6"/>
  <c r="B1083" i="12"/>
  <c r="A1083" i="12"/>
  <c r="A1084" i="12" l="1"/>
  <c r="B1084" i="12"/>
  <c r="A1058" i="6"/>
  <c r="B1058" i="6"/>
  <c r="B1059" i="6" l="1"/>
  <c r="A1059" i="6"/>
  <c r="B1085" i="12"/>
  <c r="A1085" i="12"/>
  <c r="B1086" i="12" l="1"/>
  <c r="A1086" i="12"/>
  <c r="B1060" i="6"/>
  <c r="A1060" i="6"/>
  <c r="B1061" i="6" l="1"/>
  <c r="A1061" i="6"/>
  <c r="A1087" i="12"/>
  <c r="B1087" i="12"/>
  <c r="B1088" i="12" l="1"/>
  <c r="A1088" i="12"/>
  <c r="B1062" i="6"/>
  <c r="A1062" i="6"/>
  <c r="A1063" i="6" l="1"/>
  <c r="B1063" i="6"/>
  <c r="A1089" i="12"/>
  <c r="B1089" i="12"/>
  <c r="A1090" i="12" l="1"/>
  <c r="B1090" i="12"/>
  <c r="A1064" i="6"/>
  <c r="B1064" i="6"/>
  <c r="B1065" i="6" l="1"/>
  <c r="A1065" i="6"/>
  <c r="B1091" i="12"/>
  <c r="A1091" i="12"/>
  <c r="A1092" i="12" l="1"/>
  <c r="B1092" i="12"/>
  <c r="A1066" i="6"/>
  <c r="B1066" i="6"/>
  <c r="A1067" i="6" l="1"/>
  <c r="B1067" i="6"/>
  <c r="A1093" i="12"/>
  <c r="B1093" i="12"/>
  <c r="B1068" i="6" l="1"/>
  <c r="A1068" i="6"/>
  <c r="B1094" i="12"/>
  <c r="A1094" i="12"/>
  <c r="A1095" i="12" l="1"/>
  <c r="B1095" i="12"/>
  <c r="B1069" i="6"/>
  <c r="A1069" i="6"/>
  <c r="B1096" i="12" l="1"/>
  <c r="A1096" i="12"/>
  <c r="B1070" i="6"/>
  <c r="A1070" i="6"/>
  <c r="B1071" i="6" l="1"/>
  <c r="A1071" i="6"/>
  <c r="A1097" i="12"/>
  <c r="B1097" i="12"/>
  <c r="A1098" i="12" l="1"/>
  <c r="B1098" i="12"/>
  <c r="B1072" i="6"/>
  <c r="A1072" i="6"/>
  <c r="B1099" i="12" l="1"/>
  <c r="A1099" i="12"/>
  <c r="A1073" i="6"/>
  <c r="B1073" i="6"/>
  <c r="A1074" i="6" l="1"/>
  <c r="B1074" i="6"/>
  <c r="B1100" i="12"/>
  <c r="A1100" i="12"/>
  <c r="B1075" i="6" l="1"/>
  <c r="A1075" i="6"/>
  <c r="B1101" i="12"/>
  <c r="A1101" i="12"/>
  <c r="A1102" i="12" l="1"/>
  <c r="B1102" i="12"/>
  <c r="B1076" i="6"/>
  <c r="A1076" i="6"/>
  <c r="A1103" i="12" l="1"/>
  <c r="B1103" i="12"/>
  <c r="A1077" i="6"/>
  <c r="B1077" i="6"/>
  <c r="B1078" i="6" l="1"/>
  <c r="A1078" i="6"/>
  <c r="B1104" i="12"/>
  <c r="A1104" i="12"/>
  <c r="A1105" i="12" l="1"/>
  <c r="B1105" i="12"/>
  <c r="B1079" i="6"/>
  <c r="A1079" i="6"/>
  <c r="A1106" i="12" l="1"/>
  <c r="B1106" i="12"/>
  <c r="B1080" i="6"/>
  <c r="A1080" i="6"/>
  <c r="B1107" i="12" l="1"/>
  <c r="A1107" i="12"/>
  <c r="A1081" i="6"/>
  <c r="B1081" i="6"/>
  <c r="A1082" i="6" l="1"/>
  <c r="B1082" i="6"/>
  <c r="A1108" i="12"/>
  <c r="B1108" i="12"/>
  <c r="A1109" i="12" l="1"/>
  <c r="B1109" i="12"/>
  <c r="A1083" i="6"/>
  <c r="B1083" i="6"/>
  <c r="B1084" i="6" l="1"/>
  <c r="A1084" i="6"/>
  <c r="B1110" i="12"/>
  <c r="A1110" i="12"/>
  <c r="A1111" i="12" l="1"/>
  <c r="B1111" i="12"/>
  <c r="B1085" i="6"/>
  <c r="A1085" i="6"/>
  <c r="B1112" i="12" l="1"/>
  <c r="A1112" i="12"/>
  <c r="A1086" i="6"/>
  <c r="B1086" i="6"/>
  <c r="B1087" i="6" l="1"/>
  <c r="A1087" i="6"/>
  <c r="B1113" i="12"/>
  <c r="A1113" i="12"/>
  <c r="A1114" i="12" l="1"/>
  <c r="B1114" i="12"/>
  <c r="A1088" i="6"/>
  <c r="B1088" i="6"/>
  <c r="B1089" i="6" l="1"/>
  <c r="A1089" i="6"/>
  <c r="B1115" i="12"/>
  <c r="A1115" i="12"/>
  <c r="A1116" i="12" l="1"/>
  <c r="B1116" i="12"/>
  <c r="A1090" i="6"/>
  <c r="B1090" i="6"/>
  <c r="B1091" i="6" l="1"/>
  <c r="A1091" i="6"/>
  <c r="A1117" i="12"/>
  <c r="B1117" i="12"/>
  <c r="B1118" i="12" l="1"/>
  <c r="A1118" i="12"/>
  <c r="B1092" i="6"/>
  <c r="A1092" i="6"/>
  <c r="B1093" i="6" l="1"/>
  <c r="A1093" i="6"/>
  <c r="A1119" i="12"/>
  <c r="B1119" i="12"/>
  <c r="B1120" i="12" l="1"/>
  <c r="A1120" i="12"/>
  <c r="B1094" i="6"/>
  <c r="A1094" i="6"/>
  <c r="B1095" i="6" l="1"/>
  <c r="A1095" i="6"/>
  <c r="A1121" i="12"/>
  <c r="B1121" i="12"/>
  <c r="A1122" i="12" l="1"/>
  <c r="B1122" i="12"/>
  <c r="A1096" i="6"/>
  <c r="B1096" i="6"/>
  <c r="A1097" i="6" l="1"/>
  <c r="B1097" i="6"/>
  <c r="B1123" i="12"/>
  <c r="A1123" i="12"/>
  <c r="B1098" i="6" l="1"/>
  <c r="A1098" i="6"/>
  <c r="B1124" i="12"/>
  <c r="A1124" i="12"/>
  <c r="A1125" i="12" l="1"/>
  <c r="B1125" i="12"/>
  <c r="A1099" i="6"/>
  <c r="B1099" i="6"/>
  <c r="A1126" i="12" l="1"/>
  <c r="B1126" i="12"/>
  <c r="B1100" i="6"/>
  <c r="A1100" i="6"/>
  <c r="A1127" i="12" l="1"/>
  <c r="B1127" i="12"/>
  <c r="B1101" i="6"/>
  <c r="A1101" i="6"/>
  <c r="B1128" i="12" l="1"/>
  <c r="A1128" i="12"/>
  <c r="B1102" i="6"/>
  <c r="A1102" i="6"/>
  <c r="A1103" i="6" l="1"/>
  <c r="B1103" i="6"/>
  <c r="B1129" i="12"/>
  <c r="A1129" i="12"/>
  <c r="A1104" i="6" l="1"/>
  <c r="B1104" i="6"/>
  <c r="A1130" i="12"/>
  <c r="B1130" i="12"/>
  <c r="B1131" i="12" l="1"/>
  <c r="A1131" i="12"/>
  <c r="B1105" i="6"/>
  <c r="A1105" i="6"/>
  <c r="A1106" i="6" l="1"/>
  <c r="B1106" i="6"/>
  <c r="B1132" i="12"/>
  <c r="A1132" i="12"/>
  <c r="B1107" i="6" l="1"/>
  <c r="A1107" i="6"/>
  <c r="B1133" i="12"/>
  <c r="A1133" i="12"/>
  <c r="A1134" i="12" l="1"/>
  <c r="B1134" i="12"/>
  <c r="B1108" i="6"/>
  <c r="A1108" i="6"/>
  <c r="A1135" i="12" l="1"/>
  <c r="B1135" i="12"/>
  <c r="A1109" i="6"/>
  <c r="B1109" i="6"/>
  <c r="B1136" i="12" l="1"/>
  <c r="A1136" i="12"/>
  <c r="B1110" i="6"/>
  <c r="A1110" i="6"/>
  <c r="B1111" i="6" l="1"/>
  <c r="A1111" i="6"/>
  <c r="A1137" i="12"/>
  <c r="B1137" i="12"/>
  <c r="A1138" i="12" l="1"/>
  <c r="B1138" i="12"/>
  <c r="A1112" i="6"/>
  <c r="B1112" i="6"/>
  <c r="B1113" i="6" l="1"/>
  <c r="A1113" i="6"/>
  <c r="B1139" i="12"/>
  <c r="A1139" i="12"/>
  <c r="A1140" i="12" l="1"/>
  <c r="B1140" i="12"/>
  <c r="A1114" i="6"/>
  <c r="B1114" i="6"/>
  <c r="B1115" i="6" l="1"/>
  <c r="A1115" i="6"/>
  <c r="A1141" i="12"/>
  <c r="B1141" i="12"/>
  <c r="B1142" i="12" l="1"/>
  <c r="A1142" i="12"/>
  <c r="B1116" i="6"/>
  <c r="A1116" i="6"/>
  <c r="B1117" i="6" l="1"/>
  <c r="A1117" i="6"/>
  <c r="A1143" i="12"/>
  <c r="B1143" i="12"/>
  <c r="B1144" i="12" l="1"/>
  <c r="A1144" i="12"/>
  <c r="B1118" i="6"/>
  <c r="A1118" i="6"/>
  <c r="A1119" i="6" l="1"/>
  <c r="B1119" i="6"/>
  <c r="A1145" i="12"/>
  <c r="B1145" i="12"/>
  <c r="A1146" i="12" l="1"/>
  <c r="B1146" i="12"/>
  <c r="B1120" i="6"/>
  <c r="A1120" i="6"/>
  <c r="B1147" i="12" l="1"/>
  <c r="A1147" i="12"/>
  <c r="B1121" i="6"/>
  <c r="A1121" i="6"/>
  <c r="A1122" i="6" l="1"/>
  <c r="B1122" i="6"/>
  <c r="A1148" i="12"/>
  <c r="B1148" i="12"/>
  <c r="B1149" i="12" l="1"/>
  <c r="A1149" i="12"/>
  <c r="A1123" i="6"/>
  <c r="B1123" i="6"/>
  <c r="B1124" i="6" l="1"/>
  <c r="A1124" i="6"/>
  <c r="A1150" i="12"/>
  <c r="B1150" i="12"/>
  <c r="A1151" i="12" l="1"/>
  <c r="B1151" i="12"/>
  <c r="A1125" i="6"/>
  <c r="B1125" i="6"/>
  <c r="B1152" i="12" l="1"/>
  <c r="A1152" i="12"/>
  <c r="B1126" i="6"/>
  <c r="A1126" i="6"/>
  <c r="A1127" i="6" l="1"/>
  <c r="B1127" i="6"/>
  <c r="B1153" i="12"/>
  <c r="A1153" i="12"/>
  <c r="A1154" i="12" l="1"/>
  <c r="B1154" i="12"/>
  <c r="B1128" i="6"/>
  <c r="A1128" i="6"/>
  <c r="B1155" i="12" l="1"/>
  <c r="A1155" i="12"/>
  <c r="B1129" i="6"/>
  <c r="A1129" i="6"/>
  <c r="A1130" i="6" l="1"/>
  <c r="B1130" i="6"/>
  <c r="B1156" i="12"/>
  <c r="A1156" i="12"/>
  <c r="B1131" i="6" l="1"/>
  <c r="A1131" i="6"/>
  <c r="B1157" i="12"/>
  <c r="A1157" i="12"/>
  <c r="A1158" i="12" l="1"/>
  <c r="B1158" i="12"/>
  <c r="B1132" i="6"/>
  <c r="A1132" i="6"/>
  <c r="A1133" i="6" l="1"/>
  <c r="B1133" i="6"/>
  <c r="A1159" i="12"/>
  <c r="B1159" i="12"/>
  <c r="B1160" i="12" l="1"/>
  <c r="A1160" i="12"/>
  <c r="B1134" i="6"/>
  <c r="A1134" i="6"/>
  <c r="B1135" i="6" l="1"/>
  <c r="A1135" i="6"/>
  <c r="B1161" i="12"/>
  <c r="A1161" i="12"/>
  <c r="A1162" i="12" l="1"/>
  <c r="B1162" i="12"/>
  <c r="B1136" i="6"/>
  <c r="A1136" i="6"/>
  <c r="B1163" i="12" l="1"/>
  <c r="A1163" i="12"/>
  <c r="B1137" i="6"/>
  <c r="A1137" i="6"/>
  <c r="A1138" i="6" l="1"/>
  <c r="B1138" i="6"/>
  <c r="B1164" i="12"/>
  <c r="A1164" i="12"/>
  <c r="B1139" i="6" l="1"/>
  <c r="A1139" i="6"/>
  <c r="B1165" i="12"/>
  <c r="A1165" i="12"/>
  <c r="A1166" i="12" l="1"/>
  <c r="B1166" i="12"/>
  <c r="B1140" i="6"/>
  <c r="A1140" i="6"/>
  <c r="A1167" i="12" l="1"/>
  <c r="B1167" i="12"/>
  <c r="B1141" i="6"/>
  <c r="A1141" i="6"/>
  <c r="B1168" i="12" l="1"/>
  <c r="A1168" i="12"/>
  <c r="B1142" i="6"/>
  <c r="A1142" i="6"/>
  <c r="B1143" i="6" l="1"/>
  <c r="A1143" i="6"/>
  <c r="A1169" i="12"/>
  <c r="B1169" i="12"/>
  <c r="A1170" i="12" l="1"/>
  <c r="B1170" i="12"/>
  <c r="B1144" i="6"/>
  <c r="A1144" i="6"/>
  <c r="B1171" i="12" l="1"/>
  <c r="A1171" i="12"/>
  <c r="A1145" i="6"/>
  <c r="B1145" i="6"/>
  <c r="A1146" i="6" l="1"/>
  <c r="B1146" i="6"/>
  <c r="B1172" i="12"/>
  <c r="A1172" i="12"/>
  <c r="B1147" i="6" l="1"/>
  <c r="A1147" i="6"/>
  <c r="A1173" i="12"/>
  <c r="B1173" i="12"/>
  <c r="A1174" i="12" l="1"/>
  <c r="B1174" i="12"/>
  <c r="B1148" i="6"/>
  <c r="A1148" i="6"/>
  <c r="A1175" i="12" l="1"/>
  <c r="B1175" i="12"/>
  <c r="B1149" i="6"/>
  <c r="A1149" i="6"/>
  <c r="B1176" i="12" l="1"/>
  <c r="A1176" i="12"/>
  <c r="A1150" i="6"/>
  <c r="B1150" i="6"/>
  <c r="B1151" i="6" l="1"/>
  <c r="A1151" i="6"/>
  <c r="A1177" i="12"/>
  <c r="B1177" i="12"/>
  <c r="A1178" i="12" l="1"/>
  <c r="B1178" i="12"/>
  <c r="B1152" i="6"/>
  <c r="A1152" i="6"/>
  <c r="B1179" i="12" l="1"/>
  <c r="A1179" i="12"/>
  <c r="B1153" i="6"/>
  <c r="A1153" i="6"/>
  <c r="A1154" i="6" l="1"/>
  <c r="B1154" i="6"/>
  <c r="B1180" i="12"/>
  <c r="A1180" i="12"/>
  <c r="A1155" i="6" l="1"/>
  <c r="B1155" i="6"/>
  <c r="B1181" i="12"/>
  <c r="A1181" i="12"/>
  <c r="B1156" i="6" l="1"/>
  <c r="A1156" i="6"/>
  <c r="A1182" i="12"/>
  <c r="B1182" i="12"/>
  <c r="A1183" i="12" l="1"/>
  <c r="B1183" i="12"/>
  <c r="B1157" i="6"/>
  <c r="A1157" i="6"/>
  <c r="B1184" i="12" l="1"/>
  <c r="A1184" i="12"/>
  <c r="A1158" i="6"/>
  <c r="B1158" i="6"/>
  <c r="A1159" i="6" l="1"/>
  <c r="B1159" i="6"/>
  <c r="B1185" i="12"/>
  <c r="A1185" i="12"/>
  <c r="A1160" i="6" l="1"/>
  <c r="B1160" i="6"/>
  <c r="A1186" i="12"/>
  <c r="B1186" i="12"/>
  <c r="B1187" i="12" l="1"/>
  <c r="A1187" i="12"/>
  <c r="A1161" i="6"/>
  <c r="B1161" i="6"/>
  <c r="B1162" i="6" l="1"/>
  <c r="A1162" i="6"/>
  <c r="A1188" i="12"/>
  <c r="B1188" i="12"/>
  <c r="B1189" i="12" l="1"/>
  <c r="A1189" i="12"/>
  <c r="B1163" i="6"/>
  <c r="A1163" i="6"/>
  <c r="B1164" i="6" l="1"/>
  <c r="A1164" i="6"/>
  <c r="A1190" i="12"/>
  <c r="B1190" i="12"/>
  <c r="A1191" i="12" l="1"/>
  <c r="B1191" i="12"/>
  <c r="A1165" i="6"/>
  <c r="B1165" i="6"/>
  <c r="B1166" i="6" l="1"/>
  <c r="A1166" i="6"/>
  <c r="B1192" i="12"/>
  <c r="A1192" i="12"/>
  <c r="A1193" i="12" l="1"/>
  <c r="B1193" i="12"/>
  <c r="B1167" i="6"/>
  <c r="A1167" i="6"/>
  <c r="A1194" i="12" l="1"/>
  <c r="B1194" i="12"/>
  <c r="B1168" i="6"/>
  <c r="A1168" i="6"/>
  <c r="B1195" i="12" l="1"/>
  <c r="A1195" i="12"/>
  <c r="B1169" i="6"/>
  <c r="A1169" i="6"/>
  <c r="A1170" i="6" l="1"/>
  <c r="B1170" i="6"/>
  <c r="B1196" i="12"/>
  <c r="A1196" i="12"/>
  <c r="B1171" i="6" l="1"/>
  <c r="A1171" i="6"/>
  <c r="B1197" i="12"/>
  <c r="A1197" i="12"/>
  <c r="B1198" i="12" l="1"/>
  <c r="A1198" i="12"/>
  <c r="A1172" i="6"/>
  <c r="B1172" i="6"/>
  <c r="B1173" i="6" l="1"/>
  <c r="A1173" i="6"/>
  <c r="A1199" i="12"/>
  <c r="B1199" i="12"/>
  <c r="B1200" i="12" l="1"/>
  <c r="A1200" i="12"/>
  <c r="B1174" i="6"/>
  <c r="A1174" i="6"/>
  <c r="A1175" i="6" l="1"/>
  <c r="B1175" i="6"/>
  <c r="A1201" i="12"/>
  <c r="B1201" i="12"/>
  <c r="A1202" i="12" l="1"/>
  <c r="B1202" i="12"/>
  <c r="B1176" i="6"/>
  <c r="A1176" i="6"/>
  <c r="A1177" i="6" l="1"/>
  <c r="B1177" i="6"/>
  <c r="B1203" i="12"/>
  <c r="A1203" i="12"/>
  <c r="B1204" i="12" l="1"/>
  <c r="A1204" i="12"/>
  <c r="A1178" i="6"/>
  <c r="B1178" i="6"/>
  <c r="B1179" i="6" l="1"/>
  <c r="A1179" i="6"/>
  <c r="A1205" i="12"/>
  <c r="B1205" i="12"/>
  <c r="A1206" i="12" l="1"/>
  <c r="B1206" i="12"/>
  <c r="B1180" i="6"/>
  <c r="A1180" i="6"/>
  <c r="A1207" i="12" l="1"/>
  <c r="B1207" i="12"/>
  <c r="A1181" i="6"/>
  <c r="B1181" i="6"/>
  <c r="B1182" i="6" l="1"/>
  <c r="A1182" i="6"/>
  <c r="B1208" i="12"/>
  <c r="A1208" i="12"/>
  <c r="B1209" i="12" l="1"/>
  <c r="A1209" i="12"/>
  <c r="B1183" i="6"/>
  <c r="A1183" i="6"/>
  <c r="B1184" i="6" l="1"/>
  <c r="A1184" i="6"/>
  <c r="A1210" i="12"/>
  <c r="B1210" i="12"/>
  <c r="B1211" i="12" l="1"/>
  <c r="A1211" i="12"/>
  <c r="B1185" i="6"/>
  <c r="A1185" i="6"/>
  <c r="A1186" i="6" l="1"/>
  <c r="B1186" i="6"/>
  <c r="A1212" i="12"/>
  <c r="B1212" i="12"/>
  <c r="B1213" i="12" l="1"/>
  <c r="A1213" i="12"/>
  <c r="B1187" i="6"/>
  <c r="A1187" i="6"/>
  <c r="B1188" i="6" l="1"/>
  <c r="A1188" i="6"/>
  <c r="A1214" i="12"/>
  <c r="B1214" i="12"/>
  <c r="A1215" i="12" l="1"/>
  <c r="B1215" i="12"/>
  <c r="A1189" i="6"/>
  <c r="B1189" i="6"/>
  <c r="B1216" i="12" l="1"/>
  <c r="A1216" i="12"/>
  <c r="A1190" i="6"/>
  <c r="B1190" i="6"/>
  <c r="B1191" i="6" l="1"/>
  <c r="A1191" i="6"/>
  <c r="A1217" i="12"/>
  <c r="B1217" i="12"/>
  <c r="A1218" i="12" l="1"/>
  <c r="B1218" i="12"/>
  <c r="A1192" i="6"/>
  <c r="B1192" i="6"/>
  <c r="B1193" i="6" l="1"/>
  <c r="A1193" i="6"/>
  <c r="B1219" i="12"/>
  <c r="A1219" i="12"/>
  <c r="A1220" i="12" l="1"/>
  <c r="B1220" i="12"/>
  <c r="A1194" i="6"/>
  <c r="B1194" i="6"/>
  <c r="B1195" i="6" l="1"/>
  <c r="A1195" i="6"/>
  <c r="B1221" i="12"/>
  <c r="A1221" i="12"/>
  <c r="A1222" i="12" l="1"/>
  <c r="B1222" i="12"/>
  <c r="A1196" i="6"/>
  <c r="B1196" i="6"/>
  <c r="B1197" i="6" l="1"/>
  <c r="A1197" i="6"/>
  <c r="A1223" i="12"/>
  <c r="B1223" i="12"/>
  <c r="B1224" i="12" l="1"/>
  <c r="A1224" i="12"/>
  <c r="B1198" i="6"/>
  <c r="A1198" i="6"/>
  <c r="A1199" i="6" l="1"/>
  <c r="B1199" i="6"/>
  <c r="A1225" i="12"/>
  <c r="B1225" i="12"/>
  <c r="B1200" i="6" l="1"/>
  <c r="A1200" i="6"/>
  <c r="A1226" i="12"/>
  <c r="B1226" i="12"/>
  <c r="B1227" i="12" l="1"/>
  <c r="A1227" i="12"/>
  <c r="B1201" i="6"/>
  <c r="A1201" i="6"/>
  <c r="A1202" i="6" l="1"/>
  <c r="B1202" i="6"/>
  <c r="B1228" i="12"/>
  <c r="A1228" i="12"/>
  <c r="B1203" i="6" l="1"/>
  <c r="A1203" i="6"/>
  <c r="B1229" i="12"/>
  <c r="A1229" i="12"/>
  <c r="B1230" i="12" l="1"/>
  <c r="A1230" i="12"/>
  <c r="A1204" i="6"/>
  <c r="B1204" i="6"/>
  <c r="B1205" i="6" l="1"/>
  <c r="A1205" i="6"/>
  <c r="A1231" i="12"/>
  <c r="B1231" i="12"/>
  <c r="B1232" i="12" l="1"/>
  <c r="A1232" i="12"/>
  <c r="A1206" i="6"/>
  <c r="B1206" i="6"/>
  <c r="B1207" i="6" l="1"/>
  <c r="A1207" i="6"/>
  <c r="A1233" i="12"/>
  <c r="B1233" i="12"/>
  <c r="A1234" i="12" l="1"/>
  <c r="B1234" i="12"/>
  <c r="A1208" i="6"/>
  <c r="B1208" i="6"/>
  <c r="B1209" i="6" l="1"/>
  <c r="A1209" i="6"/>
  <c r="B1235" i="12"/>
  <c r="A1235" i="12"/>
  <c r="B1236" i="12" l="1"/>
  <c r="A1236" i="12"/>
  <c r="A1210" i="6"/>
  <c r="B1210" i="6"/>
  <c r="B1211" i="6" l="1"/>
  <c r="A1211" i="6"/>
  <c r="A1237" i="12"/>
  <c r="B1237" i="12"/>
  <c r="B1238" i="12" l="1"/>
  <c r="A1238" i="12"/>
  <c r="B1212" i="6"/>
  <c r="A1212" i="6"/>
  <c r="A1213" i="6" l="1"/>
  <c r="B1213" i="6"/>
  <c r="A1239" i="12"/>
  <c r="B1239" i="12"/>
  <c r="B1240" i="12" l="1"/>
  <c r="A1240" i="12"/>
  <c r="B1214" i="6"/>
  <c r="A1214" i="6"/>
  <c r="A1215" i="6" l="1"/>
  <c r="B1215" i="6"/>
  <c r="B1241" i="12"/>
  <c r="A1241" i="12"/>
  <c r="A1242" i="12" l="1"/>
  <c r="B1242" i="12"/>
  <c r="B1216" i="6"/>
  <c r="A1216" i="6"/>
  <c r="B1217" i="6" l="1"/>
  <c r="A1217" i="6"/>
  <c r="B1243" i="12"/>
  <c r="A1243" i="12"/>
  <c r="A1244" i="12" l="1"/>
  <c r="B1244" i="12"/>
  <c r="A1218" i="6"/>
  <c r="B1218" i="6"/>
  <c r="B1219" i="6" l="1"/>
  <c r="A1219" i="6"/>
  <c r="B1245" i="12"/>
  <c r="A1245" i="12"/>
  <c r="B1246" i="12" l="1"/>
  <c r="A1246" i="12"/>
  <c r="B1220" i="6"/>
  <c r="A1220" i="6"/>
  <c r="B1221" i="6" l="1"/>
  <c r="A1221" i="6"/>
  <c r="A1247" i="12"/>
  <c r="B1247" i="12"/>
  <c r="B1248" i="12" l="1"/>
  <c r="A1248" i="12"/>
  <c r="B1222" i="6"/>
  <c r="A1222" i="6"/>
  <c r="A1223" i="6" l="1"/>
  <c r="B1223" i="6"/>
  <c r="B1249" i="12"/>
  <c r="A1249" i="12"/>
  <c r="A1250" i="12" l="1"/>
  <c r="B1250" i="12"/>
  <c r="A1224" i="6"/>
  <c r="B1224" i="6"/>
  <c r="B1251" i="12" l="1"/>
  <c r="A1251" i="12"/>
  <c r="B1225" i="6"/>
  <c r="A1225" i="6"/>
  <c r="A1226" i="6" l="1"/>
  <c r="B1226" i="6"/>
  <c r="B1252" i="12"/>
  <c r="A1252" i="12"/>
  <c r="B1227" i="6" l="1"/>
  <c r="A1227" i="6"/>
  <c r="B1253" i="12"/>
  <c r="A1253" i="12"/>
  <c r="A1254" i="12" l="1"/>
  <c r="B1254" i="12"/>
  <c r="B1228" i="6"/>
  <c r="A1228" i="6"/>
  <c r="B1229" i="6" l="1"/>
  <c r="A1229" i="6"/>
  <c r="A1255" i="12"/>
  <c r="B1255" i="12"/>
  <c r="B1256" i="12" l="1"/>
  <c r="A1256" i="12"/>
  <c r="B1230" i="6"/>
  <c r="A1230" i="6"/>
  <c r="B1231" i="6" l="1"/>
  <c r="A1231" i="6"/>
  <c r="B1257" i="12"/>
  <c r="A1257" i="12"/>
  <c r="A1258" i="12" l="1"/>
  <c r="B1258" i="12"/>
  <c r="B1232" i="6"/>
  <c r="A1232" i="6"/>
  <c r="B1259" i="12" l="1"/>
  <c r="A1259" i="12"/>
  <c r="A1233" i="6"/>
  <c r="B1233" i="6"/>
  <c r="A1234" i="6" l="1"/>
  <c r="B1234" i="6"/>
  <c r="A1260" i="12"/>
  <c r="B1260" i="12"/>
  <c r="B1261" i="12" l="1"/>
  <c r="A1261" i="12"/>
  <c r="B1235" i="6"/>
  <c r="A1235" i="6"/>
  <c r="A1236" i="6" l="1"/>
  <c r="B1236" i="6"/>
  <c r="B1262" i="12"/>
  <c r="A1262" i="12"/>
  <c r="B1237" i="6" l="1"/>
  <c r="A1237" i="6"/>
  <c r="A1263" i="12"/>
  <c r="B1263" i="12"/>
  <c r="B1264" i="12" l="1"/>
  <c r="A1264" i="12"/>
  <c r="A1238" i="6"/>
  <c r="B1238" i="6"/>
  <c r="B1239" i="6" l="1"/>
  <c r="A1239" i="6"/>
  <c r="B1265" i="12"/>
  <c r="A1265" i="12"/>
  <c r="A1266" i="12" l="1"/>
  <c r="B1266" i="12"/>
  <c r="A1240" i="6"/>
  <c r="B1240" i="6"/>
  <c r="B1267" i="12" l="1"/>
  <c r="A1267" i="12"/>
  <c r="B1241" i="6"/>
  <c r="A1241" i="6"/>
  <c r="A1242" i="6" l="1"/>
  <c r="B1242" i="6"/>
  <c r="B1268" i="12"/>
  <c r="A1268" i="12"/>
  <c r="B1269" i="12" l="1"/>
  <c r="A1269" i="12"/>
  <c r="B1243" i="6"/>
  <c r="A1243" i="6"/>
  <c r="A1244" i="6" l="1"/>
  <c r="B1244" i="6"/>
  <c r="A1270" i="12"/>
  <c r="B1270" i="12"/>
  <c r="A1271" i="12" l="1"/>
  <c r="B1271" i="12"/>
  <c r="A1245" i="6"/>
  <c r="B1245" i="6"/>
  <c r="B1246" i="6" l="1"/>
  <c r="A1246" i="6"/>
  <c r="B1272" i="12"/>
  <c r="A1272" i="12"/>
  <c r="A1273" i="12" l="1"/>
  <c r="B1273" i="12"/>
  <c r="B1247" i="6"/>
  <c r="A1247" i="6"/>
  <c r="A1274" i="12" l="1"/>
  <c r="B1274" i="12"/>
  <c r="A1248" i="6"/>
  <c r="B1248" i="6"/>
  <c r="B1249" i="6" l="1"/>
  <c r="A1249" i="6"/>
  <c r="B1275" i="12"/>
  <c r="A1275" i="12"/>
  <c r="A1276" i="12" l="1"/>
  <c r="B1276" i="12"/>
  <c r="A1250" i="6"/>
  <c r="B1250" i="6"/>
  <c r="B1251" i="6" l="1"/>
  <c r="A1251" i="6"/>
  <c r="B1277" i="12"/>
  <c r="A1277" i="12"/>
  <c r="B1278" i="12" l="1"/>
  <c r="A1278" i="12"/>
  <c r="B1252" i="6"/>
  <c r="A1252" i="6"/>
  <c r="B1253" i="6" l="1"/>
  <c r="A1253" i="6"/>
  <c r="A1279" i="12"/>
  <c r="B1279" i="12"/>
  <c r="B1280" i="12" l="1"/>
  <c r="A1280" i="12"/>
  <c r="A1254" i="6"/>
  <c r="B1254" i="6"/>
  <c r="B1255" i="6" l="1"/>
  <c r="A1255" i="6"/>
  <c r="B1281" i="12"/>
  <c r="A1281" i="12"/>
  <c r="A1282" i="12" l="1"/>
  <c r="B1282" i="12"/>
  <c r="A1256" i="6"/>
  <c r="B1256" i="6"/>
  <c r="B1257" i="6" l="1"/>
  <c r="A1257" i="6"/>
  <c r="B1283" i="12"/>
  <c r="A1283" i="12"/>
  <c r="B1284" i="12" l="1"/>
  <c r="A1284" i="12"/>
  <c r="A1258" i="6"/>
  <c r="B1258" i="6"/>
  <c r="B1259" i="6" l="1"/>
  <c r="A1259" i="6"/>
  <c r="B1285" i="12"/>
  <c r="A1285" i="12"/>
  <c r="A1286" i="12" l="1"/>
  <c r="B1286" i="12"/>
  <c r="B1260" i="6"/>
  <c r="A1260" i="6"/>
  <c r="A1287" i="12" l="1"/>
  <c r="B1287" i="12"/>
  <c r="B1261" i="6"/>
  <c r="A1261" i="6"/>
  <c r="B1288" i="12" l="1"/>
  <c r="A1288" i="12"/>
  <c r="B1262" i="6"/>
  <c r="A1262" i="6"/>
  <c r="A1263" i="6" l="1"/>
  <c r="B1263" i="6"/>
  <c r="B1289" i="12"/>
  <c r="A1289" i="12"/>
  <c r="B1264" i="6" l="1"/>
  <c r="A1264" i="6"/>
  <c r="A1290" i="12"/>
  <c r="B1290" i="12"/>
  <c r="B1291" i="12" l="1"/>
  <c r="A1291" i="12"/>
  <c r="B1265" i="6"/>
  <c r="A1265" i="6"/>
  <c r="A1266" i="6" l="1"/>
  <c r="B1266" i="6"/>
  <c r="A1292" i="12"/>
  <c r="B1292" i="12"/>
  <c r="B1267" i="6" l="1"/>
  <c r="A1267" i="6"/>
  <c r="B1293" i="12"/>
  <c r="A1293" i="12"/>
  <c r="B1294" i="12" l="1"/>
  <c r="A1294" i="12"/>
  <c r="B1268" i="6"/>
  <c r="A1268" i="6"/>
  <c r="B1269" i="6" l="1"/>
  <c r="A1269" i="6"/>
  <c r="A1295" i="12"/>
  <c r="B1295" i="12"/>
  <c r="B1296" i="12" l="1"/>
  <c r="A1296" i="12"/>
  <c r="B1270" i="6"/>
  <c r="A1270" i="6"/>
  <c r="B1271" i="6" l="1"/>
  <c r="A1271" i="6"/>
  <c r="A1297" i="12"/>
  <c r="B1297" i="12"/>
  <c r="A1298" i="12" l="1"/>
  <c r="B1298" i="12"/>
  <c r="A1272" i="6"/>
  <c r="B1272" i="6"/>
  <c r="B1273" i="6" l="1"/>
  <c r="A1273" i="6"/>
  <c r="B1299" i="12"/>
  <c r="A1299" i="12"/>
  <c r="B1300" i="12" l="1"/>
  <c r="A1300" i="12"/>
  <c r="A1274" i="6"/>
  <c r="B1274" i="6"/>
  <c r="B1275" i="6" l="1"/>
  <c r="A1275" i="6"/>
  <c r="B1301" i="12"/>
  <c r="A1301" i="12"/>
  <c r="B1302" i="12" l="1"/>
  <c r="A1302" i="12"/>
  <c r="A1276" i="6"/>
  <c r="B1276" i="6"/>
  <c r="B1277" i="6" l="1"/>
  <c r="A1277" i="6"/>
  <c r="A1303" i="12"/>
  <c r="B1303" i="12"/>
  <c r="B1304" i="12" l="1"/>
  <c r="A1304" i="12"/>
  <c r="B1278" i="6"/>
  <c r="A1278" i="6"/>
  <c r="A1279" i="6" l="1"/>
  <c r="B1279" i="6"/>
  <c r="A1305" i="12"/>
  <c r="B1305" i="12"/>
  <c r="A1306" i="12" l="1"/>
  <c r="B1306" i="12"/>
  <c r="B1280" i="6"/>
  <c r="A1280" i="6"/>
  <c r="B1307" i="12" l="1"/>
  <c r="A1307" i="12"/>
  <c r="A1281" i="6"/>
  <c r="B1281" i="6"/>
  <c r="A1282" i="6" l="1"/>
  <c r="B1282" i="6"/>
  <c r="A1308" i="12"/>
  <c r="B1308" i="12"/>
  <c r="A1309" i="12" l="1"/>
  <c r="B1309" i="12"/>
  <c r="B1283" i="6"/>
  <c r="A1283" i="6"/>
  <c r="B1310" i="12" l="1"/>
  <c r="A1310" i="12"/>
  <c r="A1284" i="6"/>
  <c r="B1284" i="6"/>
  <c r="B1285" i="6" l="1"/>
  <c r="A1285" i="6"/>
  <c r="A1311" i="12"/>
  <c r="B1311" i="12"/>
  <c r="B1312" i="12" l="1"/>
  <c r="A1312" i="12"/>
  <c r="A1286" i="6"/>
  <c r="B1286" i="6"/>
  <c r="A1287" i="6" l="1"/>
  <c r="B1287" i="6"/>
  <c r="B1313" i="12"/>
  <c r="A1313" i="12"/>
  <c r="B1288" i="6" l="1"/>
  <c r="A1288" i="6"/>
  <c r="A1314" i="12"/>
  <c r="B1314" i="12"/>
  <c r="B1315" i="12" l="1"/>
  <c r="A1315" i="12"/>
  <c r="A1289" i="6"/>
  <c r="B1289" i="6"/>
  <c r="A1290" i="6" l="1"/>
  <c r="B1290" i="6"/>
  <c r="B1316" i="12"/>
  <c r="A1316" i="12"/>
  <c r="B1317" i="12" l="1"/>
  <c r="A1317" i="12"/>
  <c r="B1291" i="6"/>
  <c r="A1291" i="6"/>
  <c r="B1292" i="6" l="1"/>
  <c r="A1292" i="6"/>
  <c r="A1318" i="12"/>
  <c r="B1318" i="12"/>
  <c r="A1319" i="12" l="1"/>
  <c r="B1319" i="12"/>
  <c r="B1293" i="6"/>
  <c r="A1293" i="6"/>
  <c r="B1320" i="12" l="1"/>
  <c r="A1320" i="12"/>
  <c r="B1294" i="6"/>
  <c r="A1294" i="6"/>
  <c r="B1295" i="6" l="1"/>
  <c r="A1295" i="6"/>
  <c r="B1321" i="12"/>
  <c r="A1321" i="12"/>
  <c r="A1322" i="12" l="1"/>
  <c r="B1322" i="12"/>
  <c r="A1296" i="6"/>
  <c r="B1296" i="6"/>
  <c r="A1297" i="6" l="1"/>
  <c r="B1297" i="6"/>
  <c r="B1323" i="12"/>
  <c r="A1323" i="12"/>
  <c r="A1298" i="6" l="1"/>
  <c r="B1298" i="6"/>
  <c r="A1324" i="12"/>
  <c r="B1324" i="12"/>
  <c r="B1299" i="6" l="1"/>
  <c r="A1299" i="6"/>
  <c r="B1325" i="12"/>
  <c r="A1325" i="12"/>
  <c r="B1326" i="12" l="1"/>
  <c r="A1326" i="12"/>
  <c r="A1300" i="6"/>
  <c r="B1300" i="6"/>
  <c r="B1301" i="6" l="1"/>
  <c r="A1301" i="6"/>
  <c r="A1327" i="12"/>
  <c r="B1327" i="12"/>
  <c r="B1328" i="12" l="1"/>
  <c r="A1328" i="12"/>
  <c r="B1302" i="6"/>
  <c r="A1302" i="6"/>
  <c r="B1303" i="6" l="1"/>
  <c r="A1303" i="6"/>
  <c r="A1329" i="12"/>
  <c r="B1329" i="12"/>
  <c r="A1330" i="12" l="1"/>
  <c r="B1330" i="12"/>
  <c r="A1304" i="6"/>
  <c r="B1304" i="6"/>
  <c r="B1305" i="6" l="1"/>
  <c r="A1305" i="6"/>
  <c r="B1331" i="12"/>
  <c r="A1331" i="12"/>
  <c r="B1332" i="12" l="1"/>
  <c r="A1332" i="12"/>
  <c r="A1306" i="6"/>
  <c r="B1306" i="6"/>
  <c r="B1307" i="6" l="1"/>
  <c r="A1307" i="6"/>
  <c r="B1333" i="12"/>
  <c r="A1333" i="12"/>
  <c r="B1334" i="12" l="1"/>
  <c r="A1334" i="12"/>
  <c r="B1308" i="6"/>
  <c r="A1308" i="6"/>
  <c r="A1309" i="6" l="1"/>
  <c r="B1309" i="6"/>
  <c r="A1335" i="12"/>
  <c r="B1335" i="12"/>
  <c r="B1336" i="12" l="1"/>
  <c r="A1336" i="12"/>
  <c r="B1310" i="6"/>
  <c r="A1310" i="6"/>
  <c r="A1311" i="6" l="1"/>
  <c r="B1311" i="6"/>
  <c r="A1337" i="12"/>
  <c r="B1337" i="12"/>
  <c r="A1338" i="12" l="1"/>
  <c r="B1338" i="12"/>
  <c r="B1312" i="6"/>
  <c r="A1312" i="6"/>
  <c r="B1339" i="12" l="1"/>
  <c r="A1339" i="12"/>
  <c r="B1313" i="6"/>
  <c r="A1313" i="6"/>
  <c r="A1314" i="6" l="1"/>
  <c r="B1314" i="6"/>
  <c r="A1340" i="12"/>
  <c r="B1340" i="12"/>
  <c r="A1341" i="12" l="1"/>
  <c r="B1341" i="12"/>
  <c r="B1315" i="6"/>
  <c r="A1315" i="6"/>
  <c r="B1342" i="12" l="1"/>
  <c r="A1342" i="12"/>
  <c r="A1316" i="6"/>
  <c r="B1316" i="6"/>
  <c r="A1317" i="6" l="1"/>
  <c r="B1317" i="6"/>
  <c r="A1343" i="12"/>
  <c r="B1343" i="12"/>
  <c r="B1344" i="12" l="1"/>
  <c r="A1344" i="12"/>
  <c r="A1318" i="6"/>
  <c r="B1318" i="6"/>
  <c r="B1319" i="6" l="1"/>
  <c r="A1319" i="6"/>
  <c r="A1345" i="12"/>
  <c r="B1345" i="12"/>
  <c r="A1346" i="12" l="1"/>
  <c r="B1346" i="12"/>
  <c r="B1320" i="6"/>
  <c r="A1320" i="6"/>
  <c r="B1347" i="12" l="1"/>
  <c r="A1347" i="12"/>
  <c r="A1321" i="6"/>
  <c r="B1321" i="6"/>
  <c r="A1322" i="6" l="1"/>
  <c r="B1322" i="6"/>
  <c r="B1348" i="12"/>
  <c r="A1348" i="12"/>
  <c r="B1323" i="6" l="1"/>
  <c r="A1323" i="6"/>
  <c r="A1349" i="12"/>
  <c r="B1349" i="12"/>
  <c r="B1350" i="12" l="1"/>
  <c r="A1350" i="12"/>
  <c r="B1324" i="6"/>
  <c r="A1324" i="6"/>
  <c r="B1325" i="6" l="1"/>
  <c r="A1325" i="6"/>
  <c r="A1351" i="12"/>
  <c r="B1351" i="12"/>
  <c r="B1352" i="12" l="1"/>
  <c r="A1352" i="12"/>
  <c r="B1326" i="6"/>
  <c r="A1326" i="6"/>
  <c r="A1327" i="6" l="1"/>
  <c r="B1327" i="6"/>
  <c r="A1353" i="12"/>
  <c r="B1353" i="12"/>
  <c r="B1328" i="6" l="1"/>
  <c r="A1328" i="6"/>
  <c r="A1354" i="12"/>
  <c r="B1354" i="12"/>
  <c r="B1355" i="12" l="1"/>
  <c r="A1355" i="12"/>
  <c r="B1329" i="6"/>
  <c r="A1329" i="6"/>
  <c r="B1330" i="6" l="1"/>
  <c r="A1330" i="6"/>
  <c r="B1356" i="12"/>
  <c r="A1356" i="12"/>
  <c r="B1357" i="12" l="1"/>
  <c r="A1357" i="12"/>
  <c r="B1331" i="6"/>
  <c r="A1331" i="6"/>
  <c r="B1332" i="6" l="1"/>
  <c r="A1332" i="6"/>
  <c r="B1358" i="12"/>
  <c r="A1358" i="12"/>
  <c r="A1359" i="12" l="1"/>
  <c r="B1359" i="12"/>
  <c r="B1333" i="6"/>
  <c r="A1333" i="6"/>
  <c r="B1360" i="12" l="1"/>
  <c r="A1360" i="12"/>
  <c r="A1334" i="6"/>
  <c r="B1334" i="6"/>
  <c r="A1335" i="6" l="1"/>
  <c r="B1335" i="6"/>
  <c r="A1361" i="12"/>
  <c r="B1361" i="12"/>
  <c r="A1362" i="12" l="1"/>
  <c r="B1362" i="12"/>
  <c r="B1336" i="6"/>
  <c r="A1336" i="6"/>
  <c r="B1363" i="12" l="1"/>
  <c r="A1363" i="12"/>
  <c r="B1337" i="6"/>
  <c r="A1337" i="6"/>
  <c r="A1338" i="6" l="1"/>
  <c r="B1338" i="6"/>
  <c r="B1364" i="12"/>
  <c r="A1364" i="12"/>
  <c r="B1339" i="6" l="1"/>
  <c r="A1339" i="6"/>
  <c r="A1365" i="12"/>
  <c r="B1365" i="12"/>
  <c r="B1366" i="12" l="1"/>
  <c r="A1366" i="12"/>
  <c r="A1340" i="6"/>
  <c r="B1340" i="6"/>
  <c r="B1341" i="6" l="1"/>
  <c r="A1341" i="6"/>
  <c r="A1367" i="12"/>
  <c r="B1367" i="12"/>
  <c r="B1368" i="12" l="1"/>
  <c r="A1368" i="12"/>
  <c r="B1342" i="6"/>
  <c r="A1342" i="6"/>
  <c r="B1343" i="6" l="1"/>
  <c r="A1343" i="6"/>
  <c r="A1369" i="12"/>
  <c r="B1369" i="12"/>
  <c r="A1370" i="12" l="1"/>
  <c r="B1370" i="12"/>
  <c r="B1344" i="6"/>
  <c r="A1344" i="6"/>
  <c r="B1371" i="12" l="1"/>
  <c r="A1371" i="12"/>
  <c r="B1345" i="6"/>
  <c r="A1345" i="6"/>
  <c r="B1346" i="6" l="1"/>
  <c r="A1346" i="6"/>
  <c r="A1372" i="12"/>
  <c r="B1372" i="12"/>
  <c r="B1373" i="12" l="1"/>
  <c r="A1373" i="12"/>
  <c r="B1347" i="6"/>
  <c r="A1347" i="6"/>
  <c r="A1348" i="6" l="1"/>
  <c r="B1348" i="6"/>
  <c r="B1374" i="12"/>
  <c r="A1374" i="12"/>
  <c r="B1349" i="6" l="1"/>
  <c r="A1349" i="6"/>
  <c r="A1375" i="12"/>
  <c r="B1375" i="12"/>
  <c r="B1376" i="12" l="1"/>
  <c r="A1376" i="12"/>
  <c r="A1350" i="6"/>
  <c r="B1350" i="6"/>
  <c r="A1351" i="6" l="1"/>
  <c r="B1351" i="6"/>
  <c r="A1377" i="12"/>
  <c r="B1377" i="12"/>
  <c r="A1378" i="12" l="1"/>
  <c r="B1378" i="12"/>
  <c r="B1352" i="6"/>
  <c r="A1352" i="6"/>
  <c r="B1379" i="12" l="1"/>
  <c r="A1379" i="12"/>
  <c r="B1353" i="6"/>
  <c r="A1353" i="6"/>
  <c r="B1354" i="6" l="1"/>
  <c r="A1354" i="6"/>
  <c r="B1380" i="12"/>
  <c r="A1380" i="12"/>
  <c r="B1381" i="12" l="1"/>
  <c r="A1381" i="12"/>
  <c r="B1355" i="6"/>
  <c r="A1355" i="6"/>
  <c r="B1356" i="6" l="1"/>
  <c r="A1356" i="6"/>
  <c r="A1382" i="12"/>
  <c r="B1382" i="12"/>
  <c r="A1383" i="12" l="1"/>
  <c r="B1383" i="12"/>
  <c r="B1357" i="6"/>
  <c r="A1357" i="6"/>
  <c r="A1358" i="6" l="1"/>
  <c r="B1358" i="6"/>
  <c r="B1384" i="12"/>
  <c r="A1384" i="12"/>
  <c r="A1359" i="6" l="1"/>
  <c r="B1359" i="6"/>
  <c r="B1385" i="12"/>
  <c r="A1385" i="12"/>
  <c r="B1360" i="6" l="1"/>
  <c r="A1360" i="6"/>
  <c r="A1386" i="12"/>
  <c r="B1386" i="12"/>
  <c r="B1387" i="12" l="1"/>
  <c r="A1387" i="12"/>
  <c r="B1361" i="6"/>
  <c r="A1361" i="6"/>
  <c r="A1362" i="6" l="1"/>
  <c r="B1362" i="6"/>
  <c r="B1388" i="12"/>
  <c r="A1388" i="12"/>
  <c r="B1389" i="12" l="1"/>
  <c r="A1389" i="12"/>
  <c r="B1363" i="6"/>
  <c r="A1363" i="6"/>
  <c r="B1364" i="6" l="1"/>
  <c r="A1364" i="6"/>
  <c r="A1390" i="12"/>
  <c r="B1390" i="12"/>
  <c r="A1391" i="12" l="1"/>
  <c r="B1391" i="12"/>
  <c r="B1365" i="6"/>
  <c r="A1365" i="6"/>
  <c r="B1392" i="12" l="1"/>
  <c r="A1392" i="12"/>
  <c r="B1366" i="6"/>
  <c r="A1366" i="6"/>
  <c r="A1367" i="6" l="1"/>
  <c r="B1367" i="6"/>
  <c r="A1393" i="12"/>
  <c r="B1393" i="12"/>
  <c r="A1394" i="12" l="1"/>
  <c r="B1394" i="12"/>
  <c r="A1368" i="6"/>
  <c r="B1368" i="6"/>
  <c r="B1395" i="12" l="1"/>
  <c r="A1395" i="12"/>
  <c r="A1369" i="6"/>
  <c r="B1369" i="6"/>
  <c r="B1370" i="6" l="1"/>
  <c r="A1370" i="6"/>
  <c r="B1396" i="12"/>
  <c r="A1396" i="12"/>
  <c r="B1397" i="12" l="1"/>
  <c r="A1397" i="12"/>
  <c r="B1371" i="6"/>
  <c r="A1371" i="6"/>
  <c r="B1372" i="6" l="1"/>
  <c r="A1372" i="6"/>
  <c r="B1398" i="12"/>
  <c r="A1398" i="12"/>
  <c r="A1399" i="12" l="1"/>
  <c r="B1399" i="12"/>
  <c r="A1373" i="6"/>
  <c r="B1373" i="6"/>
  <c r="B1374" i="6" l="1"/>
  <c r="A1374" i="6"/>
  <c r="B1400" i="12"/>
  <c r="A1400" i="12"/>
  <c r="A1401" i="12" l="1"/>
  <c r="B1401" i="12"/>
  <c r="B1375" i="6"/>
  <c r="A1375" i="6"/>
  <c r="A1402" i="12" l="1"/>
  <c r="B1402" i="12"/>
  <c r="B1376" i="6"/>
  <c r="A1376" i="6"/>
  <c r="B1403" i="12" l="1"/>
  <c r="A1403" i="12"/>
  <c r="B1377" i="6"/>
  <c r="A1377" i="6"/>
  <c r="A1378" i="6" l="1"/>
  <c r="B1378" i="6"/>
  <c r="A1404" i="12"/>
  <c r="B1404" i="12"/>
  <c r="A1405" i="12" l="1"/>
  <c r="B1405" i="12"/>
  <c r="B1379" i="6"/>
  <c r="A1379" i="6"/>
  <c r="A1406" i="12" l="1"/>
  <c r="B1406" i="12"/>
  <c r="B1380" i="6"/>
  <c r="A1380" i="6"/>
  <c r="A1407" i="12" l="1"/>
  <c r="B1407" i="12"/>
  <c r="B1381" i="6"/>
  <c r="A1381" i="6"/>
  <c r="B1408" i="12" l="1"/>
  <c r="A1408" i="12"/>
  <c r="A1382" i="6"/>
  <c r="B1382" i="6"/>
  <c r="B1383" i="6" l="1"/>
  <c r="A1383" i="6"/>
  <c r="B1409" i="12"/>
  <c r="A1409" i="12"/>
  <c r="A1410" i="12" l="1"/>
  <c r="B1410" i="12"/>
  <c r="B1384" i="6"/>
  <c r="A1384" i="6"/>
  <c r="B1411" i="12" l="1"/>
  <c r="A1411" i="12"/>
  <c r="B1385" i="6"/>
  <c r="A1385" i="6"/>
  <c r="A1386" i="6" l="1"/>
  <c r="B1386" i="6"/>
  <c r="B1412" i="12"/>
  <c r="A1412" i="12"/>
  <c r="B1387" i="6" l="1"/>
  <c r="A1387" i="6"/>
  <c r="B1413" i="12"/>
  <c r="A1413" i="12"/>
  <c r="A1414" i="12" l="1"/>
  <c r="B1414" i="12"/>
  <c r="B1388" i="6"/>
  <c r="A1388" i="6"/>
  <c r="A1415" i="12" l="1"/>
  <c r="B1415" i="12"/>
  <c r="B1389" i="6"/>
  <c r="A1389" i="6"/>
  <c r="B1416" i="12" l="1"/>
  <c r="A1416" i="12"/>
  <c r="B1390" i="6"/>
  <c r="A1390" i="6"/>
  <c r="A1391" i="6" l="1"/>
  <c r="B1391" i="6"/>
  <c r="B1417" i="12"/>
  <c r="A1417" i="12"/>
  <c r="B1392" i="6" l="1"/>
  <c r="A1392" i="6"/>
  <c r="A1418" i="12"/>
  <c r="B1418" i="12"/>
  <c r="B1419" i="12" l="1"/>
  <c r="A1419" i="12"/>
  <c r="B1393" i="6"/>
  <c r="A1393" i="6"/>
  <c r="A1394" i="6" l="1"/>
  <c r="B1394" i="6"/>
  <c r="B1420" i="12"/>
  <c r="A1420" i="12"/>
  <c r="B1421" i="12" l="1"/>
  <c r="A1421" i="12"/>
  <c r="B1395" i="6"/>
  <c r="A1395" i="6"/>
  <c r="B1396" i="6" l="1"/>
  <c r="A1396" i="6"/>
  <c r="A1422" i="12"/>
  <c r="B1422" i="12"/>
  <c r="A1423" i="12" l="1"/>
  <c r="B1423" i="12"/>
  <c r="B1397" i="6"/>
  <c r="A1397" i="6"/>
  <c r="B1424" i="12" l="1"/>
  <c r="A1424" i="12"/>
  <c r="A1398" i="6"/>
  <c r="B1398" i="6"/>
  <c r="A1399" i="6" l="1"/>
  <c r="B1399" i="6"/>
  <c r="A1425" i="12"/>
  <c r="B1425" i="12"/>
  <c r="A1426" i="12" l="1"/>
  <c r="B1426" i="12"/>
  <c r="B1400" i="6"/>
  <c r="A1400" i="6"/>
  <c r="B1427" i="12" l="1"/>
  <c r="A1427" i="12"/>
  <c r="B1401" i="6"/>
  <c r="A1401" i="6"/>
  <c r="B1402" i="6" l="1"/>
  <c r="A1402" i="6"/>
  <c r="B1428" i="12"/>
  <c r="A1428" i="12"/>
  <c r="B1429" i="12" l="1"/>
  <c r="A1429" i="12"/>
  <c r="B1403" i="6"/>
  <c r="A1403" i="6"/>
  <c r="A1404" i="6" l="1"/>
  <c r="B1404" i="6"/>
  <c r="B1430" i="12"/>
  <c r="A1430" i="12"/>
  <c r="B1405" i="6" l="1"/>
  <c r="A1405" i="6"/>
  <c r="A1431" i="12"/>
  <c r="B1431" i="12"/>
  <c r="B1432" i="12" l="1"/>
  <c r="A1432" i="12"/>
  <c r="B1406" i="6"/>
  <c r="A1406" i="6"/>
  <c r="A1407" i="6" l="1"/>
  <c r="B1407" i="6"/>
  <c r="B1433" i="12"/>
  <c r="A1433" i="12"/>
  <c r="B1408" i="6" l="1"/>
  <c r="A1408" i="6"/>
  <c r="A1434" i="12"/>
  <c r="B1434" i="12"/>
  <c r="B1435" i="12" l="1"/>
  <c r="A1435" i="12"/>
  <c r="B1409" i="6"/>
  <c r="A1409" i="6"/>
  <c r="B1410" i="6" l="1"/>
  <c r="A1410" i="6"/>
  <c r="B1436" i="12"/>
  <c r="A1436" i="12"/>
  <c r="A1437" i="12" l="1"/>
  <c r="B1437" i="12"/>
  <c r="B1411" i="6"/>
  <c r="A1411" i="6"/>
  <c r="A1438" i="12" l="1"/>
  <c r="B1438" i="12"/>
  <c r="B1412" i="6"/>
  <c r="A1412" i="6"/>
  <c r="A1439" i="12" l="1"/>
  <c r="B1439" i="12"/>
  <c r="B1413" i="6"/>
  <c r="A1413" i="6"/>
  <c r="B1440" i="12" l="1"/>
  <c r="A1440" i="12"/>
  <c r="B1414" i="6"/>
  <c r="A1414" i="6"/>
  <c r="A1415" i="6" l="1"/>
  <c r="B1415" i="6"/>
  <c r="B1441" i="12"/>
  <c r="A1441" i="12"/>
  <c r="B1416" i="6" l="1"/>
  <c r="A1416" i="6"/>
  <c r="A1442" i="12"/>
  <c r="B1442" i="12"/>
  <c r="B1443" i="12" l="1"/>
  <c r="A1443" i="12"/>
  <c r="B1417" i="6"/>
  <c r="A1417" i="6"/>
  <c r="A1418" i="6" l="1"/>
  <c r="B1418" i="6"/>
  <c r="A1444" i="12"/>
  <c r="B1444" i="12"/>
  <c r="B1419" i="6" l="1"/>
  <c r="A1419" i="6"/>
  <c r="B1445" i="12"/>
  <c r="A1445" i="12"/>
  <c r="A1446" i="12" l="1"/>
  <c r="B1446" i="12"/>
  <c r="B1420" i="6"/>
  <c r="A1420" i="6"/>
  <c r="A1447" i="12" l="1"/>
  <c r="B1447" i="12"/>
  <c r="B1421" i="6"/>
  <c r="A1421" i="6"/>
  <c r="B1448" i="12" l="1"/>
  <c r="A1448" i="12"/>
  <c r="A1422" i="6"/>
  <c r="B1422" i="6"/>
  <c r="A1423" i="6" l="1"/>
  <c r="B1423" i="6"/>
  <c r="B1449" i="12"/>
  <c r="A1449" i="12"/>
  <c r="B1424" i="6" l="1"/>
  <c r="A1424" i="6"/>
  <c r="A1450" i="12"/>
  <c r="B1450" i="12"/>
  <c r="B1451" i="12" l="1"/>
  <c r="A1451" i="12"/>
  <c r="A1425" i="6"/>
  <c r="B1425" i="6"/>
  <c r="B1426" i="6" l="1"/>
  <c r="A1426" i="6"/>
  <c r="B1452" i="12"/>
  <c r="A1452" i="12"/>
  <c r="B1453" i="12" l="1"/>
  <c r="A1453" i="12"/>
  <c r="B1427" i="6"/>
  <c r="A1427" i="6"/>
  <c r="A1428" i="6" l="1"/>
  <c r="B1428" i="6"/>
  <c r="A1454" i="12"/>
  <c r="B1454" i="12"/>
  <c r="A1455" i="12" l="1"/>
  <c r="B1455" i="12"/>
  <c r="B1429" i="6"/>
  <c r="A1429" i="6"/>
  <c r="B1456" i="12" l="1"/>
  <c r="A1456" i="12"/>
  <c r="B1430" i="6"/>
  <c r="A1430" i="6"/>
  <c r="A1431" i="6" l="1"/>
  <c r="B1431" i="6"/>
  <c r="A1457" i="12"/>
  <c r="B1457" i="12"/>
  <c r="A1458" i="12" l="1"/>
  <c r="B1458" i="12"/>
  <c r="B1432" i="6"/>
  <c r="A1432" i="6"/>
  <c r="B1459" i="12" l="1"/>
  <c r="A1459" i="12"/>
  <c r="A1433" i="6"/>
  <c r="B1433" i="6"/>
  <c r="B1434" i="6" l="1"/>
  <c r="A1434" i="6"/>
  <c r="B1460" i="12"/>
  <c r="A1460" i="12"/>
  <c r="B1461" i="12" l="1"/>
  <c r="A1461" i="12"/>
  <c r="B1435" i="6"/>
  <c r="A1435" i="6"/>
  <c r="B1436" i="6" l="1"/>
  <c r="A1436" i="6"/>
  <c r="A1462" i="12"/>
  <c r="B1462" i="12"/>
  <c r="A1463" i="12" l="1"/>
  <c r="B1463" i="12"/>
  <c r="B1437" i="6"/>
  <c r="A1437" i="6"/>
  <c r="B1464" i="12" l="1"/>
  <c r="A1464" i="12"/>
  <c r="B1438" i="6"/>
  <c r="A1438" i="6"/>
  <c r="A1439" i="6" l="1"/>
  <c r="B1439" i="6"/>
  <c r="B1465" i="12"/>
  <c r="A1465" i="12"/>
  <c r="A1440" i="6" l="1"/>
  <c r="B1440" i="6"/>
  <c r="A1466" i="12"/>
  <c r="B1466" i="12"/>
  <c r="B1467" i="12" l="1"/>
  <c r="A1467" i="12"/>
  <c r="A1441" i="6"/>
  <c r="B1441" i="6"/>
  <c r="B1442" i="6" l="1"/>
  <c r="A1442" i="6"/>
  <c r="A1468" i="12"/>
  <c r="B1468" i="12"/>
  <c r="A1469" i="12" l="1"/>
  <c r="B1469" i="12"/>
  <c r="B1443" i="6"/>
  <c r="A1443" i="6"/>
  <c r="A1470" i="12" l="1"/>
  <c r="B1470" i="12"/>
  <c r="B1444" i="6"/>
  <c r="A1444" i="6"/>
  <c r="A1471" i="12" l="1"/>
  <c r="B1471" i="12"/>
  <c r="B1445" i="6"/>
  <c r="A1445" i="6"/>
  <c r="B1472" i="12" l="1"/>
  <c r="A1472" i="12"/>
  <c r="A1446" i="6"/>
  <c r="B1446" i="6"/>
  <c r="B1447" i="6" l="1"/>
  <c r="A1447" i="6"/>
  <c r="B1473" i="12"/>
  <c r="A1473" i="12"/>
  <c r="A1474" i="12" l="1"/>
  <c r="B1474" i="12"/>
  <c r="B1448" i="6"/>
  <c r="A1448" i="6"/>
  <c r="B1449" i="6" l="1"/>
  <c r="A1449" i="6"/>
  <c r="B1475" i="12"/>
  <c r="A1475" i="12"/>
  <c r="A1476" i="12" l="1"/>
  <c r="B1476" i="12"/>
  <c r="A1450" i="6"/>
  <c r="B1450" i="6"/>
  <c r="B1477" i="12" l="1"/>
  <c r="A1477" i="12"/>
  <c r="B1451" i="6"/>
  <c r="A1451" i="6"/>
  <c r="A1452" i="6" l="1"/>
  <c r="B1452" i="6"/>
  <c r="A1478" i="12"/>
  <c r="B1478" i="12"/>
  <c r="A1479" i="12" l="1"/>
  <c r="B1479" i="12"/>
  <c r="B1453" i="6"/>
  <c r="A1453" i="6"/>
  <c r="B1480" i="12" l="1"/>
  <c r="A1480" i="12"/>
  <c r="B1454" i="6"/>
  <c r="A1454" i="6"/>
  <c r="A1455" i="6" l="1"/>
  <c r="B1455" i="6"/>
  <c r="B1481" i="12"/>
  <c r="A1481" i="12"/>
  <c r="B1456" i="6" l="1"/>
  <c r="A1456" i="6"/>
  <c r="A1482" i="12"/>
  <c r="B1482" i="12"/>
  <c r="B1483" i="12" l="1"/>
  <c r="A1483" i="12"/>
  <c r="A1457" i="6"/>
  <c r="B1457" i="6"/>
  <c r="B1458" i="6" l="1"/>
  <c r="A1458" i="6"/>
  <c r="B1484" i="12"/>
  <c r="A1484" i="12"/>
  <c r="B1485" i="12" l="1"/>
  <c r="A1485" i="12"/>
  <c r="B1459" i="6"/>
  <c r="A1459" i="6"/>
  <c r="A1460" i="6" l="1"/>
  <c r="B1460" i="6"/>
  <c r="A1486" i="12"/>
  <c r="B1486" i="12"/>
  <c r="A1487" i="12" l="1"/>
  <c r="B1487" i="12"/>
  <c r="B1461" i="6"/>
  <c r="A1461" i="6"/>
  <c r="B1488" i="12" l="1"/>
  <c r="A1488" i="12"/>
  <c r="B1462" i="6"/>
  <c r="A1462" i="6"/>
  <c r="A1463" i="6" l="1"/>
  <c r="B1463" i="6"/>
  <c r="A1489" i="12"/>
  <c r="B1489" i="12"/>
  <c r="B1464" i="6" l="1"/>
  <c r="A1464" i="6"/>
  <c r="A1490" i="12"/>
  <c r="B1490" i="12"/>
  <c r="B1491" i="12" l="1"/>
  <c r="A1491" i="12"/>
  <c r="B1465" i="6"/>
  <c r="A1465" i="6"/>
  <c r="A1466" i="6" l="1"/>
  <c r="B1466" i="6"/>
  <c r="A1492" i="12"/>
  <c r="B1492" i="12"/>
  <c r="B1493" i="12" l="1"/>
  <c r="A1493" i="12"/>
  <c r="B1467" i="6"/>
  <c r="A1467" i="6"/>
  <c r="B1468" i="6" l="1"/>
  <c r="A1468" i="6"/>
  <c r="B1494" i="12"/>
  <c r="A1494" i="12"/>
  <c r="A1495" i="12" l="1"/>
  <c r="B1495" i="12"/>
  <c r="B1469" i="6"/>
  <c r="A1469" i="6"/>
  <c r="B1496" i="12" l="1"/>
  <c r="A1496" i="12"/>
  <c r="B1470" i="6"/>
  <c r="A1470" i="6"/>
  <c r="A1471" i="6" l="1"/>
  <c r="B1471" i="6"/>
  <c r="B1497" i="12"/>
  <c r="A1497" i="12"/>
  <c r="A1498" i="12" l="1"/>
  <c r="B1498" i="12"/>
  <c r="B1472" i="6"/>
  <c r="A1472" i="6"/>
  <c r="B1499" i="12" l="1"/>
  <c r="A1499" i="12"/>
  <c r="B1473" i="6"/>
  <c r="A1473" i="6"/>
  <c r="B1474" i="6" l="1"/>
  <c r="A1474" i="6"/>
  <c r="A1500" i="12"/>
  <c r="B1500" i="12"/>
  <c r="B1501" i="12" l="1"/>
  <c r="A1501" i="12"/>
  <c r="B1475" i="6"/>
  <c r="A1475" i="6"/>
  <c r="B1476" i="6" l="1"/>
  <c r="A1476" i="6"/>
  <c r="A1502" i="12"/>
  <c r="B1502" i="12"/>
  <c r="A1503" i="12" l="1"/>
  <c r="B1503" i="12"/>
  <c r="A1477" i="6"/>
  <c r="B1477" i="6"/>
  <c r="A1478" i="6" l="1"/>
  <c r="B1478" i="6"/>
  <c r="B1504" i="12"/>
  <c r="A1504" i="12"/>
  <c r="B1479" i="6" l="1"/>
  <c r="A1479" i="6"/>
  <c r="B1505" i="12"/>
  <c r="A1505" i="12"/>
  <c r="A1506" i="12" l="1"/>
  <c r="B1506" i="12"/>
  <c r="B1480" i="6"/>
  <c r="A1480" i="6"/>
  <c r="B1507" i="12" l="1"/>
  <c r="A1507" i="12"/>
  <c r="B1481" i="6"/>
  <c r="A1481" i="6"/>
  <c r="B1482" i="6" l="1"/>
  <c r="A1482" i="6"/>
  <c r="A1508" i="12"/>
  <c r="B1508" i="12"/>
  <c r="B1509" i="12" l="1"/>
  <c r="A1509" i="12"/>
  <c r="B1483" i="6"/>
  <c r="A1483" i="6"/>
  <c r="B1484" i="6" l="1"/>
  <c r="A1484" i="6"/>
  <c r="A1510" i="12"/>
  <c r="B1510" i="12"/>
  <c r="A1511" i="12" l="1"/>
  <c r="B1511" i="12"/>
  <c r="B1485" i="6"/>
  <c r="A1485" i="6"/>
  <c r="B1512" i="12" l="1"/>
  <c r="A1512" i="12"/>
  <c r="A1486" i="6"/>
  <c r="B1486" i="6"/>
  <c r="A1487" i="6" l="1"/>
  <c r="B1487" i="6"/>
  <c r="B1513" i="12"/>
  <c r="A1513" i="12"/>
  <c r="A1514" i="12" l="1"/>
  <c r="B1514" i="12"/>
  <c r="B1488" i="6"/>
  <c r="A1488" i="6"/>
  <c r="B1515" i="12" l="1"/>
  <c r="A1515" i="12"/>
  <c r="B1489" i="6"/>
  <c r="A1489" i="6"/>
  <c r="B1490" i="6" l="1"/>
  <c r="A1490" i="6"/>
  <c r="B1516" i="12"/>
  <c r="A1516" i="12"/>
  <c r="B1517" i="12" l="1"/>
  <c r="A1517" i="12"/>
  <c r="B1491" i="6"/>
  <c r="A1491" i="6"/>
  <c r="B1492" i="6" l="1"/>
  <c r="A1492" i="6"/>
  <c r="B1518" i="12"/>
  <c r="A1518" i="12"/>
  <c r="A1519" i="12" l="1"/>
  <c r="B1519" i="12"/>
  <c r="B1493" i="6"/>
  <c r="A1493" i="6"/>
  <c r="A1494" i="6" l="1"/>
  <c r="B1494" i="6"/>
  <c r="B1520" i="12"/>
  <c r="A1520" i="12"/>
  <c r="A1495" i="6" l="1"/>
  <c r="B1495" i="6"/>
  <c r="B1521" i="12"/>
  <c r="A1521" i="12"/>
  <c r="B1496" i="6" l="1"/>
  <c r="A1496" i="6"/>
  <c r="A1522" i="12"/>
  <c r="B1522" i="12"/>
  <c r="B1523" i="12" l="1"/>
  <c r="A1523" i="12"/>
  <c r="A1497" i="6"/>
  <c r="B1497" i="6"/>
  <c r="B1498" i="6" l="1"/>
  <c r="A1498" i="6"/>
  <c r="A1524" i="12"/>
  <c r="B1524" i="12"/>
  <c r="B1499" i="6" l="1"/>
  <c r="A1499" i="6"/>
  <c r="B1500" i="6" l="1"/>
  <c r="A1500" i="6"/>
</calcChain>
</file>

<file path=xl/sharedStrings.xml><?xml version="1.0" encoding="utf-8"?>
<sst xmlns="http://schemas.openxmlformats.org/spreadsheetml/2006/main" count="1199" uniqueCount="563">
  <si>
    <t>Current Date</t>
  </si>
  <si>
    <t>Date of Birth</t>
  </si>
  <si>
    <t>Age</t>
  </si>
  <si>
    <t>Eyes</t>
  </si>
  <si>
    <t>Hair</t>
  </si>
  <si>
    <t>Height</t>
  </si>
  <si>
    <t>Strength</t>
  </si>
  <si>
    <t>Dexterity</t>
  </si>
  <si>
    <t>Stamina</t>
  </si>
  <si>
    <t>Warping</t>
  </si>
  <si>
    <t>Incapacitated</t>
  </si>
  <si>
    <t>Intelligence</t>
  </si>
  <si>
    <t>Dodge</t>
  </si>
  <si>
    <t>Perception</t>
  </si>
  <si>
    <t>Creo</t>
  </si>
  <si>
    <t>Athletics</t>
  </si>
  <si>
    <t>Intellego</t>
  </si>
  <si>
    <t>Awareness</t>
  </si>
  <si>
    <t>Muto</t>
  </si>
  <si>
    <t>Brawl</t>
  </si>
  <si>
    <t>Perdo</t>
  </si>
  <si>
    <t>Rego</t>
  </si>
  <si>
    <t>Etiquette</t>
  </si>
  <si>
    <t>Animal</t>
  </si>
  <si>
    <t>Concentration</t>
  </si>
  <si>
    <t>Aquam</t>
  </si>
  <si>
    <t>Melee</t>
  </si>
  <si>
    <t>Medicine</t>
  </si>
  <si>
    <t>Auram</t>
  </si>
  <si>
    <t>Leadership</t>
  </si>
  <si>
    <t>Corpus</t>
  </si>
  <si>
    <t>Stealth</t>
  </si>
  <si>
    <t>Herbam</t>
  </si>
  <si>
    <t>Survival</t>
  </si>
  <si>
    <t>Ignem</t>
  </si>
  <si>
    <t>Imaginem</t>
  </si>
  <si>
    <t>Mentem</t>
  </si>
  <si>
    <t>Finesse</t>
  </si>
  <si>
    <t>Parma</t>
  </si>
  <si>
    <t>Magic Theory</t>
  </si>
  <si>
    <t>Terram</t>
  </si>
  <si>
    <t>Penetration</t>
  </si>
  <si>
    <t>Vim</t>
  </si>
  <si>
    <t>Familiar</t>
  </si>
  <si>
    <t>Type</t>
  </si>
  <si>
    <t>Level</t>
  </si>
  <si>
    <t>Description</t>
  </si>
  <si>
    <t>Spell Name</t>
  </si>
  <si>
    <t xml:space="preserve"> </t>
  </si>
  <si>
    <t>M</t>
  </si>
  <si>
    <t>Mastered Abilities</t>
  </si>
  <si>
    <t>Spell Use</t>
  </si>
  <si>
    <t>Sigil Manifestation</t>
  </si>
  <si>
    <t>Magical Stats</t>
  </si>
  <si>
    <t>T+F</t>
  </si>
  <si>
    <t>CS</t>
  </si>
  <si>
    <t>LT</t>
  </si>
  <si>
    <t>SC</t>
  </si>
  <si>
    <t>R</t>
  </si>
  <si>
    <t>P</t>
  </si>
  <si>
    <t>Aura</t>
  </si>
  <si>
    <t>Full</t>
  </si>
  <si>
    <t>Explanation</t>
  </si>
  <si>
    <t>Technique plus Form</t>
  </si>
  <si>
    <t>Casting Score</t>
  </si>
  <si>
    <t>Base magical power without modifiers</t>
  </si>
  <si>
    <t>Formulaic Casting</t>
  </si>
  <si>
    <t>Highest level of spell learnable</t>
  </si>
  <si>
    <t>Spontaneous Casting</t>
  </si>
  <si>
    <t xml:space="preserve">Stressed Spontaneous </t>
  </si>
  <si>
    <t>Ceremonial Casting</t>
  </si>
  <si>
    <t>Ritual Casting</t>
  </si>
  <si>
    <t>Ritual spells take longer but can be higher level than formulaic</t>
  </si>
  <si>
    <t>Parma Magica</t>
  </si>
  <si>
    <t>Wiki Lookup for Dots</t>
  </si>
  <si>
    <t>Tables for XP calculations</t>
  </si>
  <si>
    <t>Number</t>
  </si>
  <si>
    <t>Dots</t>
  </si>
  <si>
    <t>Abilities</t>
  </si>
  <si>
    <t>&amp;#9679;</t>
  </si>
  <si>
    <t>&amp;#9679;&amp;#9679;</t>
  </si>
  <si>
    <t>&amp;#9679;&amp;#9679;&amp;#9679;</t>
  </si>
  <si>
    <t>&amp;#9679;&amp;#9679;&amp;#9679;&amp;#9679;</t>
  </si>
  <si>
    <t>&amp;#9679;&amp;#9679;&amp;#9679;&amp;#9679;&amp;#9679;</t>
  </si>
  <si>
    <t>&amp;#9679;&amp;#9679;&amp;#9679;&amp;#9679;&amp;#9679; &amp;#9679;</t>
  </si>
  <si>
    <t>&amp;#9679;&amp;#9679;&amp;#9679;&amp;#9679;&amp;#9679; &amp;#9679;&amp;#9679;</t>
  </si>
  <si>
    <t>&amp;#9679;&amp;#9679;&amp;#9679;&amp;#9679;&amp;#9679; &amp;#9679;&amp;#9679;&amp;#9679;</t>
  </si>
  <si>
    <t>&amp;#9679;&amp;#9679;&amp;#9679;&amp;#9679;&amp;#9679; &amp;#9679;&amp;#9679;&amp;#9679;&amp;#9679;</t>
  </si>
  <si>
    <t>&amp;#9679;&amp;#9679;&amp;#9679;&amp;#9679;&amp;#9679; &amp;#9679;&amp;#9679;&amp;#9679;&amp;#9679;&amp;#9679;</t>
  </si>
  <si>
    <t>Wiki Lookup for Lines</t>
  </si>
  <si>
    <t>Art</t>
  </si>
  <si>
    <t>Name</t>
  </si>
  <si>
    <t>House</t>
  </si>
  <si>
    <t>Characteristics</t>
  </si>
  <si>
    <t>Virtues</t>
  </si>
  <si>
    <t>General Abilities</t>
  </si>
  <si>
    <t>Academic Abilities</t>
  </si>
  <si>
    <t>Arcane Abilities</t>
  </si>
  <si>
    <t>Martial Abilities</t>
  </si>
  <si>
    <t>Languages</t>
  </si>
  <si>
    <t>Intellect</t>
  </si>
  <si>
    <t>Presence</t>
  </si>
  <si>
    <t>Communication</t>
  </si>
  <si>
    <t>Quickness</t>
  </si>
  <si>
    <t>Personality Traits</t>
  </si>
  <si>
    <t>Size</t>
  </si>
  <si>
    <t>Decrepitude</t>
  </si>
  <si>
    <t>Confidence Points</t>
  </si>
  <si>
    <t>Miscellaneous</t>
  </si>
  <si>
    <t>Techniques</t>
  </si>
  <si>
    <t>Forms</t>
  </si>
  <si>
    <t>Build</t>
  </si>
  <si>
    <t>Supernatural Abilities</t>
  </si>
  <si>
    <t>Apparent Age</t>
  </si>
  <si>
    <t>Job</t>
  </si>
  <si>
    <t>Rank</t>
  </si>
  <si>
    <t>Covenant</t>
  </si>
  <si>
    <t>Gift</t>
  </si>
  <si>
    <t>Gender</t>
  </si>
  <si>
    <t>Unconscious</t>
  </si>
  <si>
    <t>Wounds</t>
  </si>
  <si>
    <t>Light</t>
  </si>
  <si>
    <t>Medium</t>
  </si>
  <si>
    <t>Heavy</t>
  </si>
  <si>
    <t>-</t>
  </si>
  <si>
    <t>Wound Penalty</t>
  </si>
  <si>
    <t>Fatigue Penalty</t>
  </si>
  <si>
    <t>Fatigue</t>
  </si>
  <si>
    <t>Short Term</t>
  </si>
  <si>
    <t>Long Term</t>
  </si>
  <si>
    <t>Fresh</t>
  </si>
  <si>
    <t>Winded</t>
  </si>
  <si>
    <t>Weary</t>
  </si>
  <si>
    <t>Tired</t>
  </si>
  <si>
    <t>Dazed</t>
  </si>
  <si>
    <t>U</t>
  </si>
  <si>
    <t>Reputations</t>
  </si>
  <si>
    <t>Confidence Score</t>
  </si>
  <si>
    <t>Warping Score</t>
  </si>
  <si>
    <t>Initiative</t>
  </si>
  <si>
    <t>Attack</t>
  </si>
  <si>
    <t>Defense</t>
  </si>
  <si>
    <t>Soak</t>
  </si>
  <si>
    <t>Armour</t>
  </si>
  <si>
    <t>Grog</t>
  </si>
  <si>
    <t>Companion</t>
  </si>
  <si>
    <t>Mage</t>
  </si>
  <si>
    <t>Hermetic</t>
  </si>
  <si>
    <t>Flaws</t>
  </si>
  <si>
    <t>Bjornaer</t>
  </si>
  <si>
    <t>Bonisagus</t>
  </si>
  <si>
    <t>Criamon</t>
  </si>
  <si>
    <t>Ex Miscellanea</t>
  </si>
  <si>
    <t>Flambeaux</t>
  </si>
  <si>
    <t>Guernicus</t>
  </si>
  <si>
    <t>Merinita</t>
  </si>
  <si>
    <t>Tremere</t>
  </si>
  <si>
    <t>Tytalus</t>
  </si>
  <si>
    <t>Verditius</t>
  </si>
  <si>
    <t>Jerbiton</t>
  </si>
  <si>
    <t>Mercere</t>
  </si>
  <si>
    <t>Heartbeast</t>
  </si>
  <si>
    <t>The Enigma</t>
  </si>
  <si>
    <t>Charm</t>
  </si>
  <si>
    <t>Folk Ken</t>
  </si>
  <si>
    <t>Swim</t>
  </si>
  <si>
    <t>Year</t>
  </si>
  <si>
    <t>Season</t>
  </si>
  <si>
    <t>Reputation</t>
  </si>
  <si>
    <t>Handedness</t>
  </si>
  <si>
    <t>Origin</t>
  </si>
  <si>
    <t>Religion</t>
  </si>
  <si>
    <t>Ethnicity</t>
  </si>
  <si>
    <t>Sigil</t>
  </si>
  <si>
    <t>Gold Cord</t>
  </si>
  <si>
    <t>Silver Cord</t>
  </si>
  <si>
    <t>Bronze Cord</t>
  </si>
  <si>
    <t>Magic</t>
  </si>
  <si>
    <t>Encumbrance</t>
  </si>
  <si>
    <t>Burden</t>
  </si>
  <si>
    <t>Carried?</t>
  </si>
  <si>
    <t>Load</t>
  </si>
  <si>
    <t>Item</t>
  </si>
  <si>
    <t>Load value</t>
  </si>
  <si>
    <t>Yes</t>
  </si>
  <si>
    <t>No</t>
  </si>
  <si>
    <t>Ability</t>
  </si>
  <si>
    <t>Range</t>
  </si>
  <si>
    <t>Fist</t>
  </si>
  <si>
    <t>Kick</t>
  </si>
  <si>
    <t>Knife</t>
  </si>
  <si>
    <t>Other Combat</t>
  </si>
  <si>
    <t>Any</t>
  </si>
  <si>
    <t>Base Damage</t>
  </si>
  <si>
    <t>Artes Liberales</t>
  </si>
  <si>
    <t>Civil and Canon Law</t>
  </si>
  <si>
    <t>Common Law</t>
  </si>
  <si>
    <t>Philosophiae</t>
  </si>
  <si>
    <t>Theology</t>
  </si>
  <si>
    <t>Code of Hermes</t>
  </si>
  <si>
    <t>Dominion Lore</t>
  </si>
  <si>
    <t>Infernal Lore</t>
  </si>
  <si>
    <t>Magic Lore</t>
  </si>
  <si>
    <t>Bows</t>
  </si>
  <si>
    <t>Great Weapon</t>
  </si>
  <si>
    <t>Single Weapon</t>
  </si>
  <si>
    <t>Thrown Weapon</t>
  </si>
  <si>
    <t>Animal Handling</t>
  </si>
  <si>
    <t>Bargain</t>
  </si>
  <si>
    <t>Carouse</t>
  </si>
  <si>
    <t>Chirurgy</t>
  </si>
  <si>
    <t xml:space="preserve">Guile </t>
  </si>
  <si>
    <t>Hunt</t>
  </si>
  <si>
    <t>Intrigue</t>
  </si>
  <si>
    <t>Legerdemain</t>
  </si>
  <si>
    <t>Music</t>
  </si>
  <si>
    <t>Ride</t>
  </si>
  <si>
    <t>Teaching</t>
  </si>
  <si>
    <t>Area and Organisation Lores</t>
  </si>
  <si>
    <t>Crafts and Professions</t>
  </si>
  <si>
    <t>Other</t>
  </si>
  <si>
    <t>Notes</t>
  </si>
  <si>
    <t>Parens</t>
  </si>
  <si>
    <t>Faerie Blood</t>
  </si>
  <si>
    <t>Hermetic Prestige</t>
  </si>
  <si>
    <t>Mythic Companion</t>
  </si>
  <si>
    <t>Types of Character</t>
  </si>
  <si>
    <t>Social Status</t>
  </si>
  <si>
    <t>Major</t>
  </si>
  <si>
    <t>Cost of Virtues and Flaws</t>
  </si>
  <si>
    <t>Minor</t>
  </si>
  <si>
    <t>Free</t>
  </si>
  <si>
    <t>Free Major</t>
  </si>
  <si>
    <t>Free Minor</t>
  </si>
  <si>
    <t>Gentle Gift</t>
  </si>
  <si>
    <t>Strong Faerie Blood</t>
  </si>
  <si>
    <t>Verditius Magic</t>
  </si>
  <si>
    <t>Magical Blood</t>
  </si>
  <si>
    <t>Unaging</t>
  </si>
  <si>
    <t>Blatant Gift</t>
  </si>
  <si>
    <t>Age Quickly</t>
  </si>
  <si>
    <t>Child</t>
  </si>
  <si>
    <t>Heroic</t>
  </si>
  <si>
    <t>Mystery</t>
  </si>
  <si>
    <t>Supernatural</t>
  </si>
  <si>
    <t>Tainted</t>
  </si>
  <si>
    <t>General</t>
  </si>
  <si>
    <t>Special</t>
  </si>
  <si>
    <t>Flaw</t>
  </si>
  <si>
    <t>Virtue</t>
  </si>
  <si>
    <t>Gifted</t>
  </si>
  <si>
    <t>Types of Social Status</t>
  </si>
  <si>
    <t>Select</t>
  </si>
  <si>
    <t>Faith Points</t>
  </si>
  <si>
    <t>Story</t>
  </si>
  <si>
    <t>Personality</t>
  </si>
  <si>
    <t>Social Interaction</t>
  </si>
  <si>
    <t>Types of Virtue and Flaw</t>
  </si>
  <si>
    <t>Hermetic Houses</t>
  </si>
  <si>
    <t>House Information</t>
  </si>
  <si>
    <t>Puissant Magic Theory OR Puissant Intrigue</t>
  </si>
  <si>
    <t>1 free minor Hermetic virtue, 1 free major non-Hermetic virtue, a free major Hermetic flaw</t>
  </si>
  <si>
    <t>Puissant Perdo OR Puissant Ignem</t>
  </si>
  <si>
    <t>1 minor virtue relating to scholarship, the arts or mundane interaction</t>
  </si>
  <si>
    <t>Puissant Creo OR Puissant Muto</t>
  </si>
  <si>
    <t>Minor Magical Focus (Certamen)*</t>
  </si>
  <si>
    <t>Self Confident</t>
  </si>
  <si>
    <t>Warping Points</t>
  </si>
  <si>
    <t>Lab Total</t>
  </si>
  <si>
    <t>SS</t>
  </si>
  <si>
    <t>XP Gain</t>
  </si>
  <si>
    <t>Thing Advanced</t>
  </si>
  <si>
    <t>Game Start</t>
  </si>
  <si>
    <t>Seasons</t>
  </si>
  <si>
    <t>Spring</t>
  </si>
  <si>
    <t>Winter</t>
  </si>
  <si>
    <t>Autumn</t>
  </si>
  <si>
    <t>Summer</t>
  </si>
  <si>
    <t>Timeline</t>
  </si>
  <si>
    <t>Current year</t>
  </si>
  <si>
    <t>Current month</t>
  </si>
  <si>
    <t>Current season</t>
  </si>
  <si>
    <t>Enter Level</t>
  </si>
  <si>
    <t>Enter XP into all boxes except characteristics; do not enter levels!</t>
  </si>
  <si>
    <t>To check the xp for a reputation enter the level here:</t>
  </si>
  <si>
    <t>The XP that this means you have is:</t>
  </si>
  <si>
    <t>Giftedness</t>
  </si>
  <si>
    <t>Ungifted</t>
  </si>
  <si>
    <t>LCM</t>
  </si>
  <si>
    <t>Result</t>
  </si>
  <si>
    <t>What Happens</t>
  </si>
  <si>
    <t>Highest level of spell castable spontaneously by taking fatigue</t>
  </si>
  <si>
    <t>Highest level of spell castable spontaneously without fatigue</t>
  </si>
  <si>
    <t>C (S)</t>
  </si>
  <si>
    <t>C (NS)</t>
  </si>
  <si>
    <t>Take 15 minutes per magnitude to boost spontaneous casting</t>
  </si>
  <si>
    <t>Take 15 minutes per magnitude to boost stressed spontaneous casting</t>
  </si>
  <si>
    <t>FC</t>
  </si>
  <si>
    <t>Types of Aging</t>
  </si>
  <si>
    <t>Normal</t>
  </si>
  <si>
    <t>Effective Age</t>
  </si>
  <si>
    <t>Year you start Aging</t>
  </si>
  <si>
    <t>Choose how you age:</t>
  </si>
  <si>
    <t>Are you Unaging?</t>
  </si>
  <si>
    <t>Aging Table</t>
  </si>
  <si>
    <t>Apparent Age Modifier</t>
  </si>
  <si>
    <t>Apparent Age increases by 1</t>
  </si>
  <si>
    <t>No Apparent Aging</t>
  </si>
  <si>
    <t>1 Aging point in any Characteristic</t>
  </si>
  <si>
    <t>Gain enough aging points to gain Decrepitude +1. Crisis</t>
  </si>
  <si>
    <t>Aging Points</t>
  </si>
  <si>
    <t>1 Aging point in Quickness</t>
  </si>
  <si>
    <t>1 Aging point in Stamina</t>
  </si>
  <si>
    <t>1 Aging point in Perception</t>
  </si>
  <si>
    <t>1 Aging point in Presence</t>
  </si>
  <si>
    <t>1 Aging point in Stamina and Strength</t>
  </si>
  <si>
    <t>1 Aging point in Quickness and Dexterity</t>
  </si>
  <si>
    <t>1 Aging point in Presence and Communication</t>
  </si>
  <si>
    <t>1 Aging point in Perception and Intellect</t>
  </si>
  <si>
    <t>Total Aging Points</t>
  </si>
  <si>
    <t>Cumulative Aging Points</t>
  </si>
  <si>
    <t>Aging Points to Gain</t>
  </si>
  <si>
    <t>Crisis?</t>
  </si>
  <si>
    <t>Aging Crisis Effects</t>
  </si>
  <si>
    <t>Bedridden for 1 week</t>
  </si>
  <si>
    <t>Bedridden for 1 month</t>
  </si>
  <si>
    <t>Minor Illness. Roll Stamina. If more than 2, you survive. Otherwise a CrCo effect of L20+ is required to survive</t>
  </si>
  <si>
    <t>Serious Illness. Roll Stamina. If more than 5, you survive. Otherwise a CrCo effect of L25+ is required to survive</t>
  </si>
  <si>
    <t>Major Illness. Roll Stamina. If more than 8, you survive. Otherwise a CrCo effect of L30+ is required to survive</t>
  </si>
  <si>
    <t>Critical Illness. Roll Stamina. If more than 11, you survive. Otherwise a CrCo effect of L35+ is required to survive</t>
  </si>
  <si>
    <t>Terminal Illness. A CrCo effect of L40+ is required to survive</t>
  </si>
  <si>
    <t>Crisis Result</t>
  </si>
  <si>
    <t>Crisis Effect</t>
  </si>
  <si>
    <t>First</t>
  </si>
  <si>
    <t>Second</t>
  </si>
  <si>
    <t>Third</t>
  </si>
  <si>
    <t>Longevity Rituals (fail if an aging crisis is suffered)</t>
  </si>
  <si>
    <t>Lab Text?</t>
  </si>
  <si>
    <t>Yes/No Questions</t>
  </si>
  <si>
    <t>Extra Vis Added (Usually zero)</t>
  </si>
  <si>
    <t>Fourth</t>
  </si>
  <si>
    <t>Fifth</t>
  </si>
  <si>
    <t>Sixth</t>
  </si>
  <si>
    <t>Seventh</t>
  </si>
  <si>
    <t>Eigth</t>
  </si>
  <si>
    <t>Ninth</t>
  </si>
  <si>
    <t>Tenth</t>
  </si>
  <si>
    <t>Information</t>
  </si>
  <si>
    <t>Characteristic</t>
  </si>
  <si>
    <t>P?</t>
  </si>
  <si>
    <t>Int</t>
  </si>
  <si>
    <t>Per</t>
  </si>
  <si>
    <t>Pre</t>
  </si>
  <si>
    <t>Com</t>
  </si>
  <si>
    <t>Str</t>
  </si>
  <si>
    <t>Sta</t>
  </si>
  <si>
    <t>Dex</t>
  </si>
  <si>
    <t>Qui</t>
  </si>
  <si>
    <t>Stats</t>
  </si>
  <si>
    <t>C(S)</t>
  </si>
  <si>
    <t>C(NS)</t>
  </si>
  <si>
    <t>MR</t>
  </si>
  <si>
    <t>Magic Resistance</t>
  </si>
  <si>
    <t>Highest level of non-ritual spell castable (max level 45)</t>
  </si>
  <si>
    <t>Lab</t>
  </si>
  <si>
    <t>Bronze Cord Score</t>
  </si>
  <si>
    <t>Half of Lab's Health Modifier</t>
  </si>
  <si>
    <t>Longevity</t>
  </si>
  <si>
    <t>Highest LCM in which half a year spent</t>
  </si>
  <si>
    <t>What to Enter</t>
  </si>
  <si>
    <t>Total Spell Levels</t>
  </si>
  <si>
    <t>Short Description</t>
  </si>
  <si>
    <t>If a form or technique is Deficient, halve all casting and lab totals that use that art after calculating as above. This includes halving the dice rolls.</t>
  </si>
  <si>
    <t>If you have incompatible arts, delete the relevant row.</t>
  </si>
  <si>
    <t>If you have Flawed Parma Magica, your Parma Magica is halved for the form in which it is flawed</t>
  </si>
  <si>
    <t>Current Longevity Modifier (see table)</t>
  </si>
  <si>
    <t>Longevity Modifier</t>
  </si>
  <si>
    <t>How Mundane are you?</t>
  </si>
  <si>
    <t>How Mundane Are You?</t>
  </si>
  <si>
    <t>Is a Mage</t>
  </si>
  <si>
    <t>Has a Supernatural Ability</t>
  </si>
  <si>
    <t>Is Mundane</t>
  </si>
  <si>
    <t>Duration</t>
  </si>
  <si>
    <t>Target</t>
  </si>
  <si>
    <t>MXP</t>
  </si>
  <si>
    <t>Total Mastery XP Available</t>
  </si>
  <si>
    <t>Total Mastery XP Spent</t>
  </si>
  <si>
    <t>Numbers</t>
  </si>
  <si>
    <t>Twilight and Warping</t>
  </si>
  <si>
    <t>Total Warping Points</t>
  </si>
  <si>
    <t>Long Term Effects that Cause Warping</t>
  </si>
  <si>
    <t>Effect</t>
  </si>
  <si>
    <t>Amount</t>
  </si>
  <si>
    <t>When</t>
  </si>
  <si>
    <t>Warping from Long Term Effects</t>
  </si>
  <si>
    <t>From</t>
  </si>
  <si>
    <t>WPs</t>
  </si>
  <si>
    <t>Warping from Particular Events</t>
  </si>
  <si>
    <t>Event</t>
  </si>
  <si>
    <t>Magical Botch</t>
  </si>
  <si>
    <t>Event Type</t>
  </si>
  <si>
    <t>Types of Warping Event</t>
  </si>
  <si>
    <t>Mystical Botch</t>
  </si>
  <si>
    <t>Hostile Magic</t>
  </si>
  <si>
    <t>Miracle</t>
  </si>
  <si>
    <t>Mystery Initiation</t>
  </si>
  <si>
    <t>Vis Related</t>
  </si>
  <si>
    <t>Powerful Effect</t>
  </si>
  <si>
    <t>Experimentation</t>
  </si>
  <si>
    <t>Twilight Possible?</t>
  </si>
  <si>
    <t>Frequency</t>
  </si>
  <si>
    <t>Roll dStress for Ease Factor</t>
  </si>
  <si>
    <t>Twilight Scar</t>
  </si>
  <si>
    <t>dStress Roll</t>
  </si>
  <si>
    <t>d10 Roll</t>
  </si>
  <si>
    <t>|</t>
  </si>
  <si>
    <t>Current Year</t>
  </si>
  <si>
    <t>Current Month</t>
  </si>
  <si>
    <t>Current Day</t>
  </si>
  <si>
    <t>Birth Year</t>
  </si>
  <si>
    <t>Birth Month</t>
  </si>
  <si>
    <t>Birth Day</t>
  </si>
  <si>
    <t>Game Start Year</t>
  </si>
  <si>
    <t>Game Start Month</t>
  </si>
  <si>
    <t>Game Start Day</t>
  </si>
  <si>
    <t>d</t>
  </si>
  <si>
    <t>Wiki Page Name</t>
  </si>
  <si>
    <t>Weapons</t>
  </si>
  <si>
    <t>Roll dStress to avoid (optional)</t>
  </si>
  <si>
    <t>GM roll dStress to fail</t>
  </si>
  <si>
    <t>What Happened</t>
  </si>
  <si>
    <t>Do you enter Twilight</t>
  </si>
  <si>
    <t>Do you comprehend Twilight</t>
  </si>
  <si>
    <t>Player roll dStress to comprehend</t>
  </si>
  <si>
    <t>Was it a botch? (1+ WP dice)</t>
  </si>
  <si>
    <t>Was it a botch? (1 die)</t>
  </si>
  <si>
    <t>Number of zeros</t>
  </si>
  <si>
    <t>Effects</t>
  </si>
  <si>
    <t>Duration of Twilight</t>
  </si>
  <si>
    <t>Momentary</t>
  </si>
  <si>
    <t>Diameter</t>
  </si>
  <si>
    <t>2 Hours</t>
  </si>
  <si>
    <t>Sun</t>
  </si>
  <si>
    <t>24 Hours</t>
  </si>
  <si>
    <t>Moon</t>
  </si>
  <si>
    <t>7 Years</t>
  </si>
  <si>
    <t>Roll a stress die</t>
  </si>
  <si>
    <t>Final Twilight</t>
  </si>
  <si>
    <t>Extra dStress</t>
  </si>
  <si>
    <t>1 Year</t>
  </si>
  <si>
    <t>1 Season</t>
  </si>
  <si>
    <t>Extra die needed?</t>
  </si>
  <si>
    <t>dStress</t>
  </si>
  <si>
    <t>None</t>
  </si>
  <si>
    <t>What is gained or lost?
(Record in appropriate place)</t>
  </si>
  <si>
    <t>Enter just the name of the page itself, e.g. ClaudineExMercere</t>
  </si>
  <si>
    <t>From creation</t>
  </si>
  <si>
    <t>&lt;a id="Other" /&gt;</t>
  </si>
  <si>
    <t>Other Abilities</t>
  </si>
  <si>
    <t>:--|:--:|:--:|:--:|:--:|:--:|:--:|:--:|:--:|:--:</t>
  </si>
  <si>
    <t>Skill</t>
  </si>
  <si>
    <t>:--|:--:|:--:|:--:|:--:|:--:|:--:|:--:|:--:|:--:|:--:|:--:|:--:</t>
  </si>
  <si>
    <t>Technique</t>
  </si>
  <si>
    <t>Form</t>
  </si>
  <si>
    <t>Abbreviation</t>
  </si>
  <si>
    <t>ppp</t>
  </si>
  <si>
    <t>Art 1</t>
  </si>
  <si>
    <t>Art 2</t>
  </si>
  <si>
    <t>Requisites</t>
  </si>
  <si>
    <t>If you have a Minor Magical Focus and it applies, set 'yes' below</t>
  </si>
  <si>
    <t xml:space="preserve">Wiki Image File </t>
  </si>
  <si>
    <t>Enter the file name including extension, e.g. Tanis.jpg</t>
  </si>
  <si>
    <t>Specialty</t>
  </si>
  <si>
    <t>S?</t>
  </si>
  <si>
    <t>Speciality</t>
  </si>
  <si>
    <t>Maybe</t>
  </si>
  <si>
    <t>:--|:--:|:--|:--:|:--:|:--:|:--:|:--:|:--:|:--:|:--:</t>
  </si>
  <si>
    <t>&amp;nbsp;||||||||||</t>
  </si>
  <si>
    <t>&amp;nbsp;||</t>
  </si>
  <si>
    <t>:--|:--|:--</t>
  </si>
  <si>
    <t>:--|</t>
  </si>
  <si>
    <t>&amp;nbsp;|||</t>
  </si>
  <si>
    <t>&amp;nbsp;|</t>
  </si>
  <si>
    <t>&amp;nbsp;||||||||||||</t>
  </si>
  <si>
    <t>&amp;nbsp;||||||||||||||</t>
  </si>
  <si>
    <t>Faerie Lore</t>
  </si>
  <si>
    <t>Faerie Magic plus if no Faerie related virtue or flaw, gain 1 warping point OR Nature Lore</t>
  </si>
  <si>
    <t>Realm Association</t>
  </si>
  <si>
    <t>Might Score</t>
  </si>
  <si>
    <t>Mundane</t>
  </si>
  <si>
    <t>Faerie</t>
  </si>
  <si>
    <t>Divine</t>
  </si>
  <si>
    <t>Infernal</t>
  </si>
  <si>
    <t>Type of creature</t>
  </si>
  <si>
    <t>Realm association</t>
  </si>
  <si>
    <t>Base Might</t>
  </si>
  <si>
    <t>Committed Might Points</t>
  </si>
  <si>
    <t>Might Points Available</t>
  </si>
  <si>
    <t>Mundane Qualities</t>
  </si>
  <si>
    <t>Mundane Inferiorities</t>
  </si>
  <si>
    <t>Supernatural Inferiorities</t>
  </si>
  <si>
    <t>Supernatural Qualities</t>
  </si>
  <si>
    <t>Amount of Vis</t>
  </si>
  <si>
    <t>Form Association</t>
  </si>
  <si>
    <t>Where Vis is Found</t>
  </si>
  <si>
    <t>Essential Personality Trait</t>
  </si>
  <si>
    <t>SQ penalty for gaining XP</t>
  </si>
  <si>
    <t>1 pawn of vis negates 2 of the SQ penalty</t>
  </si>
  <si>
    <t>XP costs for Transformation</t>
  </si>
  <si>
    <t>Change a virtue or quality into a different quality of the same type</t>
  </si>
  <si>
    <t>Change a flaw or inferiority into a different inferiority of the same type</t>
  </si>
  <si>
    <t>Gain a minor magic quality AND a minor magic inferiority</t>
  </si>
  <si>
    <t>To gain a minor magic quality</t>
  </si>
  <si>
    <t>To gain a major magic quality AND a major magic inferiority</t>
  </si>
  <si>
    <t>Gain a major magic quality and a minor magic inferiority</t>
  </si>
  <si>
    <t>Gain a major magic quality</t>
  </si>
  <si>
    <t>Acclimation</t>
  </si>
  <si>
    <t>Acclimation negated?</t>
  </si>
  <si>
    <t>Living in a large enough magic aura</t>
  </si>
  <si>
    <t>Using your powers on magic aligned individual</t>
  </si>
  <si>
    <t>Consuming vis</t>
  </si>
  <si>
    <t>Avoiding Acclimation</t>
  </si>
  <si>
    <t>Acclimation Information</t>
  </si>
  <si>
    <t>Acclimation: Aura</t>
  </si>
  <si>
    <t>Always</t>
  </si>
  <si>
    <t>Half</t>
  </si>
  <si>
    <t>Visits</t>
  </si>
  <si>
    <t>N/A</t>
  </si>
  <si>
    <t>Might</t>
  </si>
  <si>
    <t>Aura needed (always there)</t>
  </si>
  <si>
    <t>Aura needed (frequent visits)</t>
  </si>
  <si>
    <t>Constant</t>
  </si>
  <si>
    <t>Regular</t>
  </si>
  <si>
    <t>Occasional</t>
  </si>
  <si>
    <t>Aura needed (half the time)</t>
  </si>
  <si>
    <t>Acclimation: Magic Effects</t>
  </si>
  <si>
    <t>Effect level (regular use)</t>
  </si>
  <si>
    <t>Effect level (constant effect)</t>
  </si>
  <si>
    <t>Effect level (occasional use)</t>
  </si>
  <si>
    <t>Target of powerful magic effect cast by a non-supernatural</t>
  </si>
  <si>
    <t>Seasons You Are Affected In</t>
  </si>
  <si>
    <t>Constant Effect</t>
  </si>
  <si>
    <t>Regular Use</t>
  </si>
  <si>
    <t>Occasional Use</t>
  </si>
  <si>
    <t>Pawns Required</t>
  </si>
  <si>
    <t>dStress?</t>
  </si>
  <si>
    <t>Roll</t>
  </si>
  <si>
    <t>Botch Dice</t>
  </si>
  <si>
    <t>Botches</t>
  </si>
  <si>
    <t>Transform a minor quality into a major quality</t>
  </si>
  <si>
    <t>Transform a minor inferiority into a minor quality</t>
  </si>
  <si>
    <t>Transform a major inferiority into a minor inferiority</t>
  </si>
  <si>
    <t>No effect</t>
  </si>
  <si>
    <t>Side effect (negative)</t>
  </si>
  <si>
    <t>Side effect (positive)</t>
  </si>
  <si>
    <t>Special or story event</t>
  </si>
  <si>
    <t>Transformation</t>
  </si>
  <si>
    <t>Acclimation: Effects of Vis eating</t>
  </si>
  <si>
    <t>Losing Might?</t>
  </si>
  <si>
    <r>
      <t xml:space="preserve">If one of your qualities is a virtue, enter </t>
    </r>
    <r>
      <rPr>
        <i/>
        <sz val="10"/>
        <rFont val="Arial"/>
        <family val="2"/>
      </rPr>
      <t xml:space="preserve">Virtue:Example Virtue </t>
    </r>
    <r>
      <rPr>
        <sz val="10"/>
        <rFont val="Arial"/>
        <family val="2"/>
      </rPr>
      <t>in the Qualities box aboveand enter the virtue into the Virtues box on the Start Character sheet</t>
    </r>
  </si>
  <si>
    <t>There is a costly way of gaining XP from Vis described on p52 of ROP: Magic</t>
  </si>
  <si>
    <t>&amp;nbsp;|||||||||||||</t>
  </si>
  <si>
    <t>Additional warping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</si>
</sst>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/mm/yy"/>
    <numFmt numFmtId="165" formatCode="\+#,##0;\-#,##0"/>
    <numFmt numFmtId="166" formatCode="\+#,##0&quot;+dStress&quot;;\-#,##0&quot;+dStress&quot;"/>
    <numFmt numFmtId="167" formatCode="\+#,##0&quot;+Advantage&quot;;\-#,##0&quot;+Advantage&quot;"/>
    <numFmt numFmtId="168" formatCode="&quot;dStress + &quot;#,##0;&quot;dStress - &quot;#,##0"/>
    <numFmt numFmtId="169" formatCode="#,##0&quot; + die&quot;;\-#,##0&quot; + die&quot;"/>
    <numFmt numFmtId="170" formatCode="#,##0.0&quot;+dStress/2&quot;;\-#,##0.0&quot;+dStress/2&quot;"/>
    <numFmt numFmtId="171" formatCode="#,##0.0&quot;+(dStress/2)&quot;;\-#,##0.0&quot;+(dStress/2)&quot;"/>
    <numFmt numFmtId="172" formatCode="&quot;(of &quot;#&quot;)&quot;"/>
  </numFmts>
  <fonts count="12" x14ac:knownFonts="1">
    <font>
      <sz val="10"/>
      <name val="Arial"/>
      <family val="2"/>
    </font>
    <font>
      <sz val="10"/>
      <color indexed="8"/>
      <name val="Arial"/>
      <family val="2"/>
    </font>
    <font>
      <sz val="10"/>
      <name val="Mang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0"/>
      <name val="Times New Roman"/>
      <family val="1"/>
    </font>
    <font>
      <b/>
      <i/>
      <sz val="10"/>
      <color indexed="8"/>
      <name val="Arial"/>
      <family val="2"/>
    </font>
    <font>
      <i/>
      <sz val="10"/>
      <name val="Arial"/>
      <family val="2"/>
    </font>
    <font>
      <b/>
      <u/>
      <sz val="10"/>
      <color indexed="8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7"/>
        <bgColor indexed="42"/>
      </patternFill>
    </fill>
    <fill>
      <patternFill patternType="solid">
        <fgColor indexed="44"/>
        <bgColor indexed="31"/>
      </patternFill>
    </fill>
    <fill>
      <patternFill patternType="solid">
        <fgColor indexed="41"/>
        <bgColor indexed="9"/>
      </patternFill>
    </fill>
    <fill>
      <patternFill patternType="solid">
        <fgColor rgb="FFE9E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9E9F2"/>
        <bgColor indexed="64"/>
      </patternFill>
    </fill>
  </fills>
  <borders count="249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</cellStyleXfs>
  <cellXfs count="881">
    <xf numFmtId="0" fontId="0" fillId="0" borderId="0" xfId="0"/>
    <xf numFmtId="0" fontId="4" fillId="0" borderId="0" xfId="0" applyFont="1" applyBorder="1" applyAlignment="1"/>
    <xf numFmtId="0" fontId="3" fillId="0" borderId="0" xfId="0" applyFont="1"/>
    <xf numFmtId="0" fontId="0" fillId="0" borderId="0" xfId="0" applyBorder="1"/>
    <xf numFmtId="0" fontId="1" fillId="0" borderId="0" xfId="0" applyFont="1" applyBorder="1" applyAlignment="1"/>
    <xf numFmtId="0" fontId="4" fillId="0" borderId="2" xfId="0" applyFont="1" applyBorder="1" applyAlignment="1">
      <alignment horizontal="center"/>
    </xf>
    <xf numFmtId="0" fontId="6" fillId="0" borderId="0" xfId="0" applyFont="1"/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left"/>
    </xf>
    <xf numFmtId="0" fontId="7" fillId="0" borderId="3" xfId="0" applyFont="1" applyBorder="1" applyAlignment="1"/>
    <xf numFmtId="0" fontId="1" fillId="0" borderId="0" xfId="0" applyFont="1" applyFill="1" applyBorder="1" applyAlignment="1"/>
    <xf numFmtId="0" fontId="4" fillId="0" borderId="2" xfId="0" applyFont="1" applyBorder="1" applyAlignment="1"/>
    <xf numFmtId="0" fontId="4" fillId="0" borderId="4" xfId="0" applyFont="1" applyBorder="1" applyAlignment="1"/>
    <xf numFmtId="0" fontId="1" fillId="0" borderId="4" xfId="0" applyFont="1" applyBorder="1" applyAlignment="1"/>
    <xf numFmtId="0" fontId="0" fillId="0" borderId="4" xfId="0" applyBorder="1"/>
    <xf numFmtId="0" fontId="0" fillId="0" borderId="0" xfId="0" applyFont="1"/>
    <xf numFmtId="0" fontId="0" fillId="0" borderId="0" xfId="0" applyAlignment="1"/>
    <xf numFmtId="0" fontId="0" fillId="0" borderId="0" xfId="0" applyFont="1" applyAlignment="1"/>
    <xf numFmtId="0" fontId="3" fillId="0" borderId="7" xfId="0" applyFont="1" applyBorder="1" applyAlignment="1"/>
    <xf numFmtId="0" fontId="3" fillId="0" borderId="8" xfId="0" applyFont="1" applyBorder="1"/>
    <xf numFmtId="0" fontId="3" fillId="0" borderId="9" xfId="0" applyFont="1" applyBorder="1"/>
    <xf numFmtId="0" fontId="0" fillId="0" borderId="8" xfId="0" applyFont="1" applyBorder="1"/>
    <xf numFmtId="0" fontId="0" fillId="0" borderId="9" xfId="0" applyFont="1" applyBorder="1"/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0" xfId="0" applyAlignment="1">
      <alignment horizontal="right"/>
    </xf>
    <xf numFmtId="0" fontId="1" fillId="0" borderId="0" xfId="0" applyFont="1" applyFill="1" applyBorder="1" applyAlignment="1">
      <alignment horizontal="center"/>
    </xf>
    <xf numFmtId="0" fontId="7" fillId="0" borderId="0" xfId="0" applyFont="1" applyBorder="1" applyAlignment="1"/>
    <xf numFmtId="0" fontId="0" fillId="0" borderId="11" xfId="0" applyBorder="1"/>
    <xf numFmtId="0" fontId="0" fillId="0" borderId="0" xfId="0" applyFill="1" applyBorder="1"/>
    <xf numFmtId="0" fontId="0" fillId="0" borderId="0" xfId="0" applyFont="1" applyBorder="1" applyAlignment="1"/>
    <xf numFmtId="0" fontId="1" fillId="0" borderId="13" xfId="0" applyFont="1" applyBorder="1" applyAlignment="1"/>
    <xf numFmtId="0" fontId="1" fillId="0" borderId="14" xfId="0" applyFont="1" applyBorder="1" applyAlignment="1"/>
    <xf numFmtId="0" fontId="1" fillId="0" borderId="16" xfId="0" applyFont="1" applyBorder="1" applyAlignment="1"/>
    <xf numFmtId="0" fontId="0" fillId="0" borderId="13" xfId="0" applyFont="1" applyBorder="1"/>
    <xf numFmtId="0" fontId="0" fillId="0" borderId="18" xfId="0" applyFont="1" applyBorder="1"/>
    <xf numFmtId="0" fontId="0" fillId="0" borderId="18" xfId="0" applyFont="1" applyBorder="1" applyAlignment="1">
      <alignment horizontal="center"/>
    </xf>
    <xf numFmtId="0" fontId="0" fillId="0" borderId="13" xfId="0" applyFont="1" applyBorder="1" applyAlignment="1">
      <alignment horizontal="left"/>
    </xf>
    <xf numFmtId="0" fontId="1" fillId="0" borderId="18" xfId="0" applyFont="1" applyBorder="1" applyAlignment="1">
      <alignment horizontal="center"/>
    </xf>
    <xf numFmtId="0" fontId="0" fillId="5" borderId="20" xfId="0" applyFont="1" applyFill="1" applyBorder="1" applyAlignment="1">
      <alignment horizontal="left"/>
    </xf>
    <xf numFmtId="0" fontId="0" fillId="5" borderId="23" xfId="0" applyFont="1" applyFill="1" applyBorder="1" applyAlignment="1">
      <alignment horizontal="left"/>
    </xf>
    <xf numFmtId="0" fontId="0" fillId="0" borderId="24" xfId="0" applyFont="1" applyBorder="1"/>
    <xf numFmtId="0" fontId="0" fillId="0" borderId="18" xfId="0" applyFont="1" applyFill="1" applyBorder="1" applyAlignment="1"/>
    <xf numFmtId="0" fontId="0" fillId="0" borderId="14" xfId="0" applyFont="1" applyBorder="1" applyAlignment="1"/>
    <xf numFmtId="0" fontId="0" fillId="0" borderId="26" xfId="0" applyFont="1" applyBorder="1" applyAlignment="1">
      <alignment horizontal="center"/>
    </xf>
    <xf numFmtId="0" fontId="0" fillId="0" borderId="24" xfId="0" applyFont="1" applyFill="1" applyBorder="1"/>
    <xf numFmtId="0" fontId="1" fillId="0" borderId="27" xfId="0" applyFont="1" applyFill="1" applyBorder="1" applyAlignment="1">
      <alignment horizontal="center"/>
    </xf>
    <xf numFmtId="0" fontId="0" fillId="0" borderId="13" xfId="0" applyFont="1" applyFill="1" applyBorder="1"/>
    <xf numFmtId="0" fontId="1" fillId="0" borderId="12" xfId="0" applyFont="1" applyFill="1" applyBorder="1" applyAlignment="1">
      <alignment horizontal="center"/>
    </xf>
    <xf numFmtId="0" fontId="1" fillId="0" borderId="24" xfId="0" applyFont="1" applyFill="1" applyBorder="1" applyAlignment="1"/>
    <xf numFmtId="0" fontId="1" fillId="0" borderId="13" xfId="0" applyFont="1" applyFill="1" applyBorder="1" applyAlignment="1"/>
    <xf numFmtId="0" fontId="1" fillId="0" borderId="15" xfId="0" applyFont="1" applyFill="1" applyBorder="1" applyAlignment="1">
      <alignment horizontal="center"/>
    </xf>
    <xf numFmtId="0" fontId="0" fillId="0" borderId="13" xfId="0" applyBorder="1"/>
    <xf numFmtId="0" fontId="0" fillId="0" borderId="10" xfId="0" applyBorder="1"/>
    <xf numFmtId="0" fontId="8" fillId="0" borderId="12" xfId="0" applyFont="1" applyBorder="1" applyAlignment="1">
      <alignment horizontal="center"/>
    </xf>
    <xf numFmtId="0" fontId="0" fillId="0" borderId="14" xfId="0" applyBorder="1" applyAlignment="1">
      <alignment horizontal="left"/>
    </xf>
    <xf numFmtId="0" fontId="8" fillId="0" borderId="15" xfId="0" applyFont="1" applyBorder="1" applyAlignment="1">
      <alignment horizontal="center"/>
    </xf>
    <xf numFmtId="0" fontId="0" fillId="0" borderId="16" xfId="0" applyBorder="1"/>
    <xf numFmtId="0" fontId="8" fillId="0" borderId="17" xfId="0" applyFont="1" applyBorder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5" borderId="25" xfId="0" applyFont="1" applyFill="1" applyBorder="1" applyAlignment="1">
      <alignment horizontal="left"/>
    </xf>
    <xf numFmtId="0" fontId="0" fillId="5" borderId="18" xfId="0" applyFont="1" applyFill="1" applyBorder="1" applyAlignment="1">
      <alignment horizontal="left"/>
    </xf>
    <xf numFmtId="0" fontId="0" fillId="5" borderId="26" xfId="0" applyFont="1" applyFill="1" applyBorder="1" applyAlignment="1">
      <alignment horizontal="left"/>
    </xf>
    <xf numFmtId="0" fontId="0" fillId="0" borderId="29" xfId="0" applyBorder="1" applyAlignment="1">
      <alignment horizontal="center"/>
    </xf>
    <xf numFmtId="0" fontId="0" fillId="0" borderId="35" xfId="0" applyBorder="1" applyAlignment="1"/>
    <xf numFmtId="0" fontId="0" fillId="0" borderId="25" xfId="0" applyFont="1" applyFill="1" applyBorder="1" applyAlignment="1"/>
    <xf numFmtId="0" fontId="0" fillId="0" borderId="0" xfId="0" applyFill="1" applyBorder="1" applyAlignment="1"/>
    <xf numFmtId="0" fontId="0" fillId="0" borderId="18" xfId="0" applyFill="1" applyBorder="1" applyAlignment="1"/>
    <xf numFmtId="0" fontId="0" fillId="0" borderId="0" xfId="0" applyFill="1"/>
    <xf numFmtId="0" fontId="0" fillId="0" borderId="15" xfId="0" applyFill="1" applyBorder="1" applyAlignment="1"/>
    <xf numFmtId="0" fontId="3" fillId="0" borderId="33" xfId="0" applyFont="1" applyBorder="1" applyAlignment="1"/>
    <xf numFmtId="0" fontId="3" fillId="0" borderId="34" xfId="0" applyFont="1" applyBorder="1" applyAlignment="1"/>
    <xf numFmtId="0" fontId="3" fillId="0" borderId="35" xfId="0" applyFont="1" applyBorder="1" applyAlignment="1"/>
    <xf numFmtId="0" fontId="3" fillId="0" borderId="10" xfId="0" applyFont="1" applyBorder="1" applyAlignment="1"/>
    <xf numFmtId="0" fontId="0" fillId="0" borderId="24" xfId="0" applyBorder="1"/>
    <xf numFmtId="0" fontId="4" fillId="7" borderId="33" xfId="0" applyFont="1" applyFill="1" applyBorder="1" applyAlignment="1"/>
    <xf numFmtId="0" fontId="0" fillId="7" borderId="33" xfId="0" applyFill="1" applyBorder="1"/>
    <xf numFmtId="0" fontId="1" fillId="7" borderId="33" xfId="0" applyFont="1" applyFill="1" applyBorder="1" applyAlignment="1"/>
    <xf numFmtId="0" fontId="0" fillId="7" borderId="33" xfId="0" applyFill="1" applyBorder="1" applyAlignment="1">
      <alignment horizontal="left"/>
    </xf>
    <xf numFmtId="0" fontId="0" fillId="0" borderId="33" xfId="0" applyBorder="1"/>
    <xf numFmtId="0" fontId="3" fillId="0" borderId="0" xfId="0" applyFont="1" applyBorder="1" applyAlignment="1"/>
    <xf numFmtId="0" fontId="0" fillId="6" borderId="33" xfId="0" applyFill="1" applyBorder="1"/>
    <xf numFmtId="0" fontId="3" fillId="0" borderId="33" xfId="0" applyFont="1" applyBorder="1"/>
    <xf numFmtId="0" fontId="0" fillId="6" borderId="33" xfId="0" applyFill="1" applyBorder="1" applyAlignment="1">
      <alignment horizontal="center"/>
    </xf>
    <xf numFmtId="0" fontId="0" fillId="0" borderId="33" xfId="0" applyFont="1" applyBorder="1"/>
    <xf numFmtId="0" fontId="8" fillId="0" borderId="10" xfId="0" applyFont="1" applyBorder="1" applyAlignment="1">
      <alignment horizontal="right"/>
    </xf>
    <xf numFmtId="0" fontId="3" fillId="0" borderId="0" xfId="0" applyFont="1" applyFill="1" applyBorder="1"/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left"/>
    </xf>
    <xf numFmtId="0" fontId="0" fillId="0" borderId="58" xfId="0" applyFont="1" applyBorder="1"/>
    <xf numFmtId="0" fontId="0" fillId="0" borderId="61" xfId="0" applyFont="1" applyBorder="1" applyAlignment="1"/>
    <xf numFmtId="0" fontId="0" fillId="0" borderId="61" xfId="0" applyFont="1" applyBorder="1"/>
    <xf numFmtId="0" fontId="0" fillId="0" borderId="33" xfId="0" applyFill="1" applyBorder="1"/>
    <xf numFmtId="166" fontId="1" fillId="0" borderId="38" xfId="0" applyNumberFormat="1" applyFont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/>
    </xf>
    <xf numFmtId="165" fontId="0" fillId="0" borderId="28" xfId="0" applyNumberFormat="1" applyBorder="1" applyAlignment="1">
      <alignment horizontal="center"/>
    </xf>
    <xf numFmtId="165" fontId="0" fillId="6" borderId="28" xfId="0" applyNumberFormat="1" applyFill="1" applyBorder="1" applyAlignment="1">
      <alignment horizontal="center"/>
    </xf>
    <xf numFmtId="167" fontId="1" fillId="0" borderId="38" xfId="0" applyNumberFormat="1" applyFont="1" applyBorder="1" applyAlignment="1">
      <alignment horizontal="center" vertical="center"/>
    </xf>
    <xf numFmtId="166" fontId="0" fillId="0" borderId="33" xfId="0" applyNumberFormat="1" applyBorder="1"/>
    <xf numFmtId="0" fontId="4" fillId="0" borderId="0" xfId="0" applyFont="1" applyFill="1" applyBorder="1" applyAlignment="1"/>
    <xf numFmtId="0" fontId="3" fillId="7" borderId="33" xfId="0" applyFont="1" applyFill="1" applyBorder="1"/>
    <xf numFmtId="0" fontId="4" fillId="0" borderId="33" xfId="0" applyFont="1" applyBorder="1" applyAlignment="1"/>
    <xf numFmtId="0" fontId="0" fillId="6" borderId="18" xfId="0" applyFill="1" applyBorder="1" applyAlignment="1"/>
    <xf numFmtId="0" fontId="0" fillId="6" borderId="18" xfId="0" applyFont="1" applyFill="1" applyBorder="1" applyAlignment="1"/>
    <xf numFmtId="0" fontId="3" fillId="7" borderId="69" xfId="0" applyFont="1" applyFill="1" applyBorder="1"/>
    <xf numFmtId="0" fontId="0" fillId="7" borderId="70" xfId="0" applyFill="1" applyBorder="1"/>
    <xf numFmtId="0" fontId="0" fillId="7" borderId="71" xfId="0" applyFill="1" applyBorder="1"/>
    <xf numFmtId="1" fontId="0" fillId="0" borderId="12" xfId="0" applyNumberFormat="1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/>
    </xf>
    <xf numFmtId="0" fontId="1" fillId="6" borderId="45" xfId="0" applyFont="1" applyFill="1" applyBorder="1" applyAlignment="1">
      <alignment horizontal="center"/>
    </xf>
    <xf numFmtId="0" fontId="1" fillId="6" borderId="18" xfId="0" applyFont="1" applyFill="1" applyBorder="1" applyAlignment="1">
      <alignment horizontal="center"/>
    </xf>
    <xf numFmtId="0" fontId="0" fillId="7" borderId="69" xfId="0" applyFill="1" applyBorder="1"/>
    <xf numFmtId="0" fontId="0" fillId="7" borderId="48" xfId="0" applyFill="1" applyBorder="1"/>
    <xf numFmtId="0" fontId="0" fillId="7" borderId="49" xfId="0" applyFill="1" applyBorder="1"/>
    <xf numFmtId="0" fontId="0" fillId="7" borderId="46" xfId="0" applyFill="1" applyBorder="1"/>
    <xf numFmtId="0" fontId="0" fillId="0" borderId="0" xfId="0" applyFill="1" applyBorder="1" applyAlignment="1"/>
    <xf numFmtId="0" fontId="0" fillId="0" borderId="0" xfId="0" applyFont="1" applyFill="1" applyBorder="1"/>
    <xf numFmtId="0" fontId="5" fillId="0" borderId="0" xfId="0" applyFont="1" applyFill="1" applyBorder="1" applyAlignment="1">
      <alignment vertical="center"/>
    </xf>
    <xf numFmtId="0" fontId="1" fillId="0" borderId="24" xfId="0" applyFont="1" applyBorder="1" applyAlignment="1"/>
    <xf numFmtId="0" fontId="1" fillId="0" borderId="72" xfId="0" applyFont="1" applyBorder="1" applyAlignment="1"/>
    <xf numFmtId="0" fontId="0" fillId="6" borderId="24" xfId="0" applyFont="1" applyFill="1" applyBorder="1"/>
    <xf numFmtId="0" fontId="0" fillId="6" borderId="13" xfId="0" applyFont="1" applyFill="1" applyBorder="1"/>
    <xf numFmtId="0" fontId="0" fillId="6" borderId="72" xfId="0" applyFont="1" applyFill="1" applyBorder="1"/>
    <xf numFmtId="0" fontId="1" fillId="6" borderId="73" xfId="0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 vertical="center" wrapText="1"/>
    </xf>
    <xf numFmtId="0" fontId="3" fillId="0" borderId="33" xfId="0" applyFont="1" applyBorder="1"/>
    <xf numFmtId="0" fontId="0" fillId="0" borderId="0" xfId="0" applyBorder="1" applyAlignment="1"/>
    <xf numFmtId="0" fontId="0" fillId="0" borderId="0" xfId="0" applyAlignment="1"/>
    <xf numFmtId="0" fontId="0" fillId="0" borderId="74" xfId="0" applyFont="1" applyBorder="1" applyAlignment="1"/>
    <xf numFmtId="0" fontId="0" fillId="0" borderId="75" xfId="0" applyFont="1" applyBorder="1" applyAlignment="1"/>
    <xf numFmtId="0" fontId="0" fillId="0" borderId="76" xfId="0" applyFont="1" applyBorder="1" applyAlignment="1"/>
    <xf numFmtId="0" fontId="1" fillId="0" borderId="79" xfId="0" applyFont="1" applyBorder="1" applyAlignment="1"/>
    <xf numFmtId="0" fontId="0" fillId="0" borderId="0" xfId="0" applyFont="1" applyBorder="1"/>
    <xf numFmtId="0" fontId="3" fillId="0" borderId="82" xfId="0" applyFont="1" applyBorder="1" applyAlignment="1"/>
    <xf numFmtId="0" fontId="3" fillId="0" borderId="34" xfId="0" applyFont="1" applyBorder="1" applyAlignment="1"/>
    <xf numFmtId="0" fontId="3" fillId="0" borderId="35" xfId="0" applyFont="1" applyBorder="1" applyAlignment="1"/>
    <xf numFmtId="0" fontId="3" fillId="0" borderId="33" xfId="0" applyFont="1" applyBorder="1" applyAlignment="1"/>
    <xf numFmtId="0" fontId="3" fillId="0" borderId="10" xfId="0" applyFont="1" applyBorder="1" applyAlignment="1"/>
    <xf numFmtId="0" fontId="0" fillId="0" borderId="0" xfId="0" applyFont="1" applyFill="1" applyBorder="1" applyAlignment="1">
      <alignment horizontal="left"/>
    </xf>
    <xf numFmtId="0" fontId="1" fillId="0" borderId="86" xfId="0" applyFont="1" applyBorder="1" applyAlignment="1"/>
    <xf numFmtId="0" fontId="1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top"/>
    </xf>
    <xf numFmtId="0" fontId="3" fillId="0" borderId="89" xfId="0" applyFont="1" applyFill="1" applyBorder="1"/>
    <xf numFmtId="0" fontId="3" fillId="0" borderId="91" xfId="0" applyFont="1" applyFill="1" applyBorder="1"/>
    <xf numFmtId="0" fontId="0" fillId="0" borderId="90" xfId="0" applyFill="1" applyBorder="1"/>
    <xf numFmtId="0" fontId="0" fillId="0" borderId="93" xfId="0" applyFont="1" applyFill="1" applyBorder="1"/>
    <xf numFmtId="165" fontId="0" fillId="6" borderId="12" xfId="0" applyNumberFormat="1" applyFont="1" applyFill="1" applyBorder="1" applyAlignment="1">
      <alignment horizontal="center" vertical="center" wrapText="1"/>
    </xf>
    <xf numFmtId="1" fontId="0" fillId="6" borderId="12" xfId="0" applyNumberFormat="1" applyFont="1" applyFill="1" applyBorder="1" applyAlignment="1">
      <alignment horizontal="center" vertical="center"/>
    </xf>
    <xf numFmtId="1" fontId="0" fillId="6" borderId="15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/>
    <xf numFmtId="0" fontId="0" fillId="0" borderId="24" xfId="0" applyFill="1" applyBorder="1"/>
    <xf numFmtId="0" fontId="0" fillId="0" borderId="0" xfId="0" applyFont="1" applyFill="1"/>
    <xf numFmtId="0" fontId="1" fillId="0" borderId="25" xfId="0" applyFont="1" applyFill="1" applyBorder="1" applyAlignment="1">
      <alignment horizontal="center"/>
    </xf>
    <xf numFmtId="0" fontId="0" fillId="0" borderId="58" xfId="0" applyFont="1" applyFill="1" applyBorder="1"/>
    <xf numFmtId="0" fontId="0" fillId="0" borderId="13" xfId="0" applyFill="1" applyBorder="1"/>
    <xf numFmtId="0" fontId="1" fillId="0" borderId="45" xfId="0" applyFont="1" applyFill="1" applyBorder="1" applyAlignment="1">
      <alignment horizontal="center"/>
    </xf>
    <xf numFmtId="0" fontId="0" fillId="0" borderId="61" xfId="0" applyFont="1" applyFill="1" applyBorder="1" applyAlignment="1"/>
    <xf numFmtId="0" fontId="0" fillId="0" borderId="18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0" fillId="0" borderId="61" xfId="0" applyFont="1" applyFill="1" applyBorder="1"/>
    <xf numFmtId="0" fontId="1" fillId="0" borderId="18" xfId="0" applyFont="1" applyFill="1" applyBorder="1" applyAlignment="1"/>
    <xf numFmtId="0" fontId="0" fillId="0" borderId="18" xfId="0" applyFont="1" applyFill="1" applyBorder="1"/>
    <xf numFmtId="0" fontId="0" fillId="0" borderId="13" xfId="0" applyFont="1" applyFill="1" applyBorder="1" applyAlignment="1">
      <alignment horizontal="left"/>
    </xf>
    <xf numFmtId="0" fontId="1" fillId="0" borderId="26" xfId="0" applyFont="1" applyFill="1" applyBorder="1" applyAlignment="1"/>
    <xf numFmtId="0" fontId="0" fillId="0" borderId="14" xfId="0" applyFont="1" applyFill="1" applyBorder="1" applyAlignment="1"/>
    <xf numFmtId="0" fontId="0" fillId="0" borderId="64" xfId="0" applyFont="1" applyFill="1" applyBorder="1"/>
    <xf numFmtId="0" fontId="0" fillId="0" borderId="27" xfId="0" applyFill="1" applyBorder="1" applyAlignment="1"/>
    <xf numFmtId="0" fontId="0" fillId="0" borderId="35" xfId="0" applyBorder="1" applyAlignment="1"/>
    <xf numFmtId="0" fontId="0" fillId="0" borderId="0" xfId="0" applyFont="1" applyFill="1" applyBorder="1" applyAlignment="1">
      <alignment horizontal="left"/>
    </xf>
    <xf numFmtId="0" fontId="0" fillId="0" borderId="0" xfId="0" applyBorder="1" applyAlignment="1"/>
    <xf numFmtId="0" fontId="0" fillId="0" borderId="12" xfId="0" applyFill="1" applyBorder="1" applyAlignment="1"/>
    <xf numFmtId="0" fontId="0" fillId="6" borderId="42" xfId="0" applyFill="1" applyBorder="1"/>
    <xf numFmtId="0" fontId="0" fillId="6" borderId="20" xfId="0" applyFill="1" applyBorder="1"/>
    <xf numFmtId="0" fontId="0" fillId="6" borderId="1" xfId="0" applyFill="1" applyBorder="1"/>
    <xf numFmtId="0" fontId="0" fillId="6" borderId="36" xfId="0" applyFill="1" applyBorder="1"/>
    <xf numFmtId="0" fontId="0" fillId="6" borderId="39" xfId="0" applyFill="1" applyBorder="1"/>
    <xf numFmtId="0" fontId="0" fillId="6" borderId="23" xfId="0" applyFill="1" applyBorder="1"/>
    <xf numFmtId="0" fontId="0" fillId="6" borderId="32" xfId="0" applyFont="1" applyFill="1" applyBorder="1" applyAlignment="1">
      <alignment horizontal="left"/>
    </xf>
    <xf numFmtId="165" fontId="0" fillId="6" borderId="27" xfId="0" applyNumberFormat="1" applyFont="1" applyFill="1" applyBorder="1" applyAlignment="1">
      <alignment horizontal="left"/>
    </xf>
    <xf numFmtId="0" fontId="0" fillId="6" borderId="54" xfId="0" applyFont="1" applyFill="1" applyBorder="1" applyAlignment="1">
      <alignment horizontal="left"/>
    </xf>
    <xf numFmtId="165" fontId="0" fillId="6" borderId="17" xfId="0" applyNumberFormat="1" applyFont="1" applyFill="1" applyBorder="1" applyAlignment="1">
      <alignment horizontal="left"/>
    </xf>
    <xf numFmtId="0" fontId="0" fillId="6" borderId="30" xfId="0" applyFont="1" applyFill="1" applyBorder="1" applyAlignment="1">
      <alignment horizontal="left"/>
    </xf>
    <xf numFmtId="165" fontId="0" fillId="6" borderId="12" xfId="0" applyNumberFormat="1" applyFont="1" applyFill="1" applyBorder="1" applyAlignment="1">
      <alignment horizontal="left"/>
    </xf>
    <xf numFmtId="0" fontId="0" fillId="6" borderId="31" xfId="0" applyFont="1" applyFill="1" applyBorder="1" applyAlignment="1">
      <alignment horizontal="left"/>
    </xf>
    <xf numFmtId="165" fontId="0" fillId="6" borderId="15" xfId="0" applyNumberFormat="1" applyFont="1" applyFill="1" applyBorder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0" fontId="3" fillId="0" borderId="10" xfId="0" applyFont="1" applyFill="1" applyBorder="1" applyAlignment="1"/>
    <xf numFmtId="0" fontId="1" fillId="0" borderId="72" xfId="0" applyFont="1" applyFill="1" applyBorder="1" applyAlignment="1"/>
    <xf numFmtId="0" fontId="1" fillId="0" borderId="73" xfId="0" applyFont="1" applyFill="1" applyBorder="1" applyAlignment="1">
      <alignment horizontal="center"/>
    </xf>
    <xf numFmtId="0" fontId="0" fillId="0" borderId="72" xfId="0" applyFont="1" applyFill="1" applyBorder="1"/>
    <xf numFmtId="0" fontId="0" fillId="6" borderId="16" xfId="0" applyFont="1" applyFill="1" applyBorder="1"/>
    <xf numFmtId="0" fontId="1" fillId="6" borderId="24" xfId="0" applyFont="1" applyFill="1" applyBorder="1" applyAlignment="1"/>
    <xf numFmtId="0" fontId="1" fillId="6" borderId="13" xfId="0" applyFont="1" applyFill="1" applyBorder="1" applyAlignment="1"/>
    <xf numFmtId="0" fontId="1" fillId="6" borderId="72" xfId="0" applyFont="1" applyFill="1" applyBorder="1" applyAlignment="1"/>
    <xf numFmtId="0" fontId="0" fillId="0" borderId="72" xfId="0" applyFont="1" applyBorder="1"/>
    <xf numFmtId="0" fontId="1" fillId="0" borderId="97" xfId="0" applyFont="1" applyFill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1" fontId="1" fillId="0" borderId="15" xfId="0" applyNumberFormat="1" applyFont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0" fillId="6" borderId="61" xfId="0" applyFont="1" applyFill="1" applyBorder="1"/>
    <xf numFmtId="0" fontId="0" fillId="6" borderId="64" xfId="0" applyFont="1" applyFill="1" applyBorder="1"/>
    <xf numFmtId="0" fontId="0" fillId="6" borderId="25" xfId="0" applyFont="1" applyFill="1" applyBorder="1" applyAlignment="1"/>
    <xf numFmtId="0" fontId="0" fillId="0" borderId="73" xfId="0" applyFont="1" applyFill="1" applyBorder="1" applyAlignment="1"/>
    <xf numFmtId="0" fontId="0" fillId="6" borderId="73" xfId="0" applyFont="1" applyFill="1" applyBorder="1" applyAlignment="1"/>
    <xf numFmtId="14" fontId="0" fillId="0" borderId="0" xfId="0" applyNumberFormat="1"/>
    <xf numFmtId="0" fontId="0" fillId="0" borderId="98" xfId="0" applyBorder="1" applyAlignment="1">
      <alignment horizontal="right"/>
    </xf>
    <xf numFmtId="165" fontId="0" fillId="6" borderId="17" xfId="0" applyNumberFormat="1" applyFont="1" applyFill="1" applyBorder="1" applyAlignment="1">
      <alignment horizontal="center" vertical="center" wrapText="1"/>
    </xf>
    <xf numFmtId="165" fontId="1" fillId="6" borderId="12" xfId="0" applyNumberFormat="1" applyFont="1" applyFill="1" applyBorder="1" applyAlignment="1">
      <alignment horizontal="center" vertical="center"/>
    </xf>
    <xf numFmtId="165" fontId="0" fillId="6" borderId="15" xfId="0" applyNumberFormat="1" applyFont="1" applyFill="1" applyBorder="1" applyAlignment="1">
      <alignment horizontal="center" vertical="center"/>
    </xf>
    <xf numFmtId="0" fontId="0" fillId="7" borderId="98" xfId="0" applyFill="1" applyBorder="1"/>
    <xf numFmtId="0" fontId="0" fillId="0" borderId="0" xfId="0" applyAlignment="1">
      <alignment vertical="center" wrapText="1"/>
    </xf>
    <xf numFmtId="0" fontId="3" fillId="0" borderId="94" xfId="0" applyFont="1" applyBorder="1" applyAlignment="1">
      <alignment vertical="center" wrapText="1"/>
    </xf>
    <xf numFmtId="0" fontId="3" fillId="0" borderId="96" xfId="0" applyFont="1" applyBorder="1" applyAlignment="1">
      <alignment vertical="center" wrapText="1"/>
    </xf>
    <xf numFmtId="0" fontId="0" fillId="7" borderId="102" xfId="0" applyFill="1" applyBorder="1"/>
    <xf numFmtId="0" fontId="0" fillId="7" borderId="105" xfId="0" applyFill="1" applyBorder="1"/>
    <xf numFmtId="0" fontId="0" fillId="7" borderId="43" xfId="0" applyFill="1" applyBorder="1"/>
    <xf numFmtId="0" fontId="0" fillId="7" borderId="44" xfId="0" applyFill="1" applyBorder="1"/>
    <xf numFmtId="165" fontId="0" fillId="0" borderId="45" xfId="0" applyNumberFormat="1" applyFont="1" applyFill="1" applyBorder="1" applyAlignment="1">
      <alignment horizontal="center" vertical="center" wrapText="1"/>
    </xf>
    <xf numFmtId="0" fontId="1" fillId="0" borderId="45" xfId="0" applyFont="1" applyFill="1" applyBorder="1" applyAlignment="1">
      <alignment vertical="center"/>
    </xf>
    <xf numFmtId="0" fontId="1" fillId="0" borderId="18" xfId="0" applyFont="1" applyFill="1" applyBorder="1" applyAlignment="1">
      <alignment vertical="center"/>
    </xf>
    <xf numFmtId="0" fontId="0" fillId="0" borderId="106" xfId="0" applyBorder="1"/>
    <xf numFmtId="0" fontId="0" fillId="0" borderId="107" xfId="0" applyBorder="1"/>
    <xf numFmtId="14" fontId="0" fillId="0" borderId="107" xfId="0" applyNumberFormat="1" applyBorder="1"/>
    <xf numFmtId="0" fontId="0" fillId="9" borderId="108" xfId="0" applyFont="1" applyFill="1" applyBorder="1" applyAlignment="1">
      <alignment horizontal="left"/>
    </xf>
    <xf numFmtId="0" fontId="0" fillId="0" borderId="72" xfId="0" applyBorder="1"/>
    <xf numFmtId="0" fontId="0" fillId="0" borderId="15" xfId="0" applyBorder="1"/>
    <xf numFmtId="0" fontId="0" fillId="0" borderId="15" xfId="0" applyFont="1" applyBorder="1" applyAlignment="1"/>
    <xf numFmtId="0" fontId="0" fillId="0" borderId="73" xfId="0" applyFont="1" applyFill="1" applyBorder="1" applyAlignment="1">
      <alignment horizontal="left"/>
    </xf>
    <xf numFmtId="0" fontId="3" fillId="7" borderId="98" xfId="0" applyFont="1" applyFill="1" applyBorder="1"/>
    <xf numFmtId="0" fontId="0" fillId="7" borderId="109" xfId="0" applyFill="1" applyBorder="1"/>
    <xf numFmtId="0" fontId="0" fillId="7" borderId="68" xfId="0" applyFill="1" applyBorder="1"/>
    <xf numFmtId="0" fontId="0" fillId="7" borderId="101" xfId="0" applyFill="1" applyBorder="1"/>
    <xf numFmtId="1" fontId="0" fillId="0" borderId="27" xfId="0" applyNumberFormat="1" applyFont="1" applyFill="1" applyBorder="1" applyAlignment="1">
      <alignment horizontal="center" vertical="top" wrapText="1"/>
    </xf>
    <xf numFmtId="0" fontId="1" fillId="0" borderId="110" xfId="0" applyFont="1" applyFill="1" applyBorder="1" applyAlignment="1">
      <alignment horizontal="center"/>
    </xf>
    <xf numFmtId="0" fontId="1" fillId="0" borderId="56" xfId="0" applyFont="1" applyFill="1" applyBorder="1" applyAlignment="1">
      <alignment horizontal="center"/>
    </xf>
    <xf numFmtId="0" fontId="1" fillId="0" borderId="111" xfId="0" applyFont="1" applyFill="1" applyBorder="1" applyAlignment="1">
      <alignment horizontal="center"/>
    </xf>
    <xf numFmtId="0" fontId="3" fillId="0" borderId="94" xfId="0" applyFont="1" applyBorder="1" applyAlignment="1"/>
    <xf numFmtId="0" fontId="0" fillId="0" borderId="18" xfId="0" applyFill="1" applyBorder="1"/>
    <xf numFmtId="0" fontId="0" fillId="0" borderId="73" xfId="0" applyFill="1" applyBorder="1"/>
    <xf numFmtId="0" fontId="1" fillId="0" borderId="17" xfId="0" applyFont="1" applyFill="1" applyBorder="1" applyAlignment="1">
      <alignment horizontal="center"/>
    </xf>
    <xf numFmtId="0" fontId="0" fillId="0" borderId="45" xfId="0" applyFill="1" applyBorder="1"/>
    <xf numFmtId="0" fontId="8" fillId="0" borderId="114" xfId="0" applyFont="1" applyFill="1" applyBorder="1" applyAlignment="1">
      <alignment horizontal="right"/>
    </xf>
    <xf numFmtId="0" fontId="0" fillId="0" borderId="98" xfId="0" applyBorder="1"/>
    <xf numFmtId="0" fontId="0" fillId="6" borderId="98" xfId="0" applyFill="1" applyBorder="1"/>
    <xf numFmtId="0" fontId="0" fillId="0" borderId="99" xfId="0" applyBorder="1"/>
    <xf numFmtId="0" fontId="3" fillId="0" borderId="12" xfId="0" applyFont="1" applyFill="1" applyBorder="1" applyAlignment="1"/>
    <xf numFmtId="0" fontId="3" fillId="0" borderId="92" xfId="0" applyFont="1" applyFill="1" applyBorder="1" applyAlignment="1"/>
    <xf numFmtId="0" fontId="0" fillId="0" borderId="0" xfId="0" applyFill="1" applyBorder="1" applyAlignment="1"/>
    <xf numFmtId="0" fontId="0" fillId="0" borderId="25" xfId="0" applyFont="1" applyFill="1" applyBorder="1" applyAlignment="1">
      <alignment horizontal="right"/>
    </xf>
    <xf numFmtId="0" fontId="0" fillId="0" borderId="18" xfId="0" applyFont="1" applyFill="1" applyBorder="1" applyAlignment="1">
      <alignment horizontal="right"/>
    </xf>
    <xf numFmtId="0" fontId="0" fillId="0" borderId="73" xfId="0" applyFont="1" applyFill="1" applyBorder="1" applyAlignment="1">
      <alignment horizontal="right"/>
    </xf>
    <xf numFmtId="0" fontId="0" fillId="0" borderId="98" xfId="0" applyFill="1" applyBorder="1"/>
    <xf numFmtId="0" fontId="0" fillId="7" borderId="99" xfId="0" applyFill="1" applyBorder="1" applyAlignment="1">
      <alignment horizontal="left"/>
    </xf>
    <xf numFmtId="0" fontId="0" fillId="7" borderId="9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7" borderId="98" xfId="0" applyFont="1" applyFill="1" applyBorder="1" applyAlignment="1"/>
    <xf numFmtId="0" fontId="1" fillId="7" borderId="98" xfId="0" applyFont="1" applyFill="1" applyBorder="1" applyAlignment="1"/>
    <xf numFmtId="0" fontId="0" fillId="7" borderId="98" xfId="0" applyFill="1" applyBorder="1" applyAlignment="1"/>
    <xf numFmtId="0" fontId="0" fillId="8" borderId="98" xfId="0" applyFill="1" applyBorder="1"/>
    <xf numFmtId="0" fontId="3" fillId="0" borderId="98" xfId="0" applyFont="1" applyBorder="1"/>
    <xf numFmtId="0" fontId="3" fillId="0" borderId="0" xfId="0" applyFont="1" applyBorder="1"/>
    <xf numFmtId="0" fontId="3" fillId="0" borderId="99" xfId="0" applyFont="1" applyBorder="1"/>
    <xf numFmtId="0" fontId="1" fillId="0" borderId="106" xfId="0" applyFont="1" applyFill="1" applyBorder="1" applyAlignment="1"/>
    <xf numFmtId="165" fontId="0" fillId="0" borderId="108" xfId="0" applyNumberFormat="1" applyFont="1" applyFill="1" applyBorder="1" applyAlignment="1">
      <alignment horizontal="center" vertical="center" wrapText="1"/>
    </xf>
    <xf numFmtId="165" fontId="0" fillId="0" borderId="97" xfId="0" applyNumberFormat="1" applyFont="1" applyFill="1" applyBorder="1" applyAlignment="1">
      <alignment horizontal="center" vertical="center" wrapText="1"/>
    </xf>
    <xf numFmtId="0" fontId="4" fillId="0" borderId="98" xfId="0" applyFont="1" applyFill="1" applyBorder="1" applyAlignment="1">
      <alignment horizontal="left" vertical="top"/>
    </xf>
    <xf numFmtId="0" fontId="3" fillId="0" borderId="98" xfId="0" applyFont="1" applyFill="1" applyBorder="1" applyAlignment="1">
      <alignment horizontal="left" vertical="top"/>
    </xf>
    <xf numFmtId="0" fontId="0" fillId="6" borderId="26" xfId="0" applyFont="1" applyFill="1" applyBorder="1" applyAlignment="1">
      <alignment horizontal="center"/>
    </xf>
    <xf numFmtId="0" fontId="0" fillId="9" borderId="33" xfId="0" applyFill="1" applyBorder="1"/>
    <xf numFmtId="0" fontId="0" fillId="7" borderId="98" xfId="0" applyFont="1" applyFill="1" applyBorder="1"/>
    <xf numFmtId="0" fontId="1" fillId="7" borderId="71" xfId="0" applyFont="1" applyFill="1" applyBorder="1" applyAlignment="1"/>
    <xf numFmtId="0" fontId="3" fillId="7" borderId="99" xfId="0" applyFont="1" applyFill="1" applyBorder="1"/>
    <xf numFmtId="0" fontId="3" fillId="7" borderId="100" xfId="0" applyFont="1" applyFill="1" applyBorder="1"/>
    <xf numFmtId="0" fontId="0" fillId="0" borderId="0" xfId="0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118" xfId="0" applyFont="1" applyBorder="1" applyAlignment="1"/>
    <xf numFmtId="0" fontId="1" fillId="0" borderId="87" xfId="0" applyFont="1" applyFill="1" applyBorder="1" applyAlignment="1">
      <alignment horizontal="center" vertical="center"/>
    </xf>
    <xf numFmtId="0" fontId="1" fillId="0" borderId="88" xfId="0" applyFont="1" applyFill="1" applyBorder="1" applyAlignment="1">
      <alignment horizontal="center" vertical="center"/>
    </xf>
    <xf numFmtId="0" fontId="1" fillId="0" borderId="119" xfId="0" applyFont="1" applyBorder="1" applyAlignment="1"/>
    <xf numFmtId="0" fontId="1" fillId="0" borderId="90" xfId="0" applyFont="1" applyFill="1" applyBorder="1" applyAlignment="1">
      <alignment horizontal="center" vertical="center"/>
    </xf>
    <xf numFmtId="0" fontId="1" fillId="0" borderId="120" xfId="0" applyFont="1" applyBorder="1" applyAlignment="1"/>
    <xf numFmtId="0" fontId="1" fillId="0" borderId="121" xfId="0" applyFont="1" applyFill="1" applyBorder="1" applyAlignment="1">
      <alignment horizontal="center" vertical="center"/>
    </xf>
    <xf numFmtId="0" fontId="0" fillId="0" borderId="122" xfId="0" applyFont="1" applyFill="1" applyBorder="1"/>
    <xf numFmtId="0" fontId="0" fillId="0" borderId="119" xfId="0" applyFont="1" applyFill="1" applyBorder="1"/>
    <xf numFmtId="0" fontId="0" fillId="0" borderId="120" xfId="0" applyFont="1" applyFill="1" applyBorder="1"/>
    <xf numFmtId="0" fontId="1" fillId="0" borderId="122" xfId="0" applyFont="1" applyFill="1" applyBorder="1" applyAlignment="1"/>
    <xf numFmtId="0" fontId="1" fillId="0" borderId="119" xfId="0" applyFont="1" applyFill="1" applyBorder="1" applyAlignment="1"/>
    <xf numFmtId="0" fontId="1" fillId="0" borderId="120" xfId="0" applyFont="1" applyFill="1" applyBorder="1" applyAlignment="1"/>
    <xf numFmtId="0" fontId="1" fillId="0" borderId="123" xfId="0" applyFont="1" applyFill="1" applyBorder="1" applyAlignment="1"/>
    <xf numFmtId="0" fontId="1" fillId="0" borderId="125" xfId="0" applyFont="1" applyFill="1" applyBorder="1" applyAlignment="1">
      <alignment horizontal="center" vertical="center"/>
    </xf>
    <xf numFmtId="0" fontId="1" fillId="0" borderId="92" xfId="0" applyFont="1" applyFill="1" applyBorder="1" applyAlignment="1">
      <alignment horizontal="center" vertical="center"/>
    </xf>
    <xf numFmtId="0" fontId="1" fillId="0" borderId="93" xfId="0" applyFont="1" applyFill="1" applyBorder="1" applyAlignment="1">
      <alignment horizontal="center" vertical="center"/>
    </xf>
    <xf numFmtId="0" fontId="1" fillId="0" borderId="128" xfId="0" applyFont="1" applyBorder="1" applyAlignment="1"/>
    <xf numFmtId="0" fontId="1" fillId="0" borderId="129" xfId="0" applyFont="1" applyBorder="1" applyAlignment="1"/>
    <xf numFmtId="0" fontId="1" fillId="0" borderId="130" xfId="0" applyFont="1" applyBorder="1" applyAlignment="1"/>
    <xf numFmtId="0" fontId="1" fillId="0" borderId="129" xfId="0" applyFont="1" applyFill="1" applyBorder="1" applyAlignment="1"/>
    <xf numFmtId="0" fontId="1" fillId="0" borderId="131" xfId="0" applyFont="1" applyBorder="1" applyAlignment="1"/>
    <xf numFmtId="0" fontId="3" fillId="0" borderId="132" xfId="0" applyFont="1" applyBorder="1" applyAlignment="1"/>
    <xf numFmtId="0" fontId="4" fillId="0" borderId="133" xfId="0" applyFont="1" applyFill="1" applyBorder="1" applyAlignment="1">
      <alignment horizontal="center" vertical="center"/>
    </xf>
    <xf numFmtId="0" fontId="4" fillId="0" borderId="134" xfId="0" applyFont="1" applyFill="1" applyBorder="1" applyAlignment="1">
      <alignment horizontal="center" vertical="center"/>
    </xf>
    <xf numFmtId="0" fontId="3" fillId="0" borderId="134" xfId="0" applyFont="1" applyFill="1" applyBorder="1" applyAlignment="1">
      <alignment horizontal="center" vertical="center"/>
    </xf>
    <xf numFmtId="0" fontId="4" fillId="0" borderId="135" xfId="0" applyFont="1" applyFill="1" applyBorder="1" applyAlignment="1">
      <alignment horizontal="center" vertical="center"/>
    </xf>
    <xf numFmtId="0" fontId="0" fillId="0" borderId="118" xfId="0" applyFont="1" applyFill="1" applyBorder="1"/>
    <xf numFmtId="0" fontId="0" fillId="0" borderId="123" xfId="0" applyFont="1" applyFill="1" applyBorder="1"/>
    <xf numFmtId="0" fontId="0" fillId="8" borderId="68" xfId="0" applyFill="1" applyBorder="1"/>
    <xf numFmtId="0" fontId="0" fillId="8" borderId="129" xfId="0" applyFill="1" applyBorder="1"/>
    <xf numFmtId="0" fontId="0" fillId="8" borderId="136" xfId="0" applyFill="1" applyBorder="1"/>
    <xf numFmtId="0" fontId="0" fillId="8" borderId="131" xfId="0" applyFill="1" applyBorder="1"/>
    <xf numFmtId="0" fontId="0" fillId="8" borderId="124" xfId="0" applyFill="1" applyBorder="1"/>
    <xf numFmtId="0" fontId="0" fillId="8" borderId="137" xfId="0" applyFill="1" applyBorder="1"/>
    <xf numFmtId="0" fontId="0" fillId="8" borderId="138" xfId="0" applyFill="1" applyBorder="1"/>
    <xf numFmtId="0" fontId="0" fillId="8" borderId="116" xfId="0" applyFill="1" applyBorder="1"/>
    <xf numFmtId="0" fontId="0" fillId="8" borderId="139" xfId="0" applyFill="1" applyBorder="1"/>
    <xf numFmtId="0" fontId="3" fillId="0" borderId="126" xfId="0" applyFont="1" applyBorder="1"/>
    <xf numFmtId="0" fontId="3" fillId="0" borderId="140" xfId="0" applyFont="1" applyBorder="1"/>
    <xf numFmtId="0" fontId="3" fillId="0" borderId="127" xfId="0" applyFont="1" applyBorder="1"/>
    <xf numFmtId="0" fontId="1" fillId="0" borderId="7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1" fillId="0" borderId="78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1" fillId="0" borderId="80" xfId="0" applyFont="1" applyBorder="1" applyAlignment="1">
      <alignment horizontal="center" vertical="center"/>
    </xf>
    <xf numFmtId="0" fontId="1" fillId="0" borderId="81" xfId="0" applyFont="1" applyBorder="1" applyAlignment="1">
      <alignment horizontal="center" vertical="center"/>
    </xf>
    <xf numFmtId="0" fontId="0" fillId="0" borderId="81" xfId="0" applyFont="1" applyBorder="1" applyAlignment="1">
      <alignment horizontal="center" vertical="center"/>
    </xf>
    <xf numFmtId="169" fontId="1" fillId="0" borderId="5" xfId="0" applyNumberFormat="1" applyFont="1" applyBorder="1" applyAlignment="1">
      <alignment horizontal="center" vertical="center"/>
    </xf>
    <xf numFmtId="169" fontId="1" fillId="0" borderId="2" xfId="0" applyNumberFormat="1" applyFont="1" applyBorder="1" applyAlignment="1">
      <alignment horizontal="center" vertical="center"/>
    </xf>
    <xf numFmtId="169" fontId="1" fillId="0" borderId="6" xfId="0" applyNumberFormat="1" applyFont="1" applyBorder="1" applyAlignment="1">
      <alignment horizontal="center" vertical="center"/>
    </xf>
    <xf numFmtId="169" fontId="1" fillId="0" borderId="81" xfId="0" applyNumberFormat="1" applyFont="1" applyBorder="1" applyAlignment="1">
      <alignment horizontal="center" vertical="center"/>
    </xf>
    <xf numFmtId="170" fontId="0" fillId="0" borderId="5" xfId="0" applyNumberFormat="1" applyFont="1" applyBorder="1" applyAlignment="1">
      <alignment horizontal="center" vertical="center"/>
    </xf>
    <xf numFmtId="170" fontId="0" fillId="0" borderId="2" xfId="0" applyNumberFormat="1" applyFont="1" applyBorder="1" applyAlignment="1">
      <alignment horizontal="center" vertical="center"/>
    </xf>
    <xf numFmtId="170" fontId="0" fillId="0" borderId="6" xfId="0" applyNumberFormat="1" applyFont="1" applyBorder="1" applyAlignment="1">
      <alignment horizontal="center" vertical="center"/>
    </xf>
    <xf numFmtId="170" fontId="0" fillId="0" borderId="81" xfId="0" applyNumberFormat="1" applyFont="1" applyBorder="1" applyAlignment="1">
      <alignment horizontal="center" vertical="center"/>
    </xf>
    <xf numFmtId="0" fontId="0" fillId="0" borderId="78" xfId="0" applyFont="1" applyBorder="1" applyAlignment="1">
      <alignment horizontal="center" vertical="center"/>
    </xf>
    <xf numFmtId="0" fontId="0" fillId="0" borderId="79" xfId="0" applyFont="1" applyBorder="1" applyAlignment="1">
      <alignment horizontal="center" vertical="center"/>
    </xf>
    <xf numFmtId="0" fontId="0" fillId="0" borderId="77" xfId="0" applyFont="1" applyBorder="1" applyAlignment="1">
      <alignment horizontal="center" vertical="center"/>
    </xf>
    <xf numFmtId="0" fontId="0" fillId="0" borderId="80" xfId="0" applyFont="1" applyBorder="1" applyAlignment="1">
      <alignment horizontal="center" vertical="center"/>
    </xf>
    <xf numFmtId="0" fontId="0" fillId="0" borderId="143" xfId="0" applyFont="1" applyBorder="1"/>
    <xf numFmtId="0" fontId="1" fillId="0" borderId="145" xfId="0" applyFont="1" applyBorder="1" applyAlignment="1">
      <alignment horizontal="left" vertical="top"/>
    </xf>
    <xf numFmtId="0" fontId="1" fillId="0" borderId="143" xfId="0" applyFont="1" applyBorder="1" applyAlignment="1">
      <alignment horizontal="left" vertical="top"/>
    </xf>
    <xf numFmtId="0" fontId="1" fillId="0" borderId="143" xfId="0" applyFont="1" applyBorder="1" applyAlignment="1"/>
    <xf numFmtId="0" fontId="1" fillId="0" borderId="146" xfId="0" applyFont="1" applyBorder="1" applyAlignment="1"/>
    <xf numFmtId="0" fontId="1" fillId="0" borderId="76" xfId="0" applyFont="1" applyBorder="1" applyAlignment="1">
      <alignment horizontal="center"/>
    </xf>
    <xf numFmtId="0" fontId="1" fillId="0" borderId="147" xfId="0" applyFont="1" applyBorder="1" applyAlignment="1">
      <alignment horizontal="center" vertical="top"/>
    </xf>
    <xf numFmtId="0" fontId="1" fillId="0" borderId="148" xfId="0" applyFont="1" applyBorder="1" applyAlignment="1">
      <alignment horizontal="center" vertical="top"/>
    </xf>
    <xf numFmtId="0" fontId="1" fillId="0" borderId="148" xfId="0" applyFont="1" applyBorder="1" applyAlignment="1">
      <alignment horizontal="center"/>
    </xf>
    <xf numFmtId="0" fontId="1" fillId="0" borderId="149" xfId="0" applyFont="1" applyBorder="1" applyAlignment="1">
      <alignment horizontal="center"/>
    </xf>
    <xf numFmtId="0" fontId="1" fillId="6" borderId="150" xfId="0" applyFont="1" applyFill="1" applyBorder="1" applyAlignment="1">
      <alignment horizontal="center"/>
    </xf>
    <xf numFmtId="0" fontId="1" fillId="0" borderId="151" xfId="0" applyFont="1" applyBorder="1" applyAlignment="1"/>
    <xf numFmtId="0" fontId="1" fillId="0" borderId="152" xfId="0" applyFont="1" applyBorder="1" applyAlignment="1">
      <alignment horizontal="center"/>
    </xf>
    <xf numFmtId="0" fontId="1" fillId="9" borderId="141" xfId="0" applyFont="1" applyFill="1" applyBorder="1" applyAlignment="1">
      <alignment horizontal="center" vertical="top"/>
    </xf>
    <xf numFmtId="0" fontId="1" fillId="9" borderId="142" xfId="0" applyFont="1" applyFill="1" applyBorder="1" applyAlignment="1">
      <alignment horizontal="center" vertical="top"/>
    </xf>
    <xf numFmtId="0" fontId="1" fillId="9" borderId="142" xfId="0" applyFont="1" applyFill="1" applyBorder="1" applyAlignment="1">
      <alignment horizontal="center"/>
    </xf>
    <xf numFmtId="0" fontId="1" fillId="0" borderId="82" xfId="0" applyFont="1" applyFill="1" applyBorder="1" applyAlignment="1">
      <alignment horizontal="center"/>
    </xf>
    <xf numFmtId="0" fontId="1" fillId="0" borderId="82" xfId="0" applyFont="1" applyBorder="1" applyAlignment="1">
      <alignment horizontal="center"/>
    </xf>
    <xf numFmtId="0" fontId="1" fillId="0" borderId="85" xfId="0" applyFont="1" applyBorder="1" applyAlignment="1">
      <alignment horizontal="center"/>
    </xf>
    <xf numFmtId="0" fontId="0" fillId="0" borderId="156" xfId="0" applyBorder="1"/>
    <xf numFmtId="0" fontId="0" fillId="0" borderId="95" xfId="0" applyBorder="1" applyAlignment="1">
      <alignment horizontal="center"/>
    </xf>
    <xf numFmtId="0" fontId="3" fillId="0" borderId="158" xfId="0" applyFont="1" applyFill="1" applyBorder="1"/>
    <xf numFmtId="0" fontId="3" fillId="0" borderId="17" xfId="0" applyFont="1" applyFill="1" applyBorder="1" applyAlignment="1"/>
    <xf numFmtId="0" fontId="0" fillId="0" borderId="159" xfId="0" applyFill="1" applyBorder="1"/>
    <xf numFmtId="0" fontId="3" fillId="0" borderId="160" xfId="0" applyFont="1" applyFill="1" applyBorder="1"/>
    <xf numFmtId="0" fontId="3" fillId="0" borderId="161" xfId="0" applyFont="1" applyFill="1" applyBorder="1" applyAlignment="1"/>
    <xf numFmtId="0" fontId="3" fillId="0" borderId="162" xfId="0" applyFont="1" applyFill="1" applyBorder="1"/>
    <xf numFmtId="0" fontId="9" fillId="0" borderId="0" xfId="0" applyFont="1" applyFill="1" applyBorder="1" applyAlignment="1"/>
    <xf numFmtId="0" fontId="3" fillId="0" borderId="95" xfId="0" applyFont="1" applyBorder="1" applyAlignment="1">
      <alignment vertical="center" wrapText="1"/>
    </xf>
    <xf numFmtId="0" fontId="0" fillId="0" borderId="0" xfId="0" applyBorder="1" applyAlignment="1"/>
    <xf numFmtId="0" fontId="3" fillId="0" borderId="0" xfId="0" applyFont="1" applyBorder="1" applyAlignment="1"/>
    <xf numFmtId="0" fontId="3" fillId="0" borderId="33" xfId="0" applyFont="1" applyFill="1" applyBorder="1"/>
    <xf numFmtId="0" fontId="3" fillId="0" borderId="33" xfId="0" applyFont="1" applyFill="1" applyBorder="1" applyAlignment="1"/>
    <xf numFmtId="0" fontId="0" fillId="0" borderId="0" xfId="0" applyBorder="1" applyAlignment="1"/>
    <xf numFmtId="0" fontId="3" fillId="0" borderId="33" xfId="0" applyFont="1" applyBorder="1"/>
    <xf numFmtId="0" fontId="0" fillId="0" borderId="0" xfId="0" applyFill="1" applyBorder="1" applyAlignment="1"/>
    <xf numFmtId="0" fontId="0" fillId="6" borderId="0" xfId="0" applyFill="1"/>
    <xf numFmtId="0" fontId="1" fillId="9" borderId="128" xfId="0" applyFont="1" applyFill="1" applyBorder="1" applyAlignment="1"/>
    <xf numFmtId="0" fontId="1" fillId="9" borderId="129" xfId="0" applyFont="1" applyFill="1" applyBorder="1" applyAlignment="1"/>
    <xf numFmtId="0" fontId="1" fillId="9" borderId="130" xfId="0" applyFont="1" applyFill="1" applyBorder="1" applyAlignment="1"/>
    <xf numFmtId="0" fontId="1" fillId="9" borderId="131" xfId="0" applyFont="1" applyFill="1" applyBorder="1" applyAlignment="1"/>
    <xf numFmtId="0" fontId="0" fillId="0" borderId="118" xfId="0" applyFont="1" applyBorder="1"/>
    <xf numFmtId="0" fontId="1" fillId="0" borderId="163" xfId="0" applyFont="1" applyFill="1" applyBorder="1" applyAlignment="1">
      <alignment horizontal="center"/>
    </xf>
    <xf numFmtId="0" fontId="0" fillId="0" borderId="119" xfId="0" applyFont="1" applyBorder="1"/>
    <xf numFmtId="0" fontId="1" fillId="0" borderId="51" xfId="0" applyFont="1" applyFill="1" applyBorder="1" applyAlignment="1">
      <alignment horizontal="center"/>
    </xf>
    <xf numFmtId="0" fontId="0" fillId="9" borderId="165" xfId="0" applyFill="1" applyBorder="1"/>
    <xf numFmtId="0" fontId="0" fillId="0" borderId="123" xfId="0" applyFont="1" applyBorder="1"/>
    <xf numFmtId="0" fontId="1" fillId="0" borderId="166" xfId="0" applyFont="1" applyFill="1" applyBorder="1" applyAlignment="1">
      <alignment horizontal="center"/>
    </xf>
    <xf numFmtId="0" fontId="0" fillId="9" borderId="167" xfId="0" applyFill="1" applyBorder="1"/>
    <xf numFmtId="0" fontId="0" fillId="0" borderId="118" xfId="0" applyFont="1" applyBorder="1" applyAlignment="1"/>
    <xf numFmtId="0" fontId="0" fillId="0" borderId="119" xfId="0" applyFont="1" applyBorder="1" applyAlignment="1"/>
    <xf numFmtId="0" fontId="0" fillId="0" borderId="123" xfId="0" applyFont="1" applyBorder="1" applyAlignment="1"/>
    <xf numFmtId="0" fontId="0" fillId="0" borderId="168" xfId="0" applyBorder="1"/>
    <xf numFmtId="0" fontId="0" fillId="0" borderId="170" xfId="0" applyBorder="1"/>
    <xf numFmtId="0" fontId="0" fillId="6" borderId="174" xfId="0" applyFill="1" applyBorder="1"/>
    <xf numFmtId="0" fontId="0" fillId="0" borderId="175" xfId="0" applyFill="1" applyBorder="1"/>
    <xf numFmtId="0" fontId="0" fillId="7" borderId="33" xfId="0" applyFont="1" applyFill="1" applyBorder="1"/>
    <xf numFmtId="0" fontId="10" fillId="0" borderId="0" xfId="0" applyFont="1"/>
    <xf numFmtId="0" fontId="11" fillId="0" borderId="0" xfId="0" applyFont="1"/>
    <xf numFmtId="0" fontId="4" fillId="0" borderId="173" xfId="0" applyFont="1" applyBorder="1" applyAlignment="1"/>
    <xf numFmtId="0" fontId="1" fillId="6" borderId="2" xfId="0" applyFont="1" applyFill="1" applyBorder="1" applyAlignment="1"/>
    <xf numFmtId="0" fontId="1" fillId="6" borderId="2" xfId="0" applyFont="1" applyFill="1" applyBorder="1" applyAlignment="1">
      <alignment horizontal="center"/>
    </xf>
    <xf numFmtId="0" fontId="1" fillId="6" borderId="173" xfId="0" applyFont="1" applyFill="1" applyBorder="1" applyAlignment="1"/>
    <xf numFmtId="0" fontId="1" fillId="6" borderId="2" xfId="0" applyFont="1" applyFill="1" applyBorder="1" applyAlignment="1">
      <alignment horizontal="left"/>
    </xf>
    <xf numFmtId="0" fontId="0" fillId="6" borderId="2" xfId="0" applyFill="1" applyBorder="1"/>
    <xf numFmtId="0" fontId="1" fillId="0" borderId="173" xfId="0" applyFont="1" applyFill="1" applyBorder="1" applyAlignment="1"/>
    <xf numFmtId="0" fontId="1" fillId="0" borderId="33" xfId="0" applyFont="1" applyFill="1" applyBorder="1" applyAlignment="1"/>
    <xf numFmtId="0" fontId="1" fillId="0" borderId="33" xfId="0" applyFont="1" applyFill="1" applyBorder="1" applyAlignment="1">
      <alignment horizontal="right"/>
    </xf>
    <xf numFmtId="0" fontId="0" fillId="0" borderId="118" xfId="0" applyBorder="1"/>
    <xf numFmtId="0" fontId="0" fillId="0" borderId="176" xfId="0" applyBorder="1"/>
    <xf numFmtId="0" fontId="0" fillId="0" borderId="119" xfId="0" applyBorder="1"/>
    <xf numFmtId="0" fontId="0" fillId="0" borderId="177" xfId="0" applyBorder="1"/>
    <xf numFmtId="0" fontId="0" fillId="0" borderId="123" xfId="0" applyBorder="1"/>
    <xf numFmtId="0" fontId="0" fillId="0" borderId="178" xfId="0" applyBorder="1"/>
    <xf numFmtId="0" fontId="0" fillId="0" borderId="165" xfId="0" applyBorder="1"/>
    <xf numFmtId="0" fontId="0" fillId="0" borderId="167" xfId="0" applyBorder="1"/>
    <xf numFmtId="0" fontId="3" fillId="0" borderId="94" xfId="0" applyFont="1" applyBorder="1" applyAlignment="1">
      <alignment horizontal="left" vertical="top" wrapText="1"/>
    </xf>
    <xf numFmtId="0" fontId="3" fillId="0" borderId="117" xfId="0" applyFont="1" applyBorder="1" applyAlignment="1">
      <alignment horizontal="left" vertical="top" wrapText="1"/>
    </xf>
    <xf numFmtId="0" fontId="3" fillId="0" borderId="96" xfId="0" applyFont="1" applyBorder="1" applyAlignment="1">
      <alignment horizontal="left" vertical="top" wrapText="1"/>
    </xf>
    <xf numFmtId="0" fontId="3" fillId="0" borderId="117" xfId="0" applyFont="1" applyFill="1" applyBorder="1" applyAlignment="1">
      <alignment horizontal="left" vertical="top" wrapText="1"/>
    </xf>
    <xf numFmtId="0" fontId="0" fillId="0" borderId="183" xfId="0" applyBorder="1"/>
    <xf numFmtId="0" fontId="0" fillId="0" borderId="155" xfId="0" applyBorder="1"/>
    <xf numFmtId="0" fontId="3" fillId="7" borderId="183" xfId="0" applyFont="1" applyFill="1" applyBorder="1"/>
    <xf numFmtId="0" fontId="0" fillId="7" borderId="183" xfId="0" applyFill="1" applyBorder="1"/>
    <xf numFmtId="0" fontId="3" fillId="0" borderId="96" xfId="0" applyFont="1" applyBorder="1" applyAlignment="1">
      <alignment vertical="top"/>
    </xf>
    <xf numFmtId="0" fontId="0" fillId="0" borderId="0" xfId="0" applyAlignment="1">
      <alignment vertical="top"/>
    </xf>
    <xf numFmtId="0" fontId="3" fillId="0" borderId="0" xfId="0" applyFont="1" applyAlignment="1">
      <alignment vertical="top"/>
    </xf>
    <xf numFmtId="3" fontId="0" fillId="0" borderId="98" xfId="0" applyNumberFormat="1" applyFill="1" applyBorder="1"/>
    <xf numFmtId="168" fontId="1" fillId="9" borderId="98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 vertical="top"/>
    </xf>
    <xf numFmtId="0" fontId="0" fillId="0" borderId="98" xfId="0" applyBorder="1" applyAlignment="1">
      <alignment horizontal="right" vertical="top"/>
    </xf>
    <xf numFmtId="3" fontId="0" fillId="9" borderId="98" xfId="0" applyNumberFormat="1" applyFill="1" applyBorder="1" applyAlignment="1">
      <alignment horizontal="right" vertical="top"/>
    </xf>
    <xf numFmtId="3" fontId="0" fillId="0" borderId="98" xfId="0" applyNumberFormat="1" applyBorder="1" applyAlignment="1">
      <alignment horizontal="right" vertical="top"/>
    </xf>
    <xf numFmtId="0" fontId="3" fillId="0" borderId="34" xfId="0" applyFont="1" applyBorder="1" applyAlignment="1">
      <alignment horizontal="center"/>
    </xf>
    <xf numFmtId="0" fontId="3" fillId="0" borderId="33" xfId="0" applyFont="1" applyBorder="1"/>
    <xf numFmtId="0" fontId="0" fillId="9" borderId="0" xfId="0" applyFill="1"/>
    <xf numFmtId="1" fontId="0" fillId="0" borderId="0" xfId="0" applyNumberFormat="1"/>
    <xf numFmtId="0" fontId="0" fillId="0" borderId="0" xfId="0" applyNumberFormat="1"/>
    <xf numFmtId="0" fontId="0" fillId="8" borderId="0" xfId="0" applyFill="1"/>
    <xf numFmtId="164" fontId="0" fillId="0" borderId="191" xfId="0" applyNumberFormat="1" applyFill="1" applyBorder="1" applyAlignment="1">
      <alignment horizontal="right"/>
    </xf>
    <xf numFmtId="0" fontId="0" fillId="0" borderId="191" xfId="0" applyFill="1" applyBorder="1" applyAlignment="1">
      <alignment horizontal="right"/>
    </xf>
    <xf numFmtId="0" fontId="0" fillId="0" borderId="191" xfId="0" applyFill="1" applyBorder="1"/>
    <xf numFmtId="0" fontId="0" fillId="6" borderId="191" xfId="0" applyFill="1" applyBorder="1"/>
    <xf numFmtId="0" fontId="0" fillId="0" borderId="0" xfId="0" applyFill="1" applyBorder="1" applyAlignment="1">
      <alignment horizontal="right"/>
    </xf>
    <xf numFmtId="0" fontId="0" fillId="6" borderId="33" xfId="0" applyNumberFormat="1" applyFill="1" applyBorder="1" applyAlignment="1">
      <alignment horizontal="right"/>
    </xf>
    <xf numFmtId="0" fontId="0" fillId="0" borderId="163" xfId="0" applyFill="1" applyBorder="1"/>
    <xf numFmtId="0" fontId="0" fillId="0" borderId="118" xfId="0" applyFill="1" applyBorder="1"/>
    <xf numFmtId="0" fontId="0" fillId="0" borderId="176" xfId="0" applyFill="1" applyBorder="1"/>
    <xf numFmtId="0" fontId="0" fillId="0" borderId="51" xfId="0" applyFill="1" applyBorder="1"/>
    <xf numFmtId="0" fontId="0" fillId="0" borderId="119" xfId="0" applyFill="1" applyBorder="1"/>
    <xf numFmtId="0" fontId="0" fillId="0" borderId="177" xfId="0" applyFill="1" applyBorder="1"/>
    <xf numFmtId="0" fontId="0" fillId="0" borderId="166" xfId="0" applyFill="1" applyBorder="1"/>
    <xf numFmtId="0" fontId="0" fillId="0" borderId="123" xfId="0" applyFill="1" applyBorder="1"/>
    <xf numFmtId="0" fontId="0" fillId="0" borderId="178" xfId="0" applyFill="1" applyBorder="1"/>
    <xf numFmtId="0" fontId="0" fillId="0" borderId="0" xfId="0" applyNumberFormat="1" applyFill="1"/>
    <xf numFmtId="0" fontId="0" fillId="8" borderId="0" xfId="0" applyFill="1" applyBorder="1"/>
    <xf numFmtId="0" fontId="3" fillId="0" borderId="192" xfId="0" applyFont="1" applyBorder="1"/>
    <xf numFmtId="0" fontId="0" fillId="9" borderId="0" xfId="0" applyFill="1" applyAlignment="1"/>
    <xf numFmtId="0" fontId="3" fillId="0" borderId="94" xfId="0" applyFont="1" applyBorder="1"/>
    <xf numFmtId="0" fontId="3" fillId="0" borderId="95" xfId="0" applyFont="1" applyBorder="1"/>
    <xf numFmtId="0" fontId="3" fillId="0" borderId="126" xfId="0" applyFont="1" applyBorder="1" applyAlignment="1">
      <alignment vertical="top" wrapText="1"/>
    </xf>
    <xf numFmtId="0" fontId="3" fillId="0" borderId="193" xfId="0" applyFont="1" applyBorder="1" applyAlignment="1">
      <alignment vertical="top" wrapText="1"/>
    </xf>
    <xf numFmtId="0" fontId="3" fillId="0" borderId="194" xfId="0" applyFont="1" applyBorder="1" applyAlignment="1">
      <alignment vertical="top" wrapText="1"/>
    </xf>
    <xf numFmtId="0" fontId="0" fillId="6" borderId="175" xfId="0" applyNumberFormat="1" applyFill="1" applyBorder="1"/>
    <xf numFmtId="0" fontId="3" fillId="0" borderId="126" xfId="0" applyFont="1" applyBorder="1" applyAlignment="1">
      <alignment vertical="top"/>
    </xf>
    <xf numFmtId="0" fontId="3" fillId="0" borderId="193" xfId="0" applyFont="1" applyBorder="1" applyAlignment="1">
      <alignment vertical="top"/>
    </xf>
    <xf numFmtId="0" fontId="3" fillId="0" borderId="95" xfId="0" applyFont="1" applyBorder="1" applyAlignment="1">
      <alignment vertical="top" wrapText="1"/>
    </xf>
    <xf numFmtId="0" fontId="0" fillId="6" borderId="199" xfId="0" applyNumberFormat="1" applyFill="1" applyBorder="1"/>
    <xf numFmtId="0" fontId="0" fillId="6" borderId="200" xfId="0" applyNumberFormat="1" applyFill="1" applyBorder="1"/>
    <xf numFmtId="0" fontId="0" fillId="6" borderId="195" xfId="0" applyNumberFormat="1" applyFill="1" applyBorder="1"/>
    <xf numFmtId="0" fontId="0" fillId="6" borderId="196" xfId="0" applyNumberFormat="1" applyFill="1" applyBorder="1"/>
    <xf numFmtId="0" fontId="0" fillId="6" borderId="197" xfId="0" applyNumberFormat="1" applyFill="1" applyBorder="1"/>
    <xf numFmtId="0" fontId="0" fillId="0" borderId="199" xfId="0" applyBorder="1"/>
    <xf numFmtId="168" fontId="0" fillId="6" borderId="71" xfId="0" applyNumberFormat="1" applyFill="1" applyBorder="1"/>
    <xf numFmtId="3" fontId="0" fillId="0" borderId="200" xfId="0" applyNumberFormat="1" applyBorder="1"/>
    <xf numFmtId="0" fontId="0" fillId="0" borderId="195" xfId="0" applyBorder="1"/>
    <xf numFmtId="168" fontId="0" fillId="6" borderId="196" xfId="0" applyNumberFormat="1" applyFill="1" applyBorder="1"/>
    <xf numFmtId="3" fontId="0" fillId="0" borderId="197" xfId="0" applyNumberFormat="1" applyBorder="1"/>
    <xf numFmtId="0" fontId="0" fillId="6" borderId="199" xfId="0" applyFill="1" applyBorder="1"/>
    <xf numFmtId="0" fontId="0" fillId="6" borderId="71" xfId="0" applyFill="1" applyBorder="1"/>
    <xf numFmtId="0" fontId="0" fillId="0" borderId="200" xfId="0" applyBorder="1"/>
    <xf numFmtId="0" fontId="0" fillId="6" borderId="195" xfId="0" applyFill="1" applyBorder="1"/>
    <xf numFmtId="0" fontId="0" fillId="6" borderId="196" xfId="0" applyFill="1" applyBorder="1"/>
    <xf numFmtId="0" fontId="0" fillId="0" borderId="197" xfId="0" applyBorder="1"/>
    <xf numFmtId="0" fontId="0" fillId="0" borderId="71" xfId="0" applyBorder="1"/>
    <xf numFmtId="0" fontId="0" fillId="8" borderId="71" xfId="0" applyFill="1" applyBorder="1"/>
    <xf numFmtId="0" fontId="0" fillId="8" borderId="200" xfId="0" applyFill="1" applyBorder="1"/>
    <xf numFmtId="0" fontId="0" fillId="0" borderId="196" xfId="0" applyBorder="1"/>
    <xf numFmtId="0" fontId="0" fillId="8" borderId="196" xfId="0" applyFill="1" applyBorder="1"/>
    <xf numFmtId="0" fontId="0" fillId="8" borderId="197" xfId="0" applyFill="1" applyBorder="1"/>
    <xf numFmtId="0" fontId="0" fillId="9" borderId="182" xfId="0" applyFill="1" applyBorder="1"/>
    <xf numFmtId="0" fontId="0" fillId="9" borderId="177" xfId="0" applyFill="1" applyBorder="1"/>
    <xf numFmtId="0" fontId="0" fillId="9" borderId="178" xfId="0" applyFill="1" applyBorder="1"/>
    <xf numFmtId="0" fontId="3" fillId="0" borderId="117" xfId="0" applyFont="1" applyBorder="1" applyAlignment="1">
      <alignment vertical="top"/>
    </xf>
    <xf numFmtId="0" fontId="0" fillId="9" borderId="179" xfId="0" applyFill="1" applyBorder="1"/>
    <xf numFmtId="0" fontId="3" fillId="0" borderId="193" xfId="0" applyNumberFormat="1" applyFont="1" applyBorder="1" applyAlignment="1">
      <alignment vertical="top" wrapText="1"/>
    </xf>
    <xf numFmtId="0" fontId="0" fillId="6" borderId="71" xfId="0" applyNumberFormat="1" applyFill="1" applyBorder="1"/>
    <xf numFmtId="0" fontId="0" fillId="0" borderId="164" xfId="0" applyBorder="1"/>
    <xf numFmtId="0" fontId="0" fillId="0" borderId="164" xfId="0" applyFill="1" applyBorder="1"/>
    <xf numFmtId="0" fontId="0" fillId="0" borderId="165" xfId="0" applyFill="1" applyBorder="1"/>
    <xf numFmtId="0" fontId="0" fillId="0" borderId="167" xfId="0" applyFill="1" applyBorder="1"/>
    <xf numFmtId="0" fontId="0" fillId="0" borderId="198" xfId="0" applyFill="1" applyBorder="1" applyAlignment="1"/>
    <xf numFmtId="0" fontId="0" fillId="0" borderId="190" xfId="0" applyFill="1" applyBorder="1" applyAlignment="1"/>
    <xf numFmtId="0" fontId="3" fillId="0" borderId="190" xfId="0" applyFont="1" applyBorder="1" applyAlignment="1">
      <alignment horizontal="left"/>
    </xf>
    <xf numFmtId="0" fontId="0" fillId="0" borderId="34" xfId="0" applyBorder="1"/>
    <xf numFmtId="0" fontId="0" fillId="0" borderId="34" xfId="0" applyBorder="1" applyAlignment="1">
      <alignment horizontal="left"/>
    </xf>
    <xf numFmtId="0" fontId="3" fillId="0" borderId="190" xfId="0" applyFont="1" applyBorder="1" applyAlignment="1">
      <alignment horizontal="right"/>
    </xf>
    <xf numFmtId="0" fontId="3" fillId="0" borderId="8" xfId="0" applyFont="1" applyBorder="1" applyAlignment="1"/>
    <xf numFmtId="0" fontId="0" fillId="0" borderId="152" xfId="0" applyFont="1" applyBorder="1" applyAlignment="1"/>
    <xf numFmtId="0" fontId="1" fillId="0" borderId="151" xfId="0" applyFont="1" applyBorder="1" applyAlignment="1">
      <alignment horizontal="center" vertical="center"/>
    </xf>
    <xf numFmtId="0" fontId="1" fillId="0" borderId="201" xfId="0" applyFont="1" applyBorder="1" applyAlignment="1">
      <alignment horizontal="center" vertical="center"/>
    </xf>
    <xf numFmtId="169" fontId="1" fillId="0" borderId="201" xfId="0" applyNumberFormat="1" applyFont="1" applyBorder="1" applyAlignment="1">
      <alignment horizontal="center" vertical="center"/>
    </xf>
    <xf numFmtId="0" fontId="0" fillId="0" borderId="201" xfId="0" applyFont="1" applyBorder="1" applyAlignment="1">
      <alignment horizontal="center" vertical="center"/>
    </xf>
    <xf numFmtId="170" fontId="0" fillId="0" borderId="201" xfId="0" applyNumberFormat="1" applyFont="1" applyBorder="1" applyAlignment="1">
      <alignment horizontal="center" vertical="center"/>
    </xf>
    <xf numFmtId="0" fontId="4" fillId="0" borderId="86" xfId="0" applyFont="1" applyBorder="1" applyAlignment="1">
      <alignment horizontal="center" vertical="center"/>
    </xf>
    <xf numFmtId="0" fontId="4" fillId="0" borderId="202" xfId="0" applyFont="1" applyBorder="1" applyAlignment="1">
      <alignment horizontal="center" vertical="center"/>
    </xf>
    <xf numFmtId="0" fontId="4" fillId="0" borderId="203" xfId="0" applyFont="1" applyBorder="1" applyAlignment="1">
      <alignment horizontal="center" vertical="center"/>
    </xf>
    <xf numFmtId="0" fontId="0" fillId="0" borderId="152" xfId="0" applyFont="1" applyBorder="1" applyAlignment="1">
      <alignment horizontal="center" vertical="center"/>
    </xf>
    <xf numFmtId="0" fontId="0" fillId="0" borderId="204" xfId="0" applyFont="1" applyBorder="1" applyAlignment="1">
      <alignment horizontal="center" vertical="center"/>
    </xf>
    <xf numFmtId="0" fontId="0" fillId="0" borderId="205" xfId="0" applyFont="1" applyBorder="1" applyAlignment="1">
      <alignment horizontal="center" vertical="center"/>
    </xf>
    <xf numFmtId="0" fontId="0" fillId="0" borderId="74" xfId="0" applyFont="1" applyBorder="1" applyAlignment="1">
      <alignment horizontal="center" vertical="center"/>
    </xf>
    <xf numFmtId="0" fontId="0" fillId="0" borderId="206" xfId="0" applyFont="1" applyBorder="1" applyAlignment="1">
      <alignment horizontal="center" vertical="center"/>
    </xf>
    <xf numFmtId="0" fontId="4" fillId="0" borderId="127" xfId="0" applyFont="1" applyBorder="1" applyAlignment="1">
      <alignment horizontal="center" vertical="center"/>
    </xf>
    <xf numFmtId="0" fontId="0" fillId="0" borderId="207" xfId="0" applyFont="1" applyBorder="1" applyAlignment="1">
      <alignment horizontal="center" vertical="center"/>
    </xf>
    <xf numFmtId="0" fontId="0" fillId="0" borderId="208" xfId="0" applyFont="1" applyBorder="1" applyAlignment="1">
      <alignment horizontal="center" vertical="center"/>
    </xf>
    <xf numFmtId="0" fontId="0" fillId="0" borderId="209" xfId="0" applyFont="1" applyBorder="1" applyAlignment="1">
      <alignment horizontal="center" vertical="center"/>
    </xf>
    <xf numFmtId="0" fontId="0" fillId="0" borderId="210" xfId="0" applyFont="1" applyBorder="1" applyAlignment="1">
      <alignment horizontal="center" vertical="center"/>
    </xf>
    <xf numFmtId="0" fontId="0" fillId="0" borderId="211" xfId="0" applyFont="1" applyBorder="1" applyAlignment="1">
      <alignment horizontal="center" vertical="center"/>
    </xf>
    <xf numFmtId="0" fontId="0" fillId="6" borderId="192" xfId="0" applyFont="1" applyFill="1" applyBorder="1"/>
    <xf numFmtId="0" fontId="3" fillId="0" borderId="216" xfId="0" applyFont="1" applyBorder="1" applyAlignment="1"/>
    <xf numFmtId="0" fontId="0" fillId="0" borderId="217" xfId="0" applyFont="1" applyBorder="1" applyAlignment="1"/>
    <xf numFmtId="0" fontId="1" fillId="0" borderId="218" xfId="0" applyFont="1" applyBorder="1" applyAlignment="1">
      <alignment horizontal="center" vertical="center"/>
    </xf>
    <xf numFmtId="0" fontId="1" fillId="0" borderId="219" xfId="0" applyFont="1" applyBorder="1" applyAlignment="1">
      <alignment horizontal="center" vertical="center"/>
    </xf>
    <xf numFmtId="169" fontId="1" fillId="0" borderId="219" xfId="0" applyNumberFormat="1" applyFont="1" applyBorder="1" applyAlignment="1">
      <alignment horizontal="center" vertical="center"/>
    </xf>
    <xf numFmtId="0" fontId="0" fillId="0" borderId="219" xfId="0" applyFont="1" applyBorder="1" applyAlignment="1">
      <alignment horizontal="center" vertical="center"/>
    </xf>
    <xf numFmtId="170" fontId="0" fillId="0" borderId="219" xfId="0" applyNumberFormat="1" applyFont="1" applyBorder="1" applyAlignment="1">
      <alignment horizontal="center" vertical="center"/>
    </xf>
    <xf numFmtId="0" fontId="0" fillId="0" borderId="217" xfId="0" applyFont="1" applyBorder="1" applyAlignment="1">
      <alignment horizontal="center" vertical="center"/>
    </xf>
    <xf numFmtId="0" fontId="0" fillId="0" borderId="220" xfId="0" applyFont="1" applyBorder="1" applyAlignment="1">
      <alignment horizontal="center" vertical="center"/>
    </xf>
    <xf numFmtId="0" fontId="3" fillId="0" borderId="215" xfId="0" applyFont="1" applyBorder="1"/>
    <xf numFmtId="0" fontId="0" fillId="0" borderId="204" xfId="0" applyFont="1" applyBorder="1" applyAlignment="1"/>
    <xf numFmtId="0" fontId="1" fillId="0" borderId="212" xfId="0" applyFont="1" applyBorder="1" applyAlignment="1">
      <alignment horizontal="center" vertical="center"/>
    </xf>
    <xf numFmtId="0" fontId="1" fillId="0" borderId="173" xfId="0" applyFont="1" applyBorder="1" applyAlignment="1">
      <alignment horizontal="center" vertical="center"/>
    </xf>
    <xf numFmtId="169" fontId="1" fillId="0" borderId="173" xfId="0" applyNumberFormat="1" applyFont="1" applyBorder="1" applyAlignment="1">
      <alignment horizontal="center" vertical="center"/>
    </xf>
    <xf numFmtId="0" fontId="0" fillId="0" borderId="173" xfId="0" applyFont="1" applyBorder="1" applyAlignment="1">
      <alignment horizontal="center" vertical="center"/>
    </xf>
    <xf numFmtId="170" fontId="0" fillId="0" borderId="173" xfId="0" applyNumberFormat="1" applyFont="1" applyBorder="1" applyAlignment="1">
      <alignment horizontal="center" vertical="center"/>
    </xf>
    <xf numFmtId="0" fontId="3" fillId="0" borderId="221" xfId="0" applyFont="1" applyBorder="1"/>
    <xf numFmtId="0" fontId="0" fillId="0" borderId="206" xfId="0" applyFont="1" applyBorder="1" applyAlignment="1"/>
    <xf numFmtId="0" fontId="1" fillId="0" borderId="213" xfId="0" applyFont="1" applyBorder="1" applyAlignment="1">
      <alignment horizontal="center" vertical="center"/>
    </xf>
    <xf numFmtId="0" fontId="1" fillId="0" borderId="214" xfId="0" applyFont="1" applyBorder="1" applyAlignment="1">
      <alignment horizontal="center" vertical="center"/>
    </xf>
    <xf numFmtId="169" fontId="1" fillId="0" borderId="214" xfId="0" applyNumberFormat="1" applyFont="1" applyBorder="1" applyAlignment="1">
      <alignment horizontal="center" vertical="center"/>
    </xf>
    <xf numFmtId="0" fontId="0" fillId="0" borderId="214" xfId="0" applyFont="1" applyBorder="1" applyAlignment="1">
      <alignment horizontal="center" vertical="center"/>
    </xf>
    <xf numFmtId="170" fontId="0" fillId="0" borderId="214" xfId="0" applyNumberFormat="1" applyFont="1" applyBorder="1" applyAlignment="1">
      <alignment horizontal="center" vertical="center"/>
    </xf>
    <xf numFmtId="0" fontId="3" fillId="0" borderId="215" xfId="0" applyFont="1" applyBorder="1" applyAlignment="1"/>
    <xf numFmtId="0" fontId="1" fillId="0" borderId="221" xfId="0" applyFont="1" applyBorder="1" applyAlignment="1">
      <alignment horizontal="center" vertical="center"/>
    </xf>
    <xf numFmtId="0" fontId="0" fillId="6" borderId="10" xfId="0" applyFill="1" applyBorder="1" applyAlignment="1"/>
    <xf numFmtId="0" fontId="1" fillId="6" borderId="25" xfId="0" applyFont="1" applyFill="1" applyBorder="1" applyAlignment="1">
      <alignment horizontal="right"/>
    </xf>
    <xf numFmtId="0" fontId="1" fillId="6" borderId="18" xfId="0" applyFont="1" applyFill="1" applyBorder="1" applyAlignment="1">
      <alignment horizontal="right"/>
    </xf>
    <xf numFmtId="0" fontId="1" fillId="6" borderId="73" xfId="0" applyFont="1" applyFill="1" applyBorder="1" applyAlignment="1">
      <alignment horizontal="right"/>
    </xf>
    <xf numFmtId="0" fontId="0" fillId="0" borderId="148" xfId="0" applyFont="1" applyBorder="1" applyAlignment="1">
      <alignment horizontal="center"/>
    </xf>
    <xf numFmtId="0" fontId="0" fillId="9" borderId="142" xfId="0" applyFont="1" applyFill="1" applyBorder="1" applyAlignment="1">
      <alignment horizontal="center"/>
    </xf>
    <xf numFmtId="0" fontId="0" fillId="9" borderId="144" xfId="0" applyFont="1" applyFill="1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3" fillId="0" borderId="117" xfId="0" applyFont="1" applyBorder="1" applyAlignment="1">
      <alignment horizontal="center"/>
    </xf>
    <xf numFmtId="0" fontId="0" fillId="9" borderId="164" xfId="0" applyFill="1" applyBorder="1" applyAlignment="1">
      <alignment horizontal="center"/>
    </xf>
    <xf numFmtId="0" fontId="0" fillId="9" borderId="165" xfId="0" applyFill="1" applyBorder="1" applyAlignment="1">
      <alignment horizontal="center"/>
    </xf>
    <xf numFmtId="0" fontId="0" fillId="9" borderId="167" xfId="0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157" xfId="0" applyFont="1" applyBorder="1" applyAlignment="1">
      <alignment horizontal="center"/>
    </xf>
    <xf numFmtId="0" fontId="0" fillId="9" borderId="155" xfId="0" applyFill="1" applyBorder="1" applyAlignment="1">
      <alignment horizontal="center"/>
    </xf>
    <xf numFmtId="0" fontId="0" fillId="0" borderId="100" xfId="0" applyFont="1" applyBorder="1" applyAlignment="1">
      <alignment horizontal="center"/>
    </xf>
    <xf numFmtId="0" fontId="0" fillId="9" borderId="169" xfId="0" applyFill="1" applyBorder="1" applyAlignment="1">
      <alignment horizontal="center"/>
    </xf>
    <xf numFmtId="0" fontId="0" fillId="0" borderId="171" xfId="0" applyFont="1" applyBorder="1" applyAlignment="1">
      <alignment horizontal="center"/>
    </xf>
    <xf numFmtId="0" fontId="0" fillId="9" borderId="172" xfId="0" applyFill="1" applyBorder="1" applyAlignment="1">
      <alignment horizontal="center"/>
    </xf>
    <xf numFmtId="0" fontId="4" fillId="0" borderId="117" xfId="0" applyFont="1" applyBorder="1" applyAlignment="1">
      <alignment horizontal="center"/>
    </xf>
    <xf numFmtId="0" fontId="3" fillId="0" borderId="222" xfId="0" applyFont="1" applyBorder="1" applyAlignment="1"/>
    <xf numFmtId="0" fontId="1" fillId="0" borderId="222" xfId="0" applyFont="1" applyFill="1" applyBorder="1" applyAlignment="1"/>
    <xf numFmtId="0" fontId="1" fillId="6" borderId="222" xfId="0" applyFont="1" applyFill="1" applyBorder="1" applyAlignment="1"/>
    <xf numFmtId="0" fontId="0" fillId="6" borderId="10" xfId="0" applyFill="1" applyBorder="1" applyAlignment="1"/>
    <xf numFmtId="0" fontId="3" fillId="0" borderId="33" xfId="0" applyFont="1" applyBorder="1"/>
    <xf numFmtId="0" fontId="3" fillId="0" borderId="190" xfId="0" applyFont="1" applyBorder="1" applyAlignment="1"/>
    <xf numFmtId="0" fontId="3" fillId="0" borderId="222" xfId="0" applyFont="1" applyFill="1" applyBorder="1"/>
    <xf numFmtId="0" fontId="3" fillId="0" borderId="83" xfId="0" applyFont="1" applyBorder="1" applyAlignment="1"/>
    <xf numFmtId="0" fontId="1" fillId="0" borderId="223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67" xfId="0" applyFont="1" applyFill="1" applyBorder="1" applyAlignment="1"/>
    <xf numFmtId="0" fontId="1" fillId="0" borderId="68" xfId="0" applyFont="1" applyFill="1" applyBorder="1" applyAlignment="1"/>
    <xf numFmtId="0" fontId="1" fillId="0" borderId="101" xfId="0" applyFont="1" applyFill="1" applyBorder="1" applyAlignment="1"/>
    <xf numFmtId="0" fontId="3" fillId="0" borderId="224" xfId="0" applyFont="1" applyBorder="1" applyAlignment="1"/>
    <xf numFmtId="0" fontId="1" fillId="0" borderId="225" xfId="0" applyFont="1" applyBorder="1" applyAlignment="1"/>
    <xf numFmtId="0" fontId="1" fillId="0" borderId="68" xfId="0" applyFont="1" applyBorder="1" applyAlignment="1"/>
    <xf numFmtId="0" fontId="1" fillId="0" borderId="101" xfId="0" applyFont="1" applyBorder="1" applyAlignment="1"/>
    <xf numFmtId="0" fontId="1" fillId="0" borderId="67" xfId="0" applyFont="1" applyBorder="1" applyAlignment="1"/>
    <xf numFmtId="0" fontId="0" fillId="0" borderId="226" xfId="0" applyFont="1" applyFill="1" applyBorder="1"/>
    <xf numFmtId="0" fontId="1" fillId="0" borderId="227" xfId="0" applyFont="1" applyBorder="1" applyAlignment="1"/>
    <xf numFmtId="0" fontId="1" fillId="0" borderId="226" xfId="0" applyFont="1" applyFill="1" applyBorder="1" applyAlignment="1"/>
    <xf numFmtId="0" fontId="1" fillId="0" borderId="124" xfId="0" applyFont="1" applyBorder="1" applyAlignment="1"/>
    <xf numFmtId="0" fontId="1" fillId="0" borderId="225" xfId="0" applyFont="1" applyFill="1" applyBorder="1" applyAlignment="1"/>
    <xf numFmtId="0" fontId="1" fillId="0" borderId="27" xfId="0" applyFont="1" applyFill="1" applyBorder="1" applyAlignment="1">
      <alignment horizontal="center" vertical="center"/>
    </xf>
    <xf numFmtId="0" fontId="1" fillId="0" borderId="228" xfId="0" applyFont="1" applyFill="1" applyBorder="1" applyAlignment="1">
      <alignment horizontal="center" vertical="center"/>
    </xf>
    <xf numFmtId="0" fontId="1" fillId="9" borderId="227" xfId="0" applyFont="1" applyFill="1" applyBorder="1" applyAlignment="1"/>
    <xf numFmtId="0" fontId="1" fillId="0" borderId="124" xfId="0" applyFont="1" applyFill="1" applyBorder="1" applyAlignment="1"/>
    <xf numFmtId="0" fontId="0" fillId="0" borderId="129" xfId="0" applyFont="1" applyBorder="1"/>
    <xf numFmtId="0" fontId="0" fillId="0" borderId="68" xfId="0" applyFont="1" applyBorder="1"/>
    <xf numFmtId="0" fontId="0" fillId="0" borderId="27" xfId="0" applyFont="1" applyBorder="1" applyAlignment="1">
      <alignment horizontal="center" vertical="center"/>
    </xf>
    <xf numFmtId="0" fontId="0" fillId="0" borderId="228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90" xfId="0" applyFont="1" applyBorder="1" applyAlignment="1">
      <alignment horizontal="center" vertical="center"/>
    </xf>
    <xf numFmtId="0" fontId="0" fillId="0" borderId="5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121" xfId="0" applyFont="1" applyBorder="1" applyAlignment="1">
      <alignment horizontal="center" vertical="center"/>
    </xf>
    <xf numFmtId="0" fontId="0" fillId="9" borderId="227" xfId="0" applyFont="1" applyFill="1" applyBorder="1"/>
    <xf numFmtId="0" fontId="0" fillId="0" borderId="67" xfId="0" applyFont="1" applyFill="1" applyBorder="1"/>
    <xf numFmtId="0" fontId="0" fillId="0" borderId="130" xfId="0" applyFont="1" applyBorder="1"/>
    <xf numFmtId="0" fontId="0" fillId="0" borderId="101" xfId="0" applyFont="1" applyBorder="1"/>
    <xf numFmtId="0" fontId="0" fillId="0" borderId="125" xfId="0" applyFont="1" applyBorder="1" applyAlignment="1">
      <alignment horizontal="center" vertical="center"/>
    </xf>
    <xf numFmtId="0" fontId="0" fillId="0" borderId="92" xfId="0" applyFont="1" applyBorder="1" applyAlignment="1">
      <alignment horizontal="center" vertical="center"/>
    </xf>
    <xf numFmtId="0" fontId="0" fillId="0" borderId="93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67" xfId="0" applyFont="1" applyBorder="1" applyAlignment="1"/>
    <xf numFmtId="0" fontId="0" fillId="0" borderId="68" xfId="0" applyFont="1" applyBorder="1" applyAlignment="1"/>
    <xf numFmtId="0" fontId="0" fillId="9" borderId="129" xfId="0" applyFont="1" applyFill="1" applyBorder="1" applyAlignment="1"/>
    <xf numFmtId="0" fontId="0" fillId="0" borderId="129" xfId="0" applyFont="1" applyBorder="1" applyAlignment="1"/>
    <xf numFmtId="0" fontId="0" fillId="0" borderId="36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24" xfId="0" applyFont="1" applyBorder="1" applyAlignment="1">
      <alignment horizontal="left" indent="1"/>
    </xf>
    <xf numFmtId="0" fontId="0" fillId="0" borderId="13" xfId="0" applyFont="1" applyBorder="1" applyAlignment="1">
      <alignment horizontal="left" indent="1"/>
    </xf>
    <xf numFmtId="0" fontId="0" fillId="0" borderId="72" xfId="0" applyFont="1" applyBorder="1" applyAlignment="1">
      <alignment horizontal="left" indent="1"/>
    </xf>
    <xf numFmtId="0" fontId="0" fillId="0" borderId="16" xfId="0" applyFont="1" applyBorder="1" applyAlignment="1">
      <alignment horizontal="left" indent="1"/>
    </xf>
    <xf numFmtId="0" fontId="5" fillId="0" borderId="18" xfId="0" applyFont="1" applyFill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3" fillId="7" borderId="222" xfId="0" applyFont="1" applyFill="1" applyBorder="1"/>
    <xf numFmtId="171" fontId="0" fillId="0" borderId="219" xfId="0" applyNumberFormat="1" applyFont="1" applyBorder="1" applyAlignment="1">
      <alignment horizontal="center" vertical="center"/>
    </xf>
    <xf numFmtId="171" fontId="0" fillId="0" borderId="173" xfId="0" applyNumberFormat="1" applyFont="1" applyBorder="1" applyAlignment="1">
      <alignment horizontal="center" vertical="center"/>
    </xf>
    <xf numFmtId="171" fontId="0" fillId="0" borderId="214" xfId="0" applyNumberFormat="1" applyFont="1" applyBorder="1" applyAlignment="1">
      <alignment horizontal="center" vertical="center"/>
    </xf>
    <xf numFmtId="171" fontId="0" fillId="0" borderId="201" xfId="0" applyNumberFormat="1" applyFont="1" applyBorder="1" applyAlignment="1">
      <alignment horizontal="center" vertical="center"/>
    </xf>
    <xf numFmtId="171" fontId="0" fillId="0" borderId="5" xfId="0" applyNumberFormat="1" applyFont="1" applyBorder="1" applyAlignment="1">
      <alignment horizontal="center" vertical="center"/>
    </xf>
    <xf numFmtId="171" fontId="0" fillId="0" borderId="231" xfId="0" applyNumberFormat="1" applyFont="1" applyBorder="1" applyAlignment="1">
      <alignment horizontal="center" vertical="center"/>
    </xf>
    <xf numFmtId="0" fontId="0" fillId="0" borderId="27" xfId="0" applyFill="1" applyBorder="1" applyAlignment="1"/>
    <xf numFmtId="0" fontId="0" fillId="0" borderId="35" xfId="0" applyBorder="1" applyAlignment="1"/>
    <xf numFmtId="0" fontId="3" fillId="0" borderId="34" xfId="0" applyFont="1" applyBorder="1" applyAlignment="1"/>
    <xf numFmtId="0" fontId="0" fillId="0" borderId="27" xfId="0" applyFill="1" applyBorder="1" applyAlignment="1"/>
    <xf numFmtId="0" fontId="0" fillId="6" borderId="13" xfId="0" applyFont="1" applyFill="1" applyBorder="1" applyAlignment="1"/>
    <xf numFmtId="0" fontId="0" fillId="6" borderId="72" xfId="0" applyFont="1" applyFill="1" applyBorder="1" applyAlignment="1"/>
    <xf numFmtId="0" fontId="0" fillId="6" borderId="103" xfId="0" applyFont="1" applyFill="1" applyBorder="1" applyAlignment="1"/>
    <xf numFmtId="0" fontId="0" fillId="0" borderId="235" xfId="0" applyBorder="1"/>
    <xf numFmtId="0" fontId="0" fillId="0" borderId="235" xfId="0" applyBorder="1" applyAlignment="1"/>
    <xf numFmtId="0" fontId="0" fillId="6" borderId="236" xfId="0" applyFill="1" applyBorder="1"/>
    <xf numFmtId="172" fontId="0" fillId="0" borderId="237" xfId="0" applyNumberFormat="1" applyFill="1" applyBorder="1" applyAlignment="1">
      <alignment horizontal="right"/>
    </xf>
    <xf numFmtId="0" fontId="0" fillId="7" borderId="0" xfId="0" applyFill="1"/>
    <xf numFmtId="0" fontId="3" fillId="7" borderId="0" xfId="0" applyFont="1" applyFill="1"/>
    <xf numFmtId="0" fontId="3" fillId="7" borderId="235" xfId="0" applyFont="1" applyFill="1" applyBorder="1"/>
    <xf numFmtId="0" fontId="0" fillId="7" borderId="235" xfId="0" applyFill="1" applyBorder="1"/>
    <xf numFmtId="0" fontId="0" fillId="0" borderId="0" xfId="0" applyBorder="1" applyAlignment="1">
      <alignment horizontal="right"/>
    </xf>
    <xf numFmtId="0" fontId="0" fillId="7" borderId="235" xfId="0" applyFill="1" applyBorder="1" applyAlignment="1">
      <alignment horizontal="right"/>
    </xf>
    <xf numFmtId="0" fontId="3" fillId="0" borderId="43" xfId="0" applyFont="1" applyBorder="1"/>
    <xf numFmtId="0" fontId="0" fillId="0" borderId="49" xfId="0" applyBorder="1"/>
    <xf numFmtId="0" fontId="0" fillId="0" borderId="43" xfId="0" applyBorder="1"/>
    <xf numFmtId="0" fontId="0" fillId="0" borderId="0" xfId="0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44" xfId="0" applyBorder="1"/>
    <xf numFmtId="0" fontId="0" fillId="0" borderId="46" xfId="0" applyBorder="1"/>
    <xf numFmtId="0" fontId="0" fillId="0" borderId="11" xfId="0" applyBorder="1" applyAlignment="1">
      <alignment horizontal="center"/>
    </xf>
    <xf numFmtId="0" fontId="0" fillId="6" borderId="235" xfId="0" applyFill="1" applyBorder="1"/>
    <xf numFmtId="0" fontId="0" fillId="0" borderId="0" xfId="0" applyBorder="1" applyAlignment="1"/>
    <xf numFmtId="0" fontId="0" fillId="0" borderId="238" xfId="0" applyBorder="1"/>
    <xf numFmtId="172" fontId="0" fillId="0" borderId="239" xfId="0" applyNumberFormat="1" applyFill="1" applyBorder="1" applyAlignment="1">
      <alignment horizontal="right"/>
    </xf>
    <xf numFmtId="0" fontId="0" fillId="0" borderId="240" xfId="0" applyBorder="1"/>
    <xf numFmtId="0" fontId="0" fillId="0" borderId="242" xfId="0" applyBorder="1" applyAlignment="1"/>
    <xf numFmtId="0" fontId="0" fillId="0" borderId="241" xfId="0" applyBorder="1"/>
    <xf numFmtId="0" fontId="0" fillId="0" borderId="187" xfId="0" applyBorder="1"/>
    <xf numFmtId="0" fontId="0" fillId="0" borderId="243" xfId="0" applyBorder="1"/>
    <xf numFmtId="0" fontId="0" fillId="0" borderId="244" xfId="0" applyBorder="1"/>
    <xf numFmtId="0" fontId="1" fillId="6" borderId="25" xfId="0" applyFont="1" applyFill="1" applyBorder="1" applyAlignment="1">
      <alignment horizontal="left"/>
    </xf>
    <xf numFmtId="0" fontId="1" fillId="6" borderId="45" xfId="0" applyFont="1" applyFill="1" applyBorder="1" applyAlignment="1">
      <alignment horizontal="left"/>
    </xf>
    <xf numFmtId="0" fontId="1" fillId="6" borderId="18" xfId="0" applyFont="1" applyFill="1" applyBorder="1" applyAlignment="1">
      <alignment horizontal="left"/>
    </xf>
    <xf numFmtId="0" fontId="0" fillId="6" borderId="26" xfId="0" applyFont="1" applyFill="1" applyBorder="1" applyAlignment="1">
      <alignment horizontal="left"/>
    </xf>
    <xf numFmtId="0" fontId="0" fillId="0" borderId="68" xfId="0" applyFont="1" applyFill="1" applyBorder="1" applyAlignment="1"/>
    <xf numFmtId="0" fontId="0" fillId="0" borderId="227" xfId="0" applyFont="1" applyBorder="1" applyAlignment="1"/>
    <xf numFmtId="0" fontId="4" fillId="7" borderId="235" xfId="0" applyFont="1" applyFill="1" applyBorder="1" applyAlignment="1"/>
    <xf numFmtId="0" fontId="1" fillId="7" borderId="235" xfId="0" applyFont="1" applyFill="1" applyBorder="1" applyAlignment="1"/>
    <xf numFmtId="0" fontId="0" fillId="7" borderId="235" xfId="0" applyFont="1" applyFill="1" applyBorder="1"/>
    <xf numFmtId="1" fontId="0" fillId="0" borderId="184" xfId="0" applyNumberFormat="1" applyFill="1" applyBorder="1"/>
    <xf numFmtId="0" fontId="0" fillId="0" borderId="72" xfId="0" applyFont="1" applyFill="1" applyBorder="1" applyAlignment="1"/>
    <xf numFmtId="0" fontId="0" fillId="0" borderId="15" xfId="0" applyBorder="1" applyAlignment="1"/>
    <xf numFmtId="0" fontId="0" fillId="0" borderId="13" xfId="0" applyFont="1" applyFill="1" applyBorder="1" applyAlignment="1"/>
    <xf numFmtId="0" fontId="0" fillId="0" borderId="12" xfId="0" applyBorder="1" applyAlignment="1"/>
    <xf numFmtId="0" fontId="3" fillId="0" borderId="33" xfId="0" applyFont="1" applyBorder="1" applyAlignment="1"/>
    <xf numFmtId="0" fontId="0" fillId="0" borderId="33" xfId="0" applyBorder="1" applyAlignment="1"/>
    <xf numFmtId="0" fontId="0" fillId="0" borderId="103" xfId="0" applyFont="1" applyFill="1" applyBorder="1" applyAlignment="1"/>
    <xf numFmtId="0" fontId="0" fillId="0" borderId="104" xfId="0" applyBorder="1" applyAlignment="1"/>
    <xf numFmtId="0" fontId="0" fillId="0" borderId="31" xfId="0" applyBorder="1" applyAlignment="1"/>
    <xf numFmtId="0" fontId="0" fillId="0" borderId="41" xfId="0" applyBorder="1" applyAlignment="1"/>
    <xf numFmtId="0" fontId="3" fillId="0" borderId="34" xfId="0" applyFont="1" applyBorder="1" applyAlignment="1"/>
    <xf numFmtId="0" fontId="3" fillId="0" borderId="35" xfId="0" applyFont="1" applyBorder="1" applyAlignment="1"/>
    <xf numFmtId="0" fontId="0" fillId="0" borderId="105" xfId="0" applyBorder="1" applyAlignment="1"/>
    <xf numFmtId="0" fontId="0" fillId="0" borderId="35" xfId="0" applyBorder="1" applyAlignment="1"/>
    <xf numFmtId="0" fontId="0" fillId="0" borderId="10" xfId="0" applyBorder="1" applyAlignment="1"/>
    <xf numFmtId="0" fontId="3" fillId="0" borderId="99" xfId="0" applyFont="1" applyFill="1" applyBorder="1" applyAlignment="1">
      <alignment horizontal="left" indent="1"/>
    </xf>
    <xf numFmtId="0" fontId="0" fillId="0" borderId="100" xfId="0" applyBorder="1" applyAlignment="1">
      <alignment horizontal="left" indent="1"/>
    </xf>
    <xf numFmtId="0" fontId="0" fillId="6" borderId="232" xfId="0" applyFill="1" applyBorder="1" applyAlignment="1">
      <alignment horizontal="left" vertical="top" wrapText="1"/>
    </xf>
    <xf numFmtId="0" fontId="0" fillId="0" borderId="233" xfId="0" applyBorder="1" applyAlignment="1">
      <alignment wrapText="1"/>
    </xf>
    <xf numFmtId="0" fontId="0" fillId="0" borderId="234" xfId="0" applyBorder="1" applyAlignment="1">
      <alignment wrapText="1"/>
    </xf>
    <xf numFmtId="0" fontId="0" fillId="0" borderId="43" xfId="0" applyBorder="1" applyAlignment="1">
      <alignment wrapText="1"/>
    </xf>
    <xf numFmtId="0" fontId="0" fillId="0" borderId="0" xfId="0" applyAlignment="1">
      <alignment wrapText="1"/>
    </xf>
    <xf numFmtId="0" fontId="0" fillId="0" borderId="49" xfId="0" applyBorder="1" applyAlignment="1">
      <alignment wrapText="1"/>
    </xf>
    <xf numFmtId="0" fontId="0" fillId="0" borderId="44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46" xfId="0" applyBorder="1" applyAlignment="1">
      <alignment wrapText="1"/>
    </xf>
    <xf numFmtId="0" fontId="0" fillId="0" borderId="33" xfId="0" applyFont="1" applyBorder="1" applyAlignment="1"/>
    <xf numFmtId="0" fontId="0" fillId="6" borderId="33" xfId="0" applyFont="1" applyFill="1" applyBorder="1" applyAlignment="1"/>
    <xf numFmtId="0" fontId="3" fillId="0" borderId="102" xfId="0" applyFont="1" applyBorder="1" applyAlignment="1"/>
    <xf numFmtId="0" fontId="0" fillId="0" borderId="115" xfId="0" applyBorder="1" applyAlignment="1"/>
    <xf numFmtId="0" fontId="3" fillId="0" borderId="10" xfId="0" applyFont="1" applyBorder="1" applyAlignment="1"/>
    <xf numFmtId="0" fontId="0" fillId="0" borderId="32" xfId="0" applyBorder="1" applyAlignment="1"/>
    <xf numFmtId="0" fontId="0" fillId="0" borderId="40" xfId="0" applyBorder="1" applyAlignment="1"/>
    <xf numFmtId="0" fontId="3" fillId="0" borderId="34" xfId="0" applyFont="1" applyFill="1" applyBorder="1" applyAlignment="1"/>
    <xf numFmtId="0" fontId="0" fillId="0" borderId="35" xfId="0" applyFill="1" applyBorder="1" applyAlignment="1"/>
    <xf numFmtId="0" fontId="0" fillId="0" borderId="10" xfId="0" applyFill="1" applyBorder="1" applyAlignment="1"/>
    <xf numFmtId="0" fontId="0" fillId="0" borderId="62" xfId="0" applyFont="1" applyFill="1" applyBorder="1" applyAlignment="1">
      <alignment horizontal="left"/>
    </xf>
    <xf numFmtId="0" fontId="0" fillId="0" borderId="63" xfId="0" applyFont="1" applyFill="1" applyBorder="1" applyAlignment="1">
      <alignment horizontal="left"/>
    </xf>
    <xf numFmtId="0" fontId="3" fillId="0" borderId="191" xfId="0" applyFont="1" applyFill="1" applyBorder="1" applyAlignment="1"/>
    <xf numFmtId="0" fontId="0" fillId="0" borderId="191" xfId="0" applyFill="1" applyBorder="1" applyAlignment="1"/>
    <xf numFmtId="0" fontId="0" fillId="6" borderId="19" xfId="0" applyFill="1" applyBorder="1" applyAlignment="1">
      <alignment horizontal="left" vertical="top" wrapText="1"/>
    </xf>
    <xf numFmtId="0" fontId="0" fillId="6" borderId="47" xfId="0" applyFill="1" applyBorder="1" applyAlignment="1">
      <alignment horizontal="left" vertical="top" wrapText="1"/>
    </xf>
    <xf numFmtId="0" fontId="0" fillId="6" borderId="48" xfId="0" applyFill="1" applyBorder="1" applyAlignment="1">
      <alignment horizontal="left" vertical="top" wrapText="1"/>
    </xf>
    <xf numFmtId="0" fontId="0" fillId="6" borderId="43" xfId="0" applyFill="1" applyBorder="1" applyAlignment="1">
      <alignment horizontal="left" vertical="top" wrapText="1"/>
    </xf>
    <xf numFmtId="0" fontId="0" fillId="6" borderId="0" xfId="0" applyFill="1" applyAlignment="1">
      <alignment horizontal="left" vertical="top" wrapText="1"/>
    </xf>
    <xf numFmtId="0" fontId="0" fillId="6" borderId="49" xfId="0" applyFill="1" applyBorder="1" applyAlignment="1">
      <alignment horizontal="left" vertical="top" wrapText="1"/>
    </xf>
    <xf numFmtId="0" fontId="0" fillId="6" borderId="44" xfId="0" applyFill="1" applyBorder="1" applyAlignment="1">
      <alignment horizontal="left" vertical="top" wrapText="1"/>
    </xf>
    <xf numFmtId="0" fontId="0" fillId="6" borderId="11" xfId="0" applyFill="1" applyBorder="1" applyAlignment="1">
      <alignment horizontal="left" vertical="top" wrapText="1"/>
    </xf>
    <xf numFmtId="0" fontId="0" fillId="6" borderId="46" xfId="0" applyFill="1" applyBorder="1" applyAlignment="1">
      <alignment horizontal="left" vertical="top" wrapText="1"/>
    </xf>
    <xf numFmtId="0" fontId="3" fillId="0" borderId="99" xfId="0" applyFont="1" applyFill="1" applyBorder="1" applyAlignment="1"/>
    <xf numFmtId="0" fontId="0" fillId="0" borderId="100" xfId="0" applyBorder="1" applyAlignment="1"/>
    <xf numFmtId="0" fontId="0" fillId="0" borderId="27" xfId="0" applyFill="1" applyBorder="1" applyAlignment="1"/>
    <xf numFmtId="0" fontId="0" fillId="0" borderId="25" xfId="0" applyFill="1" applyBorder="1" applyAlignment="1"/>
    <xf numFmtId="0" fontId="0" fillId="0" borderId="56" xfId="0" applyFill="1" applyBorder="1" applyAlignment="1"/>
    <xf numFmtId="0" fontId="0" fillId="0" borderId="57" xfId="0" applyFill="1" applyBorder="1" applyAlignment="1"/>
    <xf numFmtId="0" fontId="0" fillId="0" borderId="59" xfId="0" applyFont="1" applyFill="1" applyBorder="1" applyAlignment="1">
      <alignment horizontal="left"/>
    </xf>
    <xf numFmtId="0" fontId="0" fillId="0" borderId="60" xfId="0" applyFont="1" applyFill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0" fillId="0" borderId="22" xfId="0" applyFont="1" applyFill="1" applyBorder="1" applyAlignment="1">
      <alignment horizontal="left"/>
    </xf>
    <xf numFmtId="0" fontId="0" fillId="0" borderId="39" xfId="0" applyFill="1" applyBorder="1" applyAlignment="1">
      <alignment horizontal="left"/>
    </xf>
    <xf numFmtId="0" fontId="0" fillId="0" borderId="55" xfId="0" applyFont="1" applyFill="1" applyBorder="1" applyAlignment="1">
      <alignment horizontal="left"/>
    </xf>
    <xf numFmtId="0" fontId="0" fillId="0" borderId="42" xfId="0" applyFill="1" applyBorder="1" applyAlignment="1">
      <alignment horizontal="left"/>
    </xf>
    <xf numFmtId="0" fontId="0" fillId="0" borderId="2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65" xfId="0" applyFont="1" applyFill="1" applyBorder="1" applyAlignment="1">
      <alignment horizontal="left"/>
    </xf>
    <xf numFmtId="0" fontId="0" fillId="0" borderId="66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3" fillId="0" borderId="28" xfId="0" applyFont="1" applyBorder="1" applyAlignment="1"/>
    <xf numFmtId="0" fontId="0" fillId="0" borderId="37" xfId="0" applyBorder="1" applyAlignment="1"/>
    <xf numFmtId="0" fontId="0" fillId="0" borderId="38" xfId="0" applyBorder="1" applyAlignment="1"/>
    <xf numFmtId="0" fontId="3" fillId="0" borderId="28" xfId="0" applyFont="1" applyBorder="1" applyAlignment="1">
      <alignment vertical="center"/>
    </xf>
    <xf numFmtId="0" fontId="3" fillId="0" borderId="191" xfId="0" applyFont="1" applyFill="1" applyBorder="1"/>
    <xf numFmtId="0" fontId="0" fillId="0" borderId="189" xfId="0" applyFont="1" applyFill="1" applyBorder="1" applyAlignment="1"/>
    <xf numFmtId="0" fontId="0" fillId="0" borderId="190" xfId="0" applyBorder="1" applyAlignment="1"/>
    <xf numFmtId="0" fontId="0" fillId="0" borderId="191" xfId="0" applyFont="1" applyFill="1" applyBorder="1" applyAlignment="1"/>
    <xf numFmtId="0" fontId="0" fillId="0" borderId="191" xfId="0" applyBorder="1" applyAlignment="1"/>
    <xf numFmtId="0" fontId="3" fillId="0" borderId="43" xfId="0" applyFont="1" applyBorder="1" applyAlignment="1"/>
    <xf numFmtId="0" fontId="0" fillId="0" borderId="0" xfId="0" applyBorder="1" applyAlignment="1"/>
    <xf numFmtId="0" fontId="0" fillId="0" borderId="0" xfId="0" applyAlignment="1"/>
    <xf numFmtId="0" fontId="0" fillId="9" borderId="236" xfId="0" applyFill="1" applyBorder="1" applyAlignment="1">
      <alignment horizontal="right"/>
    </xf>
    <xf numFmtId="0" fontId="0" fillId="9" borderId="237" xfId="0" applyFill="1" applyBorder="1" applyAlignment="1">
      <alignment horizontal="right"/>
    </xf>
    <xf numFmtId="0" fontId="0" fillId="0" borderId="236" xfId="0" applyBorder="1" applyAlignment="1"/>
    <xf numFmtId="0" fontId="0" fillId="0" borderId="239" xfId="0" applyBorder="1" applyAlignment="1"/>
    <xf numFmtId="0" fontId="3" fillId="0" borderId="235" xfId="0" applyFont="1" applyBorder="1" applyAlignment="1">
      <alignment vertical="top" wrapText="1"/>
    </xf>
    <xf numFmtId="0" fontId="0" fillId="9" borderId="235" xfId="0" applyFill="1" applyBorder="1" applyAlignment="1"/>
    <xf numFmtId="0" fontId="0" fillId="0" borderId="169" xfId="0" applyBorder="1" applyAlignment="1"/>
    <xf numFmtId="0" fontId="0" fillId="9" borderId="235" xfId="0" applyFill="1" applyBorder="1" applyAlignment="1">
      <alignment horizontal="right"/>
    </xf>
    <xf numFmtId="0" fontId="0" fillId="0" borderId="169" xfId="0" applyBorder="1" applyAlignment="1">
      <alignment horizontal="right"/>
    </xf>
    <xf numFmtId="0" fontId="0" fillId="9" borderId="236" xfId="0" applyFill="1" applyBorder="1" applyAlignment="1"/>
    <xf numFmtId="0" fontId="0" fillId="9" borderId="237" xfId="0" applyFill="1" applyBorder="1" applyAlignment="1"/>
    <xf numFmtId="0" fontId="3" fillId="0" borderId="94" xfId="0" applyFont="1" applyBorder="1" applyAlignment="1"/>
    <xf numFmtId="0" fontId="0" fillId="0" borderId="95" xfId="0" applyBorder="1" applyAlignment="1"/>
    <xf numFmtId="0" fontId="0" fillId="0" borderId="96" xfId="0" applyBorder="1" applyAlignment="1"/>
    <xf numFmtId="0" fontId="3" fillId="0" borderId="232" xfId="0" applyFont="1" applyBorder="1" applyAlignment="1"/>
    <xf numFmtId="0" fontId="0" fillId="0" borderId="233" xfId="0" applyBorder="1" applyAlignment="1"/>
    <xf numFmtId="0" fontId="0" fillId="0" borderId="234" xfId="0" applyBorder="1" applyAlignment="1"/>
    <xf numFmtId="0" fontId="0" fillId="0" borderId="49" xfId="0" applyBorder="1" applyAlignment="1"/>
    <xf numFmtId="0" fontId="0" fillId="9" borderId="241" xfId="0" applyFill="1" applyBorder="1" applyAlignment="1"/>
    <xf numFmtId="0" fontId="0" fillId="9" borderId="188" xfId="0" applyFill="1" applyBorder="1" applyAlignment="1"/>
    <xf numFmtId="0" fontId="3" fillId="0" borderId="235" xfId="0" applyFont="1" applyBorder="1" applyAlignment="1">
      <alignment wrapText="1"/>
    </xf>
    <xf numFmtId="0" fontId="0" fillId="9" borderId="246" xfId="0" applyFill="1" applyBorder="1" applyAlignment="1">
      <alignment horizontal="right"/>
    </xf>
    <xf numFmtId="0" fontId="0" fillId="0" borderId="157" xfId="0" applyBorder="1" applyAlignment="1">
      <alignment horizontal="right"/>
    </xf>
    <xf numFmtId="0" fontId="3" fillId="0" borderId="0" xfId="0" applyFont="1" applyBorder="1" applyAlignment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236" xfId="0" applyFill="1" applyBorder="1" applyAlignment="1"/>
    <xf numFmtId="0" fontId="0" fillId="0" borderId="237" xfId="0" applyFill="1" applyBorder="1" applyAlignment="1"/>
    <xf numFmtId="0" fontId="0" fillId="0" borderId="71" xfId="0" applyFill="1" applyBorder="1" applyAlignment="1">
      <alignment horizontal="right"/>
    </xf>
    <xf numFmtId="0" fontId="0" fillId="0" borderId="245" xfId="0" applyBorder="1" applyAlignment="1">
      <alignment horizontal="right"/>
    </xf>
    <xf numFmtId="0" fontId="4" fillId="0" borderId="153" xfId="0" applyFont="1" applyBorder="1" applyAlignment="1"/>
    <xf numFmtId="0" fontId="4" fillId="0" borderId="154" xfId="0" applyFont="1" applyBorder="1" applyAlignment="1"/>
    <xf numFmtId="0" fontId="4" fillId="0" borderId="99" xfId="0" applyFont="1" applyFill="1" applyBorder="1" applyAlignment="1"/>
    <xf numFmtId="0" fontId="10" fillId="0" borderId="0" xfId="0" applyFont="1" applyBorder="1" applyAlignment="1"/>
    <xf numFmtId="0" fontId="3" fillId="0" borderId="98" xfId="0" applyFont="1" applyBorder="1" applyAlignment="1">
      <alignment horizontal="left" vertical="top" wrapText="1"/>
    </xf>
    <xf numFmtId="0" fontId="3" fillId="0" borderId="98" xfId="0" applyFont="1" applyBorder="1" applyAlignment="1">
      <alignment horizontal="left" vertical="top"/>
    </xf>
    <xf numFmtId="0" fontId="4" fillId="0" borderId="98" xfId="0" applyFont="1" applyFill="1" applyBorder="1" applyAlignment="1">
      <alignment horizontal="left" vertical="top" wrapText="1"/>
    </xf>
    <xf numFmtId="0" fontId="3" fillId="0" borderId="69" xfId="0" applyFont="1" applyBorder="1" applyAlignment="1">
      <alignment horizontal="left" vertical="top" wrapText="1"/>
    </xf>
    <xf numFmtId="0" fontId="0" fillId="0" borderId="71" xfId="0" applyBorder="1" applyAlignment="1">
      <alignment horizontal="left" vertical="top"/>
    </xf>
    <xf numFmtId="0" fontId="3" fillId="0" borderId="98" xfId="0" applyFont="1" applyFill="1" applyBorder="1" applyAlignment="1">
      <alignment horizontal="left" vertical="top" wrapText="1"/>
    </xf>
    <xf numFmtId="0" fontId="0" fillId="0" borderId="156" xfId="0" applyBorder="1" applyAlignment="1"/>
    <xf numFmtId="0" fontId="0" fillId="0" borderId="185" xfId="0" applyBorder="1" applyAlignment="1"/>
    <xf numFmtId="0" fontId="0" fillId="0" borderId="157" xfId="0" applyBorder="1" applyAlignment="1"/>
    <xf numFmtId="0" fontId="0" fillId="0" borderId="186" xfId="0" applyBorder="1" applyAlignment="1"/>
    <xf numFmtId="0" fontId="0" fillId="0" borderId="187" xfId="0" applyBorder="1" applyAlignment="1"/>
    <xf numFmtId="0" fontId="0" fillId="0" borderId="188" xfId="0" applyBorder="1" applyAlignment="1"/>
    <xf numFmtId="0" fontId="10" fillId="0" borderId="0" xfId="0" applyFont="1" applyAlignment="1"/>
    <xf numFmtId="0" fontId="3" fillId="9" borderId="119" xfId="0" applyFont="1" applyFill="1" applyBorder="1" applyAlignment="1"/>
    <xf numFmtId="0" fontId="0" fillId="9" borderId="51" xfId="0" applyFill="1" applyBorder="1" applyAlignment="1"/>
    <xf numFmtId="0" fontId="3" fillId="9" borderId="123" xfId="0" applyFont="1" applyFill="1" applyBorder="1" applyAlignment="1"/>
    <xf numFmtId="0" fontId="0" fillId="9" borderId="166" xfId="0" applyFill="1" applyBorder="1" applyAlignment="1"/>
    <xf numFmtId="0" fontId="3" fillId="0" borderId="94" xfId="0" applyFont="1" applyBorder="1" applyAlignment="1">
      <alignment vertical="top"/>
    </xf>
    <xf numFmtId="0" fontId="0" fillId="0" borderId="95" xfId="0" applyBorder="1" applyAlignment="1">
      <alignment vertical="top"/>
    </xf>
    <xf numFmtId="0" fontId="3" fillId="9" borderId="180" xfId="0" applyFont="1" applyFill="1" applyBorder="1" applyAlignment="1"/>
    <xf numFmtId="0" fontId="0" fillId="9" borderId="181" xfId="0" applyFill="1" applyBorder="1" applyAlignment="1"/>
    <xf numFmtId="0" fontId="3" fillId="0" borderId="112" xfId="0" applyFont="1" applyBorder="1" applyAlignment="1">
      <alignment horizontal="left"/>
    </xf>
    <xf numFmtId="0" fontId="0" fillId="0" borderId="113" xfId="0" applyBorder="1" applyAlignment="1"/>
    <xf numFmtId="0" fontId="0" fillId="0" borderId="16" xfId="0" applyFont="1" applyFill="1" applyBorder="1" applyAlignment="1">
      <alignment horizontal="left"/>
    </xf>
    <xf numFmtId="0" fontId="0" fillId="0" borderId="17" xfId="0" applyFont="1" applyFill="1" applyBorder="1" applyAlignment="1">
      <alignment horizontal="left"/>
    </xf>
    <xf numFmtId="0" fontId="0" fillId="0" borderId="13" xfId="0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0" fillId="0" borderId="72" xfId="0" applyFont="1" applyFill="1" applyBorder="1" applyAlignment="1">
      <alignment horizontal="left"/>
    </xf>
    <xf numFmtId="0" fontId="0" fillId="0" borderId="15" xfId="0" applyFill="1" applyBorder="1" applyAlignment="1">
      <alignment horizontal="left"/>
    </xf>
    <xf numFmtId="0" fontId="0" fillId="6" borderId="13" xfId="0" applyFont="1" applyFill="1" applyBorder="1" applyAlignment="1"/>
    <xf numFmtId="0" fontId="0" fillId="6" borderId="12" xfId="0" applyFill="1" applyBorder="1" applyAlignment="1"/>
    <xf numFmtId="0" fontId="0" fillId="6" borderId="72" xfId="0" applyFont="1" applyFill="1" applyBorder="1" applyAlignment="1"/>
    <xf numFmtId="0" fontId="0" fillId="6" borderId="15" xfId="0" applyFill="1" applyBorder="1" applyAlignment="1"/>
    <xf numFmtId="0" fontId="0" fillId="6" borderId="103" xfId="0" applyFont="1" applyFill="1" applyBorder="1" applyAlignment="1"/>
    <xf numFmtId="0" fontId="0" fillId="6" borderId="104" xfId="0" applyFill="1" applyBorder="1" applyAlignment="1"/>
    <xf numFmtId="0" fontId="0" fillId="5" borderId="62" xfId="0" applyFont="1" applyFill="1" applyBorder="1" applyAlignment="1">
      <alignment horizontal="left"/>
    </xf>
    <xf numFmtId="0" fontId="0" fillId="5" borderId="63" xfId="0" applyFont="1" applyFill="1" applyBorder="1" applyAlignment="1">
      <alignment horizontal="left"/>
    </xf>
    <xf numFmtId="0" fontId="0" fillId="5" borderId="65" xfId="0" applyFont="1" applyFill="1" applyBorder="1" applyAlignment="1">
      <alignment horizontal="left"/>
    </xf>
    <xf numFmtId="0" fontId="0" fillId="5" borderId="66" xfId="0" applyFont="1" applyFill="1" applyBorder="1" applyAlignment="1">
      <alignment horizontal="left"/>
    </xf>
    <xf numFmtId="0" fontId="0" fillId="6" borderId="55" xfId="0" applyFont="1" applyFill="1" applyBorder="1" applyAlignment="1">
      <alignment horizontal="left"/>
    </xf>
    <xf numFmtId="0" fontId="0" fillId="6" borderId="42" xfId="0" applyFill="1" applyBorder="1" applyAlignment="1">
      <alignment horizontal="left"/>
    </xf>
    <xf numFmtId="0" fontId="0" fillId="6" borderId="21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0" fillId="6" borderId="22" xfId="0" applyFont="1" applyFill="1" applyBorder="1" applyAlignment="1">
      <alignment horizontal="left"/>
    </xf>
    <xf numFmtId="0" fontId="0" fillId="6" borderId="39" xfId="0" applyFill="1" applyBorder="1" applyAlignment="1">
      <alignment horizontal="left"/>
    </xf>
    <xf numFmtId="0" fontId="3" fillId="0" borderId="28" xfId="0" applyFont="1" applyFill="1" applyBorder="1" applyAlignment="1"/>
    <xf numFmtId="0" fontId="0" fillId="6" borderId="229" xfId="0" applyFill="1" applyBorder="1" applyAlignment="1"/>
    <xf numFmtId="0" fontId="0" fillId="6" borderId="230" xfId="0" applyFill="1" applyBorder="1" applyAlignment="1"/>
    <xf numFmtId="0" fontId="0" fillId="5" borderId="59" xfId="0" applyFont="1" applyFill="1" applyBorder="1" applyAlignment="1">
      <alignment horizontal="left"/>
    </xf>
    <xf numFmtId="0" fontId="0" fillId="5" borderId="60" xfId="0" applyFont="1" applyFill="1" applyBorder="1" applyAlignment="1">
      <alignment horizontal="left"/>
    </xf>
    <xf numFmtId="0" fontId="0" fillId="6" borderId="56" xfId="0" applyFill="1" applyBorder="1" applyAlignment="1"/>
    <xf numFmtId="0" fontId="0" fillId="6" borderId="57" xfId="0" applyFill="1" applyBorder="1" applyAlignment="1"/>
    <xf numFmtId="0" fontId="0" fillId="9" borderId="191" xfId="0" applyFont="1" applyFill="1" applyBorder="1" applyAlignment="1"/>
    <xf numFmtId="0" fontId="0" fillId="9" borderId="191" xfId="0" applyFill="1" applyBorder="1" applyAlignment="1"/>
    <xf numFmtId="0" fontId="3" fillId="0" borderId="33" xfId="0" applyFont="1" applyBorder="1"/>
    <xf numFmtId="0" fontId="3" fillId="0" borderId="0" xfId="0" applyFont="1" applyFill="1" applyBorder="1" applyAlignment="1"/>
    <xf numFmtId="0" fontId="0" fillId="0" borderId="0" xfId="0" applyFill="1" applyBorder="1" applyAlignment="1"/>
    <xf numFmtId="0" fontId="0" fillId="9" borderId="189" xfId="0" applyFont="1" applyFill="1" applyBorder="1" applyAlignment="1"/>
    <xf numFmtId="0" fontId="3" fillId="6" borderId="34" xfId="0" applyFont="1" applyFill="1" applyBorder="1" applyAlignment="1"/>
    <xf numFmtId="0" fontId="0" fillId="6" borderId="35" xfId="0" applyFill="1" applyBorder="1" applyAlignment="1"/>
    <xf numFmtId="0" fontId="0" fillId="6" borderId="10" xfId="0" applyFill="1" applyBorder="1" applyAlignment="1"/>
    <xf numFmtId="0" fontId="0" fillId="0" borderId="198" xfId="0" applyBorder="1" applyAlignment="1"/>
    <xf numFmtId="0" fontId="4" fillId="7" borderId="236" xfId="0" applyFont="1" applyFill="1" applyBorder="1" applyAlignment="1">
      <alignment horizontal="center"/>
    </xf>
    <xf numFmtId="0" fontId="0" fillId="0" borderId="247" xfId="0" applyBorder="1" applyAlignment="1">
      <alignment horizontal="center"/>
    </xf>
    <xf numFmtId="0" fontId="0" fillId="0" borderId="100" xfId="0" applyBorder="1" applyAlignment="1">
      <alignment horizontal="center"/>
    </xf>
    <xf numFmtId="0" fontId="3" fillId="7" borderId="34" xfId="0" applyFont="1" applyFill="1" applyBorder="1" applyAlignment="1"/>
    <xf numFmtId="0" fontId="3" fillId="0" borderId="0" xfId="0" applyFont="1" applyAlignment="1">
      <alignment horizontal="center"/>
    </xf>
    <xf numFmtId="0" fontId="4" fillId="7" borderId="33" xfId="0" applyFont="1" applyFill="1" applyBorder="1" applyAlignment="1">
      <alignment horizontal="center"/>
    </xf>
    <xf numFmtId="0" fontId="4" fillId="7" borderId="198" xfId="0" applyFont="1" applyFill="1" applyBorder="1" applyAlignment="1">
      <alignment horizontal="center"/>
    </xf>
    <xf numFmtId="0" fontId="4" fillId="7" borderId="237" xfId="0" applyFont="1" applyFill="1" applyBorder="1" applyAlignment="1">
      <alignment horizontal="center"/>
    </xf>
    <xf numFmtId="0" fontId="3" fillId="7" borderId="99" xfId="0" applyFont="1" applyFill="1" applyBorder="1" applyAlignment="1"/>
    <xf numFmtId="0" fontId="3" fillId="0" borderId="100" xfId="0" applyFont="1" applyBorder="1" applyAlignment="1"/>
    <xf numFmtId="0" fontId="3" fillId="7" borderId="33" xfId="0" applyFont="1" applyFill="1" applyBorder="1" applyAlignment="1"/>
    <xf numFmtId="0" fontId="0" fillId="8" borderId="44" xfId="0" applyFill="1" applyBorder="1"/>
    <xf numFmtId="0" fontId="0" fillId="8" borderId="248" xfId="0" applyFill="1" applyBorder="1"/>
  </cellXfs>
  <cellStyles count="5">
    <cellStyle name="cf-1" xfId="1"/>
    <cellStyle name="cf-3" xfId="2"/>
    <cellStyle name="cf-5" xfId="3"/>
    <cellStyle name="Normal" xfId="0" builtinId="0"/>
    <cellStyle name="Untitled1" xfId="4"/>
  </cellStyles>
  <dxfs count="20">
    <dxf>
      <fill>
        <patternFill>
          <bgColor rgb="FFE9E9FF"/>
        </patternFill>
      </fill>
    </dxf>
    <dxf>
      <fill>
        <patternFill>
          <bgColor rgb="FFE9E9FF"/>
        </patternFill>
      </fill>
    </dxf>
    <dxf>
      <fill>
        <patternFill>
          <bgColor rgb="FFE9E9F2"/>
        </patternFill>
      </fill>
    </dxf>
    <dxf>
      <fill>
        <patternFill>
          <bgColor rgb="FFE9E9FF"/>
        </patternFill>
      </fill>
    </dxf>
    <dxf>
      <fill>
        <patternFill>
          <bgColor rgb="FFE9E9FF"/>
        </patternFill>
      </fill>
    </dxf>
    <dxf>
      <numFmt numFmtId="173" formatCode="#&quot; zeros rolled&quot;"/>
    </dxf>
    <dxf>
      <numFmt numFmtId="173" formatCode="#&quot; zeros rolled&quot;"/>
    </dxf>
    <dxf>
      <fill>
        <patternFill>
          <bgColor rgb="FFE9E9FF"/>
        </patternFill>
      </fill>
    </dxf>
    <dxf>
      <fill>
        <patternFill>
          <bgColor rgb="FFE9E9FF"/>
        </patternFill>
      </fill>
    </dxf>
    <dxf>
      <fill>
        <patternFill>
          <bgColor rgb="FFFF5050"/>
        </patternFill>
      </fill>
    </dxf>
    <dxf>
      <fill>
        <patternFill>
          <bgColor rgb="FFFF0000"/>
        </patternFill>
      </fill>
    </dxf>
    <dxf>
      <fill>
        <patternFill>
          <bgColor rgb="FFE9E9FF"/>
        </patternFill>
      </fill>
    </dxf>
    <dxf>
      <fill>
        <patternFill>
          <bgColor rgb="FFE9E9FF"/>
        </patternFill>
      </fill>
    </dxf>
    <dxf>
      <fill>
        <patternFill>
          <bgColor rgb="FFE9E9FF"/>
        </patternFill>
      </fill>
    </dxf>
    <dxf>
      <fill>
        <patternFill>
          <bgColor rgb="FFE9E9FF"/>
        </patternFill>
      </fill>
    </dxf>
    <dxf>
      <fill>
        <patternFill>
          <bgColor rgb="FFE9E9FF"/>
        </patternFill>
      </fill>
    </dxf>
    <dxf>
      <fill>
        <patternFill>
          <bgColor rgb="FFE9E9FF"/>
        </patternFill>
      </fill>
    </dxf>
    <dxf>
      <fill>
        <patternFill>
          <bgColor rgb="FFE9E9FF"/>
        </patternFill>
      </fill>
    </dxf>
    <dxf>
      <fill>
        <patternFill>
          <bgColor rgb="FFE9E9FF"/>
        </patternFill>
      </fill>
    </dxf>
    <dxf>
      <fill>
        <patternFill>
          <bgColor rgb="FFE9E9FF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9E9F2"/>
      <color rgb="FFE9E9FF"/>
      <color rgb="FFFF5050"/>
      <color rgb="FFE9E9E9"/>
      <color rgb="FFE9E900"/>
      <color rgb="FFFF7C80"/>
      <color rgb="FFFF99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"/>
  <sheetViews>
    <sheetView view="pageBreakPreview" topLeftCell="A7" zoomScaleNormal="100" zoomScaleSheetLayoutView="100" workbookViewId="0">
      <selection activeCell="K33" sqref="K33"/>
    </sheetView>
  </sheetViews>
  <sheetFormatPr defaultColWidth="11.5703125" defaultRowHeight="12.75" x14ac:dyDescent="0.2"/>
  <cols>
    <col min="1" max="1" width="15.140625" bestFit="1" customWidth="1"/>
    <col min="2" max="2" width="4.28515625" bestFit="1" customWidth="1"/>
    <col min="3" max="3" width="13.7109375" customWidth="1"/>
    <col min="4" max="4" width="3.7109375" bestFit="1" customWidth="1"/>
    <col min="5" max="5" width="19" bestFit="1" customWidth="1"/>
    <col min="6" max="6" width="4.140625" bestFit="1" customWidth="1"/>
    <col min="7" max="7" width="15.42578125" customWidth="1"/>
    <col min="8" max="8" width="3.7109375" bestFit="1" customWidth="1"/>
    <col min="9" max="9" width="16.42578125" customWidth="1"/>
    <col min="10" max="10" width="4.140625" bestFit="1" customWidth="1"/>
    <col min="11" max="11" width="14" customWidth="1"/>
    <col min="12" max="12" width="3.28515625" bestFit="1" customWidth="1"/>
    <col min="13" max="13" width="13.5703125" bestFit="1" customWidth="1"/>
    <col min="14" max="14" width="2.7109375" bestFit="1" customWidth="1"/>
    <col min="15" max="15" width="12.7109375" bestFit="1" customWidth="1"/>
    <col min="16" max="16" width="5.42578125" customWidth="1"/>
    <col min="17" max="17" width="2.85546875" customWidth="1"/>
  </cols>
  <sheetData>
    <row r="1" spans="1:17" x14ac:dyDescent="0.2">
      <c r="A1" s="84" t="s">
        <v>91</v>
      </c>
      <c r="B1" s="726" t="str">
        <f>IF(ISBLANK('Start Character'!B1:O1)," ",'Start Character'!B1:O1)</f>
        <v xml:space="preserve"> </v>
      </c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8"/>
      <c r="P1" s="3"/>
      <c r="Q1" s="3"/>
    </row>
    <row r="2" spans="1:17" x14ac:dyDescent="0.2">
      <c r="A2" s="88"/>
      <c r="B2" s="89"/>
      <c r="C2" s="117"/>
      <c r="D2" s="117"/>
      <c r="E2" s="117"/>
      <c r="F2" s="117"/>
      <c r="G2" s="117"/>
      <c r="H2" s="117"/>
      <c r="I2" s="117"/>
      <c r="J2" s="117"/>
      <c r="K2" s="117"/>
      <c r="L2" s="30"/>
      <c r="M2" s="70"/>
      <c r="N2" s="70"/>
      <c r="O2" s="70"/>
      <c r="P2" s="3"/>
      <c r="Q2" s="3"/>
    </row>
    <row r="3" spans="1:17" x14ac:dyDescent="0.2">
      <c r="A3" s="84" t="s">
        <v>92</v>
      </c>
      <c r="B3" s="767" t="str">
        <f>IF(ISBLANK('Start Character'!B5)," ",'Start Character'!B5)</f>
        <v xml:space="preserve"> </v>
      </c>
      <c r="C3" s="768"/>
      <c r="D3" s="380"/>
      <c r="E3" s="376" t="s">
        <v>222</v>
      </c>
      <c r="F3" s="767" t="str">
        <f>IF(ISBLANK('Start Character'!F5)," ",'Start Character'!F5)</f>
        <v xml:space="preserve"> </v>
      </c>
      <c r="G3" s="768"/>
      <c r="H3" s="89"/>
      <c r="I3" s="731" t="s">
        <v>1</v>
      </c>
      <c r="J3" s="732"/>
      <c r="K3" s="444" t="str">
        <f>IF(ISBLANK('Start Character'!K5)," ",'Start Character'!K5)</f>
        <v>//</v>
      </c>
      <c r="L3" s="30"/>
      <c r="M3" s="764" t="s">
        <v>0</v>
      </c>
      <c r="N3" s="764"/>
      <c r="O3" s="444" t="str">
        <f>CONCATENATE(O6,"/",O5,"/",O4)</f>
        <v>13/10/1216</v>
      </c>
      <c r="P3" s="3"/>
      <c r="Q3" s="3"/>
    </row>
    <row r="4" spans="1:17" x14ac:dyDescent="0.2">
      <c r="A4" s="84" t="s">
        <v>114</v>
      </c>
      <c r="B4" s="767" t="str">
        <f>IF(ISBLANK('Start Character'!B6)," ",'Start Character'!B6)</f>
        <v xml:space="preserve"> </v>
      </c>
      <c r="C4" s="768"/>
      <c r="D4" s="380"/>
      <c r="E4" s="376" t="s">
        <v>170</v>
      </c>
      <c r="F4" s="767" t="str">
        <f>IF(ISBLANK('Start Character'!F6)," ",'Start Character'!F6)</f>
        <v xml:space="preserve"> </v>
      </c>
      <c r="G4" s="768"/>
      <c r="H4" s="89"/>
      <c r="I4" s="731" t="s">
        <v>2</v>
      </c>
      <c r="J4" s="732"/>
      <c r="K4" s="445">
        <f>ROUNDDOWN((DATE(O4+1000,O5,O6)-(DATE('Start Character'!K6+1000,'Start Character'!K7,'Start Character'!K8)))/365,0)</f>
        <v>-683</v>
      </c>
      <c r="L4" s="30"/>
      <c r="M4" s="764" t="s">
        <v>416</v>
      </c>
      <c r="N4" s="764"/>
      <c r="O4" s="447">
        <v>1216</v>
      </c>
      <c r="P4" s="3"/>
      <c r="Q4" s="3"/>
    </row>
    <row r="5" spans="1:17" x14ac:dyDescent="0.2">
      <c r="A5" s="84" t="s">
        <v>115</v>
      </c>
      <c r="B5" s="767" t="str">
        <f>IF(ISBLANK('Start Character'!B7)," ",'Start Character'!B7)</f>
        <v xml:space="preserve"> </v>
      </c>
      <c r="C5" s="768"/>
      <c r="D5" s="380"/>
      <c r="E5" s="377" t="s">
        <v>172</v>
      </c>
      <c r="F5" s="767" t="str">
        <f>IF(ISBLANK('Start Character'!F7)," ",'Start Character'!F7)</f>
        <v xml:space="preserve"> </v>
      </c>
      <c r="G5" s="768"/>
      <c r="H5" s="89"/>
      <c r="I5" s="731" t="s">
        <v>113</v>
      </c>
      <c r="J5" s="732"/>
      <c r="K5" s="446">
        <f>IF(Aging!D3="Unaging"," ",SUM(Aging!L10:L503)+IF(Aging!D2="Strong Faerie Blood",ROUND(((K4-5)*(2/3))+5,0),IF(Aging!D2="Age Quickly",((K4-5)*2)+5,K4)))</f>
        <v>-683</v>
      </c>
      <c r="L5" s="30"/>
      <c r="M5" s="764" t="s">
        <v>417</v>
      </c>
      <c r="N5" s="764"/>
      <c r="O5" s="447">
        <v>10</v>
      </c>
      <c r="P5" s="3"/>
      <c r="Q5" s="3"/>
    </row>
    <row r="6" spans="1:17" x14ac:dyDescent="0.2">
      <c r="A6" s="84" t="s">
        <v>116</v>
      </c>
      <c r="B6" s="765" t="str">
        <f>IF(ISBLANK('Start Character'!B8)," ",'Start Character'!B8)</f>
        <v xml:space="preserve"> </v>
      </c>
      <c r="C6" s="766"/>
      <c r="D6" s="380"/>
      <c r="E6" s="376" t="s">
        <v>171</v>
      </c>
      <c r="F6" s="767" t="str">
        <f>IF(ISBLANK('Start Character'!F8)," ",'Start Character'!F8)</f>
        <v xml:space="preserve"> </v>
      </c>
      <c r="G6" s="768"/>
      <c r="H6" s="89"/>
      <c r="I6" s="89"/>
      <c r="L6" s="30"/>
      <c r="M6" s="764" t="s">
        <v>418</v>
      </c>
      <c r="N6" s="764"/>
      <c r="O6" s="447">
        <v>13</v>
      </c>
      <c r="P6" s="3"/>
      <c r="Q6" s="3"/>
    </row>
    <row r="7" spans="1:17" x14ac:dyDescent="0.2">
      <c r="M7" s="29"/>
      <c r="N7" s="29"/>
      <c r="O7" s="29"/>
      <c r="P7" s="3"/>
      <c r="Q7" s="3"/>
    </row>
    <row r="8" spans="1:17" x14ac:dyDescent="0.2">
      <c r="A8" s="742" t="s">
        <v>93</v>
      </c>
      <c r="B8" s="743"/>
      <c r="C8" s="117"/>
      <c r="E8" s="760" t="s">
        <v>108</v>
      </c>
      <c r="F8" s="761"/>
      <c r="G8" s="762"/>
      <c r="I8" s="763" t="s">
        <v>104</v>
      </c>
      <c r="J8" s="761"/>
      <c r="K8" s="762"/>
      <c r="M8" s="703" t="s">
        <v>46</v>
      </c>
      <c r="N8" s="704"/>
      <c r="O8" s="723"/>
    </row>
    <row r="9" spans="1:17" x14ac:dyDescent="0.2">
      <c r="A9" s="265" t="s">
        <v>100</v>
      </c>
      <c r="B9" s="266">
        <f>VLOOKUP(VLOOKUP(IF(ISBLANK('Start Character'!B11),0,'Start Character'!B11),Calcs!$AN$4:$AQ$84,3,FALSE)+SUM(Aging!$N$10:$N$488),Calcs!$AP$4:$AQ$84,2,TRUE)</f>
        <v>0</v>
      </c>
      <c r="C9" s="119"/>
      <c r="D9" s="10"/>
      <c r="E9" s="152" t="s">
        <v>44</v>
      </c>
      <c r="F9" s="744" t="str">
        <f>IF(ISBLANK('Start Character'!F11:G11)," ",'Start Character'!F11:G11)</f>
        <v xml:space="preserve"> </v>
      </c>
      <c r="G9" s="745"/>
      <c r="H9" s="153"/>
      <c r="I9" s="179"/>
      <c r="J9" s="180"/>
      <c r="K9" s="683"/>
      <c r="L9" s="89"/>
      <c r="M9" s="155" t="s">
        <v>118</v>
      </c>
      <c r="N9" s="748" t="str">
        <f>IF(ISBLANK('Start Character'!N11)," ",'Start Character'!N11)</f>
        <v xml:space="preserve"> </v>
      </c>
      <c r="O9" s="749" t="str">
        <f>IF(ISBLANK('Start Character'!O11)," ",'Start Character'!O11)</f>
        <v xml:space="preserve"> </v>
      </c>
    </row>
    <row r="10" spans="1:17" x14ac:dyDescent="0.2">
      <c r="A10" s="51" t="s">
        <v>13</v>
      </c>
      <c r="B10" s="220">
        <f>VLOOKUP(VLOOKUP(IF(ISBLANK('Start Character'!B12),0,'Start Character'!B12),Calcs!$AN$4:$AQ$84,3,FALSE)+SUM(Aging!$O$10:$O$488),Calcs!$AP$4:$AQ$84,2,TRUE)</f>
        <v>0</v>
      </c>
      <c r="C10" s="119"/>
      <c r="D10" s="10"/>
      <c r="E10" s="156" t="s">
        <v>117</v>
      </c>
      <c r="F10" s="746" t="str">
        <f>IF(ISBLANK('Start Character'!F12:G12)," ",'Start Character'!F12:G12)</f>
        <v>Gifted</v>
      </c>
      <c r="G10" s="747"/>
      <c r="H10" s="153"/>
      <c r="I10" s="181"/>
      <c r="J10" s="182"/>
      <c r="K10" s="684"/>
      <c r="L10" s="89"/>
      <c r="M10" s="158" t="s">
        <v>3</v>
      </c>
      <c r="N10" s="729" t="str">
        <f>IF(ISBLANK('Start Character'!N12)," ",'Start Character'!N12)</f>
        <v xml:space="preserve"> </v>
      </c>
      <c r="O10" s="730" t="str">
        <f>IF(ISBLANK('Start Character'!O12)," ",'Start Character'!O12)</f>
        <v xml:space="preserve"> </v>
      </c>
    </row>
    <row r="11" spans="1:17" x14ac:dyDescent="0.2">
      <c r="A11" s="51" t="s">
        <v>101</v>
      </c>
      <c r="B11" s="220">
        <f>VLOOKUP(VLOOKUP(IF(ISBLANK('Start Character'!B13),0,'Start Character'!B13),Calcs!$AN$4:$AQ$84,3,FALSE)+SUM(Aging!$P$10:$P$488),Calcs!$AP$4:$AQ$84,2,TRUE)</f>
        <v>0</v>
      </c>
      <c r="C11" s="119"/>
      <c r="D11" s="10"/>
      <c r="E11" s="48" t="s">
        <v>105</v>
      </c>
      <c r="F11" s="126">
        <f>IF(ISBLANK('Start Character'!F13)," ",'Start Character'!F13)</f>
        <v>0</v>
      </c>
      <c r="G11" s="159"/>
      <c r="H11" s="153"/>
      <c r="I11" s="183"/>
      <c r="J11" s="184"/>
      <c r="K11" s="685"/>
      <c r="L11" s="89"/>
      <c r="M11" s="161" t="s">
        <v>4</v>
      </c>
      <c r="N11" s="729" t="str">
        <f>IF(ISBLANK('Start Character'!N13)," ",'Start Character'!N13)</f>
        <v xml:space="preserve"> </v>
      </c>
      <c r="O11" s="730" t="str">
        <f>IF(ISBLANK('Start Character'!O13)," ",'Start Character'!O13)</f>
        <v xml:space="preserve"> </v>
      </c>
    </row>
    <row r="12" spans="1:17" x14ac:dyDescent="0.2">
      <c r="A12" s="48" t="s">
        <v>102</v>
      </c>
      <c r="B12" s="220">
        <f>VLOOKUP(VLOOKUP(IF(ISBLANK('Start Character'!B14),0,'Start Character'!B14),Calcs!$AN$4:$AQ$84,3,FALSE)+SUM(Aging!$Q$10:$Q$488),Calcs!$AP$4:$AQ$84,2,TRUE)</f>
        <v>0</v>
      </c>
      <c r="C12" s="10"/>
      <c r="D12" s="10"/>
      <c r="E12" s="48" t="s">
        <v>106</v>
      </c>
      <c r="F12" s="109">
        <f>MAX(Aging!W10:W503)</f>
        <v>0</v>
      </c>
      <c r="G12" s="159" t="str">
        <f>IF(F12&gt;4,"On Deathbed",IF(F12=4,"Frail"," "))</f>
        <v xml:space="preserve"> </v>
      </c>
      <c r="H12" s="153"/>
      <c r="I12" s="183"/>
      <c r="J12" s="184"/>
      <c r="K12" s="685"/>
      <c r="L12" s="89"/>
      <c r="M12" s="161" t="s">
        <v>5</v>
      </c>
      <c r="N12" s="729" t="str">
        <f>IF(ISBLANK('Start Character'!N14)," ",'Start Character'!N14)</f>
        <v xml:space="preserve"> </v>
      </c>
      <c r="O12" s="730" t="str">
        <f>IF(ISBLANK('Start Character'!O14)," ",'Start Character'!O14)</f>
        <v xml:space="preserve"> </v>
      </c>
    </row>
    <row r="13" spans="1:17" x14ac:dyDescent="0.2">
      <c r="A13" s="48" t="s">
        <v>6</v>
      </c>
      <c r="B13" s="220">
        <f>VLOOKUP(VLOOKUP(IF(ISBLANK('Start Character'!B15),0,'Start Character'!B15),Calcs!$AN$4:$AQ$84,3,FALSE)+SUM(Aging!$R$10:$R$488),Calcs!$AP$4:$AQ$84,2,TRUE)</f>
        <v>0</v>
      </c>
      <c r="C13" s="119"/>
      <c r="D13" s="10"/>
      <c r="E13" s="48" t="s">
        <v>138</v>
      </c>
      <c r="F13" s="109">
        <f>Twilight!D3</f>
        <v>0</v>
      </c>
      <c r="G13" s="163"/>
      <c r="H13" s="153"/>
      <c r="I13" s="183"/>
      <c r="J13" s="184"/>
      <c r="K13" s="685"/>
      <c r="L13" s="89"/>
      <c r="M13" s="161" t="s">
        <v>111</v>
      </c>
      <c r="N13" s="729" t="str">
        <f>IF(ISBLANK('Start Character'!N15)," ",'Start Character'!N15)</f>
        <v xml:space="preserve"> </v>
      </c>
      <c r="O13" s="730" t="str">
        <f>IF(ISBLANK('Start Character'!O15)," ",'Start Character'!O15)</f>
        <v xml:space="preserve"> </v>
      </c>
    </row>
    <row r="14" spans="1:17" x14ac:dyDescent="0.2">
      <c r="A14" s="51" t="s">
        <v>8</v>
      </c>
      <c r="B14" s="220">
        <f>VLOOKUP(VLOOKUP(IF(ISBLANK('Start Character'!B16),0,'Start Character'!B16),Calcs!$AN$4:$AQ$84,3,FALSE)+SUM(Aging!$S$10:$S$488),Calcs!$AP$4:$AQ$84,2,TRUE)</f>
        <v>0</v>
      </c>
      <c r="C14" s="119"/>
      <c r="D14" s="10"/>
      <c r="E14" s="48" t="s">
        <v>137</v>
      </c>
      <c r="F14" s="149">
        <f>IF(ISBLANK('Start Character'!F16)," ",'Start Character'!F16)</f>
        <v>1</v>
      </c>
      <c r="G14" s="160"/>
      <c r="H14" s="153"/>
      <c r="I14" s="183"/>
      <c r="J14" s="184"/>
      <c r="K14" s="685"/>
      <c r="L14" s="89"/>
      <c r="M14" s="161" t="s">
        <v>169</v>
      </c>
      <c r="N14" s="729" t="str">
        <f>IF(ISBLANK('Start Character'!N16)," ",'Start Character'!N16)</f>
        <v xml:space="preserve"> </v>
      </c>
      <c r="O14" s="730" t="str">
        <f>IF(ISBLANK('Start Character'!O16)," ",'Start Character'!O16)</f>
        <v xml:space="preserve"> </v>
      </c>
    </row>
    <row r="15" spans="1:17" x14ac:dyDescent="0.2">
      <c r="A15" s="51" t="s">
        <v>7</v>
      </c>
      <c r="B15" s="220">
        <f>VLOOKUP(VLOOKUP(IF(ISBLANK('Start Character'!B17),0,'Start Character'!B17),Calcs!$AN$4:$AQ$84,3,FALSE)+SUM(Aging!$T$10:$T$488),Calcs!$AP$4:$AQ$84,2,TRUE)</f>
        <v>0</v>
      </c>
      <c r="C15" s="119"/>
      <c r="D15" s="10"/>
      <c r="E15" s="164" t="s">
        <v>107</v>
      </c>
      <c r="F15" s="149">
        <f>IF(ISBLANK('Start Character'!F17)," ",'Start Character'!F17)</f>
        <v>3</v>
      </c>
      <c r="G15" s="43"/>
      <c r="H15" s="153"/>
      <c r="I15" s="183"/>
      <c r="J15" s="184"/>
      <c r="K15" s="685"/>
      <c r="L15" s="89"/>
      <c r="M15" s="161" t="str">
        <f>IF(ISBLANK('Start Character'!M17)," ",'Start Character'!M17)</f>
        <v xml:space="preserve"> </v>
      </c>
      <c r="N15" s="729" t="str">
        <f>IF(ISBLANK('Start Character'!N17)," ",'Start Character'!N17)</f>
        <v xml:space="preserve"> </v>
      </c>
      <c r="O15" s="730" t="str">
        <f>IF(ISBLANK('Start Character'!O17)," ",'Start Character'!O17)</f>
        <v xml:space="preserve"> </v>
      </c>
    </row>
    <row r="16" spans="1:17" x14ac:dyDescent="0.2">
      <c r="A16" s="190" t="s">
        <v>103</v>
      </c>
      <c r="B16" s="267">
        <f>VLOOKUP(VLOOKUP(IF(ISBLANK('Start Character'!B18),0,'Start Character'!B18),Calcs!$AN$4:$AQ$84,3,FALSE)+SUM(Aging!$U$10:$U$488),Calcs!$AP$4:$AQ$84,2,TRUE)</f>
        <v>0</v>
      </c>
      <c r="C16" s="10"/>
      <c r="D16" s="10"/>
      <c r="E16" s="166" t="s">
        <v>253</v>
      </c>
      <c r="F16" s="150">
        <f>IF(ISBLANK('Start Character'!F18)," ",'Start Character'!F18)</f>
        <v>0</v>
      </c>
      <c r="G16" s="270"/>
      <c r="H16" s="153"/>
      <c r="I16" s="185"/>
      <c r="J16" s="186"/>
      <c r="K16" s="686"/>
      <c r="L16" s="89"/>
      <c r="M16" s="167" t="str">
        <f>IF(ISBLANK('Start Character'!M18)," ",'Start Character'!M18)</f>
        <v xml:space="preserve"> </v>
      </c>
      <c r="N16" s="757" t="str">
        <f>IF(ISBLANK('Start Character'!N18)," ",'Start Character'!N18)</f>
        <v xml:space="preserve"> </v>
      </c>
      <c r="O16" s="758" t="str">
        <f>IF(ISBLANK('Start Character'!O18)," ",'Start Character'!O18)</f>
        <v xml:space="preserve"> </v>
      </c>
    </row>
    <row r="17" spans="1:15" x14ac:dyDescent="0.2">
      <c r="D17" s="4"/>
      <c r="H17" s="15"/>
      <c r="L17" s="31"/>
      <c r="N17" s="759"/>
      <c r="O17" s="759"/>
    </row>
    <row r="18" spans="1:15" x14ac:dyDescent="0.2">
      <c r="A18" s="750" t="s">
        <v>136</v>
      </c>
      <c r="B18" s="706"/>
      <c r="C18" s="706"/>
      <c r="D18" s="706"/>
      <c r="E18" s="706"/>
      <c r="F18" s="706"/>
      <c r="G18" s="87" t="s">
        <v>44</v>
      </c>
      <c r="H18" s="15"/>
      <c r="I18" s="703" t="s">
        <v>221</v>
      </c>
      <c r="J18" s="706"/>
      <c r="K18" s="706"/>
      <c r="L18" s="706"/>
      <c r="M18" s="706"/>
      <c r="N18" s="706"/>
      <c r="O18" s="707"/>
    </row>
    <row r="19" spans="1:15" x14ac:dyDescent="0.2">
      <c r="A19" s="753" t="str">
        <f>IF(ISBLANK('Start Character'!A21),IF(ISBLANK(XP!A4)," ",XP!A4),'Start Character'!A21)</f>
        <v xml:space="preserve"> </v>
      </c>
      <c r="B19" s="754" t="e">
        <f>IF(ISBLANK('Start Character'!B4),IF(ISBLANK(XP!#REF!)," ",XP!#REF!),'Start Character'!B4)</f>
        <v>#REF!</v>
      </c>
      <c r="C19" s="754" t="e">
        <f>IF(ISBLANK('Start Character'!C4),IF(ISBLANK(XP!#REF!)," ",XP!#REF!),'Start Character'!C4)</f>
        <v>#REF!</v>
      </c>
      <c r="D19" s="754" t="e">
        <f>IF(ISBLANK('Start Character'!D4),IF(ISBLANK(XP!#REF!)," ",XP!#REF!),'Start Character'!D4)</f>
        <v>#REF!</v>
      </c>
      <c r="E19" s="754" t="e">
        <f>IF(ISBLANK('Start Character'!E4),IF(ISBLANK(XP!#REF!)," ",XP!#REF!),'Start Character'!E4)</f>
        <v>#REF!</v>
      </c>
      <c r="F19" s="47" t="str">
        <f>IF(A19=" "," ",IF(ISBLANK(A19)," ",VLOOKUP('Start Character'!F21+XP!F4,Calcs!$V$4:$W$24,2,TRUE)))</f>
        <v xml:space="preserve"> </v>
      </c>
      <c r="G19" s="154" t="str">
        <f>IF(ISBLANK('Start Character'!G21),IF(ISBLANK(XP!G4)," ",XP!G4),'Start Character'!G21)</f>
        <v xml:space="preserve"> </v>
      </c>
      <c r="H19" s="15"/>
      <c r="I19" s="733"/>
      <c r="J19" s="734"/>
      <c r="K19" s="734"/>
      <c r="L19" s="734"/>
      <c r="M19" s="734"/>
      <c r="N19" s="734"/>
      <c r="O19" s="735"/>
    </row>
    <row r="20" spans="1:15" x14ac:dyDescent="0.2">
      <c r="A20" s="755" t="str">
        <f>IF(ISBLANK('Start Character'!A22),IF(ISBLANK(XP!A5)," ",XP!A5),'Start Character'!A22)</f>
        <v xml:space="preserve"> </v>
      </c>
      <c r="B20" s="756" t="e">
        <f>IF(ISBLANK('Start Character'!B5),IF(ISBLANK(XP!#REF!)," ",XP!#REF!),'Start Character'!B5)</f>
        <v>#REF!</v>
      </c>
      <c r="C20" s="756" t="e">
        <f>IF(ISBLANK('Start Character'!C5),IF(ISBLANK(XP!#REF!)," ",XP!#REF!),'Start Character'!C5)</f>
        <v>#REF!</v>
      </c>
      <c r="D20" s="756" t="e">
        <f>IF(ISBLANK('Start Character'!D5),IF(ISBLANK(XP!#REF!)," ",XP!#REF!),'Start Character'!D5)</f>
        <v>#REF!</v>
      </c>
      <c r="E20" s="756" t="e">
        <f>IF(ISBLANK('Start Character'!#REF!),IF(ISBLANK(XP!#REF!)," ",XP!#REF!),'Start Character'!#REF!)</f>
        <v>#REF!</v>
      </c>
      <c r="F20" s="631" t="str">
        <f>IF(A20=" "," ",IF(ISBLANK(A20)," ",VLOOKUP('Start Character'!F22+XP!F5,Calcs!$V$4:$W$24,2,TRUE)))</f>
        <v xml:space="preserve"> </v>
      </c>
      <c r="G20" s="629" t="str">
        <f>IF(ISBLANK('Start Character'!G22),IF(ISBLANK(XP!G5)," ",XP!G5),'Start Character'!G22)</f>
        <v xml:space="preserve"> </v>
      </c>
      <c r="H20" s="15"/>
      <c r="I20" s="736"/>
      <c r="J20" s="737"/>
      <c r="K20" s="737"/>
      <c r="L20" s="737"/>
      <c r="M20" s="737"/>
      <c r="N20" s="737"/>
      <c r="O20" s="738"/>
    </row>
    <row r="21" spans="1:15" x14ac:dyDescent="0.2">
      <c r="A21" s="755" t="str">
        <f>IF(ISBLANK('Start Character'!A23),IF(ISBLANK(XP!A6)," ",XP!A6),'Start Character'!A23)</f>
        <v xml:space="preserve"> </v>
      </c>
      <c r="B21" s="756" t="e">
        <f>IF(ISBLANK('Start Character'!B6),IF(ISBLANK(XP!#REF!)," ",XP!#REF!),'Start Character'!B6)</f>
        <v>#REF!</v>
      </c>
      <c r="C21" s="756" t="e">
        <f>IF(ISBLANK('Start Character'!C6),IF(ISBLANK(XP!#REF!)," ",XP!#REF!),'Start Character'!C6)</f>
        <v>#REF!</v>
      </c>
      <c r="D21" s="756" t="e">
        <f>IF(ISBLANK('Start Character'!D6),IF(ISBLANK(XP!#REF!)," ",XP!#REF!),'Start Character'!D6)</f>
        <v>#REF!</v>
      </c>
      <c r="E21" s="756" t="e">
        <f>IF(ISBLANK('Start Character'!#REF!),IF(ISBLANK(XP!#REF!)," ",XP!#REF!),'Start Character'!#REF!)</f>
        <v>#REF!</v>
      </c>
      <c r="F21" s="631" t="str">
        <f>IF(A21=" "," ",IF(ISBLANK(A21)," ",VLOOKUP('Start Character'!F23+XP!F6,Calcs!$V$4:$W$24,2,TRUE)))</f>
        <v xml:space="preserve"> </v>
      </c>
      <c r="G21" s="629" t="str">
        <f>IF(ISBLANK('Start Character'!G23),IF(ISBLANK(XP!G6)," ",XP!G6),'Start Character'!G23)</f>
        <v xml:space="preserve"> </v>
      </c>
      <c r="H21" s="15"/>
      <c r="I21" s="736"/>
      <c r="J21" s="737"/>
      <c r="K21" s="737"/>
      <c r="L21" s="737"/>
      <c r="M21" s="737"/>
      <c r="N21" s="737"/>
      <c r="O21" s="738"/>
    </row>
    <row r="22" spans="1:15" x14ac:dyDescent="0.2">
      <c r="A22" s="755" t="str">
        <f>IF(ISBLANK('Start Character'!A24),IF(ISBLANK(XP!A7)," ",XP!A7),'Start Character'!A24)</f>
        <v xml:space="preserve"> </v>
      </c>
      <c r="B22" s="756" t="e">
        <f>IF(ISBLANK('Start Character'!B7),IF(ISBLANK(XP!#REF!)," ",XP!#REF!),'Start Character'!B7)</f>
        <v>#REF!</v>
      </c>
      <c r="C22" s="756" t="e">
        <f>IF(ISBLANK('Start Character'!C7),IF(ISBLANK(XP!#REF!)," ",XP!#REF!),'Start Character'!C7)</f>
        <v>#REF!</v>
      </c>
      <c r="D22" s="756" t="e">
        <f>IF(ISBLANK('Start Character'!D7),IF(ISBLANK(XP!#REF!)," ",XP!#REF!),'Start Character'!D7)</f>
        <v>#REF!</v>
      </c>
      <c r="E22" s="756" t="e">
        <f>IF(ISBLANK('Start Character'!#REF!),IF(ISBLANK(XP!#REF!)," ",XP!#REF!),'Start Character'!#REF!)</f>
        <v>#REF!</v>
      </c>
      <c r="F22" s="631" t="str">
        <f>IF(A22=" "," ",IF(ISBLANK(A22)," ",VLOOKUP('Start Character'!F24+XP!F7,Calcs!$V$4:$W$24,2,TRUE)))</f>
        <v xml:space="preserve"> </v>
      </c>
      <c r="G22" s="629" t="str">
        <f>IF(ISBLANK('Start Character'!G24),IF(ISBLANK(XP!G7)," ",XP!G7),'Start Character'!G24)</f>
        <v xml:space="preserve"> </v>
      </c>
      <c r="H22" s="15"/>
      <c r="I22" s="736"/>
      <c r="J22" s="737"/>
      <c r="K22" s="737"/>
      <c r="L22" s="737"/>
      <c r="M22" s="737"/>
      <c r="N22" s="737"/>
      <c r="O22" s="738"/>
    </row>
    <row r="23" spans="1:15" x14ac:dyDescent="0.2">
      <c r="A23" s="751" t="str">
        <f>IF(ISBLANK('Start Character'!A25),IF(ISBLANK(XP!A8)," ",XP!A8),'Start Character'!A25)</f>
        <v xml:space="preserve"> </v>
      </c>
      <c r="B23" s="752" t="e">
        <f>IF(ISBLANK('Start Character'!B8),IF(ISBLANK(XP!#REF!)," ",XP!#REF!),'Start Character'!B8)</f>
        <v>#REF!</v>
      </c>
      <c r="C23" s="752" t="e">
        <f>IF(ISBLANK('Start Character'!C8),IF(ISBLANK(XP!#REF!)," ",XP!#REF!),'Start Character'!C8)</f>
        <v>#REF!</v>
      </c>
      <c r="D23" s="752" t="e">
        <f>IF(ISBLANK('Start Character'!D8),IF(ISBLANK(XP!#REF!)," ",XP!#REF!),'Start Character'!D8)</f>
        <v>#REF!</v>
      </c>
      <c r="E23" s="752" t="e">
        <f>IF(ISBLANK('Start Character'!#REF!),IF(ISBLANK(XP!#REF!)," ",XP!#REF!),'Start Character'!#REF!)</f>
        <v>#REF!</v>
      </c>
      <c r="F23" s="632" t="str">
        <f>IF(A23=" "," ",IF(ISBLANK(A23)," ",VLOOKUP('Start Character'!F25+XP!F8,Calcs!$V$4:$W$24,2,TRUE)))</f>
        <v xml:space="preserve"> </v>
      </c>
      <c r="G23" s="630" t="str">
        <f>IF(ISBLANK('Start Character'!G25),IF(ISBLANK(XP!G8)," ",XP!G8),'Start Character'!G25)</f>
        <v xml:space="preserve"> </v>
      </c>
      <c r="H23" s="15"/>
      <c r="I23" s="739"/>
      <c r="J23" s="740"/>
      <c r="K23" s="740"/>
      <c r="L23" s="740"/>
      <c r="M23" s="740"/>
      <c r="N23" s="740"/>
      <c r="O23" s="741"/>
    </row>
    <row r="24" spans="1:15" x14ac:dyDescent="0.2">
      <c r="D24" s="4"/>
      <c r="H24" s="15"/>
      <c r="L24" s="31"/>
      <c r="N24" s="90"/>
      <c r="O24" s="90"/>
    </row>
    <row r="25" spans="1:15" x14ac:dyDescent="0.2">
      <c r="A25" s="580" t="s">
        <v>427</v>
      </c>
      <c r="B25" s="585" t="s">
        <v>349</v>
      </c>
      <c r="C25" s="439" t="s">
        <v>186</v>
      </c>
      <c r="D25" s="586" t="s">
        <v>473</v>
      </c>
      <c r="E25" s="584" t="s">
        <v>474</v>
      </c>
      <c r="F25" s="438"/>
      <c r="G25" s="508" t="s">
        <v>139</v>
      </c>
      <c r="H25" s="509"/>
      <c r="I25" s="508" t="s">
        <v>140</v>
      </c>
      <c r="J25" s="510"/>
      <c r="K25" s="508" t="s">
        <v>141</v>
      </c>
      <c r="L25" s="510"/>
      <c r="M25" s="511" t="s">
        <v>193</v>
      </c>
      <c r="N25" s="697" t="s">
        <v>187</v>
      </c>
      <c r="O25" s="698"/>
    </row>
    <row r="26" spans="1:15" x14ac:dyDescent="0.2">
      <c r="A26" s="581" t="s">
        <v>12</v>
      </c>
      <c r="B26" s="583" t="s">
        <v>185</v>
      </c>
      <c r="C26" s="94" t="s">
        <v>19</v>
      </c>
      <c r="D26" s="583" t="s">
        <v>185</v>
      </c>
      <c r="E26" s="94" t="str">
        <f>IF(NOT(D26="No"),VLOOKUP(C26,Skills!$A$2:$C$42,3,FALSE)," ")</f>
        <v xml:space="preserve"> </v>
      </c>
      <c r="F26" s="96">
        <v>0</v>
      </c>
      <c r="G26" s="95">
        <f t="shared" ref="G26:G33" si="0">IF(ISBLANK(A26)," ",IF($B$9=" "," ",IF(OR($C$36="Incapacitated",$F$36="U"),"Incapable",$B$16+F26-$N$38+$C$36+$F$36)))</f>
        <v>0</v>
      </c>
      <c r="H26" s="96" t="s">
        <v>185</v>
      </c>
      <c r="I26" s="95" t="str">
        <f>IF($B$15=" "," ",IF(ISBLANK($B$15)," ",IF(ISBLANK(A26)," ",IF(OR($C$36="Incapacitated",$F$36="U"),"Incapable",IF(H26="No","No",H26+$B$15+$C$36+IF(B26="Yes",2,0)+IF(D26="Yes",1,0)+$F$36+IF(ISERROR(IF(ISERROR(VLOOKUP(C26,$A$45:$B$66,2,FALSE)),VLOOKUP(C26,$I$56:$J$59,2,FALSE),VLOOKUP(C26,$A$45:$B$66,2,FALSE))),0,IF(IF(ISERROR(VLOOKUP(C26,$A$45:$B$66,2,FALSE)),VLOOKUP(C26,$I$56:$J$59,2,FALSE),VLOOKUP(C26,$A$45:$B$66,2,FALSE))="Yes",0,
IF(ISERROR(VLOOKUP(C26,$A$45:$B$66,2,FALSE)),VLOOKUP(C26,$I$56:$J$59,2,FALSE),VLOOKUP(C26,$A$45:$B$66,2,FALSE)))))))))</f>
        <v>No</v>
      </c>
      <c r="J26" s="96">
        <v>0</v>
      </c>
      <c r="K26" s="95">
        <f>IF($B$16=" "," ",IF(ISBLANK($B$16)," ",IF(ISBLANK(A26)," ",IF(OR($C$36="Incapacitated",$F$36="U"),"Incapable",IF(J26="No","No",J26+$B$16+$C$36+IF(B26="Yes",2,0)+IF(D26="Yes",1,0)+$F$36+IF(ISERROR(IF(ISERROR(VLOOKUP(C26,$A$45:$B$66,2,FALSE)),VLOOKUP(C26,$I$56:$J$59,2,FALSE),VLOOKUP(C26,$A$45:$B$66,2,FALSE))),0,IF(IF(ISERROR(VLOOKUP(C26,$A$45:$B$66,2,FALSE)),VLOOKUP(C26,$I$56:$J$59,2,FALSE),VLOOKUP(C26,$A$45:$B$66,2,FALSE))="Yes",0,
IF(ISERROR(VLOOKUP(C26,$A$45:$B$66,2,FALSE)),VLOOKUP(C26,$I$56:$J$59,2,FALSE),VLOOKUP(C26,$A$45:$B$66,2,FALSE)))))))))</f>
        <v>0</v>
      </c>
      <c r="L26" s="96" t="s">
        <v>185</v>
      </c>
      <c r="M26" s="99" t="str">
        <f t="shared" ref="M26:M33" si="1">IF($B$13=" "," ",IF(ISBLANK($B$13)," ",IF(ISBLANK(A26)," ",IF(OR($C$36="Incapacitated",$F$36="U"),"Incapable",IF(L26="No","No",$B$13+L26)))))</f>
        <v>No</v>
      </c>
      <c r="N26" s="719" t="s">
        <v>192</v>
      </c>
      <c r="O26" s="719"/>
    </row>
    <row r="27" spans="1:15" x14ac:dyDescent="0.2">
      <c r="A27" s="581" t="s">
        <v>188</v>
      </c>
      <c r="B27" s="583" t="s">
        <v>185</v>
      </c>
      <c r="C27" s="81" t="s">
        <v>19</v>
      </c>
      <c r="D27" s="583" t="s">
        <v>185</v>
      </c>
      <c r="E27" s="94" t="str">
        <f>IF(NOT(D27="No"),VLOOKUP(C27,Skills!$A$2:$C$42,3,FALSE)," ")</f>
        <v xml:space="preserve"> </v>
      </c>
      <c r="F27" s="97">
        <v>0</v>
      </c>
      <c r="G27" s="95">
        <f t="shared" si="0"/>
        <v>0</v>
      </c>
      <c r="H27" s="97">
        <v>0</v>
      </c>
      <c r="I27" s="95">
        <f>IF($B$15=" "," ",IF(ISBLANK($B$15)," ",IF(ISBLANK(A27)," ",IF(OR($C$36="Incapacitated",$F$36="U"),"Incapable",IF(H27="No","No",H27+$B$15+$C$36+IF(B27="Yes",2,0)+IF(D27="Yes",1,0)+$F$36+IF(ISERROR(IF(ISERROR(VLOOKUP(C27,$A$45:$B$66,2,FALSE)),VLOOKUP(C27,$I$56:$J$59,2,FALSE),VLOOKUP(C27,$A$45:$B$66,2,FALSE))),0,IF(IF(ISERROR(VLOOKUP(C27,$A$45:$B$66,2,FALSE)),VLOOKUP(C27,$I$56:$J$59,2,FALSE),VLOOKUP(C27,$A$45:$B$66,2,FALSE))="Yes",0,
IF(ISERROR(VLOOKUP(C27,$A$45:$B$66,2,FALSE)),VLOOKUP(C27,$I$56:$J$59,2,FALSE),VLOOKUP(C27,$A$45:$B$66,2,FALSE)))))))))</f>
        <v>0</v>
      </c>
      <c r="J27" s="97">
        <v>0</v>
      </c>
      <c r="K27" s="95">
        <f t="shared" ref="K27:K33" si="2">IF($B$16=" "," ",IF(ISBLANK($B$16)," ",IF(ISBLANK(A27)," ",IF(OR($C$36="Incapacitated",$F$36="U"),"Incapable",IF(J27="No","No",J27+$B$16+$C$36+IF(B27="Yes",2,0)+IF(D27="Yes",1,0)+$F$36+IF(ISERROR(IF(ISERROR(VLOOKUP(C27,$A$45:$B$66,2,FALSE)),VLOOKUP(C27,$I$56:$J$59,2,FALSE),VLOOKUP(C27,$A$45:$B$66,2,FALSE))),0,IF(IF(ISERROR(VLOOKUP(C27,$A$45:$B$66,2,FALSE)),VLOOKUP(C27,$I$56:$J$59,2,FALSE),VLOOKUP(C27,$A$45:$B$66,2,FALSE))="Yes",0,
IF(ISERROR(VLOOKUP(C27,$A$45:$B$66,2,FALSE)),VLOOKUP(C27,$I$56:$J$59,2,FALSE),VLOOKUP(C27,$A$45:$B$66,2,FALSE)))))))))</f>
        <v>0</v>
      </c>
      <c r="L27" s="97">
        <v>0</v>
      </c>
      <c r="M27" s="99">
        <f t="shared" si="1"/>
        <v>0</v>
      </c>
      <c r="N27" s="719" t="s">
        <v>26</v>
      </c>
      <c r="O27" s="719"/>
    </row>
    <row r="28" spans="1:15" x14ac:dyDescent="0.2">
      <c r="A28" s="581" t="s">
        <v>189</v>
      </c>
      <c r="B28" s="583" t="s">
        <v>185</v>
      </c>
      <c r="C28" s="81" t="s">
        <v>19</v>
      </c>
      <c r="D28" s="583" t="s">
        <v>185</v>
      </c>
      <c r="E28" s="94" t="str">
        <f>IF(NOT(D28="No"),VLOOKUP(C28,Skills!$A$2:$C$42,3,FALSE)," ")</f>
        <v xml:space="preserve"> </v>
      </c>
      <c r="F28" s="97">
        <v>-1</v>
      </c>
      <c r="G28" s="95">
        <f t="shared" si="0"/>
        <v>-1</v>
      </c>
      <c r="H28" s="97">
        <v>0</v>
      </c>
      <c r="I28" s="95">
        <f t="shared" ref="I28:I33" si="3">IF($B$15=" "," ",IF(ISBLANK($B$15)," ",IF(ISBLANK(A28)," ",IF(OR($C$36="Incapacitated",$F$36="U"),"Incapable",IF(H28="No","No",H28+$B$15+$C$36+IF(B28="Yes",2,0)+IF(D28="Yes",1,0)+$F$36+IF(ISERROR(IF(ISERROR(VLOOKUP(C28,$A$45:$B$66,2,FALSE)),VLOOKUP(C28,$I$56:$J$59,2,FALSE),VLOOKUP(C28,$A$45:$B$66,2,FALSE))),0,IF(IF(ISERROR(VLOOKUP(C28,$A$45:$B$66,2,FALSE)),VLOOKUP(C28,$I$56:$J$59,2,FALSE),VLOOKUP(C28,$A$45:$B$66,2,FALSE))="Yes",0,
IF(ISERROR(VLOOKUP(C28,$A$45:$B$66,2,FALSE)),VLOOKUP(C28,$I$56:$J$59,2,FALSE),VLOOKUP(C28,$A$45:$B$66,2,FALSE)))))))))</f>
        <v>0</v>
      </c>
      <c r="J28" s="97">
        <v>-1</v>
      </c>
      <c r="K28" s="95">
        <f t="shared" si="2"/>
        <v>-1</v>
      </c>
      <c r="L28" s="97">
        <v>3</v>
      </c>
      <c r="M28" s="99">
        <f t="shared" si="1"/>
        <v>3</v>
      </c>
      <c r="N28" s="719" t="s">
        <v>26</v>
      </c>
      <c r="O28" s="719"/>
    </row>
    <row r="29" spans="1:15" x14ac:dyDescent="0.2">
      <c r="A29" s="581" t="s">
        <v>190</v>
      </c>
      <c r="B29" s="583" t="s">
        <v>185</v>
      </c>
      <c r="C29" s="81" t="s">
        <v>19</v>
      </c>
      <c r="D29" s="583" t="s">
        <v>185</v>
      </c>
      <c r="E29" s="94" t="str">
        <f>IF(NOT(D29="No"),VLOOKUP(C29,Skills!$A$2:$C$42,3,FALSE)," ")</f>
        <v xml:space="preserve"> </v>
      </c>
      <c r="F29" s="97">
        <v>0</v>
      </c>
      <c r="G29" s="95">
        <f t="shared" si="0"/>
        <v>0</v>
      </c>
      <c r="H29" s="97">
        <v>1</v>
      </c>
      <c r="I29" s="95">
        <f t="shared" si="3"/>
        <v>1</v>
      </c>
      <c r="J29" s="97">
        <v>0</v>
      </c>
      <c r="K29" s="95">
        <f t="shared" si="2"/>
        <v>0</v>
      </c>
      <c r="L29" s="97">
        <v>2</v>
      </c>
      <c r="M29" s="99">
        <f t="shared" si="1"/>
        <v>2</v>
      </c>
      <c r="N29" s="719" t="s">
        <v>26</v>
      </c>
      <c r="O29" s="719"/>
    </row>
    <row r="30" spans="1:15" x14ac:dyDescent="0.2">
      <c r="A30" s="582"/>
      <c r="B30" s="559" t="s">
        <v>185</v>
      </c>
      <c r="C30" s="271"/>
      <c r="D30" s="583" t="s">
        <v>185</v>
      </c>
      <c r="E30" s="94" t="str">
        <f>IF(NOT(D30="No"),VLOOKUP(C30,Skills!$A$2:$C$42,3,FALSE)," ")</f>
        <v xml:space="preserve"> </v>
      </c>
      <c r="F30" s="98"/>
      <c r="G30" s="95" t="str">
        <f t="shared" si="0"/>
        <v xml:space="preserve"> </v>
      </c>
      <c r="H30" s="98"/>
      <c r="I30" s="95" t="str">
        <f t="shared" si="3"/>
        <v xml:space="preserve"> </v>
      </c>
      <c r="J30" s="98"/>
      <c r="K30" s="95" t="str">
        <f t="shared" si="2"/>
        <v xml:space="preserve"> </v>
      </c>
      <c r="L30" s="98"/>
      <c r="M30" s="99" t="str">
        <f t="shared" si="1"/>
        <v xml:space="preserve"> </v>
      </c>
      <c r="N30" s="720"/>
      <c r="O30" s="720"/>
    </row>
    <row r="31" spans="1:15" x14ac:dyDescent="0.2">
      <c r="A31" s="582"/>
      <c r="B31" s="559" t="s">
        <v>185</v>
      </c>
      <c r="C31" s="271"/>
      <c r="D31" s="583" t="s">
        <v>185</v>
      </c>
      <c r="E31" s="94" t="str">
        <f>IF(NOT(D31="No"),VLOOKUP(C31,Skills!$A$2:$C$42,3,FALSE)," ")</f>
        <v xml:space="preserve"> </v>
      </c>
      <c r="F31" s="98"/>
      <c r="G31" s="95" t="str">
        <f t="shared" si="0"/>
        <v xml:space="preserve"> </v>
      </c>
      <c r="H31" s="98"/>
      <c r="I31" s="95" t="str">
        <f t="shared" si="3"/>
        <v xml:space="preserve"> </v>
      </c>
      <c r="J31" s="98"/>
      <c r="K31" s="95" t="str">
        <f t="shared" si="2"/>
        <v xml:space="preserve"> </v>
      </c>
      <c r="L31" s="98"/>
      <c r="M31" s="99" t="str">
        <f t="shared" si="1"/>
        <v xml:space="preserve"> </v>
      </c>
      <c r="N31" s="720"/>
      <c r="O31" s="720"/>
    </row>
    <row r="32" spans="1:15" x14ac:dyDescent="0.2">
      <c r="A32" s="582"/>
      <c r="B32" s="559" t="s">
        <v>185</v>
      </c>
      <c r="C32" s="271"/>
      <c r="D32" s="583" t="s">
        <v>185</v>
      </c>
      <c r="E32" s="94" t="str">
        <f>IF(NOT(D32="No"),VLOOKUP(C32,Skills!$A$2:$C$42,3,FALSE)," ")</f>
        <v xml:space="preserve"> </v>
      </c>
      <c r="F32" s="98"/>
      <c r="G32" s="95" t="str">
        <f t="shared" si="0"/>
        <v xml:space="preserve"> </v>
      </c>
      <c r="H32" s="98"/>
      <c r="I32" s="95" t="str">
        <f t="shared" si="3"/>
        <v xml:space="preserve"> </v>
      </c>
      <c r="J32" s="98"/>
      <c r="K32" s="95" t="str">
        <f t="shared" si="2"/>
        <v xml:space="preserve"> </v>
      </c>
      <c r="L32" s="98"/>
      <c r="M32" s="99" t="str">
        <f t="shared" si="1"/>
        <v xml:space="preserve"> </v>
      </c>
      <c r="N32" s="720"/>
      <c r="O32" s="720"/>
    </row>
    <row r="33" spans="1:21" x14ac:dyDescent="0.2">
      <c r="A33" s="582"/>
      <c r="B33" s="559" t="s">
        <v>185</v>
      </c>
      <c r="C33" s="271"/>
      <c r="D33" s="583" t="s">
        <v>185</v>
      </c>
      <c r="E33" s="94" t="str">
        <f>IF(NOT(D33="No"),VLOOKUP(C33,Skills!$A$2:$C$42,3,FALSE)," ")</f>
        <v xml:space="preserve"> </v>
      </c>
      <c r="F33" s="98"/>
      <c r="G33" s="95" t="str">
        <f t="shared" si="0"/>
        <v xml:space="preserve"> </v>
      </c>
      <c r="H33" s="98"/>
      <c r="I33" s="95" t="str">
        <f t="shared" si="3"/>
        <v xml:space="preserve"> </v>
      </c>
      <c r="J33" s="98"/>
      <c r="K33" s="95" t="str">
        <f t="shared" si="2"/>
        <v xml:space="preserve"> </v>
      </c>
      <c r="L33" s="98"/>
      <c r="M33" s="99" t="str">
        <f t="shared" si="1"/>
        <v xml:space="preserve"> </v>
      </c>
      <c r="N33" s="720"/>
      <c r="O33" s="720"/>
    </row>
    <row r="34" spans="1:21" x14ac:dyDescent="0.2">
      <c r="L34" s="15"/>
      <c r="M34" s="15"/>
    </row>
    <row r="35" spans="1:21" x14ac:dyDescent="0.2">
      <c r="A35" s="703" t="s">
        <v>120</v>
      </c>
      <c r="B35" s="704"/>
      <c r="C35" s="723"/>
      <c r="E35" s="703" t="s">
        <v>127</v>
      </c>
      <c r="F35" s="704"/>
      <c r="G35" s="723"/>
      <c r="I35" s="703" t="s">
        <v>143</v>
      </c>
      <c r="J35" s="707"/>
      <c r="K35" s="84" t="s">
        <v>142</v>
      </c>
      <c r="M35" s="697" t="s">
        <v>191</v>
      </c>
      <c r="N35" s="698"/>
      <c r="O35" s="82"/>
    </row>
    <row r="36" spans="1:21" x14ac:dyDescent="0.2">
      <c r="A36" s="60" t="s">
        <v>125</v>
      </c>
      <c r="B36" s="61"/>
      <c r="C36" s="54">
        <f>IF(C40&gt;0,"Incapacitated",B37*C37+B38*C38+B39*C39)</f>
        <v>0</v>
      </c>
      <c r="E36" s="60" t="s">
        <v>126</v>
      </c>
      <c r="F36" s="65">
        <f>VLOOKUP(G38+G37,Calcs!A29:C45,2,FALSE)</f>
        <v>0</v>
      </c>
      <c r="G36" s="54" t="str">
        <f>VLOOKUP(G38+G37,Calcs!A29:C45,3,FALSE)</f>
        <v>Fresh</v>
      </c>
      <c r="I36" s="83" t="s">
        <v>453</v>
      </c>
      <c r="J36" s="85">
        <v>0</v>
      </c>
      <c r="K36" s="100">
        <f>IF(ISBLANK(I36)," ",IF($B$14=" "," ",IF(ISBLANK($B$14),0,J36+$B$14+Magic!$C$35)))</f>
        <v>0</v>
      </c>
      <c r="M36" s="86" t="s">
        <v>181</v>
      </c>
      <c r="N36" s="81">
        <f>SUMIF(Posessions!C2:C36,"Yes",Posessions!D2:D36)</f>
        <v>0</v>
      </c>
      <c r="O36" s="3"/>
    </row>
    <row r="37" spans="1:21" x14ac:dyDescent="0.2">
      <c r="A37" s="58" t="s">
        <v>121</v>
      </c>
      <c r="B37" s="59">
        <v>-1</v>
      </c>
      <c r="C37" s="62"/>
      <c r="E37" s="724" t="s">
        <v>128</v>
      </c>
      <c r="F37" s="725"/>
      <c r="G37" s="40"/>
      <c r="I37" s="83"/>
      <c r="J37" s="85"/>
      <c r="K37" s="100" t="str">
        <f>IF(ISBLANK(I37)," ",IF($B$14=" "," ",IF(ISBLANK($B$14),0,J37+$B$14+Magic!$C$35)))</f>
        <v xml:space="preserve"> </v>
      </c>
      <c r="M37" s="86" t="s">
        <v>179</v>
      </c>
      <c r="N37" s="81">
        <f>VLOOKUP(N36,Calcs!AF4:AG44,2,TRUE)</f>
        <v>0</v>
      </c>
      <c r="O37" s="3"/>
    </row>
    <row r="38" spans="1:21" x14ac:dyDescent="0.2">
      <c r="A38" s="53" t="s">
        <v>122</v>
      </c>
      <c r="B38" s="55">
        <v>-3</v>
      </c>
      <c r="C38" s="63"/>
      <c r="E38" s="701" t="s">
        <v>129</v>
      </c>
      <c r="F38" s="702"/>
      <c r="G38" s="41"/>
      <c r="I38" s="83"/>
      <c r="J38" s="85"/>
      <c r="K38" s="100" t="str">
        <f>IF(ISBLANK(I38)," ",IF($B$14=" "," ",IF(ISBLANK($B$14),0,J38+$B$14+Magic!$C$35)))</f>
        <v xml:space="preserve"> </v>
      </c>
      <c r="M38" s="86" t="s">
        <v>178</v>
      </c>
      <c r="N38" s="81">
        <f>IF(IF($B$13&gt;0,$N$37-$B$13,$N$37)&gt;0,IF($B$13&gt;0,$N$37-$B$13,$N$37),0)</f>
        <v>0</v>
      </c>
      <c r="O38" s="3"/>
    </row>
    <row r="39" spans="1:21" x14ac:dyDescent="0.2">
      <c r="A39" s="53" t="s">
        <v>123</v>
      </c>
      <c r="B39" s="55">
        <v>-5</v>
      </c>
      <c r="C39" s="63"/>
      <c r="I39" s="83"/>
      <c r="J39" s="85"/>
      <c r="K39" s="100" t="str">
        <f>IF(ISBLANK(I39)," ",IF($B$14=" "," ",IF(ISBLANK($B$14),0,J39+$B$14+Magic!$C$35)))</f>
        <v xml:space="preserve"> </v>
      </c>
    </row>
    <row r="40" spans="1:21" x14ac:dyDescent="0.2">
      <c r="A40" s="56" t="s">
        <v>10</v>
      </c>
      <c r="B40" s="57" t="s">
        <v>124</v>
      </c>
      <c r="C40" s="64"/>
      <c r="I40" s="83"/>
      <c r="J40" s="85"/>
      <c r="K40" s="100" t="str">
        <f>IF(ISBLANK(I40)," ",IF($B$14=" "," ",IF(ISBLANK($B$14),0,J40+$B$14+Magic!$C$35)))</f>
        <v xml:space="preserve"> </v>
      </c>
    </row>
    <row r="41" spans="1:21" x14ac:dyDescent="0.2">
      <c r="D41" s="3"/>
    </row>
    <row r="42" spans="1:21" x14ac:dyDescent="0.2">
      <c r="A42" s="703" t="s">
        <v>78</v>
      </c>
      <c r="B42" s="704"/>
      <c r="C42" s="704"/>
      <c r="D42" s="704"/>
      <c r="E42" s="704"/>
      <c r="F42" s="704"/>
      <c r="G42" s="704"/>
      <c r="H42" s="704"/>
      <c r="I42" s="704"/>
      <c r="J42" s="704"/>
      <c r="K42" s="704"/>
      <c r="L42" s="706"/>
      <c r="M42" s="706"/>
      <c r="N42" s="706"/>
      <c r="O42" s="707"/>
      <c r="P42" s="25"/>
      <c r="Q42" s="25"/>
      <c r="R42" s="25"/>
    </row>
    <row r="43" spans="1:21" x14ac:dyDescent="0.2">
      <c r="D43" s="3"/>
      <c r="F43" s="30"/>
    </row>
    <row r="44" spans="1:21" x14ac:dyDescent="0.2">
      <c r="A44" s="697" t="s">
        <v>95</v>
      </c>
      <c r="B44" s="697"/>
      <c r="C44" s="697"/>
      <c r="D44" s="9"/>
      <c r="E44" s="703" t="s">
        <v>96</v>
      </c>
      <c r="F44" s="704"/>
      <c r="G44" s="705"/>
      <c r="I44" s="73" t="s">
        <v>97</v>
      </c>
      <c r="J44" s="74"/>
      <c r="K44" s="75"/>
      <c r="L44" s="28"/>
      <c r="M44" s="703" t="s">
        <v>99</v>
      </c>
      <c r="N44" s="706"/>
      <c r="O44" s="707"/>
    </row>
    <row r="45" spans="1:21" x14ac:dyDescent="0.2">
      <c r="A45" s="120" t="s">
        <v>207</v>
      </c>
      <c r="B45" s="235" t="str">
        <f>IF('Start Character'!B30+XP!B11=0,"Yes",VLOOKUP('Start Character'!B30+XP!B11,Calcs!$Q$4:$R$24,2,TRUE))</f>
        <v>Yes</v>
      </c>
      <c r="C45" s="638"/>
      <c r="D45" s="10"/>
      <c r="E45" s="46" t="s">
        <v>194</v>
      </c>
      <c r="F45" s="236" t="str">
        <f>IF('Start Character'!F30+XP!F11=0,"No",VLOOKUP('Start Character'!F30+XP!F11,Calcs!$Q$4:$R$24,2,TRUE))</f>
        <v>No</v>
      </c>
      <c r="G45" s="638"/>
      <c r="I45" s="50" t="s">
        <v>199</v>
      </c>
      <c r="J45" s="47" t="str">
        <f>IF('Start Character'!J30+XP!J11=0,"No",VLOOKUP('Start Character'!J30+XP!J11,Calcs!$Q$4:$R$24,2,TRUE))</f>
        <v>No</v>
      </c>
      <c r="K45" s="638"/>
      <c r="L45" s="10"/>
      <c r="M45" s="50" t="str">
        <f>IF(ISBLANK('Start Character'!M30),IF(ISBLANK(XP!M11)," ",XP!M11),'Start Character'!M30)</f>
        <v xml:space="preserve"> </v>
      </c>
      <c r="N45" s="47" t="str">
        <f>IF(M45=" "," ",IF(ISBLANK(M45)," ",IF('Start Character'!N30+XP!N11=0,"No",VLOOKUP('Start Character'!N30+XP!N11,Calcs!$Q$4:$R$24,2,TRUE))))</f>
        <v xml:space="preserve"> </v>
      </c>
      <c r="O45" s="638"/>
    </row>
    <row r="46" spans="1:21" x14ac:dyDescent="0.2">
      <c r="A46" s="32" t="s">
        <v>15</v>
      </c>
      <c r="B46" s="199" t="str">
        <f>IF('Start Character'!B31+XP!B12=0,"Yes",VLOOKUP('Start Character'!B31+XP!B12,Calcs!$Q$4:$R$24,2,TRUE))</f>
        <v>Yes</v>
      </c>
      <c r="C46" s="637"/>
      <c r="D46" s="10"/>
      <c r="E46" s="48" t="s">
        <v>195</v>
      </c>
      <c r="F46" s="237" t="str">
        <f>IF('Start Character'!F31+XP!F12=0,"No",VLOOKUP('Start Character'!F31+XP!F12,Calcs!$Q$4:$R$24,2,TRUE))</f>
        <v>No</v>
      </c>
      <c r="G46" s="637"/>
      <c r="I46" s="51" t="s">
        <v>200</v>
      </c>
      <c r="J46" s="49" t="str">
        <f>IF('Start Character'!J31+XP!J12=0,"No",VLOOKUP('Start Character'!J31+XP!J12,Calcs!$Q$4:$R$24,2,TRUE))</f>
        <v>No</v>
      </c>
      <c r="K46" s="637"/>
      <c r="L46" s="10"/>
      <c r="M46" s="51" t="str">
        <f>IF(ISBLANK('Start Character'!M31),IF(ISBLANK(XP!M12)," ",XP!M12),'Start Character'!M31)</f>
        <v xml:space="preserve"> </v>
      </c>
      <c r="N46" s="49" t="str">
        <f>IF(M46=" "," ",IF(ISBLANK(M46)," ",IF('Start Character'!N31+XP!N12=0,"No",VLOOKUP('Start Character'!N31+XP!N12,Calcs!$Q$4:$R$24,2,TRUE))))</f>
        <v xml:space="preserve"> </v>
      </c>
      <c r="O46" s="637"/>
      <c r="S46" s="3"/>
      <c r="T46" s="3"/>
      <c r="U46" s="3"/>
    </row>
    <row r="47" spans="1:21" x14ac:dyDescent="0.2">
      <c r="A47" s="32" t="s">
        <v>17</v>
      </c>
      <c r="B47" s="199" t="str">
        <f>IF('Start Character'!B32+XP!B13=0,"Yes",VLOOKUP('Start Character'!B32+XP!B13,Calcs!$Q$4:$R$24,2,TRUE))</f>
        <v>Yes</v>
      </c>
      <c r="C47" s="637"/>
      <c r="D47" s="10"/>
      <c r="E47" s="48" t="s">
        <v>196</v>
      </c>
      <c r="F47" s="237" t="str">
        <f>IF('Start Character'!F32+XP!F13=0,"No",VLOOKUP('Start Character'!F32+XP!F13,Calcs!$Q$4:$R$24,2,TRUE))</f>
        <v>No</v>
      </c>
      <c r="G47" s="637"/>
      <c r="I47" s="51" t="s">
        <v>485</v>
      </c>
      <c r="J47" s="49" t="str">
        <f>IF('Start Character'!J32+XP!J13=0,"No",VLOOKUP('Start Character'!J32+XP!J13,Calcs!$Q$4:$R$24,2,TRUE))</f>
        <v>No</v>
      </c>
      <c r="K47" s="637"/>
      <c r="L47" s="10"/>
      <c r="M47" s="51" t="str">
        <f>IF(ISBLANK('Start Character'!M32),IF(ISBLANK(XP!M13)," ",XP!M13),'Start Character'!M32)</f>
        <v xml:space="preserve"> </v>
      </c>
      <c r="N47" s="49" t="str">
        <f>IF(M47=" "," ",IF(ISBLANK(M47)," ",IF('Start Character'!N32+XP!N13=0,"No",VLOOKUP('Start Character'!N32+XP!N13,Calcs!$Q$4:$R$24,2,TRUE))))</f>
        <v xml:space="preserve"> </v>
      </c>
      <c r="O47" s="637"/>
      <c r="U47" s="30"/>
    </row>
    <row r="48" spans="1:21" x14ac:dyDescent="0.2">
      <c r="A48" s="32" t="s">
        <v>208</v>
      </c>
      <c r="B48" s="199" t="str">
        <f>IF('Start Character'!B33+XP!B14=0,"Yes",VLOOKUP('Start Character'!B33+XP!B14,Calcs!$Q$4:$R$24,2,TRUE))</f>
        <v>Yes</v>
      </c>
      <c r="C48" s="637"/>
      <c r="D48" s="10"/>
      <c r="E48" s="48" t="s">
        <v>27</v>
      </c>
      <c r="F48" s="237" t="str">
        <f>IF('Start Character'!F33+XP!F14=0,"No",VLOOKUP('Start Character'!F33+XP!F14,Calcs!$Q$4:$R$24,2,TRUE))</f>
        <v>No</v>
      </c>
      <c r="G48" s="637"/>
      <c r="I48" s="51" t="s">
        <v>37</v>
      </c>
      <c r="J48" s="49" t="str">
        <f>IF('Start Character'!J33+XP!J14=0,"Yes",VLOOKUP('Start Character'!J33+XP!J14,Calcs!$Q$4:$R$24,2,TRUE))</f>
        <v>Yes</v>
      </c>
      <c r="K48" s="637"/>
      <c r="L48" s="10"/>
      <c r="M48" s="51" t="str">
        <f>IF(ISBLANK('Start Character'!M33),IF(ISBLANK(XP!M14)," ",XP!M14),'Start Character'!M33)</f>
        <v xml:space="preserve"> </v>
      </c>
      <c r="N48" s="49" t="str">
        <f>IF(M48=" "," ",IF(ISBLANK(M48)," ",IF('Start Character'!N33+XP!N14=0,"No",VLOOKUP('Start Character'!N33+XP!N14,Calcs!$Q$4:$R$24,2,TRUE))))</f>
        <v xml:space="preserve"> </v>
      </c>
      <c r="O48" s="637"/>
      <c r="U48" s="30"/>
    </row>
    <row r="49" spans="1:21" x14ac:dyDescent="0.2">
      <c r="A49" s="32" t="s">
        <v>19</v>
      </c>
      <c r="B49" s="199" t="str">
        <f>IF('Start Character'!B34+XP!B15=0,"Yes",VLOOKUP('Start Character'!B34+XP!B15,Calcs!$Q$4:$R$24,2,TRUE))</f>
        <v>Yes</v>
      </c>
      <c r="C49" s="637"/>
      <c r="D49" s="10"/>
      <c r="E49" s="48" t="s">
        <v>197</v>
      </c>
      <c r="F49" s="237" t="str">
        <f>IF('Start Character'!F34+XP!F15=0,"No",VLOOKUP('Start Character'!F34+XP!F15,Calcs!$Q$4:$R$24,2,TRUE))</f>
        <v>No</v>
      </c>
      <c r="G49" s="637"/>
      <c r="I49" s="51" t="s">
        <v>201</v>
      </c>
      <c r="J49" s="49" t="str">
        <f>IF('Start Character'!J34+XP!J15=0,"No",VLOOKUP('Start Character'!J34+XP!J15,Calcs!$Q$4:$R$24,2,TRUE))</f>
        <v>No</v>
      </c>
      <c r="K49" s="637"/>
      <c r="L49" s="10"/>
      <c r="M49" s="51" t="str">
        <f>IF(ISBLANK('Start Character'!M34),IF(ISBLANK(XP!M15)," ",XP!M15),'Start Character'!M34)</f>
        <v xml:space="preserve"> </v>
      </c>
      <c r="N49" s="49" t="str">
        <f>IF(M49=" "," ",IF(ISBLANK(M49)," ",IF('Start Character'!N34+XP!N15=0,"No",VLOOKUP('Start Character'!N34+XP!N15,Calcs!$Q$4:$R$24,2,TRUE))))</f>
        <v xml:space="preserve"> </v>
      </c>
      <c r="O49" s="637"/>
      <c r="U49" s="30"/>
    </row>
    <row r="50" spans="1:21" x14ac:dyDescent="0.2">
      <c r="A50" s="32" t="s">
        <v>209</v>
      </c>
      <c r="B50" s="199" t="str">
        <f>IF('Start Character'!B35+XP!B16=0,"Yes",VLOOKUP('Start Character'!B35+XP!B16,Calcs!$Q$4:$R$24,2,TRUE))</f>
        <v>Yes</v>
      </c>
      <c r="C50" s="637"/>
      <c r="D50" s="10"/>
      <c r="E50" s="192" t="s">
        <v>198</v>
      </c>
      <c r="F50" s="238" t="str">
        <f>IF('Start Character'!F35+XP!F16=0,"No",VLOOKUP('Start Character'!F35+XP!F16,Calcs!$Q$4:$R$24,2,TRUE))</f>
        <v>No</v>
      </c>
      <c r="G50" s="639"/>
      <c r="I50" s="51" t="s">
        <v>202</v>
      </c>
      <c r="J50" s="49" t="str">
        <f>IF('Start Character'!J35+XP!J16=0,"No",VLOOKUP('Start Character'!J35+XP!J16,Calcs!$Q$4:$R$24,2,TRUE))</f>
        <v>No</v>
      </c>
      <c r="K50" s="637"/>
      <c r="L50" s="10"/>
      <c r="M50" s="51" t="str">
        <f>IF(ISBLANK('Start Character'!M35),IF(ISBLANK(XP!M16)," ",XP!M16),'Start Character'!M35)</f>
        <v xml:space="preserve"> </v>
      </c>
      <c r="N50" s="49" t="str">
        <f>IF(M50=" "," ",IF(ISBLANK(M50)," ",IF('Start Character'!N35+XP!N16=0,"No",VLOOKUP('Start Character'!N35+XP!N16,Calcs!$Q$4:$R$24,2,TRUE))))</f>
        <v xml:space="preserve"> </v>
      </c>
      <c r="O50" s="637"/>
      <c r="U50" s="30"/>
    </row>
    <row r="51" spans="1:21" x14ac:dyDescent="0.2">
      <c r="A51" s="32" t="s">
        <v>163</v>
      </c>
      <c r="B51" s="199" t="str">
        <f>IF('Start Character'!B36+XP!B17=0,"Yes",VLOOKUP('Start Character'!B36+XP!B17,Calcs!$Q$4:$R$24,2,TRUE))</f>
        <v>Yes</v>
      </c>
      <c r="C51" s="637"/>
      <c r="D51" s="10"/>
      <c r="I51" s="51" t="s">
        <v>39</v>
      </c>
      <c r="J51" s="49" t="str">
        <f>IF('Start Character'!J36+XP!J17=0,"Yes",VLOOKUP('Start Character'!J36+XP!J17,Calcs!$Q$4:$R$24,2,TRUE))</f>
        <v>Yes</v>
      </c>
      <c r="K51" s="637"/>
      <c r="L51" s="10"/>
      <c r="M51" s="51" t="str">
        <f>IF(ISBLANK('Start Character'!M36),IF(ISBLANK(XP!M17)," ",XP!M17),'Start Character'!M36)</f>
        <v xml:space="preserve"> </v>
      </c>
      <c r="N51" s="49" t="str">
        <f>IF(M51=" "," ",IF(ISBLANK(M51)," ",IF('Start Character'!N36+XP!N17=0,"No",VLOOKUP('Start Character'!N36+XP!N17,Calcs!$Q$4:$R$24,2,TRUE))))</f>
        <v xml:space="preserve"> </v>
      </c>
      <c r="O51" s="637"/>
      <c r="U51" s="30"/>
    </row>
    <row r="52" spans="1:21" x14ac:dyDescent="0.2">
      <c r="A52" s="32" t="s">
        <v>210</v>
      </c>
      <c r="B52" s="199" t="str">
        <f>IF('Start Character'!B37+XP!B18=0,"No",VLOOKUP('Start Character'!B37+XP!B18,Calcs!$Q$4:$R$24,2,TRUE))</f>
        <v>No</v>
      </c>
      <c r="C52" s="637"/>
      <c r="D52" s="10"/>
      <c r="E52" s="703" t="s">
        <v>218</v>
      </c>
      <c r="F52" s="704"/>
      <c r="G52" s="707"/>
      <c r="I52" s="51" t="s">
        <v>73</v>
      </c>
      <c r="J52" s="49" t="str">
        <f>IF('Start Character'!J37+XP!J18=0,"No",VLOOKUP('Start Character'!J37+XP!J18,Calcs!$Q$4:$R$24,2,TRUE))</f>
        <v>No</v>
      </c>
      <c r="K52" s="637"/>
      <c r="L52" s="10"/>
      <c r="M52" s="51" t="str">
        <f>IF(ISBLANK('Start Character'!M37),IF(ISBLANK(XP!M18)," ",XP!M18),'Start Character'!M37)</f>
        <v xml:space="preserve"> </v>
      </c>
      <c r="N52" s="49" t="str">
        <f>IF(M52=" "," ",IF(ISBLANK(M52)," ",IF('Start Character'!N37+XP!N18=0,"No",VLOOKUP('Start Character'!N37+XP!N18,Calcs!$Q$4:$R$24,2,TRUE))))</f>
        <v xml:space="preserve"> </v>
      </c>
      <c r="O52" s="637"/>
    </row>
    <row r="53" spans="1:21" x14ac:dyDescent="0.2">
      <c r="A53" s="32" t="s">
        <v>24</v>
      </c>
      <c r="B53" s="199" t="str">
        <f>IF('Start Character'!B38+XP!B19=0,"Yes",VLOOKUP('Start Character'!B38+XP!B19,Calcs!$Q$4:$R$24,2,TRUE))</f>
        <v>Yes</v>
      </c>
      <c r="C53" s="637"/>
      <c r="D53" s="10"/>
      <c r="E53" s="46" t="str">
        <f>IF(ISBLANK('Start Character'!E38),IF(ISBLANK(XP!E19)," ",XP!E19),'Start Character'!E38)</f>
        <v xml:space="preserve"> </v>
      </c>
      <c r="F53" s="47" t="str">
        <f>IF(E53=" "," ",IF(ISBLANK(E53)," ",IF('Start Character'!F38+XP!F19=0,"No",VLOOKUP('Start Character'!F38+XP!F19,Calcs!$Q$4:$R$24,2,TRUE))))</f>
        <v xml:space="preserve"> </v>
      </c>
      <c r="G53" s="638"/>
      <c r="I53" s="190" t="s">
        <v>41</v>
      </c>
      <c r="J53" s="52" t="str">
        <f>IF('Start Character'!J38+XP!J19=0,"Yes",VLOOKUP('Start Character'!J38+XP!J19,Calcs!$Q$4:$R$24,2,TRUE))</f>
        <v>Yes</v>
      </c>
      <c r="K53" s="639"/>
      <c r="M53" s="190" t="str">
        <f>IF(ISBLANK('Start Character'!M38),IF(ISBLANK(XP!M19)," ",XP!M19),'Start Character'!M38)</f>
        <v xml:space="preserve"> </v>
      </c>
      <c r="N53" s="52" t="str">
        <f>IF(M53=" "," ",IF(ISBLANK(M53)," ",IF('Start Character'!N38+XP!N19=0,"No",VLOOKUP('Start Character'!N38+XP!N19,Calcs!$Q$4:$R$24,2,TRUE))))</f>
        <v xml:space="preserve"> </v>
      </c>
      <c r="O53" s="639"/>
    </row>
    <row r="54" spans="1:21" x14ac:dyDescent="0.2">
      <c r="A54" s="32" t="s">
        <v>22</v>
      </c>
      <c r="B54" s="199" t="str">
        <f>IF('Start Character'!B39+XP!B20=0,"Yes",VLOOKUP('Start Character'!B39+XP!B20,Calcs!$Q$4:$R$24,2,TRUE))</f>
        <v>Yes</v>
      </c>
      <c r="C54" s="637"/>
      <c r="D54" s="10"/>
      <c r="E54" s="48" t="str">
        <f>IF(ISBLANK('Start Character'!E39),IF(ISBLANK(XP!E20)," ",XP!E20),'Start Character'!E39)</f>
        <v xml:space="preserve"> </v>
      </c>
      <c r="F54" s="49" t="str">
        <f>IF(E54=" "," ",IF(ISBLANK(E54)," ",IF('Start Character'!F39+XP!F20=0,"No",VLOOKUP('Start Character'!F39+XP!F20,Calcs!$Q$4:$R$24,2,TRUE))))</f>
        <v xml:space="preserve"> </v>
      </c>
      <c r="G54" s="637"/>
    </row>
    <row r="55" spans="1:21" x14ac:dyDescent="0.2">
      <c r="A55" s="32" t="s">
        <v>164</v>
      </c>
      <c r="B55" s="199" t="str">
        <f>IF('Start Character'!B40+XP!B21=0,"Yes",VLOOKUP('Start Character'!B40+XP!B21,Calcs!$Q$4:$R$24,2,TRUE))</f>
        <v>Yes</v>
      </c>
      <c r="C55" s="637"/>
      <c r="D55" s="10"/>
      <c r="E55" s="48" t="str">
        <f>IF(ISBLANK('Start Character'!E40),IF(ISBLANK(XP!E21)," ",XP!E21),'Start Character'!E40)</f>
        <v xml:space="preserve"> </v>
      </c>
      <c r="F55" s="49" t="str">
        <f>IF(E55=" "," ",IF(ISBLANK(E55)," ",IF('Start Character'!F40+XP!F21=0,"No",VLOOKUP('Start Character'!F40+XP!F21,Calcs!$Q$4:$R$24,2,TRUE))))</f>
        <v xml:space="preserve"> </v>
      </c>
      <c r="G55" s="637"/>
      <c r="I55" s="703" t="s">
        <v>98</v>
      </c>
      <c r="J55" s="706"/>
      <c r="K55" s="707"/>
      <c r="L55" s="6"/>
      <c r="M55" s="72" t="s">
        <v>112</v>
      </c>
      <c r="N55" s="72"/>
      <c r="O55" s="72"/>
    </row>
    <row r="56" spans="1:21" x14ac:dyDescent="0.2">
      <c r="A56" s="32" t="s">
        <v>211</v>
      </c>
      <c r="B56" s="199" t="str">
        <f>IF('Start Character'!B41+XP!B22=0,"Yes",VLOOKUP('Start Character'!B41+XP!B22,Calcs!$Q$4:$R$24,2,TRUE))</f>
        <v>Yes</v>
      </c>
      <c r="C56" s="637"/>
      <c r="D56" s="10"/>
      <c r="E56" s="48" t="str">
        <f>IF(ISBLANK('Start Character'!E41),IF(ISBLANK(XP!E22)," ",XP!E22),'Start Character'!E41)</f>
        <v xml:space="preserve"> </v>
      </c>
      <c r="F56" s="49" t="str">
        <f>IF(E56=" "," ",IF(ISBLANK(E56)," ",IF('Start Character'!F41+XP!F22=0,"No",VLOOKUP('Start Character'!F41+XP!F22,Calcs!$Q$4:$R$24,2,TRUE))))</f>
        <v xml:space="preserve"> </v>
      </c>
      <c r="G56" s="637"/>
      <c r="I56" s="50" t="s">
        <v>203</v>
      </c>
      <c r="J56" s="47" t="str">
        <f>IF('Start Character'!J41+XP!J22=0,"Yes",VLOOKUP('Start Character'!J41+XP!J22,Calcs!$Q$4:$R$24,2,TRUE))</f>
        <v>Yes</v>
      </c>
      <c r="K56" s="638"/>
      <c r="L56" s="6"/>
      <c r="M56" s="50" t="str">
        <f>IF(ISBLANK('Start Character'!M41),IF(ISBLANK(XP!M22)," ",XP!M22),'Start Character'!M41)</f>
        <v xml:space="preserve"> </v>
      </c>
      <c r="N56" s="47" t="str">
        <f>IF(M56=" "," ",IF(ISBLANK(M56)," ",IF('Start Character'!N41+XP!N22=0,"No",VLOOKUP('Start Character'!N41+XP!N22,Calcs!$Q$4:$R$24,2,TRUE))))</f>
        <v xml:space="preserve"> </v>
      </c>
      <c r="O56" s="638"/>
    </row>
    <row r="57" spans="1:21" x14ac:dyDescent="0.2">
      <c r="A57" s="32" t="s">
        <v>212</v>
      </c>
      <c r="B57" s="199" t="str">
        <f>IF('Start Character'!B42+XP!B23=0,"Yes",VLOOKUP('Start Character'!B42+XP!B23,Calcs!$Q$4:$R$24,2,TRUE))</f>
        <v>Yes</v>
      </c>
      <c r="C57" s="637"/>
      <c r="D57" s="10"/>
      <c r="E57" s="48" t="str">
        <f>IF(ISBLANK('Start Character'!E42),IF(ISBLANK(XP!E23)," ",XP!E23),'Start Character'!E42)</f>
        <v xml:space="preserve"> </v>
      </c>
      <c r="F57" s="49" t="str">
        <f>IF(E57=" "," ",IF(ISBLANK(E57)," ",IF('Start Character'!F42+XP!F23=0,"No",VLOOKUP('Start Character'!F42+XP!F23,Calcs!$Q$4:$R$24,2,TRUE))))</f>
        <v xml:space="preserve"> </v>
      </c>
      <c r="G57" s="637"/>
      <c r="I57" s="51" t="s">
        <v>204</v>
      </c>
      <c r="J57" s="49" t="str">
        <f>IF('Start Character'!J42+XP!J23=0,"Yes",VLOOKUP('Start Character'!J42+XP!J23,Calcs!$Q$4:$R$24,2,TRUE))</f>
        <v>Yes</v>
      </c>
      <c r="K57" s="637"/>
      <c r="L57" s="6"/>
      <c r="M57" s="51" t="str">
        <f>IF(ISBLANK('Start Character'!M42),IF(ISBLANK(XP!M23)," ",XP!M23),'Start Character'!M42)</f>
        <v xml:space="preserve"> </v>
      </c>
      <c r="N57" s="49" t="str">
        <f>IF(M57=" "," ",IF(ISBLANK(M57)," ",IF('Start Character'!N42+XP!N23=0,"No",VLOOKUP('Start Character'!N42+XP!N23,Calcs!$Q$4:$R$24,2,TRUE))))</f>
        <v xml:space="preserve"> </v>
      </c>
      <c r="O57" s="637"/>
    </row>
    <row r="58" spans="1:21" x14ac:dyDescent="0.2">
      <c r="A58" s="32" t="s">
        <v>213</v>
      </c>
      <c r="B58" s="199" t="str">
        <f>IF('Start Character'!B43+XP!B24=0,"Yes",VLOOKUP('Start Character'!B43+XP!B24,Calcs!$Q$4:$R$24,2,TRUE))</f>
        <v>Yes</v>
      </c>
      <c r="C58" s="637"/>
      <c r="E58" s="192" t="str">
        <f>IF(ISBLANK('Start Character'!E43),IF(ISBLANK(XP!E24)," ",XP!E24),'Start Character'!E43)</f>
        <v xml:space="preserve"> </v>
      </c>
      <c r="F58" s="52" t="str">
        <f>IF(E58=" "," ",IF(ISBLANK(E58)," ",IF('Start Character'!F43+XP!F24=0,"No",VLOOKUP('Start Character'!F43+XP!F24,Calcs!$Q$4:$R$24,2,TRUE))))</f>
        <v xml:space="preserve"> </v>
      </c>
      <c r="G58" s="639"/>
      <c r="I58" s="51" t="s">
        <v>205</v>
      </c>
      <c r="J58" s="49" t="str">
        <f>IF('Start Character'!J43+XP!J24=0,"Yes",VLOOKUP('Start Character'!J43+XP!J24,Calcs!$Q$4:$R$24,2,TRUE))</f>
        <v>Yes</v>
      </c>
      <c r="K58" s="637"/>
      <c r="L58" s="6"/>
      <c r="M58" s="51" t="str">
        <f>IF(ISBLANK('Start Character'!M43),IF(ISBLANK(XP!M24)," ",XP!M24),'Start Character'!M43)</f>
        <v xml:space="preserve"> </v>
      </c>
      <c r="N58" s="49" t="str">
        <f>IF(M58=" "," ",IF(ISBLANK(M58)," ",IF('Start Character'!N43+XP!N24=0,"No",VLOOKUP('Start Character'!N43+XP!N24,Calcs!$Q$4:$R$24,2,TRUE))))</f>
        <v xml:space="preserve"> </v>
      </c>
      <c r="O58" s="637"/>
    </row>
    <row r="59" spans="1:21" x14ac:dyDescent="0.2">
      <c r="A59" s="32" t="s">
        <v>29</v>
      </c>
      <c r="B59" s="199" t="str">
        <f>IF('Start Character'!B44+XP!B25=0,"Yes",VLOOKUP('Start Character'!B44+XP!B25,Calcs!$Q$4:$R$24,2,TRUE))</f>
        <v>Yes</v>
      </c>
      <c r="C59" s="637"/>
      <c r="I59" s="190" t="s">
        <v>206</v>
      </c>
      <c r="J59" s="52" t="str">
        <f>IF('Start Character'!J44+XP!J25=0,"Yes",VLOOKUP('Start Character'!J44+XP!J25,Calcs!$Q$4:$R$24,2,TRUE))</f>
        <v>Yes</v>
      </c>
      <c r="K59" s="639"/>
      <c r="L59" s="6"/>
      <c r="M59" s="51" t="str">
        <f>IF(ISBLANK('Start Character'!M44),IF(ISBLANK(XP!M25)," ",XP!M25),'Start Character'!M44)</f>
        <v xml:space="preserve"> </v>
      </c>
      <c r="N59" s="49" t="str">
        <f>IF(M59=" "," ",IF(ISBLANK(M59)," ",IF('Start Character'!N44+XP!N25=0,"No",VLOOKUP('Start Character'!N44+XP!N25,Calcs!$Q$4:$R$24,2,TRUE))))</f>
        <v xml:space="preserve"> </v>
      </c>
      <c r="O59" s="637"/>
    </row>
    <row r="60" spans="1:21" x14ac:dyDescent="0.2">
      <c r="A60" s="32" t="s">
        <v>214</v>
      </c>
      <c r="B60" s="199" t="str">
        <f>IF('Start Character'!B45+XP!B26=0,"No",VLOOKUP('Start Character'!B45+XP!B26,Calcs!$Q$4:$R$24,2,TRUE))</f>
        <v>No</v>
      </c>
      <c r="C60" s="637"/>
      <c r="D60" s="6"/>
      <c r="E60" s="703" t="s">
        <v>219</v>
      </c>
      <c r="F60" s="706"/>
      <c r="G60" s="707"/>
      <c r="L60" s="6"/>
      <c r="M60" s="51" t="str">
        <f>IF(ISBLANK('Start Character'!M45),IF(ISBLANK(XP!M26)," ",XP!M26),'Start Character'!M45)</f>
        <v xml:space="preserve"> </v>
      </c>
      <c r="N60" s="49" t="str">
        <f>IF(M60=" "," ",IF(ISBLANK(M60)," ",IF('Start Character'!N45+XP!N26=0,"No",VLOOKUP('Start Character'!N45+XP!N26,Calcs!$Q$4:$R$24,2,TRUE))))</f>
        <v xml:space="preserve"> </v>
      </c>
      <c r="O60" s="637"/>
    </row>
    <row r="61" spans="1:21" x14ac:dyDescent="0.2">
      <c r="A61" s="32" t="s">
        <v>215</v>
      </c>
      <c r="B61" s="199" t="str">
        <f>IF('Start Character'!B46+XP!B27=0,"Yes",VLOOKUP('Start Character'!B46+XP!B27,Calcs!$Q$4:$R$24,2,TRUE))</f>
        <v>Yes</v>
      </c>
      <c r="C61" s="637"/>
      <c r="D61" s="6"/>
      <c r="E61" s="46" t="str">
        <f>IF(ISBLANK('Start Character'!E46),IF(ISBLANK(XP!E27)," ",XP!E27),'Start Character'!E46)</f>
        <v xml:space="preserve"> </v>
      </c>
      <c r="F61" s="47" t="str">
        <f>IF(E61=" "," ",IF(ISBLANK(E61)," ",IF('Start Character'!F46+XP!F27=0,"Yes",VLOOKUP('Start Character'!F46+XP!F27,Calcs!$Q$4:$R$24,2,TRUE))))</f>
        <v xml:space="preserve"> </v>
      </c>
      <c r="G61" s="638"/>
      <c r="I61" s="703" t="s">
        <v>458</v>
      </c>
      <c r="J61" s="704"/>
      <c r="K61" s="707"/>
      <c r="L61" s="6"/>
      <c r="M61" s="51" t="str">
        <f>IF(ISBLANK('Start Character'!M46),IF(ISBLANK(XP!M27)," ",XP!M27),'Start Character'!M46)</f>
        <v xml:space="preserve"> </v>
      </c>
      <c r="N61" s="49" t="str">
        <f>IF(M61=" "," ",IF(ISBLANK(M61)," ",IF('Start Character'!N46+XP!N27=0,"No",VLOOKUP('Start Character'!N46+XP!N27,Calcs!$Q$4:$R$24,2,TRUE))))</f>
        <v xml:space="preserve"> </v>
      </c>
      <c r="O61" s="637"/>
    </row>
    <row r="62" spans="1:21" x14ac:dyDescent="0.2">
      <c r="A62" s="32" t="s">
        <v>216</v>
      </c>
      <c r="B62" s="199" t="str">
        <f>IF('Start Character'!B47+XP!B28=0,"Yes",VLOOKUP('Start Character'!B47+XP!B28,Calcs!$Q$4:$R$24,2,TRUE))</f>
        <v>Yes</v>
      </c>
      <c r="C62" s="637"/>
      <c r="D62" s="6"/>
      <c r="E62" s="48" t="str">
        <f>IF(ISBLANK('Start Character'!E47),IF(ISBLANK(XP!E28)," ",XP!E28),'Start Character'!E47)</f>
        <v xml:space="preserve"> </v>
      </c>
      <c r="F62" s="49" t="str">
        <f>IF(E62=" "," ",IF(ISBLANK(E62)," ",IF('Start Character'!F47+XP!F28=0,"Yes",VLOOKUP('Start Character'!F47+XP!F28,Calcs!$Q$4:$R$24,2,TRUE))))</f>
        <v xml:space="preserve"> </v>
      </c>
      <c r="G62" s="637"/>
      <c r="I62" s="46" t="str">
        <f>IF(ISBLANK('Start Character'!I47),IF(ISBLANK(XP!I28)," ",XP!I28),'Start Character'!I47)</f>
        <v xml:space="preserve"> </v>
      </c>
      <c r="J62" s="47" t="str">
        <f>IF(I62=" "," ",IF(ISBLANK(I62)," ",IF('Start Character'!J47+XP!J28=0,"No",VLOOKUP('Start Character'!J47+XP!J28,Calcs!$Q$4:$R$24,2,TRUE))))</f>
        <v xml:space="preserve"> </v>
      </c>
      <c r="K62" s="638"/>
      <c r="L62" s="6"/>
      <c r="M62" s="51" t="str">
        <f>IF(ISBLANK('Start Character'!M47),IF(ISBLANK(XP!M28)," ",XP!M28),'Start Character'!M47)</f>
        <v xml:space="preserve"> </v>
      </c>
      <c r="N62" s="49" t="str">
        <f>IF(M62=" "," ",IF(ISBLANK(M62)," ",IF('Start Character'!N47+XP!N28=0,"No",VLOOKUP('Start Character'!N47+XP!N28,Calcs!$Q$4:$R$24,2,TRUE))))</f>
        <v xml:space="preserve"> </v>
      </c>
      <c r="O62" s="637"/>
    </row>
    <row r="63" spans="1:21" x14ac:dyDescent="0.2">
      <c r="A63" s="32" t="s">
        <v>31</v>
      </c>
      <c r="B63" s="199" t="str">
        <f>IF('Start Character'!B48+XP!B29=0,"Yes",VLOOKUP('Start Character'!B48+XP!B29,Calcs!$Q$4:$R$24,2,TRUE))</f>
        <v>Yes</v>
      </c>
      <c r="C63" s="637"/>
      <c r="D63" s="6"/>
      <c r="E63" s="48" t="str">
        <f>IF(ISBLANK('Start Character'!E48),IF(ISBLANK(XP!E29)," ",XP!E29),'Start Character'!E48)</f>
        <v xml:space="preserve"> </v>
      </c>
      <c r="F63" s="49" t="str">
        <f>IF(E63=" "," ",IF(ISBLANK(E63)," ",IF('Start Character'!F48+XP!F29=0,"Yes",VLOOKUP('Start Character'!F48+XP!F29,Calcs!$Q$4:$R$24,2,TRUE))))</f>
        <v xml:space="preserve"> </v>
      </c>
      <c r="G63" s="637"/>
      <c r="I63" s="48" t="str">
        <f>IF(ISBLANK('Start Character'!I48),IF(ISBLANK(XP!I29)," ",XP!I29),'Start Character'!I48)</f>
        <v xml:space="preserve"> </v>
      </c>
      <c r="J63" s="49" t="str">
        <f>IF(I63=" "," ",IF(ISBLANK(I63)," ",IF('Start Character'!J48+XP!J29=0,"No",VLOOKUP('Start Character'!J48+XP!J29,Calcs!$Q$4:$R$24,2,TRUE))))</f>
        <v xml:space="preserve"> </v>
      </c>
      <c r="K63" s="637"/>
      <c r="L63" s="6"/>
      <c r="M63" s="51" t="str">
        <f>IF(ISBLANK('Start Character'!M48),IF(ISBLANK(XP!M29)," ",XP!M29),'Start Character'!M48)</f>
        <v xml:space="preserve"> </v>
      </c>
      <c r="N63" s="49" t="str">
        <f>IF(M63=" "," ",IF(ISBLANK(M63)," ",IF('Start Character'!N48+XP!N29=0,"No",VLOOKUP('Start Character'!N48+XP!N29,Calcs!$Q$4:$R$24,2,TRUE))))</f>
        <v xml:space="preserve"> </v>
      </c>
      <c r="O63" s="637"/>
    </row>
    <row r="64" spans="1:21" x14ac:dyDescent="0.2">
      <c r="A64" s="32" t="s">
        <v>33</v>
      </c>
      <c r="B64" s="199" t="str">
        <f>IF('Start Character'!B49+XP!B30=0,"Yes",VLOOKUP('Start Character'!B49+XP!B30,Calcs!$Q$4:$R$24,2,TRUE))</f>
        <v>Yes</v>
      </c>
      <c r="C64" s="637"/>
      <c r="D64" s="6"/>
      <c r="E64" s="48" t="str">
        <f>IF(ISBLANK('Start Character'!E49),IF(ISBLANK(XP!E30)," ",XP!E30),'Start Character'!E49)</f>
        <v xml:space="preserve"> </v>
      </c>
      <c r="F64" s="49" t="str">
        <f>IF(E64=" "," ",IF(ISBLANK(E64)," ",IF('Start Character'!F49+XP!F30=0,"Yes",VLOOKUP('Start Character'!F49+XP!F30,Calcs!$Q$4:$R$24,2,TRUE))))</f>
        <v xml:space="preserve"> </v>
      </c>
      <c r="G64" s="637"/>
      <c r="I64" s="48" t="str">
        <f>IF(ISBLANK('Start Character'!I49),IF(ISBLANK(XP!I30)," ",XP!I30),'Start Character'!I49)</f>
        <v xml:space="preserve"> </v>
      </c>
      <c r="J64" s="49" t="str">
        <f>IF(I64=" "," ",IF(ISBLANK(I64)," ",IF('Start Character'!J49+XP!J30=0,"No",VLOOKUP('Start Character'!J49+XP!J30,Calcs!$Q$4:$R$24,2,TRUE))))</f>
        <v xml:space="preserve"> </v>
      </c>
      <c r="K64" s="637"/>
      <c r="L64" s="6"/>
      <c r="M64" s="51" t="str">
        <f>IF(ISBLANK('Start Character'!M49),IF(ISBLANK(XP!M30)," ",XP!M30),'Start Character'!M49)</f>
        <v xml:space="preserve"> </v>
      </c>
      <c r="N64" s="49" t="str">
        <f>IF(M64=" "," ",IF(ISBLANK(M64)," ",IF('Start Character'!N49+XP!N30=0,"No",VLOOKUP('Start Character'!N49+XP!N30,Calcs!$Q$4:$R$24,2,TRUE))))</f>
        <v xml:space="preserve"> </v>
      </c>
      <c r="O64" s="637"/>
    </row>
    <row r="65" spans="1:15" x14ac:dyDescent="0.2">
      <c r="A65" s="32" t="s">
        <v>165</v>
      </c>
      <c r="B65" s="199" t="str">
        <f>IF('Start Character'!B50+XP!B31=0,"Yes",VLOOKUP('Start Character'!B50+XP!B31,Calcs!$Q$4:$R$24,2,TRUE))</f>
        <v>Yes</v>
      </c>
      <c r="C65" s="637"/>
      <c r="D65" s="6"/>
      <c r="E65" s="48" t="str">
        <f>IF(ISBLANK('Start Character'!E50),IF(ISBLANK(XP!E31)," ",XP!E31),'Start Character'!E50)</f>
        <v xml:space="preserve"> </v>
      </c>
      <c r="F65" s="49" t="str">
        <f>IF(E65=" "," ",IF(ISBLANK(E65)," ",IF('Start Character'!F50+XP!F31=0,"Yes",VLOOKUP('Start Character'!F50+XP!F31,Calcs!$Q$4:$R$24,2,TRUE))))</f>
        <v xml:space="preserve"> </v>
      </c>
      <c r="G65" s="637"/>
      <c r="I65" s="48" t="str">
        <f>IF(ISBLANK('Start Character'!I50),IF(ISBLANK(XP!I31)," ",XP!I31),'Start Character'!I50)</f>
        <v xml:space="preserve"> </v>
      </c>
      <c r="J65" s="49" t="str">
        <f>IF(I65=" "," ",IF(ISBLANK(I65)," ",IF('Start Character'!J50+XP!J31=0,"No",VLOOKUP('Start Character'!J50+XP!J31,Calcs!$Q$4:$R$24,2,TRUE))))</f>
        <v xml:space="preserve"> </v>
      </c>
      <c r="K65" s="637"/>
      <c r="M65" s="51" t="str">
        <f>IF(ISBLANK('Start Character'!M50),IF(ISBLANK(XP!M31)," ",XP!M31),'Start Character'!M50)</f>
        <v xml:space="preserve"> </v>
      </c>
      <c r="N65" s="49" t="str">
        <f>IF(M65=" "," ",IF(ISBLANK(M65)," ",IF('Start Character'!N50+XP!N31=0,"No",VLOOKUP('Start Character'!N50+XP!N31,Calcs!$Q$4:$R$24,2,TRUE))))</f>
        <v xml:space="preserve"> </v>
      </c>
      <c r="O65" s="637"/>
    </row>
    <row r="66" spans="1:15" x14ac:dyDescent="0.2">
      <c r="A66" s="121" t="s">
        <v>217</v>
      </c>
      <c r="B66" s="200" t="str">
        <f>IF('Start Character'!B51+XP!B32=0,"Yes",VLOOKUP('Start Character'!B51+XP!B32,Calcs!$Q$4:$R$24,2,TRUE))</f>
        <v>Yes</v>
      </c>
      <c r="C66" s="639"/>
      <c r="D66" s="6"/>
      <c r="E66" s="192" t="str">
        <f>IF(ISBLANK('Start Character'!E51),IF(ISBLANK(XP!E32)," ",XP!E32),'Start Character'!E51)</f>
        <v xml:space="preserve"> </v>
      </c>
      <c r="F66" s="52" t="str">
        <f>IF(E66=" "," ",IF(ISBLANK(E66)," ",IF('Start Character'!F51+XP!F32=0,"Yes",VLOOKUP('Start Character'!F51+XP!F32,Calcs!$Q$4:$R$24,2,TRUE))))</f>
        <v xml:space="preserve"> </v>
      </c>
      <c r="G66" s="639"/>
      <c r="I66" s="192" t="str">
        <f>IF(ISBLANK('Start Character'!I51),IF(ISBLANK(XP!I32)," ",XP!I32),'Start Character'!I51)</f>
        <v xml:space="preserve"> </v>
      </c>
      <c r="J66" s="52" t="str">
        <f>IF(I66=" "," ",IF(ISBLANK(I66)," ",IF('Start Character'!J51+XP!J32=0,"No",VLOOKUP('Start Character'!J51+XP!J32,Calcs!$Q$4:$R$24,2,TRUE))))</f>
        <v xml:space="preserve"> </v>
      </c>
      <c r="K66" s="639"/>
      <c r="M66" s="190" t="str">
        <f>IF(ISBLANK('Start Character'!M51),IF(ISBLANK(XP!M32)," ",XP!M32),'Start Character'!M51)</f>
        <v xml:space="preserve"> </v>
      </c>
      <c r="N66" s="52" t="str">
        <f>IF(M66=" "," ",IF(ISBLANK(M66)," ",IF('Start Character'!N51+XP!N32=0,"No",VLOOKUP('Start Character'!N51+XP!N32,Calcs!$Q$4:$R$24,2,TRUE))))</f>
        <v xml:space="preserve"> </v>
      </c>
      <c r="O66" s="639"/>
    </row>
    <row r="68" spans="1:15" x14ac:dyDescent="0.2">
      <c r="A68" s="703" t="s">
        <v>177</v>
      </c>
      <c r="B68" s="706"/>
      <c r="C68" s="706"/>
      <c r="D68" s="706"/>
      <c r="E68" s="706"/>
      <c r="F68" s="706"/>
      <c r="G68" s="706"/>
      <c r="H68" s="706"/>
      <c r="I68" s="706"/>
      <c r="J68" s="706"/>
      <c r="K68" s="706"/>
      <c r="L68" s="706"/>
      <c r="M68" s="706"/>
      <c r="N68" s="706"/>
      <c r="O68" s="707"/>
    </row>
    <row r="69" spans="1:15" x14ac:dyDescent="0.2">
      <c r="A69" s="708" t="s">
        <v>109</v>
      </c>
      <c r="B69" s="709"/>
      <c r="C69" s="708" t="s">
        <v>110</v>
      </c>
      <c r="D69" s="709"/>
      <c r="E69" s="708" t="s">
        <v>110</v>
      </c>
      <c r="F69" s="709"/>
      <c r="G69" s="721" t="s">
        <v>173</v>
      </c>
      <c r="H69" s="722"/>
      <c r="I69" s="722"/>
      <c r="J69" s="722"/>
      <c r="K69" s="722"/>
      <c r="L69" s="722"/>
      <c r="M69" s="722"/>
      <c r="N69" s="722"/>
      <c r="O69" s="722"/>
    </row>
    <row r="70" spans="1:15" x14ac:dyDescent="0.2">
      <c r="A70" s="636" t="s">
        <v>14</v>
      </c>
      <c r="B70" s="157">
        <f>VLOOKUP('Start Character'!B56+XP!B37,Calcs!$AA$4:$AB$44,2,TRUE)</f>
        <v>0</v>
      </c>
      <c r="C70" s="633" t="s">
        <v>23</v>
      </c>
      <c r="D70" s="154">
        <f>VLOOKUP('Start Character'!F56+XP!F37,Calcs!$AA$4:$AB$44,2,TRUE)</f>
        <v>0</v>
      </c>
      <c r="E70" s="633" t="s">
        <v>34</v>
      </c>
      <c r="F70" s="154">
        <f>VLOOKUP('Start Character'!J56+XP!J37,Calcs!$AA$4:$AB$44,2,TRUE)</f>
        <v>0</v>
      </c>
      <c r="G70" s="710"/>
      <c r="H70" s="711"/>
      <c r="I70" s="711"/>
      <c r="J70" s="711"/>
      <c r="K70" s="711"/>
      <c r="L70" s="711"/>
      <c r="M70" s="711"/>
      <c r="N70" s="711"/>
      <c r="O70" s="712"/>
    </row>
    <row r="71" spans="1:15" x14ac:dyDescent="0.2">
      <c r="A71" s="634" t="s">
        <v>16</v>
      </c>
      <c r="B71" s="160">
        <f>VLOOKUP('Start Character'!B57+XP!B38,Calcs!$AA$4:$AB$44,2,TRUE)</f>
        <v>0</v>
      </c>
      <c r="C71" s="634" t="s">
        <v>25</v>
      </c>
      <c r="D71" s="160">
        <f>VLOOKUP('Start Character'!F57+XP!F38,Calcs!$AA$4:$AB$44,2,TRUE)</f>
        <v>0</v>
      </c>
      <c r="E71" s="634" t="s">
        <v>35</v>
      </c>
      <c r="F71" s="160">
        <f>VLOOKUP('Start Character'!J57+XP!J38,Calcs!$AA$4:$AB$44,2,TRUE)</f>
        <v>0</v>
      </c>
      <c r="G71" s="713"/>
      <c r="H71" s="714"/>
      <c r="I71" s="714"/>
      <c r="J71" s="714"/>
      <c r="K71" s="714"/>
      <c r="L71" s="714"/>
      <c r="M71" s="714"/>
      <c r="N71" s="714"/>
      <c r="O71" s="715"/>
    </row>
    <row r="72" spans="1:15" x14ac:dyDescent="0.2">
      <c r="A72" s="634" t="s">
        <v>18</v>
      </c>
      <c r="B72" s="160">
        <f>VLOOKUP('Start Character'!B58+XP!B39,Calcs!$AA$4:$AB$44,2,TRUE)</f>
        <v>0</v>
      </c>
      <c r="C72" s="634" t="s">
        <v>28</v>
      </c>
      <c r="D72" s="160">
        <f>VLOOKUP('Start Character'!F58+XP!F39,Calcs!$AA$4:$AB$44,2,TRUE)</f>
        <v>0</v>
      </c>
      <c r="E72" s="634" t="s">
        <v>36</v>
      </c>
      <c r="F72" s="160">
        <f>VLOOKUP('Start Character'!J58+XP!J39,Calcs!$AA$4:$AB$44,2,TRUE)</f>
        <v>0</v>
      </c>
      <c r="G72" s="713"/>
      <c r="H72" s="714"/>
      <c r="I72" s="714"/>
      <c r="J72" s="714"/>
      <c r="K72" s="714"/>
      <c r="L72" s="714"/>
      <c r="M72" s="714"/>
      <c r="N72" s="714"/>
      <c r="O72" s="715"/>
    </row>
    <row r="73" spans="1:15" x14ac:dyDescent="0.2">
      <c r="A73" s="634" t="s">
        <v>20</v>
      </c>
      <c r="B73" s="160">
        <f>VLOOKUP('Start Character'!B59+XP!B40,Calcs!$AA$4:$AB$44,2,TRUE)</f>
        <v>0</v>
      </c>
      <c r="C73" s="634" t="s">
        <v>30</v>
      </c>
      <c r="D73" s="160">
        <f>VLOOKUP('Start Character'!F59+XP!F40,Calcs!$AA$4:$AB$44,2,TRUE)</f>
        <v>0</v>
      </c>
      <c r="E73" s="634" t="s">
        <v>40</v>
      </c>
      <c r="F73" s="160">
        <f>VLOOKUP('Start Character'!J59+XP!J40,Calcs!$AA$4:$AB$44,2,TRUE)</f>
        <v>0</v>
      </c>
      <c r="G73" s="713"/>
      <c r="H73" s="714"/>
      <c r="I73" s="714"/>
      <c r="J73" s="714"/>
      <c r="K73" s="714"/>
      <c r="L73" s="714"/>
      <c r="M73" s="714"/>
      <c r="N73" s="714"/>
      <c r="O73" s="715"/>
    </row>
    <row r="74" spans="1:15" x14ac:dyDescent="0.2">
      <c r="A74" s="635" t="s">
        <v>21</v>
      </c>
      <c r="B74" s="191">
        <f>VLOOKUP('Start Character'!B60+XP!B41,Calcs!$AA$4:$AB$44,2,TRUE)</f>
        <v>0</v>
      </c>
      <c r="C74" s="635" t="s">
        <v>32</v>
      </c>
      <c r="D74" s="191">
        <f>VLOOKUP('Start Character'!F60+XP!F41,Calcs!$AA$4:$AB$44,2,TRUE)</f>
        <v>0</v>
      </c>
      <c r="E74" s="635" t="s">
        <v>42</v>
      </c>
      <c r="F74" s="191">
        <f>VLOOKUP('Start Character'!J60+XP!J41,Calcs!$AA$4:$AB$44,2,TRUE)</f>
        <v>0</v>
      </c>
      <c r="G74" s="716"/>
      <c r="H74" s="717"/>
      <c r="I74" s="717"/>
      <c r="J74" s="717"/>
      <c r="K74" s="717"/>
      <c r="L74" s="717"/>
      <c r="M74" s="717"/>
      <c r="N74" s="717"/>
      <c r="O74" s="718"/>
    </row>
    <row r="76" spans="1:15" x14ac:dyDescent="0.2">
      <c r="A76" s="703" t="s">
        <v>94</v>
      </c>
      <c r="B76" s="706"/>
      <c r="C76" s="706"/>
      <c r="D76" s="706"/>
      <c r="E76" s="706"/>
      <c r="F76" s="66">
        <f>SUM(F77:F89)</f>
        <v>0</v>
      </c>
      <c r="G76" s="54"/>
      <c r="H76" s="25"/>
      <c r="I76" s="703" t="s">
        <v>148</v>
      </c>
      <c r="J76" s="706"/>
      <c r="K76" s="706"/>
      <c r="L76" s="706"/>
      <c r="M76" s="706"/>
      <c r="N76" s="66">
        <f>SUM(N77:N89)</f>
        <v>0</v>
      </c>
      <c r="O76" s="54"/>
    </row>
    <row r="77" spans="1:15" x14ac:dyDescent="0.2">
      <c r="A77" s="699" t="str">
        <f>IF(ISBLANK('Start Character'!A63:E63)," ",'Start Character'!A63)</f>
        <v xml:space="preserve"> </v>
      </c>
      <c r="B77" s="700" t="str">
        <f>IF(ISBLANK('Start Character'!B63),IF(ISBLANK(XP!B44)," ",XP!B44),'Start Character'!B63)</f>
        <v xml:space="preserve"> </v>
      </c>
      <c r="C77" s="700" t="str">
        <f>IF(ISBLANK('Start Character'!C63),IF(ISBLANK(XP!C44)," ",XP!C44),'Start Character'!C63)</f>
        <v xml:space="preserve"> </v>
      </c>
      <c r="D77" s="700" t="str">
        <f>IF(ISBLANK('Start Character'!D63),IF(ISBLANK(XP!D44)," ",XP!D44),'Start Character'!D63)</f>
        <v xml:space="preserve"> </v>
      </c>
      <c r="E77" s="700" t="str">
        <f>IF(ISBLANK('Start Character'!E63),IF(ISBLANK(XP!E44)," ",XP!E44),'Start Character'!E63)</f>
        <v xml:space="preserve"> </v>
      </c>
      <c r="F77" s="168" t="str">
        <f>IF(G77=" "," ",IF(ISBLANK(G77)," ",VLOOKUP(G77,Calcs!$A$54:$B$59,2,FALSE)))</f>
        <v xml:space="preserve"> </v>
      </c>
      <c r="G77" s="67" t="str">
        <f>IF(ISBLANK('Start Character'!G63)," ",'Start Character'!G63)</f>
        <v xml:space="preserve"> </v>
      </c>
      <c r="H77" s="68"/>
      <c r="I77" s="699" t="str">
        <f>IF(ISBLANK('Start Character'!I63:M63)," ",'Start Character'!I63)</f>
        <v xml:space="preserve"> </v>
      </c>
      <c r="J77" s="700" t="str">
        <f>IF(ISBLANK('Start Character'!J63),IF(ISBLANK(XP!J44)," ",XP!J44),'Start Character'!J63)</f>
        <v xml:space="preserve"> </v>
      </c>
      <c r="K77" s="700" t="str">
        <f>IF(ISBLANK('Start Character'!K63),IF(ISBLANK(XP!K44)," ",XP!K44),'Start Character'!K63)</f>
        <v xml:space="preserve"> </v>
      </c>
      <c r="L77" s="700" t="str">
        <f>IF(ISBLANK('Start Character'!L63),IF(ISBLANK(XP!L44)," ",XP!L44),'Start Character'!L63)</f>
        <v xml:space="preserve"> </v>
      </c>
      <c r="M77" s="700" t="str">
        <f>IF(ISBLANK('Start Character'!M63),IF(ISBLANK(XP!M44)," ",XP!M44),'Start Character'!M63)</f>
        <v xml:space="preserve"> </v>
      </c>
      <c r="N77" s="168" t="str">
        <f>IF(O77=" "," ",IF(ISBLANK(O77)," ",VLOOKUP(O77,Calcs!$A$54:$B$59,2,FALSE)))</f>
        <v xml:space="preserve"> </v>
      </c>
      <c r="O77" s="67" t="str">
        <f>IF(ISBLANK('Start Character'!O63)," ",'Start Character'!O63)</f>
        <v xml:space="preserve"> </v>
      </c>
    </row>
    <row r="78" spans="1:15" x14ac:dyDescent="0.2">
      <c r="A78" s="695" t="str">
        <f>IF(ISBLANK('Start Character'!A64:E64)," ",'Start Character'!A64)</f>
        <v xml:space="preserve"> </v>
      </c>
      <c r="B78" s="696" t="str">
        <f>IF(ISBLANK('Start Character'!B64),IF(ISBLANK(XP!B45)," ",XP!B45),'Start Character'!B64)</f>
        <v xml:space="preserve"> </v>
      </c>
      <c r="C78" s="696" t="str">
        <f>IF(ISBLANK('Start Character'!C64),IF(ISBLANK(XP!C45)," ",XP!C45),'Start Character'!C64)</f>
        <v xml:space="preserve"> </v>
      </c>
      <c r="D78" s="696" t="str">
        <f>IF(ISBLANK('Start Character'!D64),IF(ISBLANK(XP!D45)," ",XP!D45),'Start Character'!D64)</f>
        <v xml:space="preserve"> </v>
      </c>
      <c r="E78" s="696" t="str">
        <f>IF(ISBLANK('Start Character'!E64),IF(ISBLANK(XP!E45)," ",XP!E45),'Start Character'!E64)</f>
        <v xml:space="preserve"> </v>
      </c>
      <c r="F78" s="172" t="str">
        <f>IF(G78=" "," ",IF(ISBLANK(G78)," ",VLOOKUP(G78,Calcs!$A$54:$B$59,2,FALSE)))</f>
        <v xml:space="preserve"> </v>
      </c>
      <c r="G78" s="43" t="str">
        <f>IF(ISBLANK('Start Character'!G64)," ",'Start Character'!G64)</f>
        <v xml:space="preserve"> </v>
      </c>
      <c r="H78" s="68"/>
      <c r="I78" s="695" t="str">
        <f>IF(ISBLANK('Start Character'!I64:M64)," ",'Start Character'!I64)</f>
        <v xml:space="preserve"> </v>
      </c>
      <c r="J78" s="696" t="str">
        <f>IF(ISBLANK('Start Character'!J64),IF(ISBLANK(XP!J45)," ",XP!J45),'Start Character'!J64)</f>
        <v xml:space="preserve"> </v>
      </c>
      <c r="K78" s="696" t="str">
        <f>IF(ISBLANK('Start Character'!K64),IF(ISBLANK(XP!K45)," ",XP!K45),'Start Character'!K64)</f>
        <v xml:space="preserve"> </v>
      </c>
      <c r="L78" s="696" t="str">
        <f>IF(ISBLANK('Start Character'!L64),IF(ISBLANK(XP!L45)," ",XP!L45),'Start Character'!L64)</f>
        <v xml:space="preserve"> </v>
      </c>
      <c r="M78" s="696" t="str">
        <f>IF(ISBLANK('Start Character'!M64),IF(ISBLANK(XP!M45)," ",XP!M45),'Start Character'!M64)</f>
        <v xml:space="preserve"> </v>
      </c>
      <c r="N78" s="172" t="str">
        <f>IF(O78=" "," ",IF(ISBLANK(O78)," ",VLOOKUP(O78,Calcs!$A$54:$B$59,2,FALSE)))</f>
        <v xml:space="preserve"> </v>
      </c>
      <c r="O78" s="43" t="str">
        <f>IF(ISBLANK('Start Character'!O64)," ",'Start Character'!O64)</f>
        <v xml:space="preserve"> </v>
      </c>
    </row>
    <row r="79" spans="1:15" x14ac:dyDescent="0.2">
      <c r="A79" s="695" t="str">
        <f>IF(ISBLANK('Start Character'!A65:E65)," ",'Start Character'!A65)</f>
        <v xml:space="preserve"> </v>
      </c>
      <c r="B79" s="696" t="str">
        <f>IF(ISBLANK('Start Character'!B65),IF(ISBLANK(XP!B46)," ",XP!B46),'Start Character'!B65)</f>
        <v xml:space="preserve"> </v>
      </c>
      <c r="C79" s="696" t="str">
        <f>IF(ISBLANK('Start Character'!C65),IF(ISBLANK(XP!C46)," ",XP!C46),'Start Character'!C65)</f>
        <v xml:space="preserve"> </v>
      </c>
      <c r="D79" s="696" t="str">
        <f>IF(ISBLANK('Start Character'!D65),IF(ISBLANK(XP!D46)," ",XP!D46),'Start Character'!D65)</f>
        <v xml:space="preserve"> </v>
      </c>
      <c r="E79" s="696" t="str">
        <f>IF(ISBLANK('Start Character'!E65),IF(ISBLANK(XP!E46)," ",XP!E46),'Start Character'!E65)</f>
        <v xml:space="preserve"> </v>
      </c>
      <c r="F79" s="172" t="str">
        <f>IF(G79=" "," ",IF(ISBLANK(G79)," ",VLOOKUP(G79,Calcs!$A$54:$B$59,2,FALSE)))</f>
        <v xml:space="preserve"> </v>
      </c>
      <c r="G79" s="43" t="str">
        <f>IF(ISBLANK('Start Character'!G65)," ",'Start Character'!G65)</f>
        <v xml:space="preserve"> </v>
      </c>
      <c r="H79" s="68"/>
      <c r="I79" s="695" t="str">
        <f>IF(ISBLANK('Start Character'!I65:M65)," ",'Start Character'!I65)</f>
        <v xml:space="preserve"> </v>
      </c>
      <c r="J79" s="696" t="str">
        <f>IF(ISBLANK('Start Character'!J65),IF(ISBLANK(XP!J46)," ",XP!J46),'Start Character'!J65)</f>
        <v xml:space="preserve"> </v>
      </c>
      <c r="K79" s="696" t="str">
        <f>IF(ISBLANK('Start Character'!K65),IF(ISBLANK(XP!K46)," ",XP!K46),'Start Character'!K65)</f>
        <v xml:space="preserve"> </v>
      </c>
      <c r="L79" s="696" t="str">
        <f>IF(ISBLANK('Start Character'!L65),IF(ISBLANK(XP!L46)," ",XP!L46),'Start Character'!L65)</f>
        <v xml:space="preserve"> </v>
      </c>
      <c r="M79" s="696" t="str">
        <f>IF(ISBLANK('Start Character'!M65),IF(ISBLANK(XP!M46)," ",XP!M46),'Start Character'!M65)</f>
        <v xml:space="preserve"> </v>
      </c>
      <c r="N79" s="172" t="str">
        <f>IF(O79=" "," ",IF(ISBLANK(O79)," ",VLOOKUP(O79,Calcs!$A$54:$B$59,2,FALSE)))</f>
        <v xml:space="preserve"> </v>
      </c>
      <c r="O79" s="43" t="str">
        <f>IF(ISBLANK('Start Character'!O65)," ",'Start Character'!O65)</f>
        <v xml:space="preserve"> </v>
      </c>
    </row>
    <row r="80" spans="1:15" x14ac:dyDescent="0.2">
      <c r="A80" s="695" t="str">
        <f>IF(ISBLANK('Start Character'!A66:E66)," ",'Start Character'!A66)</f>
        <v xml:space="preserve"> </v>
      </c>
      <c r="B80" s="696" t="str">
        <f>IF(ISBLANK('Start Character'!B66),IF(ISBLANK(XP!B47)," ",XP!B47),'Start Character'!B66)</f>
        <v xml:space="preserve"> </v>
      </c>
      <c r="C80" s="696" t="str">
        <f>IF(ISBLANK('Start Character'!C66),IF(ISBLANK(XP!C47)," ",XP!C47),'Start Character'!C66)</f>
        <v xml:space="preserve"> </v>
      </c>
      <c r="D80" s="696" t="str">
        <f>IF(ISBLANK('Start Character'!D66),IF(ISBLANK(XP!D47)," ",XP!D47),'Start Character'!D66)</f>
        <v xml:space="preserve"> </v>
      </c>
      <c r="E80" s="696" t="str">
        <f>IF(ISBLANK('Start Character'!E66),IF(ISBLANK(XP!E47)," ",XP!E47),'Start Character'!E66)</f>
        <v xml:space="preserve"> </v>
      </c>
      <c r="F80" s="172" t="str">
        <f>IF(G80=" "," ",IF(ISBLANK(G80)," ",VLOOKUP(G80,Calcs!$A$54:$B$59,2,FALSE)))</f>
        <v xml:space="preserve"> </v>
      </c>
      <c r="G80" s="43" t="str">
        <f>IF(ISBLANK('Start Character'!G66)," ",'Start Character'!G66)</f>
        <v xml:space="preserve"> </v>
      </c>
      <c r="H80" s="68"/>
      <c r="I80" s="695" t="str">
        <f>IF(ISBLANK('Start Character'!I66:M66)," ",'Start Character'!I66)</f>
        <v xml:space="preserve"> </v>
      </c>
      <c r="J80" s="696" t="str">
        <f>IF(ISBLANK('Start Character'!J66),IF(ISBLANK(XP!J47)," ",XP!J47),'Start Character'!J66)</f>
        <v xml:space="preserve"> </v>
      </c>
      <c r="K80" s="696" t="str">
        <f>IF(ISBLANK('Start Character'!K66),IF(ISBLANK(XP!K47)," ",XP!K47),'Start Character'!K66)</f>
        <v xml:space="preserve"> </v>
      </c>
      <c r="L80" s="696" t="str">
        <f>IF(ISBLANK('Start Character'!L66),IF(ISBLANK(XP!L47)," ",XP!L47),'Start Character'!L66)</f>
        <v xml:space="preserve"> </v>
      </c>
      <c r="M80" s="696" t="str">
        <f>IF(ISBLANK('Start Character'!M66),IF(ISBLANK(XP!M47)," ",XP!M47),'Start Character'!M66)</f>
        <v xml:space="preserve"> </v>
      </c>
      <c r="N80" s="172" t="str">
        <f>IF(O80=" "," ",IF(ISBLANK(O80)," ",VLOOKUP(O80,Calcs!$A$54:$B$59,2,FALSE)))</f>
        <v xml:space="preserve"> </v>
      </c>
      <c r="O80" s="43" t="str">
        <f>IF(ISBLANK('Start Character'!O66)," ",'Start Character'!O66)</f>
        <v xml:space="preserve"> </v>
      </c>
    </row>
    <row r="81" spans="1:15" x14ac:dyDescent="0.2">
      <c r="A81" s="695" t="str">
        <f>IF(ISBLANK('Start Character'!A67:E67)," ",'Start Character'!A67)</f>
        <v xml:space="preserve"> </v>
      </c>
      <c r="B81" s="696" t="str">
        <f>IF(ISBLANK('Start Character'!B67),IF(ISBLANK(XP!B48)," ",XP!B48),'Start Character'!B67)</f>
        <v xml:space="preserve"> </v>
      </c>
      <c r="C81" s="696" t="str">
        <f>IF(ISBLANK('Start Character'!C67),IF(ISBLANK(XP!C48)," ",XP!C48),'Start Character'!C67)</f>
        <v xml:space="preserve"> </v>
      </c>
      <c r="D81" s="696" t="str">
        <f>IF(ISBLANK('Start Character'!D67),IF(ISBLANK(XP!D48)," ",XP!D48),'Start Character'!D67)</f>
        <v xml:space="preserve"> </v>
      </c>
      <c r="E81" s="696" t="str">
        <f>IF(ISBLANK('Start Character'!E67),IF(ISBLANK(XP!E48)," ",XP!E48),'Start Character'!E67)</f>
        <v xml:space="preserve"> </v>
      </c>
      <c r="F81" s="172" t="str">
        <f>IF(G81=" "," ",IF(ISBLANK(G81)," ",VLOOKUP(G81,Calcs!$A$54:$B$59,2,FALSE)))</f>
        <v xml:space="preserve"> </v>
      </c>
      <c r="G81" s="43" t="str">
        <f>IF(ISBLANK('Start Character'!G67)," ",'Start Character'!G67)</f>
        <v xml:space="preserve"> </v>
      </c>
      <c r="H81" s="68"/>
      <c r="I81" s="695" t="str">
        <f>IF(ISBLANK('Start Character'!I67:M67)," ",'Start Character'!I67)</f>
        <v xml:space="preserve"> </v>
      </c>
      <c r="J81" s="696" t="str">
        <f>IF(ISBLANK('Start Character'!J67),IF(ISBLANK(XP!J48)," ",XP!J48),'Start Character'!J67)</f>
        <v xml:space="preserve"> </v>
      </c>
      <c r="K81" s="696" t="str">
        <f>IF(ISBLANK('Start Character'!K67),IF(ISBLANK(XP!K48)," ",XP!K48),'Start Character'!K67)</f>
        <v xml:space="preserve"> </v>
      </c>
      <c r="L81" s="696" t="str">
        <f>IF(ISBLANK('Start Character'!L67),IF(ISBLANK(XP!L48)," ",XP!L48),'Start Character'!L67)</f>
        <v xml:space="preserve"> </v>
      </c>
      <c r="M81" s="696" t="str">
        <f>IF(ISBLANK('Start Character'!M67),IF(ISBLANK(XP!M48)," ",XP!M48),'Start Character'!M67)</f>
        <v xml:space="preserve"> </v>
      </c>
      <c r="N81" s="172" t="str">
        <f>IF(O81=" "," ",IF(ISBLANK(O81)," ",VLOOKUP(O81,Calcs!$A$54:$B$59,2,FALSE)))</f>
        <v xml:space="preserve"> </v>
      </c>
      <c r="O81" s="43" t="str">
        <f>IF(ISBLANK('Start Character'!O67)," ",'Start Character'!O67)</f>
        <v xml:space="preserve"> </v>
      </c>
    </row>
    <row r="82" spans="1:15" x14ac:dyDescent="0.2">
      <c r="A82" s="695" t="str">
        <f>IF(ISBLANK('Start Character'!A68:E68)," ",'Start Character'!A68)</f>
        <v xml:space="preserve"> </v>
      </c>
      <c r="B82" s="696" t="str">
        <f>IF(ISBLANK('Start Character'!B68),IF(ISBLANK(XP!B49)," ",XP!B49),'Start Character'!B68)</f>
        <v xml:space="preserve"> </v>
      </c>
      <c r="C82" s="696" t="str">
        <f>IF(ISBLANK('Start Character'!C68),IF(ISBLANK(XP!C49)," ",XP!C49),'Start Character'!C68)</f>
        <v xml:space="preserve"> </v>
      </c>
      <c r="D82" s="696" t="str">
        <f>IF(ISBLANK('Start Character'!D68),IF(ISBLANK(XP!D49)," ",XP!D49),'Start Character'!D68)</f>
        <v xml:space="preserve"> </v>
      </c>
      <c r="E82" s="696" t="str">
        <f>IF(ISBLANK('Start Character'!E68),IF(ISBLANK(XP!E49)," ",XP!E49),'Start Character'!E68)</f>
        <v xml:space="preserve"> </v>
      </c>
      <c r="F82" s="172" t="str">
        <f>IF(G82=" "," ",IF(ISBLANK(G82)," ",VLOOKUP(G82,Calcs!$A$54:$B$59,2,FALSE)))</f>
        <v xml:space="preserve"> </v>
      </c>
      <c r="G82" s="43" t="str">
        <f>IF(ISBLANK('Start Character'!G68)," ",'Start Character'!G68)</f>
        <v xml:space="preserve"> </v>
      </c>
      <c r="H82" s="68"/>
      <c r="I82" s="695" t="str">
        <f>IF(ISBLANK('Start Character'!I68:M68)," ",'Start Character'!I68)</f>
        <v xml:space="preserve"> </v>
      </c>
      <c r="J82" s="696" t="str">
        <f>IF(ISBLANK('Start Character'!J68),IF(ISBLANK(XP!J49)," ",XP!J49),'Start Character'!J68)</f>
        <v xml:space="preserve"> </v>
      </c>
      <c r="K82" s="696" t="str">
        <f>IF(ISBLANK('Start Character'!K68),IF(ISBLANK(XP!K49)," ",XP!K49),'Start Character'!K68)</f>
        <v xml:space="preserve"> </v>
      </c>
      <c r="L82" s="696" t="str">
        <f>IF(ISBLANK('Start Character'!L68),IF(ISBLANK(XP!L49)," ",XP!L49),'Start Character'!L68)</f>
        <v xml:space="preserve"> </v>
      </c>
      <c r="M82" s="696" t="str">
        <f>IF(ISBLANK('Start Character'!M68),IF(ISBLANK(XP!M49)," ",XP!M49),'Start Character'!M68)</f>
        <v xml:space="preserve"> </v>
      </c>
      <c r="N82" s="172" t="str">
        <f>IF(O82=" "," ",IF(ISBLANK(O82)," ",VLOOKUP(O82,Calcs!$A$54:$B$59,2,FALSE)))</f>
        <v xml:space="preserve"> </v>
      </c>
      <c r="O82" s="43" t="str">
        <f>IF(ISBLANK('Start Character'!O68)," ",'Start Character'!O68)</f>
        <v xml:space="preserve"> </v>
      </c>
    </row>
    <row r="83" spans="1:15" x14ac:dyDescent="0.2">
      <c r="A83" s="695" t="str">
        <f>IF(ISBLANK('Start Character'!A69:E69)," ",'Start Character'!A69)</f>
        <v xml:space="preserve"> </v>
      </c>
      <c r="B83" s="696" t="str">
        <f>IF(ISBLANK('Start Character'!B69),IF(ISBLANK(XP!B50)," ",XP!B50),'Start Character'!B69)</f>
        <v xml:space="preserve"> </v>
      </c>
      <c r="C83" s="696" t="str">
        <f>IF(ISBLANK('Start Character'!C69),IF(ISBLANK(XP!C50)," ",XP!C50),'Start Character'!C69)</f>
        <v xml:space="preserve"> </v>
      </c>
      <c r="D83" s="696" t="str">
        <f>IF(ISBLANK('Start Character'!D69),IF(ISBLANK(XP!D50)," ",XP!D50),'Start Character'!D69)</f>
        <v xml:space="preserve"> </v>
      </c>
      <c r="E83" s="696" t="str">
        <f>IF(ISBLANK('Start Character'!E69),IF(ISBLANK(XP!E50)," ",XP!E50),'Start Character'!E69)</f>
        <v xml:space="preserve"> </v>
      </c>
      <c r="F83" s="172" t="str">
        <f>IF(G83=" "," ",IF(ISBLANK(G83)," ",VLOOKUP(G83,Calcs!$A$54:$B$59,2,FALSE)))</f>
        <v xml:space="preserve"> </v>
      </c>
      <c r="G83" s="69" t="str">
        <f>IF(ISBLANK('Start Character'!G69)," ",'Start Character'!G69)</f>
        <v xml:space="preserve"> </v>
      </c>
      <c r="H83" s="68"/>
      <c r="I83" s="695" t="str">
        <f>IF(ISBLANK('Start Character'!I69:M69)," ",'Start Character'!I69)</f>
        <v xml:space="preserve"> </v>
      </c>
      <c r="J83" s="696" t="str">
        <f>IF(ISBLANK('Start Character'!J69),IF(ISBLANK(XP!J50)," ",XP!J50),'Start Character'!J69)</f>
        <v xml:space="preserve"> </v>
      </c>
      <c r="K83" s="696" t="str">
        <f>IF(ISBLANK('Start Character'!K69),IF(ISBLANK(XP!K50)," ",XP!K50),'Start Character'!K69)</f>
        <v xml:space="preserve"> </v>
      </c>
      <c r="L83" s="696" t="str">
        <f>IF(ISBLANK('Start Character'!L69),IF(ISBLANK(XP!L50)," ",XP!L50),'Start Character'!L69)</f>
        <v xml:space="preserve"> </v>
      </c>
      <c r="M83" s="696" t="str">
        <f>IF(ISBLANK('Start Character'!M69),IF(ISBLANK(XP!M50)," ",XP!M50),'Start Character'!M69)</f>
        <v xml:space="preserve"> </v>
      </c>
      <c r="N83" s="172" t="str">
        <f>IF(O83=" "," ",IF(ISBLANK(O83)," ",VLOOKUP(O83,Calcs!$A$54:$B$59,2,FALSE)))</f>
        <v xml:space="preserve"> </v>
      </c>
      <c r="O83" s="69" t="str">
        <f>IF(ISBLANK('Start Character'!O69)," ",'Start Character'!O69)</f>
        <v xml:space="preserve"> </v>
      </c>
    </row>
    <row r="84" spans="1:15" x14ac:dyDescent="0.2">
      <c r="A84" s="695" t="str">
        <f>IF(ISBLANK('Start Character'!A70:E70)," ",'Start Character'!A70)</f>
        <v xml:space="preserve"> </v>
      </c>
      <c r="B84" s="696" t="str">
        <f>IF(ISBLANK('Start Character'!B70),IF(ISBLANK(XP!B51)," ",XP!B51),'Start Character'!B70)</f>
        <v xml:space="preserve"> </v>
      </c>
      <c r="C84" s="696" t="str">
        <f>IF(ISBLANK('Start Character'!C70),IF(ISBLANK(XP!C51)," ",XP!C51),'Start Character'!C70)</f>
        <v xml:space="preserve"> </v>
      </c>
      <c r="D84" s="696" t="str">
        <f>IF(ISBLANK('Start Character'!D70),IF(ISBLANK(XP!D51)," ",XP!D51),'Start Character'!D70)</f>
        <v xml:space="preserve"> </v>
      </c>
      <c r="E84" s="696" t="str">
        <f>IF(ISBLANK('Start Character'!E70),IF(ISBLANK(XP!E51)," ",XP!E51),'Start Character'!E70)</f>
        <v xml:space="preserve"> </v>
      </c>
      <c r="F84" s="172" t="str">
        <f>IF(G84=" "," ",IF(ISBLANK(G84)," ",VLOOKUP(G84,Calcs!$A$54:$B$59,2,FALSE)))</f>
        <v xml:space="preserve"> </v>
      </c>
      <c r="G84" s="69" t="str">
        <f>IF(ISBLANK('Start Character'!G70)," ",'Start Character'!G70)</f>
        <v xml:space="preserve"> </v>
      </c>
      <c r="H84" s="68"/>
      <c r="I84" s="695" t="str">
        <f>IF(ISBLANK('Start Character'!I70:M70)," ",'Start Character'!I70)</f>
        <v xml:space="preserve"> </v>
      </c>
      <c r="J84" s="696" t="str">
        <f>IF(ISBLANK('Start Character'!J70),IF(ISBLANK(XP!J51)," ",XP!J51),'Start Character'!J70)</f>
        <v xml:space="preserve"> </v>
      </c>
      <c r="K84" s="696" t="str">
        <f>IF(ISBLANK('Start Character'!K70),IF(ISBLANK(XP!K51)," ",XP!K51),'Start Character'!K70)</f>
        <v xml:space="preserve"> </v>
      </c>
      <c r="L84" s="696" t="str">
        <f>IF(ISBLANK('Start Character'!L70),IF(ISBLANK(XP!L51)," ",XP!L51),'Start Character'!L70)</f>
        <v xml:space="preserve"> </v>
      </c>
      <c r="M84" s="696" t="str">
        <f>IF(ISBLANK('Start Character'!M70),IF(ISBLANK(XP!M51)," ",XP!M51),'Start Character'!M70)</f>
        <v xml:space="preserve"> </v>
      </c>
      <c r="N84" s="172" t="str">
        <f>IF(O84=" "," ",IF(ISBLANK(O84)," ",VLOOKUP(O84,Calcs!$A$54:$B$59,2,FALSE)))</f>
        <v xml:space="preserve"> </v>
      </c>
      <c r="O84" s="69" t="str">
        <f>IF(ISBLANK('Start Character'!O70)," ",'Start Character'!O70)</f>
        <v xml:space="preserve"> </v>
      </c>
    </row>
    <row r="85" spans="1:15" x14ac:dyDescent="0.2">
      <c r="A85" s="695" t="str">
        <f>IF(ISBLANK('Start Character'!A71:E71)," ",'Start Character'!A71)</f>
        <v xml:space="preserve"> </v>
      </c>
      <c r="B85" s="696" t="str">
        <f>IF(ISBLANK('Start Character'!B71),IF(ISBLANK(XP!B52)," ",XP!B52),'Start Character'!B71)</f>
        <v xml:space="preserve"> </v>
      </c>
      <c r="C85" s="696" t="str">
        <f>IF(ISBLANK('Start Character'!C71),IF(ISBLANK(XP!C52)," ",XP!C52),'Start Character'!C71)</f>
        <v xml:space="preserve"> </v>
      </c>
      <c r="D85" s="696" t="str">
        <f>IF(ISBLANK('Start Character'!D71),IF(ISBLANK(XP!D52)," ",XP!D52),'Start Character'!D71)</f>
        <v xml:space="preserve"> </v>
      </c>
      <c r="E85" s="696" t="str">
        <f>IF(ISBLANK('Start Character'!E71),IF(ISBLANK(XP!E52)," ",XP!E52),'Start Character'!E71)</f>
        <v xml:space="preserve"> </v>
      </c>
      <c r="F85" s="172" t="str">
        <f>IF(G85=" "," ",IF(ISBLANK(G85)," ",VLOOKUP(G85,Calcs!$A$54:$B$59,2,FALSE)))</f>
        <v xml:space="preserve"> </v>
      </c>
      <c r="G85" s="69" t="str">
        <f>IF(ISBLANK('Start Character'!G71)," ",'Start Character'!G71)</f>
        <v xml:space="preserve"> </v>
      </c>
      <c r="H85" s="68"/>
      <c r="I85" s="695" t="str">
        <f>IF(ISBLANK('Start Character'!I71:M71)," ",'Start Character'!I71)</f>
        <v xml:space="preserve"> </v>
      </c>
      <c r="J85" s="696" t="str">
        <f>IF(ISBLANK('Start Character'!J71),IF(ISBLANK(XP!J52)," ",XP!J52),'Start Character'!J71)</f>
        <v xml:space="preserve"> </v>
      </c>
      <c r="K85" s="696" t="str">
        <f>IF(ISBLANK('Start Character'!K71),IF(ISBLANK(XP!K52)," ",XP!K52),'Start Character'!K71)</f>
        <v xml:space="preserve"> </v>
      </c>
      <c r="L85" s="696" t="str">
        <f>IF(ISBLANK('Start Character'!L71),IF(ISBLANK(XP!L52)," ",XP!L52),'Start Character'!L71)</f>
        <v xml:space="preserve"> </v>
      </c>
      <c r="M85" s="696" t="str">
        <f>IF(ISBLANK('Start Character'!M71),IF(ISBLANK(XP!M52)," ",XP!M52),'Start Character'!M71)</f>
        <v xml:space="preserve"> </v>
      </c>
      <c r="N85" s="172" t="str">
        <f>IF(O85=" "," ",IF(ISBLANK(O85)," ",VLOOKUP(O85,Calcs!$A$54:$B$59,2,FALSE)))</f>
        <v xml:space="preserve"> </v>
      </c>
      <c r="O85" s="69" t="str">
        <f>IF(ISBLANK('Start Character'!O71)," ",'Start Character'!O71)</f>
        <v xml:space="preserve"> </v>
      </c>
    </row>
    <row r="86" spans="1:15" x14ac:dyDescent="0.2">
      <c r="A86" s="695" t="str">
        <f>IF(ISBLANK('Start Character'!A72:E72)," ",'Start Character'!A72)</f>
        <v xml:space="preserve"> </v>
      </c>
      <c r="B86" s="696" t="str">
        <f>IF(ISBLANK('Start Character'!B72),IF(ISBLANK(XP!B53)," ",XP!B53),'Start Character'!B72)</f>
        <v xml:space="preserve"> </v>
      </c>
      <c r="C86" s="696" t="str">
        <f>IF(ISBLANK('Start Character'!C72),IF(ISBLANK(XP!C53)," ",XP!C53),'Start Character'!C72)</f>
        <v xml:space="preserve"> </v>
      </c>
      <c r="D86" s="696" t="str">
        <f>IF(ISBLANK('Start Character'!D72),IF(ISBLANK(XP!D53)," ",XP!D53),'Start Character'!D72)</f>
        <v xml:space="preserve"> </v>
      </c>
      <c r="E86" s="696" t="str">
        <f>IF(ISBLANK('Start Character'!E72),IF(ISBLANK(XP!E53)," ",XP!E53),'Start Character'!E72)</f>
        <v xml:space="preserve"> </v>
      </c>
      <c r="F86" s="172" t="str">
        <f>IF(G86=" "," ",IF(ISBLANK(G86)," ",VLOOKUP(G86,Calcs!$A$54:$B$59,2,FALSE)))</f>
        <v xml:space="preserve"> </v>
      </c>
      <c r="G86" s="69" t="str">
        <f>IF(ISBLANK('Start Character'!G72)," ",'Start Character'!G72)</f>
        <v xml:space="preserve"> </v>
      </c>
      <c r="H86" s="68"/>
      <c r="I86" s="695" t="str">
        <f>IF(ISBLANK('Start Character'!I72:M72)," ",'Start Character'!I72)</f>
        <v xml:space="preserve"> </v>
      </c>
      <c r="J86" s="696" t="str">
        <f>IF(ISBLANK('Start Character'!J72),IF(ISBLANK(XP!J53)," ",XP!J53),'Start Character'!J72)</f>
        <v xml:space="preserve"> </v>
      </c>
      <c r="K86" s="696" t="str">
        <f>IF(ISBLANK('Start Character'!K72),IF(ISBLANK(XP!K53)," ",XP!K53),'Start Character'!K72)</f>
        <v xml:space="preserve"> </v>
      </c>
      <c r="L86" s="696" t="str">
        <f>IF(ISBLANK('Start Character'!L72),IF(ISBLANK(XP!L53)," ",XP!L53),'Start Character'!L72)</f>
        <v xml:space="preserve"> </v>
      </c>
      <c r="M86" s="696" t="str">
        <f>IF(ISBLANK('Start Character'!M72),IF(ISBLANK(XP!M53)," ",XP!M53),'Start Character'!M72)</f>
        <v xml:space="preserve"> </v>
      </c>
      <c r="N86" s="172" t="str">
        <f>IF(O86=" "," ",IF(ISBLANK(O86)," ",VLOOKUP(O86,Calcs!$A$54:$B$59,2,FALSE)))</f>
        <v xml:space="preserve"> </v>
      </c>
      <c r="O86" s="69" t="str">
        <f>IF(ISBLANK('Start Character'!O72)," ",'Start Character'!O72)</f>
        <v xml:space="preserve"> </v>
      </c>
    </row>
    <row r="87" spans="1:15" x14ac:dyDescent="0.2">
      <c r="A87" s="695" t="str">
        <f>IF(ISBLANK('Start Character'!A73:E73)," ",'Start Character'!A73)</f>
        <v xml:space="preserve"> </v>
      </c>
      <c r="B87" s="696" t="str">
        <f>IF(ISBLANK('Start Character'!B73),IF(ISBLANK(XP!B54)," ",XP!B54),'Start Character'!B73)</f>
        <v xml:space="preserve"> </v>
      </c>
      <c r="C87" s="696" t="str">
        <f>IF(ISBLANK('Start Character'!C73),IF(ISBLANK(XP!C54)," ",XP!C54),'Start Character'!C73)</f>
        <v xml:space="preserve"> </v>
      </c>
      <c r="D87" s="696" t="str">
        <f>IF(ISBLANK('Start Character'!D73),IF(ISBLANK(XP!D54)," ",XP!D54),'Start Character'!D73)</f>
        <v xml:space="preserve"> </v>
      </c>
      <c r="E87" s="696" t="str">
        <f>IF(ISBLANK('Start Character'!E73),IF(ISBLANK(XP!E54)," ",XP!E54),'Start Character'!E73)</f>
        <v xml:space="preserve"> </v>
      </c>
      <c r="F87" s="172" t="str">
        <f>IF(G87=" "," ",IF(ISBLANK(G87)," ",VLOOKUP(G87,Calcs!$A$54:$B$59,2,FALSE)))</f>
        <v xml:space="preserve"> </v>
      </c>
      <c r="G87" s="43" t="str">
        <f>IF(ISBLANK('Start Character'!G73)," ",'Start Character'!G73)</f>
        <v xml:space="preserve"> </v>
      </c>
      <c r="H87" s="70"/>
      <c r="I87" s="695" t="str">
        <f>IF(ISBLANK('Start Character'!I73:M73)," ",'Start Character'!I73)</f>
        <v xml:space="preserve"> </v>
      </c>
      <c r="J87" s="696" t="str">
        <f>IF(ISBLANK('Start Character'!J73),IF(ISBLANK(XP!J54)," ",XP!J54),'Start Character'!J73)</f>
        <v xml:space="preserve"> </v>
      </c>
      <c r="K87" s="696" t="str">
        <f>IF(ISBLANK('Start Character'!K73),IF(ISBLANK(XP!K54)," ",XP!K54),'Start Character'!K73)</f>
        <v xml:space="preserve"> </v>
      </c>
      <c r="L87" s="696" t="str">
        <f>IF(ISBLANK('Start Character'!L73),IF(ISBLANK(XP!L54)," ",XP!L54),'Start Character'!L73)</f>
        <v xml:space="preserve"> </v>
      </c>
      <c r="M87" s="696" t="str">
        <f>IF(ISBLANK('Start Character'!M73),IF(ISBLANK(XP!M54)," ",XP!M54),'Start Character'!M73)</f>
        <v xml:space="preserve"> </v>
      </c>
      <c r="N87" s="172" t="str">
        <f>IF(O87=" "," ",IF(ISBLANK(O87)," ",VLOOKUP(O87,Calcs!$A$54:$B$59,2,FALSE)))</f>
        <v xml:space="preserve"> </v>
      </c>
      <c r="O87" s="43" t="str">
        <f>IF(ISBLANK('Start Character'!O73)," ",'Start Character'!O73)</f>
        <v xml:space="preserve"> </v>
      </c>
    </row>
    <row r="88" spans="1:15" x14ac:dyDescent="0.2">
      <c r="A88" s="695" t="str">
        <f>IF(ISBLANK('Start Character'!A74:E74)," ",'Start Character'!A74)</f>
        <v xml:space="preserve"> </v>
      </c>
      <c r="B88" s="696" t="str">
        <f>IF(ISBLANK('Start Character'!B74),IF(ISBLANK(XP!B55)," ",XP!B55),'Start Character'!B74)</f>
        <v xml:space="preserve"> </v>
      </c>
      <c r="C88" s="696" t="str">
        <f>IF(ISBLANK('Start Character'!C74),IF(ISBLANK(XP!C55)," ",XP!C55),'Start Character'!C74)</f>
        <v xml:space="preserve"> </v>
      </c>
      <c r="D88" s="696" t="str">
        <f>IF(ISBLANK('Start Character'!D74),IF(ISBLANK(XP!D55)," ",XP!D55),'Start Character'!D74)</f>
        <v xml:space="preserve"> </v>
      </c>
      <c r="E88" s="696" t="str">
        <f>IF(ISBLANK('Start Character'!E74),IF(ISBLANK(XP!E55)," ",XP!E55),'Start Character'!E74)</f>
        <v xml:space="preserve"> </v>
      </c>
      <c r="F88" s="172" t="str">
        <f>IF(G88=" "," ",IF(ISBLANK(G88)," ",VLOOKUP(G88,Calcs!$A$54:$B$59,2,FALSE)))</f>
        <v xml:space="preserve"> </v>
      </c>
      <c r="G88" s="43" t="str">
        <f>IF(ISBLANK('Start Character'!G74)," ",'Start Character'!G74)</f>
        <v xml:space="preserve"> </v>
      </c>
      <c r="H88" s="68"/>
      <c r="I88" s="695" t="str">
        <f>IF(ISBLANK('Start Character'!I74:M74)," ",'Start Character'!I74)</f>
        <v xml:space="preserve"> </v>
      </c>
      <c r="J88" s="696" t="str">
        <f>IF(ISBLANK('Start Character'!J74),IF(ISBLANK(XP!J55)," ",XP!J55),'Start Character'!J74)</f>
        <v xml:space="preserve"> </v>
      </c>
      <c r="K88" s="696" t="str">
        <f>IF(ISBLANK('Start Character'!K74),IF(ISBLANK(XP!K55)," ",XP!K55),'Start Character'!K74)</f>
        <v xml:space="preserve"> </v>
      </c>
      <c r="L88" s="696" t="str">
        <f>IF(ISBLANK('Start Character'!L74),IF(ISBLANK(XP!L55)," ",XP!L55),'Start Character'!L74)</f>
        <v xml:space="preserve"> </v>
      </c>
      <c r="M88" s="696" t="str">
        <f>IF(ISBLANK('Start Character'!M74),IF(ISBLANK(XP!M55)," ",XP!M55),'Start Character'!M74)</f>
        <v xml:space="preserve"> </v>
      </c>
      <c r="N88" s="172" t="str">
        <f>IF(O88=" "," ",IF(ISBLANK(O88)," ",VLOOKUP(O88,Calcs!$A$54:$B$59,2,FALSE)))</f>
        <v xml:space="preserve"> </v>
      </c>
      <c r="O88" s="43" t="str">
        <f>IF(ISBLANK('Start Character'!O74)," ",'Start Character'!O74)</f>
        <v xml:space="preserve"> </v>
      </c>
    </row>
    <row r="89" spans="1:15" x14ac:dyDescent="0.2">
      <c r="A89" s="695" t="str">
        <f>IF(ISBLANK('Start Character'!A75:E75)," ",'Start Character'!A75)</f>
        <v xml:space="preserve"> </v>
      </c>
      <c r="B89" s="696" t="str">
        <f>IF(ISBLANK('Start Character'!B75),IF(ISBLANK(XP!B56)," ",XP!B56),'Start Character'!B75)</f>
        <v xml:space="preserve"> </v>
      </c>
      <c r="C89" s="696" t="str">
        <f>IF(ISBLANK('Start Character'!C75),IF(ISBLANK(XP!C56)," ",XP!C56),'Start Character'!C75)</f>
        <v xml:space="preserve"> </v>
      </c>
      <c r="D89" s="696" t="str">
        <f>IF(ISBLANK('Start Character'!D75),IF(ISBLANK(XP!D56)," ",XP!D56),'Start Character'!D75)</f>
        <v xml:space="preserve"> </v>
      </c>
      <c r="E89" s="696" t="str">
        <f>IF(ISBLANK('Start Character'!E75),IF(ISBLANK(XP!E56)," ",XP!E56),'Start Character'!E75)</f>
        <v xml:space="preserve"> </v>
      </c>
      <c r="F89" s="172" t="str">
        <f>IF(G89=" "," ",IF(ISBLANK(G89)," ",VLOOKUP(G89,Calcs!$A$54:$B$59,2,FALSE)))</f>
        <v xml:space="preserve"> </v>
      </c>
      <c r="G89" s="69" t="str">
        <f>IF(ISBLANK('Start Character'!G75)," ",'Start Character'!G75)</f>
        <v xml:space="preserve"> </v>
      </c>
      <c r="H89" s="68"/>
      <c r="I89" s="695" t="str">
        <f>IF(ISBLANK('Start Character'!I75:M75)," ",'Start Character'!I75)</f>
        <v xml:space="preserve"> </v>
      </c>
      <c r="J89" s="696" t="str">
        <f>IF(ISBLANK('Start Character'!J75),IF(ISBLANK(XP!J56)," ",XP!J56),'Start Character'!J75)</f>
        <v xml:space="preserve"> </v>
      </c>
      <c r="K89" s="696" t="str">
        <f>IF(ISBLANK('Start Character'!K75),IF(ISBLANK(XP!K56)," ",XP!K56),'Start Character'!K75)</f>
        <v xml:space="preserve"> </v>
      </c>
      <c r="L89" s="696" t="str">
        <f>IF(ISBLANK('Start Character'!L75),IF(ISBLANK(XP!L56)," ",XP!L56),'Start Character'!L75)</f>
        <v xml:space="preserve"> </v>
      </c>
      <c r="M89" s="696" t="str">
        <f>IF(ISBLANK('Start Character'!M75),IF(ISBLANK(XP!M56)," ",XP!M56),'Start Character'!M75)</f>
        <v xml:space="preserve"> </v>
      </c>
      <c r="N89" s="172" t="str">
        <f>IF(O89=" "," ",IF(ISBLANK(O89)," ",VLOOKUP(O89,Calcs!$A$54:$B$59,2,FALSE)))</f>
        <v xml:space="preserve"> </v>
      </c>
      <c r="O89" s="69" t="str">
        <f>IF(ISBLANK('Start Character'!O75)," ",'Start Character'!O75)</f>
        <v xml:space="preserve"> </v>
      </c>
    </row>
    <row r="90" spans="1:15" x14ac:dyDescent="0.2">
      <c r="A90" s="695" t="str">
        <f>IF(ISBLANK('Start Character'!A76:E76)," ",'Start Character'!A76)</f>
        <v xml:space="preserve"> </v>
      </c>
      <c r="B90" s="696" t="str">
        <f>IF(ISBLANK('Start Character'!B76),IF(ISBLANK(XP!B57)," ",XP!B57),'Start Character'!B76)</f>
        <v xml:space="preserve"> </v>
      </c>
      <c r="C90" s="696" t="str">
        <f>IF(ISBLANK('Start Character'!C76),IF(ISBLANK(XP!C57)," ",XP!C57),'Start Character'!C76)</f>
        <v xml:space="preserve"> </v>
      </c>
      <c r="D90" s="696" t="str">
        <f>IF(ISBLANK('Start Character'!D76),IF(ISBLANK(XP!D57)," ",XP!D57),'Start Character'!D76)</f>
        <v xml:space="preserve"> </v>
      </c>
      <c r="E90" s="696" t="str">
        <f>IF(ISBLANK('Start Character'!E76),IF(ISBLANK(XP!E57)," ",XP!E57),'Start Character'!E76)</f>
        <v xml:space="preserve"> </v>
      </c>
      <c r="F90" s="172" t="str">
        <f>IF(G90=" "," ",IF(ISBLANK(G90)," ",VLOOKUP(G90,Calcs!$A$54:$B$59,2,FALSE)))</f>
        <v xml:space="preserve"> </v>
      </c>
      <c r="G90" s="43" t="str">
        <f>IF(ISBLANK('Start Character'!G76)," ",'Start Character'!G76)</f>
        <v xml:space="preserve"> </v>
      </c>
      <c r="H90" s="70"/>
      <c r="I90" s="695" t="str">
        <f>IF(ISBLANK('Start Character'!I76:M76)," ",'Start Character'!I76)</f>
        <v xml:space="preserve"> </v>
      </c>
      <c r="J90" s="696" t="str">
        <f>IF(ISBLANK('Start Character'!J76),IF(ISBLANK(XP!J57)," ",XP!J57),'Start Character'!J76)</f>
        <v xml:space="preserve"> </v>
      </c>
      <c r="K90" s="696" t="str">
        <f>IF(ISBLANK('Start Character'!K76),IF(ISBLANK(XP!K57)," ",XP!K57),'Start Character'!K76)</f>
        <v xml:space="preserve"> </v>
      </c>
      <c r="L90" s="696" t="str">
        <f>IF(ISBLANK('Start Character'!L76),IF(ISBLANK(XP!L57)," ",XP!L57),'Start Character'!L76)</f>
        <v xml:space="preserve"> </v>
      </c>
      <c r="M90" s="696" t="str">
        <f>IF(ISBLANK('Start Character'!M76),IF(ISBLANK(XP!M57)," ",XP!M57),'Start Character'!M76)</f>
        <v xml:space="preserve"> </v>
      </c>
      <c r="N90" s="172" t="str">
        <f>IF(O90=" "," ",IF(ISBLANK(O90)," ",VLOOKUP(O90,Calcs!$A$54:$B$59,2,FALSE)))</f>
        <v xml:space="preserve"> </v>
      </c>
      <c r="O90" s="43" t="str">
        <f>IF(ISBLANK('Start Character'!O76)," ",'Start Character'!O76)</f>
        <v xml:space="preserve"> </v>
      </c>
    </row>
    <row r="91" spans="1:15" x14ac:dyDescent="0.2">
      <c r="A91" s="693" t="str">
        <f>IF(ISBLANK('Start Character'!A77:E77)," ",'Start Character'!A77)</f>
        <v xml:space="preserve"> </v>
      </c>
      <c r="B91" s="694" t="str">
        <f>IF(ISBLANK('Start Character'!B77),IF(ISBLANK(XP!B58)," ",XP!B58),'Start Character'!B77)</f>
        <v xml:space="preserve"> </v>
      </c>
      <c r="C91" s="694" t="str">
        <f>IF(ISBLANK('Start Character'!C77),IF(ISBLANK(XP!C58)," ",XP!C58),'Start Character'!C77)</f>
        <v xml:space="preserve"> </v>
      </c>
      <c r="D91" s="694" t="str">
        <f>IF(ISBLANK('Start Character'!D77),IF(ISBLANK(XP!D58)," ",XP!D58),'Start Character'!D77)</f>
        <v xml:space="preserve"> </v>
      </c>
      <c r="E91" s="694" t="str">
        <f>IF(ISBLANK('Start Character'!E77),IF(ISBLANK(XP!E58)," ",XP!E58),'Start Character'!E77)</f>
        <v xml:space="preserve"> </v>
      </c>
      <c r="F91" s="71" t="str">
        <f>IF(G91=" "," ",IF(ISBLANK(G91)," ",VLOOKUP(G91,Calcs!$A$54:$B$59,2,FALSE)))</f>
        <v xml:space="preserve"> </v>
      </c>
      <c r="G91" s="205" t="str">
        <f>IF(ISBLANK('Start Character'!G77)," ",'Start Character'!G77)</f>
        <v xml:space="preserve"> </v>
      </c>
      <c r="H91" s="70"/>
      <c r="I91" s="693" t="str">
        <f>IF(ISBLANK('Start Character'!I77:M77)," ",'Start Character'!I77)</f>
        <v xml:space="preserve"> </v>
      </c>
      <c r="J91" s="694" t="str">
        <f>IF(ISBLANK('Start Character'!J77),IF(ISBLANK(XP!J58)," ",XP!J58),'Start Character'!J77)</f>
        <v xml:space="preserve"> </v>
      </c>
      <c r="K91" s="694" t="str">
        <f>IF(ISBLANK('Start Character'!K77),IF(ISBLANK(XP!K58)," ",XP!K58),'Start Character'!K77)</f>
        <v xml:space="preserve"> </v>
      </c>
      <c r="L91" s="694" t="str">
        <f>IF(ISBLANK('Start Character'!L77),IF(ISBLANK(XP!L58)," ",XP!L58),'Start Character'!L77)</f>
        <v xml:space="preserve"> </v>
      </c>
      <c r="M91" s="694" t="str">
        <f>IF(ISBLANK('Start Character'!M77),IF(ISBLANK(XP!M58)," ",XP!M58),'Start Character'!M77)</f>
        <v xml:space="preserve"> </v>
      </c>
      <c r="N91" s="71" t="str">
        <f>IF(O91=" "," ",IF(ISBLANK(O91)," ",VLOOKUP(O91,Calcs!$A$54:$B$59,2,FALSE)))</f>
        <v xml:space="preserve"> </v>
      </c>
      <c r="O91" s="205" t="str">
        <f>IF(ISBLANK('Start Character'!O77)," ",'Start Character'!O77)</f>
        <v xml:space="preserve"> </v>
      </c>
    </row>
  </sheetData>
  <sheetProtection selectLockedCells="1" selectUnlockedCells="1"/>
  <mergeCells count="100">
    <mergeCell ref="M3:N3"/>
    <mergeCell ref="I4:J4"/>
    <mergeCell ref="I5:J5"/>
    <mergeCell ref="B3:C3"/>
    <mergeCell ref="F3:G3"/>
    <mergeCell ref="F4:G4"/>
    <mergeCell ref="F5:G5"/>
    <mergeCell ref="B4:C4"/>
    <mergeCell ref="B5:C5"/>
    <mergeCell ref="I8:K8"/>
    <mergeCell ref="M4:N4"/>
    <mergeCell ref="M5:N5"/>
    <mergeCell ref="M6:N6"/>
    <mergeCell ref="B6:C6"/>
    <mergeCell ref="F6:G6"/>
    <mergeCell ref="N25:O25"/>
    <mergeCell ref="A8:B8"/>
    <mergeCell ref="F9:G9"/>
    <mergeCell ref="F10:G10"/>
    <mergeCell ref="N9:O9"/>
    <mergeCell ref="A18:F18"/>
    <mergeCell ref="A23:E23"/>
    <mergeCell ref="A19:E19"/>
    <mergeCell ref="A20:E20"/>
    <mergeCell ref="A21:E21"/>
    <mergeCell ref="N10:O10"/>
    <mergeCell ref="N16:O16"/>
    <mergeCell ref="N17:O17"/>
    <mergeCell ref="M8:O8"/>
    <mergeCell ref="A22:E22"/>
    <mergeCell ref="E8:G8"/>
    <mergeCell ref="B1:O1"/>
    <mergeCell ref="I35:J35"/>
    <mergeCell ref="N13:O13"/>
    <mergeCell ref="N14:O14"/>
    <mergeCell ref="E35:G35"/>
    <mergeCell ref="N28:O28"/>
    <mergeCell ref="I3:J3"/>
    <mergeCell ref="N31:O31"/>
    <mergeCell ref="N32:O32"/>
    <mergeCell ref="N33:O33"/>
    <mergeCell ref="N27:O27"/>
    <mergeCell ref="N11:O11"/>
    <mergeCell ref="N12:O12"/>
    <mergeCell ref="N15:O15"/>
    <mergeCell ref="I18:O18"/>
    <mergeCell ref="I19:O23"/>
    <mergeCell ref="N26:O26"/>
    <mergeCell ref="N30:O30"/>
    <mergeCell ref="N29:O29"/>
    <mergeCell ref="A86:E86"/>
    <mergeCell ref="A77:E77"/>
    <mergeCell ref="A78:E78"/>
    <mergeCell ref="A79:E79"/>
    <mergeCell ref="A80:E80"/>
    <mergeCell ref="A81:E81"/>
    <mergeCell ref="E52:G52"/>
    <mergeCell ref="E60:G60"/>
    <mergeCell ref="G69:O69"/>
    <mergeCell ref="A76:E76"/>
    <mergeCell ref="A44:C44"/>
    <mergeCell ref="A35:C35"/>
    <mergeCell ref="E37:F37"/>
    <mergeCell ref="E38:F38"/>
    <mergeCell ref="A84:E84"/>
    <mergeCell ref="E44:G44"/>
    <mergeCell ref="A42:O42"/>
    <mergeCell ref="M44:O44"/>
    <mergeCell ref="A68:O68"/>
    <mergeCell ref="A69:B69"/>
    <mergeCell ref="C69:D69"/>
    <mergeCell ref="E69:F69"/>
    <mergeCell ref="I61:K61"/>
    <mergeCell ref="I55:K55"/>
    <mergeCell ref="I76:M76"/>
    <mergeCell ref="A82:E82"/>
    <mergeCell ref="A83:E83"/>
    <mergeCell ref="G70:O74"/>
    <mergeCell ref="A85:E85"/>
    <mergeCell ref="M35:N35"/>
    <mergeCell ref="A91:E91"/>
    <mergeCell ref="I77:M77"/>
    <mergeCell ref="I78:M78"/>
    <mergeCell ref="I79:M79"/>
    <mergeCell ref="I80:M80"/>
    <mergeCell ref="I81:M81"/>
    <mergeCell ref="A87:E87"/>
    <mergeCell ref="A88:E88"/>
    <mergeCell ref="A89:E89"/>
    <mergeCell ref="A90:E90"/>
    <mergeCell ref="I87:M87"/>
    <mergeCell ref="I88:M88"/>
    <mergeCell ref="I89:M89"/>
    <mergeCell ref="I90:M90"/>
    <mergeCell ref="I91:M91"/>
    <mergeCell ref="I82:M82"/>
    <mergeCell ref="I83:M83"/>
    <mergeCell ref="I84:M84"/>
    <mergeCell ref="I85:M85"/>
    <mergeCell ref="I86:M86"/>
  </mergeCells>
  <conditionalFormatting sqref="I77:O92 A77:G91">
    <cfRule type="cellIs" dxfId="19" priority="3" operator="equal">
      <formula>" "</formula>
    </cfRule>
  </conditionalFormatting>
  <conditionalFormatting sqref="C45:C66 G45:G50 G53:G58 G61:G66 K45:K53 K56:K59 K62:K66 O56:O66 O45:O53">
    <cfRule type="expression" dxfId="18" priority="2">
      <formula>AND(B45="No"=FALSE,B45="Yes"=FALSE,B45=" "=FALSE)</formula>
    </cfRule>
  </conditionalFormatting>
  <pageMargins left="0.78749999999999998" right="0.78749999999999998" top="1.0249999999999999" bottom="1.0249999999999999" header="0.78749999999999998" footer="0.78749999999999998"/>
  <pageSetup paperSize="9" scale="59" orientation="portrait" useFirstPageNumber="1" horizontalDpi="300" verticalDpi="300" r:id="rId1"/>
  <headerFooter alignWithMargins="0">
    <oddHeader>&amp;C&amp;A</oddHeader>
    <oddFooter>&amp;CPage &amp;P</oddFooter>
  </headerFooter>
  <colBreaks count="1" manualBreakCount="1">
    <brk id="15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30" id="{5AD3C218-D824-4AEB-AEE0-64DA170CDCA8}">
            <xm:f>Aging!D3="Unaging"</xm:f>
            <x14:dxf>
              <fill>
                <patternFill>
                  <bgColor rgb="FFE9E9FF"/>
                </patternFill>
              </fill>
            </x14:dxf>
          </x14:cfRule>
          <xm:sqref>K5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Pick" prompt="Yes or No">
          <x14:formula1>
            <xm:f>Calcs!$A$49:$A$50</xm:f>
          </x14:formula1>
          <xm:sqref>B26:B33</xm:sqref>
        </x14:dataValidation>
        <x14:dataValidation type="list" allowBlank="1" showInputMessage="1" showErrorMessage="1" promptTitle="Pick" prompt="Yes or No">
          <x14:formula1>
            <xm:f>Calcs!$A$49:$A$51</xm:f>
          </x14:formula1>
          <xm:sqref>D26:D33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9"/>
  <sheetViews>
    <sheetView view="pageBreakPreview" zoomScale="60" zoomScaleNormal="100" workbookViewId="0">
      <selection activeCell="J11" sqref="J11"/>
    </sheetView>
  </sheetViews>
  <sheetFormatPr defaultColWidth="11.5703125" defaultRowHeight="12.75" x14ac:dyDescent="0.2"/>
  <cols>
    <col min="1" max="1" width="15.140625" bestFit="1" customWidth="1"/>
    <col min="2" max="2" width="4" bestFit="1" customWidth="1"/>
    <col min="3" max="3" width="9.42578125" bestFit="1" customWidth="1"/>
    <col min="4" max="4" width="3.7109375" bestFit="1" customWidth="1"/>
    <col min="5" max="5" width="19" bestFit="1" customWidth="1"/>
    <col min="6" max="6" width="4" bestFit="1" customWidth="1"/>
    <col min="7" max="7" width="12.5703125" bestFit="1" customWidth="1"/>
    <col min="8" max="8" width="3.7109375" bestFit="1" customWidth="1"/>
    <col min="9" max="9" width="16.42578125" customWidth="1"/>
    <col min="10" max="10" width="4.140625" bestFit="1" customWidth="1"/>
    <col min="11" max="11" width="14" bestFit="1" customWidth="1"/>
    <col min="12" max="12" width="2.7109375" customWidth="1"/>
    <col min="13" max="13" width="13.5703125" bestFit="1" customWidth="1"/>
    <col min="14" max="14" width="2.85546875" customWidth="1"/>
    <col min="15" max="15" width="12.7109375" bestFit="1" customWidth="1"/>
    <col min="16" max="16" width="5.42578125" customWidth="1"/>
    <col min="17" max="17" width="2.85546875" customWidth="1"/>
  </cols>
  <sheetData>
    <row r="1" spans="1:21" x14ac:dyDescent="0.2">
      <c r="A1" s="703" t="s">
        <v>78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6"/>
      <c r="M1" s="706"/>
      <c r="N1" s="706"/>
      <c r="O1" s="707"/>
      <c r="P1" s="128"/>
      <c r="Q1" s="128"/>
      <c r="R1" s="128"/>
    </row>
    <row r="2" spans="1:21" x14ac:dyDescent="0.2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171"/>
      <c r="M2" s="171"/>
      <c r="N2" s="171"/>
      <c r="O2" s="171"/>
      <c r="P2" s="171"/>
      <c r="Q2" s="171"/>
      <c r="R2" s="171"/>
    </row>
    <row r="3" spans="1:21" x14ac:dyDescent="0.2">
      <c r="A3" s="827" t="s">
        <v>136</v>
      </c>
      <c r="B3" s="828"/>
      <c r="C3" s="828"/>
      <c r="D3" s="828"/>
      <c r="E3" s="828"/>
      <c r="F3" s="828"/>
      <c r="G3" s="244" t="s">
        <v>44</v>
      </c>
      <c r="H3" s="82"/>
      <c r="I3" s="82"/>
      <c r="J3" s="82"/>
      <c r="K3" s="82"/>
      <c r="L3" s="171"/>
      <c r="M3" s="171"/>
      <c r="N3" s="171"/>
      <c r="O3" s="171"/>
      <c r="P3" s="171"/>
      <c r="Q3" s="171"/>
      <c r="R3" s="171"/>
    </row>
    <row r="4" spans="1:21" x14ac:dyDescent="0.2">
      <c r="A4" s="829" t="str">
        <f>IF(ISBLANK('Start Character'!A21)," ",'Start Character'!A21)</f>
        <v xml:space="preserve"> </v>
      </c>
      <c r="B4" s="830" t="str">
        <f>IF(ISBLANK('Start Character'!B23)," ",'Start Character'!B23)</f>
        <v xml:space="preserve"> </v>
      </c>
      <c r="C4" s="830" t="str">
        <f>IF(ISBLANK('Start Character'!C23)," ",'Start Character'!C23)</f>
        <v xml:space="preserve"> </v>
      </c>
      <c r="D4" s="830" t="str">
        <f>IF(ISBLANK('Start Character'!D23)," ",'Start Character'!D23)</f>
        <v xml:space="preserve"> </v>
      </c>
      <c r="E4" s="830" t="str">
        <f>IF(ISBLANK('Start Character'!E23)," ",'Start Character'!E23)</f>
        <v xml:space="preserve"> </v>
      </c>
      <c r="F4" s="242">
        <f>SUMIF(Timeline!$D$3:$D$1500,XP!A4,Timeline!$E$3:$E$1500)+SUMIF(Timeline!$F$3:$F$1500,XP!A4,Timeline!$G$3:$G$1500)+SUMIF(Timeline!$H$3:$H$1500,XP!A4,Timeline!$I$3:$I$1500)+SUMIF(Timeline!$J$3:$J$1500,XP!A4,Timeline!$K$3:$K$1500)+SUMIF(Timeline!$L$3:$L$1500,XP!A4,Timeline!$M$3:$M$1500)+SUMIF(Timeline!$N$3:$N$1500,XP!A4,Timeline!$O$3:$O$1500)+SUMIF(Timeline!$P$3:$P$1500,XP!A4,Timeline!$Q$3:$Q$1500)+SUMIF(Timeline!$R$3:$R$1500,XP!A4,Timeline!$S$3:$S$1500)+SUMIF(Timeline!$T$3:$T$1500,XP!A4,Timeline!$U$3:$U$1500)+SUMIF(Timeline!$V$3:$V$1500,XP!A4,Timeline!$W$3:$W$1500)+SUMIF(Timeline!$X$3:$X$1500,XP!A4,Timeline!$Y$3:$Y$1500)+SUMIF(Timeline!$Z$3:$Z$1500,XP!A4,Timeline!$AA$3:$AA$1500)+SUMIF(Timeline!$AB$3:$AB$1500,XP!A4,Timeline!$AC$3:$AC$1500)+SUMIF(Timeline!$AD$3:$AD$1500,XP!A4,Timeline!$AE$3:$AE$1500)+SUMIF(Timeline!$AF$3:$AF$1500,XP!A4,Timeline!$AG$3:$AG$1500)</f>
        <v>0</v>
      </c>
      <c r="G4" s="243"/>
      <c r="H4" s="82"/>
      <c r="I4" s="82"/>
      <c r="J4" s="82"/>
      <c r="K4" s="82"/>
      <c r="L4" s="171"/>
      <c r="M4" s="171"/>
      <c r="N4" s="171"/>
      <c r="O4" s="171"/>
      <c r="P4" s="171"/>
      <c r="Q4" s="171"/>
      <c r="R4" s="171"/>
    </row>
    <row r="5" spans="1:21" x14ac:dyDescent="0.2">
      <c r="A5" s="831" t="str">
        <f>IF(ISBLANK('Start Character'!A22)," ",'Start Character'!A22)</f>
        <v xml:space="preserve"> </v>
      </c>
      <c r="B5" s="832" t="str">
        <f>IF(ISBLANK('Start Character'!B24)," ",'Start Character'!B24)</f>
        <v xml:space="preserve"> </v>
      </c>
      <c r="C5" s="832" t="str">
        <f>IF(ISBLANK('Start Character'!C24)," ",'Start Character'!C24)</f>
        <v xml:space="preserve"> </v>
      </c>
      <c r="D5" s="832" t="str">
        <f>IF(ISBLANK('Start Character'!D24)," ",'Start Character'!D24)</f>
        <v xml:space="preserve"> </v>
      </c>
      <c r="E5" s="832" t="str">
        <f>IF(ISBLANK('Start Character'!E24)," ",'Start Character'!E24)</f>
        <v xml:space="preserve"> </v>
      </c>
      <c r="F5" s="49">
        <f>SUMIF(Timeline!$D$3:$D$1500,XP!A5,Timeline!$E$3:$E$1500)+SUMIF(Timeline!$F$3:$F$1500,XP!A5,Timeline!$G$3:$G$1500)+SUMIF(Timeline!$H$3:$H$1500,XP!A5,Timeline!$I$3:$I$1500)+SUMIF(Timeline!$J$3:$J$1500,XP!A5,Timeline!$K$3:$K$1500)+SUMIF(Timeline!$L$3:$L$1500,XP!A5,Timeline!$M$3:$M$1500)+SUMIF(Timeline!$N$3:$N$1500,XP!A5,Timeline!$O$3:$O$1500)+SUMIF(Timeline!$P$3:$P$1500,XP!A5,Timeline!$Q$3:$Q$1500)+SUMIF(Timeline!$R$3:$R$1500,XP!A5,Timeline!$S$3:$S$1500)+SUMIF(Timeline!$T$3:$T$1500,XP!A5,Timeline!$U$3:$U$1500)+SUMIF(Timeline!$V$3:$V$1500,XP!A5,Timeline!$W$3:$W$1500)+SUMIF(Timeline!$X$3:$X$1500,XP!A5,Timeline!$Y$3:$Y$1500)+SUMIF(Timeline!$Z$3:$Z$1500,XP!A5,Timeline!$AA$3:$AA$1500)+SUMIF(Timeline!$AB$3:$AB$1500,XP!A5,Timeline!$AC$3:$AC$1500)+SUMIF(Timeline!$AD$3:$AD$1500,XP!A5,Timeline!$AE$3:$AE$1500)+SUMIF(Timeline!$AF$3:$AF$1500,XP!A5,Timeline!$AG$3:$AG$1500)</f>
        <v>0</v>
      </c>
      <c r="G5" s="240"/>
      <c r="H5" s="82"/>
      <c r="I5" s="82"/>
      <c r="J5" s="82"/>
      <c r="K5" s="82"/>
      <c r="L5" s="171"/>
      <c r="M5" s="171"/>
      <c r="N5" s="171"/>
      <c r="O5" s="171"/>
      <c r="P5" s="171"/>
      <c r="Q5" s="171"/>
      <c r="R5" s="171"/>
    </row>
    <row r="6" spans="1:21" x14ac:dyDescent="0.2">
      <c r="A6" s="831" t="str">
        <f>IF(ISBLANK('Start Character'!A23)," ",'Start Character'!A23)</f>
        <v xml:space="preserve"> </v>
      </c>
      <c r="B6" s="832" t="str">
        <f>IF(ISBLANK('Start Character'!B25)," ",'Start Character'!B25)</f>
        <v xml:space="preserve"> </v>
      </c>
      <c r="C6" s="832" t="str">
        <f>IF(ISBLANK('Start Character'!C25)," ",'Start Character'!C25)</f>
        <v xml:space="preserve"> </v>
      </c>
      <c r="D6" s="832" t="str">
        <f>IF(ISBLANK('Start Character'!D25)," ",'Start Character'!D25)</f>
        <v xml:space="preserve"> </v>
      </c>
      <c r="E6" s="832" t="str">
        <f>IF(ISBLANK('Start Character'!E25)," ",'Start Character'!E25)</f>
        <v xml:space="preserve"> </v>
      </c>
      <c r="F6" s="49">
        <f>SUMIF(Timeline!$D$3:$D$1500,XP!A6,Timeline!$E$3:$E$1500)+SUMIF(Timeline!$F$3:$F$1500,XP!A6,Timeline!$G$3:$G$1500)+SUMIF(Timeline!$H$3:$H$1500,XP!A6,Timeline!$I$3:$I$1500)+SUMIF(Timeline!$J$3:$J$1500,XP!A6,Timeline!$K$3:$K$1500)+SUMIF(Timeline!$L$3:$L$1500,XP!A6,Timeline!$M$3:$M$1500)+SUMIF(Timeline!$N$3:$N$1500,XP!A6,Timeline!$O$3:$O$1500)+SUMIF(Timeline!$P$3:$P$1500,XP!A6,Timeline!$Q$3:$Q$1500)+SUMIF(Timeline!$R$3:$R$1500,XP!A6,Timeline!$S$3:$S$1500)+SUMIF(Timeline!$T$3:$T$1500,XP!A6,Timeline!$U$3:$U$1500)+SUMIF(Timeline!$V$3:$V$1500,XP!A6,Timeline!$W$3:$W$1500)+SUMIF(Timeline!$X$3:$X$1500,XP!A6,Timeline!$Y$3:$Y$1500)+SUMIF(Timeline!$Z$3:$Z$1500,XP!A6,Timeline!$AA$3:$AA$1500)+SUMIF(Timeline!$AB$3:$AB$1500,XP!A6,Timeline!$AC$3:$AC$1500)+SUMIF(Timeline!$AD$3:$AD$1500,XP!A6,Timeline!$AE$3:$AE$1500)+SUMIF(Timeline!$AF$3:$AF$1500,XP!A6,Timeline!$AG$3:$AG$1500)</f>
        <v>0</v>
      </c>
      <c r="G6" s="240"/>
      <c r="H6" s="82"/>
      <c r="I6" s="82"/>
      <c r="J6" s="82"/>
      <c r="K6" s="82"/>
      <c r="L6" s="171"/>
      <c r="M6" s="171"/>
      <c r="N6" s="171"/>
      <c r="O6" s="171"/>
      <c r="P6" s="171"/>
      <c r="Q6" s="171"/>
      <c r="R6" s="171"/>
    </row>
    <row r="7" spans="1:21" x14ac:dyDescent="0.2">
      <c r="A7" s="831" t="str">
        <f>IF(ISBLANK('Start Character'!A24)," ",'Start Character'!A24)</f>
        <v xml:space="preserve"> </v>
      </c>
      <c r="B7" s="832" t="str">
        <f>IF(ISBLANK('Start Character'!B26)," ",'Start Character'!B26)</f>
        <v xml:space="preserve"> </v>
      </c>
      <c r="C7" s="832" t="str">
        <f>IF(ISBLANK('Start Character'!C26)," ",'Start Character'!C26)</f>
        <v xml:space="preserve"> </v>
      </c>
      <c r="D7" s="832" t="str">
        <f>IF(ISBLANK('Start Character'!D26)," ",'Start Character'!D26)</f>
        <v xml:space="preserve"> </v>
      </c>
      <c r="E7" s="832" t="str">
        <f>IF(ISBLANK('Start Character'!E26)," ",'Start Character'!E26)</f>
        <v xml:space="preserve"> </v>
      </c>
      <c r="F7" s="49">
        <f>SUMIF(Timeline!$D$3:$D$1500,XP!A7,Timeline!$E$3:$E$1500)+SUMIF(Timeline!$F$3:$F$1500,XP!A7,Timeline!$G$3:$G$1500)+SUMIF(Timeline!$H$3:$H$1500,XP!A7,Timeline!$I$3:$I$1500)+SUMIF(Timeline!$J$3:$J$1500,XP!A7,Timeline!$K$3:$K$1500)+SUMIF(Timeline!$L$3:$L$1500,XP!A7,Timeline!$M$3:$M$1500)+SUMIF(Timeline!$N$3:$N$1500,XP!A7,Timeline!$O$3:$O$1500)+SUMIF(Timeline!$P$3:$P$1500,XP!A7,Timeline!$Q$3:$Q$1500)+SUMIF(Timeline!$R$3:$R$1500,XP!A7,Timeline!$S$3:$S$1500)+SUMIF(Timeline!$T$3:$T$1500,XP!A7,Timeline!$U$3:$U$1500)+SUMIF(Timeline!$V$3:$V$1500,XP!A7,Timeline!$W$3:$W$1500)+SUMIF(Timeline!$X$3:$X$1500,XP!A7,Timeline!$Y$3:$Y$1500)+SUMIF(Timeline!$Z$3:$Z$1500,XP!A7,Timeline!$AA$3:$AA$1500)+SUMIF(Timeline!$AB$3:$AB$1500,XP!A7,Timeline!$AC$3:$AC$1500)+SUMIF(Timeline!$AD$3:$AD$1500,XP!A7,Timeline!$AE$3:$AE$1500)+SUMIF(Timeline!$AF$3:$AF$1500,XP!A7,Timeline!$AG$3:$AG$1500)</f>
        <v>0</v>
      </c>
      <c r="G7" s="240"/>
      <c r="H7" s="82"/>
      <c r="I7" s="82"/>
      <c r="J7" s="82"/>
      <c r="K7" s="82"/>
      <c r="L7" s="171"/>
      <c r="M7" s="171"/>
      <c r="N7" s="171"/>
      <c r="O7" s="171"/>
      <c r="P7" s="171"/>
      <c r="Q7" s="171"/>
      <c r="R7" s="171"/>
    </row>
    <row r="8" spans="1:21" x14ac:dyDescent="0.2">
      <c r="A8" s="833" t="str">
        <f>IF(ISBLANK('Start Character'!A25)," ",'Start Character'!A25)</f>
        <v xml:space="preserve"> </v>
      </c>
      <c r="B8" s="834" t="str">
        <f>IF(ISBLANK('Start Character'!B27)," ",'Start Character'!B27)</f>
        <v xml:space="preserve"> </v>
      </c>
      <c r="C8" s="834" t="str">
        <f>IF(ISBLANK('Start Character'!C27)," ",'Start Character'!C27)</f>
        <v xml:space="preserve"> </v>
      </c>
      <c r="D8" s="834" t="str">
        <f>IF(ISBLANK('Start Character'!D27)," ",'Start Character'!D27)</f>
        <v xml:space="preserve"> </v>
      </c>
      <c r="E8" s="834" t="str">
        <f>IF(ISBLANK('Start Character'!E27)," ",'Start Character'!E27)</f>
        <v xml:space="preserve"> </v>
      </c>
      <c r="F8" s="52">
        <f>SUMIF(Timeline!$D$3:$D$1500,XP!A8,Timeline!$E$3:$E$1500)+SUMIF(Timeline!$F$3:$F$1500,XP!A8,Timeline!$G$3:$G$1500)+SUMIF(Timeline!$H$3:$H$1500,XP!A8,Timeline!$I$3:$I$1500)+SUMIF(Timeline!$J$3:$J$1500,XP!A8,Timeline!$K$3:$K$1500)+SUMIF(Timeline!$L$3:$L$1500,XP!A8,Timeline!$M$3:$M$1500)+SUMIF(Timeline!$N$3:$N$1500,XP!A8,Timeline!$O$3:$O$1500)+SUMIF(Timeline!$P$3:$P$1500,XP!A8,Timeline!$Q$3:$Q$1500)+SUMIF(Timeline!$R$3:$R$1500,XP!A8,Timeline!$S$3:$S$1500)+SUMIF(Timeline!$T$3:$T$1500,XP!A8,Timeline!$U$3:$U$1500)+SUMIF(Timeline!$V$3:$V$1500,XP!A8,Timeline!$W$3:$W$1500)+SUMIF(Timeline!$X$3:$X$1500,XP!A8,Timeline!$Y$3:$Y$1500)+SUMIF(Timeline!$Z$3:$Z$1500,XP!A8,Timeline!$AA$3:$AA$1500)+SUMIF(Timeline!$AB$3:$AB$1500,XP!A8,Timeline!$AC$3:$AC$1500)+SUMIF(Timeline!$AD$3:$AD$1500,XP!A8,Timeline!$AE$3:$AE$1500)+SUMIF(Timeline!$AF$3:$AF$1500,XP!A8,Timeline!$AG$3:$AG$1500)</f>
        <v>0</v>
      </c>
      <c r="G8" s="241"/>
      <c r="H8" s="82"/>
      <c r="I8" s="82"/>
      <c r="J8" s="82"/>
      <c r="K8" s="82"/>
      <c r="L8" s="171"/>
      <c r="M8" s="171"/>
      <c r="N8" s="171"/>
      <c r="O8" s="171"/>
      <c r="P8" s="171"/>
      <c r="Q8" s="171"/>
      <c r="R8" s="171"/>
    </row>
    <row r="9" spans="1:21" x14ac:dyDescent="0.2">
      <c r="D9" s="3"/>
      <c r="F9" s="30"/>
    </row>
    <row r="10" spans="1:21" x14ac:dyDescent="0.2">
      <c r="A10" s="697" t="s">
        <v>95</v>
      </c>
      <c r="B10" s="697"/>
      <c r="C10" s="697"/>
      <c r="D10" s="9"/>
      <c r="E10" s="703" t="s">
        <v>96</v>
      </c>
      <c r="F10" s="704"/>
      <c r="G10" s="707"/>
      <c r="I10" s="136" t="s">
        <v>97</v>
      </c>
      <c r="J10" s="137"/>
      <c r="K10" s="139"/>
      <c r="L10" s="28"/>
      <c r="M10" s="136" t="s">
        <v>99</v>
      </c>
      <c r="N10" s="137"/>
      <c r="O10" s="189"/>
    </row>
    <row r="11" spans="1:21" x14ac:dyDescent="0.2">
      <c r="A11" s="34" t="s">
        <v>207</v>
      </c>
      <c r="B11" s="157">
        <f>SUMIF(Timeline!$D$3:$D$1500,XP!A11,Timeline!$E$3:$E$1500)+SUMIF(Timeline!$F$3:$F$1500,XP!A11,Timeline!$G$3:$G$1500)+SUMIF(Timeline!$H$3:$H$1500,XP!A11,Timeline!$I$3:$I$1500)+SUMIF(Timeline!$J$3:$J$1500,XP!A11,Timeline!$K$3:$K$1500)+SUMIF(Timeline!$L$3:$L$1500,XP!A11,Timeline!$M$3:$M$1500)+SUMIF(Timeline!$N$3:$N$1500,XP!A11,Timeline!$O$3:$O$1500)+SUMIF(Timeline!$P$3:$P$1500,XP!A11,Timeline!$Q$3:$Q$1500)+SUMIF(Timeline!$R$3:$R$1500,XP!A11,Timeline!$S$3:$S$1500)+SUMIF(Timeline!$T$3:$T$1500,XP!A11,Timeline!$U$3:$U$1500)+SUMIF(Timeline!$V$3:$V$1500,XP!A11,Timeline!$W$3:$W$1500)+SUMIF(Timeline!$X$3:$X$1500,XP!A11,Timeline!$Y$3:$Y$1500)+SUMIF(Timeline!$Z$3:$Z$1500,XP!A11,Timeline!$AA$3:$AA$1500)+SUMIF(Timeline!$AB$3:$AB$1500,XP!A11,Timeline!$AC$3:$AC$1500)+SUMIF(Timeline!$AD$3:$AD$1500,XP!A11,Timeline!$AE$3:$AE$1500)+SUMIF(Timeline!$AF$3:$AF$1500,XP!A11,Timeline!$AG$3:$AG$1500)</f>
        <v>0</v>
      </c>
      <c r="C11" s="119"/>
      <c r="D11" s="10"/>
      <c r="E11" s="46" t="s">
        <v>194</v>
      </c>
      <c r="F11" s="154">
        <f>SUMIF(Timeline!$D$3:$D$1500,XP!E11,Timeline!$E$3:$E$1500)+SUMIF(Timeline!$F$3:$F$1500,XP!E11,Timeline!$G$3:$G$1500)+SUMIF(Timeline!$H$3:$H$1500,XP!E11,Timeline!$I$3:$I$1500)+SUMIF(Timeline!$J$3:$J$1500,XP!E11,Timeline!$K$3:$K$1500)+SUMIF(Timeline!$L$3:$L$1500,XP!E11,Timeline!$M$3:$M$1500)+SUMIF(Timeline!$N$3:$N$1500,XP!E11,Timeline!$O$3:$O$1500)+SUMIF(Timeline!$P$3:$P$1500,XP!E11,Timeline!$Q$3:$Q$1500)+SUMIF(Timeline!$R$3:$R$1500,XP!E11,Timeline!$S$3:$S$1500)+SUMIF(Timeline!$T$3:$T$1500,XP!E11,Timeline!$U$3:$U$1500)+SUMIF(Timeline!$V$3:$V$1500,XP!E11,Timeline!$W$3:$W$1500)+SUMIF(Timeline!$X$3:$X$1500,XP!E11,Timeline!$Y$3:$Y$1500)+SUMIF(Timeline!$Z$3:$Z$1500,XP!E11,Timeline!$AA$3:$AA$1500)+SUMIF(Timeline!$AB$3:$AB$1500,XP!E11,Timeline!$AC$3:$AC$1500)+SUMIF(Timeline!$AD$3:$AD$1500,XP!E11,Timeline!$AE$3:$AE$1500)+SUMIF(Timeline!$AF$3:$AF$1500,XP!E11,Timeline!$AG$3:$AG$1500)</f>
        <v>0</v>
      </c>
      <c r="G11" s="119"/>
      <c r="I11" s="151" t="s">
        <v>199</v>
      </c>
      <c r="J11" s="157">
        <f>SUMIF(Timeline!$D$3:$D$1500,XP!I11,Timeline!$E$3:$E$1500)+SUMIF(Timeline!$F$3:$F$1500,XP!I11,Timeline!$G$3:$G$1500)+SUMIF(Timeline!$H$3:$H$1500,XP!I11,Timeline!$I$3:$I$1500)+SUMIF(Timeline!$J$3:$J$1500,XP!I11,Timeline!$K$3:$K$1500)+SUMIF(Timeline!$L$3:$L$1500,XP!I11,Timeline!$M$3:$M$1500)+SUMIF(Timeline!$N$3:$N$1500,XP!I11,Timeline!$O$3:$O$1500)+SUMIF(Timeline!$P$3:$P$1500,XP!I11,Timeline!$Q$3:$Q$1500)+SUMIF(Timeline!$R$3:$R$1500,XP!I11,Timeline!$S$3:$S$1500)+SUMIF(Timeline!$T$3:$T$1500,XP!I11,Timeline!$U$3:$U$1500)+SUMIF(Timeline!$V$3:$V$1500,XP!I11,Timeline!$W$3:$W$1500)+SUMIF(Timeline!$X$3:$X$1500,XP!I11,Timeline!$Y$3:$Y$1500)+SUMIF(Timeline!$Z$3:$Z$1500,XP!I11,Timeline!$AA$3:$AA$1500)+SUMIF(Timeline!$AB$3:$AB$1500,XP!I11,Timeline!$AC$3:$AC$1500)+SUMIF(Timeline!$AD$3:$AD$1500,XP!I11,Timeline!$AE$3:$AE$1500)+SUMIF(Timeline!$AF$3:$AF$1500,XP!I11,Timeline!$AG$3:$AG$1500)</f>
        <v>0</v>
      </c>
      <c r="K11" s="119"/>
      <c r="L11" s="10"/>
      <c r="M11" s="50" t="str">
        <f>IF(ISBLANK('Start Character'!M30)," ",'Start Character'!M30)</f>
        <v xml:space="preserve"> </v>
      </c>
      <c r="N11" s="154">
        <f>SUMIF(Timeline!$D$3:$D$1500,XP!M11,Timeline!$E$3:$E$1500)+SUMIF(Timeline!$F$3:$F$1500,XP!M11,Timeline!$G$3:$G$1500)+SUMIF(Timeline!$H$3:$H$1500,XP!M11,Timeline!$I$3:$I$1500)+SUMIF(Timeline!$J$3:$J$1500,XP!M11,Timeline!$K$3:$K$1500)+SUMIF(Timeline!$L$3:$L$1500,XP!M11,Timeline!$M$3:$M$1500)+SUMIF(Timeline!$N$3:$N$1500,XP!M11,Timeline!$O$3:$O$1500)+SUMIF(Timeline!$P$3:$P$1500,XP!M11,Timeline!$Q$3:$Q$1500)+SUMIF(Timeline!$R$3:$R$1500,XP!M11,Timeline!$S$3:$S$1500)+SUMIF(Timeline!$T$3:$T$1500,XP!M11,Timeline!$U$3:$U$1500)+SUMIF(Timeline!$V$3:$V$1500,XP!M11,Timeline!$W$3:$W$1500)+SUMIF(Timeline!$X$3:$X$1500,XP!M11,Timeline!$Y$3:$Y$1500)+SUMIF(Timeline!$Z$3:$Z$1500,XP!M11,Timeline!$AA$3:$AA$1500)+SUMIF(Timeline!$AB$3:$AB$1500,XP!M11,Timeline!$AC$3:$AC$1500)+SUMIF(Timeline!$AD$3:$AD$1500,XP!M11,Timeline!$AE$3:$AE$1500)+SUMIF(Timeline!$AF$3:$AF$1500,XP!M11,Timeline!$AG$3:$AG$1500)</f>
        <v>0</v>
      </c>
      <c r="O11" s="188"/>
    </row>
    <row r="12" spans="1:21" x14ac:dyDescent="0.2">
      <c r="A12" s="32" t="s">
        <v>15</v>
      </c>
      <c r="B12" s="160">
        <f>SUMIF(Timeline!$D$3:$D$1500,XP!A12,Timeline!$E$3:$E$1500)+SUMIF(Timeline!$F$3:$F$1500,XP!A12,Timeline!$G$3:$G$1500)+SUMIF(Timeline!$H$3:$H$1500,XP!A12,Timeline!$I$3:$I$1500)+SUMIF(Timeline!$J$3:$J$1500,XP!A12,Timeline!$K$3:$K$1500)+SUMIF(Timeline!$L$3:$L$1500,XP!A12,Timeline!$M$3:$M$1500)+SUMIF(Timeline!$N$3:$N$1500,XP!A12,Timeline!$O$3:$O$1500)+SUMIF(Timeline!$P$3:$P$1500,XP!A12,Timeline!$Q$3:$Q$1500)+SUMIF(Timeline!$R$3:$R$1500,XP!A12,Timeline!$S$3:$S$1500)+SUMIF(Timeline!$T$3:$T$1500,XP!A12,Timeline!$U$3:$U$1500)+SUMIF(Timeline!$V$3:$V$1500,XP!A12,Timeline!$W$3:$W$1500)+SUMIF(Timeline!$X$3:$X$1500,XP!A12,Timeline!$Y$3:$Y$1500)+SUMIF(Timeline!$Z$3:$Z$1500,XP!A12,Timeline!$AA$3:$AA$1500)+SUMIF(Timeline!$AB$3:$AB$1500,XP!A12,Timeline!$AC$3:$AC$1500)+SUMIF(Timeline!$AD$3:$AD$1500,XP!A12,Timeline!$AE$3:$AE$1500)+SUMIF(Timeline!$AF$3:$AF$1500,XP!A12,Timeline!$AG$3:$AG$1500)</f>
        <v>0</v>
      </c>
      <c r="C12" s="119"/>
      <c r="D12" s="10"/>
      <c r="E12" s="48" t="s">
        <v>195</v>
      </c>
      <c r="F12" s="160">
        <f>SUMIF(Timeline!$D$3:$D$1500,XP!E12,Timeline!$E$3:$E$1500)+SUMIF(Timeline!$F$3:$F$1500,XP!E12,Timeline!$G$3:$G$1500)+SUMIF(Timeline!$H$3:$H$1500,XP!E12,Timeline!$I$3:$I$1500)+SUMIF(Timeline!$J$3:$J$1500,XP!E12,Timeline!$K$3:$K$1500)+SUMIF(Timeline!$L$3:$L$1500,XP!E12,Timeline!$M$3:$M$1500)+SUMIF(Timeline!$N$3:$N$1500,XP!E12,Timeline!$O$3:$O$1500)+SUMIF(Timeline!$P$3:$P$1500,XP!E12,Timeline!$Q$3:$Q$1500)+SUMIF(Timeline!$R$3:$R$1500,XP!E12,Timeline!$S$3:$S$1500)+SUMIF(Timeline!$T$3:$T$1500,XP!E12,Timeline!$U$3:$U$1500)+SUMIF(Timeline!$V$3:$V$1500,XP!E12,Timeline!$W$3:$W$1500)+SUMIF(Timeline!$X$3:$X$1500,XP!E12,Timeline!$Y$3:$Y$1500)+SUMIF(Timeline!$Z$3:$Z$1500,XP!E12,Timeline!$AA$3:$AA$1500)+SUMIF(Timeline!$AB$3:$AB$1500,XP!E12,Timeline!$AC$3:$AC$1500)+SUMIF(Timeline!$AD$3:$AD$1500,XP!E12,Timeline!$AE$3:$AE$1500)+SUMIF(Timeline!$AF$3:$AF$1500,XP!E12,Timeline!$AG$3:$AG$1500)</f>
        <v>0</v>
      </c>
      <c r="G12" s="119"/>
      <c r="I12" s="51" t="s">
        <v>200</v>
      </c>
      <c r="J12" s="160">
        <f>SUMIF(Timeline!$D$3:$D$1500,XP!I12,Timeline!$E$3:$E$1500)+SUMIF(Timeline!$F$3:$F$1500,XP!I12,Timeline!$G$3:$G$1500)+SUMIF(Timeline!$H$3:$H$1500,XP!I12,Timeline!$I$3:$I$1500)+SUMIF(Timeline!$J$3:$J$1500,XP!I12,Timeline!$K$3:$K$1500)+SUMIF(Timeline!$L$3:$L$1500,XP!I12,Timeline!$M$3:$M$1500)+SUMIF(Timeline!$N$3:$N$1500,XP!I12,Timeline!$O$3:$O$1500)+SUMIF(Timeline!$P$3:$P$1500,XP!I12,Timeline!$Q$3:$Q$1500)+SUMIF(Timeline!$R$3:$R$1500,XP!I12,Timeline!$S$3:$S$1500)+SUMIF(Timeline!$T$3:$T$1500,XP!I12,Timeline!$U$3:$U$1500)+SUMIF(Timeline!$V$3:$V$1500,XP!I12,Timeline!$W$3:$W$1500)+SUMIF(Timeline!$X$3:$X$1500,XP!I12,Timeline!$Y$3:$Y$1500)+SUMIF(Timeline!$Z$3:$Z$1500,XP!I12,Timeline!$AA$3:$AA$1500)+SUMIF(Timeline!$AB$3:$AB$1500,XP!I12,Timeline!$AC$3:$AC$1500)+SUMIF(Timeline!$AD$3:$AD$1500,XP!I12,Timeline!$AE$3:$AE$1500)+SUMIF(Timeline!$AF$3:$AF$1500,XP!I12,Timeline!$AG$3:$AG$1500)</f>
        <v>0</v>
      </c>
      <c r="K12" s="119"/>
      <c r="L12" s="10"/>
      <c r="M12" s="51" t="str">
        <f>IF(ISBLANK('Start Character'!M31)," ",'Start Character'!M31)</f>
        <v xml:space="preserve"> </v>
      </c>
      <c r="N12" s="157">
        <f>SUMIF(Timeline!$D$3:$D$1500,XP!M12,Timeline!$E$3:$E$1500)+SUMIF(Timeline!$F$3:$F$1500,XP!M12,Timeline!$G$3:$G$1500)+SUMIF(Timeline!$H$3:$H$1500,XP!M12,Timeline!$I$3:$I$1500)+SUMIF(Timeline!$J$3:$J$1500,XP!M12,Timeline!$K$3:$K$1500)+SUMIF(Timeline!$L$3:$L$1500,XP!M12,Timeline!$M$3:$M$1500)+SUMIF(Timeline!$N$3:$N$1500,XP!M12,Timeline!$O$3:$O$1500)+SUMIF(Timeline!$P$3:$P$1500,XP!M12,Timeline!$Q$3:$Q$1500)+SUMIF(Timeline!$R$3:$R$1500,XP!M12,Timeline!$S$3:$S$1500)+SUMIF(Timeline!$T$3:$T$1500,XP!M12,Timeline!$U$3:$U$1500)+SUMIF(Timeline!$V$3:$V$1500,XP!M12,Timeline!$W$3:$W$1500)+SUMIF(Timeline!$X$3:$X$1500,XP!M12,Timeline!$Y$3:$Y$1500)+SUMIF(Timeline!$Z$3:$Z$1500,XP!M12,Timeline!$AA$3:$AA$1500)+SUMIF(Timeline!$AB$3:$AB$1500,XP!M12,Timeline!$AC$3:$AC$1500)+SUMIF(Timeline!$AD$3:$AD$1500,XP!M12,Timeline!$AE$3:$AE$1500)+SUMIF(Timeline!$AF$3:$AF$1500,XP!M12,Timeline!$AG$3:$AG$1500)</f>
        <v>0</v>
      </c>
      <c r="O12" s="188"/>
      <c r="S12" s="3"/>
      <c r="T12" s="3"/>
      <c r="U12" s="3"/>
    </row>
    <row r="13" spans="1:21" x14ac:dyDescent="0.2">
      <c r="A13" s="32" t="s">
        <v>17</v>
      </c>
      <c r="B13" s="160">
        <f>SUMIF(Timeline!$D$3:$D$1500,XP!A13,Timeline!$E$3:$E$1500)+SUMIF(Timeline!$F$3:$F$1500,XP!A13,Timeline!$G$3:$G$1500)+SUMIF(Timeline!$H$3:$H$1500,XP!A13,Timeline!$I$3:$I$1500)+SUMIF(Timeline!$J$3:$J$1500,XP!A13,Timeline!$K$3:$K$1500)+SUMIF(Timeline!$L$3:$L$1500,XP!A13,Timeline!$M$3:$M$1500)+SUMIF(Timeline!$N$3:$N$1500,XP!A13,Timeline!$O$3:$O$1500)+SUMIF(Timeline!$P$3:$P$1500,XP!A13,Timeline!$Q$3:$Q$1500)+SUMIF(Timeline!$R$3:$R$1500,XP!A13,Timeline!$S$3:$S$1500)+SUMIF(Timeline!$T$3:$T$1500,XP!A13,Timeline!$U$3:$U$1500)+SUMIF(Timeline!$V$3:$V$1500,XP!A13,Timeline!$W$3:$W$1500)+SUMIF(Timeline!$X$3:$X$1500,XP!A13,Timeline!$Y$3:$Y$1500)+SUMIF(Timeline!$Z$3:$Z$1500,XP!A13,Timeline!$AA$3:$AA$1500)+SUMIF(Timeline!$AB$3:$AB$1500,XP!A13,Timeline!$AC$3:$AC$1500)+SUMIF(Timeline!$AD$3:$AD$1500,XP!A13,Timeline!$AE$3:$AE$1500)+SUMIF(Timeline!$AF$3:$AF$1500,XP!A13,Timeline!$AG$3:$AG$1500)</f>
        <v>0</v>
      </c>
      <c r="C13" s="119"/>
      <c r="D13" s="10"/>
      <c r="E13" s="48" t="s">
        <v>196</v>
      </c>
      <c r="F13" s="160">
        <f>SUMIF(Timeline!$D$3:$D$1500,XP!E13,Timeline!$E$3:$E$1500)+SUMIF(Timeline!$F$3:$F$1500,XP!E13,Timeline!$G$3:$G$1500)+SUMIF(Timeline!$H$3:$H$1500,XP!E13,Timeline!$I$3:$I$1500)+SUMIF(Timeline!$J$3:$J$1500,XP!E13,Timeline!$K$3:$K$1500)+SUMIF(Timeline!$L$3:$L$1500,XP!E13,Timeline!$M$3:$M$1500)+SUMIF(Timeline!$N$3:$N$1500,XP!E13,Timeline!$O$3:$O$1500)+SUMIF(Timeline!$P$3:$P$1500,XP!E13,Timeline!$Q$3:$Q$1500)+SUMIF(Timeline!$R$3:$R$1500,XP!E13,Timeline!$S$3:$S$1500)+SUMIF(Timeline!$T$3:$T$1500,XP!E13,Timeline!$U$3:$U$1500)+SUMIF(Timeline!$V$3:$V$1500,XP!E13,Timeline!$W$3:$W$1500)+SUMIF(Timeline!$X$3:$X$1500,XP!E13,Timeline!$Y$3:$Y$1500)+SUMIF(Timeline!$Z$3:$Z$1500,XP!E13,Timeline!$AA$3:$AA$1500)+SUMIF(Timeline!$AB$3:$AB$1500,XP!E13,Timeline!$AC$3:$AC$1500)+SUMIF(Timeline!$AD$3:$AD$1500,XP!E13,Timeline!$AE$3:$AE$1500)+SUMIF(Timeline!$AF$3:$AF$1500,XP!E13,Timeline!$AG$3:$AG$1500)</f>
        <v>0</v>
      </c>
      <c r="G13" s="119"/>
      <c r="I13" s="51" t="s">
        <v>485</v>
      </c>
      <c r="J13" s="160">
        <f>SUMIF(Timeline!$D$3:$D$1500,XP!I13,Timeline!$E$3:$E$1500)+SUMIF(Timeline!$F$3:$F$1500,XP!I13,Timeline!$G$3:$G$1500)+SUMIF(Timeline!$H$3:$H$1500,XP!I13,Timeline!$I$3:$I$1500)+SUMIF(Timeline!$J$3:$J$1500,XP!I13,Timeline!$K$3:$K$1500)+SUMIF(Timeline!$L$3:$L$1500,XP!I13,Timeline!$M$3:$M$1500)+SUMIF(Timeline!$N$3:$N$1500,XP!I13,Timeline!$O$3:$O$1500)+SUMIF(Timeline!$P$3:$P$1500,XP!I13,Timeline!$Q$3:$Q$1500)+SUMIF(Timeline!$R$3:$R$1500,XP!I13,Timeline!$S$3:$S$1500)+SUMIF(Timeline!$T$3:$T$1500,XP!I13,Timeline!$U$3:$U$1500)+SUMIF(Timeline!$V$3:$V$1500,XP!I13,Timeline!$W$3:$W$1500)+SUMIF(Timeline!$X$3:$X$1500,XP!I13,Timeline!$Y$3:$Y$1500)+SUMIF(Timeline!$Z$3:$Z$1500,XP!I13,Timeline!$AA$3:$AA$1500)+SUMIF(Timeline!$AB$3:$AB$1500,XP!I13,Timeline!$AC$3:$AC$1500)+SUMIF(Timeline!$AD$3:$AD$1500,XP!I13,Timeline!$AE$3:$AE$1500)+SUMIF(Timeline!$AF$3:$AF$1500,XP!I13,Timeline!$AG$3:$AG$1500)</f>
        <v>0</v>
      </c>
      <c r="K13" s="119"/>
      <c r="L13" s="10"/>
      <c r="M13" s="51" t="str">
        <f>IF(ISBLANK('Start Character'!M32)," ",'Start Character'!M32)</f>
        <v xml:space="preserve"> </v>
      </c>
      <c r="N13" s="157">
        <f>SUMIF(Timeline!$D$3:$D$1500,XP!M13,Timeline!$E$3:$E$1500)+SUMIF(Timeline!$F$3:$F$1500,XP!M13,Timeline!$G$3:$G$1500)+SUMIF(Timeline!$H$3:$H$1500,XP!M13,Timeline!$I$3:$I$1500)+SUMIF(Timeline!$J$3:$J$1500,XP!M13,Timeline!$K$3:$K$1500)+SUMIF(Timeline!$L$3:$L$1500,XP!M13,Timeline!$M$3:$M$1500)+SUMIF(Timeline!$N$3:$N$1500,XP!M13,Timeline!$O$3:$O$1500)+SUMIF(Timeline!$P$3:$P$1500,XP!M13,Timeline!$Q$3:$Q$1500)+SUMIF(Timeline!$R$3:$R$1500,XP!M13,Timeline!$S$3:$S$1500)+SUMIF(Timeline!$T$3:$T$1500,XP!M13,Timeline!$U$3:$U$1500)+SUMIF(Timeline!$V$3:$V$1500,XP!M13,Timeline!$W$3:$W$1500)+SUMIF(Timeline!$X$3:$X$1500,XP!M13,Timeline!$Y$3:$Y$1500)+SUMIF(Timeline!$Z$3:$Z$1500,XP!M13,Timeline!$AA$3:$AA$1500)+SUMIF(Timeline!$AB$3:$AB$1500,XP!M13,Timeline!$AC$3:$AC$1500)+SUMIF(Timeline!$AD$3:$AD$1500,XP!M13,Timeline!$AE$3:$AE$1500)+SUMIF(Timeline!$AF$3:$AF$1500,XP!M13,Timeline!$AG$3:$AG$1500)</f>
        <v>0</v>
      </c>
      <c r="O13" s="188"/>
    </row>
    <row r="14" spans="1:21" x14ac:dyDescent="0.2">
      <c r="A14" s="32" t="s">
        <v>208</v>
      </c>
      <c r="B14" s="160">
        <f>SUMIF(Timeline!$D$3:$D$1500,XP!A14,Timeline!$E$3:$E$1500)+SUMIF(Timeline!$F$3:$F$1500,XP!A14,Timeline!$G$3:$G$1500)+SUMIF(Timeline!$H$3:$H$1500,XP!A14,Timeline!$I$3:$I$1500)+SUMIF(Timeline!$J$3:$J$1500,XP!A14,Timeline!$K$3:$K$1500)+SUMIF(Timeline!$L$3:$L$1500,XP!A14,Timeline!$M$3:$M$1500)+SUMIF(Timeline!$N$3:$N$1500,XP!A14,Timeline!$O$3:$O$1500)+SUMIF(Timeline!$P$3:$P$1500,XP!A14,Timeline!$Q$3:$Q$1500)+SUMIF(Timeline!$R$3:$R$1500,XP!A14,Timeline!$S$3:$S$1500)+SUMIF(Timeline!$T$3:$T$1500,XP!A14,Timeline!$U$3:$U$1500)+SUMIF(Timeline!$V$3:$V$1500,XP!A14,Timeline!$W$3:$W$1500)+SUMIF(Timeline!$X$3:$X$1500,XP!A14,Timeline!$Y$3:$Y$1500)+SUMIF(Timeline!$Z$3:$Z$1500,XP!A14,Timeline!$AA$3:$AA$1500)+SUMIF(Timeline!$AB$3:$AB$1500,XP!A14,Timeline!$AC$3:$AC$1500)+SUMIF(Timeline!$AD$3:$AD$1500,XP!A14,Timeline!$AE$3:$AE$1500)+SUMIF(Timeline!$AF$3:$AF$1500,XP!A14,Timeline!$AG$3:$AG$1500)</f>
        <v>0</v>
      </c>
      <c r="C14" s="119"/>
      <c r="D14" s="10"/>
      <c r="E14" s="48" t="s">
        <v>27</v>
      </c>
      <c r="F14" s="160">
        <f>SUMIF(Timeline!$D$3:$D$1500,XP!E14,Timeline!$E$3:$E$1500)+SUMIF(Timeline!$F$3:$F$1500,XP!E14,Timeline!$G$3:$G$1500)+SUMIF(Timeline!$H$3:$H$1500,XP!E14,Timeline!$I$3:$I$1500)+SUMIF(Timeline!$J$3:$J$1500,XP!E14,Timeline!$K$3:$K$1500)+SUMIF(Timeline!$L$3:$L$1500,XP!E14,Timeline!$M$3:$M$1500)+SUMIF(Timeline!$N$3:$N$1500,XP!E14,Timeline!$O$3:$O$1500)+SUMIF(Timeline!$P$3:$P$1500,XP!E14,Timeline!$Q$3:$Q$1500)+SUMIF(Timeline!$R$3:$R$1500,XP!E14,Timeline!$S$3:$S$1500)+SUMIF(Timeline!$T$3:$T$1500,XP!E14,Timeline!$U$3:$U$1500)+SUMIF(Timeline!$V$3:$V$1500,XP!E14,Timeline!$W$3:$W$1500)+SUMIF(Timeline!$X$3:$X$1500,XP!E14,Timeline!$Y$3:$Y$1500)+SUMIF(Timeline!$Z$3:$Z$1500,XP!E14,Timeline!$AA$3:$AA$1500)+SUMIF(Timeline!$AB$3:$AB$1500,XP!E14,Timeline!$AC$3:$AC$1500)+SUMIF(Timeline!$AD$3:$AD$1500,XP!E14,Timeline!$AE$3:$AE$1500)+SUMIF(Timeline!$AF$3:$AF$1500,XP!E14,Timeline!$AG$3:$AG$1500)</f>
        <v>0</v>
      </c>
      <c r="G14" s="119"/>
      <c r="I14" s="51" t="s">
        <v>37</v>
      </c>
      <c r="J14" s="160">
        <f>SUMIF(Timeline!$D$3:$D$1500,XP!I14,Timeline!$E$3:$E$1500)+SUMIF(Timeline!$F$3:$F$1500,XP!I14,Timeline!$G$3:$G$1500)+SUMIF(Timeline!$H$3:$H$1500,XP!I14,Timeline!$I$3:$I$1500)+SUMIF(Timeline!$J$3:$J$1500,XP!I14,Timeline!$K$3:$K$1500)+SUMIF(Timeline!$L$3:$L$1500,XP!I14,Timeline!$M$3:$M$1500)+SUMIF(Timeline!$N$3:$N$1500,XP!I14,Timeline!$O$3:$O$1500)+SUMIF(Timeline!$P$3:$P$1500,XP!I14,Timeline!$Q$3:$Q$1500)+SUMIF(Timeline!$R$3:$R$1500,XP!I14,Timeline!$S$3:$S$1500)+SUMIF(Timeline!$T$3:$T$1500,XP!I14,Timeline!$U$3:$U$1500)+SUMIF(Timeline!$V$3:$V$1500,XP!I14,Timeline!$W$3:$W$1500)+SUMIF(Timeline!$X$3:$X$1500,XP!I14,Timeline!$Y$3:$Y$1500)+SUMIF(Timeline!$Z$3:$Z$1500,XP!I14,Timeline!$AA$3:$AA$1500)+SUMIF(Timeline!$AB$3:$AB$1500,XP!I14,Timeline!$AC$3:$AC$1500)+SUMIF(Timeline!$AD$3:$AD$1500,XP!I14,Timeline!$AE$3:$AE$1500)+SUMIF(Timeline!$AF$3:$AF$1500,XP!I14,Timeline!$AG$3:$AG$1500)</f>
        <v>0</v>
      </c>
      <c r="K14" s="119"/>
      <c r="L14" s="10"/>
      <c r="M14" s="51" t="str">
        <f>IF(ISBLANK('Start Character'!M33)," ",'Start Character'!M33)</f>
        <v xml:space="preserve"> </v>
      </c>
      <c r="N14" s="157">
        <f>SUMIF(Timeline!$D$3:$D$1500,XP!M14,Timeline!$E$3:$E$1500)+SUMIF(Timeline!$F$3:$F$1500,XP!M14,Timeline!$G$3:$G$1500)+SUMIF(Timeline!$H$3:$H$1500,XP!M14,Timeline!$I$3:$I$1500)+SUMIF(Timeline!$J$3:$J$1500,XP!M14,Timeline!$K$3:$K$1500)+SUMIF(Timeline!$L$3:$L$1500,XP!M14,Timeline!$M$3:$M$1500)+SUMIF(Timeline!$N$3:$N$1500,XP!M14,Timeline!$O$3:$O$1500)+SUMIF(Timeline!$P$3:$P$1500,XP!M14,Timeline!$Q$3:$Q$1500)+SUMIF(Timeline!$R$3:$R$1500,XP!M14,Timeline!$S$3:$S$1500)+SUMIF(Timeline!$T$3:$T$1500,XP!M14,Timeline!$U$3:$U$1500)+SUMIF(Timeline!$V$3:$V$1500,XP!M14,Timeline!$W$3:$W$1500)+SUMIF(Timeline!$X$3:$X$1500,XP!M14,Timeline!$Y$3:$Y$1500)+SUMIF(Timeline!$Z$3:$Z$1500,XP!M14,Timeline!$AA$3:$AA$1500)+SUMIF(Timeline!$AB$3:$AB$1500,XP!M14,Timeline!$AC$3:$AC$1500)+SUMIF(Timeline!$AD$3:$AD$1500,XP!M14,Timeline!$AE$3:$AE$1500)+SUMIF(Timeline!$AF$3:$AF$1500,XP!M14,Timeline!$AG$3:$AG$1500)</f>
        <v>0</v>
      </c>
      <c r="O14" s="188"/>
    </row>
    <row r="15" spans="1:21" x14ac:dyDescent="0.2">
      <c r="A15" s="32" t="s">
        <v>19</v>
      </c>
      <c r="B15" s="160">
        <f>SUMIF(Timeline!$D$3:$D$1500,XP!A15,Timeline!$E$3:$E$1500)+SUMIF(Timeline!$F$3:$F$1500,XP!A15,Timeline!$G$3:$G$1500)+SUMIF(Timeline!$H$3:$H$1500,XP!A15,Timeline!$I$3:$I$1500)+SUMIF(Timeline!$J$3:$J$1500,XP!A15,Timeline!$K$3:$K$1500)+SUMIF(Timeline!$L$3:$L$1500,XP!A15,Timeline!$M$3:$M$1500)+SUMIF(Timeline!$N$3:$N$1500,XP!A15,Timeline!$O$3:$O$1500)+SUMIF(Timeline!$P$3:$P$1500,XP!A15,Timeline!$Q$3:$Q$1500)+SUMIF(Timeline!$R$3:$R$1500,XP!A15,Timeline!$S$3:$S$1500)+SUMIF(Timeline!$T$3:$T$1500,XP!A15,Timeline!$U$3:$U$1500)+SUMIF(Timeline!$V$3:$V$1500,XP!A15,Timeline!$W$3:$W$1500)+SUMIF(Timeline!$X$3:$X$1500,XP!A15,Timeline!$Y$3:$Y$1500)+SUMIF(Timeline!$Z$3:$Z$1500,XP!A15,Timeline!$AA$3:$AA$1500)+SUMIF(Timeline!$AB$3:$AB$1500,XP!A15,Timeline!$AC$3:$AC$1500)+SUMIF(Timeline!$AD$3:$AD$1500,XP!A15,Timeline!$AE$3:$AE$1500)+SUMIF(Timeline!$AF$3:$AF$1500,XP!A15,Timeline!$AG$3:$AG$1500)</f>
        <v>0</v>
      </c>
      <c r="C15" s="119"/>
      <c r="D15" s="10"/>
      <c r="E15" s="48" t="s">
        <v>197</v>
      </c>
      <c r="F15" s="160">
        <f>SUMIF(Timeline!$D$3:$D$1500,XP!E15,Timeline!$E$3:$E$1500)+SUMIF(Timeline!$F$3:$F$1500,XP!E15,Timeline!$G$3:$G$1500)+SUMIF(Timeline!$H$3:$H$1500,XP!E15,Timeline!$I$3:$I$1500)+SUMIF(Timeline!$J$3:$J$1500,XP!E15,Timeline!$K$3:$K$1500)+SUMIF(Timeline!$L$3:$L$1500,XP!E15,Timeline!$M$3:$M$1500)+SUMIF(Timeline!$N$3:$N$1500,XP!E15,Timeline!$O$3:$O$1500)+SUMIF(Timeline!$P$3:$P$1500,XP!E15,Timeline!$Q$3:$Q$1500)+SUMIF(Timeline!$R$3:$R$1500,XP!E15,Timeline!$S$3:$S$1500)+SUMIF(Timeline!$T$3:$T$1500,XP!E15,Timeline!$U$3:$U$1500)+SUMIF(Timeline!$V$3:$V$1500,XP!E15,Timeline!$W$3:$W$1500)+SUMIF(Timeline!$X$3:$X$1500,XP!E15,Timeline!$Y$3:$Y$1500)+SUMIF(Timeline!$Z$3:$Z$1500,XP!E15,Timeline!$AA$3:$AA$1500)+SUMIF(Timeline!$AB$3:$AB$1500,XP!E15,Timeline!$AC$3:$AC$1500)+SUMIF(Timeline!$AD$3:$AD$1500,XP!E15,Timeline!$AE$3:$AE$1500)+SUMIF(Timeline!$AF$3:$AF$1500,XP!E15,Timeline!$AG$3:$AG$1500)</f>
        <v>0</v>
      </c>
      <c r="G15" s="119"/>
      <c r="I15" s="51" t="s">
        <v>201</v>
      </c>
      <c r="J15" s="160">
        <f>SUMIF(Timeline!$D$3:$D$1500,XP!I15,Timeline!$E$3:$E$1500)+SUMIF(Timeline!$F$3:$F$1500,XP!I15,Timeline!$G$3:$G$1500)+SUMIF(Timeline!$H$3:$H$1500,XP!I15,Timeline!$I$3:$I$1500)+SUMIF(Timeline!$J$3:$J$1500,XP!I15,Timeline!$K$3:$K$1500)+SUMIF(Timeline!$L$3:$L$1500,XP!I15,Timeline!$M$3:$M$1500)+SUMIF(Timeline!$N$3:$N$1500,XP!I15,Timeline!$O$3:$O$1500)+SUMIF(Timeline!$P$3:$P$1500,XP!I15,Timeline!$Q$3:$Q$1500)+SUMIF(Timeline!$R$3:$R$1500,XP!I15,Timeline!$S$3:$S$1500)+SUMIF(Timeline!$T$3:$T$1500,XP!I15,Timeline!$U$3:$U$1500)+SUMIF(Timeline!$V$3:$V$1500,XP!I15,Timeline!$W$3:$W$1500)+SUMIF(Timeline!$X$3:$X$1500,XP!I15,Timeline!$Y$3:$Y$1500)+SUMIF(Timeline!$Z$3:$Z$1500,XP!I15,Timeline!$AA$3:$AA$1500)+SUMIF(Timeline!$AB$3:$AB$1500,XP!I15,Timeline!$AC$3:$AC$1500)+SUMIF(Timeline!$AD$3:$AD$1500,XP!I15,Timeline!$AE$3:$AE$1500)+SUMIF(Timeline!$AF$3:$AF$1500,XP!I15,Timeline!$AG$3:$AG$1500)</f>
        <v>0</v>
      </c>
      <c r="K15" s="119"/>
      <c r="L15" s="10"/>
      <c r="M15" s="51" t="str">
        <f>IF(ISBLANK('Start Character'!M34)," ",'Start Character'!M34)</f>
        <v xml:space="preserve"> </v>
      </c>
      <c r="N15" s="157">
        <f>SUMIF(Timeline!$D$3:$D$1500,XP!M15,Timeline!$E$3:$E$1500)+SUMIF(Timeline!$F$3:$F$1500,XP!M15,Timeline!$G$3:$G$1500)+SUMIF(Timeline!$H$3:$H$1500,XP!M15,Timeline!$I$3:$I$1500)+SUMIF(Timeline!$J$3:$J$1500,XP!M15,Timeline!$K$3:$K$1500)+SUMIF(Timeline!$L$3:$L$1500,XP!M15,Timeline!$M$3:$M$1500)+SUMIF(Timeline!$N$3:$N$1500,XP!M15,Timeline!$O$3:$O$1500)+SUMIF(Timeline!$P$3:$P$1500,XP!M15,Timeline!$Q$3:$Q$1500)+SUMIF(Timeline!$R$3:$R$1500,XP!M15,Timeline!$S$3:$S$1500)+SUMIF(Timeline!$T$3:$T$1500,XP!M15,Timeline!$U$3:$U$1500)+SUMIF(Timeline!$V$3:$V$1500,XP!M15,Timeline!$W$3:$W$1500)+SUMIF(Timeline!$X$3:$X$1500,XP!M15,Timeline!$Y$3:$Y$1500)+SUMIF(Timeline!$Z$3:$Z$1500,XP!M15,Timeline!$AA$3:$AA$1500)+SUMIF(Timeline!$AB$3:$AB$1500,XP!M15,Timeline!$AC$3:$AC$1500)+SUMIF(Timeline!$AD$3:$AD$1500,XP!M15,Timeline!$AE$3:$AE$1500)+SUMIF(Timeline!$AF$3:$AF$1500,XP!M15,Timeline!$AG$3:$AG$1500)</f>
        <v>0</v>
      </c>
      <c r="O15" s="188"/>
    </row>
    <row r="16" spans="1:21" x14ac:dyDescent="0.2">
      <c r="A16" s="32" t="s">
        <v>209</v>
      </c>
      <c r="B16" s="160">
        <f>SUMIF(Timeline!$D$3:$D$1500,XP!A16,Timeline!$E$3:$E$1500)+SUMIF(Timeline!$F$3:$F$1500,XP!A16,Timeline!$G$3:$G$1500)+SUMIF(Timeline!$H$3:$H$1500,XP!A16,Timeline!$I$3:$I$1500)+SUMIF(Timeline!$J$3:$J$1500,XP!A16,Timeline!$K$3:$K$1500)+SUMIF(Timeline!$L$3:$L$1500,XP!A16,Timeline!$M$3:$M$1500)+SUMIF(Timeline!$N$3:$N$1500,XP!A16,Timeline!$O$3:$O$1500)+SUMIF(Timeline!$P$3:$P$1500,XP!A16,Timeline!$Q$3:$Q$1500)+SUMIF(Timeline!$R$3:$R$1500,XP!A16,Timeline!$S$3:$S$1500)+SUMIF(Timeline!$T$3:$T$1500,XP!A16,Timeline!$U$3:$U$1500)+SUMIF(Timeline!$V$3:$V$1500,XP!A16,Timeline!$W$3:$W$1500)+SUMIF(Timeline!$X$3:$X$1500,XP!A16,Timeline!$Y$3:$Y$1500)+SUMIF(Timeline!$Z$3:$Z$1500,XP!A16,Timeline!$AA$3:$AA$1500)+SUMIF(Timeline!$AB$3:$AB$1500,XP!A16,Timeline!$AC$3:$AC$1500)+SUMIF(Timeline!$AD$3:$AD$1500,XP!A16,Timeline!$AE$3:$AE$1500)+SUMIF(Timeline!$AF$3:$AF$1500,XP!A16,Timeline!$AG$3:$AG$1500)</f>
        <v>0</v>
      </c>
      <c r="C16" s="119"/>
      <c r="D16" s="10"/>
      <c r="E16" s="192" t="s">
        <v>198</v>
      </c>
      <c r="F16" s="191">
        <f>SUMIF(Timeline!$D$3:$D$1500,XP!E16,Timeline!$E$3:$E$1500)+SUMIF(Timeline!$F$3:$F$1500,XP!E16,Timeline!$G$3:$G$1500)+SUMIF(Timeline!$H$3:$H$1500,XP!E16,Timeline!$I$3:$I$1500)+SUMIF(Timeline!$J$3:$J$1500,XP!E16,Timeline!$K$3:$K$1500)+SUMIF(Timeline!$L$3:$L$1500,XP!E16,Timeline!$M$3:$M$1500)+SUMIF(Timeline!$N$3:$N$1500,XP!E16,Timeline!$O$3:$O$1500)+SUMIF(Timeline!$P$3:$P$1500,XP!E16,Timeline!$Q$3:$Q$1500)+SUMIF(Timeline!$R$3:$R$1500,XP!E16,Timeline!$S$3:$S$1500)+SUMIF(Timeline!$T$3:$T$1500,XP!E16,Timeline!$U$3:$U$1500)+SUMIF(Timeline!$V$3:$V$1500,XP!E16,Timeline!$W$3:$W$1500)+SUMIF(Timeline!$X$3:$X$1500,XP!E16,Timeline!$Y$3:$Y$1500)+SUMIF(Timeline!$Z$3:$Z$1500,XP!E16,Timeline!$AA$3:$AA$1500)+SUMIF(Timeline!$AB$3:$AB$1500,XP!E16,Timeline!$AC$3:$AC$1500)+SUMIF(Timeline!$AD$3:$AD$1500,XP!E16,Timeline!$AE$3:$AE$1500)+SUMIF(Timeline!$AF$3:$AF$1500,XP!E16,Timeline!$AG$3:$AG$1500)</f>
        <v>0</v>
      </c>
      <c r="G16" s="119"/>
      <c r="I16" s="51" t="s">
        <v>202</v>
      </c>
      <c r="J16" s="160">
        <f>SUMIF(Timeline!$D$3:$D$1500,XP!I16,Timeline!$E$3:$E$1500)+SUMIF(Timeline!$F$3:$F$1500,XP!I16,Timeline!$G$3:$G$1500)+SUMIF(Timeline!$H$3:$H$1500,XP!I16,Timeline!$I$3:$I$1500)+SUMIF(Timeline!$J$3:$J$1500,XP!I16,Timeline!$K$3:$K$1500)+SUMIF(Timeline!$L$3:$L$1500,XP!I16,Timeline!$M$3:$M$1500)+SUMIF(Timeline!$N$3:$N$1500,XP!I16,Timeline!$O$3:$O$1500)+SUMIF(Timeline!$P$3:$P$1500,XP!I16,Timeline!$Q$3:$Q$1500)+SUMIF(Timeline!$R$3:$R$1500,XP!I16,Timeline!$S$3:$S$1500)+SUMIF(Timeline!$T$3:$T$1500,XP!I16,Timeline!$U$3:$U$1500)+SUMIF(Timeline!$V$3:$V$1500,XP!I16,Timeline!$W$3:$W$1500)+SUMIF(Timeline!$X$3:$X$1500,XP!I16,Timeline!$Y$3:$Y$1500)+SUMIF(Timeline!$Z$3:$Z$1500,XP!I16,Timeline!$AA$3:$AA$1500)+SUMIF(Timeline!$AB$3:$AB$1500,XP!I16,Timeline!$AC$3:$AC$1500)+SUMIF(Timeline!$AD$3:$AD$1500,XP!I16,Timeline!$AE$3:$AE$1500)+SUMIF(Timeline!$AF$3:$AF$1500,XP!I16,Timeline!$AG$3:$AG$1500)</f>
        <v>0</v>
      </c>
      <c r="K16" s="119"/>
      <c r="L16" s="10"/>
      <c r="M16" s="51" t="str">
        <f>IF(ISBLANK('Start Character'!M35)," ",'Start Character'!M35)</f>
        <v xml:space="preserve"> </v>
      </c>
      <c r="N16" s="157">
        <f>SUMIF(Timeline!$D$3:$D$1500,XP!M16,Timeline!$E$3:$E$1500)+SUMIF(Timeline!$F$3:$F$1500,XP!M16,Timeline!$G$3:$G$1500)+SUMIF(Timeline!$H$3:$H$1500,XP!M16,Timeline!$I$3:$I$1500)+SUMIF(Timeline!$J$3:$J$1500,XP!M16,Timeline!$K$3:$K$1500)+SUMIF(Timeline!$L$3:$L$1500,XP!M16,Timeline!$M$3:$M$1500)+SUMIF(Timeline!$N$3:$N$1500,XP!M16,Timeline!$O$3:$O$1500)+SUMIF(Timeline!$P$3:$P$1500,XP!M16,Timeline!$Q$3:$Q$1500)+SUMIF(Timeline!$R$3:$R$1500,XP!M16,Timeline!$S$3:$S$1500)+SUMIF(Timeline!$T$3:$T$1500,XP!M16,Timeline!$U$3:$U$1500)+SUMIF(Timeline!$V$3:$V$1500,XP!M16,Timeline!$W$3:$W$1500)+SUMIF(Timeline!$X$3:$X$1500,XP!M16,Timeline!$Y$3:$Y$1500)+SUMIF(Timeline!$Z$3:$Z$1500,XP!M16,Timeline!$AA$3:$AA$1500)+SUMIF(Timeline!$AB$3:$AB$1500,XP!M16,Timeline!$AC$3:$AC$1500)+SUMIF(Timeline!$AD$3:$AD$1500,XP!M16,Timeline!$AE$3:$AE$1500)+SUMIF(Timeline!$AF$3:$AF$1500,XP!M16,Timeline!$AG$3:$AG$1500)</f>
        <v>0</v>
      </c>
      <c r="O16" s="188"/>
    </row>
    <row r="17" spans="1:15" x14ac:dyDescent="0.2">
      <c r="A17" s="32" t="s">
        <v>163</v>
      </c>
      <c r="B17" s="160">
        <f>SUMIF(Timeline!$D$3:$D$1500,XP!A17,Timeline!$E$3:$E$1500)+SUMIF(Timeline!$F$3:$F$1500,XP!A17,Timeline!$G$3:$G$1500)+SUMIF(Timeline!$H$3:$H$1500,XP!A17,Timeline!$I$3:$I$1500)+SUMIF(Timeline!$J$3:$J$1500,XP!A17,Timeline!$K$3:$K$1500)+SUMIF(Timeline!$L$3:$L$1500,XP!A17,Timeline!$M$3:$M$1500)+SUMIF(Timeline!$N$3:$N$1500,XP!A17,Timeline!$O$3:$O$1500)+SUMIF(Timeline!$P$3:$P$1500,XP!A17,Timeline!$Q$3:$Q$1500)+SUMIF(Timeline!$R$3:$R$1500,XP!A17,Timeline!$S$3:$S$1500)+SUMIF(Timeline!$T$3:$T$1500,XP!A17,Timeline!$U$3:$U$1500)+SUMIF(Timeline!$V$3:$V$1500,XP!A17,Timeline!$W$3:$W$1500)+SUMIF(Timeline!$X$3:$X$1500,XP!A17,Timeline!$Y$3:$Y$1500)+SUMIF(Timeline!$Z$3:$Z$1500,XP!A17,Timeline!$AA$3:$AA$1500)+SUMIF(Timeline!$AB$3:$AB$1500,XP!A17,Timeline!$AC$3:$AC$1500)+SUMIF(Timeline!$AD$3:$AD$1500,XP!A17,Timeline!$AE$3:$AE$1500)+SUMIF(Timeline!$AF$3:$AF$1500,XP!A17,Timeline!$AG$3:$AG$1500)</f>
        <v>0</v>
      </c>
      <c r="C17" s="119"/>
      <c r="D17" s="10"/>
      <c r="G17" s="30"/>
      <c r="I17" s="51" t="s">
        <v>39</v>
      </c>
      <c r="J17" s="160">
        <f>SUMIF(Timeline!$D$3:$D$1500,XP!I17,Timeline!$E$3:$E$1500)+SUMIF(Timeline!$F$3:$F$1500,XP!I17,Timeline!$G$3:$G$1500)+SUMIF(Timeline!$H$3:$H$1500,XP!I17,Timeline!$I$3:$I$1500)+SUMIF(Timeline!$J$3:$J$1500,XP!I17,Timeline!$K$3:$K$1500)+SUMIF(Timeline!$L$3:$L$1500,XP!I17,Timeline!$M$3:$M$1500)+SUMIF(Timeline!$N$3:$N$1500,XP!I17,Timeline!$O$3:$O$1500)+SUMIF(Timeline!$P$3:$P$1500,XP!I17,Timeline!$Q$3:$Q$1500)+SUMIF(Timeline!$R$3:$R$1500,XP!I17,Timeline!$S$3:$S$1500)+SUMIF(Timeline!$T$3:$T$1500,XP!I17,Timeline!$U$3:$U$1500)+SUMIF(Timeline!$V$3:$V$1500,XP!I17,Timeline!$W$3:$W$1500)+SUMIF(Timeline!$X$3:$X$1500,XP!I17,Timeline!$Y$3:$Y$1500)+SUMIF(Timeline!$Z$3:$Z$1500,XP!I17,Timeline!$AA$3:$AA$1500)+SUMIF(Timeline!$AB$3:$AB$1500,XP!I17,Timeline!$AC$3:$AC$1500)+SUMIF(Timeline!$AD$3:$AD$1500,XP!I17,Timeline!$AE$3:$AE$1500)+SUMIF(Timeline!$AF$3:$AF$1500,XP!I17,Timeline!$AG$3:$AG$1500)</f>
        <v>0</v>
      </c>
      <c r="K17" s="119"/>
      <c r="L17" s="10"/>
      <c r="M17" s="51" t="str">
        <f>IF(ISBLANK('Start Character'!M36)," ",'Start Character'!M36)</f>
        <v xml:space="preserve"> </v>
      </c>
      <c r="N17" s="157">
        <f>SUMIF(Timeline!$D$3:$D$1500,XP!M17,Timeline!$E$3:$E$1500)+SUMIF(Timeline!$F$3:$F$1500,XP!M17,Timeline!$G$3:$G$1500)+SUMIF(Timeline!$H$3:$H$1500,XP!M17,Timeline!$I$3:$I$1500)+SUMIF(Timeline!$J$3:$J$1500,XP!M17,Timeline!$K$3:$K$1500)+SUMIF(Timeline!$L$3:$L$1500,XP!M17,Timeline!$M$3:$M$1500)+SUMIF(Timeline!$N$3:$N$1500,XP!M17,Timeline!$O$3:$O$1500)+SUMIF(Timeline!$P$3:$P$1500,XP!M17,Timeline!$Q$3:$Q$1500)+SUMIF(Timeline!$R$3:$R$1500,XP!M17,Timeline!$S$3:$S$1500)+SUMIF(Timeline!$T$3:$T$1500,XP!M17,Timeline!$U$3:$U$1500)+SUMIF(Timeline!$V$3:$V$1500,XP!M17,Timeline!$W$3:$W$1500)+SUMIF(Timeline!$X$3:$X$1500,XP!M17,Timeline!$Y$3:$Y$1500)+SUMIF(Timeline!$Z$3:$Z$1500,XP!M17,Timeline!$AA$3:$AA$1500)+SUMIF(Timeline!$AB$3:$AB$1500,XP!M17,Timeline!$AC$3:$AC$1500)+SUMIF(Timeline!$AD$3:$AD$1500,XP!M17,Timeline!$AE$3:$AE$1500)+SUMIF(Timeline!$AF$3:$AF$1500,XP!M17,Timeline!$AG$3:$AG$1500)</f>
        <v>0</v>
      </c>
      <c r="O17" s="188"/>
    </row>
    <row r="18" spans="1:15" x14ac:dyDescent="0.2">
      <c r="A18" s="32" t="s">
        <v>210</v>
      </c>
      <c r="B18" s="160">
        <f>SUMIF(Timeline!$D$3:$D$1500,XP!A18,Timeline!$E$3:$E$1500)+SUMIF(Timeline!$F$3:$F$1500,XP!A18,Timeline!$G$3:$G$1500)+SUMIF(Timeline!$H$3:$H$1500,XP!A18,Timeline!$I$3:$I$1500)+SUMIF(Timeline!$J$3:$J$1500,XP!A18,Timeline!$K$3:$K$1500)+SUMIF(Timeline!$L$3:$L$1500,XP!A18,Timeline!$M$3:$M$1500)+SUMIF(Timeline!$N$3:$N$1500,XP!A18,Timeline!$O$3:$O$1500)+SUMIF(Timeline!$P$3:$P$1500,XP!A18,Timeline!$Q$3:$Q$1500)+SUMIF(Timeline!$R$3:$R$1500,XP!A18,Timeline!$S$3:$S$1500)+SUMIF(Timeline!$T$3:$T$1500,XP!A18,Timeline!$U$3:$U$1500)+SUMIF(Timeline!$V$3:$V$1500,XP!A18,Timeline!$W$3:$W$1500)+SUMIF(Timeline!$X$3:$X$1500,XP!A18,Timeline!$Y$3:$Y$1500)+SUMIF(Timeline!$Z$3:$Z$1500,XP!A18,Timeline!$AA$3:$AA$1500)+SUMIF(Timeline!$AB$3:$AB$1500,XP!A18,Timeline!$AC$3:$AC$1500)+SUMIF(Timeline!$AD$3:$AD$1500,XP!A18,Timeline!$AE$3:$AE$1500)+SUMIF(Timeline!$AF$3:$AF$1500,XP!A18,Timeline!$AG$3:$AG$1500)</f>
        <v>0</v>
      </c>
      <c r="C18" s="119"/>
      <c r="D18" s="10"/>
      <c r="E18" s="703" t="s">
        <v>218</v>
      </c>
      <c r="F18" s="704"/>
      <c r="G18" s="707"/>
      <c r="I18" s="51" t="s">
        <v>73</v>
      </c>
      <c r="J18" s="160">
        <f>SUMIF(Timeline!$D$3:$D$1500,XP!I18,Timeline!$E$3:$E$1500)+SUMIF(Timeline!$F$3:$F$1500,XP!I18,Timeline!$G$3:$G$1500)+SUMIF(Timeline!$H$3:$H$1500,XP!I18,Timeline!$I$3:$I$1500)+SUMIF(Timeline!$J$3:$J$1500,XP!I18,Timeline!$K$3:$K$1500)+SUMIF(Timeline!$L$3:$L$1500,XP!I18,Timeline!$M$3:$M$1500)+SUMIF(Timeline!$N$3:$N$1500,XP!I18,Timeline!$O$3:$O$1500)+SUMIF(Timeline!$P$3:$P$1500,XP!I18,Timeline!$Q$3:$Q$1500)+SUMIF(Timeline!$R$3:$R$1500,XP!I18,Timeline!$S$3:$S$1500)+SUMIF(Timeline!$T$3:$T$1500,XP!I18,Timeline!$U$3:$U$1500)+SUMIF(Timeline!$V$3:$V$1500,XP!I18,Timeline!$W$3:$W$1500)+SUMIF(Timeline!$X$3:$X$1500,XP!I18,Timeline!$Y$3:$Y$1500)+SUMIF(Timeline!$Z$3:$Z$1500,XP!I18,Timeline!$AA$3:$AA$1500)+SUMIF(Timeline!$AB$3:$AB$1500,XP!I18,Timeline!$AC$3:$AC$1500)+SUMIF(Timeline!$AD$3:$AD$1500,XP!I18,Timeline!$AE$3:$AE$1500)+SUMIF(Timeline!$AF$3:$AF$1500,XP!I18,Timeline!$AG$3:$AG$1500)</f>
        <v>0</v>
      </c>
      <c r="K18" s="119"/>
      <c r="L18" s="10"/>
      <c r="M18" s="51" t="str">
        <f>IF(ISBLANK('Start Character'!M37)," ",'Start Character'!M37)</f>
        <v xml:space="preserve"> </v>
      </c>
      <c r="N18" s="157">
        <f>SUMIF(Timeline!$D$3:$D$1500,XP!M18,Timeline!$E$3:$E$1500)+SUMIF(Timeline!$F$3:$F$1500,XP!M18,Timeline!$G$3:$G$1500)+SUMIF(Timeline!$H$3:$H$1500,XP!M18,Timeline!$I$3:$I$1500)+SUMIF(Timeline!$J$3:$J$1500,XP!M18,Timeline!$K$3:$K$1500)+SUMIF(Timeline!$L$3:$L$1500,XP!M18,Timeline!$M$3:$M$1500)+SUMIF(Timeline!$N$3:$N$1500,XP!M18,Timeline!$O$3:$O$1500)+SUMIF(Timeline!$P$3:$P$1500,XP!M18,Timeline!$Q$3:$Q$1500)+SUMIF(Timeline!$R$3:$R$1500,XP!M18,Timeline!$S$3:$S$1500)+SUMIF(Timeline!$T$3:$T$1500,XP!M18,Timeline!$U$3:$U$1500)+SUMIF(Timeline!$V$3:$V$1500,XP!M18,Timeline!$W$3:$W$1500)+SUMIF(Timeline!$X$3:$X$1500,XP!M18,Timeline!$Y$3:$Y$1500)+SUMIF(Timeline!$Z$3:$Z$1500,XP!M18,Timeline!$AA$3:$AA$1500)+SUMIF(Timeline!$AB$3:$AB$1500,XP!M18,Timeline!$AC$3:$AC$1500)+SUMIF(Timeline!$AD$3:$AD$1500,XP!M18,Timeline!$AE$3:$AE$1500)+SUMIF(Timeline!$AF$3:$AF$1500,XP!M18,Timeline!$AG$3:$AG$1500)</f>
        <v>0</v>
      </c>
      <c r="O18" s="188"/>
    </row>
    <row r="19" spans="1:15" x14ac:dyDescent="0.2">
      <c r="A19" s="32" t="s">
        <v>24</v>
      </c>
      <c r="B19" s="160">
        <f>SUMIF(Timeline!$D$3:$D$1500,XP!A19,Timeline!$E$3:$E$1500)+SUMIF(Timeline!$F$3:$F$1500,XP!A19,Timeline!$G$3:$G$1500)+SUMIF(Timeline!$H$3:$H$1500,XP!A19,Timeline!$I$3:$I$1500)+SUMIF(Timeline!$J$3:$J$1500,XP!A19,Timeline!$K$3:$K$1500)+SUMIF(Timeline!$L$3:$L$1500,XP!A19,Timeline!$M$3:$M$1500)+SUMIF(Timeline!$N$3:$N$1500,XP!A19,Timeline!$O$3:$O$1500)+SUMIF(Timeline!$P$3:$P$1500,XP!A19,Timeline!$Q$3:$Q$1500)+SUMIF(Timeline!$R$3:$R$1500,XP!A19,Timeline!$S$3:$S$1500)+SUMIF(Timeline!$T$3:$T$1500,XP!A19,Timeline!$U$3:$U$1500)+SUMIF(Timeline!$V$3:$V$1500,XP!A19,Timeline!$W$3:$W$1500)+SUMIF(Timeline!$X$3:$X$1500,XP!A19,Timeline!$Y$3:$Y$1500)+SUMIF(Timeline!$Z$3:$Z$1500,XP!A19,Timeline!$AA$3:$AA$1500)+SUMIF(Timeline!$AB$3:$AB$1500,XP!A19,Timeline!$AC$3:$AC$1500)+SUMIF(Timeline!$AD$3:$AD$1500,XP!A19,Timeline!$AE$3:$AE$1500)+SUMIF(Timeline!$AF$3:$AF$1500,XP!A19,Timeline!$AG$3:$AG$1500)</f>
        <v>0</v>
      </c>
      <c r="C19" s="119"/>
      <c r="D19" s="10"/>
      <c r="E19" s="46" t="str">
        <f>IF(ISBLANK('Start Character'!E38)," ",'Start Character'!E38)</f>
        <v xml:space="preserve"> </v>
      </c>
      <c r="F19" s="154">
        <f>SUMIF(Timeline!$D$3:$D$1500,XP!E19,Timeline!$E$3:$E$1500)+SUMIF(Timeline!$F$3:$F$1500,XP!E19,Timeline!$G$3:$G$1500)+SUMIF(Timeline!$H$3:$H$1500,XP!E19,Timeline!$I$3:$I$1500)+SUMIF(Timeline!$J$3:$J$1500,XP!E19,Timeline!$K$3:$K$1500)+SUMIF(Timeline!$L$3:$L$1500,XP!E19,Timeline!$M$3:$M$1500)+SUMIF(Timeline!$N$3:$N$1500,XP!E19,Timeline!$O$3:$O$1500)+SUMIF(Timeline!$P$3:$P$1500,XP!E19,Timeline!$Q$3:$Q$1500)+SUMIF(Timeline!$R$3:$R$1500,XP!E19,Timeline!$S$3:$S$1500)+SUMIF(Timeline!$T$3:$T$1500,XP!E19,Timeline!$U$3:$U$1500)+SUMIF(Timeline!$V$3:$V$1500,XP!E19,Timeline!$W$3:$W$1500)+SUMIF(Timeline!$X$3:$X$1500,XP!E19,Timeline!$Y$3:$Y$1500)+SUMIF(Timeline!$Z$3:$Z$1500,XP!E19,Timeline!$AA$3:$AA$1500)+SUMIF(Timeline!$AB$3:$AB$1500,XP!E19,Timeline!$AC$3:$AC$1500)+SUMIF(Timeline!$AD$3:$AD$1500,XP!E19,Timeline!$AE$3:$AE$1500)+SUMIF(Timeline!$AF$3:$AF$1500,XP!E19,Timeline!$AG$3:$AG$1500)</f>
        <v>0</v>
      </c>
      <c r="G19" s="119"/>
      <c r="I19" s="190" t="s">
        <v>41</v>
      </c>
      <c r="J19" s="191">
        <f>SUMIF(Timeline!$D$3:$D$1500,XP!I19,Timeline!$E$3:$E$1500)+SUMIF(Timeline!$F$3:$F$1500,XP!I19,Timeline!$G$3:$G$1500)+SUMIF(Timeline!$H$3:$H$1500,XP!I19,Timeline!$I$3:$I$1500)+SUMIF(Timeline!$J$3:$J$1500,XP!I19,Timeline!$K$3:$K$1500)+SUMIF(Timeline!$L$3:$L$1500,XP!I19,Timeline!$M$3:$M$1500)+SUMIF(Timeline!$N$3:$N$1500,XP!I19,Timeline!$O$3:$O$1500)+SUMIF(Timeline!$P$3:$P$1500,XP!I19,Timeline!$Q$3:$Q$1500)+SUMIF(Timeline!$R$3:$R$1500,XP!I19,Timeline!$S$3:$S$1500)+SUMIF(Timeline!$T$3:$T$1500,XP!I19,Timeline!$U$3:$U$1500)+SUMIF(Timeline!$V$3:$V$1500,XP!I19,Timeline!$W$3:$W$1500)+SUMIF(Timeline!$X$3:$X$1500,XP!I19,Timeline!$Y$3:$Y$1500)+SUMIF(Timeline!$Z$3:$Z$1500,XP!I19,Timeline!$AA$3:$AA$1500)+SUMIF(Timeline!$AB$3:$AB$1500,XP!I19,Timeline!$AC$3:$AC$1500)+SUMIF(Timeline!$AD$3:$AD$1500,XP!I19,Timeline!$AE$3:$AE$1500)+SUMIF(Timeline!$AF$3:$AF$1500,XP!I19,Timeline!$AG$3:$AG$1500)</f>
        <v>0</v>
      </c>
      <c r="K19" s="119"/>
      <c r="M19" s="190" t="str">
        <f>IF(ISBLANK('Start Character'!M38)," ",'Start Character'!M38)</f>
        <v xml:space="preserve"> </v>
      </c>
      <c r="N19" s="198">
        <f>SUMIF(Timeline!$D$3:$D$1500,XP!M19,Timeline!$E$3:$E$1500)+SUMIF(Timeline!$F$3:$F$1500,XP!M19,Timeline!$G$3:$G$1500)+SUMIF(Timeline!$H$3:$H$1500,XP!M19,Timeline!$I$3:$I$1500)+SUMIF(Timeline!$J$3:$J$1500,XP!M19,Timeline!$K$3:$K$1500)+SUMIF(Timeline!$L$3:$L$1500,XP!M19,Timeline!$M$3:$M$1500)+SUMIF(Timeline!$N$3:$N$1500,XP!M19,Timeline!$O$3:$O$1500)+SUMIF(Timeline!$P$3:$P$1500,XP!M19,Timeline!$Q$3:$Q$1500)+SUMIF(Timeline!$R$3:$R$1500,XP!M19,Timeline!$S$3:$S$1500)+SUMIF(Timeline!$T$3:$T$1500,XP!M19,Timeline!$U$3:$U$1500)+SUMIF(Timeline!$V$3:$V$1500,XP!M19,Timeline!$W$3:$W$1500)+SUMIF(Timeline!$X$3:$X$1500,XP!M19,Timeline!$Y$3:$Y$1500)+SUMIF(Timeline!$Z$3:$Z$1500,XP!M19,Timeline!$AA$3:$AA$1500)+SUMIF(Timeline!$AB$3:$AB$1500,XP!M19,Timeline!$AC$3:$AC$1500)+SUMIF(Timeline!$AD$3:$AD$1500,XP!M19,Timeline!$AE$3:$AE$1500)+SUMIF(Timeline!$AF$3:$AF$1500,XP!M19,Timeline!$AG$3:$AG$1500)</f>
        <v>0</v>
      </c>
      <c r="O19" s="188"/>
    </row>
    <row r="20" spans="1:15" x14ac:dyDescent="0.2">
      <c r="A20" s="32" t="s">
        <v>22</v>
      </c>
      <c r="B20" s="160">
        <f>SUMIF(Timeline!$D$3:$D$1500,XP!A20,Timeline!$E$3:$E$1500)+SUMIF(Timeline!$F$3:$F$1500,XP!A20,Timeline!$G$3:$G$1500)+SUMIF(Timeline!$H$3:$H$1500,XP!A20,Timeline!$I$3:$I$1500)+SUMIF(Timeline!$J$3:$J$1500,XP!A20,Timeline!$K$3:$K$1500)+SUMIF(Timeline!$L$3:$L$1500,XP!A20,Timeline!$M$3:$M$1500)+SUMIF(Timeline!$N$3:$N$1500,XP!A20,Timeline!$O$3:$O$1500)+SUMIF(Timeline!$P$3:$P$1500,XP!A20,Timeline!$Q$3:$Q$1500)+SUMIF(Timeline!$R$3:$R$1500,XP!A20,Timeline!$S$3:$S$1500)+SUMIF(Timeline!$T$3:$T$1500,XP!A20,Timeline!$U$3:$U$1500)+SUMIF(Timeline!$V$3:$V$1500,XP!A20,Timeline!$W$3:$W$1500)+SUMIF(Timeline!$X$3:$X$1500,XP!A20,Timeline!$Y$3:$Y$1500)+SUMIF(Timeline!$Z$3:$Z$1500,XP!A20,Timeline!$AA$3:$AA$1500)+SUMIF(Timeline!$AB$3:$AB$1500,XP!A20,Timeline!$AC$3:$AC$1500)+SUMIF(Timeline!$AD$3:$AD$1500,XP!A20,Timeline!$AE$3:$AE$1500)+SUMIF(Timeline!$AF$3:$AF$1500,XP!A20,Timeline!$AG$3:$AG$1500)</f>
        <v>0</v>
      </c>
      <c r="C20" s="119"/>
      <c r="D20" s="10"/>
      <c r="E20" s="48" t="str">
        <f>IF(ISBLANK('Start Character'!E39)," ",'Start Character'!E39)</f>
        <v xml:space="preserve"> </v>
      </c>
      <c r="F20" s="157">
        <f>SUMIF(Timeline!$D$3:$D$1500,XP!E20,Timeline!$E$3:$E$1500)+SUMIF(Timeline!$F$3:$F$1500,XP!E20,Timeline!$G$3:$G$1500)+SUMIF(Timeline!$H$3:$H$1500,XP!E20,Timeline!$I$3:$I$1500)+SUMIF(Timeline!$J$3:$J$1500,XP!E20,Timeline!$K$3:$K$1500)+SUMIF(Timeline!$L$3:$L$1500,XP!E20,Timeline!$M$3:$M$1500)+SUMIF(Timeline!$N$3:$N$1500,XP!E20,Timeline!$O$3:$O$1500)+SUMIF(Timeline!$P$3:$P$1500,XP!E20,Timeline!$Q$3:$Q$1500)+SUMIF(Timeline!$R$3:$R$1500,XP!E20,Timeline!$S$3:$S$1500)+SUMIF(Timeline!$T$3:$T$1500,XP!E20,Timeline!$U$3:$U$1500)+SUMIF(Timeline!$V$3:$V$1500,XP!E20,Timeline!$W$3:$W$1500)+SUMIF(Timeline!$X$3:$X$1500,XP!E20,Timeline!$Y$3:$Y$1500)+SUMIF(Timeline!$Z$3:$Z$1500,XP!E20,Timeline!$AA$3:$AA$1500)+SUMIF(Timeline!$AB$3:$AB$1500,XP!E20,Timeline!$AC$3:$AC$1500)+SUMIF(Timeline!$AD$3:$AD$1500,XP!E20,Timeline!$AE$3:$AE$1500)+SUMIF(Timeline!$AF$3:$AF$1500,XP!E20,Timeline!$AG$3:$AG$1500)</f>
        <v>0</v>
      </c>
      <c r="G20" s="119"/>
      <c r="K20" s="30"/>
    </row>
    <row r="21" spans="1:15" x14ac:dyDescent="0.2">
      <c r="A21" s="32" t="s">
        <v>164</v>
      </c>
      <c r="B21" s="160">
        <f>SUMIF(Timeline!$D$3:$D$1500,XP!A21,Timeline!$E$3:$E$1500)+SUMIF(Timeline!$F$3:$F$1500,XP!A21,Timeline!$G$3:$G$1500)+SUMIF(Timeline!$H$3:$H$1500,XP!A21,Timeline!$I$3:$I$1500)+SUMIF(Timeline!$J$3:$J$1500,XP!A21,Timeline!$K$3:$K$1500)+SUMIF(Timeline!$L$3:$L$1500,XP!A21,Timeline!$M$3:$M$1500)+SUMIF(Timeline!$N$3:$N$1500,XP!A21,Timeline!$O$3:$O$1500)+SUMIF(Timeline!$P$3:$P$1500,XP!A21,Timeline!$Q$3:$Q$1500)+SUMIF(Timeline!$R$3:$R$1500,XP!A21,Timeline!$S$3:$S$1500)+SUMIF(Timeline!$T$3:$T$1500,XP!A21,Timeline!$U$3:$U$1500)+SUMIF(Timeline!$V$3:$V$1500,XP!A21,Timeline!$W$3:$W$1500)+SUMIF(Timeline!$X$3:$X$1500,XP!A21,Timeline!$Y$3:$Y$1500)+SUMIF(Timeline!$Z$3:$Z$1500,XP!A21,Timeline!$AA$3:$AA$1500)+SUMIF(Timeline!$AB$3:$AB$1500,XP!A21,Timeline!$AC$3:$AC$1500)+SUMIF(Timeline!$AD$3:$AD$1500,XP!A21,Timeline!$AE$3:$AE$1500)+SUMIF(Timeline!$AF$3:$AF$1500,XP!A21,Timeline!$AG$3:$AG$1500)</f>
        <v>0</v>
      </c>
      <c r="C21" s="119"/>
      <c r="D21" s="10"/>
      <c r="E21" s="48" t="str">
        <f>IF(ISBLANK('Start Character'!E40)," ",'Start Character'!E40)</f>
        <v xml:space="preserve"> </v>
      </c>
      <c r="F21" s="157">
        <f>SUMIF(Timeline!$D$3:$D$1500,XP!E21,Timeline!$E$3:$E$1500)+SUMIF(Timeline!$F$3:$F$1500,XP!E21,Timeline!$G$3:$G$1500)+SUMIF(Timeline!$H$3:$H$1500,XP!E21,Timeline!$I$3:$I$1500)+SUMIF(Timeline!$J$3:$J$1500,XP!E21,Timeline!$K$3:$K$1500)+SUMIF(Timeline!$L$3:$L$1500,XP!E21,Timeline!$M$3:$M$1500)+SUMIF(Timeline!$N$3:$N$1500,XP!E21,Timeline!$O$3:$O$1500)+SUMIF(Timeline!$P$3:$P$1500,XP!E21,Timeline!$Q$3:$Q$1500)+SUMIF(Timeline!$R$3:$R$1500,XP!E21,Timeline!$S$3:$S$1500)+SUMIF(Timeline!$T$3:$T$1500,XP!E21,Timeline!$U$3:$U$1500)+SUMIF(Timeline!$V$3:$V$1500,XP!E21,Timeline!$W$3:$W$1500)+SUMIF(Timeline!$X$3:$X$1500,XP!E21,Timeline!$Y$3:$Y$1500)+SUMIF(Timeline!$Z$3:$Z$1500,XP!E21,Timeline!$AA$3:$AA$1500)+SUMIF(Timeline!$AB$3:$AB$1500,XP!E21,Timeline!$AC$3:$AC$1500)+SUMIF(Timeline!$AD$3:$AD$1500,XP!E21,Timeline!$AE$3:$AE$1500)+SUMIF(Timeline!$AF$3:$AF$1500,XP!E21,Timeline!$AG$3:$AG$1500)</f>
        <v>0</v>
      </c>
      <c r="G21" s="119"/>
      <c r="I21" s="703" t="s">
        <v>98</v>
      </c>
      <c r="J21" s="706"/>
      <c r="K21" s="707"/>
      <c r="L21" s="6"/>
      <c r="M21" s="138" t="s">
        <v>112</v>
      </c>
      <c r="N21" s="138"/>
      <c r="O21" s="138"/>
    </row>
    <row r="22" spans="1:15" x14ac:dyDescent="0.2">
      <c r="A22" s="32" t="s">
        <v>211</v>
      </c>
      <c r="B22" s="160">
        <f>SUMIF(Timeline!$D$3:$D$1500,XP!A22,Timeline!$E$3:$E$1500)+SUMIF(Timeline!$F$3:$F$1500,XP!A22,Timeline!$G$3:$G$1500)+SUMIF(Timeline!$H$3:$H$1500,XP!A22,Timeline!$I$3:$I$1500)+SUMIF(Timeline!$J$3:$J$1500,XP!A22,Timeline!$K$3:$K$1500)+SUMIF(Timeline!$L$3:$L$1500,XP!A22,Timeline!$M$3:$M$1500)+SUMIF(Timeline!$N$3:$N$1500,XP!A22,Timeline!$O$3:$O$1500)+SUMIF(Timeline!$P$3:$P$1500,XP!A22,Timeline!$Q$3:$Q$1500)+SUMIF(Timeline!$R$3:$R$1500,XP!A22,Timeline!$S$3:$S$1500)+SUMIF(Timeline!$T$3:$T$1500,XP!A22,Timeline!$U$3:$U$1500)+SUMIF(Timeline!$V$3:$V$1500,XP!A22,Timeline!$W$3:$W$1500)+SUMIF(Timeline!$X$3:$X$1500,XP!A22,Timeline!$Y$3:$Y$1500)+SUMIF(Timeline!$Z$3:$Z$1500,XP!A22,Timeline!$AA$3:$AA$1500)+SUMIF(Timeline!$AB$3:$AB$1500,XP!A22,Timeline!$AC$3:$AC$1500)+SUMIF(Timeline!$AD$3:$AD$1500,XP!A22,Timeline!$AE$3:$AE$1500)+SUMIF(Timeline!$AF$3:$AF$1500,XP!A22,Timeline!$AG$3:$AG$1500)</f>
        <v>0</v>
      </c>
      <c r="C22" s="119"/>
      <c r="D22" s="10"/>
      <c r="E22" s="48" t="str">
        <f>IF(ISBLANK('Start Character'!E41)," ",'Start Character'!E41)</f>
        <v xml:space="preserve"> </v>
      </c>
      <c r="F22" s="157">
        <f>SUMIF(Timeline!$D$3:$D$1500,XP!E22,Timeline!$E$3:$E$1500)+SUMIF(Timeline!$F$3:$F$1500,XP!E22,Timeline!$G$3:$G$1500)+SUMIF(Timeline!$H$3:$H$1500,XP!E22,Timeline!$I$3:$I$1500)+SUMIF(Timeline!$J$3:$J$1500,XP!E22,Timeline!$K$3:$K$1500)+SUMIF(Timeline!$L$3:$L$1500,XP!E22,Timeline!$M$3:$M$1500)+SUMIF(Timeline!$N$3:$N$1500,XP!E22,Timeline!$O$3:$O$1500)+SUMIF(Timeline!$P$3:$P$1500,XP!E22,Timeline!$Q$3:$Q$1500)+SUMIF(Timeline!$R$3:$R$1500,XP!E22,Timeline!$S$3:$S$1500)+SUMIF(Timeline!$T$3:$T$1500,XP!E22,Timeline!$U$3:$U$1500)+SUMIF(Timeline!$V$3:$V$1500,XP!E22,Timeline!$W$3:$W$1500)+SUMIF(Timeline!$X$3:$X$1500,XP!E22,Timeline!$Y$3:$Y$1500)+SUMIF(Timeline!$Z$3:$Z$1500,XP!E22,Timeline!$AA$3:$AA$1500)+SUMIF(Timeline!$AB$3:$AB$1500,XP!E22,Timeline!$AC$3:$AC$1500)+SUMIF(Timeline!$AD$3:$AD$1500,XP!E22,Timeline!$AE$3:$AE$1500)+SUMIF(Timeline!$AF$3:$AF$1500,XP!E22,Timeline!$AG$3:$AG$1500)</f>
        <v>0</v>
      </c>
      <c r="G22" s="119"/>
      <c r="I22" s="151" t="s">
        <v>203</v>
      </c>
      <c r="J22" s="157">
        <f>SUMIF(Timeline!$D$3:$D$1500,XP!I22,Timeline!$E$3:$E$1500)+SUMIF(Timeline!$F$3:$F$1500,XP!I22,Timeline!$G$3:$G$1500)+SUMIF(Timeline!$H$3:$H$1500,XP!I22,Timeline!$I$3:$I$1500)+SUMIF(Timeline!$J$3:$J$1500,XP!I22,Timeline!$K$3:$K$1500)+SUMIF(Timeline!$L$3:$L$1500,XP!I22,Timeline!$M$3:$M$1500)+SUMIF(Timeline!$N$3:$N$1500,XP!I22,Timeline!$O$3:$O$1500)+SUMIF(Timeline!$P$3:$P$1500,XP!I22,Timeline!$Q$3:$Q$1500)+SUMIF(Timeline!$R$3:$R$1500,XP!I22,Timeline!$S$3:$S$1500)+SUMIF(Timeline!$T$3:$T$1500,XP!I22,Timeline!$U$3:$U$1500)+SUMIF(Timeline!$V$3:$V$1500,XP!I22,Timeline!$W$3:$W$1500)+SUMIF(Timeline!$X$3:$X$1500,XP!I22,Timeline!$Y$3:$Y$1500)+SUMIF(Timeline!$Z$3:$Z$1500,XP!I22,Timeline!$AA$3:$AA$1500)+SUMIF(Timeline!$AB$3:$AB$1500,XP!I22,Timeline!$AC$3:$AC$1500)+SUMIF(Timeline!$AD$3:$AD$1500,XP!I22,Timeline!$AE$3:$AE$1500)+SUMIF(Timeline!$AF$3:$AF$1500,XP!I22,Timeline!$AG$3:$AG$1500)</f>
        <v>0</v>
      </c>
      <c r="K22" s="119"/>
      <c r="L22" s="6"/>
      <c r="M22" s="50" t="str">
        <f>IF(ISBLANK('Start Character'!M41)," ",'Start Character'!M41)</f>
        <v xml:space="preserve"> </v>
      </c>
      <c r="N22" s="154">
        <f>SUMIF(Timeline!$D$3:$D$1500,XP!M22,Timeline!$E$3:$E$1500)+SUMIF(Timeline!$F$3:$F$1500,XP!M22,Timeline!$G$3:$G$1500)+SUMIF(Timeline!$H$3:$H$1500,XP!M22,Timeline!$I$3:$I$1500)+SUMIF(Timeline!$J$3:$J$1500,XP!M22,Timeline!$K$3:$K$1500)+SUMIF(Timeline!$L$3:$L$1500,XP!M22,Timeline!$M$3:$M$1500)+SUMIF(Timeline!$N$3:$N$1500,XP!M22,Timeline!$O$3:$O$1500)+SUMIF(Timeline!$P$3:$P$1500,XP!M22,Timeline!$Q$3:$Q$1500)+SUMIF(Timeline!$R$3:$R$1500,XP!M22,Timeline!$S$3:$S$1500)+SUMIF(Timeline!$T$3:$T$1500,XP!M22,Timeline!$U$3:$U$1500)+SUMIF(Timeline!$V$3:$V$1500,XP!M22,Timeline!$W$3:$W$1500)+SUMIF(Timeline!$X$3:$X$1500,XP!M22,Timeline!$Y$3:$Y$1500)+SUMIF(Timeline!$Z$3:$Z$1500,XP!M22,Timeline!$AA$3:$AA$1500)+SUMIF(Timeline!$AB$3:$AB$1500,XP!M22,Timeline!$AC$3:$AC$1500)+SUMIF(Timeline!$AD$3:$AD$1500,XP!M22,Timeline!$AE$3:$AE$1500)+SUMIF(Timeline!$AF$3:$AF$1500,XP!M22,Timeline!$AG$3:$AG$1500)</f>
        <v>0</v>
      </c>
      <c r="O22" s="119"/>
    </row>
    <row r="23" spans="1:15" x14ac:dyDescent="0.2">
      <c r="A23" s="32" t="s">
        <v>212</v>
      </c>
      <c r="B23" s="160">
        <f>SUMIF(Timeline!$D$3:$D$1500,XP!A23,Timeline!$E$3:$E$1500)+SUMIF(Timeline!$F$3:$F$1500,XP!A23,Timeline!$G$3:$G$1500)+SUMIF(Timeline!$H$3:$H$1500,XP!A23,Timeline!$I$3:$I$1500)+SUMIF(Timeline!$J$3:$J$1500,XP!A23,Timeline!$K$3:$K$1500)+SUMIF(Timeline!$L$3:$L$1500,XP!A23,Timeline!$M$3:$M$1500)+SUMIF(Timeline!$N$3:$N$1500,XP!A23,Timeline!$O$3:$O$1500)+SUMIF(Timeline!$P$3:$P$1500,XP!A23,Timeline!$Q$3:$Q$1500)+SUMIF(Timeline!$R$3:$R$1500,XP!A23,Timeline!$S$3:$S$1500)+SUMIF(Timeline!$T$3:$T$1500,XP!A23,Timeline!$U$3:$U$1500)+SUMIF(Timeline!$V$3:$V$1500,XP!A23,Timeline!$W$3:$W$1500)+SUMIF(Timeline!$X$3:$X$1500,XP!A23,Timeline!$Y$3:$Y$1500)+SUMIF(Timeline!$Z$3:$Z$1500,XP!A23,Timeline!$AA$3:$AA$1500)+SUMIF(Timeline!$AB$3:$AB$1500,XP!A23,Timeline!$AC$3:$AC$1500)+SUMIF(Timeline!$AD$3:$AD$1500,XP!A23,Timeline!$AE$3:$AE$1500)+SUMIF(Timeline!$AF$3:$AF$1500,XP!A23,Timeline!$AG$3:$AG$1500)</f>
        <v>0</v>
      </c>
      <c r="C23" s="119"/>
      <c r="D23" s="10"/>
      <c r="E23" s="48" t="str">
        <f>IF(ISBLANK('Start Character'!E42)," ",'Start Character'!E42)</f>
        <v xml:space="preserve"> </v>
      </c>
      <c r="F23" s="157">
        <f>SUMIF(Timeline!$D$3:$D$1500,XP!E23,Timeline!$E$3:$E$1500)+SUMIF(Timeline!$F$3:$F$1500,XP!E23,Timeline!$G$3:$G$1500)+SUMIF(Timeline!$H$3:$H$1500,XP!E23,Timeline!$I$3:$I$1500)+SUMIF(Timeline!$J$3:$J$1500,XP!E23,Timeline!$K$3:$K$1500)+SUMIF(Timeline!$L$3:$L$1500,XP!E23,Timeline!$M$3:$M$1500)+SUMIF(Timeline!$N$3:$N$1500,XP!E23,Timeline!$O$3:$O$1500)+SUMIF(Timeline!$P$3:$P$1500,XP!E23,Timeline!$Q$3:$Q$1500)+SUMIF(Timeline!$R$3:$R$1500,XP!E23,Timeline!$S$3:$S$1500)+SUMIF(Timeline!$T$3:$T$1500,XP!E23,Timeline!$U$3:$U$1500)+SUMIF(Timeline!$V$3:$V$1500,XP!E23,Timeline!$W$3:$W$1500)+SUMIF(Timeline!$X$3:$X$1500,XP!E23,Timeline!$Y$3:$Y$1500)+SUMIF(Timeline!$Z$3:$Z$1500,XP!E23,Timeline!$AA$3:$AA$1500)+SUMIF(Timeline!$AB$3:$AB$1500,XP!E23,Timeline!$AC$3:$AC$1500)+SUMIF(Timeline!$AD$3:$AD$1500,XP!E23,Timeline!$AE$3:$AE$1500)+SUMIF(Timeline!$AF$3:$AF$1500,XP!E23,Timeline!$AG$3:$AG$1500)</f>
        <v>0</v>
      </c>
      <c r="G23" s="119"/>
      <c r="I23" s="51" t="s">
        <v>204</v>
      </c>
      <c r="J23" s="160">
        <f>SUMIF(Timeline!$D$3:$D$1500,XP!I23,Timeline!$E$3:$E$1500)+SUMIF(Timeline!$F$3:$F$1500,XP!I23,Timeline!$G$3:$G$1500)+SUMIF(Timeline!$H$3:$H$1500,XP!I23,Timeline!$I$3:$I$1500)+SUMIF(Timeline!$J$3:$J$1500,XP!I23,Timeline!$K$3:$K$1500)+SUMIF(Timeline!$L$3:$L$1500,XP!I23,Timeline!$M$3:$M$1500)+SUMIF(Timeline!$N$3:$N$1500,XP!I23,Timeline!$O$3:$O$1500)+SUMIF(Timeline!$P$3:$P$1500,XP!I23,Timeline!$Q$3:$Q$1500)+SUMIF(Timeline!$R$3:$R$1500,XP!I23,Timeline!$S$3:$S$1500)+SUMIF(Timeline!$T$3:$T$1500,XP!I23,Timeline!$U$3:$U$1500)+SUMIF(Timeline!$V$3:$V$1500,XP!I23,Timeline!$W$3:$W$1500)+SUMIF(Timeline!$X$3:$X$1500,XP!I23,Timeline!$Y$3:$Y$1500)+SUMIF(Timeline!$Z$3:$Z$1500,XP!I23,Timeline!$AA$3:$AA$1500)+SUMIF(Timeline!$AB$3:$AB$1500,XP!I23,Timeline!$AC$3:$AC$1500)+SUMIF(Timeline!$AD$3:$AD$1500,XP!I23,Timeline!$AE$3:$AE$1500)+SUMIF(Timeline!$AF$3:$AF$1500,XP!I23,Timeline!$AG$3:$AG$1500)</f>
        <v>0</v>
      </c>
      <c r="K23" s="119"/>
      <c r="L23" s="6"/>
      <c r="M23" s="51" t="str">
        <f>IF(ISBLANK('Start Character'!M42)," ",'Start Character'!M42)</f>
        <v xml:space="preserve"> </v>
      </c>
      <c r="N23" s="157">
        <f>SUMIF(Timeline!$D$3:$D$1500,XP!M23,Timeline!$E$3:$E$1500)+SUMIF(Timeline!$F$3:$F$1500,XP!M23,Timeline!$G$3:$G$1500)+SUMIF(Timeline!$H$3:$H$1500,XP!M23,Timeline!$I$3:$I$1500)+SUMIF(Timeline!$J$3:$J$1500,XP!M23,Timeline!$K$3:$K$1500)+SUMIF(Timeline!$L$3:$L$1500,XP!M23,Timeline!$M$3:$M$1500)+SUMIF(Timeline!$N$3:$N$1500,XP!M23,Timeline!$O$3:$O$1500)+SUMIF(Timeline!$P$3:$P$1500,XP!M23,Timeline!$Q$3:$Q$1500)+SUMIF(Timeline!$R$3:$R$1500,XP!M23,Timeline!$S$3:$S$1500)+SUMIF(Timeline!$T$3:$T$1500,XP!M23,Timeline!$U$3:$U$1500)+SUMIF(Timeline!$V$3:$V$1500,XP!M23,Timeline!$W$3:$W$1500)+SUMIF(Timeline!$X$3:$X$1500,XP!M23,Timeline!$Y$3:$Y$1500)+SUMIF(Timeline!$Z$3:$Z$1500,XP!M23,Timeline!$AA$3:$AA$1500)+SUMIF(Timeline!$AB$3:$AB$1500,XP!M23,Timeline!$AC$3:$AC$1500)+SUMIF(Timeline!$AD$3:$AD$1500,XP!M23,Timeline!$AE$3:$AE$1500)+SUMIF(Timeline!$AF$3:$AF$1500,XP!M23,Timeline!$AG$3:$AG$1500)</f>
        <v>0</v>
      </c>
      <c r="O23" s="119"/>
    </row>
    <row r="24" spans="1:15" x14ac:dyDescent="0.2">
      <c r="A24" s="32" t="s">
        <v>213</v>
      </c>
      <c r="B24" s="160">
        <f>SUMIF(Timeline!$D$3:$D$1500,XP!A24,Timeline!$E$3:$E$1500)+SUMIF(Timeline!$F$3:$F$1500,XP!A24,Timeline!$G$3:$G$1500)+SUMIF(Timeline!$H$3:$H$1500,XP!A24,Timeline!$I$3:$I$1500)+SUMIF(Timeline!$J$3:$J$1500,XP!A24,Timeline!$K$3:$K$1500)+SUMIF(Timeline!$L$3:$L$1500,XP!A24,Timeline!$M$3:$M$1500)+SUMIF(Timeline!$N$3:$N$1500,XP!A24,Timeline!$O$3:$O$1500)+SUMIF(Timeline!$P$3:$P$1500,XP!A24,Timeline!$Q$3:$Q$1500)+SUMIF(Timeline!$R$3:$R$1500,XP!A24,Timeline!$S$3:$S$1500)+SUMIF(Timeline!$T$3:$T$1500,XP!A24,Timeline!$U$3:$U$1500)+SUMIF(Timeline!$V$3:$V$1500,XP!A24,Timeline!$W$3:$W$1500)+SUMIF(Timeline!$X$3:$X$1500,XP!A24,Timeline!$Y$3:$Y$1500)+SUMIF(Timeline!$Z$3:$Z$1500,XP!A24,Timeline!$AA$3:$AA$1500)+SUMIF(Timeline!$AB$3:$AB$1500,XP!A24,Timeline!$AC$3:$AC$1500)+SUMIF(Timeline!$AD$3:$AD$1500,XP!A24,Timeline!$AE$3:$AE$1500)+SUMIF(Timeline!$AF$3:$AF$1500,XP!A24,Timeline!$AG$3:$AG$1500)</f>
        <v>0</v>
      </c>
      <c r="C24" s="119"/>
      <c r="E24" s="192" t="str">
        <f>IF(ISBLANK('Start Character'!E43)," ",'Start Character'!E43)</f>
        <v xml:space="preserve"> </v>
      </c>
      <c r="F24" s="198">
        <f>SUMIF(Timeline!$D$3:$D$1500,XP!E24,Timeline!$E$3:$E$1500)+SUMIF(Timeline!$F$3:$F$1500,XP!E24,Timeline!$G$3:$G$1500)+SUMIF(Timeline!$H$3:$H$1500,XP!E24,Timeline!$I$3:$I$1500)+SUMIF(Timeline!$J$3:$J$1500,XP!E24,Timeline!$K$3:$K$1500)+SUMIF(Timeline!$L$3:$L$1500,XP!E24,Timeline!$M$3:$M$1500)+SUMIF(Timeline!$N$3:$N$1500,XP!E24,Timeline!$O$3:$O$1500)+SUMIF(Timeline!$P$3:$P$1500,XP!E24,Timeline!$Q$3:$Q$1500)+SUMIF(Timeline!$R$3:$R$1500,XP!E24,Timeline!$S$3:$S$1500)+SUMIF(Timeline!$T$3:$T$1500,XP!E24,Timeline!$U$3:$U$1500)+SUMIF(Timeline!$V$3:$V$1500,XP!E24,Timeline!$W$3:$W$1500)+SUMIF(Timeline!$X$3:$X$1500,XP!E24,Timeline!$Y$3:$Y$1500)+SUMIF(Timeline!$Z$3:$Z$1500,XP!E24,Timeline!$AA$3:$AA$1500)+SUMIF(Timeline!$AB$3:$AB$1500,XP!E24,Timeline!$AC$3:$AC$1500)+SUMIF(Timeline!$AD$3:$AD$1500,XP!E24,Timeline!$AE$3:$AE$1500)+SUMIF(Timeline!$AF$3:$AF$1500,XP!E24,Timeline!$AG$3:$AG$1500)</f>
        <v>0</v>
      </c>
      <c r="G24" s="119"/>
      <c r="I24" s="51" t="s">
        <v>205</v>
      </c>
      <c r="J24" s="160">
        <f>SUMIF(Timeline!$D$3:$D$1500,XP!I24,Timeline!$E$3:$E$1500)+SUMIF(Timeline!$F$3:$F$1500,XP!I24,Timeline!$G$3:$G$1500)+SUMIF(Timeline!$H$3:$H$1500,XP!I24,Timeline!$I$3:$I$1500)+SUMIF(Timeline!$J$3:$J$1500,XP!I24,Timeline!$K$3:$K$1500)+SUMIF(Timeline!$L$3:$L$1500,XP!I24,Timeline!$M$3:$M$1500)+SUMIF(Timeline!$N$3:$N$1500,XP!I24,Timeline!$O$3:$O$1500)+SUMIF(Timeline!$P$3:$P$1500,XP!I24,Timeline!$Q$3:$Q$1500)+SUMIF(Timeline!$R$3:$R$1500,XP!I24,Timeline!$S$3:$S$1500)+SUMIF(Timeline!$T$3:$T$1500,XP!I24,Timeline!$U$3:$U$1500)+SUMIF(Timeline!$V$3:$V$1500,XP!I24,Timeline!$W$3:$W$1500)+SUMIF(Timeline!$X$3:$X$1500,XP!I24,Timeline!$Y$3:$Y$1500)+SUMIF(Timeline!$Z$3:$Z$1500,XP!I24,Timeline!$AA$3:$AA$1500)+SUMIF(Timeline!$AB$3:$AB$1500,XP!I24,Timeline!$AC$3:$AC$1500)+SUMIF(Timeline!$AD$3:$AD$1500,XP!I24,Timeline!$AE$3:$AE$1500)+SUMIF(Timeline!$AF$3:$AF$1500,XP!I24,Timeline!$AG$3:$AG$1500)</f>
        <v>0</v>
      </c>
      <c r="K24" s="119"/>
      <c r="L24" s="6"/>
      <c r="M24" s="51" t="str">
        <f>IF(ISBLANK('Start Character'!M43)," ",'Start Character'!M43)</f>
        <v xml:space="preserve"> </v>
      </c>
      <c r="N24" s="157">
        <f>SUMIF(Timeline!$D$3:$D$1500,XP!M24,Timeline!$E$3:$E$1500)+SUMIF(Timeline!$F$3:$F$1500,XP!M24,Timeline!$G$3:$G$1500)+SUMIF(Timeline!$H$3:$H$1500,XP!M24,Timeline!$I$3:$I$1500)+SUMIF(Timeline!$J$3:$J$1500,XP!M24,Timeline!$K$3:$K$1500)+SUMIF(Timeline!$L$3:$L$1500,XP!M24,Timeline!$M$3:$M$1500)+SUMIF(Timeline!$N$3:$N$1500,XP!M24,Timeline!$O$3:$O$1500)+SUMIF(Timeline!$P$3:$P$1500,XP!M24,Timeline!$Q$3:$Q$1500)+SUMIF(Timeline!$R$3:$R$1500,XP!M24,Timeline!$S$3:$S$1500)+SUMIF(Timeline!$T$3:$T$1500,XP!M24,Timeline!$U$3:$U$1500)+SUMIF(Timeline!$V$3:$V$1500,XP!M24,Timeline!$W$3:$W$1500)+SUMIF(Timeline!$X$3:$X$1500,XP!M24,Timeline!$Y$3:$Y$1500)+SUMIF(Timeline!$Z$3:$Z$1500,XP!M24,Timeline!$AA$3:$AA$1500)+SUMIF(Timeline!$AB$3:$AB$1500,XP!M24,Timeline!$AC$3:$AC$1500)+SUMIF(Timeline!$AD$3:$AD$1500,XP!M24,Timeline!$AE$3:$AE$1500)+SUMIF(Timeline!$AF$3:$AF$1500,XP!M24,Timeline!$AG$3:$AG$1500)</f>
        <v>0</v>
      </c>
      <c r="O24" s="119"/>
    </row>
    <row r="25" spans="1:15" x14ac:dyDescent="0.2">
      <c r="A25" s="32" t="s">
        <v>29</v>
      </c>
      <c r="B25" s="160">
        <f>SUMIF(Timeline!$D$3:$D$1500,XP!A25,Timeline!$E$3:$E$1500)+SUMIF(Timeline!$F$3:$F$1500,XP!A25,Timeline!$G$3:$G$1500)+SUMIF(Timeline!$H$3:$H$1500,XP!A25,Timeline!$I$3:$I$1500)+SUMIF(Timeline!$J$3:$J$1500,XP!A25,Timeline!$K$3:$K$1500)+SUMIF(Timeline!$L$3:$L$1500,XP!A25,Timeline!$M$3:$M$1500)+SUMIF(Timeline!$N$3:$N$1500,XP!A25,Timeline!$O$3:$O$1500)+SUMIF(Timeline!$P$3:$P$1500,XP!A25,Timeline!$Q$3:$Q$1500)+SUMIF(Timeline!$R$3:$R$1500,XP!A25,Timeline!$S$3:$S$1500)+SUMIF(Timeline!$T$3:$T$1500,XP!A25,Timeline!$U$3:$U$1500)+SUMIF(Timeline!$V$3:$V$1500,XP!A25,Timeline!$W$3:$W$1500)+SUMIF(Timeline!$X$3:$X$1500,XP!A25,Timeline!$Y$3:$Y$1500)+SUMIF(Timeline!$Z$3:$Z$1500,XP!A25,Timeline!$AA$3:$AA$1500)+SUMIF(Timeline!$AB$3:$AB$1500,XP!A25,Timeline!$AC$3:$AC$1500)+SUMIF(Timeline!$AD$3:$AD$1500,XP!A25,Timeline!$AE$3:$AE$1500)+SUMIF(Timeline!$AF$3:$AF$1500,XP!A25,Timeline!$AG$3:$AG$1500)</f>
        <v>0</v>
      </c>
      <c r="C25" s="119"/>
      <c r="I25" s="190" t="s">
        <v>206</v>
      </c>
      <c r="J25" s="191">
        <f>SUMIF(Timeline!$D$3:$D$1500,XP!I25,Timeline!$E$3:$E$1500)+SUMIF(Timeline!$F$3:$F$1500,XP!I25,Timeline!$G$3:$G$1500)+SUMIF(Timeline!$H$3:$H$1500,XP!I25,Timeline!$I$3:$I$1500)+SUMIF(Timeline!$J$3:$J$1500,XP!I25,Timeline!$K$3:$K$1500)+SUMIF(Timeline!$L$3:$L$1500,XP!I25,Timeline!$M$3:$M$1500)+SUMIF(Timeline!$N$3:$N$1500,XP!I25,Timeline!$O$3:$O$1500)+SUMIF(Timeline!$P$3:$P$1500,XP!I25,Timeline!$Q$3:$Q$1500)+SUMIF(Timeline!$R$3:$R$1500,XP!I25,Timeline!$S$3:$S$1500)+SUMIF(Timeline!$T$3:$T$1500,XP!I25,Timeline!$U$3:$U$1500)+SUMIF(Timeline!$V$3:$V$1500,XP!I25,Timeline!$W$3:$W$1500)+SUMIF(Timeline!$X$3:$X$1500,XP!I25,Timeline!$Y$3:$Y$1500)+SUMIF(Timeline!$Z$3:$Z$1500,XP!I25,Timeline!$AA$3:$AA$1500)+SUMIF(Timeline!$AB$3:$AB$1500,XP!I25,Timeline!$AC$3:$AC$1500)+SUMIF(Timeline!$AD$3:$AD$1500,XP!I25,Timeline!$AE$3:$AE$1500)+SUMIF(Timeline!$AF$3:$AF$1500,XP!I25,Timeline!$AG$3:$AG$1500)</f>
        <v>0</v>
      </c>
      <c r="K25" s="119"/>
      <c r="L25" s="6"/>
      <c r="M25" s="51" t="str">
        <f>IF(ISBLANK('Start Character'!M44)," ",'Start Character'!M44)</f>
        <v xml:space="preserve"> </v>
      </c>
      <c r="N25" s="157">
        <f>SUMIF(Timeline!$D$3:$D$1500,XP!M25,Timeline!$E$3:$E$1500)+SUMIF(Timeline!$F$3:$F$1500,XP!M25,Timeline!$G$3:$G$1500)+SUMIF(Timeline!$H$3:$H$1500,XP!M25,Timeline!$I$3:$I$1500)+SUMIF(Timeline!$J$3:$J$1500,XP!M25,Timeline!$K$3:$K$1500)+SUMIF(Timeline!$L$3:$L$1500,XP!M25,Timeline!$M$3:$M$1500)+SUMIF(Timeline!$N$3:$N$1500,XP!M25,Timeline!$O$3:$O$1500)+SUMIF(Timeline!$P$3:$P$1500,XP!M25,Timeline!$Q$3:$Q$1500)+SUMIF(Timeline!$R$3:$R$1500,XP!M25,Timeline!$S$3:$S$1500)+SUMIF(Timeline!$T$3:$T$1500,XP!M25,Timeline!$U$3:$U$1500)+SUMIF(Timeline!$V$3:$V$1500,XP!M25,Timeline!$W$3:$W$1500)+SUMIF(Timeline!$X$3:$X$1500,XP!M25,Timeline!$Y$3:$Y$1500)+SUMIF(Timeline!$Z$3:$Z$1500,XP!M25,Timeline!$AA$3:$AA$1500)+SUMIF(Timeline!$AB$3:$AB$1500,XP!M25,Timeline!$AC$3:$AC$1500)+SUMIF(Timeline!$AD$3:$AD$1500,XP!M25,Timeline!$AE$3:$AE$1500)+SUMIF(Timeline!$AF$3:$AF$1500,XP!M25,Timeline!$AG$3:$AG$1500)</f>
        <v>0</v>
      </c>
      <c r="O25" s="119"/>
    </row>
    <row r="26" spans="1:15" x14ac:dyDescent="0.2">
      <c r="A26" s="32" t="s">
        <v>214</v>
      </c>
      <c r="B26" s="160">
        <f>SUMIF(Timeline!$D$3:$D$1500,XP!A26,Timeline!$E$3:$E$1500)+SUMIF(Timeline!$F$3:$F$1500,XP!A26,Timeline!$G$3:$G$1500)+SUMIF(Timeline!$H$3:$H$1500,XP!A26,Timeline!$I$3:$I$1500)+SUMIF(Timeline!$J$3:$J$1500,XP!A26,Timeline!$K$3:$K$1500)+SUMIF(Timeline!$L$3:$L$1500,XP!A26,Timeline!$M$3:$M$1500)+SUMIF(Timeline!$N$3:$N$1500,XP!A26,Timeline!$O$3:$O$1500)+SUMIF(Timeline!$P$3:$P$1500,XP!A26,Timeline!$Q$3:$Q$1500)+SUMIF(Timeline!$R$3:$R$1500,XP!A26,Timeline!$S$3:$S$1500)+SUMIF(Timeline!$T$3:$T$1500,XP!A26,Timeline!$U$3:$U$1500)+SUMIF(Timeline!$V$3:$V$1500,XP!A26,Timeline!$W$3:$W$1500)+SUMIF(Timeline!$X$3:$X$1500,XP!A26,Timeline!$Y$3:$Y$1500)+SUMIF(Timeline!$Z$3:$Z$1500,XP!A26,Timeline!$AA$3:$AA$1500)+SUMIF(Timeline!$AB$3:$AB$1500,XP!A26,Timeline!$AC$3:$AC$1500)+SUMIF(Timeline!$AD$3:$AD$1500,XP!A26,Timeline!$AE$3:$AE$1500)+SUMIF(Timeline!$AF$3:$AF$1500,XP!A26,Timeline!$AG$3:$AG$1500)</f>
        <v>0</v>
      </c>
      <c r="C26" s="119"/>
      <c r="D26" s="6"/>
      <c r="E26" s="703" t="s">
        <v>219</v>
      </c>
      <c r="F26" s="706"/>
      <c r="G26" s="707"/>
      <c r="I26" s="3"/>
      <c r="J26" s="30"/>
      <c r="K26" s="30"/>
      <c r="L26" s="6"/>
      <c r="M26" s="51" t="str">
        <f>IF(ISBLANK('Start Character'!M45)," ",'Start Character'!M45)</f>
        <v xml:space="preserve"> </v>
      </c>
      <c r="N26" s="157">
        <f>SUMIF(Timeline!$D$3:$D$1500,XP!M26,Timeline!$E$3:$E$1500)+SUMIF(Timeline!$F$3:$F$1500,XP!M26,Timeline!$G$3:$G$1500)+SUMIF(Timeline!$H$3:$H$1500,XP!M26,Timeline!$I$3:$I$1500)+SUMIF(Timeline!$J$3:$J$1500,XP!M26,Timeline!$K$3:$K$1500)+SUMIF(Timeline!$L$3:$L$1500,XP!M26,Timeline!$M$3:$M$1500)+SUMIF(Timeline!$N$3:$N$1500,XP!M26,Timeline!$O$3:$O$1500)+SUMIF(Timeline!$P$3:$P$1500,XP!M26,Timeline!$Q$3:$Q$1500)+SUMIF(Timeline!$R$3:$R$1500,XP!M26,Timeline!$S$3:$S$1500)+SUMIF(Timeline!$T$3:$T$1500,XP!M26,Timeline!$U$3:$U$1500)+SUMIF(Timeline!$V$3:$V$1500,XP!M26,Timeline!$W$3:$W$1500)+SUMIF(Timeline!$X$3:$X$1500,XP!M26,Timeline!$Y$3:$Y$1500)+SUMIF(Timeline!$Z$3:$Z$1500,XP!M26,Timeline!$AA$3:$AA$1500)+SUMIF(Timeline!$AB$3:$AB$1500,XP!M26,Timeline!$AC$3:$AC$1500)+SUMIF(Timeline!$AD$3:$AD$1500,XP!M26,Timeline!$AE$3:$AE$1500)+SUMIF(Timeline!$AF$3:$AF$1500,XP!M26,Timeline!$AG$3:$AG$1500)</f>
        <v>0</v>
      </c>
      <c r="O26" s="119"/>
    </row>
    <row r="27" spans="1:15" x14ac:dyDescent="0.2">
      <c r="A27" s="32" t="s">
        <v>215</v>
      </c>
      <c r="B27" s="160">
        <f>SUMIF(Timeline!$D$3:$D$1500,XP!A27,Timeline!$E$3:$E$1500)+SUMIF(Timeline!$F$3:$F$1500,XP!A27,Timeline!$G$3:$G$1500)+SUMIF(Timeline!$H$3:$H$1500,XP!A27,Timeline!$I$3:$I$1500)+SUMIF(Timeline!$J$3:$J$1500,XP!A27,Timeline!$K$3:$K$1500)+SUMIF(Timeline!$L$3:$L$1500,XP!A27,Timeline!$M$3:$M$1500)+SUMIF(Timeline!$N$3:$N$1500,XP!A27,Timeline!$O$3:$O$1500)+SUMIF(Timeline!$P$3:$P$1500,XP!A27,Timeline!$Q$3:$Q$1500)+SUMIF(Timeline!$R$3:$R$1500,XP!A27,Timeline!$S$3:$S$1500)+SUMIF(Timeline!$T$3:$T$1500,XP!A27,Timeline!$U$3:$U$1500)+SUMIF(Timeline!$V$3:$V$1500,XP!A27,Timeline!$W$3:$W$1500)+SUMIF(Timeline!$X$3:$X$1500,XP!A27,Timeline!$Y$3:$Y$1500)+SUMIF(Timeline!$Z$3:$Z$1500,XP!A27,Timeline!$AA$3:$AA$1500)+SUMIF(Timeline!$AB$3:$AB$1500,XP!A27,Timeline!$AC$3:$AC$1500)+SUMIF(Timeline!$AD$3:$AD$1500,XP!A27,Timeline!$AE$3:$AE$1500)+SUMIF(Timeline!$AF$3:$AF$1500,XP!A27,Timeline!$AG$3:$AG$1500)</f>
        <v>0</v>
      </c>
      <c r="C27" s="119"/>
      <c r="D27" s="6"/>
      <c r="E27" s="46" t="str">
        <f>IF(ISBLANK('Start Character'!E46)," ",'Start Character'!E46)</f>
        <v xml:space="preserve"> </v>
      </c>
      <c r="F27" s="154">
        <f>SUMIF(Timeline!$D$3:$D$1500,XP!E27,Timeline!$E$3:$E$1500)+SUMIF(Timeline!$F$3:$F$1500,XP!E27,Timeline!$G$3:$G$1500)+SUMIF(Timeline!$H$3:$H$1500,XP!E27,Timeline!$I$3:$I$1500)+SUMIF(Timeline!$J$3:$J$1500,XP!E27,Timeline!$K$3:$K$1500)+SUMIF(Timeline!$L$3:$L$1500,XP!E27,Timeline!$M$3:$M$1500)+SUMIF(Timeline!$N$3:$N$1500,XP!E27,Timeline!$O$3:$O$1500)+SUMIF(Timeline!$P$3:$P$1500,XP!E27,Timeline!$Q$3:$Q$1500)+SUMIF(Timeline!$R$3:$R$1500,XP!E27,Timeline!$S$3:$S$1500)+SUMIF(Timeline!$T$3:$T$1500,XP!E27,Timeline!$U$3:$U$1500)+SUMIF(Timeline!$V$3:$V$1500,XP!E27,Timeline!$W$3:$W$1500)+SUMIF(Timeline!$X$3:$X$1500,XP!E27,Timeline!$Y$3:$Y$1500)+SUMIF(Timeline!$Z$3:$Z$1500,XP!E27,Timeline!$AA$3:$AA$1500)+SUMIF(Timeline!$AB$3:$AB$1500,XP!E27,Timeline!$AC$3:$AC$1500)+SUMIF(Timeline!$AD$3:$AD$1500,XP!E27,Timeline!$AE$3:$AE$1500)+SUMIF(Timeline!$AF$3:$AF$1500,XP!E27,Timeline!$AG$3:$AG$1500)</f>
        <v>0</v>
      </c>
      <c r="G27" s="119"/>
      <c r="I27" s="703" t="s">
        <v>220</v>
      </c>
      <c r="J27" s="704"/>
      <c r="K27" s="707"/>
      <c r="L27" s="6"/>
      <c r="M27" s="51" t="str">
        <f>IF(ISBLANK('Start Character'!M46)," ",'Start Character'!M46)</f>
        <v xml:space="preserve"> </v>
      </c>
      <c r="N27" s="157">
        <f>SUMIF(Timeline!$D$3:$D$1500,XP!M27,Timeline!$E$3:$E$1500)+SUMIF(Timeline!$F$3:$F$1500,XP!M27,Timeline!$G$3:$G$1500)+SUMIF(Timeline!$H$3:$H$1500,XP!M27,Timeline!$I$3:$I$1500)+SUMIF(Timeline!$J$3:$J$1500,XP!M27,Timeline!$K$3:$K$1500)+SUMIF(Timeline!$L$3:$L$1500,XP!M27,Timeline!$M$3:$M$1500)+SUMIF(Timeline!$N$3:$N$1500,XP!M27,Timeline!$O$3:$O$1500)+SUMIF(Timeline!$P$3:$P$1500,XP!M27,Timeline!$Q$3:$Q$1500)+SUMIF(Timeline!$R$3:$R$1500,XP!M27,Timeline!$S$3:$S$1500)+SUMIF(Timeline!$T$3:$T$1500,XP!M27,Timeline!$U$3:$U$1500)+SUMIF(Timeline!$V$3:$V$1500,XP!M27,Timeline!$W$3:$W$1500)+SUMIF(Timeline!$X$3:$X$1500,XP!M27,Timeline!$Y$3:$Y$1500)+SUMIF(Timeline!$Z$3:$Z$1500,XP!M27,Timeline!$AA$3:$AA$1500)+SUMIF(Timeline!$AB$3:$AB$1500,XP!M27,Timeline!$AC$3:$AC$1500)+SUMIF(Timeline!$AD$3:$AD$1500,XP!M27,Timeline!$AE$3:$AE$1500)+SUMIF(Timeline!$AF$3:$AF$1500,XP!M27,Timeline!$AG$3:$AG$1500)</f>
        <v>0</v>
      </c>
      <c r="O27" s="119"/>
    </row>
    <row r="28" spans="1:15" x14ac:dyDescent="0.2">
      <c r="A28" s="32" t="s">
        <v>216</v>
      </c>
      <c r="B28" s="160">
        <f>SUMIF(Timeline!$D$3:$D$1500,XP!A28,Timeline!$E$3:$E$1500)+SUMIF(Timeline!$F$3:$F$1500,XP!A28,Timeline!$G$3:$G$1500)+SUMIF(Timeline!$H$3:$H$1500,XP!A28,Timeline!$I$3:$I$1500)+SUMIF(Timeline!$J$3:$J$1500,XP!A28,Timeline!$K$3:$K$1500)+SUMIF(Timeline!$L$3:$L$1500,XP!A28,Timeline!$M$3:$M$1500)+SUMIF(Timeline!$N$3:$N$1500,XP!A28,Timeline!$O$3:$O$1500)+SUMIF(Timeline!$P$3:$P$1500,XP!A28,Timeline!$Q$3:$Q$1500)+SUMIF(Timeline!$R$3:$R$1500,XP!A28,Timeline!$S$3:$S$1500)+SUMIF(Timeline!$T$3:$T$1500,XP!A28,Timeline!$U$3:$U$1500)+SUMIF(Timeline!$V$3:$V$1500,XP!A28,Timeline!$W$3:$W$1500)+SUMIF(Timeline!$X$3:$X$1500,XP!A28,Timeline!$Y$3:$Y$1500)+SUMIF(Timeline!$Z$3:$Z$1500,XP!A28,Timeline!$AA$3:$AA$1500)+SUMIF(Timeline!$AB$3:$AB$1500,XP!A28,Timeline!$AC$3:$AC$1500)+SUMIF(Timeline!$AD$3:$AD$1500,XP!A28,Timeline!$AE$3:$AE$1500)+SUMIF(Timeline!$AF$3:$AF$1500,XP!A28,Timeline!$AG$3:$AG$1500)</f>
        <v>0</v>
      </c>
      <c r="C28" s="119"/>
      <c r="D28" s="6"/>
      <c r="E28" s="48" t="str">
        <f>IF(ISBLANK('Start Character'!E47)," ",'Start Character'!E47)</f>
        <v xml:space="preserve"> </v>
      </c>
      <c r="F28" s="157">
        <f>SUMIF(Timeline!$D$3:$D$1500,XP!E28,Timeline!$E$3:$E$1500)+SUMIF(Timeline!$F$3:$F$1500,XP!E28,Timeline!$G$3:$G$1500)+SUMIF(Timeline!$H$3:$H$1500,XP!E28,Timeline!$I$3:$I$1500)+SUMIF(Timeline!$J$3:$J$1500,XP!E28,Timeline!$K$3:$K$1500)+SUMIF(Timeline!$L$3:$L$1500,XP!E28,Timeline!$M$3:$M$1500)+SUMIF(Timeline!$N$3:$N$1500,XP!E28,Timeline!$O$3:$O$1500)+SUMIF(Timeline!$P$3:$P$1500,XP!E28,Timeline!$Q$3:$Q$1500)+SUMIF(Timeline!$R$3:$R$1500,XP!E28,Timeline!$S$3:$S$1500)+SUMIF(Timeline!$T$3:$T$1500,XP!E28,Timeline!$U$3:$U$1500)+SUMIF(Timeline!$V$3:$V$1500,XP!E28,Timeline!$W$3:$W$1500)+SUMIF(Timeline!$X$3:$X$1500,XP!E28,Timeline!$Y$3:$Y$1500)+SUMIF(Timeline!$Z$3:$Z$1500,XP!E28,Timeline!$AA$3:$AA$1500)+SUMIF(Timeline!$AB$3:$AB$1500,XP!E28,Timeline!$AC$3:$AC$1500)+SUMIF(Timeline!$AD$3:$AD$1500,XP!E28,Timeline!$AE$3:$AE$1500)+SUMIF(Timeline!$AF$3:$AF$1500,XP!E28,Timeline!$AG$3:$AG$1500)</f>
        <v>0</v>
      </c>
      <c r="G28" s="119"/>
      <c r="I28" s="46" t="str">
        <f>IF(ISBLANK('Start Character'!I47)," ",'Start Character'!I47)</f>
        <v xml:space="preserve"> </v>
      </c>
      <c r="J28" s="154">
        <f>SUMIF(Timeline!$D$3:$D$1500,XP!I28,Timeline!$E$3:$E$1500)+SUMIF(Timeline!$F$3:$F$1500,XP!I28,Timeline!$G$3:$G$1500)+SUMIF(Timeline!$H$3:$H$1500,XP!I28,Timeline!$I$3:$I$1500)+SUMIF(Timeline!$J$3:$J$1500,XP!I28,Timeline!$K$3:$K$1500)+SUMIF(Timeline!$L$3:$L$1500,XP!I28,Timeline!$M$3:$M$1500)+SUMIF(Timeline!$N$3:$N$1500,XP!I28,Timeline!$O$3:$O$1500)+SUMIF(Timeline!$P$3:$P$1500,XP!I28,Timeline!$Q$3:$Q$1500)+SUMIF(Timeline!$R$3:$R$1500,XP!I28,Timeline!$S$3:$S$1500)+SUMIF(Timeline!$T$3:$T$1500,XP!I28,Timeline!$U$3:$U$1500)+SUMIF(Timeline!$V$3:$V$1500,XP!I28,Timeline!$W$3:$W$1500)+SUMIF(Timeline!$X$3:$X$1500,XP!I28,Timeline!$Y$3:$Y$1500)+SUMIF(Timeline!$Z$3:$Z$1500,XP!I28,Timeline!$AA$3:$AA$1500)+SUMIF(Timeline!$AB$3:$AB$1500,XP!I28,Timeline!$AC$3:$AC$1500)+SUMIF(Timeline!$AD$3:$AD$1500,XP!I28,Timeline!$AE$3:$AE$1500)+SUMIF(Timeline!$AF$3:$AF$1500,XP!I28,Timeline!$AG$3:$AG$1500)</f>
        <v>0</v>
      </c>
      <c r="K28" s="119"/>
      <c r="L28" s="6"/>
      <c r="M28" s="51" t="str">
        <f>IF(ISBLANK('Start Character'!M47)," ",'Start Character'!M47)</f>
        <v xml:space="preserve"> </v>
      </c>
      <c r="N28" s="157">
        <f>SUMIF(Timeline!$D$3:$D$1500,XP!M28,Timeline!$E$3:$E$1500)+SUMIF(Timeline!$F$3:$F$1500,XP!M28,Timeline!$G$3:$G$1500)+SUMIF(Timeline!$H$3:$H$1500,XP!M28,Timeline!$I$3:$I$1500)+SUMIF(Timeline!$J$3:$J$1500,XP!M28,Timeline!$K$3:$K$1500)+SUMIF(Timeline!$L$3:$L$1500,XP!M28,Timeline!$M$3:$M$1500)+SUMIF(Timeline!$N$3:$N$1500,XP!M28,Timeline!$O$3:$O$1500)+SUMIF(Timeline!$P$3:$P$1500,XP!M28,Timeline!$Q$3:$Q$1500)+SUMIF(Timeline!$R$3:$R$1500,XP!M28,Timeline!$S$3:$S$1500)+SUMIF(Timeline!$T$3:$T$1500,XP!M28,Timeline!$U$3:$U$1500)+SUMIF(Timeline!$V$3:$V$1500,XP!M28,Timeline!$W$3:$W$1500)+SUMIF(Timeline!$X$3:$X$1500,XP!M28,Timeline!$Y$3:$Y$1500)+SUMIF(Timeline!$Z$3:$Z$1500,XP!M28,Timeline!$AA$3:$AA$1500)+SUMIF(Timeline!$AB$3:$AB$1500,XP!M28,Timeline!$AC$3:$AC$1500)+SUMIF(Timeline!$AD$3:$AD$1500,XP!M28,Timeline!$AE$3:$AE$1500)+SUMIF(Timeline!$AF$3:$AF$1500,XP!M28,Timeline!$AG$3:$AG$1500)</f>
        <v>0</v>
      </c>
      <c r="O28" s="119"/>
    </row>
    <row r="29" spans="1:15" x14ac:dyDescent="0.2">
      <c r="A29" s="32" t="s">
        <v>31</v>
      </c>
      <c r="B29" s="160">
        <f>SUMIF(Timeline!$D$3:$D$1500,XP!A29,Timeline!$E$3:$E$1500)+SUMIF(Timeline!$F$3:$F$1500,XP!A29,Timeline!$G$3:$G$1500)+SUMIF(Timeline!$H$3:$H$1500,XP!A29,Timeline!$I$3:$I$1500)+SUMIF(Timeline!$J$3:$J$1500,XP!A29,Timeline!$K$3:$K$1500)+SUMIF(Timeline!$L$3:$L$1500,XP!A29,Timeline!$M$3:$M$1500)+SUMIF(Timeline!$N$3:$N$1500,XP!A29,Timeline!$O$3:$O$1500)+SUMIF(Timeline!$P$3:$P$1500,XP!A29,Timeline!$Q$3:$Q$1500)+SUMIF(Timeline!$R$3:$R$1500,XP!A29,Timeline!$S$3:$S$1500)+SUMIF(Timeline!$T$3:$T$1500,XP!A29,Timeline!$U$3:$U$1500)+SUMIF(Timeline!$V$3:$V$1500,XP!A29,Timeline!$W$3:$W$1500)+SUMIF(Timeline!$X$3:$X$1500,XP!A29,Timeline!$Y$3:$Y$1500)+SUMIF(Timeline!$Z$3:$Z$1500,XP!A29,Timeline!$AA$3:$AA$1500)+SUMIF(Timeline!$AB$3:$AB$1500,XP!A29,Timeline!$AC$3:$AC$1500)+SUMIF(Timeline!$AD$3:$AD$1500,XP!A29,Timeline!$AE$3:$AE$1500)+SUMIF(Timeline!$AF$3:$AF$1500,XP!A29,Timeline!$AG$3:$AG$1500)</f>
        <v>0</v>
      </c>
      <c r="C29" s="119"/>
      <c r="D29" s="6"/>
      <c r="E29" s="48" t="str">
        <f>IF(ISBLANK('Start Character'!E48)," ",'Start Character'!E48)</f>
        <v xml:space="preserve"> </v>
      </c>
      <c r="F29" s="157">
        <f>SUMIF(Timeline!$D$3:$D$1500,XP!E29,Timeline!$E$3:$E$1500)+SUMIF(Timeline!$F$3:$F$1500,XP!E29,Timeline!$G$3:$G$1500)+SUMIF(Timeline!$H$3:$H$1500,XP!E29,Timeline!$I$3:$I$1500)+SUMIF(Timeline!$J$3:$J$1500,XP!E29,Timeline!$K$3:$K$1500)+SUMIF(Timeline!$L$3:$L$1500,XP!E29,Timeline!$M$3:$M$1500)+SUMIF(Timeline!$N$3:$N$1500,XP!E29,Timeline!$O$3:$O$1500)+SUMIF(Timeline!$P$3:$P$1500,XP!E29,Timeline!$Q$3:$Q$1500)+SUMIF(Timeline!$R$3:$R$1500,XP!E29,Timeline!$S$3:$S$1500)+SUMIF(Timeline!$T$3:$T$1500,XP!E29,Timeline!$U$3:$U$1500)+SUMIF(Timeline!$V$3:$V$1500,XP!E29,Timeline!$W$3:$W$1500)+SUMIF(Timeline!$X$3:$X$1500,XP!E29,Timeline!$Y$3:$Y$1500)+SUMIF(Timeline!$Z$3:$Z$1500,XP!E29,Timeline!$AA$3:$AA$1500)+SUMIF(Timeline!$AB$3:$AB$1500,XP!E29,Timeline!$AC$3:$AC$1500)+SUMIF(Timeline!$AD$3:$AD$1500,XP!E29,Timeline!$AE$3:$AE$1500)+SUMIF(Timeline!$AF$3:$AF$1500,XP!E29,Timeline!$AG$3:$AG$1500)</f>
        <v>0</v>
      </c>
      <c r="G29" s="119"/>
      <c r="I29" s="48" t="str">
        <f>IF(ISBLANK('Start Character'!I48)," ",'Start Character'!I48)</f>
        <v xml:space="preserve"> </v>
      </c>
      <c r="J29" s="157">
        <f>SUMIF(Timeline!$D$3:$D$1500,XP!I29,Timeline!$E$3:$E$1500)+SUMIF(Timeline!$F$3:$F$1500,XP!I29,Timeline!$G$3:$G$1500)+SUMIF(Timeline!$H$3:$H$1500,XP!I29,Timeline!$I$3:$I$1500)+SUMIF(Timeline!$J$3:$J$1500,XP!I29,Timeline!$K$3:$K$1500)+SUMIF(Timeline!$L$3:$L$1500,XP!I29,Timeline!$M$3:$M$1500)+SUMIF(Timeline!$N$3:$N$1500,XP!I29,Timeline!$O$3:$O$1500)+SUMIF(Timeline!$P$3:$P$1500,XP!I29,Timeline!$Q$3:$Q$1500)+SUMIF(Timeline!$R$3:$R$1500,XP!I29,Timeline!$S$3:$S$1500)+SUMIF(Timeline!$T$3:$T$1500,XP!I29,Timeline!$U$3:$U$1500)+SUMIF(Timeline!$V$3:$V$1500,XP!I29,Timeline!$W$3:$W$1500)+SUMIF(Timeline!$X$3:$X$1500,XP!I29,Timeline!$Y$3:$Y$1500)+SUMIF(Timeline!$Z$3:$Z$1500,XP!I29,Timeline!$AA$3:$AA$1500)+SUMIF(Timeline!$AB$3:$AB$1500,XP!I29,Timeline!$AC$3:$AC$1500)+SUMIF(Timeline!$AD$3:$AD$1500,XP!I29,Timeline!$AE$3:$AE$1500)+SUMIF(Timeline!$AF$3:$AF$1500,XP!I29,Timeline!$AG$3:$AG$1500)</f>
        <v>0</v>
      </c>
      <c r="K29" s="119"/>
      <c r="L29" s="6"/>
      <c r="M29" s="51" t="str">
        <f>IF(ISBLANK('Start Character'!M48)," ",'Start Character'!M48)</f>
        <v xml:space="preserve"> </v>
      </c>
      <c r="N29" s="157">
        <f>SUMIF(Timeline!$D$3:$D$1500,XP!M29,Timeline!$E$3:$E$1500)+SUMIF(Timeline!$F$3:$F$1500,XP!M29,Timeline!$G$3:$G$1500)+SUMIF(Timeline!$H$3:$H$1500,XP!M29,Timeline!$I$3:$I$1500)+SUMIF(Timeline!$J$3:$J$1500,XP!M29,Timeline!$K$3:$K$1500)+SUMIF(Timeline!$L$3:$L$1500,XP!M29,Timeline!$M$3:$M$1500)+SUMIF(Timeline!$N$3:$N$1500,XP!M29,Timeline!$O$3:$O$1500)+SUMIF(Timeline!$P$3:$P$1500,XP!M29,Timeline!$Q$3:$Q$1500)+SUMIF(Timeline!$R$3:$R$1500,XP!M29,Timeline!$S$3:$S$1500)+SUMIF(Timeline!$T$3:$T$1500,XP!M29,Timeline!$U$3:$U$1500)+SUMIF(Timeline!$V$3:$V$1500,XP!M29,Timeline!$W$3:$W$1500)+SUMIF(Timeline!$X$3:$X$1500,XP!M29,Timeline!$Y$3:$Y$1500)+SUMIF(Timeline!$Z$3:$Z$1500,XP!M29,Timeline!$AA$3:$AA$1500)+SUMIF(Timeline!$AB$3:$AB$1500,XP!M29,Timeline!$AC$3:$AC$1500)+SUMIF(Timeline!$AD$3:$AD$1500,XP!M29,Timeline!$AE$3:$AE$1500)+SUMIF(Timeline!$AF$3:$AF$1500,XP!M29,Timeline!$AG$3:$AG$1500)</f>
        <v>0</v>
      </c>
      <c r="O29" s="119"/>
    </row>
    <row r="30" spans="1:15" x14ac:dyDescent="0.2">
      <c r="A30" s="32" t="s">
        <v>33</v>
      </c>
      <c r="B30" s="160">
        <f>SUMIF(Timeline!$D$3:$D$1500,XP!A30,Timeline!$E$3:$E$1500)+SUMIF(Timeline!$F$3:$F$1500,XP!A30,Timeline!$G$3:$G$1500)+SUMIF(Timeline!$H$3:$H$1500,XP!A30,Timeline!$I$3:$I$1500)+SUMIF(Timeline!$J$3:$J$1500,XP!A30,Timeline!$K$3:$K$1500)+SUMIF(Timeline!$L$3:$L$1500,XP!A30,Timeline!$M$3:$M$1500)+SUMIF(Timeline!$N$3:$N$1500,XP!A30,Timeline!$O$3:$O$1500)+SUMIF(Timeline!$P$3:$P$1500,XP!A30,Timeline!$Q$3:$Q$1500)+SUMIF(Timeline!$R$3:$R$1500,XP!A30,Timeline!$S$3:$S$1500)+SUMIF(Timeline!$T$3:$T$1500,XP!A30,Timeline!$U$3:$U$1500)+SUMIF(Timeline!$V$3:$V$1500,XP!A30,Timeline!$W$3:$W$1500)+SUMIF(Timeline!$X$3:$X$1500,XP!A30,Timeline!$Y$3:$Y$1500)+SUMIF(Timeline!$Z$3:$Z$1500,XP!A30,Timeline!$AA$3:$AA$1500)+SUMIF(Timeline!$AB$3:$AB$1500,XP!A30,Timeline!$AC$3:$AC$1500)+SUMIF(Timeline!$AD$3:$AD$1500,XP!A30,Timeline!$AE$3:$AE$1500)+SUMIF(Timeline!$AF$3:$AF$1500,XP!A30,Timeline!$AG$3:$AG$1500)</f>
        <v>0</v>
      </c>
      <c r="C30" s="119"/>
      <c r="D30" s="6"/>
      <c r="E30" s="48" t="str">
        <f>IF(ISBLANK('Start Character'!E49)," ",'Start Character'!E49)</f>
        <v xml:space="preserve"> </v>
      </c>
      <c r="F30" s="157">
        <f>SUMIF(Timeline!$D$3:$D$1500,XP!E30,Timeline!$E$3:$E$1500)+SUMIF(Timeline!$F$3:$F$1500,XP!E30,Timeline!$G$3:$G$1500)+SUMIF(Timeline!$H$3:$H$1500,XP!E30,Timeline!$I$3:$I$1500)+SUMIF(Timeline!$J$3:$J$1500,XP!E30,Timeline!$K$3:$K$1500)+SUMIF(Timeline!$L$3:$L$1500,XP!E30,Timeline!$M$3:$M$1500)+SUMIF(Timeline!$N$3:$N$1500,XP!E30,Timeline!$O$3:$O$1500)+SUMIF(Timeline!$P$3:$P$1500,XP!E30,Timeline!$Q$3:$Q$1500)+SUMIF(Timeline!$R$3:$R$1500,XP!E30,Timeline!$S$3:$S$1500)+SUMIF(Timeline!$T$3:$T$1500,XP!E30,Timeline!$U$3:$U$1500)+SUMIF(Timeline!$V$3:$V$1500,XP!E30,Timeline!$W$3:$W$1500)+SUMIF(Timeline!$X$3:$X$1500,XP!E30,Timeline!$Y$3:$Y$1500)+SUMIF(Timeline!$Z$3:$Z$1500,XP!E30,Timeline!$AA$3:$AA$1500)+SUMIF(Timeline!$AB$3:$AB$1500,XP!E30,Timeline!$AC$3:$AC$1500)+SUMIF(Timeline!$AD$3:$AD$1500,XP!E30,Timeline!$AE$3:$AE$1500)+SUMIF(Timeline!$AF$3:$AF$1500,XP!E30,Timeline!$AG$3:$AG$1500)</f>
        <v>0</v>
      </c>
      <c r="G30" s="119"/>
      <c r="I30" s="48" t="str">
        <f>IF(ISBLANK('Start Character'!I49)," ",'Start Character'!I49)</f>
        <v xml:space="preserve"> </v>
      </c>
      <c r="J30" s="157">
        <f>SUMIF(Timeline!$D$3:$D$1500,XP!I30,Timeline!$E$3:$E$1500)+SUMIF(Timeline!$F$3:$F$1500,XP!I30,Timeline!$G$3:$G$1500)+SUMIF(Timeline!$H$3:$H$1500,XP!I30,Timeline!$I$3:$I$1500)+SUMIF(Timeline!$J$3:$J$1500,XP!I30,Timeline!$K$3:$K$1500)+SUMIF(Timeline!$L$3:$L$1500,XP!I30,Timeline!$M$3:$M$1500)+SUMIF(Timeline!$N$3:$N$1500,XP!I30,Timeline!$O$3:$O$1500)+SUMIF(Timeline!$P$3:$P$1500,XP!I30,Timeline!$Q$3:$Q$1500)+SUMIF(Timeline!$R$3:$R$1500,XP!I30,Timeline!$S$3:$S$1500)+SUMIF(Timeline!$T$3:$T$1500,XP!I30,Timeline!$U$3:$U$1500)+SUMIF(Timeline!$V$3:$V$1500,XP!I30,Timeline!$W$3:$W$1500)+SUMIF(Timeline!$X$3:$X$1500,XP!I30,Timeline!$Y$3:$Y$1500)+SUMIF(Timeline!$Z$3:$Z$1500,XP!I30,Timeline!$AA$3:$AA$1500)+SUMIF(Timeline!$AB$3:$AB$1500,XP!I30,Timeline!$AC$3:$AC$1500)+SUMIF(Timeline!$AD$3:$AD$1500,XP!I30,Timeline!$AE$3:$AE$1500)+SUMIF(Timeline!$AF$3:$AF$1500,XP!I30,Timeline!$AG$3:$AG$1500)</f>
        <v>0</v>
      </c>
      <c r="K30" s="119"/>
      <c r="L30" s="6"/>
      <c r="M30" s="51" t="str">
        <f>IF(ISBLANK('Start Character'!M49)," ",'Start Character'!M49)</f>
        <v xml:space="preserve"> </v>
      </c>
      <c r="N30" s="157">
        <f>SUMIF(Timeline!$D$3:$D$1500,XP!M30,Timeline!$E$3:$E$1500)+SUMIF(Timeline!$F$3:$F$1500,XP!M30,Timeline!$G$3:$G$1500)+SUMIF(Timeline!$H$3:$H$1500,XP!M30,Timeline!$I$3:$I$1500)+SUMIF(Timeline!$J$3:$J$1500,XP!M30,Timeline!$K$3:$K$1500)+SUMIF(Timeline!$L$3:$L$1500,XP!M30,Timeline!$M$3:$M$1500)+SUMIF(Timeline!$N$3:$N$1500,XP!M30,Timeline!$O$3:$O$1500)+SUMIF(Timeline!$P$3:$P$1500,XP!M30,Timeline!$Q$3:$Q$1500)+SUMIF(Timeline!$R$3:$R$1500,XP!M30,Timeline!$S$3:$S$1500)+SUMIF(Timeline!$T$3:$T$1500,XP!M30,Timeline!$U$3:$U$1500)+SUMIF(Timeline!$V$3:$V$1500,XP!M30,Timeline!$W$3:$W$1500)+SUMIF(Timeline!$X$3:$X$1500,XP!M30,Timeline!$Y$3:$Y$1500)+SUMIF(Timeline!$Z$3:$Z$1500,XP!M30,Timeline!$AA$3:$AA$1500)+SUMIF(Timeline!$AB$3:$AB$1500,XP!M30,Timeline!$AC$3:$AC$1500)+SUMIF(Timeline!$AD$3:$AD$1500,XP!M30,Timeline!$AE$3:$AE$1500)+SUMIF(Timeline!$AF$3:$AF$1500,XP!M30,Timeline!$AG$3:$AG$1500)</f>
        <v>0</v>
      </c>
      <c r="O30" s="119"/>
    </row>
    <row r="31" spans="1:15" x14ac:dyDescent="0.2">
      <c r="A31" s="32" t="s">
        <v>165</v>
      </c>
      <c r="B31" s="160">
        <f>SUMIF(Timeline!$D$3:$D$1500,XP!A31,Timeline!$E$3:$E$1500)+SUMIF(Timeline!$F$3:$F$1500,XP!A31,Timeline!$G$3:$G$1500)+SUMIF(Timeline!$H$3:$H$1500,XP!A31,Timeline!$I$3:$I$1500)+SUMIF(Timeline!$J$3:$J$1500,XP!A31,Timeline!$K$3:$K$1500)+SUMIF(Timeline!$L$3:$L$1500,XP!A31,Timeline!$M$3:$M$1500)+SUMIF(Timeline!$N$3:$N$1500,XP!A31,Timeline!$O$3:$O$1500)+SUMIF(Timeline!$P$3:$P$1500,XP!A31,Timeline!$Q$3:$Q$1500)+SUMIF(Timeline!$R$3:$R$1500,XP!A31,Timeline!$S$3:$S$1500)+SUMIF(Timeline!$T$3:$T$1500,XP!A31,Timeline!$U$3:$U$1500)+SUMIF(Timeline!$V$3:$V$1500,XP!A31,Timeline!$W$3:$W$1500)+SUMIF(Timeline!$X$3:$X$1500,XP!A31,Timeline!$Y$3:$Y$1500)+SUMIF(Timeline!$Z$3:$Z$1500,XP!A31,Timeline!$AA$3:$AA$1500)+SUMIF(Timeline!$AB$3:$AB$1500,XP!A31,Timeline!$AC$3:$AC$1500)+SUMIF(Timeline!$AD$3:$AD$1500,XP!A31,Timeline!$AE$3:$AE$1500)+SUMIF(Timeline!$AF$3:$AF$1500,XP!A31,Timeline!$AG$3:$AG$1500)</f>
        <v>0</v>
      </c>
      <c r="C31" s="119"/>
      <c r="D31" s="6"/>
      <c r="E31" s="48" t="str">
        <f>IF(ISBLANK('Start Character'!E50)," ",'Start Character'!E50)</f>
        <v xml:space="preserve"> </v>
      </c>
      <c r="F31" s="157">
        <f>SUMIF(Timeline!$D$3:$D$1500,XP!E31,Timeline!$E$3:$E$1500)+SUMIF(Timeline!$F$3:$F$1500,XP!E31,Timeline!$G$3:$G$1500)+SUMIF(Timeline!$H$3:$H$1500,XP!E31,Timeline!$I$3:$I$1500)+SUMIF(Timeline!$J$3:$J$1500,XP!E31,Timeline!$K$3:$K$1500)+SUMIF(Timeline!$L$3:$L$1500,XP!E31,Timeline!$M$3:$M$1500)+SUMIF(Timeline!$N$3:$N$1500,XP!E31,Timeline!$O$3:$O$1500)+SUMIF(Timeline!$P$3:$P$1500,XP!E31,Timeline!$Q$3:$Q$1500)+SUMIF(Timeline!$R$3:$R$1500,XP!E31,Timeline!$S$3:$S$1500)+SUMIF(Timeline!$T$3:$T$1500,XP!E31,Timeline!$U$3:$U$1500)+SUMIF(Timeline!$V$3:$V$1500,XP!E31,Timeline!$W$3:$W$1500)+SUMIF(Timeline!$X$3:$X$1500,XP!E31,Timeline!$Y$3:$Y$1500)+SUMIF(Timeline!$Z$3:$Z$1500,XP!E31,Timeline!$AA$3:$AA$1500)+SUMIF(Timeline!$AB$3:$AB$1500,XP!E31,Timeline!$AC$3:$AC$1500)+SUMIF(Timeline!$AD$3:$AD$1500,XP!E31,Timeline!$AE$3:$AE$1500)+SUMIF(Timeline!$AF$3:$AF$1500,XP!E31,Timeline!$AG$3:$AG$1500)</f>
        <v>0</v>
      </c>
      <c r="G31" s="119"/>
      <c r="I31" s="48" t="str">
        <f>IF(ISBLANK('Start Character'!I50)," ",'Start Character'!I50)</f>
        <v xml:space="preserve"> </v>
      </c>
      <c r="J31" s="157">
        <f>SUMIF(Timeline!$D$3:$D$1500,XP!I31,Timeline!$E$3:$E$1500)+SUMIF(Timeline!$F$3:$F$1500,XP!I31,Timeline!$G$3:$G$1500)+SUMIF(Timeline!$H$3:$H$1500,XP!I31,Timeline!$I$3:$I$1500)+SUMIF(Timeline!$J$3:$J$1500,XP!I31,Timeline!$K$3:$K$1500)+SUMIF(Timeline!$L$3:$L$1500,XP!I31,Timeline!$M$3:$M$1500)+SUMIF(Timeline!$N$3:$N$1500,XP!I31,Timeline!$O$3:$O$1500)+SUMIF(Timeline!$P$3:$P$1500,XP!I31,Timeline!$Q$3:$Q$1500)+SUMIF(Timeline!$R$3:$R$1500,XP!I31,Timeline!$S$3:$S$1500)+SUMIF(Timeline!$T$3:$T$1500,XP!I31,Timeline!$U$3:$U$1500)+SUMIF(Timeline!$V$3:$V$1500,XP!I31,Timeline!$W$3:$W$1500)+SUMIF(Timeline!$X$3:$X$1500,XP!I31,Timeline!$Y$3:$Y$1500)+SUMIF(Timeline!$Z$3:$Z$1500,XP!I31,Timeline!$AA$3:$AA$1500)+SUMIF(Timeline!$AB$3:$AB$1500,XP!I31,Timeline!$AC$3:$AC$1500)+SUMIF(Timeline!$AD$3:$AD$1500,XP!I31,Timeline!$AE$3:$AE$1500)+SUMIF(Timeline!$AF$3:$AF$1500,XP!I31,Timeline!$AG$3:$AG$1500)</f>
        <v>0</v>
      </c>
      <c r="K31" s="119"/>
      <c r="M31" s="51" t="str">
        <f>IF(ISBLANK('Start Character'!M50)," ",'Start Character'!M50)</f>
        <v xml:space="preserve"> </v>
      </c>
      <c r="N31" s="157">
        <f>SUMIF(Timeline!$D$3:$D$1500,XP!M31,Timeline!$E$3:$E$1500)+SUMIF(Timeline!$F$3:$F$1500,XP!M31,Timeline!$G$3:$G$1500)+SUMIF(Timeline!$H$3:$H$1500,XP!M31,Timeline!$I$3:$I$1500)+SUMIF(Timeline!$J$3:$J$1500,XP!M31,Timeline!$K$3:$K$1500)+SUMIF(Timeline!$L$3:$L$1500,XP!M31,Timeline!$M$3:$M$1500)+SUMIF(Timeline!$N$3:$N$1500,XP!M31,Timeline!$O$3:$O$1500)+SUMIF(Timeline!$P$3:$P$1500,XP!M31,Timeline!$Q$3:$Q$1500)+SUMIF(Timeline!$R$3:$R$1500,XP!M31,Timeline!$S$3:$S$1500)+SUMIF(Timeline!$T$3:$T$1500,XP!M31,Timeline!$U$3:$U$1500)+SUMIF(Timeline!$V$3:$V$1500,XP!M31,Timeline!$W$3:$W$1500)+SUMIF(Timeline!$X$3:$X$1500,XP!M31,Timeline!$Y$3:$Y$1500)+SUMIF(Timeline!$Z$3:$Z$1500,XP!M31,Timeline!$AA$3:$AA$1500)+SUMIF(Timeline!$AB$3:$AB$1500,XP!M31,Timeline!$AC$3:$AC$1500)+SUMIF(Timeline!$AD$3:$AD$1500,XP!M31,Timeline!$AE$3:$AE$1500)+SUMIF(Timeline!$AF$3:$AF$1500,XP!M31,Timeline!$AG$3:$AG$1500)</f>
        <v>0</v>
      </c>
      <c r="O31" s="119"/>
    </row>
    <row r="32" spans="1:15" x14ac:dyDescent="0.2">
      <c r="A32" s="121" t="s">
        <v>217</v>
      </c>
      <c r="B32" s="191">
        <f>SUMIF(Timeline!$D$3:$D$1500,XP!A32,Timeline!$E$3:$E$1500)+SUMIF(Timeline!$F$3:$F$1500,XP!A32,Timeline!$G$3:$G$1500)+SUMIF(Timeline!$H$3:$H$1500,XP!A32,Timeline!$I$3:$I$1500)+SUMIF(Timeline!$J$3:$J$1500,XP!A32,Timeline!$K$3:$K$1500)+SUMIF(Timeline!$L$3:$L$1500,XP!A32,Timeline!$M$3:$M$1500)+SUMIF(Timeline!$N$3:$N$1500,XP!A32,Timeline!$O$3:$O$1500)+SUMIF(Timeline!$P$3:$P$1500,XP!A32,Timeline!$Q$3:$Q$1500)+SUMIF(Timeline!$R$3:$R$1500,XP!A32,Timeline!$S$3:$S$1500)+SUMIF(Timeline!$T$3:$T$1500,XP!A32,Timeline!$U$3:$U$1500)+SUMIF(Timeline!$V$3:$V$1500,XP!A32,Timeline!$W$3:$W$1500)+SUMIF(Timeline!$X$3:$X$1500,XP!A32,Timeline!$Y$3:$Y$1500)+SUMIF(Timeline!$Z$3:$Z$1500,XP!A32,Timeline!$AA$3:$AA$1500)+SUMIF(Timeline!$AB$3:$AB$1500,XP!A32,Timeline!$AC$3:$AC$1500)+SUMIF(Timeline!$AD$3:$AD$1500,XP!A32,Timeline!$AE$3:$AE$1500)+SUMIF(Timeline!$AF$3:$AF$1500,XP!A32,Timeline!$AG$3:$AG$1500)</f>
        <v>0</v>
      </c>
      <c r="C32" s="119"/>
      <c r="D32" s="6"/>
      <c r="E32" s="192" t="str">
        <f>IF(ISBLANK('Start Character'!E51)," ",'Start Character'!E51)</f>
        <v xml:space="preserve"> </v>
      </c>
      <c r="F32" s="198">
        <f>SUMIF(Timeline!$D$3:$D$1500,XP!E32,Timeline!$E$3:$E$1500)+SUMIF(Timeline!$F$3:$F$1500,XP!E32,Timeline!$G$3:$G$1500)+SUMIF(Timeline!$H$3:$H$1500,XP!E32,Timeline!$I$3:$I$1500)+SUMIF(Timeline!$J$3:$J$1500,XP!E32,Timeline!$K$3:$K$1500)+SUMIF(Timeline!$L$3:$L$1500,XP!E32,Timeline!$M$3:$M$1500)+SUMIF(Timeline!$N$3:$N$1500,XP!E32,Timeline!$O$3:$O$1500)+SUMIF(Timeline!$P$3:$P$1500,XP!E32,Timeline!$Q$3:$Q$1500)+SUMIF(Timeline!$R$3:$R$1500,XP!E32,Timeline!$S$3:$S$1500)+SUMIF(Timeline!$T$3:$T$1500,XP!E32,Timeline!$U$3:$U$1500)+SUMIF(Timeline!$V$3:$V$1500,XP!E32,Timeline!$W$3:$W$1500)+SUMIF(Timeline!$X$3:$X$1500,XP!E32,Timeline!$Y$3:$Y$1500)+SUMIF(Timeline!$Z$3:$Z$1500,XP!E32,Timeline!$AA$3:$AA$1500)+SUMIF(Timeline!$AB$3:$AB$1500,XP!E32,Timeline!$AC$3:$AC$1500)+SUMIF(Timeline!$AD$3:$AD$1500,XP!E32,Timeline!$AE$3:$AE$1500)+SUMIF(Timeline!$AF$3:$AF$1500,XP!E32,Timeline!$AG$3:$AG$1500)</f>
        <v>0</v>
      </c>
      <c r="G32" s="119"/>
      <c r="I32" s="192" t="str">
        <f>IF(ISBLANK('Start Character'!I51)," ",'Start Character'!I51)</f>
        <v xml:space="preserve"> </v>
      </c>
      <c r="J32" s="198">
        <f>SUMIF(Timeline!$D$3:$D$1500,XP!I32,Timeline!$E$3:$E$1500)+SUMIF(Timeline!$F$3:$F$1500,XP!I32,Timeline!$G$3:$G$1500)+SUMIF(Timeline!$H$3:$H$1500,XP!I32,Timeline!$I$3:$I$1500)+SUMIF(Timeline!$J$3:$J$1500,XP!I32,Timeline!$K$3:$K$1500)+SUMIF(Timeline!$L$3:$L$1500,XP!I32,Timeline!$M$3:$M$1500)+SUMIF(Timeline!$N$3:$N$1500,XP!I32,Timeline!$O$3:$O$1500)+SUMIF(Timeline!$P$3:$P$1500,XP!I32,Timeline!$Q$3:$Q$1500)+SUMIF(Timeline!$R$3:$R$1500,XP!I32,Timeline!$S$3:$S$1500)+SUMIF(Timeline!$T$3:$T$1500,XP!I32,Timeline!$U$3:$U$1500)+SUMIF(Timeline!$V$3:$V$1500,XP!I32,Timeline!$W$3:$W$1500)+SUMIF(Timeline!$X$3:$X$1500,XP!I32,Timeline!$Y$3:$Y$1500)+SUMIF(Timeline!$Z$3:$Z$1500,XP!I32,Timeline!$AA$3:$AA$1500)+SUMIF(Timeline!$AB$3:$AB$1500,XP!I32,Timeline!$AC$3:$AC$1500)+SUMIF(Timeline!$AD$3:$AD$1500,XP!I32,Timeline!$AE$3:$AE$1500)+SUMIF(Timeline!$AF$3:$AF$1500,XP!I32,Timeline!$AG$3:$AG$1500)</f>
        <v>0</v>
      </c>
      <c r="K32" s="119"/>
      <c r="M32" s="190" t="str">
        <f>IF(ISBLANK('Start Character'!M51)," ",'Start Character'!M51)</f>
        <v xml:space="preserve"> </v>
      </c>
      <c r="N32" s="198">
        <f>SUMIF(Timeline!$D$3:$D$1500,XP!M32,Timeline!$E$3:$E$1500)+SUMIF(Timeline!$F$3:$F$1500,XP!M32,Timeline!$G$3:$G$1500)+SUMIF(Timeline!$H$3:$H$1500,XP!M32,Timeline!$I$3:$I$1500)+SUMIF(Timeline!$J$3:$J$1500,XP!M32,Timeline!$K$3:$K$1500)+SUMIF(Timeline!$L$3:$L$1500,XP!M32,Timeline!$M$3:$M$1500)+SUMIF(Timeline!$N$3:$N$1500,XP!M32,Timeline!$O$3:$O$1500)+SUMIF(Timeline!$P$3:$P$1500,XP!M32,Timeline!$Q$3:$Q$1500)+SUMIF(Timeline!$R$3:$R$1500,XP!M32,Timeline!$S$3:$S$1500)+SUMIF(Timeline!$T$3:$T$1500,XP!M32,Timeline!$U$3:$U$1500)+SUMIF(Timeline!$V$3:$V$1500,XP!M32,Timeline!$W$3:$W$1500)+SUMIF(Timeline!$X$3:$X$1500,XP!M32,Timeline!$Y$3:$Y$1500)+SUMIF(Timeline!$Z$3:$Z$1500,XP!M32,Timeline!$AA$3:$AA$1500)+SUMIF(Timeline!$AB$3:$AB$1500,XP!M32,Timeline!$AC$3:$AC$1500)+SUMIF(Timeline!$AD$3:$AD$1500,XP!M32,Timeline!$AE$3:$AE$1500)+SUMIF(Timeline!$AF$3:$AF$1500,XP!M32,Timeline!$AG$3:$AG$1500)</f>
        <v>0</v>
      </c>
      <c r="O32" s="119"/>
    </row>
    <row r="33" spans="1:18" x14ac:dyDescent="0.2">
      <c r="O33" s="30"/>
    </row>
    <row r="34" spans="1:18" x14ac:dyDescent="0.2">
      <c r="A34" s="703" t="s">
        <v>177</v>
      </c>
      <c r="B34" s="706"/>
      <c r="C34" s="706"/>
      <c r="D34" s="706"/>
      <c r="E34" s="706"/>
      <c r="F34" s="706"/>
      <c r="G34" s="706"/>
      <c r="H34" s="706"/>
      <c r="I34" s="706"/>
      <c r="J34" s="706"/>
      <c r="K34" s="706"/>
      <c r="L34" s="706"/>
      <c r="M34" s="706"/>
      <c r="N34" s="706"/>
      <c r="O34" s="707"/>
    </row>
    <row r="36" spans="1:18" x14ac:dyDescent="0.2">
      <c r="A36" s="703" t="s">
        <v>109</v>
      </c>
      <c r="B36" s="706"/>
      <c r="C36" s="707"/>
      <c r="E36" s="703" t="s">
        <v>110</v>
      </c>
      <c r="F36" s="706"/>
      <c r="G36" s="707"/>
      <c r="I36" s="703" t="s">
        <v>110</v>
      </c>
      <c r="J36" s="706"/>
      <c r="K36" s="707"/>
    </row>
    <row r="37" spans="1:18" x14ac:dyDescent="0.2">
      <c r="A37" s="42" t="s">
        <v>14</v>
      </c>
      <c r="B37" s="251">
        <f>SUMIF(Timeline!$D$3:$D$1500,XP!A37,Timeline!$E$3:$E$1500)+SUMIF(Timeline!$F$3:$F$1500,XP!A37,Timeline!$G$3:$G$1500)+SUMIF(Timeline!$H$3:$H$1500,XP!A37,Timeline!$I$3:$I$1500)+SUMIF(Timeline!$J$3:$J$1500,XP!A37,Timeline!$K$3:$K$1500)+SUMIF(Timeline!$L$3:$L$1500,XP!A37,Timeline!$M$3:$M$1500)+SUMIF(Timeline!$N$3:$N$1500,XP!A37,Timeline!$O$3:$O$1500)+SUMIF(Timeline!$P$3:$P$1500,XP!A37,Timeline!$Q$3:$Q$1500)+SUMIF(Timeline!$R$3:$R$1500,XP!A37,Timeline!$S$3:$S$1500)+SUMIF(Timeline!$T$3:$T$1500,XP!A37,Timeline!$U$3:$U$1500)+SUMIF(Timeline!$V$3:$V$1500,XP!A37,Timeline!$W$3:$W$1500)+SUMIF(Timeline!$X$3:$X$1500,XP!A37,Timeline!$Y$3:$Y$1500)+SUMIF(Timeline!$Z$3:$Z$1500,XP!A37,Timeline!$AA$3:$AA$1500)+SUMIF(Timeline!$AB$3:$AB$1500,XP!A37,Timeline!$AC$3:$AC$1500)+SUMIF(Timeline!$AD$3:$AD$1500,XP!A37,Timeline!$AE$3:$AE$1500)+SUMIF(Timeline!$AF$3:$AF$1500,XP!A37,Timeline!$AG$3:$AG$1500)</f>
        <v>0</v>
      </c>
      <c r="C37" s="30"/>
      <c r="D37" s="70"/>
      <c r="E37" s="46" t="s">
        <v>23</v>
      </c>
      <c r="F37" s="251">
        <f>SUMIF(Timeline!$D$3:$D$1500,XP!E37,Timeline!$E$3:$E$1500)+SUMIF(Timeline!$F$3:$F$1500,XP!E37,Timeline!$G$3:$G$1500)+SUMIF(Timeline!$H$3:$H$1500,XP!E37,Timeline!$I$3:$I$1500)+SUMIF(Timeline!$J$3:$J$1500,XP!E37,Timeline!$K$3:$K$1500)+SUMIF(Timeline!$L$3:$L$1500,XP!E37,Timeline!$M$3:$M$1500)+SUMIF(Timeline!$N$3:$N$1500,XP!E37,Timeline!$O$3:$O$1500)+SUMIF(Timeline!$P$3:$P$1500,XP!E37,Timeline!$Q$3:$Q$1500)+SUMIF(Timeline!$R$3:$R$1500,XP!E37,Timeline!$S$3:$S$1500)+SUMIF(Timeline!$T$3:$T$1500,XP!E37,Timeline!$U$3:$U$1500)+SUMIF(Timeline!$V$3:$V$1500,XP!E37,Timeline!$W$3:$W$1500)+SUMIF(Timeline!$X$3:$X$1500,XP!E37,Timeline!$Y$3:$Y$1500)+SUMIF(Timeline!$Z$3:$Z$1500,XP!E37,Timeline!$AA$3:$AA$1500)+SUMIF(Timeline!$AB$3:$AB$1500,XP!E37,Timeline!$AC$3:$AC$1500)+SUMIF(Timeline!$AD$3:$AD$1500,XP!E37,Timeline!$AE$3:$AE$1500)+SUMIF(Timeline!$AF$3:$AF$1500,XP!E37,Timeline!$AG$3:$AG$1500)</f>
        <v>0</v>
      </c>
      <c r="G37" s="30"/>
      <c r="H37" s="70"/>
      <c r="I37" s="46" t="s">
        <v>34</v>
      </c>
      <c r="J37" s="251">
        <f>SUMIF(Timeline!$D$3:$D$1500,XP!I37,Timeline!$E$3:$E$1500)+SUMIF(Timeline!$F$3:$F$1500,XP!I37,Timeline!$G$3:$G$1500)+SUMIF(Timeline!$H$3:$H$1500,XP!I37,Timeline!$I$3:$I$1500)+SUMIF(Timeline!$J$3:$J$1500,XP!I37,Timeline!$K$3:$K$1500)+SUMIF(Timeline!$L$3:$L$1500,XP!I37,Timeline!$M$3:$M$1500)+SUMIF(Timeline!$N$3:$N$1500,XP!I37,Timeline!$O$3:$O$1500)+SUMIF(Timeline!$P$3:$P$1500,XP!I37,Timeline!$Q$3:$Q$1500)+SUMIF(Timeline!$R$3:$R$1500,XP!I37,Timeline!$S$3:$S$1500)+SUMIF(Timeline!$T$3:$T$1500,XP!I37,Timeline!$U$3:$U$1500)+SUMIF(Timeline!$V$3:$V$1500,XP!I37,Timeline!$W$3:$W$1500)+SUMIF(Timeline!$X$3:$X$1500,XP!I37,Timeline!$Y$3:$Y$1500)+SUMIF(Timeline!$Z$3:$Z$1500,XP!I37,Timeline!$AA$3:$AA$1500)+SUMIF(Timeline!$AB$3:$AB$1500,XP!I37,Timeline!$AC$3:$AC$1500)+SUMIF(Timeline!$AD$3:$AD$1500,XP!I37,Timeline!$AE$3:$AE$1500)+SUMIF(Timeline!$AF$3:$AF$1500,XP!I37,Timeline!$AG$3:$AG$1500)</f>
        <v>0</v>
      </c>
      <c r="K37" s="30"/>
    </row>
    <row r="38" spans="1:18" x14ac:dyDescent="0.2">
      <c r="A38" s="35" t="s">
        <v>16</v>
      </c>
      <c r="B38" s="252">
        <f>SUMIF(Timeline!$D$3:$D$1500,XP!A38,Timeline!$E$3:$E$1500)+SUMIF(Timeline!$F$3:$F$1500,XP!A38,Timeline!$G$3:$G$1500)+SUMIF(Timeline!$H$3:$H$1500,XP!A38,Timeline!$I$3:$I$1500)+SUMIF(Timeline!$J$3:$J$1500,XP!A38,Timeline!$K$3:$K$1500)+SUMIF(Timeline!$L$3:$L$1500,XP!A38,Timeline!$M$3:$M$1500)+SUMIF(Timeline!$N$3:$N$1500,XP!A38,Timeline!$O$3:$O$1500)+SUMIF(Timeline!$P$3:$P$1500,XP!A38,Timeline!$Q$3:$Q$1500)+SUMIF(Timeline!$R$3:$R$1500,XP!A38,Timeline!$S$3:$S$1500)+SUMIF(Timeline!$T$3:$T$1500,XP!A38,Timeline!$U$3:$U$1500)+SUMIF(Timeline!$V$3:$V$1500,XP!A38,Timeline!$W$3:$W$1500)+SUMIF(Timeline!$X$3:$X$1500,XP!A38,Timeline!$Y$3:$Y$1500)+SUMIF(Timeline!$Z$3:$Z$1500,XP!A38,Timeline!$AA$3:$AA$1500)+SUMIF(Timeline!$AB$3:$AB$1500,XP!A38,Timeline!$AC$3:$AC$1500)+SUMIF(Timeline!$AD$3:$AD$1500,XP!A38,Timeline!$AE$3:$AE$1500)+SUMIF(Timeline!$AF$3:$AF$1500,XP!A38,Timeline!$AG$3:$AG$1500)</f>
        <v>0</v>
      </c>
      <c r="C38" s="30"/>
      <c r="D38" s="70"/>
      <c r="E38" s="48" t="s">
        <v>25</v>
      </c>
      <c r="F38" s="252">
        <f>SUMIF(Timeline!$D$3:$D$1500,XP!E38,Timeline!$E$3:$E$1500)+SUMIF(Timeline!$F$3:$F$1500,XP!E38,Timeline!$G$3:$G$1500)+SUMIF(Timeline!$H$3:$H$1500,XP!E38,Timeline!$I$3:$I$1500)+SUMIF(Timeline!$J$3:$J$1500,XP!E38,Timeline!$K$3:$K$1500)+SUMIF(Timeline!$L$3:$L$1500,XP!E38,Timeline!$M$3:$M$1500)+SUMIF(Timeline!$N$3:$N$1500,XP!E38,Timeline!$O$3:$O$1500)+SUMIF(Timeline!$P$3:$P$1500,XP!E38,Timeline!$Q$3:$Q$1500)+SUMIF(Timeline!$R$3:$R$1500,XP!E38,Timeline!$S$3:$S$1500)+SUMIF(Timeline!$T$3:$T$1500,XP!E38,Timeline!$U$3:$U$1500)+SUMIF(Timeline!$V$3:$V$1500,XP!E38,Timeline!$W$3:$W$1500)+SUMIF(Timeline!$X$3:$X$1500,XP!E38,Timeline!$Y$3:$Y$1500)+SUMIF(Timeline!$Z$3:$Z$1500,XP!E38,Timeline!$AA$3:$AA$1500)+SUMIF(Timeline!$AB$3:$AB$1500,XP!E38,Timeline!$AC$3:$AC$1500)+SUMIF(Timeline!$AD$3:$AD$1500,XP!E38,Timeline!$AE$3:$AE$1500)+SUMIF(Timeline!$AF$3:$AF$1500,XP!E38,Timeline!$AG$3:$AG$1500)</f>
        <v>0</v>
      </c>
      <c r="G38" s="30"/>
      <c r="H38" s="70"/>
      <c r="I38" s="48" t="s">
        <v>35</v>
      </c>
      <c r="J38" s="252">
        <f>SUMIF(Timeline!$D$3:$D$1500,XP!I38,Timeline!$E$3:$E$1500)+SUMIF(Timeline!$F$3:$F$1500,XP!I38,Timeline!$G$3:$G$1500)+SUMIF(Timeline!$H$3:$H$1500,XP!I38,Timeline!$I$3:$I$1500)+SUMIF(Timeline!$J$3:$J$1500,XP!I38,Timeline!$K$3:$K$1500)+SUMIF(Timeline!$L$3:$L$1500,XP!I38,Timeline!$M$3:$M$1500)+SUMIF(Timeline!$N$3:$N$1500,XP!I38,Timeline!$O$3:$O$1500)+SUMIF(Timeline!$P$3:$P$1500,XP!I38,Timeline!$Q$3:$Q$1500)+SUMIF(Timeline!$R$3:$R$1500,XP!I38,Timeline!$S$3:$S$1500)+SUMIF(Timeline!$T$3:$T$1500,XP!I38,Timeline!$U$3:$U$1500)+SUMIF(Timeline!$V$3:$V$1500,XP!I38,Timeline!$W$3:$W$1500)+SUMIF(Timeline!$X$3:$X$1500,XP!I38,Timeline!$Y$3:$Y$1500)+SUMIF(Timeline!$Z$3:$Z$1500,XP!I38,Timeline!$AA$3:$AA$1500)+SUMIF(Timeline!$AB$3:$AB$1500,XP!I38,Timeline!$AC$3:$AC$1500)+SUMIF(Timeline!$AD$3:$AD$1500,XP!I38,Timeline!$AE$3:$AE$1500)+SUMIF(Timeline!$AF$3:$AF$1500,XP!I38,Timeline!$AG$3:$AG$1500)</f>
        <v>0</v>
      </c>
      <c r="K38" s="30"/>
    </row>
    <row r="39" spans="1:18" x14ac:dyDescent="0.2">
      <c r="A39" s="35" t="s">
        <v>18</v>
      </c>
      <c r="B39" s="252">
        <f>SUMIF(Timeline!$D$3:$D$1500,XP!A39,Timeline!$E$3:$E$1500)+SUMIF(Timeline!$F$3:$F$1500,XP!A39,Timeline!$G$3:$G$1500)+SUMIF(Timeline!$H$3:$H$1500,XP!A39,Timeline!$I$3:$I$1500)+SUMIF(Timeline!$J$3:$J$1500,XP!A39,Timeline!$K$3:$K$1500)+SUMIF(Timeline!$L$3:$L$1500,XP!A39,Timeline!$M$3:$M$1500)+SUMIF(Timeline!$N$3:$N$1500,XP!A39,Timeline!$O$3:$O$1500)+SUMIF(Timeline!$P$3:$P$1500,XP!A39,Timeline!$Q$3:$Q$1500)+SUMIF(Timeline!$R$3:$R$1500,XP!A39,Timeline!$S$3:$S$1500)+SUMIF(Timeline!$T$3:$T$1500,XP!A39,Timeline!$U$3:$U$1500)+SUMIF(Timeline!$V$3:$V$1500,XP!A39,Timeline!$W$3:$W$1500)+SUMIF(Timeline!$X$3:$X$1500,XP!A39,Timeline!$Y$3:$Y$1500)+SUMIF(Timeline!$Z$3:$Z$1500,XP!A39,Timeline!$AA$3:$AA$1500)+SUMIF(Timeline!$AB$3:$AB$1500,XP!A39,Timeline!$AC$3:$AC$1500)+SUMIF(Timeline!$AD$3:$AD$1500,XP!A39,Timeline!$AE$3:$AE$1500)+SUMIF(Timeline!$AF$3:$AF$1500,XP!A39,Timeline!$AG$3:$AG$1500)</f>
        <v>0</v>
      </c>
      <c r="C39" s="30"/>
      <c r="D39" s="70"/>
      <c r="E39" s="48" t="s">
        <v>28</v>
      </c>
      <c r="F39" s="252">
        <f>SUMIF(Timeline!$D$3:$D$1500,XP!E39,Timeline!$E$3:$E$1500)+SUMIF(Timeline!$F$3:$F$1500,XP!E39,Timeline!$G$3:$G$1500)+SUMIF(Timeline!$H$3:$H$1500,XP!E39,Timeline!$I$3:$I$1500)+SUMIF(Timeline!$J$3:$J$1500,XP!E39,Timeline!$K$3:$K$1500)+SUMIF(Timeline!$L$3:$L$1500,XP!E39,Timeline!$M$3:$M$1500)+SUMIF(Timeline!$N$3:$N$1500,XP!E39,Timeline!$O$3:$O$1500)+SUMIF(Timeline!$P$3:$P$1500,XP!E39,Timeline!$Q$3:$Q$1500)+SUMIF(Timeline!$R$3:$R$1500,XP!E39,Timeline!$S$3:$S$1500)+SUMIF(Timeline!$T$3:$T$1500,XP!E39,Timeline!$U$3:$U$1500)+SUMIF(Timeline!$V$3:$V$1500,XP!E39,Timeline!$W$3:$W$1500)+SUMIF(Timeline!$X$3:$X$1500,XP!E39,Timeline!$Y$3:$Y$1500)+SUMIF(Timeline!$Z$3:$Z$1500,XP!E39,Timeline!$AA$3:$AA$1500)+SUMIF(Timeline!$AB$3:$AB$1500,XP!E39,Timeline!$AC$3:$AC$1500)+SUMIF(Timeline!$AD$3:$AD$1500,XP!E39,Timeline!$AE$3:$AE$1500)+SUMIF(Timeline!$AF$3:$AF$1500,XP!E39,Timeline!$AG$3:$AG$1500)</f>
        <v>0</v>
      </c>
      <c r="G39" s="30"/>
      <c r="H39" s="70"/>
      <c r="I39" s="48" t="s">
        <v>36</v>
      </c>
      <c r="J39" s="252">
        <f>SUMIF(Timeline!$D$3:$D$1500,XP!I39,Timeline!$E$3:$E$1500)+SUMIF(Timeline!$F$3:$F$1500,XP!I39,Timeline!$G$3:$G$1500)+SUMIF(Timeline!$H$3:$H$1500,XP!I39,Timeline!$I$3:$I$1500)+SUMIF(Timeline!$J$3:$J$1500,XP!I39,Timeline!$K$3:$K$1500)+SUMIF(Timeline!$L$3:$L$1500,XP!I39,Timeline!$M$3:$M$1500)+SUMIF(Timeline!$N$3:$N$1500,XP!I39,Timeline!$O$3:$O$1500)+SUMIF(Timeline!$P$3:$P$1500,XP!I39,Timeline!$Q$3:$Q$1500)+SUMIF(Timeline!$R$3:$R$1500,XP!I39,Timeline!$S$3:$S$1500)+SUMIF(Timeline!$T$3:$T$1500,XP!I39,Timeline!$U$3:$U$1500)+SUMIF(Timeline!$V$3:$V$1500,XP!I39,Timeline!$W$3:$W$1500)+SUMIF(Timeline!$X$3:$X$1500,XP!I39,Timeline!$Y$3:$Y$1500)+SUMIF(Timeline!$Z$3:$Z$1500,XP!I39,Timeline!$AA$3:$AA$1500)+SUMIF(Timeline!$AB$3:$AB$1500,XP!I39,Timeline!$AC$3:$AC$1500)+SUMIF(Timeline!$AD$3:$AD$1500,XP!I39,Timeline!$AE$3:$AE$1500)+SUMIF(Timeline!$AF$3:$AF$1500,XP!I39,Timeline!$AG$3:$AG$1500)</f>
        <v>0</v>
      </c>
      <c r="K39" s="30"/>
    </row>
    <row r="40" spans="1:18" x14ac:dyDescent="0.2">
      <c r="A40" s="35" t="s">
        <v>20</v>
      </c>
      <c r="B40" s="252">
        <f>SUMIF(Timeline!$D$3:$D$1500,XP!A40,Timeline!$E$3:$E$1500)+SUMIF(Timeline!$F$3:$F$1500,XP!A40,Timeline!$G$3:$G$1500)+SUMIF(Timeline!$H$3:$H$1500,XP!A40,Timeline!$I$3:$I$1500)+SUMIF(Timeline!$J$3:$J$1500,XP!A40,Timeline!$K$3:$K$1500)+SUMIF(Timeline!$L$3:$L$1500,XP!A40,Timeline!$M$3:$M$1500)+SUMIF(Timeline!$N$3:$N$1500,XP!A40,Timeline!$O$3:$O$1500)+SUMIF(Timeline!$P$3:$P$1500,XP!A40,Timeline!$Q$3:$Q$1500)+SUMIF(Timeline!$R$3:$R$1500,XP!A40,Timeline!$S$3:$S$1500)+SUMIF(Timeline!$T$3:$T$1500,XP!A40,Timeline!$U$3:$U$1500)+SUMIF(Timeline!$V$3:$V$1500,XP!A40,Timeline!$W$3:$W$1500)+SUMIF(Timeline!$X$3:$X$1500,XP!A40,Timeline!$Y$3:$Y$1500)+SUMIF(Timeline!$Z$3:$Z$1500,XP!A40,Timeline!$AA$3:$AA$1500)+SUMIF(Timeline!$AB$3:$AB$1500,XP!A40,Timeline!$AC$3:$AC$1500)+SUMIF(Timeline!$AD$3:$AD$1500,XP!A40,Timeline!$AE$3:$AE$1500)+SUMIF(Timeline!$AF$3:$AF$1500,XP!A40,Timeline!$AG$3:$AG$1500)</f>
        <v>0</v>
      </c>
      <c r="C40" s="30"/>
      <c r="D40" s="70"/>
      <c r="E40" s="48" t="s">
        <v>30</v>
      </c>
      <c r="F40" s="252">
        <f>SUMIF(Timeline!$D$3:$D$1500,XP!E40,Timeline!$E$3:$E$1500)+SUMIF(Timeline!$F$3:$F$1500,XP!E40,Timeline!$G$3:$G$1500)+SUMIF(Timeline!$H$3:$H$1500,XP!E40,Timeline!$I$3:$I$1500)+SUMIF(Timeline!$J$3:$J$1500,XP!E40,Timeline!$K$3:$K$1500)+SUMIF(Timeline!$L$3:$L$1500,XP!E40,Timeline!$M$3:$M$1500)+SUMIF(Timeline!$N$3:$N$1500,XP!E40,Timeline!$O$3:$O$1500)+SUMIF(Timeline!$P$3:$P$1500,XP!E40,Timeline!$Q$3:$Q$1500)+SUMIF(Timeline!$R$3:$R$1500,XP!E40,Timeline!$S$3:$S$1500)+SUMIF(Timeline!$T$3:$T$1500,XP!E40,Timeline!$U$3:$U$1500)+SUMIF(Timeline!$V$3:$V$1500,XP!E40,Timeline!$W$3:$W$1500)+SUMIF(Timeline!$X$3:$X$1500,XP!E40,Timeline!$Y$3:$Y$1500)+SUMIF(Timeline!$Z$3:$Z$1500,XP!E40,Timeline!$AA$3:$AA$1500)+SUMIF(Timeline!$AB$3:$AB$1500,XP!E40,Timeline!$AC$3:$AC$1500)+SUMIF(Timeline!$AD$3:$AD$1500,XP!E40,Timeline!$AE$3:$AE$1500)+SUMIF(Timeline!$AF$3:$AF$1500,XP!E40,Timeline!$AG$3:$AG$1500)</f>
        <v>0</v>
      </c>
      <c r="G40" s="30"/>
      <c r="H40" s="70"/>
      <c r="I40" s="48" t="s">
        <v>40</v>
      </c>
      <c r="J40" s="252">
        <f>SUMIF(Timeline!$D$3:$D$1500,XP!I40,Timeline!$E$3:$E$1500)+SUMIF(Timeline!$F$3:$F$1500,XP!I40,Timeline!$G$3:$G$1500)+SUMIF(Timeline!$H$3:$H$1500,XP!I40,Timeline!$I$3:$I$1500)+SUMIF(Timeline!$J$3:$J$1500,XP!I40,Timeline!$K$3:$K$1500)+SUMIF(Timeline!$L$3:$L$1500,XP!I40,Timeline!$M$3:$M$1500)+SUMIF(Timeline!$N$3:$N$1500,XP!I40,Timeline!$O$3:$O$1500)+SUMIF(Timeline!$P$3:$P$1500,XP!I40,Timeline!$Q$3:$Q$1500)+SUMIF(Timeline!$R$3:$R$1500,XP!I40,Timeline!$S$3:$S$1500)+SUMIF(Timeline!$T$3:$T$1500,XP!I40,Timeline!$U$3:$U$1500)+SUMIF(Timeline!$V$3:$V$1500,XP!I40,Timeline!$W$3:$W$1500)+SUMIF(Timeline!$X$3:$X$1500,XP!I40,Timeline!$Y$3:$Y$1500)+SUMIF(Timeline!$Z$3:$Z$1500,XP!I40,Timeline!$AA$3:$AA$1500)+SUMIF(Timeline!$AB$3:$AB$1500,XP!I40,Timeline!$AC$3:$AC$1500)+SUMIF(Timeline!$AD$3:$AD$1500,XP!I40,Timeline!$AE$3:$AE$1500)+SUMIF(Timeline!$AF$3:$AF$1500,XP!I40,Timeline!$AG$3:$AG$1500)</f>
        <v>0</v>
      </c>
      <c r="K40" s="30"/>
    </row>
    <row r="41" spans="1:18" x14ac:dyDescent="0.2">
      <c r="A41" s="197" t="s">
        <v>21</v>
      </c>
      <c r="B41" s="253">
        <f>SUMIF(Timeline!$D$3:$D$1500,XP!A41,Timeline!$E$3:$E$1500)+SUMIF(Timeline!$F$3:$F$1500,XP!A41,Timeline!$G$3:$G$1500)+SUMIF(Timeline!$H$3:$H$1500,XP!A41,Timeline!$I$3:$I$1500)+SUMIF(Timeline!$J$3:$J$1500,XP!A41,Timeline!$K$3:$K$1500)+SUMIF(Timeline!$L$3:$L$1500,XP!A41,Timeline!$M$3:$M$1500)+SUMIF(Timeline!$N$3:$N$1500,XP!A41,Timeline!$O$3:$O$1500)+SUMIF(Timeline!$P$3:$P$1500,XP!A41,Timeline!$Q$3:$Q$1500)+SUMIF(Timeline!$R$3:$R$1500,XP!A41,Timeline!$S$3:$S$1500)+SUMIF(Timeline!$T$3:$T$1500,XP!A41,Timeline!$U$3:$U$1500)+SUMIF(Timeline!$V$3:$V$1500,XP!A41,Timeline!$W$3:$W$1500)+SUMIF(Timeline!$X$3:$X$1500,XP!A41,Timeline!$Y$3:$Y$1500)+SUMIF(Timeline!$Z$3:$Z$1500,XP!A41,Timeline!$AA$3:$AA$1500)+SUMIF(Timeline!$AB$3:$AB$1500,XP!A41,Timeline!$AC$3:$AC$1500)+SUMIF(Timeline!$AD$3:$AD$1500,XP!A41,Timeline!$AE$3:$AE$1500)+SUMIF(Timeline!$AF$3:$AF$1500,XP!A41,Timeline!$AG$3:$AG$1500)</f>
        <v>0</v>
      </c>
      <c r="C41" s="30"/>
      <c r="D41" s="70"/>
      <c r="E41" s="192" t="s">
        <v>32</v>
      </c>
      <c r="F41" s="253">
        <f>SUMIF(Timeline!$D$3:$D$1500,XP!E41,Timeline!$E$3:$E$1500)+SUMIF(Timeline!$F$3:$F$1500,XP!E41,Timeline!$G$3:$G$1500)+SUMIF(Timeline!$H$3:$H$1500,XP!E41,Timeline!$I$3:$I$1500)+SUMIF(Timeline!$J$3:$J$1500,XP!E41,Timeline!$K$3:$K$1500)+SUMIF(Timeline!$L$3:$L$1500,XP!E41,Timeline!$M$3:$M$1500)+SUMIF(Timeline!$N$3:$N$1500,XP!E41,Timeline!$O$3:$O$1500)+SUMIF(Timeline!$P$3:$P$1500,XP!E41,Timeline!$Q$3:$Q$1500)+SUMIF(Timeline!$R$3:$R$1500,XP!E41,Timeline!$S$3:$S$1500)+SUMIF(Timeline!$T$3:$T$1500,XP!E41,Timeline!$U$3:$U$1500)+SUMIF(Timeline!$V$3:$V$1500,XP!E41,Timeline!$W$3:$W$1500)+SUMIF(Timeline!$X$3:$X$1500,XP!E41,Timeline!$Y$3:$Y$1500)+SUMIF(Timeline!$Z$3:$Z$1500,XP!E41,Timeline!$AA$3:$AA$1500)+SUMIF(Timeline!$AB$3:$AB$1500,XP!E41,Timeline!$AC$3:$AC$1500)+SUMIF(Timeline!$AD$3:$AD$1500,XP!E41,Timeline!$AE$3:$AE$1500)+SUMIF(Timeline!$AF$3:$AF$1500,XP!E41,Timeline!$AG$3:$AG$1500)</f>
        <v>0</v>
      </c>
      <c r="G41" s="30"/>
      <c r="H41" s="70"/>
      <c r="I41" s="192" t="s">
        <v>42</v>
      </c>
      <c r="J41" s="253">
        <f>SUMIF(Timeline!$D$3:$D$1500,XP!I41,Timeline!$E$3:$E$1500)+SUMIF(Timeline!$F$3:$F$1500,XP!I41,Timeline!$G$3:$G$1500)+SUMIF(Timeline!$H$3:$H$1500,XP!I41,Timeline!$I$3:$I$1500)+SUMIF(Timeline!$J$3:$J$1500,XP!I41,Timeline!$K$3:$K$1500)+SUMIF(Timeline!$L$3:$L$1500,XP!I41,Timeline!$M$3:$M$1500)+SUMIF(Timeline!$N$3:$N$1500,XP!I41,Timeline!$O$3:$O$1500)+SUMIF(Timeline!$P$3:$P$1500,XP!I41,Timeline!$Q$3:$Q$1500)+SUMIF(Timeline!$R$3:$R$1500,XP!I41,Timeline!$S$3:$S$1500)+SUMIF(Timeline!$T$3:$T$1500,XP!I41,Timeline!$U$3:$U$1500)+SUMIF(Timeline!$V$3:$V$1500,XP!I41,Timeline!$W$3:$W$1500)+SUMIF(Timeline!$X$3:$X$1500,XP!I41,Timeline!$Y$3:$Y$1500)+SUMIF(Timeline!$Z$3:$Z$1500,XP!I41,Timeline!$AA$3:$AA$1500)+SUMIF(Timeline!$AB$3:$AB$1500,XP!I41,Timeline!$AC$3:$AC$1500)+SUMIF(Timeline!$AD$3:$AD$1500,XP!I41,Timeline!$AE$3:$AE$1500)+SUMIF(Timeline!$AF$3:$AF$1500,XP!I41,Timeline!$AG$3:$AG$1500)</f>
        <v>0</v>
      </c>
      <c r="K41" s="30"/>
    </row>
    <row r="43" spans="1:18" x14ac:dyDescent="0.2">
      <c r="A43" s="89"/>
      <c r="B43" s="117"/>
      <c r="C43" s="117"/>
      <c r="D43" s="117"/>
      <c r="E43" s="117"/>
      <c r="F43" s="117"/>
      <c r="G43" s="89"/>
      <c r="H43" s="117"/>
      <c r="I43" s="89"/>
      <c r="J43" s="117"/>
      <c r="K43" s="117"/>
      <c r="L43" s="117"/>
      <c r="M43" s="117"/>
      <c r="N43" s="117"/>
      <c r="O43" s="89"/>
      <c r="P43" s="30"/>
      <c r="Q43" s="30"/>
      <c r="R43" s="30"/>
    </row>
    <row r="44" spans="1:18" x14ac:dyDescent="0.2">
      <c r="A44" s="89"/>
      <c r="B44" s="117"/>
      <c r="C44" s="117"/>
      <c r="D44" s="117"/>
      <c r="E44" s="117"/>
      <c r="F44" s="117"/>
      <c r="G44" s="89"/>
      <c r="H44" s="117"/>
      <c r="I44" s="89"/>
      <c r="J44" s="117"/>
      <c r="K44" s="117"/>
      <c r="L44" s="117"/>
      <c r="M44" s="117"/>
      <c r="N44" s="117"/>
      <c r="O44" s="89"/>
      <c r="P44" s="30"/>
      <c r="Q44" s="30"/>
      <c r="R44" s="30"/>
    </row>
    <row r="45" spans="1:18" x14ac:dyDescent="0.2">
      <c r="A45" s="89"/>
      <c r="B45" s="117"/>
      <c r="C45" s="117"/>
      <c r="D45" s="117"/>
      <c r="E45" s="117"/>
      <c r="F45" s="117"/>
      <c r="G45" s="89"/>
      <c r="H45" s="117"/>
      <c r="I45" s="89"/>
      <c r="J45" s="117"/>
      <c r="K45" s="117"/>
      <c r="L45" s="117"/>
      <c r="M45" s="117"/>
      <c r="N45" s="117"/>
      <c r="O45" s="89"/>
      <c r="P45" s="30"/>
      <c r="Q45" s="30"/>
      <c r="R45" s="30"/>
    </row>
    <row r="46" spans="1:18" x14ac:dyDescent="0.2">
      <c r="A46" s="89"/>
      <c r="B46" s="117"/>
      <c r="C46" s="117"/>
      <c r="D46" s="117"/>
      <c r="E46" s="117"/>
      <c r="F46" s="117"/>
      <c r="G46" s="89"/>
      <c r="H46" s="117"/>
      <c r="I46" s="89"/>
      <c r="J46" s="117"/>
      <c r="K46" s="117"/>
      <c r="L46" s="117"/>
      <c r="M46" s="117"/>
      <c r="N46" s="117"/>
      <c r="O46" s="89"/>
      <c r="P46" s="30"/>
      <c r="Q46" s="30"/>
      <c r="R46" s="30"/>
    </row>
    <row r="47" spans="1:18" x14ac:dyDescent="0.2">
      <c r="A47" s="89"/>
      <c r="B47" s="117"/>
      <c r="C47" s="117"/>
      <c r="D47" s="117"/>
      <c r="E47" s="117"/>
      <c r="F47" s="117"/>
      <c r="G47" s="89"/>
      <c r="H47" s="117"/>
      <c r="I47" s="89"/>
      <c r="J47" s="117"/>
      <c r="K47" s="117"/>
      <c r="L47" s="117"/>
      <c r="M47" s="117"/>
      <c r="N47" s="117"/>
      <c r="O47" s="89"/>
      <c r="P47" s="30"/>
      <c r="Q47" s="30"/>
      <c r="R47" s="30"/>
    </row>
    <row r="48" spans="1:18" x14ac:dyDescent="0.2">
      <c r="A48" s="89"/>
      <c r="B48" s="117"/>
      <c r="C48" s="117"/>
      <c r="D48" s="117"/>
      <c r="E48" s="117"/>
      <c r="F48" s="117"/>
      <c r="G48" s="89"/>
      <c r="H48" s="117"/>
      <c r="I48" s="89"/>
      <c r="J48" s="117"/>
      <c r="K48" s="117"/>
      <c r="L48" s="117"/>
      <c r="M48" s="117"/>
      <c r="N48" s="117"/>
      <c r="O48" s="89"/>
      <c r="P48" s="30"/>
      <c r="Q48" s="30"/>
      <c r="R48" s="30"/>
    </row>
    <row r="49" spans="1:18" x14ac:dyDescent="0.2">
      <c r="A49" s="89"/>
      <c r="B49" s="117"/>
      <c r="C49" s="117"/>
      <c r="D49" s="117"/>
      <c r="E49" s="117"/>
      <c r="F49" s="117"/>
      <c r="G49" s="117"/>
      <c r="H49" s="117"/>
      <c r="I49" s="89"/>
      <c r="J49" s="117"/>
      <c r="K49" s="117"/>
      <c r="L49" s="117"/>
      <c r="M49" s="117"/>
      <c r="N49" s="117"/>
      <c r="O49" s="117"/>
      <c r="P49" s="30"/>
      <c r="Q49" s="30"/>
      <c r="R49" s="30"/>
    </row>
    <row r="50" spans="1:18" x14ac:dyDescent="0.2">
      <c r="A50" s="89"/>
      <c r="B50" s="117"/>
      <c r="C50" s="117"/>
      <c r="D50" s="117"/>
      <c r="E50" s="117"/>
      <c r="F50" s="117"/>
      <c r="G50" s="117"/>
      <c r="H50" s="117"/>
      <c r="I50" s="89"/>
      <c r="J50" s="117"/>
      <c r="K50" s="117"/>
      <c r="L50" s="117"/>
      <c r="M50" s="117"/>
      <c r="N50" s="117"/>
      <c r="O50" s="117"/>
      <c r="P50" s="30"/>
      <c r="Q50" s="30"/>
      <c r="R50" s="30"/>
    </row>
    <row r="51" spans="1:18" x14ac:dyDescent="0.2">
      <c r="A51" s="89"/>
      <c r="B51" s="117"/>
      <c r="C51" s="117"/>
      <c r="D51" s="117"/>
      <c r="E51" s="117"/>
      <c r="F51" s="117"/>
      <c r="G51" s="117"/>
      <c r="H51" s="117"/>
      <c r="I51" s="89"/>
      <c r="J51" s="117"/>
      <c r="K51" s="117"/>
      <c r="L51" s="117"/>
      <c r="M51" s="117"/>
      <c r="N51" s="117"/>
      <c r="O51" s="117"/>
      <c r="P51" s="30"/>
      <c r="Q51" s="30"/>
      <c r="R51" s="30"/>
    </row>
    <row r="52" spans="1:18" x14ac:dyDescent="0.2">
      <c r="A52" s="89"/>
      <c r="B52" s="117"/>
      <c r="C52" s="117"/>
      <c r="D52" s="117"/>
      <c r="E52" s="117"/>
      <c r="F52" s="117"/>
      <c r="G52" s="117"/>
      <c r="H52" s="117"/>
      <c r="I52" s="89"/>
      <c r="J52" s="117"/>
      <c r="K52" s="117"/>
      <c r="L52" s="117"/>
      <c r="M52" s="117"/>
      <c r="N52" s="117"/>
      <c r="O52" s="117"/>
      <c r="P52" s="30"/>
      <c r="Q52" s="30"/>
      <c r="R52" s="30"/>
    </row>
    <row r="53" spans="1:18" x14ac:dyDescent="0.2">
      <c r="A53" s="89"/>
      <c r="B53" s="117"/>
      <c r="C53" s="117"/>
      <c r="D53" s="117"/>
      <c r="E53" s="117"/>
      <c r="F53" s="117"/>
      <c r="G53" s="89"/>
      <c r="H53" s="30"/>
      <c r="I53" s="89"/>
      <c r="J53" s="117"/>
      <c r="K53" s="117"/>
      <c r="L53" s="117"/>
      <c r="M53" s="117"/>
      <c r="N53" s="117"/>
      <c r="O53" s="89"/>
      <c r="P53" s="30"/>
      <c r="Q53" s="30"/>
      <c r="R53" s="30"/>
    </row>
    <row r="54" spans="1:18" x14ac:dyDescent="0.2">
      <c r="A54" s="89"/>
      <c r="B54" s="117"/>
      <c r="C54" s="117"/>
      <c r="D54" s="117"/>
      <c r="E54" s="117"/>
      <c r="F54" s="117"/>
      <c r="G54" s="89"/>
      <c r="H54" s="117"/>
      <c r="I54" s="89"/>
      <c r="J54" s="117"/>
      <c r="K54" s="117"/>
      <c r="L54" s="117"/>
      <c r="M54" s="117"/>
      <c r="N54" s="117"/>
      <c r="O54" s="89"/>
      <c r="P54" s="30"/>
      <c r="Q54" s="30"/>
      <c r="R54" s="30"/>
    </row>
    <row r="55" spans="1:18" x14ac:dyDescent="0.2">
      <c r="A55" s="89"/>
      <c r="B55" s="117"/>
      <c r="C55" s="117"/>
      <c r="D55" s="117"/>
      <c r="E55" s="117"/>
      <c r="F55" s="117"/>
      <c r="G55" s="117"/>
      <c r="H55" s="117"/>
      <c r="I55" s="89"/>
      <c r="J55" s="117"/>
      <c r="K55" s="117"/>
      <c r="L55" s="117"/>
      <c r="M55" s="117"/>
      <c r="N55" s="117"/>
      <c r="O55" s="117"/>
      <c r="P55" s="30"/>
      <c r="Q55" s="30"/>
      <c r="R55" s="30"/>
    </row>
    <row r="56" spans="1:18" x14ac:dyDescent="0.2">
      <c r="A56" s="89"/>
      <c r="B56" s="117"/>
      <c r="C56" s="117"/>
      <c r="D56" s="117"/>
      <c r="E56" s="117"/>
      <c r="F56" s="117"/>
      <c r="G56" s="89"/>
      <c r="H56" s="30"/>
      <c r="I56" s="89"/>
      <c r="J56" s="117"/>
      <c r="K56" s="117"/>
      <c r="L56" s="117"/>
      <c r="M56" s="117"/>
      <c r="N56" s="117"/>
      <c r="O56" s="89"/>
      <c r="P56" s="30"/>
      <c r="Q56" s="30"/>
      <c r="R56" s="30"/>
    </row>
    <row r="57" spans="1:18" x14ac:dyDescent="0.2">
      <c r="A57" s="89"/>
      <c r="B57" s="117"/>
      <c r="C57" s="117"/>
      <c r="D57" s="117"/>
      <c r="E57" s="117"/>
      <c r="F57" s="117"/>
      <c r="G57" s="89"/>
      <c r="H57" s="30"/>
      <c r="I57" s="89"/>
      <c r="J57" s="117"/>
      <c r="K57" s="117"/>
      <c r="L57" s="117"/>
      <c r="M57" s="117"/>
      <c r="N57" s="117"/>
      <c r="O57" s="89"/>
      <c r="P57" s="30"/>
      <c r="Q57" s="30"/>
      <c r="R57" s="30"/>
    </row>
    <row r="58" spans="1:18" x14ac:dyDescent="0.2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 x14ac:dyDescent="0.2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</sheetData>
  <sheetProtection selectLockedCells="1" selectUnlockedCells="1"/>
  <mergeCells count="17">
    <mergeCell ref="E18:G18"/>
    <mergeCell ref="A1:O1"/>
    <mergeCell ref="A10:C10"/>
    <mergeCell ref="E10:G10"/>
    <mergeCell ref="I21:K21"/>
    <mergeCell ref="A3:F3"/>
    <mergeCell ref="A4:E4"/>
    <mergeCell ref="A5:E5"/>
    <mergeCell ref="A6:E6"/>
    <mergeCell ref="A7:E7"/>
    <mergeCell ref="A8:E8"/>
    <mergeCell ref="E26:G26"/>
    <mergeCell ref="I27:K27"/>
    <mergeCell ref="A34:O34"/>
    <mergeCell ref="A36:C36"/>
    <mergeCell ref="E36:G36"/>
    <mergeCell ref="I36:K36"/>
  </mergeCells>
  <conditionalFormatting sqref="E19:E24 E27:E32 I28:I32 M22:M32 M11:M19">
    <cfRule type="cellIs" dxfId="1" priority="5" operator="equal">
      <formula>" "</formula>
    </cfRule>
  </conditionalFormatting>
  <conditionalFormatting sqref="A4:E8">
    <cfRule type="cellIs" dxfId="0" priority="1" operator="equal">
      <formula>" "</formula>
    </cfRule>
  </conditionalFormatting>
  <pageMargins left="0.78749999999999998" right="0.78749999999999998" top="1.0249999999999999" bottom="1.0249999999999999" header="0.78749999999999998" footer="0.78749999999999998"/>
  <pageSetup paperSize="9" scale="59" orientation="portrait" useFirstPageNumber="1" horizontalDpi="300" verticalDpi="300" r:id="rId1"/>
  <headerFooter alignWithMargins="0">
    <oddHeader>&amp;C&amp;A</oddHeader>
    <oddFooter>&amp;CPage &amp;P</oddFooter>
  </headerFooter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7"/>
  <sheetViews>
    <sheetView view="pageBreakPreview" zoomScale="60" zoomScaleNormal="100" workbookViewId="0">
      <selection activeCell="X36" sqref="X36"/>
    </sheetView>
  </sheetViews>
  <sheetFormatPr defaultColWidth="11.5703125" defaultRowHeight="12.75" x14ac:dyDescent="0.2"/>
  <cols>
    <col min="1" max="1" width="15.140625" bestFit="1" customWidth="1"/>
    <col min="2" max="2" width="3.7109375" bestFit="1" customWidth="1"/>
    <col min="3" max="3" width="9.42578125" bestFit="1" customWidth="1"/>
    <col min="4" max="4" width="3.7109375" bestFit="1" customWidth="1"/>
    <col min="5" max="5" width="19" bestFit="1" customWidth="1"/>
    <col min="6" max="6" width="4" bestFit="1" customWidth="1"/>
    <col min="7" max="7" width="12.5703125" bestFit="1" customWidth="1"/>
    <col min="8" max="8" width="3.7109375" bestFit="1" customWidth="1"/>
    <col min="9" max="9" width="16.42578125" customWidth="1"/>
    <col min="10" max="10" width="4.140625" bestFit="1" customWidth="1"/>
    <col min="11" max="11" width="14" bestFit="1" customWidth="1"/>
    <col min="12" max="12" width="2.7109375" customWidth="1"/>
    <col min="13" max="13" width="13.5703125" bestFit="1" customWidth="1"/>
    <col min="14" max="14" width="4" bestFit="1" customWidth="1"/>
    <col min="15" max="15" width="12.7109375" bestFit="1" customWidth="1"/>
    <col min="16" max="16" width="5.42578125" customWidth="1"/>
    <col min="17" max="17" width="2.85546875" customWidth="1"/>
  </cols>
  <sheetData>
    <row r="1" spans="1:21" x14ac:dyDescent="0.2">
      <c r="A1" s="127" t="s">
        <v>91</v>
      </c>
      <c r="B1" s="864"/>
      <c r="C1" s="865"/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865"/>
      <c r="O1" s="866"/>
      <c r="P1" s="3"/>
      <c r="Q1" s="3"/>
    </row>
    <row r="2" spans="1:21" x14ac:dyDescent="0.2">
      <c r="A2" s="461" t="s">
        <v>426</v>
      </c>
      <c r="B2" s="864"/>
      <c r="C2" s="867"/>
      <c r="D2" s="867"/>
      <c r="E2" s="867"/>
      <c r="F2" s="506" t="s">
        <v>455</v>
      </c>
      <c r="G2" s="506"/>
      <c r="H2" s="506"/>
      <c r="I2" s="506"/>
      <c r="J2" s="506"/>
      <c r="K2" s="506"/>
      <c r="L2" s="506"/>
      <c r="M2" s="506"/>
      <c r="N2" s="506"/>
      <c r="O2" s="507"/>
      <c r="P2" s="3"/>
      <c r="Q2" s="3"/>
    </row>
    <row r="3" spans="1:21" x14ac:dyDescent="0.2">
      <c r="A3" s="461" t="s">
        <v>470</v>
      </c>
      <c r="B3" s="864"/>
      <c r="C3" s="867"/>
      <c r="D3" s="867"/>
      <c r="E3" s="867"/>
      <c r="F3" s="506" t="s">
        <v>471</v>
      </c>
      <c r="G3" s="506"/>
      <c r="H3" s="506"/>
      <c r="I3" s="506"/>
      <c r="J3" s="506"/>
      <c r="K3" s="506"/>
      <c r="L3" s="506"/>
      <c r="M3" s="506"/>
      <c r="N3" s="506"/>
      <c r="O3" s="507"/>
      <c r="P3" s="3"/>
      <c r="Q3" s="3"/>
    </row>
    <row r="4" spans="1:21" x14ac:dyDescent="0.2">
      <c r="A4" s="88"/>
      <c r="B4" s="89"/>
      <c r="C4" s="117"/>
      <c r="D4" s="128"/>
      <c r="E4" s="128"/>
      <c r="F4" s="128"/>
      <c r="G4" s="128"/>
      <c r="H4" s="128"/>
      <c r="I4" s="128"/>
      <c r="J4" s="128"/>
      <c r="K4" s="128"/>
      <c r="L4" s="3"/>
      <c r="P4" s="3"/>
      <c r="Q4" s="3"/>
    </row>
    <row r="5" spans="1:21" x14ac:dyDescent="0.2">
      <c r="A5" s="379" t="s">
        <v>92</v>
      </c>
      <c r="B5" s="858"/>
      <c r="C5" s="859"/>
      <c r="D5" s="380"/>
      <c r="E5" s="376" t="s">
        <v>222</v>
      </c>
      <c r="F5" s="858"/>
      <c r="G5" s="859"/>
      <c r="H5" s="378"/>
      <c r="I5" s="703" t="s">
        <v>1</v>
      </c>
      <c r="J5" s="707"/>
      <c r="K5" s="444" t="str">
        <f>CONCATENATE(K8,"/",K7,"/",K6)</f>
        <v>//</v>
      </c>
      <c r="L5" s="3"/>
      <c r="M5" s="860" t="s">
        <v>272</v>
      </c>
      <c r="N5" s="860"/>
      <c r="O5" s="444" t="str">
        <f>CONCATENATE(O8,"/",O7,"/",O6)</f>
        <v>26/9/1216</v>
      </c>
      <c r="P5" s="2"/>
      <c r="Q5" s="3"/>
    </row>
    <row r="6" spans="1:21" x14ac:dyDescent="0.2">
      <c r="A6" s="379" t="s">
        <v>114</v>
      </c>
      <c r="B6" s="858"/>
      <c r="C6" s="859"/>
      <c r="D6" s="380"/>
      <c r="E6" s="376" t="s">
        <v>170</v>
      </c>
      <c r="F6" s="858"/>
      <c r="G6" s="859"/>
      <c r="H6" s="378"/>
      <c r="I6" s="703" t="s">
        <v>419</v>
      </c>
      <c r="J6" s="707"/>
      <c r="K6" s="449"/>
      <c r="L6" s="3"/>
      <c r="M6" s="860" t="s">
        <v>422</v>
      </c>
      <c r="N6" s="860"/>
      <c r="O6" s="447">
        <v>1216</v>
      </c>
      <c r="P6" s="2"/>
      <c r="Q6" s="3"/>
    </row>
    <row r="7" spans="1:21" x14ac:dyDescent="0.2">
      <c r="A7" s="379" t="s">
        <v>115</v>
      </c>
      <c r="B7" s="858"/>
      <c r="C7" s="859"/>
      <c r="D7" s="380"/>
      <c r="E7" s="377" t="s">
        <v>172</v>
      </c>
      <c r="F7" s="858"/>
      <c r="G7" s="859"/>
      <c r="H7" s="378"/>
      <c r="I7" s="703" t="s">
        <v>420</v>
      </c>
      <c r="J7" s="707"/>
      <c r="K7" s="449"/>
      <c r="L7" s="3"/>
      <c r="M7" s="860" t="s">
        <v>423</v>
      </c>
      <c r="N7" s="860"/>
      <c r="O7" s="447">
        <v>9</v>
      </c>
      <c r="P7" s="3"/>
      <c r="Q7" s="3"/>
    </row>
    <row r="8" spans="1:21" x14ac:dyDescent="0.2">
      <c r="A8" s="379" t="s">
        <v>116</v>
      </c>
      <c r="B8" s="863"/>
      <c r="C8" s="766"/>
      <c r="D8" s="380"/>
      <c r="E8" s="376" t="s">
        <v>171</v>
      </c>
      <c r="F8" s="858"/>
      <c r="G8" s="859"/>
      <c r="H8" s="378"/>
      <c r="I8" s="703" t="s">
        <v>421</v>
      </c>
      <c r="J8" s="707"/>
      <c r="K8" s="449"/>
      <c r="L8" s="3"/>
      <c r="M8" s="860" t="s">
        <v>424</v>
      </c>
      <c r="N8" s="860"/>
      <c r="O8" s="447">
        <v>26</v>
      </c>
      <c r="P8" s="3"/>
      <c r="Q8" s="3"/>
    </row>
    <row r="9" spans="1:21" x14ac:dyDescent="0.2">
      <c r="M9" s="29"/>
      <c r="N9" s="29"/>
      <c r="O9" s="29"/>
      <c r="P9" s="3"/>
      <c r="Q9" s="3"/>
    </row>
    <row r="10" spans="1:21" x14ac:dyDescent="0.2">
      <c r="A10" s="851" t="s">
        <v>93</v>
      </c>
      <c r="B10" s="761"/>
      <c r="C10" s="762"/>
      <c r="E10" s="760" t="s">
        <v>108</v>
      </c>
      <c r="F10" s="761"/>
      <c r="G10" s="762"/>
      <c r="I10" s="201"/>
      <c r="J10" s="117"/>
      <c r="K10" s="117"/>
      <c r="M10" s="703" t="s">
        <v>46</v>
      </c>
      <c r="N10" s="704"/>
      <c r="O10" s="723"/>
    </row>
    <row r="11" spans="1:21" x14ac:dyDescent="0.2">
      <c r="A11" s="34" t="s">
        <v>100</v>
      </c>
      <c r="B11" s="209"/>
      <c r="C11" s="221" t="s">
        <v>282</v>
      </c>
      <c r="D11" s="4"/>
      <c r="E11" s="76" t="s">
        <v>44</v>
      </c>
      <c r="F11" s="852"/>
      <c r="G11" s="853"/>
      <c r="H11" s="15"/>
      <c r="I11" s="140"/>
      <c r="J11" s="187"/>
      <c r="K11" s="27"/>
      <c r="L11" s="31"/>
      <c r="M11" s="91" t="s">
        <v>118</v>
      </c>
      <c r="N11" s="854"/>
      <c r="O11" s="855"/>
      <c r="S11" s="861"/>
      <c r="T11" s="862"/>
      <c r="U11" s="448"/>
    </row>
    <row r="12" spans="1:21" x14ac:dyDescent="0.2">
      <c r="A12" s="32" t="s">
        <v>13</v>
      </c>
      <c r="B12" s="210"/>
      <c r="C12" s="222" t="s">
        <v>282</v>
      </c>
      <c r="D12" s="4"/>
      <c r="E12" s="53" t="s">
        <v>117</v>
      </c>
      <c r="F12" s="856" t="s">
        <v>250</v>
      </c>
      <c r="G12" s="857"/>
      <c r="H12" s="15"/>
      <c r="I12" s="140"/>
      <c r="J12" s="187"/>
      <c r="K12" s="27"/>
      <c r="L12" s="31"/>
      <c r="M12" s="92" t="s">
        <v>3</v>
      </c>
      <c r="N12" s="841"/>
      <c r="O12" s="842"/>
    </row>
    <row r="13" spans="1:21" x14ac:dyDescent="0.2">
      <c r="A13" s="32" t="s">
        <v>101</v>
      </c>
      <c r="B13" s="210"/>
      <c r="C13" s="222" t="s">
        <v>282</v>
      </c>
      <c r="D13" s="4"/>
      <c r="E13" s="35" t="s">
        <v>105</v>
      </c>
      <c r="F13" s="148">
        <v>0</v>
      </c>
      <c r="G13" s="37"/>
      <c r="H13" s="15"/>
      <c r="I13" s="140"/>
      <c r="J13" s="187"/>
      <c r="K13" s="27"/>
      <c r="L13" s="31"/>
      <c r="M13" s="93" t="s">
        <v>4</v>
      </c>
      <c r="N13" s="841"/>
      <c r="O13" s="842"/>
    </row>
    <row r="14" spans="1:21" x14ac:dyDescent="0.2">
      <c r="A14" s="35" t="s">
        <v>102</v>
      </c>
      <c r="B14" s="210"/>
      <c r="C14" s="162" t="s">
        <v>282</v>
      </c>
      <c r="D14" s="4"/>
      <c r="E14" s="35"/>
      <c r="F14" s="109"/>
      <c r="G14" s="37"/>
      <c r="H14" s="15"/>
      <c r="I14" s="140"/>
      <c r="J14" s="187"/>
      <c r="K14" s="27"/>
      <c r="L14" s="31"/>
      <c r="M14" s="93" t="s">
        <v>5</v>
      </c>
      <c r="N14" s="841"/>
      <c r="O14" s="842"/>
    </row>
    <row r="15" spans="1:21" x14ac:dyDescent="0.2">
      <c r="A15" s="35" t="s">
        <v>6</v>
      </c>
      <c r="B15" s="210"/>
      <c r="C15" s="222" t="s">
        <v>282</v>
      </c>
      <c r="D15" s="4"/>
      <c r="E15" s="35" t="s">
        <v>267</v>
      </c>
      <c r="F15" s="149">
        <v>0</v>
      </c>
      <c r="G15" s="36" t="s">
        <v>456</v>
      </c>
      <c r="H15" s="15"/>
      <c r="I15" s="140"/>
      <c r="J15" s="187"/>
      <c r="K15" s="27"/>
      <c r="L15" s="31"/>
      <c r="M15" s="93" t="s">
        <v>111</v>
      </c>
      <c r="N15" s="841"/>
      <c r="O15" s="842"/>
    </row>
    <row r="16" spans="1:21" x14ac:dyDescent="0.2">
      <c r="A16" s="32" t="s">
        <v>8</v>
      </c>
      <c r="B16" s="210"/>
      <c r="C16" s="222" t="s">
        <v>282</v>
      </c>
      <c r="D16" s="4"/>
      <c r="E16" s="35" t="s">
        <v>137</v>
      </c>
      <c r="F16" s="149">
        <v>1</v>
      </c>
      <c r="G16" s="39"/>
      <c r="H16" s="15"/>
      <c r="I16" s="140"/>
      <c r="J16" s="187"/>
      <c r="K16" s="27"/>
      <c r="L16" s="31"/>
      <c r="M16" s="93" t="s">
        <v>169</v>
      </c>
      <c r="N16" s="841"/>
      <c r="O16" s="842"/>
    </row>
    <row r="17" spans="1:21" x14ac:dyDescent="0.2">
      <c r="A17" s="32" t="s">
        <v>7</v>
      </c>
      <c r="B17" s="210"/>
      <c r="C17" s="222" t="s">
        <v>282</v>
      </c>
      <c r="D17" s="4"/>
      <c r="E17" s="38" t="s">
        <v>107</v>
      </c>
      <c r="F17" s="149">
        <v>3</v>
      </c>
      <c r="G17" s="43"/>
      <c r="H17" s="15"/>
      <c r="I17" s="140"/>
      <c r="J17" s="187"/>
      <c r="K17" s="27"/>
      <c r="L17" s="31"/>
      <c r="M17" s="202"/>
      <c r="N17" s="841"/>
      <c r="O17" s="842"/>
    </row>
    <row r="18" spans="1:21" x14ac:dyDescent="0.2">
      <c r="A18" s="33" t="s">
        <v>103</v>
      </c>
      <c r="B18" s="211"/>
      <c r="C18" s="165" t="s">
        <v>282</v>
      </c>
      <c r="D18" s="4"/>
      <c r="E18" s="44" t="s">
        <v>253</v>
      </c>
      <c r="F18" s="150">
        <v>0</v>
      </c>
      <c r="G18" s="45"/>
      <c r="H18" s="15"/>
      <c r="I18" s="140"/>
      <c r="J18" s="187"/>
      <c r="K18" s="89"/>
      <c r="L18" s="31"/>
      <c r="M18" s="203"/>
      <c r="N18" s="843"/>
      <c r="O18" s="844"/>
    </row>
    <row r="19" spans="1:21" x14ac:dyDescent="0.2">
      <c r="D19" s="4"/>
      <c r="H19" s="15"/>
      <c r="L19" s="31"/>
      <c r="N19" s="759"/>
      <c r="O19" s="759"/>
    </row>
    <row r="20" spans="1:21" x14ac:dyDescent="0.2">
      <c r="A20" s="750" t="s">
        <v>136</v>
      </c>
      <c r="B20" s="706"/>
      <c r="C20" s="706"/>
      <c r="D20" s="706"/>
      <c r="E20" s="706"/>
      <c r="F20" s="706"/>
      <c r="G20" s="87" t="s">
        <v>44</v>
      </c>
      <c r="H20" s="15"/>
      <c r="L20" s="31"/>
      <c r="N20" s="170"/>
      <c r="O20" s="170"/>
    </row>
    <row r="21" spans="1:21" x14ac:dyDescent="0.2">
      <c r="A21" s="845"/>
      <c r="B21" s="846"/>
      <c r="C21" s="846"/>
      <c r="D21" s="846"/>
      <c r="E21" s="846"/>
      <c r="F21" s="173"/>
      <c r="G21" s="174"/>
      <c r="H21" s="15"/>
      <c r="I21" s="2" t="s">
        <v>283</v>
      </c>
      <c r="K21" s="207"/>
      <c r="N21" s="170"/>
      <c r="O21" s="170"/>
    </row>
    <row r="22" spans="1:21" x14ac:dyDescent="0.2">
      <c r="A22" s="847"/>
      <c r="B22" s="848"/>
      <c r="C22" s="848"/>
      <c r="D22" s="848"/>
      <c r="E22" s="848"/>
      <c r="F22" s="175"/>
      <c r="G22" s="176"/>
      <c r="H22" s="15"/>
      <c r="I22" s="223" t="s">
        <v>284</v>
      </c>
      <c r="J22" s="224"/>
      <c r="K22" s="225"/>
      <c r="L22" s="224"/>
      <c r="M22" s="224"/>
      <c r="N22" s="226"/>
      <c r="O22" s="170"/>
    </row>
    <row r="23" spans="1:21" x14ac:dyDescent="0.2">
      <c r="A23" s="847"/>
      <c r="B23" s="848"/>
      <c r="C23" s="848"/>
      <c r="D23" s="848"/>
      <c r="E23" s="848"/>
      <c r="F23" s="175"/>
      <c r="G23" s="176"/>
      <c r="H23" s="15"/>
      <c r="I23" s="227" t="s">
        <v>285</v>
      </c>
      <c r="J23" s="228"/>
      <c r="K23" s="228"/>
      <c r="L23" s="229"/>
      <c r="M23" s="228"/>
      <c r="N23" s="230">
        <f>VLOOKUP(N22,Calcs!O4:Q24,3)</f>
        <v>0</v>
      </c>
      <c r="O23" s="170"/>
    </row>
    <row r="24" spans="1:21" x14ac:dyDescent="0.2">
      <c r="A24" s="847"/>
      <c r="B24" s="848"/>
      <c r="C24" s="848"/>
      <c r="D24" s="848"/>
      <c r="E24" s="848"/>
      <c r="F24" s="175"/>
      <c r="G24" s="176"/>
      <c r="H24" s="15"/>
      <c r="L24" s="31"/>
      <c r="N24" s="170"/>
      <c r="O24" s="170"/>
    </row>
    <row r="25" spans="1:21" x14ac:dyDescent="0.2">
      <c r="A25" s="849"/>
      <c r="B25" s="850"/>
      <c r="C25" s="850"/>
      <c r="D25" s="850"/>
      <c r="E25" s="850"/>
      <c r="F25" s="177"/>
      <c r="G25" s="178"/>
      <c r="H25" s="15"/>
      <c r="L25" s="31"/>
      <c r="N25" s="170"/>
      <c r="O25" s="170"/>
    </row>
    <row r="26" spans="1:21" x14ac:dyDescent="0.2">
      <c r="D26" s="4"/>
      <c r="H26" s="15"/>
      <c r="L26" s="31"/>
      <c r="N26" s="170"/>
      <c r="O26" s="170"/>
    </row>
    <row r="27" spans="1:21" x14ac:dyDescent="0.2">
      <c r="A27" s="703" t="s">
        <v>78</v>
      </c>
      <c r="B27" s="704"/>
      <c r="C27" s="704"/>
      <c r="D27" s="704"/>
      <c r="E27" s="704"/>
      <c r="F27" s="704"/>
      <c r="G27" s="704"/>
      <c r="H27" s="704"/>
      <c r="I27" s="704"/>
      <c r="J27" s="704"/>
      <c r="K27" s="704"/>
      <c r="L27" s="706"/>
      <c r="M27" s="706"/>
      <c r="N27" s="706"/>
      <c r="O27" s="707"/>
      <c r="P27" s="128"/>
      <c r="Q27" s="128"/>
      <c r="R27" s="128"/>
    </row>
    <row r="28" spans="1:21" x14ac:dyDescent="0.2">
      <c r="D28" s="3"/>
      <c r="F28" s="30"/>
    </row>
    <row r="29" spans="1:21" x14ac:dyDescent="0.2">
      <c r="A29" s="697" t="s">
        <v>95</v>
      </c>
      <c r="B29" s="697"/>
      <c r="C29" s="697"/>
      <c r="D29" s="9"/>
      <c r="E29" s="703" t="s">
        <v>96</v>
      </c>
      <c r="F29" s="704"/>
      <c r="G29" s="707"/>
      <c r="I29" s="136" t="s">
        <v>97</v>
      </c>
      <c r="J29" s="137"/>
      <c r="K29" s="139"/>
      <c r="L29" s="28"/>
      <c r="M29" s="136" t="s">
        <v>99</v>
      </c>
      <c r="N29" s="137"/>
      <c r="O29" s="189"/>
    </row>
    <row r="30" spans="1:21" x14ac:dyDescent="0.2">
      <c r="A30" s="34" t="s">
        <v>207</v>
      </c>
      <c r="B30" s="111"/>
      <c r="C30" s="119"/>
      <c r="D30" s="10"/>
      <c r="E30" s="46" t="s">
        <v>194</v>
      </c>
      <c r="F30" s="110"/>
      <c r="G30" s="119"/>
      <c r="I30" s="151" t="s">
        <v>199</v>
      </c>
      <c r="J30" s="111"/>
      <c r="K30" s="119"/>
      <c r="L30" s="10"/>
      <c r="M30" s="194"/>
      <c r="N30" s="110"/>
      <c r="O30" s="188"/>
    </row>
    <row r="31" spans="1:21" x14ac:dyDescent="0.2">
      <c r="A31" s="32" t="s">
        <v>15</v>
      </c>
      <c r="B31" s="112"/>
      <c r="C31" s="119"/>
      <c r="D31" s="10"/>
      <c r="E31" s="48" t="s">
        <v>195</v>
      </c>
      <c r="F31" s="112"/>
      <c r="G31" s="119"/>
      <c r="I31" s="51" t="s">
        <v>200</v>
      </c>
      <c r="J31" s="112"/>
      <c r="K31" s="119"/>
      <c r="L31" s="10"/>
      <c r="M31" s="195"/>
      <c r="N31" s="112"/>
      <c r="O31" s="188"/>
      <c r="S31" s="3"/>
      <c r="T31" s="3"/>
      <c r="U31" s="3"/>
    </row>
    <row r="32" spans="1:21" x14ac:dyDescent="0.2">
      <c r="A32" s="32" t="s">
        <v>17</v>
      </c>
      <c r="B32" s="112"/>
      <c r="C32" s="119"/>
      <c r="D32" s="10"/>
      <c r="E32" s="48" t="s">
        <v>196</v>
      </c>
      <c r="F32" s="112"/>
      <c r="G32" s="119"/>
      <c r="I32" s="51" t="s">
        <v>485</v>
      </c>
      <c r="J32" s="112"/>
      <c r="K32" s="119"/>
      <c r="L32" s="10"/>
      <c r="M32" s="195"/>
      <c r="N32" s="112"/>
      <c r="O32" s="188"/>
    </row>
    <row r="33" spans="1:15" x14ac:dyDescent="0.2">
      <c r="A33" s="32" t="s">
        <v>208</v>
      </c>
      <c r="B33" s="112"/>
      <c r="C33" s="119"/>
      <c r="D33" s="10"/>
      <c r="E33" s="48" t="s">
        <v>27</v>
      </c>
      <c r="F33" s="112"/>
      <c r="G33" s="119"/>
      <c r="I33" s="51" t="s">
        <v>37</v>
      </c>
      <c r="J33" s="112"/>
      <c r="K33" s="119"/>
      <c r="L33" s="10"/>
      <c r="M33" s="195"/>
      <c r="N33" s="112"/>
      <c r="O33" s="188"/>
    </row>
    <row r="34" spans="1:15" x14ac:dyDescent="0.2">
      <c r="A34" s="32" t="s">
        <v>19</v>
      </c>
      <c r="B34" s="112"/>
      <c r="C34" s="119"/>
      <c r="D34" s="10"/>
      <c r="E34" s="48" t="s">
        <v>197</v>
      </c>
      <c r="F34" s="112"/>
      <c r="G34" s="119"/>
      <c r="I34" s="51" t="s">
        <v>201</v>
      </c>
      <c r="J34" s="112"/>
      <c r="K34" s="119"/>
      <c r="L34" s="10"/>
      <c r="M34" s="195"/>
      <c r="N34" s="112"/>
      <c r="O34" s="188"/>
    </row>
    <row r="35" spans="1:15" x14ac:dyDescent="0.2">
      <c r="A35" s="32" t="s">
        <v>209</v>
      </c>
      <c r="B35" s="112"/>
      <c r="C35" s="119"/>
      <c r="D35" s="10"/>
      <c r="E35" s="192" t="s">
        <v>198</v>
      </c>
      <c r="F35" s="125"/>
      <c r="G35" s="119"/>
      <c r="I35" s="51" t="s">
        <v>202</v>
      </c>
      <c r="J35" s="112"/>
      <c r="K35" s="119"/>
      <c r="L35" s="10"/>
      <c r="M35" s="195"/>
      <c r="N35" s="112"/>
      <c r="O35" s="188"/>
    </row>
    <row r="36" spans="1:15" x14ac:dyDescent="0.2">
      <c r="A36" s="32" t="s">
        <v>163</v>
      </c>
      <c r="B36" s="112"/>
      <c r="C36" s="119"/>
      <c r="D36" s="10"/>
      <c r="G36" s="30"/>
      <c r="I36" s="51" t="s">
        <v>39</v>
      </c>
      <c r="J36" s="112"/>
      <c r="K36" s="119"/>
      <c r="L36" s="10"/>
      <c r="M36" s="195"/>
      <c r="N36" s="112"/>
      <c r="O36" s="188"/>
    </row>
    <row r="37" spans="1:15" x14ac:dyDescent="0.2">
      <c r="A37" s="32" t="s">
        <v>210</v>
      </c>
      <c r="B37" s="112"/>
      <c r="C37" s="119"/>
      <c r="D37" s="10"/>
      <c r="E37" s="703" t="s">
        <v>218</v>
      </c>
      <c r="F37" s="704"/>
      <c r="G37" s="707"/>
      <c r="I37" s="51" t="s">
        <v>73</v>
      </c>
      <c r="J37" s="112"/>
      <c r="K37" s="119"/>
      <c r="L37" s="10"/>
      <c r="M37" s="195"/>
      <c r="N37" s="112"/>
      <c r="O37" s="188"/>
    </row>
    <row r="38" spans="1:15" x14ac:dyDescent="0.2">
      <c r="A38" s="32" t="s">
        <v>24</v>
      </c>
      <c r="B38" s="112"/>
      <c r="C38" s="119"/>
      <c r="D38" s="10"/>
      <c r="E38" s="193"/>
      <c r="F38" s="111"/>
      <c r="G38" s="119"/>
      <c r="I38" s="190" t="s">
        <v>41</v>
      </c>
      <c r="J38" s="125"/>
      <c r="K38" s="119"/>
      <c r="M38" s="196"/>
      <c r="N38" s="125"/>
      <c r="O38" s="188"/>
    </row>
    <row r="39" spans="1:15" x14ac:dyDescent="0.2">
      <c r="A39" s="32" t="s">
        <v>22</v>
      </c>
      <c r="B39" s="112"/>
      <c r="C39" s="119"/>
      <c r="D39" s="10"/>
      <c r="E39" s="123"/>
      <c r="F39" s="112"/>
      <c r="G39" s="119"/>
      <c r="K39" s="30"/>
    </row>
    <row r="40" spans="1:15" x14ac:dyDescent="0.2">
      <c r="A40" s="32" t="s">
        <v>164</v>
      </c>
      <c r="B40" s="112"/>
      <c r="C40" s="119"/>
      <c r="D40" s="10"/>
      <c r="E40" s="123"/>
      <c r="F40" s="112"/>
      <c r="G40" s="119"/>
      <c r="I40" s="703" t="s">
        <v>98</v>
      </c>
      <c r="J40" s="706"/>
      <c r="K40" s="707"/>
      <c r="L40" s="6"/>
      <c r="M40" s="138" t="s">
        <v>112</v>
      </c>
      <c r="N40" s="138"/>
      <c r="O40" s="138"/>
    </row>
    <row r="41" spans="1:15" x14ac:dyDescent="0.2">
      <c r="A41" s="32" t="s">
        <v>211</v>
      </c>
      <c r="B41" s="112"/>
      <c r="C41" s="119"/>
      <c r="D41" s="10"/>
      <c r="E41" s="123"/>
      <c r="F41" s="112"/>
      <c r="G41" s="119"/>
      <c r="I41" s="151" t="s">
        <v>203</v>
      </c>
      <c r="J41" s="111"/>
      <c r="K41" s="119"/>
      <c r="L41" s="6"/>
      <c r="M41" s="194"/>
      <c r="N41" s="110"/>
      <c r="O41" s="119"/>
    </row>
    <row r="42" spans="1:15" x14ac:dyDescent="0.2">
      <c r="A42" s="32" t="s">
        <v>212</v>
      </c>
      <c r="B42" s="112"/>
      <c r="C42" s="119"/>
      <c r="D42" s="10"/>
      <c r="E42" s="123"/>
      <c r="F42" s="112"/>
      <c r="G42" s="119"/>
      <c r="I42" s="51" t="s">
        <v>204</v>
      </c>
      <c r="J42" s="112"/>
      <c r="K42" s="119"/>
      <c r="L42" s="6"/>
      <c r="M42" s="195"/>
      <c r="N42" s="112"/>
      <c r="O42" s="119"/>
    </row>
    <row r="43" spans="1:15" x14ac:dyDescent="0.2">
      <c r="A43" s="32" t="s">
        <v>213</v>
      </c>
      <c r="B43" s="112"/>
      <c r="C43" s="119"/>
      <c r="E43" s="124"/>
      <c r="F43" s="125"/>
      <c r="G43" s="119"/>
      <c r="I43" s="51" t="s">
        <v>205</v>
      </c>
      <c r="J43" s="112"/>
      <c r="K43" s="119"/>
      <c r="L43" s="6"/>
      <c r="M43" s="195"/>
      <c r="N43" s="112"/>
      <c r="O43" s="119"/>
    </row>
    <row r="44" spans="1:15" x14ac:dyDescent="0.2">
      <c r="A44" s="32" t="s">
        <v>29</v>
      </c>
      <c r="B44" s="112"/>
      <c r="C44" s="119"/>
      <c r="I44" s="190" t="s">
        <v>206</v>
      </c>
      <c r="J44" s="125"/>
      <c r="K44" s="119"/>
      <c r="L44" s="6"/>
      <c r="M44" s="195"/>
      <c r="N44" s="112"/>
      <c r="O44" s="119"/>
    </row>
    <row r="45" spans="1:15" x14ac:dyDescent="0.2">
      <c r="A45" s="32" t="s">
        <v>214</v>
      </c>
      <c r="B45" s="112"/>
      <c r="C45" s="119"/>
      <c r="D45" s="6"/>
      <c r="E45" s="703" t="s">
        <v>219</v>
      </c>
      <c r="F45" s="706"/>
      <c r="G45" s="707"/>
      <c r="I45" s="3"/>
      <c r="J45" s="3"/>
      <c r="K45" s="30"/>
      <c r="L45" s="6"/>
      <c r="M45" s="195"/>
      <c r="N45" s="112"/>
      <c r="O45" s="119"/>
    </row>
    <row r="46" spans="1:15" x14ac:dyDescent="0.2">
      <c r="A46" s="32" t="s">
        <v>215</v>
      </c>
      <c r="B46" s="112"/>
      <c r="C46" s="119"/>
      <c r="D46" s="6"/>
      <c r="E46" s="122"/>
      <c r="F46" s="110"/>
      <c r="G46" s="119"/>
      <c r="I46" s="703" t="s">
        <v>220</v>
      </c>
      <c r="J46" s="704"/>
      <c r="K46" s="707"/>
      <c r="L46" s="6"/>
      <c r="M46" s="195"/>
      <c r="N46" s="112"/>
      <c r="O46" s="119"/>
    </row>
    <row r="47" spans="1:15" x14ac:dyDescent="0.2">
      <c r="A47" s="32" t="s">
        <v>216</v>
      </c>
      <c r="B47" s="112"/>
      <c r="C47" s="119"/>
      <c r="D47" s="6"/>
      <c r="E47" s="123"/>
      <c r="F47" s="112"/>
      <c r="G47" s="119"/>
      <c r="I47" s="193"/>
      <c r="J47" s="111"/>
      <c r="K47" s="119"/>
      <c r="L47" s="6"/>
      <c r="M47" s="195"/>
      <c r="N47" s="112"/>
      <c r="O47" s="119"/>
    </row>
    <row r="48" spans="1:15" x14ac:dyDescent="0.2">
      <c r="A48" s="32" t="s">
        <v>31</v>
      </c>
      <c r="B48" s="112"/>
      <c r="C48" s="119"/>
      <c r="D48" s="6"/>
      <c r="E48" s="123"/>
      <c r="F48" s="112"/>
      <c r="G48" s="119"/>
      <c r="I48" s="123"/>
      <c r="J48" s="112"/>
      <c r="K48" s="119"/>
      <c r="L48" s="6"/>
      <c r="M48" s="195"/>
      <c r="N48" s="112"/>
      <c r="O48" s="119"/>
    </row>
    <row r="49" spans="1:15" x14ac:dyDescent="0.2">
      <c r="A49" s="32" t="s">
        <v>33</v>
      </c>
      <c r="B49" s="112"/>
      <c r="C49" s="119"/>
      <c r="D49" s="6"/>
      <c r="E49" s="123"/>
      <c r="F49" s="112"/>
      <c r="G49" s="119"/>
      <c r="I49" s="123"/>
      <c r="J49" s="112"/>
      <c r="K49" s="119"/>
      <c r="L49" s="6"/>
      <c r="M49" s="195"/>
      <c r="N49" s="112"/>
      <c r="O49" s="119"/>
    </row>
    <row r="50" spans="1:15" x14ac:dyDescent="0.2">
      <c r="A50" s="32" t="s">
        <v>165</v>
      </c>
      <c r="B50" s="112"/>
      <c r="C50" s="119"/>
      <c r="D50" s="6"/>
      <c r="E50" s="123"/>
      <c r="F50" s="112"/>
      <c r="G50" s="119"/>
      <c r="I50" s="123"/>
      <c r="J50" s="112"/>
      <c r="K50" s="119"/>
      <c r="M50" s="195"/>
      <c r="N50" s="112"/>
      <c r="O50" s="119"/>
    </row>
    <row r="51" spans="1:15" x14ac:dyDescent="0.2">
      <c r="A51" s="121" t="s">
        <v>217</v>
      </c>
      <c r="B51" s="125"/>
      <c r="C51" s="119"/>
      <c r="D51" s="6"/>
      <c r="E51" s="124"/>
      <c r="F51" s="125"/>
      <c r="G51" s="119"/>
      <c r="I51" s="124"/>
      <c r="J51" s="125"/>
      <c r="K51" s="119"/>
      <c r="M51" s="196"/>
      <c r="N51" s="125"/>
      <c r="O51" s="119"/>
    </row>
    <row r="52" spans="1:15" x14ac:dyDescent="0.2">
      <c r="O52" s="30"/>
    </row>
    <row r="53" spans="1:15" x14ac:dyDescent="0.2">
      <c r="A53" s="703" t="s">
        <v>177</v>
      </c>
      <c r="B53" s="706"/>
      <c r="C53" s="706"/>
      <c r="D53" s="706"/>
      <c r="E53" s="706"/>
      <c r="F53" s="706"/>
      <c r="G53" s="706"/>
      <c r="H53" s="706"/>
      <c r="I53" s="706"/>
      <c r="J53" s="706"/>
      <c r="K53" s="706"/>
      <c r="L53" s="706"/>
      <c r="M53" s="706"/>
      <c r="N53" s="706"/>
      <c r="O53" s="707"/>
    </row>
    <row r="55" spans="1:15" x14ac:dyDescent="0.2">
      <c r="A55" s="703" t="s">
        <v>109</v>
      </c>
      <c r="B55" s="706"/>
      <c r="C55" s="707"/>
      <c r="E55" s="703" t="s">
        <v>110</v>
      </c>
      <c r="F55" s="706"/>
      <c r="G55" s="707"/>
      <c r="I55" s="703" t="s">
        <v>110</v>
      </c>
      <c r="J55" s="706"/>
      <c r="K55" s="707"/>
      <c r="M55" s="117"/>
      <c r="N55" s="117"/>
      <c r="O55" s="117"/>
    </row>
    <row r="56" spans="1:15" x14ac:dyDescent="0.2">
      <c r="A56" s="42" t="s">
        <v>14</v>
      </c>
      <c r="B56" s="560"/>
      <c r="C56" s="30"/>
      <c r="E56" s="42" t="s">
        <v>23</v>
      </c>
      <c r="F56" s="560"/>
      <c r="G56" s="30"/>
      <c r="I56" s="42" t="s">
        <v>34</v>
      </c>
      <c r="J56" s="560"/>
      <c r="K56" s="30"/>
      <c r="M56" s="117"/>
      <c r="N56" s="117"/>
      <c r="O56" s="117"/>
    </row>
    <row r="57" spans="1:15" x14ac:dyDescent="0.2">
      <c r="A57" s="35" t="s">
        <v>16</v>
      </c>
      <c r="B57" s="561"/>
      <c r="C57" s="30"/>
      <c r="E57" s="35" t="s">
        <v>25</v>
      </c>
      <c r="F57" s="561"/>
      <c r="G57" s="30"/>
      <c r="I57" s="35" t="s">
        <v>35</v>
      </c>
      <c r="J57" s="561"/>
      <c r="K57" s="30"/>
      <c r="M57" s="117"/>
      <c r="N57" s="117"/>
      <c r="O57" s="117"/>
    </row>
    <row r="58" spans="1:15" x14ac:dyDescent="0.2">
      <c r="A58" s="35" t="s">
        <v>18</v>
      </c>
      <c r="B58" s="561"/>
      <c r="C58" s="30"/>
      <c r="E58" s="35" t="s">
        <v>28</v>
      </c>
      <c r="F58" s="561"/>
      <c r="G58" s="30"/>
      <c r="I58" s="35" t="s">
        <v>36</v>
      </c>
      <c r="J58" s="561"/>
      <c r="K58" s="30"/>
      <c r="M58" s="117"/>
      <c r="N58" s="117"/>
      <c r="O58" s="117"/>
    </row>
    <row r="59" spans="1:15" x14ac:dyDescent="0.2">
      <c r="A59" s="35" t="s">
        <v>20</v>
      </c>
      <c r="B59" s="561"/>
      <c r="C59" s="30"/>
      <c r="E59" s="35" t="s">
        <v>30</v>
      </c>
      <c r="F59" s="561"/>
      <c r="G59" s="30"/>
      <c r="I59" s="35" t="s">
        <v>40</v>
      </c>
      <c r="J59" s="561"/>
      <c r="K59" s="30"/>
      <c r="M59" s="117"/>
      <c r="N59" s="117"/>
      <c r="O59" s="117"/>
    </row>
    <row r="60" spans="1:15" x14ac:dyDescent="0.2">
      <c r="A60" s="197" t="s">
        <v>21</v>
      </c>
      <c r="B60" s="562"/>
      <c r="C60" s="30"/>
      <c r="E60" s="197" t="s">
        <v>32</v>
      </c>
      <c r="F60" s="562"/>
      <c r="G60" s="30"/>
      <c r="I60" s="197" t="s">
        <v>42</v>
      </c>
      <c r="J60" s="562"/>
      <c r="K60" s="30"/>
      <c r="M60" s="117"/>
      <c r="N60" s="117"/>
      <c r="O60" s="117"/>
    </row>
    <row r="62" spans="1:15" x14ac:dyDescent="0.2">
      <c r="A62" s="703" t="s">
        <v>94</v>
      </c>
      <c r="B62" s="706"/>
      <c r="C62" s="706"/>
      <c r="D62" s="706"/>
      <c r="E62" s="706"/>
      <c r="F62" s="169">
        <f>SUM(F63:F75)</f>
        <v>0</v>
      </c>
      <c r="G62" s="54"/>
      <c r="H62" s="171"/>
      <c r="I62" s="703" t="s">
        <v>148</v>
      </c>
      <c r="J62" s="706"/>
      <c r="K62" s="706"/>
      <c r="L62" s="706"/>
      <c r="M62" s="706"/>
      <c r="N62" s="169">
        <f>SUM(N63:N75)</f>
        <v>0</v>
      </c>
      <c r="O62" s="54"/>
    </row>
    <row r="63" spans="1:15" x14ac:dyDescent="0.2">
      <c r="A63" s="839"/>
      <c r="B63" s="840"/>
      <c r="C63" s="840"/>
      <c r="D63" s="840"/>
      <c r="E63" s="840"/>
      <c r="F63" s="168" t="str">
        <f>IF(ISBLANK(G63)," ",VLOOKUP(G63,Calcs!$A$54:$B$59,2,FALSE))</f>
        <v xml:space="preserve"> </v>
      </c>
      <c r="G63" s="204"/>
      <c r="H63" s="117"/>
      <c r="I63" s="839"/>
      <c r="J63" s="840"/>
      <c r="K63" s="840"/>
      <c r="L63" s="840"/>
      <c r="M63" s="840"/>
      <c r="N63" s="168" t="str">
        <f>IF(ISBLANK(O63)," ",VLOOKUP(O63,Calcs!$A$54:$B$59,2,FALSE))</f>
        <v xml:space="preserve"> </v>
      </c>
      <c r="O63" s="204"/>
    </row>
    <row r="64" spans="1:15" x14ac:dyDescent="0.2">
      <c r="A64" s="835"/>
      <c r="B64" s="836"/>
      <c r="C64" s="836"/>
      <c r="D64" s="836"/>
      <c r="E64" s="836"/>
      <c r="F64" s="172" t="str">
        <f>IF(ISBLANK(G64)," ",VLOOKUP(G64,Calcs!$A$54:$B$59,2,FALSE))</f>
        <v xml:space="preserve"> </v>
      </c>
      <c r="G64" s="105"/>
      <c r="H64" s="117"/>
      <c r="I64" s="835"/>
      <c r="J64" s="836"/>
      <c r="K64" s="836"/>
      <c r="L64" s="836"/>
      <c r="M64" s="836"/>
      <c r="N64" s="172" t="str">
        <f>IF(ISBLANK(O64)," ",VLOOKUP(O64,Calcs!$A$54:$B$59,2,FALSE))</f>
        <v xml:space="preserve"> </v>
      </c>
      <c r="O64" s="105"/>
    </row>
    <row r="65" spans="1:15" x14ac:dyDescent="0.2">
      <c r="A65" s="835"/>
      <c r="B65" s="836"/>
      <c r="C65" s="836"/>
      <c r="D65" s="836"/>
      <c r="E65" s="836"/>
      <c r="F65" s="172" t="str">
        <f>IF(ISBLANK(G65)," ",VLOOKUP(G65,Calcs!$A$54:$B$59,2,FALSE))</f>
        <v xml:space="preserve"> </v>
      </c>
      <c r="G65" s="105"/>
      <c r="H65" s="117"/>
      <c r="I65" s="835"/>
      <c r="J65" s="836"/>
      <c r="K65" s="836"/>
      <c r="L65" s="836"/>
      <c r="M65" s="836"/>
      <c r="N65" s="172" t="str">
        <f>IF(ISBLANK(O65)," ",VLOOKUP(O65,Calcs!$A$54:$B$59,2,FALSE))</f>
        <v xml:space="preserve"> </v>
      </c>
      <c r="O65" s="105"/>
    </row>
    <row r="66" spans="1:15" x14ac:dyDescent="0.2">
      <c r="A66" s="835"/>
      <c r="B66" s="836"/>
      <c r="C66" s="836"/>
      <c r="D66" s="836"/>
      <c r="E66" s="836"/>
      <c r="F66" s="172" t="str">
        <f>IF(ISBLANK(G66)," ",VLOOKUP(G66,Calcs!$A$54:$B$59,2,FALSE))</f>
        <v xml:space="preserve"> </v>
      </c>
      <c r="G66" s="105"/>
      <c r="H66" s="117"/>
      <c r="I66" s="835"/>
      <c r="J66" s="836"/>
      <c r="K66" s="836"/>
      <c r="L66" s="836"/>
      <c r="M66" s="836"/>
      <c r="N66" s="172" t="str">
        <f>IF(ISBLANK(O66)," ",VLOOKUP(O66,Calcs!$A$54:$B$59,2,FALSE))</f>
        <v xml:space="preserve"> </v>
      </c>
      <c r="O66" s="105"/>
    </row>
    <row r="67" spans="1:15" x14ac:dyDescent="0.2">
      <c r="A67" s="835"/>
      <c r="B67" s="836"/>
      <c r="C67" s="836"/>
      <c r="D67" s="836"/>
      <c r="E67" s="836"/>
      <c r="F67" s="172" t="str">
        <f>IF(ISBLANK(G67)," ",VLOOKUP(G67,Calcs!$A$54:$B$59,2,FALSE))</f>
        <v xml:space="preserve"> </v>
      </c>
      <c r="G67" s="105"/>
      <c r="H67" s="117"/>
      <c r="I67" s="835"/>
      <c r="J67" s="836"/>
      <c r="K67" s="836"/>
      <c r="L67" s="836"/>
      <c r="M67" s="836"/>
      <c r="N67" s="172" t="str">
        <f>IF(ISBLANK(O67)," ",VLOOKUP(O67,Calcs!$A$54:$B$59,2,FALSE))</f>
        <v xml:space="preserve"> </v>
      </c>
      <c r="O67" s="105"/>
    </row>
    <row r="68" spans="1:15" x14ac:dyDescent="0.2">
      <c r="A68" s="835"/>
      <c r="B68" s="836"/>
      <c r="C68" s="836"/>
      <c r="D68" s="836"/>
      <c r="E68" s="836"/>
      <c r="F68" s="172" t="str">
        <f>IF(ISBLANK(G68)," ",VLOOKUP(G68,Calcs!$A$54:$B$59,2,FALSE))</f>
        <v xml:space="preserve"> </v>
      </c>
      <c r="G68" s="105"/>
      <c r="H68" s="117"/>
      <c r="I68" s="835"/>
      <c r="J68" s="836"/>
      <c r="K68" s="836"/>
      <c r="L68" s="836"/>
      <c r="M68" s="836"/>
      <c r="N68" s="172" t="str">
        <f>IF(ISBLANK(O68)," ",VLOOKUP(O68,Calcs!$A$54:$B$59,2,FALSE))</f>
        <v xml:space="preserve"> </v>
      </c>
      <c r="O68" s="105"/>
    </row>
    <row r="69" spans="1:15" x14ac:dyDescent="0.2">
      <c r="A69" s="835"/>
      <c r="B69" s="836"/>
      <c r="C69" s="836"/>
      <c r="D69" s="836"/>
      <c r="E69" s="836"/>
      <c r="F69" s="172" t="str">
        <f>IF(ISBLANK(G69)," ",VLOOKUP(G69,Calcs!$A$54:$B$59,2,FALSE))</f>
        <v xml:space="preserve"> </v>
      </c>
      <c r="G69" s="104"/>
      <c r="H69" s="117"/>
      <c r="I69" s="835"/>
      <c r="J69" s="836"/>
      <c r="K69" s="836"/>
      <c r="L69" s="836"/>
      <c r="M69" s="836"/>
      <c r="N69" s="172" t="str">
        <f>IF(ISBLANK(O69)," ",VLOOKUP(O69,Calcs!$A$54:$B$59,2,FALSE))</f>
        <v xml:space="preserve"> </v>
      </c>
      <c r="O69" s="104"/>
    </row>
    <row r="70" spans="1:15" x14ac:dyDescent="0.2">
      <c r="A70" s="835"/>
      <c r="B70" s="836"/>
      <c r="C70" s="836"/>
      <c r="D70" s="836"/>
      <c r="E70" s="836"/>
      <c r="F70" s="172" t="str">
        <f>IF(ISBLANK(G70)," ",VLOOKUP(G70,Calcs!$A$54:$B$59,2,FALSE))</f>
        <v xml:space="preserve"> </v>
      </c>
      <c r="G70" s="104"/>
      <c r="H70" s="117"/>
      <c r="I70" s="835"/>
      <c r="J70" s="836"/>
      <c r="K70" s="836"/>
      <c r="L70" s="836"/>
      <c r="M70" s="836"/>
      <c r="N70" s="172" t="str">
        <f>IF(ISBLANK(O70)," ",VLOOKUP(O70,Calcs!$A$54:$B$59,2,FALSE))</f>
        <v xml:space="preserve"> </v>
      </c>
      <c r="O70" s="104"/>
    </row>
    <row r="71" spans="1:15" x14ac:dyDescent="0.2">
      <c r="A71" s="835"/>
      <c r="B71" s="836"/>
      <c r="C71" s="836"/>
      <c r="D71" s="836"/>
      <c r="E71" s="836"/>
      <c r="F71" s="172" t="str">
        <f>IF(ISBLANK(G71)," ",VLOOKUP(G71,Calcs!$A$54:$B$59,2,FALSE))</f>
        <v xml:space="preserve"> </v>
      </c>
      <c r="G71" s="104"/>
      <c r="H71" s="117"/>
      <c r="I71" s="835"/>
      <c r="J71" s="836"/>
      <c r="K71" s="836"/>
      <c r="L71" s="836"/>
      <c r="M71" s="836"/>
      <c r="N71" s="172" t="str">
        <f>IF(ISBLANK(O71)," ",VLOOKUP(O71,Calcs!$A$54:$B$59,2,FALSE))</f>
        <v xml:space="preserve"> </v>
      </c>
      <c r="O71" s="104"/>
    </row>
    <row r="72" spans="1:15" x14ac:dyDescent="0.2">
      <c r="A72" s="835"/>
      <c r="B72" s="836"/>
      <c r="C72" s="836"/>
      <c r="D72" s="836"/>
      <c r="E72" s="836"/>
      <c r="F72" s="172" t="str">
        <f>IF(ISBLANK(G72)," ",VLOOKUP(G72,Calcs!$A$54:$B$59,2,FALSE))</f>
        <v xml:space="preserve"> </v>
      </c>
      <c r="G72" s="104"/>
      <c r="H72" s="117"/>
      <c r="I72" s="835"/>
      <c r="J72" s="836"/>
      <c r="K72" s="836"/>
      <c r="L72" s="836"/>
      <c r="M72" s="836"/>
      <c r="N72" s="172" t="str">
        <f>IF(ISBLANK(O72)," ",VLOOKUP(O72,Calcs!$A$54:$B$59,2,FALSE))</f>
        <v xml:space="preserve"> </v>
      </c>
      <c r="O72" s="104"/>
    </row>
    <row r="73" spans="1:15" x14ac:dyDescent="0.2">
      <c r="A73" s="835"/>
      <c r="B73" s="836"/>
      <c r="C73" s="836"/>
      <c r="D73" s="836"/>
      <c r="E73" s="836"/>
      <c r="F73" s="172" t="str">
        <f>IF(ISBLANK(G73)," ",VLOOKUP(G73,Calcs!$A$54:$B$59,2,FALSE))</f>
        <v xml:space="preserve"> </v>
      </c>
      <c r="G73" s="105"/>
      <c r="H73" s="70"/>
      <c r="I73" s="835"/>
      <c r="J73" s="836"/>
      <c r="K73" s="836"/>
      <c r="L73" s="836"/>
      <c r="M73" s="836"/>
      <c r="N73" s="172" t="str">
        <f>IF(ISBLANK(O73)," ",VLOOKUP(O73,Calcs!$A$54:$B$59,2,FALSE))</f>
        <v xml:space="preserve"> </v>
      </c>
      <c r="O73" s="105"/>
    </row>
    <row r="74" spans="1:15" x14ac:dyDescent="0.2">
      <c r="A74" s="835"/>
      <c r="B74" s="836"/>
      <c r="C74" s="836"/>
      <c r="D74" s="836"/>
      <c r="E74" s="836"/>
      <c r="F74" s="172" t="str">
        <f>IF(ISBLANK(G74)," ",VLOOKUP(G74,Calcs!$A$54:$B$59,2,FALSE))</f>
        <v xml:space="preserve"> </v>
      </c>
      <c r="G74" s="105"/>
      <c r="H74" s="117"/>
      <c r="I74" s="835"/>
      <c r="J74" s="836"/>
      <c r="K74" s="836"/>
      <c r="L74" s="836"/>
      <c r="M74" s="836"/>
      <c r="N74" s="172" t="str">
        <f>IF(ISBLANK(O74)," ",VLOOKUP(O74,Calcs!$A$54:$B$59,2,FALSE))</f>
        <v xml:space="preserve"> </v>
      </c>
      <c r="O74" s="105"/>
    </row>
    <row r="75" spans="1:15" x14ac:dyDescent="0.2">
      <c r="A75" s="835"/>
      <c r="B75" s="836"/>
      <c r="C75" s="836"/>
      <c r="D75" s="836"/>
      <c r="E75" s="836"/>
      <c r="F75" s="172" t="str">
        <f>IF(ISBLANK(G75)," ",VLOOKUP(G75,Calcs!$A$54:$B$59,2,FALSE))</f>
        <v xml:space="preserve"> </v>
      </c>
      <c r="G75" s="104"/>
      <c r="H75" s="117"/>
      <c r="I75" s="835"/>
      <c r="J75" s="836"/>
      <c r="K75" s="836"/>
      <c r="L75" s="836"/>
      <c r="M75" s="836"/>
      <c r="N75" s="172" t="str">
        <f>IF(ISBLANK(O75)," ",VLOOKUP(O75,Calcs!$A$54:$B$59,2,FALSE))</f>
        <v xml:space="preserve"> </v>
      </c>
      <c r="O75" s="104"/>
    </row>
    <row r="76" spans="1:15" x14ac:dyDescent="0.2">
      <c r="A76" s="835"/>
      <c r="B76" s="836"/>
      <c r="C76" s="836"/>
      <c r="D76" s="836"/>
      <c r="E76" s="836"/>
      <c r="F76" s="172" t="str">
        <f>IF(ISBLANK(G76)," ",VLOOKUP(G76,Calcs!$A$54:$B$59,2,FALSE))</f>
        <v xml:space="preserve"> </v>
      </c>
      <c r="G76" s="105"/>
      <c r="H76" s="70"/>
      <c r="I76" s="835"/>
      <c r="J76" s="836"/>
      <c r="K76" s="836"/>
      <c r="L76" s="836"/>
      <c r="M76" s="836"/>
      <c r="N76" s="172" t="str">
        <f>IF(ISBLANK(O76)," ",VLOOKUP(O76,Calcs!$A$54:$B$59,2,FALSE))</f>
        <v xml:space="preserve"> </v>
      </c>
      <c r="O76" s="105"/>
    </row>
    <row r="77" spans="1:15" x14ac:dyDescent="0.2">
      <c r="A77" s="837"/>
      <c r="B77" s="838"/>
      <c r="C77" s="838"/>
      <c r="D77" s="838"/>
      <c r="E77" s="838"/>
      <c r="F77" s="71" t="str">
        <f>IF(ISBLANK(G77)," ",VLOOKUP(G77,Calcs!$A$54:$B$59,2,FALSE))</f>
        <v xml:space="preserve"> </v>
      </c>
      <c r="G77" s="206"/>
      <c r="H77" s="70"/>
      <c r="I77" s="837"/>
      <c r="J77" s="838"/>
      <c r="K77" s="838"/>
      <c r="L77" s="838"/>
      <c r="M77" s="838"/>
      <c r="N77" s="71" t="str">
        <f>IF(ISBLANK(O77)," ",VLOOKUP(O77,Calcs!$A$54:$B$59,2,FALSE))</f>
        <v xml:space="preserve"> </v>
      </c>
      <c r="O77" s="206"/>
    </row>
  </sheetData>
  <sheetProtection selectLockedCells="1" selectUnlockedCells="1"/>
  <sortState ref="A71:E73">
    <sortCondition ref="A71"/>
  </sortState>
  <mergeCells count="83">
    <mergeCell ref="B1:O1"/>
    <mergeCell ref="M5:N5"/>
    <mergeCell ref="I5:J5"/>
    <mergeCell ref="B5:C5"/>
    <mergeCell ref="F5:G5"/>
    <mergeCell ref="B2:E2"/>
    <mergeCell ref="B3:E3"/>
    <mergeCell ref="B6:C6"/>
    <mergeCell ref="F6:G6"/>
    <mergeCell ref="M6:N6"/>
    <mergeCell ref="I6:J6"/>
    <mergeCell ref="S11:T11"/>
    <mergeCell ref="M8:N8"/>
    <mergeCell ref="B7:C7"/>
    <mergeCell ref="F7:G7"/>
    <mergeCell ref="F8:G8"/>
    <mergeCell ref="B8:C8"/>
    <mergeCell ref="M7:N7"/>
    <mergeCell ref="I7:J7"/>
    <mergeCell ref="I8:J8"/>
    <mergeCell ref="N16:O16"/>
    <mergeCell ref="A10:C10"/>
    <mergeCell ref="E10:G10"/>
    <mergeCell ref="M10:O10"/>
    <mergeCell ref="F11:G11"/>
    <mergeCell ref="N11:O11"/>
    <mergeCell ref="F12:G12"/>
    <mergeCell ref="N12:O12"/>
    <mergeCell ref="N13:O13"/>
    <mergeCell ref="N14:O14"/>
    <mergeCell ref="N15:O15"/>
    <mergeCell ref="N17:O17"/>
    <mergeCell ref="N18:O18"/>
    <mergeCell ref="N19:O19"/>
    <mergeCell ref="E37:G37"/>
    <mergeCell ref="A27:O27"/>
    <mergeCell ref="A29:C29"/>
    <mergeCell ref="E29:G29"/>
    <mergeCell ref="A20:F20"/>
    <mergeCell ref="A21:E21"/>
    <mergeCell ref="A22:E22"/>
    <mergeCell ref="A23:E23"/>
    <mergeCell ref="A24:E24"/>
    <mergeCell ref="A25:E25"/>
    <mergeCell ref="A62:E62"/>
    <mergeCell ref="I62:M62"/>
    <mergeCell ref="I40:K40"/>
    <mergeCell ref="E45:G45"/>
    <mergeCell ref="I46:K46"/>
    <mergeCell ref="A53:O53"/>
    <mergeCell ref="A55:C55"/>
    <mergeCell ref="E55:G55"/>
    <mergeCell ref="I55:K55"/>
    <mergeCell ref="A63:E63"/>
    <mergeCell ref="I63:M63"/>
    <mergeCell ref="A64:E64"/>
    <mergeCell ref="I64:M64"/>
    <mergeCell ref="A65:E65"/>
    <mergeCell ref="I65:M65"/>
    <mergeCell ref="A66:E66"/>
    <mergeCell ref="I66:M66"/>
    <mergeCell ref="A67:E67"/>
    <mergeCell ref="I67:M67"/>
    <mergeCell ref="A68:E68"/>
    <mergeCell ref="I68:M68"/>
    <mergeCell ref="A69:E69"/>
    <mergeCell ref="I69:M69"/>
    <mergeCell ref="A70:E70"/>
    <mergeCell ref="I70:M70"/>
    <mergeCell ref="A71:E71"/>
    <mergeCell ref="I71:M71"/>
    <mergeCell ref="A72:E72"/>
    <mergeCell ref="I72:M72"/>
    <mergeCell ref="A73:E73"/>
    <mergeCell ref="I73:M73"/>
    <mergeCell ref="A74:E74"/>
    <mergeCell ref="I74:M74"/>
    <mergeCell ref="A75:E75"/>
    <mergeCell ref="I75:M75"/>
    <mergeCell ref="A76:E76"/>
    <mergeCell ref="I76:M76"/>
    <mergeCell ref="A77:E77"/>
    <mergeCell ref="I77:M77"/>
  </mergeCells>
  <dataValidations count="1">
    <dataValidation type="list" showInputMessage="1" showErrorMessage="1" errorTitle="Choose from the list!" error="You should choose from the list!" promptTitle="Choose Character Type" sqref="F11:G11">
      <formula1>TypesofCharacter</formula1>
    </dataValidation>
  </dataValidations>
  <pageMargins left="0.78749999999999998" right="0.78749999999999998" top="1.0249999999999999" bottom="1.0249999999999999" header="0.78749999999999998" footer="0.78749999999999998"/>
  <pageSetup paperSize="9" scale="59" orientation="portrait" useFirstPageNumber="1" horizontalDpi="300" verticalDpi="300" r:id="rId1"/>
  <headerFooter alignWithMargins="0">
    <oddHeader>&amp;C&amp;A</oddHeader>
    <oddFooter>&amp;CPage &amp;P</oddFooter>
  </headerFooter>
  <colBreaks count="1" manualBreakCount="1">
    <brk id="15" max="1048575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>
          <x14:formula1>
            <xm:f>Calcs!$A$54:$A$58</xm:f>
          </x14:formula1>
          <xm:sqref>G63:G77 O63:O77</xm:sqref>
        </x14:dataValidation>
        <x14:dataValidation type="list" showInputMessage="1" showErrorMessage="1" errorTitle="Choose from the list!" error="You should choose from the list!" promptTitle="Choose Character Type">
          <x14:formula1>
            <xm:f>Calcs!$A$74:$A$77</xm:f>
          </x14:formula1>
          <xm:sqref>F12:G12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7"/>
  <sheetViews>
    <sheetView topLeftCell="P35" workbookViewId="0">
      <selection activeCell="AP4" sqref="AP4:AP5"/>
    </sheetView>
  </sheetViews>
  <sheetFormatPr defaultColWidth="11.5703125" defaultRowHeight="12.75" x14ac:dyDescent="0.2"/>
  <cols>
    <col min="5" max="5" width="12.140625" customWidth="1"/>
    <col min="6" max="6" width="12" customWidth="1"/>
    <col min="7" max="7" width="11.5703125" customWidth="1"/>
    <col min="8" max="8" width="13.7109375" customWidth="1"/>
    <col min="9" max="10" width="5.140625" customWidth="1"/>
    <col min="11" max="11" width="5.5703125" bestFit="1" customWidth="1"/>
    <col min="12" max="26" width="5.140625" customWidth="1"/>
    <col min="27" max="27" width="4" bestFit="1" customWidth="1"/>
    <col min="28" max="28" width="3" bestFit="1" customWidth="1"/>
    <col min="29" max="30" width="4" bestFit="1" customWidth="1"/>
    <col min="31" max="31" width="3" bestFit="1" customWidth="1"/>
    <col min="32" max="32" width="4" bestFit="1" customWidth="1"/>
    <col min="33" max="33" width="3" bestFit="1" customWidth="1"/>
    <col min="34" max="34" width="5.5703125" customWidth="1"/>
    <col min="35" max="35" width="3" bestFit="1" customWidth="1"/>
    <col min="36" max="37" width="4" bestFit="1" customWidth="1"/>
    <col min="38" max="38" width="3" bestFit="1" customWidth="1"/>
    <col min="40" max="40" width="4.7109375" customWidth="1"/>
    <col min="41" max="41" width="4.42578125" customWidth="1"/>
    <col min="42" max="43" width="4.7109375" customWidth="1"/>
  </cols>
  <sheetData>
    <row r="1" spans="1:43" x14ac:dyDescent="0.2">
      <c r="A1" s="2" t="s">
        <v>74</v>
      </c>
      <c r="I1" s="872" t="s">
        <v>75</v>
      </c>
      <c r="J1" s="872"/>
      <c r="K1" s="872"/>
      <c r="L1" s="872"/>
      <c r="M1" s="872"/>
      <c r="N1" s="872"/>
      <c r="O1" s="872"/>
      <c r="P1" s="872"/>
      <c r="Q1" s="872"/>
      <c r="R1" s="872"/>
      <c r="S1" s="872"/>
      <c r="T1" s="872"/>
      <c r="U1" s="872"/>
      <c r="V1" s="872"/>
      <c r="W1" s="872"/>
      <c r="X1" s="872"/>
      <c r="Y1" s="872"/>
      <c r="Z1" s="872"/>
    </row>
    <row r="3" spans="1:43" x14ac:dyDescent="0.2">
      <c r="A3" s="2" t="s">
        <v>76</v>
      </c>
      <c r="B3" s="2" t="s">
        <v>77</v>
      </c>
      <c r="I3" s="873" t="s">
        <v>93</v>
      </c>
      <c r="J3" s="873"/>
      <c r="K3" s="873"/>
      <c r="L3" s="873"/>
      <c r="M3" s="23"/>
      <c r="O3" s="873" t="s">
        <v>78</v>
      </c>
      <c r="P3" s="873"/>
      <c r="Q3" s="873"/>
      <c r="R3" s="873"/>
      <c r="T3" s="868" t="s">
        <v>168</v>
      </c>
      <c r="U3" s="874"/>
      <c r="V3" s="874"/>
      <c r="W3" s="875"/>
      <c r="X3" s="23"/>
      <c r="Y3" s="868" t="s">
        <v>90</v>
      </c>
      <c r="Z3" s="874"/>
      <c r="AA3" s="874"/>
      <c r="AB3" s="875"/>
      <c r="AC3" s="23"/>
      <c r="AD3" s="873" t="s">
        <v>179</v>
      </c>
      <c r="AE3" s="873"/>
      <c r="AF3" s="873"/>
      <c r="AG3" s="873"/>
      <c r="AI3" s="868" t="s">
        <v>9</v>
      </c>
      <c r="AJ3" s="869"/>
      <c r="AK3" s="869"/>
      <c r="AL3" s="870"/>
      <c r="AN3" s="231" t="s">
        <v>348</v>
      </c>
      <c r="AO3" s="231" t="s">
        <v>310</v>
      </c>
      <c r="AP3" s="231" t="s">
        <v>320</v>
      </c>
      <c r="AQ3" s="231"/>
    </row>
    <row r="4" spans="1:43" x14ac:dyDescent="0.2">
      <c r="A4">
        <v>0</v>
      </c>
      <c r="B4" t="s">
        <v>48</v>
      </c>
      <c r="I4" s="689">
        <f t="shared" ref="I4:I13" si="0">I5-1</f>
        <v>-10</v>
      </c>
      <c r="J4" s="661">
        <f>I4</f>
        <v>-10</v>
      </c>
      <c r="K4" s="690">
        <f>K5+J4</f>
        <v>-55</v>
      </c>
      <c r="L4" s="689">
        <f t="shared" ref="L4:L13" si="1">L5-1</f>
        <v>-10</v>
      </c>
      <c r="M4" s="3"/>
      <c r="O4" s="77">
        <v>0</v>
      </c>
      <c r="P4" s="79">
        <v>0</v>
      </c>
      <c r="Q4" s="79">
        <v>0</v>
      </c>
      <c r="R4" s="77">
        <v>0</v>
      </c>
      <c r="T4" s="77">
        <v>0</v>
      </c>
      <c r="U4" s="79">
        <v>0</v>
      </c>
      <c r="V4" s="79">
        <v>0</v>
      </c>
      <c r="W4" s="77">
        <v>0</v>
      </c>
      <c r="X4" s="3"/>
      <c r="Y4" s="77">
        <v>0</v>
      </c>
      <c r="Z4" s="79">
        <v>0</v>
      </c>
      <c r="AA4" s="79">
        <v>0</v>
      </c>
      <c r="AB4" s="77">
        <v>0</v>
      </c>
      <c r="AC4" s="3"/>
      <c r="AD4" s="77">
        <v>0</v>
      </c>
      <c r="AE4" s="79">
        <v>0</v>
      </c>
      <c r="AF4" s="79">
        <v>0</v>
      </c>
      <c r="AG4" s="77">
        <v>0</v>
      </c>
      <c r="AI4" s="258">
        <v>0</v>
      </c>
      <c r="AJ4" s="259">
        <f t="shared" ref="AJ4:AJ14" si="2">AI4*10</f>
        <v>0</v>
      </c>
      <c r="AK4" s="259">
        <v>0</v>
      </c>
      <c r="AL4" s="258">
        <v>0</v>
      </c>
      <c r="AN4" s="691">
        <f t="shared" ref="AN4:AN10" si="3">AN5+1</f>
        <v>40</v>
      </c>
      <c r="AO4" s="691">
        <f>ABS(AN4)+1</f>
        <v>41</v>
      </c>
      <c r="AP4" s="691">
        <f>SUM($AO4:AO4)</f>
        <v>41</v>
      </c>
      <c r="AQ4" s="691">
        <f>AN4</f>
        <v>40</v>
      </c>
    </row>
    <row r="5" spans="1:43" x14ac:dyDescent="0.2">
      <c r="A5">
        <v>1</v>
      </c>
      <c r="B5" t="s">
        <v>79</v>
      </c>
      <c r="I5" s="689">
        <f t="shared" si="0"/>
        <v>-9</v>
      </c>
      <c r="J5" s="661">
        <f>I5</f>
        <v>-9</v>
      </c>
      <c r="K5" s="690">
        <f>K6+J5</f>
        <v>-45</v>
      </c>
      <c r="L5" s="689">
        <f t="shared" si="1"/>
        <v>-9</v>
      </c>
      <c r="M5" s="3"/>
      <c r="O5" s="77">
        <f>O4+1</f>
        <v>1</v>
      </c>
      <c r="P5" s="79">
        <f>O5*5</f>
        <v>5</v>
      </c>
      <c r="Q5" s="79">
        <f>P5+Q4</f>
        <v>5</v>
      </c>
      <c r="R5" s="77">
        <f>R4+1</f>
        <v>1</v>
      </c>
      <c r="T5" s="77">
        <f t="shared" ref="T5:T24" si="4">T4+1</f>
        <v>1</v>
      </c>
      <c r="U5" s="79">
        <f>T5*5</f>
        <v>5</v>
      </c>
      <c r="V5" s="79">
        <f t="shared" ref="V5:V24" si="5">U5+V4</f>
        <v>5</v>
      </c>
      <c r="W5" s="77">
        <f t="shared" ref="W5:W24" si="6">W4+1</f>
        <v>1</v>
      </c>
      <c r="X5" s="3"/>
      <c r="Y5" s="77">
        <f t="shared" ref="Y5:Y44" si="7">Y4+1</f>
        <v>1</v>
      </c>
      <c r="Z5" s="79">
        <f t="shared" ref="Z5:Z44" si="8">Y5*1</f>
        <v>1</v>
      </c>
      <c r="AA5" s="79">
        <f t="shared" ref="AA5:AA44" si="9">Z5+AA4</f>
        <v>1</v>
      </c>
      <c r="AB5" s="77">
        <f t="shared" ref="AB5:AB44" si="10">AB4+1</f>
        <v>1</v>
      </c>
      <c r="AC5" s="3"/>
      <c r="AD5" s="77">
        <f t="shared" ref="AD5:AD44" si="11">AD4+1</f>
        <v>1</v>
      </c>
      <c r="AE5" s="79">
        <f t="shared" ref="AE5:AE44" si="12">AD5*1</f>
        <v>1</v>
      </c>
      <c r="AF5" s="79">
        <f t="shared" ref="AF5:AF44" si="13">AE5+AF4</f>
        <v>1</v>
      </c>
      <c r="AG5" s="77">
        <f t="shared" ref="AG5:AG44" si="14">AG4+1</f>
        <v>1</v>
      </c>
      <c r="AI5" s="258">
        <v>1</v>
      </c>
      <c r="AJ5" s="259">
        <f t="shared" si="2"/>
        <v>10</v>
      </c>
      <c r="AK5" s="259">
        <f>AJ5</f>
        <v>10</v>
      </c>
      <c r="AL5" s="258">
        <v>1</v>
      </c>
      <c r="AN5" s="691">
        <f t="shared" si="3"/>
        <v>39</v>
      </c>
      <c r="AO5" s="691">
        <f>ABS(AN5)+1</f>
        <v>40</v>
      </c>
      <c r="AP5" s="691">
        <f>SUM($AO$4:AO5)</f>
        <v>81</v>
      </c>
      <c r="AQ5" s="691">
        <f>AN5</f>
        <v>39</v>
      </c>
    </row>
    <row r="6" spans="1:43" x14ac:dyDescent="0.2">
      <c r="A6">
        <v>2</v>
      </c>
      <c r="B6" t="s">
        <v>80</v>
      </c>
      <c r="I6" s="689">
        <f t="shared" si="0"/>
        <v>-8</v>
      </c>
      <c r="J6" s="661">
        <f>I6</f>
        <v>-8</v>
      </c>
      <c r="K6" s="690">
        <f>K7+J6</f>
        <v>-36</v>
      </c>
      <c r="L6" s="689">
        <f t="shared" si="1"/>
        <v>-8</v>
      </c>
      <c r="M6" s="3"/>
      <c r="O6" s="77">
        <f t="shared" ref="O6:O24" si="15">O5+1</f>
        <v>2</v>
      </c>
      <c r="P6" s="79">
        <f>O6*P5</f>
        <v>10</v>
      </c>
      <c r="Q6" s="79">
        <f t="shared" ref="Q6:Q24" si="16">P6+Q5</f>
        <v>15</v>
      </c>
      <c r="R6" s="77">
        <f t="shared" ref="R6:R24" si="17">R5+1</f>
        <v>2</v>
      </c>
      <c r="T6" s="77">
        <f t="shared" si="4"/>
        <v>2</v>
      </c>
      <c r="U6" s="79">
        <f>T6*U5</f>
        <v>10</v>
      </c>
      <c r="V6" s="79">
        <f t="shared" si="5"/>
        <v>15</v>
      </c>
      <c r="W6" s="77">
        <f t="shared" si="6"/>
        <v>2</v>
      </c>
      <c r="X6" s="3"/>
      <c r="Y6" s="77">
        <f t="shared" si="7"/>
        <v>2</v>
      </c>
      <c r="Z6" s="79">
        <f t="shared" si="8"/>
        <v>2</v>
      </c>
      <c r="AA6" s="79">
        <f t="shared" si="9"/>
        <v>3</v>
      </c>
      <c r="AB6" s="77">
        <f t="shared" si="10"/>
        <v>2</v>
      </c>
      <c r="AC6" s="3"/>
      <c r="AD6" s="77">
        <f t="shared" si="11"/>
        <v>2</v>
      </c>
      <c r="AE6" s="79">
        <f t="shared" si="12"/>
        <v>2</v>
      </c>
      <c r="AF6" s="79">
        <f t="shared" si="13"/>
        <v>3</v>
      </c>
      <c r="AG6" s="77">
        <f t="shared" si="14"/>
        <v>2</v>
      </c>
      <c r="AI6" s="258">
        <v>2</v>
      </c>
      <c r="AJ6" s="259">
        <f t="shared" si="2"/>
        <v>20</v>
      </c>
      <c r="AK6" s="259">
        <f t="shared" ref="AK6:AK14" si="18">AJ6+AK5</f>
        <v>30</v>
      </c>
      <c r="AL6" s="258">
        <v>2</v>
      </c>
      <c r="AN6" s="691">
        <f t="shared" si="3"/>
        <v>38</v>
      </c>
      <c r="AO6" s="691">
        <f t="shared" ref="AO6:AO32" si="19">ABS(AN6)+1</f>
        <v>39</v>
      </c>
      <c r="AP6" s="691">
        <f>SUM($AO$4:AO6)</f>
        <v>120</v>
      </c>
      <c r="AQ6" s="691">
        <f t="shared" ref="AQ6:AQ32" si="20">AN6</f>
        <v>38</v>
      </c>
    </row>
    <row r="7" spans="1:43" x14ac:dyDescent="0.2">
      <c r="A7">
        <v>3</v>
      </c>
      <c r="B7" t="s">
        <v>81</v>
      </c>
      <c r="I7" s="689">
        <f t="shared" si="0"/>
        <v>-7</v>
      </c>
      <c r="J7" s="661">
        <f>I7</f>
        <v>-7</v>
      </c>
      <c r="K7" s="690">
        <f>K8+J7</f>
        <v>-28</v>
      </c>
      <c r="L7" s="689">
        <f t="shared" si="1"/>
        <v>-7</v>
      </c>
      <c r="M7" s="3"/>
      <c r="O7" s="77">
        <f t="shared" si="15"/>
        <v>3</v>
      </c>
      <c r="P7" s="79">
        <f t="shared" ref="P7:P14" si="21">O7*5</f>
        <v>15</v>
      </c>
      <c r="Q7" s="79">
        <f t="shared" si="16"/>
        <v>30</v>
      </c>
      <c r="R7" s="77">
        <f t="shared" si="17"/>
        <v>3</v>
      </c>
      <c r="T7" s="77">
        <f t="shared" si="4"/>
        <v>3</v>
      </c>
      <c r="U7" s="79">
        <f t="shared" ref="U7:U24" si="22">T7*5</f>
        <v>15</v>
      </c>
      <c r="V7" s="79">
        <f t="shared" si="5"/>
        <v>30</v>
      </c>
      <c r="W7" s="77">
        <f t="shared" si="6"/>
        <v>3</v>
      </c>
      <c r="X7" s="3"/>
      <c r="Y7" s="77">
        <f t="shared" si="7"/>
        <v>3</v>
      </c>
      <c r="Z7" s="79">
        <f t="shared" si="8"/>
        <v>3</v>
      </c>
      <c r="AA7" s="79">
        <f t="shared" si="9"/>
        <v>6</v>
      </c>
      <c r="AB7" s="77">
        <f t="shared" si="10"/>
        <v>3</v>
      </c>
      <c r="AC7" s="3"/>
      <c r="AD7" s="77">
        <f t="shared" si="11"/>
        <v>3</v>
      </c>
      <c r="AE7" s="79">
        <f t="shared" si="12"/>
        <v>3</v>
      </c>
      <c r="AF7" s="79">
        <f t="shared" si="13"/>
        <v>6</v>
      </c>
      <c r="AG7" s="77">
        <f t="shared" si="14"/>
        <v>3</v>
      </c>
      <c r="AI7" s="258">
        <v>3</v>
      </c>
      <c r="AJ7" s="259">
        <f t="shared" si="2"/>
        <v>30</v>
      </c>
      <c r="AK7" s="259">
        <f t="shared" si="18"/>
        <v>60</v>
      </c>
      <c r="AL7" s="258">
        <v>3</v>
      </c>
      <c r="AN7" s="691">
        <f t="shared" si="3"/>
        <v>37</v>
      </c>
      <c r="AO7" s="691">
        <f t="shared" si="19"/>
        <v>38</v>
      </c>
      <c r="AP7" s="691">
        <f>SUM($AO$4:AO7)</f>
        <v>158</v>
      </c>
      <c r="AQ7" s="691">
        <f t="shared" si="20"/>
        <v>37</v>
      </c>
    </row>
    <row r="8" spans="1:43" x14ac:dyDescent="0.2">
      <c r="A8">
        <v>4</v>
      </c>
      <c r="B8" t="s">
        <v>82</v>
      </c>
      <c r="I8" s="689">
        <f t="shared" si="0"/>
        <v>-6</v>
      </c>
      <c r="J8" s="661">
        <f>I8</f>
        <v>-6</v>
      </c>
      <c r="K8" s="690">
        <f t="shared" ref="K8:K13" si="23">K9+J8</f>
        <v>-21</v>
      </c>
      <c r="L8" s="689">
        <f t="shared" si="1"/>
        <v>-6</v>
      </c>
      <c r="M8" s="3"/>
      <c r="O8" s="77">
        <f t="shared" si="15"/>
        <v>4</v>
      </c>
      <c r="P8" s="79">
        <f t="shared" si="21"/>
        <v>20</v>
      </c>
      <c r="Q8" s="79">
        <f t="shared" si="16"/>
        <v>50</v>
      </c>
      <c r="R8" s="77">
        <f t="shared" si="17"/>
        <v>4</v>
      </c>
      <c r="T8" s="77">
        <f t="shared" si="4"/>
        <v>4</v>
      </c>
      <c r="U8" s="79">
        <f t="shared" si="22"/>
        <v>20</v>
      </c>
      <c r="V8" s="79">
        <f t="shared" si="5"/>
        <v>50</v>
      </c>
      <c r="W8" s="77">
        <f t="shared" si="6"/>
        <v>4</v>
      </c>
      <c r="X8" s="3"/>
      <c r="Y8" s="77">
        <f t="shared" si="7"/>
        <v>4</v>
      </c>
      <c r="Z8" s="79">
        <f t="shared" si="8"/>
        <v>4</v>
      </c>
      <c r="AA8" s="79">
        <f t="shared" si="9"/>
        <v>10</v>
      </c>
      <c r="AB8" s="77">
        <f t="shared" si="10"/>
        <v>4</v>
      </c>
      <c r="AC8" s="3"/>
      <c r="AD8" s="77">
        <f t="shared" si="11"/>
        <v>4</v>
      </c>
      <c r="AE8" s="79">
        <f t="shared" si="12"/>
        <v>4</v>
      </c>
      <c r="AF8" s="79">
        <f t="shared" si="13"/>
        <v>10</v>
      </c>
      <c r="AG8" s="77">
        <f t="shared" si="14"/>
        <v>4</v>
      </c>
      <c r="AI8" s="258">
        <v>4</v>
      </c>
      <c r="AJ8" s="259">
        <f t="shared" si="2"/>
        <v>40</v>
      </c>
      <c r="AK8" s="259">
        <f t="shared" si="18"/>
        <v>100</v>
      </c>
      <c r="AL8" s="258">
        <v>4</v>
      </c>
      <c r="AN8" s="691">
        <f t="shared" si="3"/>
        <v>36</v>
      </c>
      <c r="AO8" s="691">
        <f t="shared" si="19"/>
        <v>37</v>
      </c>
      <c r="AP8" s="691">
        <f>SUM($AO$4:AO8)</f>
        <v>195</v>
      </c>
      <c r="AQ8" s="691">
        <f t="shared" si="20"/>
        <v>36</v>
      </c>
    </row>
    <row r="9" spans="1:43" x14ac:dyDescent="0.2">
      <c r="A9">
        <v>5</v>
      </c>
      <c r="B9" t="s">
        <v>83</v>
      </c>
      <c r="I9" s="689">
        <f t="shared" si="0"/>
        <v>-5</v>
      </c>
      <c r="J9" s="661">
        <f t="shared" ref="J9:J14" si="24">I9</f>
        <v>-5</v>
      </c>
      <c r="K9" s="690">
        <f t="shared" si="23"/>
        <v>-15</v>
      </c>
      <c r="L9" s="689">
        <f t="shared" si="1"/>
        <v>-5</v>
      </c>
      <c r="M9" s="3"/>
      <c r="O9" s="77">
        <f t="shared" si="15"/>
        <v>5</v>
      </c>
      <c r="P9" s="79">
        <f t="shared" si="21"/>
        <v>25</v>
      </c>
      <c r="Q9" s="79">
        <f t="shared" si="16"/>
        <v>75</v>
      </c>
      <c r="R9" s="77">
        <f t="shared" si="17"/>
        <v>5</v>
      </c>
      <c r="T9" s="77">
        <f t="shared" si="4"/>
        <v>5</v>
      </c>
      <c r="U9" s="79">
        <f t="shared" si="22"/>
        <v>25</v>
      </c>
      <c r="V9" s="79">
        <f t="shared" si="5"/>
        <v>75</v>
      </c>
      <c r="W9" s="77">
        <f t="shared" si="6"/>
        <v>5</v>
      </c>
      <c r="X9" s="3"/>
      <c r="Y9" s="77">
        <f t="shared" si="7"/>
        <v>5</v>
      </c>
      <c r="Z9" s="79">
        <f t="shared" si="8"/>
        <v>5</v>
      </c>
      <c r="AA9" s="79">
        <f t="shared" si="9"/>
        <v>15</v>
      </c>
      <c r="AB9" s="77">
        <f t="shared" si="10"/>
        <v>5</v>
      </c>
      <c r="AC9" s="3"/>
      <c r="AD9" s="77">
        <f t="shared" si="11"/>
        <v>5</v>
      </c>
      <c r="AE9" s="79">
        <f t="shared" si="12"/>
        <v>5</v>
      </c>
      <c r="AF9" s="79">
        <f t="shared" si="13"/>
        <v>15</v>
      </c>
      <c r="AG9" s="77">
        <f t="shared" si="14"/>
        <v>5</v>
      </c>
      <c r="AI9" s="258">
        <v>5</v>
      </c>
      <c r="AJ9" s="259">
        <f t="shared" si="2"/>
        <v>50</v>
      </c>
      <c r="AK9" s="259">
        <f t="shared" si="18"/>
        <v>150</v>
      </c>
      <c r="AL9" s="258">
        <v>5</v>
      </c>
      <c r="AN9" s="691">
        <f t="shared" si="3"/>
        <v>35</v>
      </c>
      <c r="AO9" s="691">
        <f t="shared" si="19"/>
        <v>36</v>
      </c>
      <c r="AP9" s="691">
        <f>SUM($AO$4:AO9)</f>
        <v>231</v>
      </c>
      <c r="AQ9" s="691">
        <f t="shared" si="20"/>
        <v>35</v>
      </c>
    </row>
    <row r="10" spans="1:43" x14ac:dyDescent="0.2">
      <c r="A10">
        <v>6</v>
      </c>
      <c r="B10" t="s">
        <v>84</v>
      </c>
      <c r="I10" s="689">
        <f t="shared" si="0"/>
        <v>-4</v>
      </c>
      <c r="J10" s="661">
        <f t="shared" si="24"/>
        <v>-4</v>
      </c>
      <c r="K10" s="690">
        <f t="shared" si="23"/>
        <v>-10</v>
      </c>
      <c r="L10" s="689">
        <f t="shared" si="1"/>
        <v>-4</v>
      </c>
      <c r="M10" s="3"/>
      <c r="O10" s="77">
        <f t="shared" si="15"/>
        <v>6</v>
      </c>
      <c r="P10" s="79">
        <f t="shared" si="21"/>
        <v>30</v>
      </c>
      <c r="Q10" s="79">
        <f t="shared" si="16"/>
        <v>105</v>
      </c>
      <c r="R10" s="77">
        <f t="shared" si="17"/>
        <v>6</v>
      </c>
      <c r="T10" s="77">
        <f t="shared" si="4"/>
        <v>6</v>
      </c>
      <c r="U10" s="79">
        <f t="shared" si="22"/>
        <v>30</v>
      </c>
      <c r="V10" s="79">
        <f t="shared" si="5"/>
        <v>105</v>
      </c>
      <c r="W10" s="77">
        <f t="shared" si="6"/>
        <v>6</v>
      </c>
      <c r="X10" s="3"/>
      <c r="Y10" s="77">
        <f t="shared" si="7"/>
        <v>6</v>
      </c>
      <c r="Z10" s="79">
        <f t="shared" si="8"/>
        <v>6</v>
      </c>
      <c r="AA10" s="79">
        <f t="shared" si="9"/>
        <v>21</v>
      </c>
      <c r="AB10" s="77">
        <f t="shared" si="10"/>
        <v>6</v>
      </c>
      <c r="AC10" s="3"/>
      <c r="AD10" s="77">
        <f t="shared" si="11"/>
        <v>6</v>
      </c>
      <c r="AE10" s="79">
        <f t="shared" si="12"/>
        <v>6</v>
      </c>
      <c r="AF10" s="79">
        <f t="shared" si="13"/>
        <v>21</v>
      </c>
      <c r="AG10" s="77">
        <f t="shared" si="14"/>
        <v>6</v>
      </c>
      <c r="AI10" s="258">
        <v>6</v>
      </c>
      <c r="AJ10" s="259">
        <f t="shared" si="2"/>
        <v>60</v>
      </c>
      <c r="AK10" s="259">
        <f t="shared" si="18"/>
        <v>210</v>
      </c>
      <c r="AL10" s="258">
        <v>6</v>
      </c>
      <c r="AN10" s="691">
        <f t="shared" si="3"/>
        <v>34</v>
      </c>
      <c r="AO10" s="691">
        <f t="shared" si="19"/>
        <v>35</v>
      </c>
      <c r="AP10" s="691">
        <f>SUM($AO$4:AO10)</f>
        <v>266</v>
      </c>
      <c r="AQ10" s="691">
        <f t="shared" si="20"/>
        <v>34</v>
      </c>
    </row>
    <row r="11" spans="1:43" x14ac:dyDescent="0.2">
      <c r="A11">
        <v>7</v>
      </c>
      <c r="B11" t="s">
        <v>85</v>
      </c>
      <c r="I11" s="689">
        <f t="shared" si="0"/>
        <v>-3</v>
      </c>
      <c r="J11" s="661">
        <f t="shared" si="24"/>
        <v>-3</v>
      </c>
      <c r="K11" s="690">
        <f t="shared" si="23"/>
        <v>-6</v>
      </c>
      <c r="L11" s="689">
        <f t="shared" si="1"/>
        <v>-3</v>
      </c>
      <c r="M11" s="3"/>
      <c r="O11" s="77">
        <f t="shared" si="15"/>
        <v>7</v>
      </c>
      <c r="P11" s="79">
        <f t="shared" si="21"/>
        <v>35</v>
      </c>
      <c r="Q11" s="79">
        <f t="shared" si="16"/>
        <v>140</v>
      </c>
      <c r="R11" s="77">
        <f t="shared" si="17"/>
        <v>7</v>
      </c>
      <c r="T11" s="77">
        <f t="shared" si="4"/>
        <v>7</v>
      </c>
      <c r="U11" s="79">
        <f t="shared" si="22"/>
        <v>35</v>
      </c>
      <c r="V11" s="79">
        <f t="shared" si="5"/>
        <v>140</v>
      </c>
      <c r="W11" s="77">
        <f t="shared" si="6"/>
        <v>7</v>
      </c>
      <c r="X11" s="3"/>
      <c r="Y11" s="77">
        <f t="shared" si="7"/>
        <v>7</v>
      </c>
      <c r="Z11" s="79">
        <f t="shared" si="8"/>
        <v>7</v>
      </c>
      <c r="AA11" s="79">
        <f t="shared" si="9"/>
        <v>28</v>
      </c>
      <c r="AB11" s="77">
        <f t="shared" si="10"/>
        <v>7</v>
      </c>
      <c r="AC11" s="3"/>
      <c r="AD11" s="77">
        <f t="shared" si="11"/>
        <v>7</v>
      </c>
      <c r="AE11" s="79">
        <f t="shared" si="12"/>
        <v>7</v>
      </c>
      <c r="AF11" s="79">
        <f t="shared" si="13"/>
        <v>28</v>
      </c>
      <c r="AG11" s="77">
        <f t="shared" si="14"/>
        <v>7</v>
      </c>
      <c r="AI11" s="258">
        <v>7</v>
      </c>
      <c r="AJ11" s="259">
        <f t="shared" si="2"/>
        <v>70</v>
      </c>
      <c r="AK11" s="259">
        <f t="shared" si="18"/>
        <v>280</v>
      </c>
      <c r="AL11" s="258">
        <v>7</v>
      </c>
      <c r="AN11" s="691">
        <f t="shared" ref="AN11:AN32" si="25">AN12+1</f>
        <v>33</v>
      </c>
      <c r="AO11" s="691">
        <f t="shared" si="19"/>
        <v>34</v>
      </c>
      <c r="AP11" s="691">
        <f>SUM($AO$4:AO11)</f>
        <v>300</v>
      </c>
      <c r="AQ11" s="691">
        <f t="shared" si="20"/>
        <v>33</v>
      </c>
    </row>
    <row r="12" spans="1:43" x14ac:dyDescent="0.2">
      <c r="A12">
        <v>8</v>
      </c>
      <c r="B12" t="s">
        <v>86</v>
      </c>
      <c r="I12" s="689">
        <f t="shared" si="0"/>
        <v>-2</v>
      </c>
      <c r="J12" s="661">
        <f t="shared" si="24"/>
        <v>-2</v>
      </c>
      <c r="K12" s="690">
        <f t="shared" si="23"/>
        <v>-3</v>
      </c>
      <c r="L12" s="689">
        <f t="shared" si="1"/>
        <v>-2</v>
      </c>
      <c r="M12" s="3"/>
      <c r="O12" s="77">
        <f t="shared" si="15"/>
        <v>8</v>
      </c>
      <c r="P12" s="79">
        <f t="shared" si="21"/>
        <v>40</v>
      </c>
      <c r="Q12" s="79">
        <f t="shared" si="16"/>
        <v>180</v>
      </c>
      <c r="R12" s="77">
        <f t="shared" si="17"/>
        <v>8</v>
      </c>
      <c r="T12" s="77">
        <f t="shared" si="4"/>
        <v>8</v>
      </c>
      <c r="U12" s="79">
        <f t="shared" si="22"/>
        <v>40</v>
      </c>
      <c r="V12" s="79">
        <f t="shared" si="5"/>
        <v>180</v>
      </c>
      <c r="W12" s="77">
        <f t="shared" si="6"/>
        <v>8</v>
      </c>
      <c r="X12" s="3"/>
      <c r="Y12" s="77">
        <f t="shared" si="7"/>
        <v>8</v>
      </c>
      <c r="Z12" s="79">
        <f t="shared" si="8"/>
        <v>8</v>
      </c>
      <c r="AA12" s="79">
        <f t="shared" si="9"/>
        <v>36</v>
      </c>
      <c r="AB12" s="77">
        <f t="shared" si="10"/>
        <v>8</v>
      </c>
      <c r="AC12" s="3"/>
      <c r="AD12" s="77">
        <f t="shared" si="11"/>
        <v>8</v>
      </c>
      <c r="AE12" s="79">
        <f t="shared" si="12"/>
        <v>8</v>
      </c>
      <c r="AF12" s="79">
        <f t="shared" si="13"/>
        <v>36</v>
      </c>
      <c r="AG12" s="77">
        <f t="shared" si="14"/>
        <v>8</v>
      </c>
      <c r="AI12" s="258">
        <v>8</v>
      </c>
      <c r="AJ12" s="259">
        <f t="shared" si="2"/>
        <v>80</v>
      </c>
      <c r="AK12" s="259">
        <f t="shared" si="18"/>
        <v>360</v>
      </c>
      <c r="AL12" s="258">
        <v>8</v>
      </c>
      <c r="AN12" s="691">
        <f t="shared" si="25"/>
        <v>32</v>
      </c>
      <c r="AO12" s="691">
        <f t="shared" si="19"/>
        <v>33</v>
      </c>
      <c r="AP12" s="691">
        <f>SUM($AO$4:AO12)</f>
        <v>333</v>
      </c>
      <c r="AQ12" s="691">
        <f t="shared" si="20"/>
        <v>32</v>
      </c>
    </row>
    <row r="13" spans="1:43" x14ac:dyDescent="0.2">
      <c r="A13">
        <v>9</v>
      </c>
      <c r="B13" t="s">
        <v>87</v>
      </c>
      <c r="I13" s="689">
        <f t="shared" si="0"/>
        <v>-1</v>
      </c>
      <c r="J13" s="661">
        <f t="shared" si="24"/>
        <v>-1</v>
      </c>
      <c r="K13" s="690">
        <f t="shared" si="23"/>
        <v>-1</v>
      </c>
      <c r="L13" s="689">
        <f t="shared" si="1"/>
        <v>-1</v>
      </c>
      <c r="M13" s="3"/>
      <c r="O13" s="77">
        <f t="shared" si="15"/>
        <v>9</v>
      </c>
      <c r="P13" s="79">
        <f t="shared" si="21"/>
        <v>45</v>
      </c>
      <c r="Q13" s="79">
        <f t="shared" si="16"/>
        <v>225</v>
      </c>
      <c r="R13" s="77">
        <f t="shared" si="17"/>
        <v>9</v>
      </c>
      <c r="T13" s="77">
        <f t="shared" si="4"/>
        <v>9</v>
      </c>
      <c r="U13" s="79">
        <f t="shared" si="22"/>
        <v>45</v>
      </c>
      <c r="V13" s="79">
        <f t="shared" si="5"/>
        <v>225</v>
      </c>
      <c r="W13" s="77">
        <f t="shared" si="6"/>
        <v>9</v>
      </c>
      <c r="X13" s="3"/>
      <c r="Y13" s="77">
        <f t="shared" si="7"/>
        <v>9</v>
      </c>
      <c r="Z13" s="79">
        <f t="shared" si="8"/>
        <v>9</v>
      </c>
      <c r="AA13" s="79">
        <f t="shared" si="9"/>
        <v>45</v>
      </c>
      <c r="AB13" s="77">
        <f t="shared" si="10"/>
        <v>9</v>
      </c>
      <c r="AC13" s="3"/>
      <c r="AD13" s="77">
        <f t="shared" si="11"/>
        <v>9</v>
      </c>
      <c r="AE13" s="79">
        <f t="shared" si="12"/>
        <v>9</v>
      </c>
      <c r="AF13" s="79">
        <f t="shared" si="13"/>
        <v>45</v>
      </c>
      <c r="AG13" s="77">
        <f t="shared" si="14"/>
        <v>9</v>
      </c>
      <c r="AI13" s="258">
        <v>9</v>
      </c>
      <c r="AJ13" s="259">
        <f t="shared" si="2"/>
        <v>90</v>
      </c>
      <c r="AK13" s="259">
        <f t="shared" si="18"/>
        <v>450</v>
      </c>
      <c r="AL13" s="258">
        <v>9</v>
      </c>
      <c r="AN13" s="691">
        <f t="shared" si="25"/>
        <v>31</v>
      </c>
      <c r="AO13" s="691">
        <f t="shared" si="19"/>
        <v>32</v>
      </c>
      <c r="AP13" s="691">
        <f>SUM($AO$4:AO13)</f>
        <v>365</v>
      </c>
      <c r="AQ13" s="691">
        <f t="shared" si="20"/>
        <v>31</v>
      </c>
    </row>
    <row r="14" spans="1:43" x14ac:dyDescent="0.2">
      <c r="A14">
        <v>10</v>
      </c>
      <c r="B14" t="s">
        <v>88</v>
      </c>
      <c r="I14" s="689">
        <v>0</v>
      </c>
      <c r="J14" s="661">
        <f t="shared" si="24"/>
        <v>0</v>
      </c>
      <c r="K14" s="690">
        <v>0</v>
      </c>
      <c r="L14" s="689">
        <v>0</v>
      </c>
      <c r="M14" s="3"/>
      <c r="O14" s="77">
        <f t="shared" si="15"/>
        <v>10</v>
      </c>
      <c r="P14" s="79">
        <f t="shared" si="21"/>
        <v>50</v>
      </c>
      <c r="Q14" s="79">
        <f t="shared" si="16"/>
        <v>275</v>
      </c>
      <c r="R14" s="77">
        <f t="shared" si="17"/>
        <v>10</v>
      </c>
      <c r="T14" s="77">
        <f t="shared" si="4"/>
        <v>10</v>
      </c>
      <c r="U14" s="79">
        <f t="shared" si="22"/>
        <v>50</v>
      </c>
      <c r="V14" s="79">
        <f t="shared" si="5"/>
        <v>275</v>
      </c>
      <c r="W14" s="77">
        <f t="shared" si="6"/>
        <v>10</v>
      </c>
      <c r="X14" s="3"/>
      <c r="Y14" s="77">
        <f t="shared" si="7"/>
        <v>10</v>
      </c>
      <c r="Z14" s="79">
        <f t="shared" si="8"/>
        <v>10</v>
      </c>
      <c r="AA14" s="79">
        <f t="shared" si="9"/>
        <v>55</v>
      </c>
      <c r="AB14" s="77">
        <f t="shared" si="10"/>
        <v>10</v>
      </c>
      <c r="AC14" s="3"/>
      <c r="AD14" s="77">
        <f t="shared" si="11"/>
        <v>10</v>
      </c>
      <c r="AE14" s="79">
        <f t="shared" si="12"/>
        <v>10</v>
      </c>
      <c r="AF14" s="79">
        <f t="shared" si="13"/>
        <v>55</v>
      </c>
      <c r="AG14" s="77">
        <f t="shared" si="14"/>
        <v>10</v>
      </c>
      <c r="AI14" s="258">
        <v>10</v>
      </c>
      <c r="AJ14" s="259">
        <f t="shared" si="2"/>
        <v>100</v>
      </c>
      <c r="AK14" s="259">
        <f t="shared" si="18"/>
        <v>550</v>
      </c>
      <c r="AL14" s="258">
        <v>10</v>
      </c>
      <c r="AN14" s="691">
        <f t="shared" si="25"/>
        <v>30</v>
      </c>
      <c r="AO14" s="691">
        <f t="shared" si="19"/>
        <v>31</v>
      </c>
      <c r="AP14" s="691">
        <f>SUM($AO$4:AO14)</f>
        <v>396</v>
      </c>
      <c r="AQ14" s="691">
        <f t="shared" si="20"/>
        <v>30</v>
      </c>
    </row>
    <row r="15" spans="1:43" x14ac:dyDescent="0.2">
      <c r="I15" s="689">
        <f t="shared" ref="I15:I24" si="26">I14+1</f>
        <v>1</v>
      </c>
      <c r="J15" s="661">
        <f t="shared" ref="J15:J24" si="27">I15</f>
        <v>1</v>
      </c>
      <c r="K15" s="690">
        <f t="shared" ref="K15:K24" si="28">K14+J15</f>
        <v>1</v>
      </c>
      <c r="L15" s="689">
        <f t="shared" ref="L15:L24" si="29">L14+1</f>
        <v>1</v>
      </c>
      <c r="O15" s="77">
        <f t="shared" si="15"/>
        <v>11</v>
      </c>
      <c r="P15" s="79">
        <f t="shared" ref="P15:P24" si="30">O15*5</f>
        <v>55</v>
      </c>
      <c r="Q15" s="79">
        <f t="shared" si="16"/>
        <v>330</v>
      </c>
      <c r="R15" s="77">
        <f t="shared" si="17"/>
        <v>11</v>
      </c>
      <c r="T15" s="77">
        <f t="shared" si="4"/>
        <v>11</v>
      </c>
      <c r="U15" s="79">
        <f t="shared" si="22"/>
        <v>55</v>
      </c>
      <c r="V15" s="79">
        <f t="shared" si="5"/>
        <v>330</v>
      </c>
      <c r="W15" s="77">
        <f t="shared" si="6"/>
        <v>11</v>
      </c>
      <c r="Y15" s="77">
        <f t="shared" si="7"/>
        <v>11</v>
      </c>
      <c r="Z15" s="79">
        <f t="shared" si="8"/>
        <v>11</v>
      </c>
      <c r="AA15" s="79">
        <f t="shared" si="9"/>
        <v>66</v>
      </c>
      <c r="AB15" s="77">
        <f t="shared" si="10"/>
        <v>11</v>
      </c>
      <c r="AD15" s="77">
        <f t="shared" si="11"/>
        <v>11</v>
      </c>
      <c r="AE15" s="79">
        <f t="shared" si="12"/>
        <v>11</v>
      </c>
      <c r="AF15" s="79">
        <f t="shared" si="13"/>
        <v>66</v>
      </c>
      <c r="AG15" s="77">
        <f t="shared" si="14"/>
        <v>11</v>
      </c>
      <c r="AN15" s="691">
        <f t="shared" si="25"/>
        <v>29</v>
      </c>
      <c r="AO15" s="691">
        <f t="shared" si="19"/>
        <v>30</v>
      </c>
      <c r="AP15" s="691">
        <f>SUM($AO$4:AO15)</f>
        <v>426</v>
      </c>
      <c r="AQ15" s="691">
        <f t="shared" si="20"/>
        <v>29</v>
      </c>
    </row>
    <row r="16" spans="1:43" x14ac:dyDescent="0.2">
      <c r="A16" s="2" t="s">
        <v>89</v>
      </c>
      <c r="I16" s="689">
        <f t="shared" si="26"/>
        <v>2</v>
      </c>
      <c r="J16" s="661">
        <f t="shared" si="27"/>
        <v>2</v>
      </c>
      <c r="K16" s="690">
        <f t="shared" si="28"/>
        <v>3</v>
      </c>
      <c r="L16" s="689">
        <f t="shared" si="29"/>
        <v>2</v>
      </c>
      <c r="M16" s="24"/>
      <c r="O16" s="77">
        <f t="shared" si="15"/>
        <v>12</v>
      </c>
      <c r="P16" s="79">
        <f t="shared" si="30"/>
        <v>60</v>
      </c>
      <c r="Q16" s="79">
        <f t="shared" si="16"/>
        <v>390</v>
      </c>
      <c r="R16" s="77">
        <f t="shared" si="17"/>
        <v>12</v>
      </c>
      <c r="T16" s="77">
        <f t="shared" si="4"/>
        <v>12</v>
      </c>
      <c r="U16" s="79">
        <f t="shared" si="22"/>
        <v>60</v>
      </c>
      <c r="V16" s="79">
        <f t="shared" si="5"/>
        <v>390</v>
      </c>
      <c r="W16" s="77">
        <f t="shared" si="6"/>
        <v>12</v>
      </c>
      <c r="X16" s="24"/>
      <c r="Y16" s="77">
        <f t="shared" si="7"/>
        <v>12</v>
      </c>
      <c r="Z16" s="79">
        <f t="shared" si="8"/>
        <v>12</v>
      </c>
      <c r="AA16" s="79">
        <f t="shared" si="9"/>
        <v>78</v>
      </c>
      <c r="AB16" s="77">
        <f t="shared" si="10"/>
        <v>12</v>
      </c>
      <c r="AD16" s="77">
        <f t="shared" si="11"/>
        <v>12</v>
      </c>
      <c r="AE16" s="79">
        <f t="shared" si="12"/>
        <v>12</v>
      </c>
      <c r="AF16" s="79">
        <f t="shared" si="13"/>
        <v>78</v>
      </c>
      <c r="AG16" s="77">
        <f t="shared" si="14"/>
        <v>12</v>
      </c>
      <c r="AN16" s="691">
        <f t="shared" si="25"/>
        <v>28</v>
      </c>
      <c r="AO16" s="691">
        <f t="shared" si="19"/>
        <v>29</v>
      </c>
      <c r="AP16" s="691">
        <f>SUM($AO$4:AO16)</f>
        <v>455</v>
      </c>
      <c r="AQ16" s="691">
        <f t="shared" si="20"/>
        <v>28</v>
      </c>
    </row>
    <row r="17" spans="1:43" x14ac:dyDescent="0.2">
      <c r="A17" t="s">
        <v>415</v>
      </c>
      <c r="I17" s="689">
        <f t="shared" si="26"/>
        <v>3</v>
      </c>
      <c r="J17" s="661">
        <f t="shared" si="27"/>
        <v>3</v>
      </c>
      <c r="K17" s="690">
        <f t="shared" si="28"/>
        <v>6</v>
      </c>
      <c r="L17" s="689">
        <f t="shared" si="29"/>
        <v>3</v>
      </c>
      <c r="O17" s="77">
        <f t="shared" si="15"/>
        <v>13</v>
      </c>
      <c r="P17" s="79">
        <f t="shared" si="30"/>
        <v>65</v>
      </c>
      <c r="Q17" s="79">
        <f t="shared" si="16"/>
        <v>455</v>
      </c>
      <c r="R17" s="77">
        <f t="shared" si="17"/>
        <v>13</v>
      </c>
      <c r="T17" s="77">
        <f t="shared" si="4"/>
        <v>13</v>
      </c>
      <c r="U17" s="79">
        <f t="shared" si="22"/>
        <v>65</v>
      </c>
      <c r="V17" s="79">
        <f t="shared" si="5"/>
        <v>455</v>
      </c>
      <c r="W17" s="77">
        <f t="shared" si="6"/>
        <v>13</v>
      </c>
      <c r="Y17" s="77">
        <f t="shared" si="7"/>
        <v>13</v>
      </c>
      <c r="Z17" s="79">
        <f t="shared" si="8"/>
        <v>13</v>
      </c>
      <c r="AA17" s="79">
        <f t="shared" si="9"/>
        <v>91</v>
      </c>
      <c r="AB17" s="77">
        <f t="shared" si="10"/>
        <v>13</v>
      </c>
      <c r="AD17" s="77">
        <f t="shared" si="11"/>
        <v>13</v>
      </c>
      <c r="AE17" s="79">
        <f t="shared" si="12"/>
        <v>13</v>
      </c>
      <c r="AF17" s="79">
        <f t="shared" si="13"/>
        <v>91</v>
      </c>
      <c r="AG17" s="77">
        <f t="shared" si="14"/>
        <v>13</v>
      </c>
      <c r="AN17" s="691">
        <f t="shared" si="25"/>
        <v>27</v>
      </c>
      <c r="AO17" s="691">
        <f t="shared" si="19"/>
        <v>28</v>
      </c>
      <c r="AP17" s="691">
        <f>SUM($AO$4:AO17)</f>
        <v>483</v>
      </c>
      <c r="AQ17" s="691">
        <f t="shared" si="20"/>
        <v>27</v>
      </c>
    </row>
    <row r="18" spans="1:43" x14ac:dyDescent="0.2">
      <c r="I18" s="689">
        <f t="shared" si="26"/>
        <v>4</v>
      </c>
      <c r="J18" s="661">
        <f t="shared" si="27"/>
        <v>4</v>
      </c>
      <c r="K18" s="690">
        <f t="shared" si="28"/>
        <v>10</v>
      </c>
      <c r="L18" s="689">
        <f t="shared" si="29"/>
        <v>4</v>
      </c>
      <c r="O18" s="77">
        <f t="shared" si="15"/>
        <v>14</v>
      </c>
      <c r="P18" s="79">
        <f t="shared" si="30"/>
        <v>70</v>
      </c>
      <c r="Q18" s="79">
        <f t="shared" si="16"/>
        <v>525</v>
      </c>
      <c r="R18" s="77">
        <f t="shared" si="17"/>
        <v>14</v>
      </c>
      <c r="T18" s="77">
        <f t="shared" si="4"/>
        <v>14</v>
      </c>
      <c r="U18" s="79">
        <f t="shared" si="22"/>
        <v>70</v>
      </c>
      <c r="V18" s="79">
        <f t="shared" si="5"/>
        <v>525</v>
      </c>
      <c r="W18" s="77">
        <f t="shared" si="6"/>
        <v>14</v>
      </c>
      <c r="Y18" s="77">
        <f t="shared" si="7"/>
        <v>14</v>
      </c>
      <c r="Z18" s="79">
        <f t="shared" si="8"/>
        <v>14</v>
      </c>
      <c r="AA18" s="79">
        <f t="shared" si="9"/>
        <v>105</v>
      </c>
      <c r="AB18" s="77">
        <f t="shared" si="10"/>
        <v>14</v>
      </c>
      <c r="AD18" s="77">
        <f t="shared" si="11"/>
        <v>14</v>
      </c>
      <c r="AE18" s="79">
        <f t="shared" si="12"/>
        <v>14</v>
      </c>
      <c r="AF18" s="79">
        <f t="shared" si="13"/>
        <v>105</v>
      </c>
      <c r="AG18" s="77">
        <f t="shared" si="14"/>
        <v>14</v>
      </c>
      <c r="AN18" s="691">
        <f t="shared" si="25"/>
        <v>26</v>
      </c>
      <c r="AO18" s="691">
        <f t="shared" si="19"/>
        <v>27</v>
      </c>
      <c r="AP18" s="691">
        <f>SUM($AO$4:AO18)</f>
        <v>510</v>
      </c>
      <c r="AQ18" s="691">
        <f t="shared" si="20"/>
        <v>26</v>
      </c>
    </row>
    <row r="19" spans="1:43" x14ac:dyDescent="0.2">
      <c r="I19" s="689">
        <f t="shared" si="26"/>
        <v>5</v>
      </c>
      <c r="J19" s="661">
        <f t="shared" si="27"/>
        <v>5</v>
      </c>
      <c r="K19" s="690">
        <f t="shared" si="28"/>
        <v>15</v>
      </c>
      <c r="L19" s="689">
        <f t="shared" si="29"/>
        <v>5</v>
      </c>
      <c r="O19" s="77">
        <f t="shared" si="15"/>
        <v>15</v>
      </c>
      <c r="P19" s="79">
        <f t="shared" si="30"/>
        <v>75</v>
      </c>
      <c r="Q19" s="79">
        <f t="shared" si="16"/>
        <v>600</v>
      </c>
      <c r="R19" s="77">
        <f t="shared" si="17"/>
        <v>15</v>
      </c>
      <c r="T19" s="77">
        <f t="shared" si="4"/>
        <v>15</v>
      </c>
      <c r="U19" s="79">
        <f t="shared" si="22"/>
        <v>75</v>
      </c>
      <c r="V19" s="79">
        <f t="shared" si="5"/>
        <v>600</v>
      </c>
      <c r="W19" s="77">
        <f t="shared" si="6"/>
        <v>15</v>
      </c>
      <c r="Y19" s="77">
        <f t="shared" si="7"/>
        <v>15</v>
      </c>
      <c r="Z19" s="79">
        <f t="shared" si="8"/>
        <v>15</v>
      </c>
      <c r="AA19" s="79">
        <f t="shared" si="9"/>
        <v>120</v>
      </c>
      <c r="AB19" s="77">
        <f t="shared" si="10"/>
        <v>15</v>
      </c>
      <c r="AD19" s="77">
        <f t="shared" si="11"/>
        <v>15</v>
      </c>
      <c r="AE19" s="79">
        <f t="shared" si="12"/>
        <v>15</v>
      </c>
      <c r="AF19" s="79">
        <f t="shared" si="13"/>
        <v>120</v>
      </c>
      <c r="AG19" s="77">
        <f t="shared" si="14"/>
        <v>15</v>
      </c>
      <c r="AN19" s="691">
        <f t="shared" si="25"/>
        <v>25</v>
      </c>
      <c r="AO19" s="691">
        <f t="shared" si="19"/>
        <v>26</v>
      </c>
      <c r="AP19" s="691">
        <f>SUM($AO$4:AO19)</f>
        <v>536</v>
      </c>
      <c r="AQ19" s="691">
        <f t="shared" si="20"/>
        <v>25</v>
      </c>
    </row>
    <row r="20" spans="1:43" x14ac:dyDescent="0.2">
      <c r="I20" s="689">
        <f t="shared" si="26"/>
        <v>6</v>
      </c>
      <c r="J20" s="661">
        <f t="shared" si="27"/>
        <v>6</v>
      </c>
      <c r="K20" s="690">
        <f t="shared" si="28"/>
        <v>21</v>
      </c>
      <c r="L20" s="689">
        <f t="shared" si="29"/>
        <v>6</v>
      </c>
      <c r="O20" s="77">
        <f t="shared" si="15"/>
        <v>16</v>
      </c>
      <c r="P20" s="79">
        <f t="shared" si="30"/>
        <v>80</v>
      </c>
      <c r="Q20" s="79">
        <f t="shared" si="16"/>
        <v>680</v>
      </c>
      <c r="R20" s="77">
        <f t="shared" si="17"/>
        <v>16</v>
      </c>
      <c r="T20" s="77">
        <f t="shared" si="4"/>
        <v>16</v>
      </c>
      <c r="U20" s="79">
        <f t="shared" si="22"/>
        <v>80</v>
      </c>
      <c r="V20" s="79">
        <f t="shared" si="5"/>
        <v>680</v>
      </c>
      <c r="W20" s="77">
        <f t="shared" si="6"/>
        <v>16</v>
      </c>
      <c r="Y20" s="77">
        <f t="shared" si="7"/>
        <v>16</v>
      </c>
      <c r="Z20" s="79">
        <f t="shared" si="8"/>
        <v>16</v>
      </c>
      <c r="AA20" s="79">
        <f t="shared" si="9"/>
        <v>136</v>
      </c>
      <c r="AB20" s="77">
        <f t="shared" si="10"/>
        <v>16</v>
      </c>
      <c r="AD20" s="77">
        <f t="shared" si="11"/>
        <v>16</v>
      </c>
      <c r="AE20" s="79">
        <f t="shared" si="12"/>
        <v>16</v>
      </c>
      <c r="AF20" s="79">
        <f t="shared" si="13"/>
        <v>136</v>
      </c>
      <c r="AG20" s="77">
        <f t="shared" si="14"/>
        <v>16</v>
      </c>
      <c r="AN20" s="691">
        <f t="shared" si="25"/>
        <v>24</v>
      </c>
      <c r="AO20" s="691">
        <f t="shared" si="19"/>
        <v>25</v>
      </c>
      <c r="AP20" s="691">
        <f>SUM($AO$4:AO20)</f>
        <v>561</v>
      </c>
      <c r="AQ20" s="691">
        <f t="shared" si="20"/>
        <v>24</v>
      </c>
    </row>
    <row r="21" spans="1:43" x14ac:dyDescent="0.2">
      <c r="A21" s="876" t="s">
        <v>298</v>
      </c>
      <c r="B21" s="743"/>
      <c r="E21" s="216" t="s">
        <v>279</v>
      </c>
      <c r="F21" s="217">
        <f>Character!O4</f>
        <v>1216</v>
      </c>
      <c r="I21" s="689">
        <f t="shared" si="26"/>
        <v>7</v>
      </c>
      <c r="J21" s="661">
        <f t="shared" si="27"/>
        <v>7</v>
      </c>
      <c r="K21" s="690">
        <f t="shared" si="28"/>
        <v>28</v>
      </c>
      <c r="L21" s="689">
        <f t="shared" si="29"/>
        <v>7</v>
      </c>
      <c r="O21" s="77">
        <f t="shared" si="15"/>
        <v>17</v>
      </c>
      <c r="P21" s="79">
        <f t="shared" si="30"/>
        <v>85</v>
      </c>
      <c r="Q21" s="79">
        <f t="shared" si="16"/>
        <v>765</v>
      </c>
      <c r="R21" s="77">
        <f t="shared" si="17"/>
        <v>17</v>
      </c>
      <c r="T21" s="77">
        <f t="shared" si="4"/>
        <v>17</v>
      </c>
      <c r="U21" s="79">
        <f t="shared" si="22"/>
        <v>85</v>
      </c>
      <c r="V21" s="79">
        <f t="shared" si="5"/>
        <v>765</v>
      </c>
      <c r="W21" s="77">
        <f t="shared" si="6"/>
        <v>17</v>
      </c>
      <c r="Y21" s="77">
        <f t="shared" si="7"/>
        <v>17</v>
      </c>
      <c r="Z21" s="79">
        <f t="shared" si="8"/>
        <v>17</v>
      </c>
      <c r="AA21" s="79">
        <f t="shared" si="9"/>
        <v>153</v>
      </c>
      <c r="AB21" s="77">
        <f t="shared" si="10"/>
        <v>17</v>
      </c>
      <c r="AD21" s="77">
        <f t="shared" si="11"/>
        <v>17</v>
      </c>
      <c r="AE21" s="79">
        <f t="shared" si="12"/>
        <v>17</v>
      </c>
      <c r="AF21" s="79">
        <f t="shared" si="13"/>
        <v>153</v>
      </c>
      <c r="AG21" s="77">
        <f t="shared" si="14"/>
        <v>17</v>
      </c>
      <c r="AN21" s="691">
        <f t="shared" si="25"/>
        <v>23</v>
      </c>
      <c r="AO21" s="691">
        <f t="shared" si="19"/>
        <v>24</v>
      </c>
      <c r="AP21" s="691">
        <f>SUM($AO$4:AO21)</f>
        <v>585</v>
      </c>
      <c r="AQ21" s="691">
        <f t="shared" si="20"/>
        <v>23</v>
      </c>
    </row>
    <row r="22" spans="1:43" x14ac:dyDescent="0.2">
      <c r="A22" s="212" t="s">
        <v>238</v>
      </c>
      <c r="B22" s="256">
        <v>0</v>
      </c>
      <c r="E22" s="218" t="s">
        <v>280</v>
      </c>
      <c r="F22" s="115">
        <f>Character!O5</f>
        <v>10</v>
      </c>
      <c r="I22" s="689">
        <f t="shared" si="26"/>
        <v>8</v>
      </c>
      <c r="J22" s="661">
        <f t="shared" si="27"/>
        <v>8</v>
      </c>
      <c r="K22" s="690">
        <f t="shared" si="28"/>
        <v>36</v>
      </c>
      <c r="L22" s="689">
        <f t="shared" si="29"/>
        <v>8</v>
      </c>
      <c r="O22" s="77">
        <f t="shared" si="15"/>
        <v>18</v>
      </c>
      <c r="P22" s="79">
        <f t="shared" si="30"/>
        <v>90</v>
      </c>
      <c r="Q22" s="79">
        <f t="shared" si="16"/>
        <v>855</v>
      </c>
      <c r="R22" s="77">
        <f t="shared" si="17"/>
        <v>18</v>
      </c>
      <c r="T22" s="77">
        <f t="shared" si="4"/>
        <v>18</v>
      </c>
      <c r="U22" s="79">
        <f t="shared" si="22"/>
        <v>90</v>
      </c>
      <c r="V22" s="79">
        <f t="shared" si="5"/>
        <v>855</v>
      </c>
      <c r="W22" s="77">
        <f t="shared" si="6"/>
        <v>18</v>
      </c>
      <c r="Y22" s="77">
        <f t="shared" si="7"/>
        <v>18</v>
      </c>
      <c r="Z22" s="79">
        <f t="shared" si="8"/>
        <v>18</v>
      </c>
      <c r="AA22" s="79">
        <f t="shared" si="9"/>
        <v>171</v>
      </c>
      <c r="AB22" s="77">
        <f t="shared" si="10"/>
        <v>18</v>
      </c>
      <c r="AD22" s="77">
        <f t="shared" si="11"/>
        <v>18</v>
      </c>
      <c r="AE22" s="79">
        <f t="shared" si="12"/>
        <v>18</v>
      </c>
      <c r="AF22" s="79">
        <f t="shared" si="13"/>
        <v>171</v>
      </c>
      <c r="AG22" s="77">
        <f t="shared" si="14"/>
        <v>18</v>
      </c>
      <c r="AN22" s="691">
        <f t="shared" si="25"/>
        <v>22</v>
      </c>
      <c r="AO22" s="691">
        <f t="shared" si="19"/>
        <v>23</v>
      </c>
      <c r="AP22" s="691">
        <f>SUM($AO$4:AO22)</f>
        <v>608</v>
      </c>
      <c r="AQ22" s="691">
        <f t="shared" si="20"/>
        <v>22</v>
      </c>
    </row>
    <row r="23" spans="1:43" x14ac:dyDescent="0.2">
      <c r="A23" s="212" t="s">
        <v>299</v>
      </c>
      <c r="B23" s="256">
        <v>0</v>
      </c>
      <c r="E23" s="219" t="s">
        <v>281</v>
      </c>
      <c r="F23" s="116" t="str">
        <f>VLOOKUP(F22,E30:F41,2,FALSE)</f>
        <v>Autumn</v>
      </c>
      <c r="I23" s="689">
        <f t="shared" si="26"/>
        <v>9</v>
      </c>
      <c r="J23" s="661">
        <f t="shared" si="27"/>
        <v>9</v>
      </c>
      <c r="K23" s="690">
        <f t="shared" si="28"/>
        <v>45</v>
      </c>
      <c r="L23" s="689">
        <f t="shared" si="29"/>
        <v>9</v>
      </c>
      <c r="O23" s="77">
        <f t="shared" si="15"/>
        <v>19</v>
      </c>
      <c r="P23" s="79">
        <f t="shared" si="30"/>
        <v>95</v>
      </c>
      <c r="Q23" s="79">
        <f t="shared" si="16"/>
        <v>950</v>
      </c>
      <c r="R23" s="77">
        <f t="shared" si="17"/>
        <v>19</v>
      </c>
      <c r="T23" s="77">
        <f t="shared" si="4"/>
        <v>19</v>
      </c>
      <c r="U23" s="79">
        <f t="shared" si="22"/>
        <v>95</v>
      </c>
      <c r="V23" s="79">
        <f t="shared" si="5"/>
        <v>950</v>
      </c>
      <c r="W23" s="77">
        <f t="shared" si="6"/>
        <v>19</v>
      </c>
      <c r="Y23" s="77">
        <f t="shared" si="7"/>
        <v>19</v>
      </c>
      <c r="Z23" s="79">
        <f t="shared" si="8"/>
        <v>19</v>
      </c>
      <c r="AA23" s="79">
        <f t="shared" si="9"/>
        <v>190</v>
      </c>
      <c r="AB23" s="77">
        <f t="shared" si="10"/>
        <v>19</v>
      </c>
      <c r="AD23" s="77">
        <f t="shared" si="11"/>
        <v>19</v>
      </c>
      <c r="AE23" s="79">
        <f t="shared" si="12"/>
        <v>19</v>
      </c>
      <c r="AF23" s="79">
        <f t="shared" si="13"/>
        <v>190</v>
      </c>
      <c r="AG23" s="77">
        <f t="shared" si="14"/>
        <v>19</v>
      </c>
      <c r="AN23" s="691">
        <f t="shared" si="25"/>
        <v>21</v>
      </c>
      <c r="AO23" s="691">
        <f t="shared" si="19"/>
        <v>22</v>
      </c>
      <c r="AP23" s="691">
        <f>SUM($AO$4:AO23)</f>
        <v>630</v>
      </c>
      <c r="AQ23" s="691">
        <f t="shared" si="20"/>
        <v>21</v>
      </c>
    </row>
    <row r="24" spans="1:43" x14ac:dyDescent="0.2">
      <c r="A24" s="212" t="s">
        <v>240</v>
      </c>
      <c r="B24" s="256">
        <v>0</v>
      </c>
      <c r="I24" s="689">
        <f t="shared" si="26"/>
        <v>10</v>
      </c>
      <c r="J24" s="661">
        <f t="shared" si="27"/>
        <v>10</v>
      </c>
      <c r="K24" s="690">
        <f t="shared" si="28"/>
        <v>55</v>
      </c>
      <c r="L24" s="689">
        <f t="shared" si="29"/>
        <v>10</v>
      </c>
      <c r="O24" s="77">
        <f t="shared" si="15"/>
        <v>20</v>
      </c>
      <c r="P24" s="79">
        <f t="shared" si="30"/>
        <v>100</v>
      </c>
      <c r="Q24" s="79">
        <f t="shared" si="16"/>
        <v>1050</v>
      </c>
      <c r="R24" s="77">
        <f t="shared" si="17"/>
        <v>20</v>
      </c>
      <c r="T24" s="77">
        <f t="shared" si="4"/>
        <v>20</v>
      </c>
      <c r="U24" s="79">
        <f t="shared" si="22"/>
        <v>100</v>
      </c>
      <c r="V24" s="79">
        <f t="shared" si="5"/>
        <v>1050</v>
      </c>
      <c r="W24" s="77">
        <f t="shared" si="6"/>
        <v>20</v>
      </c>
      <c r="Y24" s="77">
        <f t="shared" si="7"/>
        <v>20</v>
      </c>
      <c r="Z24" s="79">
        <f t="shared" si="8"/>
        <v>20</v>
      </c>
      <c r="AA24" s="79">
        <f t="shared" si="9"/>
        <v>210</v>
      </c>
      <c r="AB24" s="77">
        <f t="shared" si="10"/>
        <v>20</v>
      </c>
      <c r="AD24" s="77">
        <f t="shared" si="11"/>
        <v>20</v>
      </c>
      <c r="AE24" s="79">
        <f t="shared" si="12"/>
        <v>20</v>
      </c>
      <c r="AF24" s="79">
        <f t="shared" si="13"/>
        <v>210</v>
      </c>
      <c r="AG24" s="77">
        <f t="shared" si="14"/>
        <v>20</v>
      </c>
      <c r="AN24" s="691">
        <f t="shared" si="25"/>
        <v>20</v>
      </c>
      <c r="AO24" s="691">
        <f t="shared" si="19"/>
        <v>21</v>
      </c>
      <c r="AP24" s="691">
        <f>SUM($AO$4:AO24)</f>
        <v>651</v>
      </c>
      <c r="AQ24" s="691">
        <f t="shared" si="20"/>
        <v>20</v>
      </c>
    </row>
    <row r="25" spans="1:43" x14ac:dyDescent="0.2">
      <c r="A25" s="255" t="s">
        <v>223</v>
      </c>
      <c r="B25" s="256">
        <v>-1</v>
      </c>
      <c r="I25" s="101"/>
      <c r="J25" s="30"/>
      <c r="K25" s="10"/>
      <c r="L25" s="101"/>
      <c r="Y25" s="77">
        <f t="shared" si="7"/>
        <v>21</v>
      </c>
      <c r="Z25" s="79">
        <f t="shared" si="8"/>
        <v>21</v>
      </c>
      <c r="AA25" s="79">
        <f t="shared" si="9"/>
        <v>231</v>
      </c>
      <c r="AB25" s="77">
        <f t="shared" si="10"/>
        <v>21</v>
      </c>
      <c r="AD25" s="77">
        <f t="shared" si="11"/>
        <v>21</v>
      </c>
      <c r="AE25" s="79">
        <f t="shared" si="12"/>
        <v>21</v>
      </c>
      <c r="AF25" s="79">
        <f t="shared" si="13"/>
        <v>231</v>
      </c>
      <c r="AG25" s="77">
        <f t="shared" si="14"/>
        <v>21</v>
      </c>
      <c r="AN25" s="691">
        <f t="shared" si="25"/>
        <v>19</v>
      </c>
      <c r="AO25" s="691">
        <f t="shared" si="19"/>
        <v>20</v>
      </c>
      <c r="AP25" s="691">
        <f>SUM($AO$4:AO25)</f>
        <v>671</v>
      </c>
      <c r="AQ25" s="691">
        <f t="shared" si="20"/>
        <v>19</v>
      </c>
    </row>
    <row r="26" spans="1:43" x14ac:dyDescent="0.2">
      <c r="A26" s="255" t="s">
        <v>237</v>
      </c>
      <c r="B26" s="256">
        <v>-1</v>
      </c>
      <c r="I26" s="101"/>
      <c r="J26" s="30"/>
      <c r="K26" s="10"/>
      <c r="L26" s="101"/>
      <c r="Y26" s="77">
        <f t="shared" si="7"/>
        <v>22</v>
      </c>
      <c r="Z26" s="79">
        <f t="shared" si="8"/>
        <v>22</v>
      </c>
      <c r="AA26" s="79">
        <f t="shared" si="9"/>
        <v>253</v>
      </c>
      <c r="AB26" s="77">
        <f t="shared" si="10"/>
        <v>22</v>
      </c>
      <c r="AD26" s="77">
        <f t="shared" si="11"/>
        <v>22</v>
      </c>
      <c r="AE26" s="79">
        <f t="shared" si="12"/>
        <v>22</v>
      </c>
      <c r="AF26" s="79">
        <f t="shared" si="13"/>
        <v>253</v>
      </c>
      <c r="AG26" s="77">
        <f t="shared" si="14"/>
        <v>22</v>
      </c>
      <c r="AN26" s="691">
        <f t="shared" si="25"/>
        <v>18</v>
      </c>
      <c r="AO26" s="691">
        <f t="shared" si="19"/>
        <v>19</v>
      </c>
      <c r="AP26" s="691">
        <f>SUM($AO$4:AO26)</f>
        <v>690</v>
      </c>
      <c r="AQ26" s="691">
        <f t="shared" si="20"/>
        <v>18</v>
      </c>
    </row>
    <row r="27" spans="1:43" x14ac:dyDescent="0.2">
      <c r="A27" s="212" t="s">
        <v>235</v>
      </c>
      <c r="B27" s="256">
        <v>-3</v>
      </c>
      <c r="I27" s="101"/>
      <c r="J27" s="30"/>
      <c r="K27" s="10"/>
      <c r="L27" s="101"/>
      <c r="Y27" s="77">
        <f t="shared" si="7"/>
        <v>23</v>
      </c>
      <c r="Z27" s="79">
        <f t="shared" si="8"/>
        <v>23</v>
      </c>
      <c r="AA27" s="79">
        <f t="shared" si="9"/>
        <v>276</v>
      </c>
      <c r="AB27" s="77">
        <f t="shared" si="10"/>
        <v>23</v>
      </c>
      <c r="AD27" s="77">
        <f t="shared" si="11"/>
        <v>23</v>
      </c>
      <c r="AE27" s="79">
        <f t="shared" si="12"/>
        <v>23</v>
      </c>
      <c r="AF27" s="79">
        <f t="shared" si="13"/>
        <v>276</v>
      </c>
      <c r="AG27" s="77">
        <f t="shared" si="14"/>
        <v>23</v>
      </c>
      <c r="AN27" s="691">
        <f t="shared" si="25"/>
        <v>17</v>
      </c>
      <c r="AO27" s="691">
        <f t="shared" si="19"/>
        <v>18</v>
      </c>
      <c r="AP27" s="691">
        <f>SUM($AO$4:AO27)</f>
        <v>708</v>
      </c>
      <c r="AQ27" s="691">
        <f t="shared" si="20"/>
        <v>17</v>
      </c>
    </row>
    <row r="28" spans="1:43" x14ac:dyDescent="0.2">
      <c r="I28" s="659" t="s">
        <v>493</v>
      </c>
      <c r="O28" s="660" t="s">
        <v>523</v>
      </c>
      <c r="P28" s="661"/>
      <c r="Q28" s="661"/>
      <c r="R28" s="661"/>
      <c r="Y28" s="77">
        <f t="shared" si="7"/>
        <v>24</v>
      </c>
      <c r="Z28" s="79">
        <f t="shared" si="8"/>
        <v>24</v>
      </c>
      <c r="AA28" s="79">
        <f t="shared" si="9"/>
        <v>300</v>
      </c>
      <c r="AB28" s="77">
        <f t="shared" si="10"/>
        <v>24</v>
      </c>
      <c r="AD28" s="77">
        <f t="shared" si="11"/>
        <v>24</v>
      </c>
      <c r="AE28" s="79">
        <f t="shared" si="12"/>
        <v>24</v>
      </c>
      <c r="AF28" s="79">
        <f t="shared" si="13"/>
        <v>300</v>
      </c>
      <c r="AG28" s="77">
        <f t="shared" si="14"/>
        <v>24</v>
      </c>
      <c r="AN28" s="691">
        <f t="shared" si="25"/>
        <v>16</v>
      </c>
      <c r="AO28" s="691">
        <f t="shared" si="19"/>
        <v>17</v>
      </c>
      <c r="AP28" s="691">
        <f>SUM($AO$4:AO28)</f>
        <v>725</v>
      </c>
      <c r="AQ28" s="691">
        <f t="shared" si="20"/>
        <v>16</v>
      </c>
    </row>
    <row r="29" spans="1:43" x14ac:dyDescent="0.2">
      <c r="A29" s="871" t="s">
        <v>127</v>
      </c>
      <c r="B29" s="704"/>
      <c r="C29" s="723"/>
      <c r="E29" s="876" t="s">
        <v>273</v>
      </c>
      <c r="F29" s="877"/>
      <c r="I29" s="658" t="s">
        <v>489</v>
      </c>
      <c r="O29" s="660" t="s">
        <v>528</v>
      </c>
      <c r="P29" s="660" t="s">
        <v>524</v>
      </c>
      <c r="Q29" s="660" t="s">
        <v>525</v>
      </c>
      <c r="R29" s="660" t="s">
        <v>526</v>
      </c>
      <c r="Y29" s="77">
        <f t="shared" si="7"/>
        <v>25</v>
      </c>
      <c r="Z29" s="79">
        <f t="shared" si="8"/>
        <v>25</v>
      </c>
      <c r="AA29" s="79">
        <f t="shared" si="9"/>
        <v>325</v>
      </c>
      <c r="AB29" s="77">
        <f t="shared" si="10"/>
        <v>25</v>
      </c>
      <c r="AD29" s="77">
        <f t="shared" si="11"/>
        <v>25</v>
      </c>
      <c r="AE29" s="79">
        <f t="shared" si="12"/>
        <v>25</v>
      </c>
      <c r="AF29" s="79">
        <f t="shared" si="13"/>
        <v>325</v>
      </c>
      <c r="AG29" s="77">
        <f t="shared" si="14"/>
        <v>25</v>
      </c>
      <c r="AN29" s="691">
        <f t="shared" si="25"/>
        <v>15</v>
      </c>
      <c r="AO29" s="691">
        <f t="shared" si="19"/>
        <v>16</v>
      </c>
      <c r="AP29" s="691">
        <f>SUM($AO$4:AO29)</f>
        <v>741</v>
      </c>
      <c r="AQ29" s="691">
        <f t="shared" si="20"/>
        <v>15</v>
      </c>
    </row>
    <row r="30" spans="1:43" x14ac:dyDescent="0.2">
      <c r="A30" s="80">
        <v>0</v>
      </c>
      <c r="B30" s="80">
        <v>0</v>
      </c>
      <c r="C30" s="78" t="s">
        <v>130</v>
      </c>
      <c r="E30" s="212">
        <v>1</v>
      </c>
      <c r="F30" s="212" t="s">
        <v>275</v>
      </c>
      <c r="I30" s="658" t="s">
        <v>244</v>
      </c>
      <c r="O30" s="661">
        <v>0</v>
      </c>
      <c r="P30" s="663">
        <v>1</v>
      </c>
      <c r="Q30" s="663">
        <v>5</v>
      </c>
      <c r="R30" s="663">
        <v>8</v>
      </c>
      <c r="Y30" s="77">
        <f t="shared" si="7"/>
        <v>26</v>
      </c>
      <c r="Z30" s="79">
        <f t="shared" si="8"/>
        <v>26</v>
      </c>
      <c r="AA30" s="79">
        <f t="shared" si="9"/>
        <v>351</v>
      </c>
      <c r="AB30" s="77">
        <f t="shared" si="10"/>
        <v>26</v>
      </c>
      <c r="AD30" s="77">
        <f t="shared" si="11"/>
        <v>26</v>
      </c>
      <c r="AE30" s="79">
        <f t="shared" si="12"/>
        <v>26</v>
      </c>
      <c r="AF30" s="79">
        <f t="shared" si="13"/>
        <v>351</v>
      </c>
      <c r="AG30" s="77">
        <f t="shared" si="14"/>
        <v>26</v>
      </c>
      <c r="AN30" s="691">
        <f t="shared" si="25"/>
        <v>14</v>
      </c>
      <c r="AO30" s="691">
        <f t="shared" si="19"/>
        <v>15</v>
      </c>
      <c r="AP30" s="691">
        <f>SUM($AO$4:AO30)</f>
        <v>756</v>
      </c>
      <c r="AQ30" s="691">
        <f t="shared" si="20"/>
        <v>14</v>
      </c>
    </row>
    <row r="31" spans="1:43" x14ac:dyDescent="0.2">
      <c r="A31" s="80">
        <v>1</v>
      </c>
      <c r="B31" s="80">
        <v>0</v>
      </c>
      <c r="C31" s="78" t="s">
        <v>131</v>
      </c>
      <c r="E31" s="212">
        <v>2</v>
      </c>
      <c r="F31" s="212" t="s">
        <v>275</v>
      </c>
      <c r="O31" s="661">
        <v>1</v>
      </c>
      <c r="P31" s="663">
        <v>1</v>
      </c>
      <c r="Q31" s="663">
        <v>6</v>
      </c>
      <c r="R31" s="663">
        <v>9</v>
      </c>
      <c r="Y31" s="77">
        <f t="shared" si="7"/>
        <v>27</v>
      </c>
      <c r="Z31" s="79">
        <f t="shared" si="8"/>
        <v>27</v>
      </c>
      <c r="AA31" s="79">
        <f t="shared" si="9"/>
        <v>378</v>
      </c>
      <c r="AB31" s="77">
        <f t="shared" si="10"/>
        <v>27</v>
      </c>
      <c r="AD31" s="77">
        <f t="shared" si="11"/>
        <v>27</v>
      </c>
      <c r="AE31" s="79">
        <f t="shared" si="12"/>
        <v>27</v>
      </c>
      <c r="AF31" s="79">
        <f t="shared" si="13"/>
        <v>378</v>
      </c>
      <c r="AG31" s="77">
        <f t="shared" si="14"/>
        <v>27</v>
      </c>
      <c r="AN31" s="691">
        <f t="shared" si="25"/>
        <v>13</v>
      </c>
      <c r="AO31" s="691">
        <f t="shared" si="19"/>
        <v>14</v>
      </c>
      <c r="AP31" s="691">
        <f>SUM($AO$4:AO31)</f>
        <v>770</v>
      </c>
      <c r="AQ31" s="691">
        <f t="shared" si="20"/>
        <v>13</v>
      </c>
    </row>
    <row r="32" spans="1:43" x14ac:dyDescent="0.2">
      <c r="A32" s="80">
        <v>2</v>
      </c>
      <c r="B32" s="80">
        <v>-1</v>
      </c>
      <c r="C32" s="78" t="s">
        <v>132</v>
      </c>
      <c r="E32" s="212">
        <v>3</v>
      </c>
      <c r="F32" s="212" t="s">
        <v>275</v>
      </c>
      <c r="I32" s="659" t="s">
        <v>494</v>
      </c>
      <c r="O32" s="661">
        <v>6</v>
      </c>
      <c r="P32" s="663">
        <v>2</v>
      </c>
      <c r="Q32" s="663">
        <v>7</v>
      </c>
      <c r="R32" s="663">
        <v>10</v>
      </c>
      <c r="Y32" s="77">
        <f t="shared" si="7"/>
        <v>28</v>
      </c>
      <c r="Z32" s="79">
        <f t="shared" si="8"/>
        <v>28</v>
      </c>
      <c r="AA32" s="79">
        <f t="shared" si="9"/>
        <v>406</v>
      </c>
      <c r="AB32" s="77">
        <f t="shared" si="10"/>
        <v>28</v>
      </c>
      <c r="AD32" s="77">
        <f t="shared" si="11"/>
        <v>28</v>
      </c>
      <c r="AE32" s="79">
        <f t="shared" si="12"/>
        <v>28</v>
      </c>
      <c r="AF32" s="79">
        <f t="shared" si="13"/>
        <v>406</v>
      </c>
      <c r="AG32" s="77">
        <f t="shared" si="14"/>
        <v>28</v>
      </c>
      <c r="AN32" s="691">
        <f t="shared" si="25"/>
        <v>12</v>
      </c>
      <c r="AO32" s="691">
        <f t="shared" si="19"/>
        <v>13</v>
      </c>
      <c r="AP32" s="691">
        <f>SUM($AO$4:AO32)</f>
        <v>783</v>
      </c>
      <c r="AQ32" s="691">
        <f t="shared" si="20"/>
        <v>12</v>
      </c>
    </row>
    <row r="33" spans="1:43" x14ac:dyDescent="0.2">
      <c r="A33" s="80">
        <v>3</v>
      </c>
      <c r="B33" s="80">
        <v>-3</v>
      </c>
      <c r="C33" s="78" t="s">
        <v>133</v>
      </c>
      <c r="E33" s="212">
        <v>4</v>
      </c>
      <c r="F33" s="212" t="s">
        <v>274</v>
      </c>
      <c r="I33" s="658" t="s">
        <v>453</v>
      </c>
      <c r="O33" s="661">
        <f>O32+5</f>
        <v>11</v>
      </c>
      <c r="P33" s="663">
        <v>3</v>
      </c>
      <c r="Q33" s="663">
        <v>8</v>
      </c>
      <c r="R33" s="663" t="s">
        <v>527</v>
      </c>
      <c r="Y33" s="77">
        <f t="shared" si="7"/>
        <v>29</v>
      </c>
      <c r="Z33" s="79">
        <f t="shared" si="8"/>
        <v>29</v>
      </c>
      <c r="AA33" s="79">
        <f t="shared" si="9"/>
        <v>435</v>
      </c>
      <c r="AB33" s="77">
        <f t="shared" si="10"/>
        <v>29</v>
      </c>
      <c r="AD33" s="77">
        <f t="shared" si="11"/>
        <v>29</v>
      </c>
      <c r="AE33" s="79">
        <f t="shared" si="12"/>
        <v>29</v>
      </c>
      <c r="AF33" s="79">
        <f t="shared" si="13"/>
        <v>435</v>
      </c>
      <c r="AG33" s="77">
        <f t="shared" si="14"/>
        <v>29</v>
      </c>
      <c r="AN33" s="691">
        <f>AN34+1</f>
        <v>11</v>
      </c>
      <c r="AO33" s="691">
        <f t="shared" ref="AO33:AO64" si="31">ABS(AN33)+1</f>
        <v>12</v>
      </c>
      <c r="AP33" s="691">
        <f>SUM($AO$4:AO33)</f>
        <v>795</v>
      </c>
      <c r="AQ33" s="691">
        <f>AN33</f>
        <v>11</v>
      </c>
    </row>
    <row r="34" spans="1:43" x14ac:dyDescent="0.2">
      <c r="A34" s="80">
        <v>4</v>
      </c>
      <c r="B34" s="80">
        <v>-5</v>
      </c>
      <c r="C34" s="78" t="s">
        <v>134</v>
      </c>
      <c r="E34" s="212">
        <v>5</v>
      </c>
      <c r="F34" s="212" t="s">
        <v>274</v>
      </c>
      <c r="I34" s="658" t="s">
        <v>177</v>
      </c>
      <c r="O34" s="661">
        <f t="shared" ref="O34:O41" si="32">O33+5</f>
        <v>16</v>
      </c>
      <c r="P34" s="663">
        <v>4</v>
      </c>
      <c r="Q34" s="663">
        <v>9</v>
      </c>
      <c r="R34" s="663" t="s">
        <v>527</v>
      </c>
      <c r="Y34" s="77">
        <f t="shared" si="7"/>
        <v>30</v>
      </c>
      <c r="Z34" s="79">
        <f t="shared" si="8"/>
        <v>30</v>
      </c>
      <c r="AA34" s="79">
        <f t="shared" si="9"/>
        <v>465</v>
      </c>
      <c r="AB34" s="77">
        <f t="shared" si="10"/>
        <v>30</v>
      </c>
      <c r="AD34" s="77">
        <f t="shared" si="11"/>
        <v>30</v>
      </c>
      <c r="AE34" s="79">
        <f t="shared" si="12"/>
        <v>30</v>
      </c>
      <c r="AF34" s="79">
        <f t="shared" si="13"/>
        <v>465</v>
      </c>
      <c r="AG34" s="77">
        <f t="shared" si="14"/>
        <v>30</v>
      </c>
      <c r="AN34" s="691">
        <v>10</v>
      </c>
      <c r="AO34" s="691">
        <f t="shared" si="31"/>
        <v>11</v>
      </c>
      <c r="AP34" s="691">
        <f>SUM($AO$4:AO34)</f>
        <v>806</v>
      </c>
      <c r="AQ34" s="691">
        <f t="shared" ref="AQ34:AQ57" si="33">AN34</f>
        <v>10</v>
      </c>
    </row>
    <row r="35" spans="1:43" x14ac:dyDescent="0.2">
      <c r="A35" s="80">
        <v>5</v>
      </c>
      <c r="B35" s="78" t="s">
        <v>135</v>
      </c>
      <c r="C35" s="78" t="s">
        <v>119</v>
      </c>
      <c r="E35" s="212">
        <v>6</v>
      </c>
      <c r="F35" s="212" t="s">
        <v>274</v>
      </c>
      <c r="I35" s="658" t="s">
        <v>490</v>
      </c>
      <c r="O35" s="661">
        <f t="shared" si="32"/>
        <v>21</v>
      </c>
      <c r="P35" s="663">
        <v>5</v>
      </c>
      <c r="Q35" s="663">
        <v>10</v>
      </c>
      <c r="R35" s="663" t="s">
        <v>527</v>
      </c>
      <c r="Y35" s="77">
        <f t="shared" si="7"/>
        <v>31</v>
      </c>
      <c r="Z35" s="79">
        <f t="shared" si="8"/>
        <v>31</v>
      </c>
      <c r="AA35" s="79">
        <f t="shared" si="9"/>
        <v>496</v>
      </c>
      <c r="AB35" s="77">
        <f t="shared" si="10"/>
        <v>31</v>
      </c>
      <c r="AD35" s="77">
        <f t="shared" si="11"/>
        <v>31</v>
      </c>
      <c r="AE35" s="79">
        <f t="shared" si="12"/>
        <v>31</v>
      </c>
      <c r="AF35" s="79">
        <f t="shared" si="13"/>
        <v>496</v>
      </c>
      <c r="AG35" s="77">
        <f t="shared" si="14"/>
        <v>31</v>
      </c>
      <c r="AN35" s="691">
        <f>AN34-1</f>
        <v>9</v>
      </c>
      <c r="AO35" s="691">
        <f t="shared" si="31"/>
        <v>10</v>
      </c>
      <c r="AP35" s="691">
        <f>SUM($AO$4:AO35)</f>
        <v>816</v>
      </c>
      <c r="AQ35" s="691">
        <f t="shared" si="33"/>
        <v>9</v>
      </c>
    </row>
    <row r="36" spans="1:43" x14ac:dyDescent="0.2">
      <c r="A36" s="80">
        <v>6</v>
      </c>
      <c r="B36" s="78" t="s">
        <v>135</v>
      </c>
      <c r="C36" s="78" t="s">
        <v>119</v>
      </c>
      <c r="E36" s="212">
        <v>7</v>
      </c>
      <c r="F36" s="212" t="s">
        <v>277</v>
      </c>
      <c r="I36" s="658" t="s">
        <v>491</v>
      </c>
      <c r="O36" s="661">
        <f t="shared" si="32"/>
        <v>26</v>
      </c>
      <c r="P36" s="663">
        <v>6</v>
      </c>
      <c r="Q36" s="663" t="s">
        <v>527</v>
      </c>
      <c r="R36" s="663" t="s">
        <v>527</v>
      </c>
      <c r="Y36" s="77">
        <f t="shared" si="7"/>
        <v>32</v>
      </c>
      <c r="Z36" s="79">
        <f t="shared" si="8"/>
        <v>32</v>
      </c>
      <c r="AA36" s="79">
        <f t="shared" si="9"/>
        <v>528</v>
      </c>
      <c r="AB36" s="77">
        <f t="shared" si="10"/>
        <v>32</v>
      </c>
      <c r="AD36" s="77">
        <f t="shared" si="11"/>
        <v>32</v>
      </c>
      <c r="AE36" s="79">
        <f t="shared" si="12"/>
        <v>32</v>
      </c>
      <c r="AF36" s="79">
        <f t="shared" si="13"/>
        <v>528</v>
      </c>
      <c r="AG36" s="77">
        <f t="shared" si="14"/>
        <v>32</v>
      </c>
      <c r="AN36" s="691">
        <f t="shared" ref="AN36:AN54" si="34">AN35-1</f>
        <v>8</v>
      </c>
      <c r="AO36" s="691">
        <f t="shared" si="31"/>
        <v>9</v>
      </c>
      <c r="AP36" s="691">
        <f>SUM($AO$4:AO36)</f>
        <v>825</v>
      </c>
      <c r="AQ36" s="691">
        <f t="shared" si="33"/>
        <v>8</v>
      </c>
    </row>
    <row r="37" spans="1:43" x14ac:dyDescent="0.2">
      <c r="A37" s="80">
        <v>7</v>
      </c>
      <c r="B37" s="78" t="s">
        <v>135</v>
      </c>
      <c r="C37" s="78" t="s">
        <v>119</v>
      </c>
      <c r="E37" s="212">
        <v>8</v>
      </c>
      <c r="F37" s="212" t="s">
        <v>277</v>
      </c>
      <c r="I37" s="658" t="s">
        <v>492</v>
      </c>
      <c r="O37" s="661">
        <f t="shared" si="32"/>
        <v>31</v>
      </c>
      <c r="P37" s="663">
        <v>7</v>
      </c>
      <c r="Q37" s="663" t="s">
        <v>527</v>
      </c>
      <c r="R37" s="663" t="s">
        <v>527</v>
      </c>
      <c r="Y37" s="77">
        <f t="shared" si="7"/>
        <v>33</v>
      </c>
      <c r="Z37" s="79">
        <f t="shared" si="8"/>
        <v>33</v>
      </c>
      <c r="AA37" s="79">
        <f t="shared" si="9"/>
        <v>561</v>
      </c>
      <c r="AB37" s="77">
        <f t="shared" si="10"/>
        <v>33</v>
      </c>
      <c r="AD37" s="77">
        <f t="shared" si="11"/>
        <v>33</v>
      </c>
      <c r="AE37" s="79">
        <f t="shared" si="12"/>
        <v>33</v>
      </c>
      <c r="AF37" s="79">
        <f t="shared" si="13"/>
        <v>561</v>
      </c>
      <c r="AG37" s="77">
        <f t="shared" si="14"/>
        <v>33</v>
      </c>
      <c r="AN37" s="691">
        <f t="shared" si="34"/>
        <v>7</v>
      </c>
      <c r="AO37" s="691">
        <f t="shared" si="31"/>
        <v>8</v>
      </c>
      <c r="AP37" s="691">
        <f>SUM($AO$4:AO37)</f>
        <v>833</v>
      </c>
      <c r="AQ37" s="691">
        <f t="shared" si="33"/>
        <v>7</v>
      </c>
    </row>
    <row r="38" spans="1:43" x14ac:dyDescent="0.2">
      <c r="A38" s="80">
        <v>8</v>
      </c>
      <c r="B38" s="78" t="s">
        <v>135</v>
      </c>
      <c r="C38" s="78" t="s">
        <v>119</v>
      </c>
      <c r="E38" s="212">
        <v>9</v>
      </c>
      <c r="F38" s="212" t="s">
        <v>277</v>
      </c>
      <c r="O38" s="661">
        <f t="shared" si="32"/>
        <v>36</v>
      </c>
      <c r="P38" s="663">
        <v>8</v>
      </c>
      <c r="Q38" s="663" t="s">
        <v>527</v>
      </c>
      <c r="R38" s="663" t="s">
        <v>527</v>
      </c>
      <c r="Y38" s="77">
        <f t="shared" si="7"/>
        <v>34</v>
      </c>
      <c r="Z38" s="79">
        <f t="shared" si="8"/>
        <v>34</v>
      </c>
      <c r="AA38" s="79">
        <f t="shared" si="9"/>
        <v>595</v>
      </c>
      <c r="AB38" s="77">
        <f t="shared" si="10"/>
        <v>34</v>
      </c>
      <c r="AD38" s="77">
        <f t="shared" si="11"/>
        <v>34</v>
      </c>
      <c r="AE38" s="79">
        <f t="shared" si="12"/>
        <v>34</v>
      </c>
      <c r="AF38" s="79">
        <f t="shared" si="13"/>
        <v>595</v>
      </c>
      <c r="AG38" s="77">
        <f t="shared" si="14"/>
        <v>34</v>
      </c>
      <c r="AN38" s="691">
        <f t="shared" si="34"/>
        <v>6</v>
      </c>
      <c r="AO38" s="691">
        <f t="shared" si="31"/>
        <v>7</v>
      </c>
      <c r="AP38" s="691">
        <f>SUM($AO$4:AO38)</f>
        <v>840</v>
      </c>
      <c r="AQ38" s="691">
        <f t="shared" si="33"/>
        <v>6</v>
      </c>
    </row>
    <row r="39" spans="1:43" x14ac:dyDescent="0.2">
      <c r="A39" s="80">
        <v>9</v>
      </c>
      <c r="B39" s="78" t="s">
        <v>135</v>
      </c>
      <c r="C39" s="78" t="s">
        <v>119</v>
      </c>
      <c r="E39" s="212">
        <v>10</v>
      </c>
      <c r="F39" s="212" t="s">
        <v>276</v>
      </c>
      <c r="O39" s="661">
        <f t="shared" si="32"/>
        <v>41</v>
      </c>
      <c r="P39" s="663">
        <v>9</v>
      </c>
      <c r="Q39" s="663" t="s">
        <v>527</v>
      </c>
      <c r="R39" s="663" t="s">
        <v>527</v>
      </c>
      <c r="Y39" s="77">
        <f t="shared" si="7"/>
        <v>35</v>
      </c>
      <c r="Z39" s="79">
        <f t="shared" si="8"/>
        <v>35</v>
      </c>
      <c r="AA39" s="79">
        <f t="shared" si="9"/>
        <v>630</v>
      </c>
      <c r="AB39" s="77">
        <f t="shared" si="10"/>
        <v>35</v>
      </c>
      <c r="AD39" s="77">
        <f t="shared" si="11"/>
        <v>35</v>
      </c>
      <c r="AE39" s="79">
        <f t="shared" si="12"/>
        <v>35</v>
      </c>
      <c r="AF39" s="79">
        <f t="shared" si="13"/>
        <v>630</v>
      </c>
      <c r="AG39" s="77">
        <f t="shared" si="14"/>
        <v>35</v>
      </c>
      <c r="AN39" s="691">
        <f t="shared" si="34"/>
        <v>5</v>
      </c>
      <c r="AO39" s="691">
        <f t="shared" si="31"/>
        <v>6</v>
      </c>
      <c r="AP39" s="691">
        <f>SUM($AO$4:AO39)</f>
        <v>846</v>
      </c>
      <c r="AQ39" s="691">
        <f t="shared" si="33"/>
        <v>5</v>
      </c>
    </row>
    <row r="40" spans="1:43" x14ac:dyDescent="0.2">
      <c r="A40" s="80">
        <v>10</v>
      </c>
      <c r="B40" s="78" t="s">
        <v>135</v>
      </c>
      <c r="C40" s="78" t="s">
        <v>119</v>
      </c>
      <c r="E40" s="212">
        <v>11</v>
      </c>
      <c r="F40" s="212" t="s">
        <v>276</v>
      </c>
      <c r="O40" s="661">
        <f t="shared" si="32"/>
        <v>46</v>
      </c>
      <c r="P40" s="663">
        <v>10</v>
      </c>
      <c r="Q40" s="663" t="s">
        <v>527</v>
      </c>
      <c r="R40" s="663" t="s">
        <v>527</v>
      </c>
      <c r="Y40" s="77">
        <f t="shared" si="7"/>
        <v>36</v>
      </c>
      <c r="Z40" s="79">
        <f t="shared" si="8"/>
        <v>36</v>
      </c>
      <c r="AA40" s="79">
        <f t="shared" si="9"/>
        <v>666</v>
      </c>
      <c r="AB40" s="77">
        <f t="shared" si="10"/>
        <v>36</v>
      </c>
      <c r="AD40" s="77">
        <f t="shared" si="11"/>
        <v>36</v>
      </c>
      <c r="AE40" s="79">
        <f t="shared" si="12"/>
        <v>36</v>
      </c>
      <c r="AF40" s="79">
        <f t="shared" si="13"/>
        <v>666</v>
      </c>
      <c r="AG40" s="77">
        <f t="shared" si="14"/>
        <v>36</v>
      </c>
      <c r="AN40" s="691">
        <f t="shared" si="34"/>
        <v>4</v>
      </c>
      <c r="AO40" s="691">
        <f t="shared" si="31"/>
        <v>5</v>
      </c>
      <c r="AP40" s="691">
        <f>SUM($AO$4:AO40)</f>
        <v>851</v>
      </c>
      <c r="AQ40" s="691">
        <f t="shared" si="33"/>
        <v>4</v>
      </c>
    </row>
    <row r="41" spans="1:43" x14ac:dyDescent="0.2">
      <c r="A41" s="80">
        <v>11</v>
      </c>
      <c r="B41" s="78" t="s">
        <v>135</v>
      </c>
      <c r="C41" s="78" t="s">
        <v>119</v>
      </c>
      <c r="E41" s="212">
        <v>12</v>
      </c>
      <c r="F41" s="212" t="s">
        <v>276</v>
      </c>
      <c r="I41" s="659" t="s">
        <v>521</v>
      </c>
      <c r="O41" s="661">
        <f t="shared" si="32"/>
        <v>51</v>
      </c>
      <c r="P41" s="663" t="s">
        <v>527</v>
      </c>
      <c r="Q41" s="663" t="s">
        <v>527</v>
      </c>
      <c r="R41" s="663" t="s">
        <v>527</v>
      </c>
      <c r="Y41" s="77">
        <f t="shared" si="7"/>
        <v>37</v>
      </c>
      <c r="Z41" s="79">
        <f t="shared" si="8"/>
        <v>37</v>
      </c>
      <c r="AA41" s="79">
        <f t="shared" si="9"/>
        <v>703</v>
      </c>
      <c r="AB41" s="77">
        <f t="shared" si="10"/>
        <v>37</v>
      </c>
      <c r="AD41" s="77">
        <f t="shared" si="11"/>
        <v>37</v>
      </c>
      <c r="AE41" s="79">
        <f t="shared" si="12"/>
        <v>37</v>
      </c>
      <c r="AF41" s="79">
        <f t="shared" si="13"/>
        <v>703</v>
      </c>
      <c r="AG41" s="77">
        <f t="shared" si="14"/>
        <v>37</v>
      </c>
      <c r="AN41" s="691">
        <f t="shared" si="34"/>
        <v>3</v>
      </c>
      <c r="AO41" s="691">
        <f t="shared" si="31"/>
        <v>4</v>
      </c>
      <c r="AP41" s="691">
        <f>SUM($AO$4:AO41)</f>
        <v>855</v>
      </c>
      <c r="AQ41" s="691">
        <f t="shared" si="33"/>
        <v>3</v>
      </c>
    </row>
    <row r="42" spans="1:43" x14ac:dyDescent="0.2">
      <c r="A42" s="80">
        <v>12</v>
      </c>
      <c r="B42" s="78" t="s">
        <v>135</v>
      </c>
      <c r="C42" s="78" t="s">
        <v>119</v>
      </c>
      <c r="I42" s="658" t="s">
        <v>185</v>
      </c>
      <c r="Y42" s="77">
        <f t="shared" si="7"/>
        <v>38</v>
      </c>
      <c r="Z42" s="79">
        <f t="shared" si="8"/>
        <v>38</v>
      </c>
      <c r="AA42" s="79">
        <f t="shared" si="9"/>
        <v>741</v>
      </c>
      <c r="AB42" s="77">
        <f t="shared" si="10"/>
        <v>38</v>
      </c>
      <c r="AD42" s="77">
        <f t="shared" si="11"/>
        <v>38</v>
      </c>
      <c r="AE42" s="79">
        <f t="shared" si="12"/>
        <v>38</v>
      </c>
      <c r="AF42" s="79">
        <f t="shared" si="13"/>
        <v>741</v>
      </c>
      <c r="AG42" s="77">
        <f t="shared" si="14"/>
        <v>38</v>
      </c>
      <c r="AN42" s="691">
        <f t="shared" si="34"/>
        <v>2</v>
      </c>
      <c r="AO42" s="691">
        <f t="shared" si="31"/>
        <v>3</v>
      </c>
      <c r="AP42" s="691">
        <f>SUM($AO$4:AO42)</f>
        <v>858</v>
      </c>
      <c r="AQ42" s="691">
        <f t="shared" si="33"/>
        <v>2</v>
      </c>
    </row>
    <row r="43" spans="1:43" x14ac:dyDescent="0.2">
      <c r="A43" s="80">
        <v>13</v>
      </c>
      <c r="B43" s="78" t="s">
        <v>135</v>
      </c>
      <c r="C43" s="78" t="s">
        <v>119</v>
      </c>
      <c r="E43" s="212" t="s">
        <v>275</v>
      </c>
      <c r="F43" s="212">
        <v>1</v>
      </c>
      <c r="I43" s="658" t="s">
        <v>518</v>
      </c>
      <c r="Y43" s="77">
        <f t="shared" si="7"/>
        <v>39</v>
      </c>
      <c r="Z43" s="79">
        <f t="shared" si="8"/>
        <v>39</v>
      </c>
      <c r="AA43" s="79">
        <f t="shared" si="9"/>
        <v>780</v>
      </c>
      <c r="AB43" s="77">
        <f t="shared" si="10"/>
        <v>39</v>
      </c>
      <c r="AD43" s="77">
        <f t="shared" si="11"/>
        <v>39</v>
      </c>
      <c r="AE43" s="79">
        <f t="shared" si="12"/>
        <v>39</v>
      </c>
      <c r="AF43" s="79">
        <f t="shared" si="13"/>
        <v>780</v>
      </c>
      <c r="AG43" s="77">
        <f t="shared" si="14"/>
        <v>39</v>
      </c>
      <c r="AN43" s="691">
        <f t="shared" si="34"/>
        <v>1</v>
      </c>
      <c r="AO43" s="691">
        <f t="shared" si="31"/>
        <v>2</v>
      </c>
      <c r="AP43" s="691">
        <f>SUM($AO$4:AO43)</f>
        <v>860</v>
      </c>
      <c r="AQ43" s="691">
        <f t="shared" si="33"/>
        <v>1</v>
      </c>
    </row>
    <row r="44" spans="1:43" x14ac:dyDescent="0.2">
      <c r="A44" s="80">
        <v>14</v>
      </c>
      <c r="B44" s="78" t="s">
        <v>135</v>
      </c>
      <c r="C44" s="78" t="s">
        <v>119</v>
      </c>
      <c r="E44" s="212" t="s">
        <v>274</v>
      </c>
      <c r="F44" s="212">
        <v>2</v>
      </c>
      <c r="I44" s="658" t="s">
        <v>539</v>
      </c>
      <c r="O44" s="660" t="s">
        <v>535</v>
      </c>
      <c r="P44" s="660"/>
      <c r="Q44" s="660"/>
      <c r="R44" s="660"/>
      <c r="Y44" s="77">
        <f t="shared" si="7"/>
        <v>40</v>
      </c>
      <c r="Z44" s="79">
        <f t="shared" si="8"/>
        <v>40</v>
      </c>
      <c r="AA44" s="79">
        <f t="shared" si="9"/>
        <v>820</v>
      </c>
      <c r="AB44" s="77">
        <f t="shared" si="10"/>
        <v>40</v>
      </c>
      <c r="AD44" s="77">
        <f t="shared" si="11"/>
        <v>40</v>
      </c>
      <c r="AE44" s="79">
        <f t="shared" si="12"/>
        <v>40</v>
      </c>
      <c r="AF44" s="79">
        <f t="shared" si="13"/>
        <v>820</v>
      </c>
      <c r="AG44" s="77">
        <f t="shared" si="14"/>
        <v>40</v>
      </c>
      <c r="AN44" s="691">
        <f t="shared" si="34"/>
        <v>0</v>
      </c>
      <c r="AO44" s="691">
        <f t="shared" si="31"/>
        <v>1</v>
      </c>
      <c r="AP44" s="691">
        <f>SUM($AO$4:AO44)</f>
        <v>861</v>
      </c>
      <c r="AQ44" s="691">
        <f t="shared" si="33"/>
        <v>0</v>
      </c>
    </row>
    <row r="45" spans="1:43" x14ac:dyDescent="0.2">
      <c r="A45" s="80">
        <v>15</v>
      </c>
      <c r="B45" s="78" t="s">
        <v>135</v>
      </c>
      <c r="C45" s="78" t="s">
        <v>119</v>
      </c>
      <c r="E45" s="212" t="s">
        <v>277</v>
      </c>
      <c r="F45" s="212">
        <v>3</v>
      </c>
      <c r="I45" s="658" t="s">
        <v>519</v>
      </c>
      <c r="O45" s="660" t="s">
        <v>528</v>
      </c>
      <c r="P45" s="660" t="s">
        <v>531</v>
      </c>
      <c r="Q45" s="660" t="s">
        <v>532</v>
      </c>
      <c r="R45" s="660" t="s">
        <v>533</v>
      </c>
      <c r="Y45" s="1"/>
      <c r="Z45" s="3"/>
      <c r="AN45" s="691">
        <f t="shared" si="34"/>
        <v>-1</v>
      </c>
      <c r="AO45" s="691">
        <f t="shared" si="31"/>
        <v>2</v>
      </c>
      <c r="AP45" s="691">
        <f>SUM($AO$4:AO45)</f>
        <v>863</v>
      </c>
      <c r="AQ45" s="691">
        <f t="shared" si="33"/>
        <v>-1</v>
      </c>
    </row>
    <row r="46" spans="1:43" x14ac:dyDescent="0.2">
      <c r="E46" s="212" t="s">
        <v>276</v>
      </c>
      <c r="F46" s="212">
        <v>4</v>
      </c>
      <c r="I46" s="658" t="s">
        <v>520</v>
      </c>
      <c r="O46" s="661">
        <v>0</v>
      </c>
      <c r="P46" s="663" t="s">
        <v>527</v>
      </c>
      <c r="Q46" s="663" t="s">
        <v>527</v>
      </c>
      <c r="R46" s="663" t="s">
        <v>527</v>
      </c>
      <c r="S46" s="1"/>
      <c r="AN46" s="691">
        <f t="shared" si="34"/>
        <v>-2</v>
      </c>
      <c r="AO46" s="691">
        <f t="shared" si="31"/>
        <v>3</v>
      </c>
      <c r="AP46" s="691">
        <f>SUM($AO$4:AO46)</f>
        <v>866</v>
      </c>
      <c r="AQ46" s="691">
        <f t="shared" si="33"/>
        <v>-2</v>
      </c>
    </row>
    <row r="47" spans="1:43" x14ac:dyDescent="0.2">
      <c r="A47" s="231" t="s">
        <v>338</v>
      </c>
      <c r="O47" s="661">
        <v>1</v>
      </c>
      <c r="P47" s="663">
        <v>4</v>
      </c>
      <c r="Q47" s="663" t="s">
        <v>527</v>
      </c>
      <c r="R47" s="663" t="s">
        <v>527</v>
      </c>
      <c r="S47" s="1"/>
      <c r="Y47" s="212" t="s">
        <v>323</v>
      </c>
      <c r="Z47" s="212"/>
      <c r="AN47" s="691">
        <f t="shared" si="34"/>
        <v>-3</v>
      </c>
      <c r="AO47" s="691">
        <f t="shared" si="31"/>
        <v>4</v>
      </c>
      <c r="AP47" s="691">
        <f>SUM($AO$4:AO47)</f>
        <v>870</v>
      </c>
      <c r="AQ47" s="691">
        <f t="shared" si="33"/>
        <v>-3</v>
      </c>
    </row>
    <row r="48" spans="1:43" x14ac:dyDescent="0.2">
      <c r="A48" s="640" t="s">
        <v>48</v>
      </c>
      <c r="O48" s="661">
        <f>O47+10</f>
        <v>11</v>
      </c>
      <c r="P48" s="663">
        <v>3</v>
      </c>
      <c r="Q48" s="663" t="s">
        <v>527</v>
      </c>
      <c r="R48" s="663" t="s">
        <v>527</v>
      </c>
      <c r="S48" s="1"/>
      <c r="Y48" s="212">
        <v>-1000</v>
      </c>
      <c r="Z48" s="260" t="s">
        <v>324</v>
      </c>
      <c r="AA48" s="250"/>
      <c r="AB48" s="250"/>
      <c r="AN48" s="691">
        <f t="shared" si="34"/>
        <v>-4</v>
      </c>
      <c r="AO48" s="691">
        <f t="shared" si="31"/>
        <v>5</v>
      </c>
      <c r="AP48" s="691">
        <f>SUM($AO$4:AO48)</f>
        <v>875</v>
      </c>
      <c r="AQ48" s="691">
        <f t="shared" si="33"/>
        <v>-4</v>
      </c>
    </row>
    <row r="49" spans="1:43" x14ac:dyDescent="0.2">
      <c r="A49" s="212" t="s">
        <v>184</v>
      </c>
      <c r="O49" s="661">
        <f t="shared" ref="O49:O52" si="35">O48+10</f>
        <v>21</v>
      </c>
      <c r="P49" s="663">
        <v>2</v>
      </c>
      <c r="Q49" s="663">
        <v>4</v>
      </c>
      <c r="R49" s="663" t="s">
        <v>527</v>
      </c>
      <c r="S49" s="3"/>
      <c r="Y49" s="212">
        <v>8</v>
      </c>
      <c r="Z49" s="260" t="s">
        <v>324</v>
      </c>
      <c r="AA49" s="30"/>
      <c r="AB49" s="257"/>
      <c r="AN49" s="691">
        <f t="shared" si="34"/>
        <v>-5</v>
      </c>
      <c r="AO49" s="691">
        <f t="shared" si="31"/>
        <v>6</v>
      </c>
      <c r="AP49" s="691">
        <f>SUM($AO$4:AO49)</f>
        <v>881</v>
      </c>
      <c r="AQ49" s="691">
        <f t="shared" si="33"/>
        <v>-5</v>
      </c>
    </row>
    <row r="50" spans="1:43" x14ac:dyDescent="0.2">
      <c r="A50" s="212" t="s">
        <v>185</v>
      </c>
      <c r="O50" s="661">
        <f t="shared" si="35"/>
        <v>31</v>
      </c>
      <c r="P50" s="663">
        <v>1</v>
      </c>
      <c r="Q50" s="663">
        <v>2</v>
      </c>
      <c r="R50" s="663">
        <v>4</v>
      </c>
      <c r="Y50" s="212">
        <v>9</v>
      </c>
      <c r="Z50" s="260" t="s">
        <v>325</v>
      </c>
      <c r="AA50" s="30"/>
      <c r="AB50" s="257"/>
      <c r="AN50" s="691">
        <f t="shared" si="34"/>
        <v>-6</v>
      </c>
      <c r="AO50" s="691">
        <f t="shared" si="31"/>
        <v>7</v>
      </c>
      <c r="AP50" s="691">
        <f>SUM($AO$4:AO50)</f>
        <v>888</v>
      </c>
      <c r="AQ50" s="691">
        <f t="shared" si="33"/>
        <v>-6</v>
      </c>
    </row>
    <row r="51" spans="1:43" x14ac:dyDescent="0.2">
      <c r="A51" s="212" t="s">
        <v>475</v>
      </c>
      <c r="O51" s="661">
        <f t="shared" si="35"/>
        <v>41</v>
      </c>
      <c r="P51" s="663">
        <v>1</v>
      </c>
      <c r="Q51" s="663">
        <v>1</v>
      </c>
      <c r="R51" s="663">
        <v>2</v>
      </c>
      <c r="Y51" s="212">
        <v>14</v>
      </c>
      <c r="Z51" s="260" t="s">
        <v>325</v>
      </c>
      <c r="AA51" s="30"/>
      <c r="AB51" s="257"/>
      <c r="AN51" s="691">
        <f t="shared" si="34"/>
        <v>-7</v>
      </c>
      <c r="AO51" s="691">
        <f t="shared" si="31"/>
        <v>8</v>
      </c>
      <c r="AP51" s="691">
        <f>SUM($AO$4:AO51)</f>
        <v>896</v>
      </c>
      <c r="AQ51" s="691">
        <f t="shared" si="33"/>
        <v>-7</v>
      </c>
    </row>
    <row r="52" spans="1:43" x14ac:dyDescent="0.2">
      <c r="O52" s="661">
        <f t="shared" si="35"/>
        <v>51</v>
      </c>
      <c r="P52" s="663">
        <v>1</v>
      </c>
      <c r="Q52" s="663">
        <v>1</v>
      </c>
      <c r="R52" s="663">
        <v>1</v>
      </c>
      <c r="Y52" s="212">
        <v>15</v>
      </c>
      <c r="Z52" s="260" t="s">
        <v>326</v>
      </c>
      <c r="AN52" s="691">
        <f t="shared" si="34"/>
        <v>-8</v>
      </c>
      <c r="AO52" s="691">
        <f t="shared" si="31"/>
        <v>9</v>
      </c>
      <c r="AP52" s="691">
        <f>SUM($AO$4:AO52)</f>
        <v>905</v>
      </c>
      <c r="AQ52" s="691">
        <f t="shared" si="33"/>
        <v>-8</v>
      </c>
    </row>
    <row r="53" spans="1:43" x14ac:dyDescent="0.2">
      <c r="A53" s="878" t="s">
        <v>229</v>
      </c>
      <c r="B53" s="698"/>
      <c r="D53" s="102" t="s">
        <v>257</v>
      </c>
      <c r="F53" s="102" t="s">
        <v>436</v>
      </c>
      <c r="O53" s="661">
        <v>61</v>
      </c>
      <c r="P53" s="663">
        <v>1</v>
      </c>
      <c r="Q53" s="663">
        <v>1</v>
      </c>
      <c r="R53" s="663">
        <v>1</v>
      </c>
      <c r="Y53" s="212">
        <v>16</v>
      </c>
      <c r="Z53" s="260" t="s">
        <v>327</v>
      </c>
      <c r="AN53" s="691">
        <f t="shared" si="34"/>
        <v>-9</v>
      </c>
      <c r="AO53" s="691">
        <f t="shared" si="31"/>
        <v>10</v>
      </c>
      <c r="AP53" s="691">
        <f>SUM($AO$4:AO53)</f>
        <v>915</v>
      </c>
      <c r="AQ53" s="691">
        <f t="shared" si="33"/>
        <v>-9</v>
      </c>
    </row>
    <row r="54" spans="1:43" x14ac:dyDescent="0.2">
      <c r="A54" s="78" t="s">
        <v>228</v>
      </c>
      <c r="B54" s="78">
        <v>3</v>
      </c>
      <c r="D54" s="113" t="s">
        <v>241</v>
      </c>
      <c r="F54" s="78">
        <v>1</v>
      </c>
      <c r="O54" s="3"/>
      <c r="P54" s="3"/>
      <c r="Y54" s="212">
        <v>17</v>
      </c>
      <c r="Z54" s="260" t="s">
        <v>328</v>
      </c>
      <c r="AN54" s="691">
        <f t="shared" si="34"/>
        <v>-10</v>
      </c>
      <c r="AO54" s="691">
        <f t="shared" si="31"/>
        <v>11</v>
      </c>
      <c r="AP54" s="691">
        <f>SUM($AO$4:AO54)</f>
        <v>926</v>
      </c>
      <c r="AQ54" s="691">
        <f t="shared" si="33"/>
        <v>-10</v>
      </c>
    </row>
    <row r="55" spans="1:43" x14ac:dyDescent="0.2">
      <c r="A55" s="78" t="s">
        <v>230</v>
      </c>
      <c r="B55" s="78">
        <v>1</v>
      </c>
      <c r="C55" s="2"/>
      <c r="D55" s="107" t="s">
        <v>246</v>
      </c>
      <c r="F55" s="78">
        <v>2</v>
      </c>
      <c r="O55" s="263" t="s">
        <v>557</v>
      </c>
      <c r="P55" s="3"/>
      <c r="Y55" s="212">
        <v>18</v>
      </c>
      <c r="Z55" s="260" t="s">
        <v>329</v>
      </c>
      <c r="AN55" s="691">
        <f t="shared" ref="AN55:AN84" si="36">AN54-1</f>
        <v>-11</v>
      </c>
      <c r="AO55" s="691">
        <f t="shared" si="31"/>
        <v>12</v>
      </c>
      <c r="AP55" s="691">
        <f>SUM($AO$4:AO55)</f>
        <v>938</v>
      </c>
      <c r="AQ55" s="691">
        <f t="shared" si="33"/>
        <v>-11</v>
      </c>
    </row>
    <row r="56" spans="1:43" x14ac:dyDescent="0.2">
      <c r="A56" s="78" t="s">
        <v>231</v>
      </c>
      <c r="B56" s="78">
        <v>0</v>
      </c>
      <c r="D56" s="107" t="s">
        <v>147</v>
      </c>
      <c r="F56" s="78">
        <v>3</v>
      </c>
      <c r="O56" s="661" t="s">
        <v>546</v>
      </c>
      <c r="P56" s="661" t="s">
        <v>289</v>
      </c>
      <c r="Y56" s="212">
        <v>19</v>
      </c>
      <c r="Z56" s="260" t="s">
        <v>330</v>
      </c>
      <c r="AN56" s="691">
        <f t="shared" si="36"/>
        <v>-12</v>
      </c>
      <c r="AO56" s="691">
        <f t="shared" si="31"/>
        <v>13</v>
      </c>
      <c r="AP56" s="691">
        <f>SUM($AO$4:AO56)</f>
        <v>951</v>
      </c>
      <c r="AQ56" s="691">
        <f t="shared" si="33"/>
        <v>-12</v>
      </c>
    </row>
    <row r="57" spans="1:43" x14ac:dyDescent="0.2">
      <c r="A57" s="78" t="s">
        <v>232</v>
      </c>
      <c r="B57" s="78">
        <v>0</v>
      </c>
      <c r="D57" s="107" t="s">
        <v>242</v>
      </c>
      <c r="F57" s="78">
        <v>4</v>
      </c>
      <c r="O57" s="661">
        <v>0</v>
      </c>
      <c r="P57" s="661" t="s">
        <v>552</v>
      </c>
      <c r="Y57" s="212">
        <v>1000</v>
      </c>
      <c r="Z57" s="260" t="s">
        <v>330</v>
      </c>
      <c r="AN57" s="691">
        <f t="shared" si="36"/>
        <v>-13</v>
      </c>
      <c r="AO57" s="691">
        <f t="shared" si="31"/>
        <v>14</v>
      </c>
      <c r="AP57" s="691">
        <f>SUM($AO$4:AO57)</f>
        <v>965</v>
      </c>
      <c r="AQ57" s="691">
        <f t="shared" si="33"/>
        <v>-13</v>
      </c>
    </row>
    <row r="58" spans="1:43" x14ac:dyDescent="0.2">
      <c r="A58" s="78" t="s">
        <v>233</v>
      </c>
      <c r="B58" s="78">
        <v>0</v>
      </c>
      <c r="D58" s="107" t="s">
        <v>243</v>
      </c>
      <c r="F58" s="78">
        <v>5</v>
      </c>
      <c r="O58" s="661">
        <v>2</v>
      </c>
      <c r="P58" s="661" t="s">
        <v>552</v>
      </c>
      <c r="AN58" s="691">
        <f t="shared" si="36"/>
        <v>-14</v>
      </c>
      <c r="AO58" s="691">
        <f t="shared" si="31"/>
        <v>15</v>
      </c>
      <c r="AP58" s="691">
        <f>SUM($AO$4:AO58)</f>
        <v>980</v>
      </c>
      <c r="AQ58" s="691">
        <f t="shared" ref="AQ58:AQ84" si="37">AN58</f>
        <v>-14</v>
      </c>
    </row>
    <row r="59" spans="1:43" x14ac:dyDescent="0.2">
      <c r="A59" s="78" t="s">
        <v>252</v>
      </c>
      <c r="B59" s="78" t="s">
        <v>48</v>
      </c>
      <c r="D59" s="107" t="s">
        <v>255</v>
      </c>
      <c r="F59" s="78">
        <v>6</v>
      </c>
      <c r="O59" s="661">
        <v>5</v>
      </c>
      <c r="P59" s="661" t="s">
        <v>553</v>
      </c>
      <c r="AN59" s="691">
        <f t="shared" si="36"/>
        <v>-15</v>
      </c>
      <c r="AO59" s="691">
        <f t="shared" si="31"/>
        <v>16</v>
      </c>
      <c r="AP59" s="691">
        <f>SUM($AO$4:AO59)</f>
        <v>996</v>
      </c>
      <c r="AQ59" s="691">
        <f t="shared" si="37"/>
        <v>-15</v>
      </c>
    </row>
    <row r="60" spans="1:43" x14ac:dyDescent="0.2">
      <c r="D60" s="107" t="s">
        <v>256</v>
      </c>
      <c r="F60" s="78">
        <v>7</v>
      </c>
      <c r="O60" s="661">
        <v>7</v>
      </c>
      <c r="P60" s="661" t="s">
        <v>554</v>
      </c>
      <c r="AN60" s="691">
        <f t="shared" si="36"/>
        <v>-16</v>
      </c>
      <c r="AO60" s="691">
        <f t="shared" si="31"/>
        <v>17</v>
      </c>
      <c r="AP60" s="691">
        <f>SUM($AO$4:AO60)</f>
        <v>1013</v>
      </c>
      <c r="AQ60" s="691">
        <f t="shared" si="37"/>
        <v>-16</v>
      </c>
    </row>
    <row r="61" spans="1:43" x14ac:dyDescent="0.2">
      <c r="D61" s="107" t="s">
        <v>227</v>
      </c>
      <c r="F61" s="78">
        <v>8</v>
      </c>
      <c r="O61" s="661">
        <v>9</v>
      </c>
      <c r="P61" s="661" t="s">
        <v>555</v>
      </c>
      <c r="AN61" s="691">
        <f t="shared" si="36"/>
        <v>-17</v>
      </c>
      <c r="AO61" s="691">
        <f t="shared" si="31"/>
        <v>18</v>
      </c>
      <c r="AP61" s="691">
        <f>SUM($AO$4:AO61)</f>
        <v>1031</v>
      </c>
      <c r="AQ61" s="691">
        <f t="shared" si="37"/>
        <v>-17</v>
      </c>
    </row>
    <row r="62" spans="1:43" x14ac:dyDescent="0.2">
      <c r="A62" s="106" t="s">
        <v>251</v>
      </c>
      <c r="D62" s="107" t="s">
        <v>247</v>
      </c>
      <c r="F62" s="78">
        <v>9</v>
      </c>
      <c r="O62" s="661">
        <v>10</v>
      </c>
      <c r="P62" s="661" t="s">
        <v>556</v>
      </c>
      <c r="AN62" s="691">
        <f t="shared" si="36"/>
        <v>-18</v>
      </c>
      <c r="AO62" s="691">
        <f t="shared" si="31"/>
        <v>19</v>
      </c>
      <c r="AP62" s="691">
        <f>SUM($AO$4:AO62)</f>
        <v>1050</v>
      </c>
      <c r="AQ62" s="691">
        <f t="shared" si="37"/>
        <v>-18</v>
      </c>
    </row>
    <row r="63" spans="1:43" x14ac:dyDescent="0.2">
      <c r="A63" s="78" t="s">
        <v>249</v>
      </c>
      <c r="D63" s="107" t="s">
        <v>254</v>
      </c>
      <c r="F63" s="78">
        <v>10</v>
      </c>
      <c r="O63" s="661">
        <v>1000</v>
      </c>
      <c r="P63" s="661" t="s">
        <v>556</v>
      </c>
      <c r="AN63" s="691">
        <f t="shared" si="36"/>
        <v>-19</v>
      </c>
      <c r="AO63" s="691">
        <f t="shared" si="31"/>
        <v>20</v>
      </c>
      <c r="AP63" s="691">
        <f>SUM($AO$4:AO63)</f>
        <v>1070</v>
      </c>
      <c r="AQ63" s="691">
        <f t="shared" si="37"/>
        <v>-19</v>
      </c>
    </row>
    <row r="64" spans="1:43" x14ac:dyDescent="0.2">
      <c r="A64" s="108" t="s">
        <v>248</v>
      </c>
      <c r="D64" s="107" t="s">
        <v>244</v>
      </c>
      <c r="AN64" s="691">
        <f t="shared" si="36"/>
        <v>-20</v>
      </c>
      <c r="AO64" s="691">
        <f t="shared" si="31"/>
        <v>21</v>
      </c>
      <c r="AP64" s="691">
        <f>SUM($AO$4:AO64)</f>
        <v>1091</v>
      </c>
      <c r="AQ64" s="691">
        <f t="shared" si="37"/>
        <v>-20</v>
      </c>
    </row>
    <row r="65" spans="1:43" x14ac:dyDescent="0.2">
      <c r="A65" s="108" t="s">
        <v>48</v>
      </c>
      <c r="D65" s="108" t="s">
        <v>245</v>
      </c>
      <c r="AN65" s="691">
        <f t="shared" si="36"/>
        <v>-21</v>
      </c>
      <c r="AO65" s="691">
        <f t="shared" ref="AO65:AO84" si="38">ABS(AN65)+1</f>
        <v>22</v>
      </c>
      <c r="AP65" s="691">
        <f>SUM($AO$4:AO65)</f>
        <v>1113</v>
      </c>
      <c r="AQ65" s="691">
        <f t="shared" si="37"/>
        <v>-21</v>
      </c>
    </row>
    <row r="66" spans="1:43" x14ac:dyDescent="0.2">
      <c r="AN66" s="691">
        <f t="shared" si="36"/>
        <v>-22</v>
      </c>
      <c r="AO66" s="691">
        <f t="shared" si="38"/>
        <v>23</v>
      </c>
      <c r="AP66" s="691">
        <f>SUM($AO$4:AO66)</f>
        <v>1136</v>
      </c>
      <c r="AQ66" s="691">
        <f t="shared" si="37"/>
        <v>-22</v>
      </c>
    </row>
    <row r="67" spans="1:43" x14ac:dyDescent="0.2">
      <c r="A67" s="102" t="s">
        <v>226</v>
      </c>
      <c r="AN67" s="691">
        <f t="shared" si="36"/>
        <v>-23</v>
      </c>
      <c r="AO67" s="691">
        <f t="shared" si="38"/>
        <v>24</v>
      </c>
      <c r="AP67" s="691">
        <f>SUM($AO$4:AO67)</f>
        <v>1160</v>
      </c>
      <c r="AQ67" s="691">
        <f t="shared" si="37"/>
        <v>-23</v>
      </c>
    </row>
    <row r="68" spans="1:43" x14ac:dyDescent="0.2">
      <c r="A68" s="232" t="s">
        <v>146</v>
      </c>
      <c r="AN68" s="691">
        <f t="shared" si="36"/>
        <v>-24</v>
      </c>
      <c r="AO68" s="691">
        <f t="shared" si="38"/>
        <v>25</v>
      </c>
      <c r="AP68" s="691">
        <f>SUM($AO$4:AO68)</f>
        <v>1185</v>
      </c>
      <c r="AQ68" s="691">
        <f t="shared" si="37"/>
        <v>-24</v>
      </c>
    </row>
    <row r="69" spans="1:43" x14ac:dyDescent="0.2">
      <c r="A69" s="233" t="s">
        <v>145</v>
      </c>
      <c r="D69" s="102" t="s">
        <v>378</v>
      </c>
      <c r="G69" s="250"/>
      <c r="AN69" s="691">
        <f t="shared" si="36"/>
        <v>-25</v>
      </c>
      <c r="AO69" s="691">
        <f t="shared" si="38"/>
        <v>26</v>
      </c>
      <c r="AP69" s="691">
        <f>SUM($AO$4:AO69)</f>
        <v>1211</v>
      </c>
      <c r="AQ69" s="691">
        <f t="shared" si="37"/>
        <v>-25</v>
      </c>
    </row>
    <row r="70" spans="1:43" x14ac:dyDescent="0.2">
      <c r="A70" s="233" t="s">
        <v>144</v>
      </c>
      <c r="D70" s="401" t="s">
        <v>379</v>
      </c>
      <c r="G70" s="30"/>
      <c r="AN70" s="691">
        <f t="shared" si="36"/>
        <v>-26</v>
      </c>
      <c r="AO70" s="691">
        <f t="shared" si="38"/>
        <v>27</v>
      </c>
      <c r="AP70" s="691">
        <f>SUM($AO$4:AO70)</f>
        <v>1238</v>
      </c>
      <c r="AQ70" s="691">
        <f t="shared" si="37"/>
        <v>-26</v>
      </c>
    </row>
    <row r="71" spans="1:43" x14ac:dyDescent="0.2">
      <c r="A71" s="234" t="s">
        <v>225</v>
      </c>
      <c r="D71" s="401" t="s">
        <v>380</v>
      </c>
      <c r="G71" s="30"/>
      <c r="AN71" s="691">
        <f t="shared" si="36"/>
        <v>-27</v>
      </c>
      <c r="AO71" s="691">
        <f t="shared" si="38"/>
        <v>28</v>
      </c>
      <c r="AP71" s="691">
        <f>SUM($AO$4:AO71)</f>
        <v>1266</v>
      </c>
      <c r="AQ71" s="691">
        <f t="shared" si="37"/>
        <v>-27</v>
      </c>
    </row>
    <row r="72" spans="1:43" x14ac:dyDescent="0.2">
      <c r="D72" s="401" t="s">
        <v>381</v>
      </c>
      <c r="G72" s="30"/>
      <c r="AN72" s="691">
        <f t="shared" si="36"/>
        <v>-28</v>
      </c>
      <c r="AO72" s="691">
        <f t="shared" si="38"/>
        <v>29</v>
      </c>
      <c r="AP72" s="691">
        <f>SUM($AO$4:AO72)</f>
        <v>1295</v>
      </c>
      <c r="AQ72" s="691">
        <f t="shared" si="37"/>
        <v>-28</v>
      </c>
    </row>
    <row r="73" spans="1:43" x14ac:dyDescent="0.2">
      <c r="A73" s="231" t="s">
        <v>286</v>
      </c>
      <c r="AN73" s="691">
        <f t="shared" si="36"/>
        <v>-29</v>
      </c>
      <c r="AO73" s="691">
        <f t="shared" si="38"/>
        <v>30</v>
      </c>
      <c r="AP73" s="691">
        <f>SUM($AO$4:AO73)</f>
        <v>1325</v>
      </c>
      <c r="AQ73" s="691">
        <f t="shared" si="37"/>
        <v>-29</v>
      </c>
    </row>
    <row r="74" spans="1:43" x14ac:dyDescent="0.2">
      <c r="A74" s="212" t="s">
        <v>287</v>
      </c>
      <c r="AN74" s="691">
        <f t="shared" si="36"/>
        <v>-30</v>
      </c>
      <c r="AO74" s="691">
        <f t="shared" si="38"/>
        <v>31</v>
      </c>
      <c r="AP74" s="691">
        <f>SUM($AO$4:AO74)</f>
        <v>1356</v>
      </c>
      <c r="AQ74" s="691">
        <f t="shared" si="37"/>
        <v>-30</v>
      </c>
    </row>
    <row r="75" spans="1:43" x14ac:dyDescent="0.2">
      <c r="A75" s="212" t="s">
        <v>250</v>
      </c>
      <c r="AN75" s="691">
        <f t="shared" si="36"/>
        <v>-31</v>
      </c>
      <c r="AO75" s="691">
        <f t="shared" si="38"/>
        <v>32</v>
      </c>
      <c r="AP75" s="691">
        <f>SUM($AO$4:AO75)</f>
        <v>1388</v>
      </c>
      <c r="AQ75" s="691">
        <f t="shared" si="37"/>
        <v>-31</v>
      </c>
    </row>
    <row r="76" spans="1:43" x14ac:dyDescent="0.2">
      <c r="A76" s="212" t="s">
        <v>234</v>
      </c>
      <c r="AN76" s="691">
        <f t="shared" si="36"/>
        <v>-32</v>
      </c>
      <c r="AO76" s="691">
        <f t="shared" si="38"/>
        <v>33</v>
      </c>
      <c r="AP76" s="691">
        <f>SUM($AO$4:AO76)</f>
        <v>1421</v>
      </c>
      <c r="AQ76" s="691">
        <f t="shared" si="37"/>
        <v>-32</v>
      </c>
    </row>
    <row r="77" spans="1:43" x14ac:dyDescent="0.2">
      <c r="A77" s="212" t="s">
        <v>239</v>
      </c>
      <c r="AN77" s="691">
        <f t="shared" si="36"/>
        <v>-33</v>
      </c>
      <c r="AO77" s="691">
        <f t="shared" si="38"/>
        <v>34</v>
      </c>
      <c r="AP77" s="691">
        <f>SUM($AO$4:AO77)</f>
        <v>1455</v>
      </c>
      <c r="AQ77" s="691">
        <f t="shared" si="37"/>
        <v>-33</v>
      </c>
    </row>
    <row r="78" spans="1:43" x14ac:dyDescent="0.2">
      <c r="AN78" s="691">
        <f t="shared" si="36"/>
        <v>-34</v>
      </c>
      <c r="AO78" s="691">
        <f t="shared" si="38"/>
        <v>35</v>
      </c>
      <c r="AP78" s="691">
        <f>SUM($AO$4:AO78)</f>
        <v>1490</v>
      </c>
      <c r="AQ78" s="691">
        <f t="shared" si="37"/>
        <v>-34</v>
      </c>
    </row>
    <row r="79" spans="1:43" x14ac:dyDescent="0.2">
      <c r="AN79" s="691">
        <f t="shared" si="36"/>
        <v>-35</v>
      </c>
      <c r="AO79" s="691">
        <f t="shared" si="38"/>
        <v>36</v>
      </c>
      <c r="AP79" s="691">
        <f>SUM($AO$4:AO79)</f>
        <v>1526</v>
      </c>
      <c r="AQ79" s="691">
        <f t="shared" si="37"/>
        <v>-35</v>
      </c>
    </row>
    <row r="80" spans="1:43" x14ac:dyDescent="0.2">
      <c r="AN80" s="691">
        <f t="shared" si="36"/>
        <v>-36</v>
      </c>
      <c r="AO80" s="691">
        <f t="shared" si="38"/>
        <v>37</v>
      </c>
      <c r="AP80" s="691">
        <f>SUM($AO$4:AO80)</f>
        <v>1563</v>
      </c>
      <c r="AQ80" s="691">
        <f t="shared" si="37"/>
        <v>-36</v>
      </c>
    </row>
    <row r="81" spans="1:43" x14ac:dyDescent="0.2">
      <c r="A81" s="212" t="s">
        <v>304</v>
      </c>
      <c r="B81" s="212"/>
      <c r="C81" s="212"/>
      <c r="D81" s="212"/>
      <c r="E81" s="212"/>
      <c r="F81" s="212"/>
      <c r="O81" s="10"/>
      <c r="P81" s="10"/>
      <c r="Q81" s="3"/>
      <c r="AN81" s="691">
        <f t="shared" si="36"/>
        <v>-37</v>
      </c>
      <c r="AO81" s="691">
        <f t="shared" si="38"/>
        <v>38</v>
      </c>
      <c r="AP81" s="691">
        <f>SUM($AO$4:AO81)</f>
        <v>1601</v>
      </c>
      <c r="AQ81" s="691">
        <f t="shared" si="37"/>
        <v>-37</v>
      </c>
    </row>
    <row r="82" spans="1:43" x14ac:dyDescent="0.2">
      <c r="A82" s="212">
        <v>-1000</v>
      </c>
      <c r="B82" s="212" t="s">
        <v>307</v>
      </c>
      <c r="C82" s="212"/>
      <c r="D82" s="212"/>
      <c r="E82" s="212">
        <v>-1</v>
      </c>
      <c r="F82" s="212" t="s">
        <v>113</v>
      </c>
      <c r="AN82" s="691">
        <f t="shared" si="36"/>
        <v>-38</v>
      </c>
      <c r="AO82" s="691">
        <f t="shared" si="38"/>
        <v>39</v>
      </c>
      <c r="AP82" s="691">
        <f>SUM($AO$4:AO82)</f>
        <v>1640</v>
      </c>
      <c r="AQ82" s="691">
        <f t="shared" si="37"/>
        <v>-38</v>
      </c>
    </row>
    <row r="83" spans="1:43" x14ac:dyDescent="0.2">
      <c r="A83" s="212">
        <v>1</v>
      </c>
      <c r="B83" s="212" t="s">
        <v>307</v>
      </c>
      <c r="C83" s="212"/>
      <c r="D83" s="212"/>
      <c r="E83" s="212">
        <v>-1</v>
      </c>
      <c r="F83" s="212" t="s">
        <v>113</v>
      </c>
      <c r="AN83" s="691">
        <f t="shared" si="36"/>
        <v>-39</v>
      </c>
      <c r="AO83" s="691">
        <f t="shared" si="38"/>
        <v>40</v>
      </c>
      <c r="AP83" s="691">
        <f>SUM($AO$4:AO83)</f>
        <v>1680</v>
      </c>
      <c r="AQ83" s="691">
        <f t="shared" si="37"/>
        <v>-39</v>
      </c>
    </row>
    <row r="84" spans="1:43" x14ac:dyDescent="0.2">
      <c r="A84" s="212">
        <v>2</v>
      </c>
      <c r="B84" s="212" t="s">
        <v>307</v>
      </c>
      <c r="C84" s="212"/>
      <c r="D84" s="212"/>
      <c r="E84" s="212">
        <v>-1</v>
      </c>
      <c r="F84" s="212" t="s">
        <v>113</v>
      </c>
      <c r="AN84" s="691">
        <f t="shared" si="36"/>
        <v>-40</v>
      </c>
      <c r="AO84" s="691">
        <f t="shared" si="38"/>
        <v>41</v>
      </c>
      <c r="AP84" s="691">
        <f>SUM($AO$4:AO84)</f>
        <v>1721</v>
      </c>
      <c r="AQ84" s="691">
        <f t="shared" si="37"/>
        <v>-40</v>
      </c>
    </row>
    <row r="85" spans="1:43" x14ac:dyDescent="0.2">
      <c r="A85" s="212">
        <v>3</v>
      </c>
      <c r="B85" s="212" t="s">
        <v>306</v>
      </c>
      <c r="C85" s="212"/>
      <c r="D85" s="212"/>
      <c r="E85" s="212"/>
      <c r="F85" s="212"/>
    </row>
    <row r="86" spans="1:43" x14ac:dyDescent="0.2">
      <c r="A86" s="212">
        <v>4</v>
      </c>
      <c r="B86" s="212" t="s">
        <v>306</v>
      </c>
      <c r="C86" s="212"/>
      <c r="D86" s="212"/>
      <c r="E86" s="212"/>
      <c r="F86" s="212"/>
      <c r="AN86" s="30"/>
      <c r="AO86" s="30"/>
      <c r="AP86" s="30"/>
      <c r="AQ86" s="30"/>
    </row>
    <row r="87" spans="1:43" x14ac:dyDescent="0.2">
      <c r="A87" s="212">
        <v>5</v>
      </c>
      <c r="B87" s="212" t="s">
        <v>306</v>
      </c>
      <c r="C87" s="212"/>
      <c r="D87" s="212"/>
      <c r="E87" s="212"/>
      <c r="F87" s="212"/>
      <c r="AN87" s="30"/>
      <c r="AO87" s="30"/>
      <c r="AP87" s="30"/>
      <c r="AQ87" s="30"/>
    </row>
    <row r="88" spans="1:43" x14ac:dyDescent="0.2">
      <c r="A88" s="212">
        <v>6</v>
      </c>
      <c r="B88" s="212" t="s">
        <v>306</v>
      </c>
      <c r="C88" s="212"/>
      <c r="D88" s="212"/>
      <c r="E88" s="212"/>
      <c r="F88" s="212"/>
    </row>
    <row r="89" spans="1:43" x14ac:dyDescent="0.2">
      <c r="A89" s="212">
        <v>7</v>
      </c>
      <c r="B89" s="212" t="s">
        <v>306</v>
      </c>
      <c r="C89" s="212"/>
      <c r="D89" s="212"/>
      <c r="E89" s="212"/>
      <c r="F89" s="212"/>
    </row>
    <row r="90" spans="1:43" x14ac:dyDescent="0.2">
      <c r="A90" s="212">
        <v>8</v>
      </c>
      <c r="B90" s="212" t="s">
        <v>306</v>
      </c>
      <c r="C90" s="212"/>
      <c r="D90" s="212"/>
      <c r="E90" s="212"/>
      <c r="F90" s="212"/>
    </row>
    <row r="91" spans="1:43" x14ac:dyDescent="0.2">
      <c r="A91" s="212">
        <v>9</v>
      </c>
      <c r="B91" s="212" t="s">
        <v>306</v>
      </c>
      <c r="C91" s="212"/>
      <c r="D91" s="212"/>
      <c r="E91" s="212"/>
      <c r="F91" s="212"/>
    </row>
    <row r="92" spans="1:43" x14ac:dyDescent="0.2">
      <c r="A92" s="212">
        <v>10</v>
      </c>
      <c r="B92" s="212" t="s">
        <v>308</v>
      </c>
      <c r="C92" s="212"/>
      <c r="D92" s="212"/>
      <c r="E92" s="212"/>
      <c r="F92" s="212"/>
    </row>
    <row r="93" spans="1:43" x14ac:dyDescent="0.2">
      <c r="A93" s="212">
        <v>11</v>
      </c>
      <c r="B93" s="212" t="s">
        <v>308</v>
      </c>
      <c r="C93" s="212"/>
      <c r="D93" s="212"/>
      <c r="E93" s="212"/>
      <c r="F93" s="212"/>
    </row>
    <row r="94" spans="1:43" x14ac:dyDescent="0.2">
      <c r="A94" s="212">
        <v>12</v>
      </c>
      <c r="B94" s="212" t="s">
        <v>308</v>
      </c>
      <c r="C94" s="212"/>
      <c r="D94" s="212"/>
      <c r="E94" s="212"/>
      <c r="F94" s="212"/>
    </row>
    <row r="95" spans="1:43" x14ac:dyDescent="0.2">
      <c r="A95" s="212">
        <v>13</v>
      </c>
      <c r="B95" s="212" t="s">
        <v>309</v>
      </c>
      <c r="C95" s="212"/>
      <c r="D95" s="212"/>
      <c r="E95" s="212"/>
      <c r="F95" s="212"/>
    </row>
    <row r="96" spans="1:43" x14ac:dyDescent="0.2">
      <c r="A96" s="212">
        <v>14</v>
      </c>
      <c r="B96" s="212" t="s">
        <v>311</v>
      </c>
      <c r="C96" s="212"/>
      <c r="D96" s="212"/>
      <c r="E96" s="212"/>
      <c r="F96" s="212"/>
    </row>
    <row r="97" spans="1:13" x14ac:dyDescent="0.2">
      <c r="A97" s="212">
        <v>15</v>
      </c>
      <c r="B97" s="212" t="s">
        <v>312</v>
      </c>
      <c r="C97" s="212"/>
      <c r="D97" s="212"/>
      <c r="E97" s="212"/>
      <c r="F97" s="212"/>
    </row>
    <row r="98" spans="1:13" x14ac:dyDescent="0.2">
      <c r="A98" s="212">
        <v>16</v>
      </c>
      <c r="B98" s="212" t="s">
        <v>313</v>
      </c>
      <c r="C98" s="212"/>
      <c r="D98" s="212"/>
      <c r="E98" s="212"/>
      <c r="F98" s="212"/>
    </row>
    <row r="99" spans="1:13" x14ac:dyDescent="0.2">
      <c r="A99" s="212">
        <v>17</v>
      </c>
      <c r="B99" s="212" t="s">
        <v>314</v>
      </c>
      <c r="C99" s="212"/>
      <c r="D99" s="212"/>
      <c r="E99" s="212"/>
      <c r="F99" s="212"/>
    </row>
    <row r="100" spans="1:13" x14ac:dyDescent="0.2">
      <c r="A100" s="212">
        <v>18</v>
      </c>
      <c r="B100" s="212" t="s">
        <v>315</v>
      </c>
      <c r="C100" s="212"/>
      <c r="D100" s="212"/>
      <c r="E100" s="212"/>
      <c r="F100" s="212"/>
    </row>
    <row r="101" spans="1:13" x14ac:dyDescent="0.2">
      <c r="A101" s="212">
        <v>19</v>
      </c>
      <c r="B101" s="212" t="s">
        <v>316</v>
      </c>
      <c r="C101" s="212"/>
      <c r="D101" s="212"/>
      <c r="E101" s="212"/>
      <c r="F101" s="212"/>
    </row>
    <row r="102" spans="1:13" x14ac:dyDescent="0.2">
      <c r="A102" s="212">
        <v>20</v>
      </c>
      <c r="B102" s="212" t="s">
        <v>317</v>
      </c>
      <c r="C102" s="212"/>
      <c r="D102" s="212"/>
      <c r="E102" s="212"/>
      <c r="F102" s="212"/>
    </row>
    <row r="103" spans="1:13" x14ac:dyDescent="0.2">
      <c r="A103" s="212">
        <v>21</v>
      </c>
      <c r="B103" s="212" t="s">
        <v>318</v>
      </c>
      <c r="C103" s="212"/>
      <c r="D103" s="212"/>
      <c r="E103" s="212"/>
      <c r="F103" s="212"/>
    </row>
    <row r="104" spans="1:13" x14ac:dyDescent="0.2">
      <c r="A104" s="212">
        <v>22</v>
      </c>
      <c r="B104" s="212" t="s">
        <v>309</v>
      </c>
      <c r="C104" s="212"/>
      <c r="D104" s="212"/>
      <c r="E104" s="212"/>
      <c r="F104" s="212"/>
    </row>
    <row r="105" spans="1:13" x14ac:dyDescent="0.2">
      <c r="A105" s="212">
        <v>23</v>
      </c>
      <c r="B105" s="212" t="s">
        <v>309</v>
      </c>
      <c r="C105" s="212"/>
      <c r="D105" s="212"/>
      <c r="E105" s="212"/>
      <c r="F105" s="212"/>
    </row>
    <row r="106" spans="1:13" x14ac:dyDescent="0.2">
      <c r="A106" s="212">
        <v>1000</v>
      </c>
      <c r="B106" s="212" t="s">
        <v>309</v>
      </c>
      <c r="C106" s="212"/>
      <c r="D106" s="212"/>
      <c r="E106" s="212"/>
      <c r="F106" s="212"/>
      <c r="I106" s="30"/>
      <c r="J106" s="30"/>
      <c r="K106" s="30"/>
      <c r="L106" s="30"/>
      <c r="M106" s="30"/>
    </row>
    <row r="107" spans="1:13" x14ac:dyDescent="0.2">
      <c r="I107" s="101"/>
    </row>
    <row r="108" spans="1:13" x14ac:dyDescent="0.2">
      <c r="I108" s="101"/>
    </row>
    <row r="109" spans="1:13" x14ac:dyDescent="0.2">
      <c r="A109" s="871" t="s">
        <v>438</v>
      </c>
      <c r="B109" s="867"/>
      <c r="C109" s="766"/>
      <c r="E109" s="274" t="s">
        <v>358</v>
      </c>
      <c r="F109" s="275"/>
    </row>
    <row r="110" spans="1:13" x14ac:dyDescent="0.2">
      <c r="A110" s="78">
        <v>-1000</v>
      </c>
      <c r="B110" s="78" t="s">
        <v>439</v>
      </c>
      <c r="C110" s="78" t="s">
        <v>453</v>
      </c>
      <c r="E110" s="108" t="s">
        <v>350</v>
      </c>
      <c r="F110" s="273" t="s">
        <v>100</v>
      </c>
    </row>
    <row r="111" spans="1:13" x14ac:dyDescent="0.2">
      <c r="A111" s="78">
        <v>0</v>
      </c>
      <c r="B111" s="78" t="s">
        <v>439</v>
      </c>
      <c r="C111" s="78" t="s">
        <v>453</v>
      </c>
      <c r="E111" s="212" t="s">
        <v>351</v>
      </c>
      <c r="F111" s="259" t="s">
        <v>13</v>
      </c>
    </row>
    <row r="112" spans="1:13" x14ac:dyDescent="0.2">
      <c r="A112" s="78">
        <v>1</v>
      </c>
      <c r="B112" s="78" t="s">
        <v>440</v>
      </c>
      <c r="C112" s="78" t="s">
        <v>453</v>
      </c>
      <c r="E112" s="212" t="s">
        <v>352</v>
      </c>
      <c r="F112" s="259" t="s">
        <v>101</v>
      </c>
    </row>
    <row r="113" spans="1:6" x14ac:dyDescent="0.2">
      <c r="A113" s="78">
        <v>2</v>
      </c>
      <c r="B113" s="78" t="s">
        <v>441</v>
      </c>
      <c r="C113" s="78" t="s">
        <v>453</v>
      </c>
      <c r="E113" s="212" t="s">
        <v>353</v>
      </c>
      <c r="F113" s="272" t="s">
        <v>102</v>
      </c>
    </row>
    <row r="114" spans="1:6" x14ac:dyDescent="0.2">
      <c r="A114" s="78">
        <v>3</v>
      </c>
      <c r="B114" s="78" t="s">
        <v>442</v>
      </c>
      <c r="C114" s="78" t="s">
        <v>453</v>
      </c>
      <c r="E114" s="212" t="s">
        <v>354</v>
      </c>
      <c r="F114" s="272" t="s">
        <v>6</v>
      </c>
    </row>
    <row r="115" spans="1:6" x14ac:dyDescent="0.2">
      <c r="A115" s="78">
        <v>4</v>
      </c>
      <c r="B115" s="78" t="s">
        <v>443</v>
      </c>
      <c r="C115" s="78" t="s">
        <v>453</v>
      </c>
      <c r="E115" s="212" t="s">
        <v>355</v>
      </c>
      <c r="F115" s="259" t="s">
        <v>8</v>
      </c>
    </row>
    <row r="116" spans="1:6" x14ac:dyDescent="0.2">
      <c r="A116" s="78">
        <v>5</v>
      </c>
      <c r="B116" s="78" t="s">
        <v>444</v>
      </c>
      <c r="C116" s="78" t="s">
        <v>453</v>
      </c>
      <c r="E116" s="212" t="s">
        <v>356</v>
      </c>
      <c r="F116" s="259" t="s">
        <v>7</v>
      </c>
    </row>
    <row r="117" spans="1:6" x14ac:dyDescent="0.2">
      <c r="A117" s="78">
        <v>6</v>
      </c>
      <c r="B117" s="78" t="s">
        <v>450</v>
      </c>
      <c r="C117" s="78" t="s">
        <v>453</v>
      </c>
      <c r="E117" s="212" t="s">
        <v>357</v>
      </c>
      <c r="F117" s="259" t="s">
        <v>103</v>
      </c>
    </row>
    <row r="118" spans="1:6" x14ac:dyDescent="0.2">
      <c r="A118" s="78">
        <v>7</v>
      </c>
      <c r="B118" s="78" t="s">
        <v>449</v>
      </c>
      <c r="C118" s="78" t="s">
        <v>453</v>
      </c>
    </row>
    <row r="119" spans="1:6" x14ac:dyDescent="0.2">
      <c r="A119" s="78">
        <v>8</v>
      </c>
      <c r="B119" s="78" t="s">
        <v>445</v>
      </c>
      <c r="C119" s="78" t="s">
        <v>453</v>
      </c>
    </row>
    <row r="120" spans="1:6" x14ac:dyDescent="0.2">
      <c r="A120" s="78">
        <v>9</v>
      </c>
      <c r="B120" s="78" t="s">
        <v>446</v>
      </c>
      <c r="C120" s="78" t="s">
        <v>452</v>
      </c>
    </row>
    <row r="121" spans="1:6" x14ac:dyDescent="0.2">
      <c r="A121" s="78">
        <v>10</v>
      </c>
      <c r="B121" s="78" t="s">
        <v>447</v>
      </c>
      <c r="C121" s="78" t="s">
        <v>453</v>
      </c>
    </row>
    <row r="122" spans="1:6" x14ac:dyDescent="0.2">
      <c r="A122" s="78">
        <v>1000</v>
      </c>
      <c r="B122" s="78" t="s">
        <v>447</v>
      </c>
      <c r="C122" s="78" t="s">
        <v>453</v>
      </c>
    </row>
    <row r="124" spans="1:6" x14ac:dyDescent="0.2">
      <c r="A124" s="427" t="s">
        <v>401</v>
      </c>
      <c r="C124" s="106" t="s">
        <v>258</v>
      </c>
      <c r="D124" s="106" t="s">
        <v>259</v>
      </c>
    </row>
    <row r="125" spans="1:6" x14ac:dyDescent="0.2">
      <c r="A125" s="428" t="s">
        <v>399</v>
      </c>
      <c r="C125" s="113" t="s">
        <v>149</v>
      </c>
      <c r="D125" s="114" t="s">
        <v>161</v>
      </c>
    </row>
    <row r="126" spans="1:6" x14ac:dyDescent="0.2">
      <c r="A126" s="428" t="s">
        <v>402</v>
      </c>
      <c r="C126" s="107" t="s">
        <v>150</v>
      </c>
      <c r="D126" s="115" t="s">
        <v>260</v>
      </c>
    </row>
    <row r="127" spans="1:6" x14ac:dyDescent="0.2">
      <c r="A127" s="428" t="s">
        <v>403</v>
      </c>
      <c r="C127" s="107" t="s">
        <v>151</v>
      </c>
      <c r="D127" s="115" t="s">
        <v>162</v>
      </c>
    </row>
    <row r="128" spans="1:6" x14ac:dyDescent="0.2">
      <c r="A128" s="428" t="s">
        <v>404</v>
      </c>
      <c r="C128" s="107" t="s">
        <v>152</v>
      </c>
      <c r="D128" s="115" t="s">
        <v>261</v>
      </c>
    </row>
    <row r="129" spans="1:4" x14ac:dyDescent="0.2">
      <c r="A129" s="428" t="s">
        <v>405</v>
      </c>
      <c r="C129" s="107" t="s">
        <v>153</v>
      </c>
      <c r="D129" s="115" t="s">
        <v>262</v>
      </c>
    </row>
    <row r="130" spans="1:4" x14ac:dyDescent="0.2">
      <c r="A130" s="428" t="s">
        <v>406</v>
      </c>
      <c r="C130" s="107" t="s">
        <v>154</v>
      </c>
      <c r="D130" s="115" t="s">
        <v>224</v>
      </c>
    </row>
    <row r="131" spans="1:4" x14ac:dyDescent="0.2">
      <c r="A131" s="428" t="s">
        <v>407</v>
      </c>
      <c r="C131" s="107" t="s">
        <v>159</v>
      </c>
      <c r="D131" s="115" t="s">
        <v>263</v>
      </c>
    </row>
    <row r="132" spans="1:4" x14ac:dyDescent="0.2">
      <c r="A132" s="428" t="s">
        <v>408</v>
      </c>
      <c r="C132" s="107" t="s">
        <v>160</v>
      </c>
      <c r="D132" s="115" t="s">
        <v>264</v>
      </c>
    </row>
    <row r="133" spans="1:4" x14ac:dyDescent="0.2">
      <c r="A133" s="428" t="s">
        <v>220</v>
      </c>
      <c r="C133" s="107" t="s">
        <v>155</v>
      </c>
      <c r="D133" s="115" t="s">
        <v>486</v>
      </c>
    </row>
    <row r="134" spans="1:4" x14ac:dyDescent="0.2">
      <c r="C134" s="107" t="s">
        <v>156</v>
      </c>
      <c r="D134" s="115" t="s">
        <v>265</v>
      </c>
    </row>
    <row r="135" spans="1:4" x14ac:dyDescent="0.2">
      <c r="C135" s="107" t="s">
        <v>157</v>
      </c>
      <c r="D135" s="115" t="s">
        <v>266</v>
      </c>
    </row>
    <row r="136" spans="1:4" x14ac:dyDescent="0.2">
      <c r="C136" s="107" t="s">
        <v>158</v>
      </c>
      <c r="D136" s="115" t="s">
        <v>236</v>
      </c>
    </row>
    <row r="137" spans="1:4" x14ac:dyDescent="0.2">
      <c r="C137" s="108"/>
      <c r="D137" s="116" t="str">
        <f>" "</f>
        <v xml:space="preserve"> </v>
      </c>
    </row>
    <row r="157" spans="5:5" x14ac:dyDescent="0.2">
      <c r="E157" s="118"/>
    </row>
  </sheetData>
  <sheetProtection selectLockedCells="1" selectUnlockedCells="1"/>
  <mergeCells count="12">
    <mergeCell ref="AI3:AL3"/>
    <mergeCell ref="A109:C109"/>
    <mergeCell ref="I1:Z1"/>
    <mergeCell ref="I3:L3"/>
    <mergeCell ref="O3:R3"/>
    <mergeCell ref="Y3:AB3"/>
    <mergeCell ref="E29:F29"/>
    <mergeCell ref="A21:B21"/>
    <mergeCell ref="A53:B53"/>
    <mergeCell ref="A29:C29"/>
    <mergeCell ref="AD3:AG3"/>
    <mergeCell ref="T3:W3"/>
  </mergeCells>
  <pageMargins left="0.78749999999999998" right="0.78749999999999998" top="1.0249999999999999" bottom="1.0249999999999999" header="0.78749999999999998" footer="0.78749999999999998"/>
  <pageSetup paperSize="9" scale="85" orientation="portrait" horizontalDpi="300" verticalDpi="300" r:id="rId1"/>
  <headerFooter alignWithMargins="0">
    <oddHeader>&amp;C&amp;A</oddHeader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13"/>
  <sheetViews>
    <sheetView tabSelected="1" workbookViewId="0">
      <selection activeCell="A48" sqref="A48"/>
    </sheetView>
  </sheetViews>
  <sheetFormatPr defaultRowHeight="12.75" x14ac:dyDescent="0.2"/>
  <cols>
    <col min="11" max="11" width="9.140625" customWidth="1"/>
    <col min="13" max="13" width="18.85546875" bestFit="1" customWidth="1"/>
    <col min="14" max="14" width="10.140625" bestFit="1" customWidth="1"/>
    <col min="15" max="15" width="13.7109375" customWidth="1"/>
    <col min="16" max="16" width="5" bestFit="1" customWidth="1"/>
    <col min="17" max="18" width="10.140625" bestFit="1" customWidth="1"/>
  </cols>
  <sheetData>
    <row r="1" spans="1:18" x14ac:dyDescent="0.2">
      <c r="A1" s="462" t="str">
        <f>CONCATENATE("[[!template id=character name=",CHAR(34),IF(ISBLANK(Character!B1)," ",Character!B1),CHAR(34)," house=",CHAR(34),IF(ISBLANK(Character!B3)," ",Character!B3),CHAR(34)," job=",CHAR(34),IF(ISBLANK(Character!B4)," ",Character!B4),CHAR(34)," rank=",CHAR(34),IF(ISBLANK(Character!B5)," ",Character!B5),CHAR(34)," appage=",IF(ISBLANK(Character!K5)," ",Character!K5)," born=",CONCATENATE('Start Character'!K6,"/",IF('Start Character'!K7&lt;10,"0",""),'Start Character'!K7,"/",IF('Start Character'!K8&lt;10,"0",""),'Start Character'!K8)," updated=",CONCATENATE(Character!O4,"/",IF(Character!O5&lt;10,"0",""),Character!O5,"/",IF(Character!O6&lt;10,"0",""),Character!O6)," covenant=",CHAR(34),IF(ISBLANK(Character!B6)," ",Character!B6),CHAR(34)," parens=",CHAR(34),IF(ISBLANK(Character!F3)," ",Character!F3),CHAR(34)," origin=",CHAR(34),IF(ISBLANK(Character!F4)," ",Character!F4),CHAR(34)," ethnicity=",CHAR(34),IF(ISBLANK(Character!F5)," ",Character!F5),CHAR(34)," religion=",CHAR(34),IF(ISBLANK(Character!F6)," ",Character!F6),CHAR(34)," age=",IF(ISBLANK(Character!K4)," ",Character!K4),IF(ISBLANK('Start Character'!B3)," ",CONCATENATE(" image=",CHAR(34),CHAR(34),CHAR(34)," [[!img ",'Start Character'!B3," size=",CHAR(34),"200x",CHAR(34)," alt=",CHAR(34),'Start Character'!B3,CHAR(34),"]] ",CHAR(34),CHAR(34),CHAR(34))),"]]")</f>
        <v>[[!template id=character name=" " house=" " job=" " rank=" " appage=-683 born=/0/0 updated=1216/10/13 covenant=" " parens=" " origin=" " ethnicity=" " religion=" " age=-683 ]]</v>
      </c>
    </row>
    <row r="2" spans="1:18" x14ac:dyDescent="0.2">
      <c r="A2" s="440" t="str">
        <f>CONCATENATE("## ",IF(ISBLANK(Character!B1)," ",Character!B1))</f>
        <v xml:space="preserve">##  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</row>
    <row r="3" spans="1:18" x14ac:dyDescent="0.2">
      <c r="A3" s="44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</row>
    <row r="4" spans="1:18" x14ac:dyDescent="0.2">
      <c r="A4" s="440" t="str">
        <f>CONCATENATE("----")</f>
        <v>----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</row>
    <row r="5" spans="1:18" x14ac:dyDescent="0.2">
      <c r="A5" s="440" t="str">
        <f>CONCATENATE("[[Main|",'Start Character'!B2,IF(NOT('Start Character'!F12="Ungifted"),CONCATENATE("]] / [[Magic|",'Start Character'!B2,"/Magic]] "),"]] "),IF(AND(NOT('Non-Human'!B2=Calcs!I29),NOT(ISBLANK('Spells or Powers'!A2))),CONCATENATE("/ [[Powers|",'Start Character'!B2,"/Powers]] / "),"/ "),"[[Skills|",'Start Character'!B2,"/Skills]] / [[Stats|",'Start Character'!B2,"/Stats]] ", "/ [[Additional Detail|",'Start Character'!B2,"/AdditionalDetail]]")</f>
        <v>[[Main|]] / [[Magic|/Magic]] / [[Skills|/Skills]] / [[Stats|/Stats]] / [[Additional Detail|/AdditionalDetail]]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</row>
    <row r="6" spans="1:18" x14ac:dyDescent="0.2">
      <c r="A6" s="440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</row>
    <row r="7" spans="1:18" x14ac:dyDescent="0.2">
      <c r="A7" s="440" t="str">
        <f>CONCATENATE("----")</f>
        <v>----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</row>
    <row r="8" spans="1:18" x14ac:dyDescent="0.2">
      <c r="A8" s="440" t="str">
        <f>CONCATENATE("[[Description|",'Start Character'!B2,"#Description]]"," | ","[[Personality|",'Start Character'!B2,"#Personality]]"," | ","[[Repuatations|",'Start Character'!B2,"#Reputations]]"," | ","[[Sigil|",'Start Character'!B2,"#Sigil]]"," | ","[[Notes|",'Start Character'!B2,"#Notes]]"," | ","[[Virtues|",'Start Character'!B2,"#Virtues]]"," | ","[[Flaws|",'Start Character'!B2,"#Flaws]]"," | ","[[Twilight Scars|",'Start Character'!B2,"#Twilight]]"," | ","[[Posessions|",'Start Character'!B2,"#Posessions]]")</f>
        <v>[[Description|#Description]] | [[Personality|#Personality]] | [[Repuatations|#Reputations]] | [[Sigil|#Sigil]] | [[Notes|#Notes]] | [[Virtues|#Virtues]] | [[Flaws|#Flaws]] | [[Twilight Scars|#Twilight]] | [[Posessions|#Posessions]]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</row>
    <row r="9" spans="1:18" x14ac:dyDescent="0.2">
      <c r="A9" s="440"/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</row>
    <row r="10" spans="1:18" x14ac:dyDescent="0.2">
      <c r="A10" s="440" t="str">
        <f>CONCATENATE("----")</f>
        <v>----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</row>
    <row r="11" spans="1:18" x14ac:dyDescent="0.2">
      <c r="A11" s="381" t="str">
        <f>CONCATENATE("[[!template id=divbox content=",CHAR(34),CHAR(34),CHAR(34))</f>
        <v>[[!template id=divbox content="""</v>
      </c>
      <c r="B11" s="70"/>
      <c r="C11" s="70"/>
      <c r="D11" s="70"/>
      <c r="E11" s="70"/>
      <c r="F11" s="70"/>
      <c r="G11" s="70"/>
      <c r="H11" s="70"/>
      <c r="I11" s="70"/>
      <c r="J11" s="70"/>
      <c r="K11" s="459"/>
      <c r="L11" s="70"/>
      <c r="O11" s="442"/>
      <c r="P11" s="442"/>
      <c r="Q11" s="441"/>
      <c r="R11" s="207"/>
    </row>
    <row r="12" spans="1:18" x14ac:dyDescent="0.2">
      <c r="A12" s="381" t="str">
        <f>CONCATENATE("&lt;a id=",CHAR(34),RIGHT(A13,LEN(A13)-4),CHAR(34)," /&gt;")</f>
        <v>&lt;a id="Description" /&gt;</v>
      </c>
      <c r="B12" s="70"/>
      <c r="C12" s="70"/>
      <c r="D12" s="70"/>
      <c r="E12" s="70"/>
      <c r="F12" s="70"/>
      <c r="G12" s="70"/>
      <c r="H12" s="70"/>
      <c r="I12" s="70"/>
      <c r="J12" s="70"/>
      <c r="K12" s="459"/>
      <c r="L12" s="70"/>
      <c r="O12" s="442"/>
      <c r="P12" s="442"/>
      <c r="Q12" s="441"/>
      <c r="R12" s="207"/>
    </row>
    <row r="13" spans="1:18" x14ac:dyDescent="0.2">
      <c r="A13" s="381" t="str">
        <f>CONCATENATE("### ",IF(ISBLANK(Character!M8)," ",Character!M8))</f>
        <v>### Description</v>
      </c>
      <c r="B13" s="70"/>
      <c r="C13" s="70"/>
      <c r="D13" s="70"/>
      <c r="E13" s="70"/>
      <c r="F13" s="70"/>
      <c r="G13" s="70"/>
      <c r="H13" s="70"/>
      <c r="I13" s="70"/>
      <c r="J13" s="70"/>
      <c r="K13" s="459"/>
      <c r="L13" s="70"/>
      <c r="O13" s="442"/>
      <c r="P13" s="442"/>
    </row>
    <row r="14" spans="1:18" x14ac:dyDescent="0.2">
      <c r="A14" s="381" t="str">
        <f>CONCATENATE(":--|:--")</f>
        <v>:--|:--</v>
      </c>
      <c r="B14" s="70"/>
      <c r="C14" s="70"/>
      <c r="D14" s="70"/>
      <c r="E14" s="70"/>
      <c r="F14" s="70"/>
      <c r="G14" s="70"/>
      <c r="H14" s="70"/>
      <c r="I14" s="70"/>
      <c r="J14" s="70"/>
      <c r="K14" s="459"/>
      <c r="L14" s="70"/>
      <c r="O14" s="442"/>
      <c r="P14" s="442"/>
    </row>
    <row r="15" spans="1:18" x14ac:dyDescent="0.2">
      <c r="A15" s="381" t="str">
        <f>IF((IF(ISBLANK(Character!M9),"|",Character!M9)=" "),"|",CONCATENATE(IF(ISBLANK(Character!M9)," ",Character!M9),"|",IF(ISBLANK(Character!N9)," ",Character!N9)))</f>
        <v xml:space="preserve">Gender| </v>
      </c>
      <c r="B15" s="70"/>
      <c r="C15" s="70"/>
      <c r="D15" s="70"/>
      <c r="E15" s="70"/>
      <c r="F15" s="70"/>
      <c r="G15" s="70"/>
      <c r="H15" s="70"/>
      <c r="I15" s="70"/>
      <c r="J15" s="70"/>
      <c r="K15" s="459"/>
      <c r="L15" s="70"/>
      <c r="O15" s="442"/>
      <c r="P15" s="442"/>
    </row>
    <row r="16" spans="1:18" x14ac:dyDescent="0.2">
      <c r="A16" s="381" t="str">
        <f>IF((IF(ISBLANK(Character!M10),"|",Character!M10)=" "),"|",CONCATENATE(IF(ISBLANK(Character!M10)," ",Character!M10),"|",IF(ISBLANK(Character!N10)," ",Character!N10)))</f>
        <v xml:space="preserve">Eyes| </v>
      </c>
      <c r="B16" s="70"/>
      <c r="C16" s="70"/>
      <c r="D16" s="70"/>
      <c r="E16" s="70"/>
      <c r="F16" s="70"/>
      <c r="G16" s="70"/>
      <c r="H16" s="70"/>
      <c r="I16" s="70"/>
      <c r="J16" s="70"/>
      <c r="K16" s="459"/>
      <c r="L16" s="70"/>
      <c r="O16" s="442"/>
      <c r="P16" s="442"/>
    </row>
    <row r="17" spans="1:16" x14ac:dyDescent="0.2">
      <c r="A17" s="381" t="str">
        <f>IF((IF(ISBLANK(Character!M11),"|",Character!M11)=" "),"|",CONCATENATE(IF(ISBLANK(Character!M11)," ",Character!M11),"|",IF(ISBLANK(Character!N11)," ",Character!N11)))</f>
        <v xml:space="preserve">Hair| </v>
      </c>
      <c r="B17" s="70"/>
      <c r="C17" s="70"/>
      <c r="D17" s="70"/>
      <c r="E17" s="70"/>
      <c r="F17" s="70"/>
      <c r="G17" s="70"/>
      <c r="H17" s="70"/>
      <c r="I17" s="70"/>
      <c r="J17" s="70"/>
      <c r="K17" s="459"/>
      <c r="L17" s="70"/>
      <c r="O17" s="442"/>
      <c r="P17" s="442"/>
    </row>
    <row r="18" spans="1:16" x14ac:dyDescent="0.2">
      <c r="A18" s="381" t="str">
        <f>IF((IF(ISBLANK(Character!M12),"|",Character!M12)=" "),"|",CONCATENATE(IF(ISBLANK(Character!M12)," ",Character!M12),"|",IF(ISBLANK(Character!N12)," ",Character!N12)))</f>
        <v xml:space="preserve">Height| </v>
      </c>
      <c r="B18" s="70"/>
      <c r="C18" s="70"/>
      <c r="D18" s="70"/>
      <c r="E18" s="70"/>
      <c r="F18" s="70"/>
      <c r="G18" s="70"/>
      <c r="H18" s="70"/>
      <c r="I18" s="70"/>
      <c r="J18" s="70"/>
      <c r="K18" s="459"/>
      <c r="L18" s="70"/>
      <c r="O18" s="442"/>
      <c r="P18" s="442"/>
    </row>
    <row r="19" spans="1:16" x14ac:dyDescent="0.2">
      <c r="A19" s="381" t="str">
        <f>IF((IF(ISBLANK(Character!M13),"|",Character!M13)=" "),"|",CONCATENATE(IF(ISBLANK(Character!M13)," ",Character!M13),"|",IF(ISBLANK(Character!N13)," ",Character!N13)))</f>
        <v xml:space="preserve">Build| </v>
      </c>
      <c r="B19" s="70"/>
      <c r="C19" s="70"/>
      <c r="D19" s="70"/>
      <c r="E19" s="70"/>
      <c r="F19" s="70"/>
      <c r="G19" s="70"/>
      <c r="H19" s="70"/>
      <c r="I19" s="70"/>
      <c r="J19" s="70"/>
      <c r="K19" s="459"/>
      <c r="L19" s="70"/>
      <c r="O19" s="442"/>
      <c r="P19" s="442"/>
    </row>
    <row r="20" spans="1:16" x14ac:dyDescent="0.2">
      <c r="A20" s="381" t="str">
        <f>IF((IF(ISBLANK(Character!M14),"|",Character!M14)=" "),"|",CONCATENATE(IF(ISBLANK(Character!M14)," ",Character!M14),"|",IF(ISBLANK(Character!N14)," ",Character!N14)))</f>
        <v xml:space="preserve">Handedness| </v>
      </c>
      <c r="B20" s="70"/>
      <c r="C20" s="70"/>
      <c r="D20" s="70"/>
      <c r="E20" s="70"/>
      <c r="F20" s="70"/>
      <c r="G20" s="70"/>
      <c r="H20" s="70"/>
      <c r="I20" s="70"/>
      <c r="J20" s="70"/>
      <c r="K20" s="459"/>
      <c r="L20" s="70"/>
      <c r="O20" s="442"/>
      <c r="P20" s="442"/>
    </row>
    <row r="21" spans="1:16" x14ac:dyDescent="0.2">
      <c r="A21" s="381" t="str">
        <f>IF((IF(ISBLANK(Character!M15),"|",Character!M15)=" "),"|",CONCATENATE(IF(ISBLANK(Character!M15)," ",Character!M15),"|",IF(ISBLANK(Character!N15)," ",Character!N15)))</f>
        <v>|</v>
      </c>
      <c r="B21" s="70"/>
      <c r="C21" s="70"/>
      <c r="D21" s="70"/>
      <c r="E21" s="70"/>
      <c r="F21" s="70"/>
      <c r="G21" s="70"/>
      <c r="H21" s="70"/>
      <c r="I21" s="70"/>
      <c r="J21" s="70"/>
      <c r="K21" s="459"/>
      <c r="L21" s="70"/>
      <c r="O21" s="442"/>
      <c r="P21" s="442"/>
    </row>
    <row r="22" spans="1:16" x14ac:dyDescent="0.2">
      <c r="A22" s="381" t="str">
        <f>IF((IF(ISBLANK(Character!M16),"|",Character!M16)=" "),"|",CONCATENATE(IF(ISBLANK(Character!M16)," ",Character!M16),"|",IF(ISBLANK(Character!N16)," ",Character!N16)))</f>
        <v>|</v>
      </c>
      <c r="B22" s="70"/>
      <c r="C22" s="70"/>
      <c r="D22" s="70"/>
      <c r="E22" s="70"/>
      <c r="F22" s="70"/>
      <c r="G22" s="70"/>
      <c r="H22" s="70"/>
      <c r="I22" s="70"/>
      <c r="J22" s="70"/>
      <c r="K22" s="459"/>
      <c r="L22" s="70"/>
      <c r="O22" s="442"/>
      <c r="P22" s="442"/>
    </row>
    <row r="23" spans="1:16" x14ac:dyDescent="0.2">
      <c r="A23" s="381" t="s">
        <v>482</v>
      </c>
      <c r="B23" s="70"/>
      <c r="C23" s="70"/>
      <c r="D23" s="70"/>
      <c r="E23" s="70"/>
      <c r="F23" s="70"/>
      <c r="G23" s="70"/>
      <c r="H23" s="70"/>
      <c r="I23" s="70"/>
      <c r="J23" s="70"/>
      <c r="K23" s="459"/>
      <c r="L23" s="70"/>
      <c r="O23" s="442"/>
      <c r="P23" s="442"/>
    </row>
    <row r="24" spans="1:16" x14ac:dyDescent="0.2">
      <c r="A24" s="381" t="str">
        <f>CONCATENATE(CHAR(34),CHAR(34),CHAR(34),"]]")</f>
        <v>"""]]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</row>
    <row r="25" spans="1:16" x14ac:dyDescent="0.2">
      <c r="A25" s="381" t="str">
        <f>CONCATENATE("[[!template id=divbox content=",CHAR(34),CHAR(34),CHAR(34))</f>
        <v>[[!template id=divbox content="""</v>
      </c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207"/>
    </row>
    <row r="26" spans="1:16" x14ac:dyDescent="0.2">
      <c r="A26" s="381" t="str">
        <f>CONCATENATE("&lt;a id=",CHAR(34),"Personality",CHAR(34)," /&gt;")</f>
        <v>&lt;a id="Personality" /&gt;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207"/>
    </row>
    <row r="27" spans="1:16" x14ac:dyDescent="0.2">
      <c r="A27" s="381" t="str">
        <f>CONCATENATE("### ",IF(ISBLANK(Character!I8)," ",Character!I8))</f>
        <v>### Personality Traits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</row>
    <row r="28" spans="1:16" x14ac:dyDescent="0.2">
      <c r="A28" s="381" t="str">
        <f>CONCATENATE(":--|:--|:--")</f>
        <v>:--|:--|:--</v>
      </c>
      <c r="B28" s="70"/>
      <c r="C28" s="70"/>
      <c r="D28" s="70"/>
      <c r="E28" s="70"/>
      <c r="F28" s="70" t="str">
        <f>IF(ISBLANK(Character!N8)," ",Character!N8)</f>
        <v xml:space="preserve"> </v>
      </c>
      <c r="H28" s="70"/>
      <c r="K28" s="70"/>
      <c r="L28" s="70"/>
    </row>
    <row r="29" spans="1:16" x14ac:dyDescent="0.2">
      <c r="A29" s="381" t="str">
        <f>IF((IF(ISBLANK(Character!I9),"|",Character!I9)=" "),"|",CONCATENATE(Character!I9,"|",Character!J9,"|",Character!K9))</f>
        <v>||</v>
      </c>
      <c r="B29" s="70"/>
      <c r="C29" s="70"/>
      <c r="D29" s="70"/>
      <c r="E29" s="70"/>
      <c r="F29" s="70"/>
      <c r="H29" s="70"/>
      <c r="K29" s="70"/>
      <c r="L29" s="70"/>
    </row>
    <row r="30" spans="1:16" x14ac:dyDescent="0.2">
      <c r="A30" s="381" t="str">
        <f>IF((IF(ISBLANK(Character!I10),"|",Character!I10)=" "),"|",CONCATENATE(Character!I10,"|",Character!J10,"|",Character!K10))</f>
        <v>||</v>
      </c>
      <c r="B30" s="70"/>
      <c r="C30" s="70"/>
      <c r="D30" s="70"/>
      <c r="E30" s="70"/>
      <c r="F30" s="70"/>
      <c r="H30" s="70"/>
      <c r="K30" s="70"/>
      <c r="L30" s="70"/>
    </row>
    <row r="31" spans="1:16" x14ac:dyDescent="0.2">
      <c r="A31" s="381" t="str">
        <f>IF((IF(ISBLANK(Character!I11),"|",Character!I11)=" "),"|",CONCATENATE(Character!I11,"|",Character!J11,"|",Character!K11))</f>
        <v>||</v>
      </c>
      <c r="B31" s="70"/>
      <c r="C31" s="70"/>
      <c r="D31" s="70"/>
      <c r="E31" s="70"/>
      <c r="F31" s="70"/>
      <c r="H31" s="70"/>
      <c r="K31" s="70"/>
      <c r="L31" s="70"/>
    </row>
    <row r="32" spans="1:16" x14ac:dyDescent="0.2">
      <c r="A32" s="381" t="str">
        <f>IF((IF(ISBLANK(Character!I12),"|",Character!I12)=" "),"|",CONCATENATE(Character!I12,"|",Character!J12,"|",Character!K12))</f>
        <v>||</v>
      </c>
      <c r="B32" s="70"/>
      <c r="C32" s="70"/>
      <c r="D32" s="70"/>
      <c r="E32" s="70"/>
      <c r="F32" s="70"/>
      <c r="H32" s="70"/>
      <c r="K32" s="70"/>
      <c r="L32" s="70"/>
    </row>
    <row r="33" spans="1:16" x14ac:dyDescent="0.2">
      <c r="A33" s="381" t="str">
        <f>IF((IF(ISBLANK(Character!I13),"|",Character!I13)=" "),"|",CONCATENATE(Character!I13,"|",Character!J13,"|",Character!K13))</f>
        <v>||</v>
      </c>
      <c r="B33" s="70"/>
      <c r="C33" s="70"/>
      <c r="D33" s="70"/>
      <c r="E33" s="70"/>
      <c r="F33" s="70"/>
      <c r="H33" s="70"/>
      <c r="K33" s="70"/>
      <c r="L33" s="70"/>
    </row>
    <row r="34" spans="1:16" x14ac:dyDescent="0.2">
      <c r="A34" s="381" t="str">
        <f>IF((IF(ISBLANK(Character!I14),"|",Character!I14)=" "),"|",CONCATENATE(Character!I14,"|",Character!J14,"|",Character!K14))</f>
        <v>||</v>
      </c>
      <c r="B34" s="70"/>
      <c r="C34" s="70"/>
      <c r="D34" s="70"/>
      <c r="E34" s="70"/>
      <c r="F34" s="70"/>
      <c r="H34" s="70"/>
      <c r="L34" s="70"/>
      <c r="O34" s="70"/>
      <c r="P34" s="70"/>
    </row>
    <row r="35" spans="1:16" x14ac:dyDescent="0.2">
      <c r="A35" s="381" t="str">
        <f>IF((IF(ISBLANK(Character!I15),"|",Character!I15)=" "),"|",CONCATENATE(Character!I15,"|",Character!J15,"|",Character!K15))</f>
        <v>||</v>
      </c>
      <c r="B35" s="70"/>
      <c r="C35" s="70"/>
      <c r="D35" s="70"/>
      <c r="E35" s="70"/>
      <c r="F35" s="70"/>
      <c r="H35" s="70"/>
      <c r="L35" s="70"/>
      <c r="O35" s="70"/>
      <c r="P35" s="70"/>
    </row>
    <row r="36" spans="1:16" x14ac:dyDescent="0.2">
      <c r="A36" s="381" t="str">
        <f>IF((IF(ISBLANK(Character!I16),"|",Character!I16)=" "),"|",CONCATENATE(Character!I16,"|",Character!J16,"|",Character!K16))</f>
        <v>||</v>
      </c>
      <c r="B36" s="70"/>
      <c r="C36" s="70"/>
      <c r="D36" s="70"/>
      <c r="E36" s="70"/>
      <c r="F36" s="70"/>
      <c r="H36" s="70"/>
      <c r="L36" s="70"/>
      <c r="O36" s="70"/>
      <c r="P36" s="70"/>
    </row>
    <row r="37" spans="1:16" x14ac:dyDescent="0.2">
      <c r="A37" s="381" t="s">
        <v>478</v>
      </c>
      <c r="B37" s="70"/>
      <c r="C37" s="70"/>
      <c r="D37" s="70"/>
      <c r="E37" s="70"/>
      <c r="F37" s="70"/>
      <c r="H37" s="70"/>
      <c r="L37" s="70"/>
      <c r="O37" s="70"/>
      <c r="P37" s="70"/>
    </row>
    <row r="38" spans="1:16" x14ac:dyDescent="0.2">
      <c r="A38" s="381" t="str">
        <f>CONCATENATE(CHAR(34),CHAR(34),CHAR(34),"]]")</f>
        <v>"""]]</v>
      </c>
      <c r="B38" s="70"/>
      <c r="C38" s="70"/>
      <c r="D38" s="70"/>
      <c r="E38" s="70"/>
      <c r="F38" s="70"/>
      <c r="H38" s="70"/>
      <c r="L38" s="70"/>
      <c r="O38" s="70"/>
      <c r="P38" s="70"/>
    </row>
    <row r="39" spans="1:16" x14ac:dyDescent="0.2">
      <c r="A39" s="381" t="str">
        <f>CONCATENATE("[[!template id=divbox content=",CHAR(34),CHAR(34),CHAR(34))</f>
        <v>[[!template id=divbox content="""</v>
      </c>
      <c r="B39" s="70"/>
      <c r="C39" s="70"/>
      <c r="D39" s="70"/>
      <c r="E39" s="70"/>
      <c r="F39" s="70"/>
      <c r="H39" s="70"/>
      <c r="L39" s="70"/>
      <c r="O39" s="70"/>
      <c r="P39" s="70"/>
    </row>
    <row r="40" spans="1:16" x14ac:dyDescent="0.2">
      <c r="A40" s="381" t="str">
        <f>CONCATENATE("&lt;a id=",CHAR(34),RIGHT(A41,LEN(A41)-4),CHAR(34)," /&gt;")</f>
        <v>&lt;a id="Reputations" /&gt;</v>
      </c>
      <c r="B40" s="70"/>
      <c r="C40" s="70"/>
      <c r="D40" s="70"/>
      <c r="E40" s="70"/>
      <c r="F40" s="70"/>
      <c r="H40" s="70"/>
      <c r="L40" s="70"/>
      <c r="O40" s="70"/>
      <c r="P40" s="70"/>
    </row>
    <row r="41" spans="1:16" x14ac:dyDescent="0.2">
      <c r="A41" s="381" t="str">
        <f>CONCATENATE("### ",IF(ISBLANK(Character!A18)," ",Character!A18))</f>
        <v>### Reputations</v>
      </c>
      <c r="B41" s="70"/>
      <c r="C41" s="70"/>
      <c r="D41" s="70"/>
      <c r="E41" s="70"/>
      <c r="F41" s="70"/>
      <c r="H41" s="70"/>
      <c r="L41" s="70"/>
      <c r="O41" s="70"/>
      <c r="P41" s="70"/>
    </row>
    <row r="42" spans="1:16" x14ac:dyDescent="0.2">
      <c r="A42" s="381" t="str">
        <f>CONCATENATE(":--|:--|:--")</f>
        <v>:--|:--|:--</v>
      </c>
      <c r="B42" s="70"/>
      <c r="C42" s="70"/>
      <c r="D42" s="70"/>
      <c r="E42" s="70"/>
      <c r="F42" s="70"/>
      <c r="H42" s="70"/>
      <c r="L42" s="70"/>
      <c r="O42" s="70"/>
      <c r="P42" s="70"/>
    </row>
    <row r="43" spans="1:16" x14ac:dyDescent="0.2">
      <c r="A43" s="381" t="str">
        <f>IF(Character!A19=" ","||",(CONCATENATE(IF(Character!A19=" "," ",Character!A19),"|",IF(Character!F19=" "," ",Character!F19),"|",IF(Character!G19=" "," ",Character!G19))))</f>
        <v>||</v>
      </c>
      <c r="B43" s="70"/>
      <c r="C43" s="70"/>
      <c r="D43" s="70"/>
      <c r="E43" s="70"/>
      <c r="F43" s="70"/>
      <c r="H43" s="70"/>
      <c r="L43" s="70"/>
      <c r="O43" s="70"/>
      <c r="P43" s="70"/>
    </row>
    <row r="44" spans="1:16" x14ac:dyDescent="0.2">
      <c r="A44" s="381" t="str">
        <f>IF(Character!A20=" ","||",(CONCATENATE(IF(Character!A20=" "," ",Character!A20),"|",IF(Character!F20=" "," ",Character!F20),"|",IF(Character!G20=" "," ",Character!G20))))</f>
        <v>||</v>
      </c>
      <c r="B44" s="70"/>
      <c r="C44" s="70"/>
      <c r="D44" s="70"/>
      <c r="E44" s="70"/>
      <c r="F44" s="70"/>
      <c r="H44" s="70"/>
      <c r="L44" s="70"/>
      <c r="O44" s="70"/>
      <c r="P44" s="70"/>
    </row>
    <row r="45" spans="1:16" x14ac:dyDescent="0.2">
      <c r="A45" s="381" t="str">
        <f>IF(Character!A21=" ","||",(CONCATENATE(IF(Character!A21=" "," ",Character!A21),"|",IF(Character!F21=" "," ",Character!F21),"|",IF(Character!G21=" "," ",Character!G21))))</f>
        <v>||</v>
      </c>
      <c r="B45" s="70"/>
      <c r="C45" s="70"/>
      <c r="D45" s="70"/>
      <c r="E45" s="70"/>
      <c r="F45" s="70"/>
      <c r="H45" s="70"/>
      <c r="L45" s="70"/>
      <c r="O45" s="70"/>
      <c r="P45" s="70"/>
    </row>
    <row r="46" spans="1:16" x14ac:dyDescent="0.2">
      <c r="A46" s="381" t="str">
        <f>IF(Character!A22=" ","||",(CONCATENATE(IF(Character!A22=" "," ",Character!A22),"|",IF(Character!F22=" "," ",Character!F22),"|",IF(Character!G22=" "," ",Character!G22))))</f>
        <v>||</v>
      </c>
      <c r="B46" s="70"/>
      <c r="C46" s="70"/>
      <c r="D46" s="70"/>
      <c r="E46" s="70"/>
      <c r="F46" s="70"/>
      <c r="H46" s="70"/>
      <c r="L46" s="70"/>
      <c r="O46" s="70"/>
      <c r="P46" s="70"/>
    </row>
    <row r="47" spans="1:16" x14ac:dyDescent="0.2">
      <c r="A47" s="381" t="str">
        <f>IF(Character!A23=" ","||",(CONCATENATE(IF(Character!A23=" "," ",Character!A23),"|",IF(Character!F23=" "," ",Character!F23),"|",IF(Character!G23=" "," ",Character!G23))))</f>
        <v>||</v>
      </c>
      <c r="B47" s="70"/>
      <c r="C47" s="70"/>
      <c r="D47" s="70"/>
      <c r="E47" s="70"/>
      <c r="F47" s="70"/>
      <c r="H47" s="70"/>
      <c r="L47" s="70"/>
      <c r="O47" s="70"/>
      <c r="P47" s="70"/>
    </row>
    <row r="48" spans="1:16" x14ac:dyDescent="0.2">
      <c r="A48" s="381" t="s">
        <v>478</v>
      </c>
      <c r="B48" s="70"/>
      <c r="C48" s="70"/>
      <c r="D48" s="70"/>
      <c r="E48" s="70"/>
      <c r="F48" s="70"/>
      <c r="H48" s="70"/>
      <c r="L48" s="70"/>
      <c r="O48" s="70"/>
      <c r="P48" s="70"/>
    </row>
    <row r="49" spans="1:18" x14ac:dyDescent="0.2">
      <c r="A49" s="381" t="str">
        <f>CONCATENATE(CHAR(34),CHAR(34),CHAR(34),"]]")</f>
        <v>"""]]</v>
      </c>
      <c r="B49" s="70"/>
      <c r="C49" s="70"/>
      <c r="D49" s="70"/>
      <c r="E49" s="70"/>
      <c r="F49" s="70"/>
      <c r="H49" s="70"/>
      <c r="L49" s="70"/>
      <c r="O49" s="70"/>
      <c r="P49" s="70"/>
    </row>
    <row r="50" spans="1:18" x14ac:dyDescent="0.2">
      <c r="A50" s="381" t="str">
        <f>CONCATENATE("&lt;br style=",CHAR(34),"clear:left;",CHAR(34)," /&gt;")</f>
        <v>&lt;br style="clear:left;" /&gt;</v>
      </c>
      <c r="B50" s="70"/>
      <c r="C50" s="70"/>
      <c r="D50" s="70"/>
      <c r="E50" s="70"/>
      <c r="F50" s="70"/>
      <c r="H50" s="70"/>
      <c r="L50" s="70"/>
      <c r="O50" s="70"/>
      <c r="P50" s="70"/>
    </row>
    <row r="51" spans="1:18" x14ac:dyDescent="0.2">
      <c r="A51" s="381" t="str">
        <f>CONCATENATE("&lt;a id=",CHAR(34),RIGHT(A52,LEN(A52)-4),CHAR(34)," /&gt;")</f>
        <v>&lt;a id="Sigil" /&gt;</v>
      </c>
      <c r="B51" s="70"/>
      <c r="C51" s="70"/>
      <c r="D51" s="70"/>
      <c r="E51" s="70"/>
      <c r="F51" s="70"/>
      <c r="H51" s="70"/>
      <c r="L51" s="70"/>
      <c r="O51" s="70"/>
      <c r="P51" s="70"/>
    </row>
    <row r="52" spans="1:18" x14ac:dyDescent="0.2">
      <c r="A52" s="381" t="str">
        <f>CONCATENATE("### ",IF(ISBLANK(Character!G69)," ",Character!G69))</f>
        <v>### Sigil</v>
      </c>
      <c r="B52" s="70"/>
      <c r="C52" s="70"/>
      <c r="D52" s="70"/>
      <c r="E52" s="70"/>
      <c r="F52" s="70"/>
      <c r="H52" s="70"/>
      <c r="L52" s="70"/>
      <c r="O52" s="70"/>
      <c r="P52" s="70"/>
    </row>
    <row r="53" spans="1:18" x14ac:dyDescent="0.2">
      <c r="A53" s="381" t="str">
        <f>IF(ISBLANK(Character!G70)," ",Character!G70)</f>
        <v xml:space="preserve"> </v>
      </c>
      <c r="B53" s="70"/>
      <c r="C53" s="70"/>
      <c r="D53" s="70"/>
      <c r="E53" s="70"/>
      <c r="F53" s="70"/>
      <c r="H53" s="70"/>
      <c r="L53" s="70"/>
      <c r="O53" s="70"/>
      <c r="P53" s="70"/>
    </row>
    <row r="54" spans="1:18" x14ac:dyDescent="0.2">
      <c r="A54" s="381" t="str">
        <f>CONCATENATE("&lt;a id=",CHAR(34),RIGHT(A55,LEN(A55)-3),CHAR(34)," /&gt;")</f>
        <v>&lt;a id=" Notes" /&gt;</v>
      </c>
      <c r="B54" s="70"/>
      <c r="C54" s="70"/>
      <c r="D54" s="70"/>
      <c r="E54" s="70"/>
      <c r="F54" s="70"/>
      <c r="H54" s="70"/>
      <c r="L54" s="70"/>
      <c r="O54" s="70"/>
      <c r="P54" s="70"/>
    </row>
    <row r="55" spans="1:18" x14ac:dyDescent="0.2">
      <c r="A55" s="381" t="str">
        <f>CONCATENATE("### ",IF(ISBLANK(Character!I18)," ",Character!I18))</f>
        <v>### Notes</v>
      </c>
      <c r="B55" s="70"/>
      <c r="C55" s="70"/>
      <c r="D55" s="70"/>
      <c r="E55" s="70"/>
      <c r="F55" s="70"/>
      <c r="H55" s="70"/>
      <c r="L55" s="70"/>
      <c r="O55" s="70"/>
      <c r="P55" s="70"/>
    </row>
    <row r="56" spans="1:18" x14ac:dyDescent="0.2">
      <c r="A56" s="381" t="str">
        <f>IF(ISBLANK(Character!I19)," ",Character!I19)</f>
        <v xml:space="preserve"> </v>
      </c>
      <c r="B56" s="70"/>
      <c r="C56" s="70"/>
      <c r="D56" s="70"/>
      <c r="E56" s="70"/>
      <c r="F56" s="70"/>
      <c r="H56" s="70"/>
      <c r="L56" s="70"/>
      <c r="O56" s="70"/>
      <c r="P56" s="70"/>
    </row>
    <row r="57" spans="1:18" x14ac:dyDescent="0.2">
      <c r="A57" s="381" t="str">
        <f>CONCATENATE("[[!template id=divbox content=",CHAR(34),CHAR(34),CHAR(34))</f>
        <v>[[!template id=divbox content="""</v>
      </c>
      <c r="B57" s="70"/>
      <c r="C57" s="70"/>
      <c r="D57" s="70"/>
      <c r="E57" s="70"/>
      <c r="F57" s="70"/>
      <c r="H57" s="70"/>
      <c r="L57" s="70"/>
      <c r="O57" s="70"/>
      <c r="P57" s="70"/>
    </row>
    <row r="58" spans="1:18" x14ac:dyDescent="0.2">
      <c r="A58" s="381" t="str">
        <f>CONCATENATE("&lt;a id=",CHAR(34),RIGHT(A59,LEN(A59)-4),CHAR(34)," /&gt;")</f>
        <v>&lt;a id="Virtues" /&gt;</v>
      </c>
      <c r="B58" s="70"/>
      <c r="C58" s="70"/>
      <c r="D58" s="70"/>
      <c r="E58" s="70"/>
      <c r="F58" s="70"/>
      <c r="H58" s="70"/>
      <c r="L58" s="70"/>
      <c r="O58" s="70"/>
      <c r="P58" s="70"/>
    </row>
    <row r="59" spans="1:18" x14ac:dyDescent="0.2">
      <c r="A59" s="381" t="str">
        <f>CONCATENATE("### ",IF(ISBLANK(Character!A76)," ",Character!A76))</f>
        <v>### Virtues</v>
      </c>
      <c r="B59" s="70"/>
      <c r="C59" s="70"/>
      <c r="D59" s="70"/>
      <c r="E59" s="70"/>
      <c r="F59" s="70"/>
      <c r="H59" s="70"/>
      <c r="L59" s="70"/>
      <c r="O59" s="70"/>
      <c r="P59" s="70"/>
    </row>
    <row r="60" spans="1:18" x14ac:dyDescent="0.2">
      <c r="A60" s="381" t="s">
        <v>479</v>
      </c>
      <c r="B60" s="70"/>
      <c r="C60" s="70"/>
      <c r="D60" s="70"/>
      <c r="E60" s="70"/>
      <c r="F60" s="70"/>
      <c r="H60" s="70"/>
      <c r="L60" s="70"/>
      <c r="O60" s="70"/>
      <c r="P60" s="70"/>
    </row>
    <row r="61" spans="1:18" x14ac:dyDescent="0.2">
      <c r="A61" s="440" t="str">
        <f>IF(Character!A77=" ","||",CONCATENATE(Character!A77,"|",IF(ISBLANK(Character!F77)," ",Character!F77),"|",IF(ISBLANK(Character!G77)," ",Character!G77)))</f>
        <v>||</v>
      </c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</row>
    <row r="62" spans="1:18" x14ac:dyDescent="0.2">
      <c r="A62" s="440" t="str">
        <f>IF(Character!A78=" ","||",CONCATENATE(Character!A78,"|",IF(ISBLANK(Character!F78)," ",Character!F78),"|",IF(ISBLANK(Character!G78)," ",Character!G78)))</f>
        <v>||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</row>
    <row r="63" spans="1:18" x14ac:dyDescent="0.2">
      <c r="A63" s="440" t="str">
        <f>IF(Character!A79=" ","||",CONCATENATE(Character!A79,"|",IF(ISBLANK(Character!F79)," ",Character!F79),"|",IF(ISBLANK(Character!G79)," ",Character!G79)))</f>
        <v>||</v>
      </c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</row>
    <row r="64" spans="1:18" x14ac:dyDescent="0.2">
      <c r="A64" s="440" t="str">
        <f>IF(Character!A80=" ","||",CONCATENATE(Character!A80,"|",IF(ISBLANK(Character!F80)," ",Character!F80),"|",IF(ISBLANK(Character!G80)," ",Character!G80)))</f>
        <v>||</v>
      </c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</row>
    <row r="65" spans="1:18" x14ac:dyDescent="0.2">
      <c r="A65" s="440" t="str">
        <f>IF(Character!A81=" ","||",CONCATENATE(Character!A81,"|",IF(ISBLANK(Character!F81)," ",Character!F81),"|",IF(ISBLANK(Character!G81)," ",Character!G81)))</f>
        <v>||</v>
      </c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</row>
    <row r="66" spans="1:18" x14ac:dyDescent="0.2">
      <c r="A66" s="440" t="str">
        <f>IF(Character!A82=" ","||",CONCATENATE(Character!A82,"|",IF(ISBLANK(Character!F82)," ",Character!F82),"|",IF(ISBLANK(Character!G82)," ",Character!G82)))</f>
        <v>||</v>
      </c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</row>
    <row r="67" spans="1:18" x14ac:dyDescent="0.2">
      <c r="A67" s="440" t="str">
        <f>IF(Character!A83=" ","||",CONCATENATE(Character!A83,"|",IF(ISBLANK(Character!F83)," ",Character!F83),"|",IF(ISBLANK(Character!G83)," ",Character!G83)))</f>
        <v>||</v>
      </c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</row>
    <row r="68" spans="1:18" x14ac:dyDescent="0.2">
      <c r="A68" s="440" t="str">
        <f>IF(Character!A84=" ","||",CONCATENATE(Character!A84,"|",IF(ISBLANK(Character!F84)," ",Character!F84),"|",IF(ISBLANK(Character!G84)," ",Character!G84)))</f>
        <v>||</v>
      </c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</row>
    <row r="69" spans="1:18" x14ac:dyDescent="0.2">
      <c r="A69" s="440" t="str">
        <f>IF(Character!A85=" ","||",CONCATENATE(Character!A85,"|",IF(ISBLANK(Character!F85)," ",Character!F85),"|",IF(ISBLANK(Character!G85)," ",Character!G85)))</f>
        <v>||</v>
      </c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</row>
    <row r="70" spans="1:18" x14ac:dyDescent="0.2">
      <c r="A70" s="440" t="str">
        <f>IF(Character!A86=" ","||",CONCATENATE(Character!A86,"|",IF(ISBLANK(Character!F86)," ",Character!F86),"|",IF(ISBLANK(Character!G86)," ",Character!G86)))</f>
        <v>||</v>
      </c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</row>
    <row r="71" spans="1:18" x14ac:dyDescent="0.2">
      <c r="A71" s="440" t="str">
        <f>IF(Character!A87=" ","||",CONCATENATE(Character!A87,"|",IF(ISBLANK(Character!F87)," ",Character!F87),"|",IF(ISBLANK(Character!G87)," ",Character!G87)))</f>
        <v>||</v>
      </c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</row>
    <row r="72" spans="1:18" x14ac:dyDescent="0.2">
      <c r="A72" s="440" t="str">
        <f>IF(Character!A88=" ","||",CONCATENATE(Character!A88,"|",IF(ISBLANK(Character!F88)," ",Character!F88),"|",IF(ISBLANK(Character!G88)," ",Character!G88)))</f>
        <v>||</v>
      </c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</row>
    <row r="73" spans="1:18" x14ac:dyDescent="0.2">
      <c r="A73" s="440" t="str">
        <f>IF(Character!A89=" ","||",CONCATENATE(Character!A89,"|",IF(ISBLANK(Character!F89)," ",Character!F89),"|",IF(ISBLANK(Character!G89)," ",Character!G89)))</f>
        <v>||</v>
      </c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</row>
    <row r="74" spans="1:18" x14ac:dyDescent="0.2">
      <c r="A74" s="440" t="str">
        <f>IF(Character!A90=" ","||",CONCATENATE(Character!A90,"|",IF(ISBLANK(Character!F90)," ",Character!F90),"|",IF(ISBLANK(Character!G90)," ",Character!G90)))</f>
        <v>||</v>
      </c>
      <c r="B74" s="70"/>
      <c r="C74" s="70"/>
      <c r="D74" s="70"/>
      <c r="E74" s="70"/>
      <c r="F74" s="70"/>
      <c r="G74" s="70"/>
      <c r="H74" s="70"/>
      <c r="I74" s="70"/>
      <c r="J74" s="70"/>
      <c r="K74" s="70"/>
    </row>
    <row r="75" spans="1:18" x14ac:dyDescent="0.2">
      <c r="A75" s="440" t="str">
        <f>IF(Character!A91=" ","||",CONCATENATE(Character!A91,"|",IF(ISBLANK(Character!F91)," ",Character!F91),"|",IF(ISBLANK(Character!G91)," ",Character!G91)))</f>
        <v>||</v>
      </c>
      <c r="B75" s="70"/>
      <c r="C75" s="70"/>
      <c r="D75" s="70"/>
      <c r="G75" s="70"/>
      <c r="H75" s="70"/>
      <c r="K75" s="70"/>
    </row>
    <row r="76" spans="1:18" x14ac:dyDescent="0.2">
      <c r="A76" s="440" t="s">
        <v>478</v>
      </c>
      <c r="B76" s="70"/>
      <c r="C76" s="70"/>
      <c r="D76" s="70"/>
      <c r="G76" s="70"/>
      <c r="H76" s="70"/>
      <c r="K76" s="70"/>
    </row>
    <row r="77" spans="1:18" x14ac:dyDescent="0.2">
      <c r="A77" s="381" t="str">
        <f>CONCATENATE(CHAR(34),CHAR(34),CHAR(34),"]]")</f>
        <v>"""]]</v>
      </c>
      <c r="D77" s="70"/>
      <c r="G77" s="70"/>
      <c r="H77" s="70"/>
      <c r="K77" s="70"/>
    </row>
    <row r="78" spans="1:18" x14ac:dyDescent="0.2">
      <c r="A78" s="381" t="str">
        <f>CONCATENATE("[[!template id=divbox content=",CHAR(34),CHAR(34),CHAR(34))</f>
        <v>[[!template id=divbox content="""</v>
      </c>
      <c r="B78" s="70"/>
      <c r="C78" s="70"/>
      <c r="D78" s="70"/>
      <c r="G78" s="70"/>
      <c r="H78" s="70"/>
      <c r="K78" s="70"/>
    </row>
    <row r="79" spans="1:18" x14ac:dyDescent="0.2">
      <c r="A79" s="381" t="str">
        <f>CONCATENATE("&lt;a id=",CHAR(34),RIGHT(A80,LEN(A80)-3),CHAR(34)," /&gt;")</f>
        <v>&lt;a id=" Flaws" /&gt;</v>
      </c>
      <c r="B79" s="70"/>
      <c r="C79" s="70"/>
      <c r="D79" s="70"/>
      <c r="G79" s="70"/>
      <c r="H79" s="70"/>
      <c r="K79" s="70"/>
    </row>
    <row r="80" spans="1:18" x14ac:dyDescent="0.2">
      <c r="A80" s="381" t="str">
        <f>CONCATENATE("### ",IF(ISBLANK(Character!I76)," ",Character!I76))</f>
        <v>### Flaws</v>
      </c>
      <c r="B80" s="70"/>
      <c r="C80" s="70"/>
      <c r="D80" s="70"/>
      <c r="G80" s="70"/>
      <c r="H80" s="70"/>
      <c r="K80" s="70"/>
    </row>
    <row r="81" spans="1:12" x14ac:dyDescent="0.2">
      <c r="A81" s="381" t="s">
        <v>479</v>
      </c>
      <c r="B81" s="70"/>
      <c r="C81" s="70"/>
      <c r="D81" s="70"/>
      <c r="G81" s="70"/>
      <c r="H81" s="70"/>
      <c r="K81" s="70"/>
    </row>
    <row r="82" spans="1:12" x14ac:dyDescent="0.2">
      <c r="A82" s="440" t="str">
        <f>IF(Character!I77=" ","||",CONCATENATE(Character!I77,"|",IF(ISBLANK(Character!N77)," ",Character!N77),"|",IF(ISBLANK(Character!O77)," ",Character!O77)))</f>
        <v>||</v>
      </c>
      <c r="B82" s="70"/>
      <c r="C82" s="70"/>
      <c r="D82" s="70"/>
      <c r="G82" s="70"/>
      <c r="H82" s="70"/>
      <c r="K82" s="70"/>
    </row>
    <row r="83" spans="1:12" x14ac:dyDescent="0.2">
      <c r="A83" s="440" t="str">
        <f>IF(Character!I78=" ","||",CONCATENATE(Character!I78,"|",IF(ISBLANK(Character!N78)," ",Character!N78),"|",IF(ISBLANK(Character!O78)," ",Character!O78)))</f>
        <v>||</v>
      </c>
      <c r="B83" s="70"/>
      <c r="C83" s="70"/>
      <c r="D83" s="70"/>
      <c r="G83" s="70"/>
      <c r="H83" s="70"/>
      <c r="K83" s="70"/>
    </row>
    <row r="84" spans="1:12" x14ac:dyDescent="0.2">
      <c r="A84" s="440" t="str">
        <f>IF(Character!I79=" ","||",CONCATENATE(Character!I79,"|",IF(ISBLANK(Character!N79)," ",Character!N79),"|",IF(ISBLANK(Character!O79)," ",Character!O79)))</f>
        <v>||</v>
      </c>
      <c r="B84" s="70"/>
      <c r="C84" s="70"/>
      <c r="D84" s="70"/>
      <c r="G84" s="70"/>
      <c r="H84" s="70"/>
      <c r="K84" s="70"/>
    </row>
    <row r="85" spans="1:12" x14ac:dyDescent="0.2">
      <c r="A85" s="440" t="str">
        <f>IF(Character!I80=" ","||",CONCATENATE(Character!I80,"|",IF(ISBLANK(Character!N80)," ",Character!N80),"|",IF(ISBLANK(Character!O80)," ",Character!O80)))</f>
        <v>||</v>
      </c>
      <c r="B85" s="70"/>
      <c r="C85" s="70"/>
      <c r="D85" s="70"/>
      <c r="G85" s="70"/>
      <c r="H85" s="70"/>
      <c r="K85" s="70"/>
    </row>
    <row r="86" spans="1:12" x14ac:dyDescent="0.2">
      <c r="A86" s="440" t="str">
        <f>IF(Character!I81=" ","||",CONCATENATE(Character!I81,"|",IF(ISBLANK(Character!N81)," ",Character!N81),"|",IF(ISBLANK(Character!O81)," ",Character!O81)))</f>
        <v>||</v>
      </c>
      <c r="B86" s="70"/>
      <c r="C86" s="70"/>
      <c r="D86" s="70"/>
      <c r="G86" s="70"/>
      <c r="H86" s="70"/>
      <c r="K86" s="70"/>
    </row>
    <row r="87" spans="1:12" x14ac:dyDescent="0.2">
      <c r="A87" s="440" t="str">
        <f>IF(Character!I82=" ","||",CONCATENATE(Character!I82,"|",IF(ISBLANK(Character!N82)," ",Character!N82),"|",IF(ISBLANK(Character!O82)," ",Character!O82)))</f>
        <v>||</v>
      </c>
      <c r="B87" s="70"/>
      <c r="C87" s="70"/>
      <c r="D87" s="70"/>
      <c r="G87" s="70"/>
      <c r="H87" s="70"/>
      <c r="K87" s="70"/>
    </row>
    <row r="88" spans="1:12" x14ac:dyDescent="0.2">
      <c r="A88" s="440" t="str">
        <f>IF(Character!I83=" ","||",CONCATENATE(Character!I83,"|",IF(ISBLANK(Character!N83)," ",Character!N83),"|",IF(ISBLANK(Character!O83)," ",Character!O83)))</f>
        <v>||</v>
      </c>
      <c r="B88" s="70"/>
      <c r="C88" s="70"/>
      <c r="D88" s="70"/>
      <c r="G88" s="70"/>
      <c r="H88" s="70"/>
      <c r="K88" t="str">
        <f>IF(ISBLANK(Character!P35)," ",Character!P35)</f>
        <v xml:space="preserve"> </v>
      </c>
    </row>
    <row r="89" spans="1:12" x14ac:dyDescent="0.2">
      <c r="A89" s="440" t="str">
        <f>IF(Character!I84=" ","||",CONCATENATE(Character!I84,"|",IF(ISBLANK(Character!N84)," ",Character!N84),"|",IF(ISBLANK(Character!O84)," ",Character!O84)))</f>
        <v>||</v>
      </c>
      <c r="B89" s="70"/>
      <c r="C89" s="70"/>
      <c r="D89" s="70"/>
      <c r="G89" s="70"/>
      <c r="H89" s="70"/>
      <c r="K89" t="str">
        <f>IF(ISBLANK(Character!P36)," ",Character!P36)</f>
        <v xml:space="preserve"> </v>
      </c>
    </row>
    <row r="90" spans="1:12" x14ac:dyDescent="0.2">
      <c r="A90" s="440" t="str">
        <f>IF(Character!I85=" ","||",CONCATENATE(Character!I85,"|",IF(ISBLANK(Character!N85)," ",Character!N85),"|",IF(ISBLANK(Character!O85)," ",Character!O85)))</f>
        <v>||</v>
      </c>
      <c r="B90" s="70"/>
      <c r="C90" s="70"/>
      <c r="D90" s="70"/>
      <c r="G90" s="70"/>
      <c r="H90" s="70"/>
      <c r="K90" t="str">
        <f>IF(ISBLANK(Character!P37)," ",Character!P37)</f>
        <v xml:space="preserve"> </v>
      </c>
    </row>
    <row r="91" spans="1:12" x14ac:dyDescent="0.2">
      <c r="A91" s="440" t="str">
        <f>IF(Character!I86=" ","||",CONCATENATE(Character!I86,"|",IF(ISBLANK(Character!N86)," ",Character!N86),"|",IF(ISBLANK(Character!O86)," ",Character!O86)))</f>
        <v>||</v>
      </c>
      <c r="B91" s="70"/>
      <c r="C91" s="70"/>
      <c r="D91" s="70"/>
      <c r="G91" s="70"/>
      <c r="H91" s="70"/>
      <c r="K91" t="str">
        <f>IF(ISBLANK(Character!P38)," ",Character!P38)</f>
        <v xml:space="preserve"> </v>
      </c>
    </row>
    <row r="92" spans="1:12" x14ac:dyDescent="0.2">
      <c r="A92" s="440" t="str">
        <f>IF(Character!I87=" ","||",CONCATENATE(Character!I87,"|",IF(ISBLANK(Character!N87)," ",Character!N87),"|",IF(ISBLANK(Character!O87)," ",Character!O87)))</f>
        <v>||</v>
      </c>
      <c r="B92" s="70"/>
      <c r="C92" s="70"/>
      <c r="D92" s="70"/>
      <c r="G92" s="70"/>
      <c r="H92" s="70"/>
      <c r="K92" t="str">
        <f>IF(ISBLANK(Character!P39)," ",Character!P39)</f>
        <v xml:space="preserve"> </v>
      </c>
    </row>
    <row r="93" spans="1:12" x14ac:dyDescent="0.2">
      <c r="A93" s="440" t="str">
        <f>IF(Character!I88=" ","||",CONCATENATE(Character!I88,"|",IF(ISBLANK(Character!N88)," ",Character!N88),"|",IF(ISBLANK(Character!O88)," ",Character!O88)))</f>
        <v>||</v>
      </c>
      <c r="B93" s="70"/>
      <c r="C93" s="70"/>
      <c r="D93" s="70"/>
      <c r="G93" s="70"/>
      <c r="H93" s="70"/>
      <c r="K93" t="str">
        <f>IF(ISBLANK(Character!P40)," ",Character!P40)</f>
        <v xml:space="preserve"> </v>
      </c>
    </row>
    <row r="94" spans="1:12" x14ac:dyDescent="0.2">
      <c r="A94" s="440" t="str">
        <f>IF(Character!I89=" ","||",CONCATENATE(Character!I89,"|",IF(ISBLANK(Character!N89)," ",Character!N89),"|",IF(ISBLANK(Character!O89)," ",Character!O89)))</f>
        <v>||</v>
      </c>
      <c r="B94" s="70"/>
      <c r="C94" s="70"/>
      <c r="D94" s="70"/>
      <c r="E94" s="70"/>
      <c r="F94" s="70"/>
      <c r="G94" s="70"/>
      <c r="H94" s="70"/>
      <c r="K94" s="70"/>
      <c r="L94" s="70"/>
    </row>
    <row r="95" spans="1:12" x14ac:dyDescent="0.2">
      <c r="A95" s="440" t="str">
        <f>IF(Character!I90=" ","||",CONCATENATE(Character!I90,"|",IF(ISBLANK(Character!N90)," ",Character!N90),"|",IF(ISBLANK(Character!O90)," ",Character!O90)))</f>
        <v>||</v>
      </c>
      <c r="B95" s="70"/>
      <c r="C95" s="70"/>
      <c r="D95" s="70"/>
      <c r="E95" s="70"/>
      <c r="F95" s="70"/>
      <c r="G95" s="70"/>
      <c r="H95" s="70"/>
      <c r="K95" t="str">
        <f>IF(ISBLANK(Character!P42)," ",Character!P42)</f>
        <v xml:space="preserve"> </v>
      </c>
    </row>
    <row r="96" spans="1:12" x14ac:dyDescent="0.2">
      <c r="A96" s="440" t="str">
        <f>IF(Character!I91=" ","||",CONCATENATE(Character!I91,"|",IF(ISBLANK(Character!N91)," ",Character!N91),"|",IF(ISBLANK(Character!O91)," ",Character!O91)))</f>
        <v>||</v>
      </c>
      <c r="E96" s="70"/>
      <c r="F96" s="70"/>
      <c r="G96" s="70"/>
      <c r="H96" s="70"/>
      <c r="K96" s="70"/>
    </row>
    <row r="97" spans="1:11" x14ac:dyDescent="0.2">
      <c r="A97" s="440" t="s">
        <v>478</v>
      </c>
      <c r="E97" s="70"/>
      <c r="F97" s="70"/>
      <c r="G97" s="70"/>
      <c r="H97" s="70"/>
      <c r="K97" s="70"/>
    </row>
    <row r="98" spans="1:11" x14ac:dyDescent="0.2">
      <c r="A98" s="381" t="str">
        <f>CONCATENATE(CHAR(34),CHAR(34),CHAR(34),"]]")</f>
        <v>"""]]</v>
      </c>
      <c r="E98" s="70"/>
      <c r="F98" s="70"/>
      <c r="G98" s="70"/>
      <c r="H98" s="70"/>
      <c r="K98" t="str">
        <f>IF(ISBLANK(Character!P45)," ",Character!P45)</f>
        <v xml:space="preserve"> </v>
      </c>
    </row>
    <row r="99" spans="1:11" x14ac:dyDescent="0.2">
      <c r="A99" s="381" t="str">
        <f>CONCATENATE("&lt;br style=",CHAR(34),"clear:left;",CHAR(34)," /&gt;")</f>
        <v>&lt;br style="clear:left;" /&gt;</v>
      </c>
      <c r="E99" s="70"/>
      <c r="F99" s="70"/>
      <c r="G99" s="70"/>
      <c r="H99" s="70"/>
    </row>
    <row r="100" spans="1:11" x14ac:dyDescent="0.2">
      <c r="A100" s="381" t="str">
        <f>CONCATENATE("&lt;a id=",CHAR(34),"Twilight",CHAR(34)," /&gt;")</f>
        <v>&lt;a id="Twilight" /&gt;</v>
      </c>
      <c r="E100" s="70"/>
      <c r="F100" s="70"/>
      <c r="G100" s="70"/>
      <c r="H100" s="70"/>
    </row>
    <row r="101" spans="1:11" x14ac:dyDescent="0.2">
      <c r="A101" s="381" t="str">
        <f>CONCATENATE("### ","Twilight Scars")</f>
        <v>### Twilight Scars</v>
      </c>
      <c r="E101" s="70"/>
      <c r="F101" s="70"/>
      <c r="G101" s="70"/>
      <c r="H101" s="70"/>
    </row>
    <row r="102" spans="1:11" x14ac:dyDescent="0.2">
      <c r="A102" s="381" t="s">
        <v>480</v>
      </c>
      <c r="E102" s="70"/>
      <c r="F102" s="70"/>
      <c r="G102" s="70"/>
      <c r="H102" s="70"/>
    </row>
    <row r="103" spans="1:11" x14ac:dyDescent="0.2">
      <c r="A103" s="440" t="str">
        <f>IF(ISBLANK(Twilight!AG8),"|",CONCATENATE(Twilight!AG8,"|"))</f>
        <v>|</v>
      </c>
      <c r="E103" s="70"/>
      <c r="F103" s="70"/>
      <c r="G103" s="70"/>
      <c r="H103" s="70"/>
    </row>
    <row r="104" spans="1:11" x14ac:dyDescent="0.2">
      <c r="A104" s="440" t="str">
        <f>IF(ISBLANK(Twilight!AG9),"|",CONCATENATE(Twilight!AG9,"|"))</f>
        <v>|</v>
      </c>
      <c r="E104" s="70"/>
      <c r="F104" s="70"/>
      <c r="G104" s="70"/>
      <c r="H104" s="70"/>
    </row>
    <row r="105" spans="1:11" x14ac:dyDescent="0.2">
      <c r="A105" s="440" t="str">
        <f>IF(ISBLANK(Twilight!AG10),"|",CONCATENATE(Twilight!AG10,"|"))</f>
        <v>|</v>
      </c>
      <c r="E105" s="70"/>
      <c r="F105" s="70"/>
      <c r="G105" s="70"/>
      <c r="H105" s="70"/>
    </row>
    <row r="106" spans="1:11" x14ac:dyDescent="0.2">
      <c r="A106" s="440" t="str">
        <f>IF(ISBLANK(Twilight!AG11),"|",CONCATENATE(Twilight!AG11,"|"))</f>
        <v>|</v>
      </c>
      <c r="E106" s="70"/>
      <c r="F106" s="70"/>
      <c r="G106" s="70"/>
      <c r="H106" s="70"/>
    </row>
    <row r="107" spans="1:11" x14ac:dyDescent="0.2">
      <c r="A107" s="440" t="str">
        <f>IF(ISBLANK(Twilight!AG12),"|",CONCATENATE(Twilight!AG12,"|"))</f>
        <v>|</v>
      </c>
      <c r="E107" s="70"/>
      <c r="F107" s="70"/>
      <c r="G107" s="70"/>
      <c r="H107" s="70"/>
    </row>
    <row r="108" spans="1:11" x14ac:dyDescent="0.2">
      <c r="A108" s="440" t="str">
        <f>IF(ISBLANK(Twilight!AG13),"|",CONCATENATE(Twilight!AG13,"|"))</f>
        <v>|</v>
      </c>
      <c r="E108" s="70"/>
      <c r="F108" s="70"/>
      <c r="G108" s="70"/>
      <c r="H108" s="70"/>
    </row>
    <row r="109" spans="1:11" x14ac:dyDescent="0.2">
      <c r="A109" s="440" t="str">
        <f>IF(ISBLANK(Twilight!AG14),"|",CONCATENATE(Twilight!AG14,"|"))</f>
        <v>|</v>
      </c>
      <c r="E109" s="70"/>
      <c r="F109" s="70"/>
      <c r="G109" s="70"/>
      <c r="H109" s="70"/>
    </row>
    <row r="110" spans="1:11" x14ac:dyDescent="0.2">
      <c r="A110" s="440" t="str">
        <f>IF(ISBLANK(Twilight!AG15),"|",CONCATENATE(Twilight!AG15,"|"))</f>
        <v>|</v>
      </c>
      <c r="E110" s="70"/>
      <c r="F110" s="70"/>
      <c r="G110" s="70"/>
      <c r="H110" s="70"/>
    </row>
    <row r="111" spans="1:11" x14ac:dyDescent="0.2">
      <c r="A111" s="440" t="str">
        <f>IF(ISBLANK(Twilight!AG16),"|",CONCATENATE(Twilight!AG16,"|"))</f>
        <v>|</v>
      </c>
      <c r="E111" s="70"/>
      <c r="F111" s="70"/>
      <c r="G111" s="70"/>
      <c r="H111" s="70"/>
    </row>
    <row r="112" spans="1:11" x14ac:dyDescent="0.2">
      <c r="A112" s="440" t="str">
        <f>IF(ISBLANK(Twilight!AG17),"|",CONCATENATE(Twilight!AG17,"|"))</f>
        <v>|</v>
      </c>
      <c r="E112" s="70"/>
      <c r="F112" s="70"/>
      <c r="G112" s="70"/>
      <c r="H112" s="70"/>
    </row>
    <row r="113" spans="1:8" x14ac:dyDescent="0.2">
      <c r="A113" s="440" t="str">
        <f>IF(ISBLANK(Twilight!AG18),"|",CONCATENATE(Twilight!AG18,"|"))</f>
        <v>|</v>
      </c>
      <c r="E113" s="70"/>
      <c r="F113" s="70"/>
      <c r="G113" s="70"/>
      <c r="H113" s="70"/>
    </row>
    <row r="114" spans="1:8" x14ac:dyDescent="0.2">
      <c r="A114" s="440" t="str">
        <f>IF(ISBLANK(Twilight!AG19),"|",CONCATENATE(Twilight!AG19,"|"))</f>
        <v>|</v>
      </c>
      <c r="E114" s="70"/>
      <c r="F114" s="70"/>
      <c r="G114" s="70"/>
      <c r="H114" s="70"/>
    </row>
    <row r="115" spans="1:8" x14ac:dyDescent="0.2">
      <c r="A115" s="440" t="str">
        <f>IF(ISBLANK(Twilight!AG20),"|",CONCATENATE(Twilight!AG20,"|"))</f>
        <v>|</v>
      </c>
      <c r="E115" s="70"/>
      <c r="F115" s="70"/>
      <c r="G115" s="70"/>
      <c r="H115" s="70"/>
    </row>
    <row r="116" spans="1:8" x14ac:dyDescent="0.2">
      <c r="A116" s="440" t="str">
        <f>IF(ISBLANK(Twilight!AG21),"|",CONCATENATE(Twilight!AG21,"|"))</f>
        <v>|</v>
      </c>
      <c r="E116" s="70"/>
      <c r="F116" s="70"/>
      <c r="G116" s="70"/>
      <c r="H116" s="70"/>
    </row>
    <row r="117" spans="1:8" x14ac:dyDescent="0.2">
      <c r="A117" s="440" t="str">
        <f>IF(ISBLANK(Twilight!AG22),"|",CONCATENATE(Twilight!AG22,"|"))</f>
        <v>|</v>
      </c>
      <c r="E117" s="70"/>
      <c r="F117" s="70"/>
      <c r="G117" s="70"/>
      <c r="H117" s="70"/>
    </row>
    <row r="118" spans="1:8" x14ac:dyDescent="0.2">
      <c r="A118" s="440" t="str">
        <f>IF(ISBLANK(Twilight!AG23),"|",CONCATENATE(Twilight!AG23,"|"))</f>
        <v>|</v>
      </c>
      <c r="E118" s="70"/>
      <c r="F118" s="70"/>
      <c r="G118" s="70"/>
      <c r="H118" s="70"/>
    </row>
    <row r="119" spans="1:8" x14ac:dyDescent="0.2">
      <c r="A119" s="440" t="str">
        <f>IF(ISBLANK(Twilight!AG24),"|",CONCATENATE(Twilight!AG24,"|"))</f>
        <v>|</v>
      </c>
      <c r="E119" s="70"/>
      <c r="F119" s="70"/>
      <c r="G119" s="70"/>
      <c r="H119" s="70"/>
    </row>
    <row r="120" spans="1:8" x14ac:dyDescent="0.2">
      <c r="A120" s="440" t="str">
        <f>IF(ISBLANK(Twilight!AG25),"|",CONCATENATE(Twilight!AG25,"|"))</f>
        <v>|</v>
      </c>
      <c r="E120" s="70"/>
      <c r="F120" s="70"/>
      <c r="G120" s="70"/>
      <c r="H120" s="70"/>
    </row>
    <row r="121" spans="1:8" x14ac:dyDescent="0.2">
      <c r="A121" s="440" t="str">
        <f>IF(ISBLANK(Twilight!AG26),"|",CONCATENATE(Twilight!AG26,"|"))</f>
        <v>|</v>
      </c>
      <c r="E121" s="70"/>
      <c r="F121" s="70"/>
      <c r="G121" s="70"/>
      <c r="H121" s="70"/>
    </row>
    <row r="122" spans="1:8" x14ac:dyDescent="0.2">
      <c r="A122" s="440" t="str">
        <f>IF(ISBLANK(Twilight!AG27),"|",CONCATENATE(Twilight!AG27,"|"))</f>
        <v>|</v>
      </c>
      <c r="E122" s="70"/>
      <c r="F122" s="70"/>
      <c r="G122" s="70"/>
      <c r="H122" s="70"/>
    </row>
    <row r="123" spans="1:8" x14ac:dyDescent="0.2">
      <c r="A123" s="440" t="str">
        <f>IF(ISBLANK(Twilight!AG28),"|",CONCATENATE(Twilight!AG28,"|"))</f>
        <v>|</v>
      </c>
      <c r="E123" s="70"/>
      <c r="F123" s="70"/>
      <c r="G123" s="70"/>
      <c r="H123" s="70"/>
    </row>
    <row r="124" spans="1:8" x14ac:dyDescent="0.2">
      <c r="A124" s="440" t="str">
        <f>IF(ISBLANK(Twilight!AG29),"|",CONCATENATE(Twilight!AG29,"|"))</f>
        <v>|</v>
      </c>
      <c r="E124" s="70"/>
      <c r="F124" s="70"/>
      <c r="G124" s="70"/>
      <c r="H124" s="70"/>
    </row>
    <row r="125" spans="1:8" x14ac:dyDescent="0.2">
      <c r="A125" s="440" t="str">
        <f>IF(ISBLANK(Twilight!AG30),"|",CONCATENATE(Twilight!AG30,"|"))</f>
        <v>|</v>
      </c>
      <c r="E125" s="70"/>
      <c r="F125" s="70"/>
      <c r="G125" s="70"/>
      <c r="H125" s="70"/>
    </row>
    <row r="126" spans="1:8" x14ac:dyDescent="0.2">
      <c r="A126" s="440" t="str">
        <f>IF(ISBLANK(Twilight!AG31),"|",CONCATENATE(Twilight!AG31,"|"))</f>
        <v>|</v>
      </c>
      <c r="E126" s="70"/>
      <c r="F126" s="70"/>
      <c r="G126" s="70"/>
      <c r="H126" s="70"/>
    </row>
    <row r="127" spans="1:8" x14ac:dyDescent="0.2">
      <c r="A127" s="440" t="str">
        <f>IF(ISBLANK(Twilight!AG32),"|",CONCATENATE(Twilight!AG32,"|"))</f>
        <v>|</v>
      </c>
      <c r="E127" s="70"/>
      <c r="F127" s="70"/>
      <c r="G127" s="70"/>
      <c r="H127" s="70"/>
    </row>
    <row r="128" spans="1:8" x14ac:dyDescent="0.2">
      <c r="A128" s="440" t="str">
        <f>IF(ISBLANK(Twilight!AG33),"|",CONCATENATE(Twilight!AG33,"|"))</f>
        <v>|</v>
      </c>
      <c r="E128" s="70"/>
      <c r="F128" s="70"/>
      <c r="G128" s="70"/>
      <c r="H128" s="70"/>
    </row>
    <row r="129" spans="1:8" x14ac:dyDescent="0.2">
      <c r="A129" s="440" t="str">
        <f>IF(ISBLANK(Twilight!AG34),"|",CONCATENATE(Twilight!AG34,"|"))</f>
        <v>|</v>
      </c>
      <c r="E129" s="70"/>
      <c r="F129" s="70"/>
      <c r="G129" s="70"/>
      <c r="H129" s="70"/>
    </row>
    <row r="130" spans="1:8" x14ac:dyDescent="0.2">
      <c r="A130" s="440" t="str">
        <f>IF(ISBLANK(Twilight!AG35),"|",CONCATENATE(Twilight!AG35,"|"))</f>
        <v>|</v>
      </c>
      <c r="E130" s="70"/>
      <c r="F130" s="70"/>
      <c r="G130" s="70"/>
      <c r="H130" s="70"/>
    </row>
    <row r="131" spans="1:8" x14ac:dyDescent="0.2">
      <c r="A131" s="440" t="str">
        <f>IF(ISBLANK(Twilight!AG36),"|",CONCATENATE(Twilight!AG36,"|"))</f>
        <v>|</v>
      </c>
      <c r="E131" s="70"/>
      <c r="F131" s="70"/>
      <c r="G131" s="70"/>
      <c r="H131" s="70"/>
    </row>
    <row r="132" spans="1:8" x14ac:dyDescent="0.2">
      <c r="A132" s="440" t="str">
        <f>IF(ISBLANK(Twilight!AG37),"|",CONCATENATE(Twilight!AG37,"|"))</f>
        <v>|</v>
      </c>
      <c r="E132" s="70"/>
      <c r="F132" s="70"/>
      <c r="G132" s="70"/>
      <c r="H132" s="70"/>
    </row>
    <row r="133" spans="1:8" x14ac:dyDescent="0.2">
      <c r="A133" s="440" t="str">
        <f>IF(ISBLANK(Twilight!AG38),"|",CONCATENATE(Twilight!AG38,"|"))</f>
        <v>|</v>
      </c>
      <c r="E133" s="70"/>
      <c r="F133" s="70"/>
      <c r="G133" s="70"/>
      <c r="H133" s="70"/>
    </row>
    <row r="134" spans="1:8" x14ac:dyDescent="0.2">
      <c r="A134" s="440" t="str">
        <f>IF(ISBLANK(Twilight!AG39),"|",CONCATENATE(Twilight!AG39,"|"))</f>
        <v>|</v>
      </c>
      <c r="E134" s="70"/>
      <c r="F134" s="70"/>
      <c r="G134" s="70"/>
      <c r="H134" s="70"/>
    </row>
    <row r="135" spans="1:8" x14ac:dyDescent="0.2">
      <c r="A135" s="440" t="str">
        <f>IF(ISBLANK(Twilight!AG40),"|",CONCATENATE(Twilight!AG40,"|"))</f>
        <v>|</v>
      </c>
      <c r="E135" s="70"/>
      <c r="F135" s="70"/>
      <c r="G135" s="70"/>
      <c r="H135" s="70"/>
    </row>
    <row r="136" spans="1:8" x14ac:dyDescent="0.2">
      <c r="A136" s="440" t="str">
        <f>IF(ISBLANK(Twilight!AG41),"|",CONCATENATE(Twilight!AG41,"|"))</f>
        <v>|</v>
      </c>
      <c r="E136" s="70"/>
      <c r="F136" s="70"/>
      <c r="G136" s="70"/>
      <c r="H136" s="70"/>
    </row>
    <row r="137" spans="1:8" x14ac:dyDescent="0.2">
      <c r="A137" s="440" t="str">
        <f>IF(ISBLANK(Twilight!AG42),"|",CONCATENATE(Twilight!AG42,"|"))</f>
        <v>|</v>
      </c>
      <c r="E137" s="70"/>
      <c r="F137" s="70"/>
      <c r="G137" s="70"/>
      <c r="H137" s="70"/>
    </row>
    <row r="138" spans="1:8" x14ac:dyDescent="0.2">
      <c r="A138" s="440" t="str">
        <f>IF(ISBLANK(Twilight!AG43),"|",CONCATENATE(Twilight!AG43,"|"))</f>
        <v>|</v>
      </c>
      <c r="E138" s="70"/>
      <c r="F138" s="70"/>
      <c r="G138" s="70"/>
      <c r="H138" s="70"/>
    </row>
    <row r="139" spans="1:8" x14ac:dyDescent="0.2">
      <c r="A139" s="440" t="str">
        <f>IF(ISBLANK(Twilight!AG44),"|",CONCATENATE(Twilight!AG44,"|"))</f>
        <v>|</v>
      </c>
      <c r="E139" s="70"/>
      <c r="F139" s="70"/>
      <c r="G139" s="70"/>
      <c r="H139" s="70"/>
    </row>
    <row r="140" spans="1:8" x14ac:dyDescent="0.2">
      <c r="A140" s="440" t="str">
        <f>IF(ISBLANK(Twilight!AG45),"|",CONCATENATE(Twilight!AG45,"|"))</f>
        <v>|</v>
      </c>
      <c r="E140" s="70"/>
      <c r="F140" s="70"/>
      <c r="G140" s="70"/>
      <c r="H140" s="70"/>
    </row>
    <row r="141" spans="1:8" x14ac:dyDescent="0.2">
      <c r="A141" s="440" t="str">
        <f>IF(ISBLANK(Twilight!AG46),"|",CONCATENATE(Twilight!AG46,"|"))</f>
        <v>|</v>
      </c>
      <c r="E141" s="70"/>
      <c r="F141" s="70"/>
      <c r="G141" s="70"/>
      <c r="H141" s="70"/>
    </row>
    <row r="142" spans="1:8" x14ac:dyDescent="0.2">
      <c r="A142" s="440" t="str">
        <f>IF(ISBLANK(Twilight!AG47),"|",CONCATENATE(Twilight!AG47,"|"))</f>
        <v>|</v>
      </c>
      <c r="E142" s="70"/>
      <c r="F142" s="70"/>
      <c r="G142" s="70"/>
      <c r="H142" s="70"/>
    </row>
    <row r="143" spans="1:8" x14ac:dyDescent="0.2">
      <c r="A143" s="440" t="str">
        <f>IF(ISBLANK(Twilight!AG48),"|",CONCATENATE(Twilight!AG48,"|"))</f>
        <v>|</v>
      </c>
      <c r="E143" s="70"/>
      <c r="F143" s="70"/>
      <c r="G143" s="70"/>
      <c r="H143" s="70"/>
    </row>
    <row r="144" spans="1:8" x14ac:dyDescent="0.2">
      <c r="A144" s="440" t="str">
        <f>IF(ISBLANK(Twilight!AG49),"|",CONCATENATE(Twilight!AG49,"|"))</f>
        <v>|</v>
      </c>
      <c r="E144" s="70"/>
      <c r="F144" s="70"/>
      <c r="G144" s="70"/>
      <c r="H144" s="70"/>
    </row>
    <row r="145" spans="1:8" x14ac:dyDescent="0.2">
      <c r="A145" s="440" t="str">
        <f>IF(ISBLANK(Twilight!AG50),"|",CONCATENATE(Twilight!AG50,"|"))</f>
        <v>|</v>
      </c>
      <c r="E145" s="70"/>
      <c r="F145" s="70"/>
      <c r="G145" s="70"/>
      <c r="H145" s="70"/>
    </row>
    <row r="146" spans="1:8" x14ac:dyDescent="0.2">
      <c r="A146" s="440" t="str">
        <f>IF(ISBLANK(Twilight!AG51),"|",CONCATENATE(Twilight!AG51,"|"))</f>
        <v>|</v>
      </c>
      <c r="E146" s="70"/>
      <c r="F146" s="70"/>
      <c r="G146" s="70"/>
      <c r="H146" s="70"/>
    </row>
    <row r="147" spans="1:8" x14ac:dyDescent="0.2">
      <c r="A147" s="440" t="str">
        <f>IF(ISBLANK(Twilight!AG52),"|",CONCATENATE(Twilight!AG52,"|"))</f>
        <v>|</v>
      </c>
      <c r="E147" s="70"/>
      <c r="F147" s="70"/>
      <c r="G147" s="70"/>
      <c r="H147" s="70"/>
    </row>
    <row r="148" spans="1:8" x14ac:dyDescent="0.2">
      <c r="A148" s="440" t="str">
        <f>IF(ISBLANK(Twilight!AG53),"|",CONCATENATE(Twilight!AG53,"|"))</f>
        <v>|</v>
      </c>
      <c r="E148" s="70"/>
      <c r="F148" s="70"/>
      <c r="G148" s="70"/>
      <c r="H148" s="70"/>
    </row>
    <row r="149" spans="1:8" x14ac:dyDescent="0.2">
      <c r="A149" s="440" t="str">
        <f>IF(ISBLANK(Twilight!AG54),"|",CONCATENATE(Twilight!AG54,"|"))</f>
        <v>|</v>
      </c>
      <c r="E149" s="70"/>
      <c r="F149" s="70"/>
      <c r="G149" s="70"/>
      <c r="H149" s="70"/>
    </row>
    <row r="150" spans="1:8" x14ac:dyDescent="0.2">
      <c r="A150" s="440" t="str">
        <f>IF(ISBLANK(Twilight!AG55),"|",CONCATENATE(Twilight!AG55,"|"))</f>
        <v>|</v>
      </c>
      <c r="E150" s="70"/>
      <c r="F150" s="70"/>
      <c r="G150" s="70"/>
      <c r="H150" s="70"/>
    </row>
    <row r="151" spans="1:8" x14ac:dyDescent="0.2">
      <c r="A151" s="440" t="str">
        <f>IF(ISBLANK(Twilight!AG56),"|",CONCATENATE(Twilight!AG56,"|"))</f>
        <v>|</v>
      </c>
      <c r="E151" s="70"/>
      <c r="F151" s="70"/>
      <c r="G151" s="70"/>
      <c r="H151" s="70"/>
    </row>
    <row r="152" spans="1:8" x14ac:dyDescent="0.2">
      <c r="A152" s="440" t="str">
        <f>IF(ISBLANK(Twilight!AG57),"|",CONCATENATE(Twilight!AG57,"|"))</f>
        <v>|</v>
      </c>
      <c r="E152" s="70"/>
      <c r="F152" s="70"/>
      <c r="G152" s="70"/>
      <c r="H152" s="70"/>
    </row>
    <row r="153" spans="1:8" x14ac:dyDescent="0.2">
      <c r="A153" s="440" t="str">
        <f>IF(ISBLANK(Twilight!AG58),"|",CONCATENATE(Twilight!AG58,"|"))</f>
        <v>|</v>
      </c>
      <c r="E153" s="70"/>
      <c r="F153" s="70"/>
      <c r="G153" s="70"/>
      <c r="H153" s="70"/>
    </row>
    <row r="154" spans="1:8" x14ac:dyDescent="0.2">
      <c r="A154" s="440" t="str">
        <f>IF(ISBLANK(Twilight!AG59),"|",CONCATENATE(Twilight!AG59,"|"))</f>
        <v>|</v>
      </c>
      <c r="E154" s="70"/>
      <c r="F154" s="70"/>
      <c r="G154" s="70"/>
      <c r="H154" s="70"/>
    </row>
    <row r="155" spans="1:8" x14ac:dyDescent="0.2">
      <c r="A155" s="440" t="str">
        <f>IF(ISBLANK(Twilight!AG60),"|",CONCATENATE(Twilight!AG60,"|"))</f>
        <v>|</v>
      </c>
      <c r="E155" s="70"/>
      <c r="F155" s="70"/>
      <c r="G155" s="70"/>
      <c r="H155" s="70"/>
    </row>
    <row r="156" spans="1:8" x14ac:dyDescent="0.2">
      <c r="A156" s="440" t="str">
        <f>IF(ISBLANK(Twilight!AG61),"|",CONCATENATE(Twilight!AG61,"|"))</f>
        <v>|</v>
      </c>
      <c r="E156" s="70"/>
      <c r="F156" s="70"/>
      <c r="G156" s="70"/>
      <c r="H156" s="70"/>
    </row>
    <row r="157" spans="1:8" x14ac:dyDescent="0.2">
      <c r="A157" s="440" t="str">
        <f>IF(ISBLANK(Twilight!AG62),"|",CONCATENATE(Twilight!AG62,"|"))</f>
        <v>|</v>
      </c>
      <c r="E157" s="70"/>
      <c r="F157" s="70"/>
      <c r="G157" s="70"/>
      <c r="H157" s="70"/>
    </row>
    <row r="158" spans="1:8" x14ac:dyDescent="0.2">
      <c r="A158" s="440" t="str">
        <f>IF(ISBLANK(Twilight!AG63),"|",CONCATENATE(Twilight!AG63,"|"))</f>
        <v>|</v>
      </c>
      <c r="E158" s="70"/>
      <c r="F158" s="70"/>
      <c r="G158" s="70"/>
      <c r="H158" s="70"/>
    </row>
    <row r="159" spans="1:8" x14ac:dyDescent="0.2">
      <c r="A159" s="440" t="str">
        <f>IF(ISBLANK(Twilight!AG64),"|",CONCATENATE(Twilight!AG64,"|"))</f>
        <v>|</v>
      </c>
      <c r="E159" s="70"/>
      <c r="F159" s="70"/>
      <c r="G159" s="70"/>
      <c r="H159" s="70"/>
    </row>
    <row r="160" spans="1:8" x14ac:dyDescent="0.2">
      <c r="A160" s="440" t="str">
        <f>IF(ISBLANK(Twilight!AG65),"|",CONCATENATE(Twilight!AG65,"|"))</f>
        <v>|</v>
      </c>
      <c r="E160" s="70"/>
      <c r="F160" s="70"/>
      <c r="G160" s="70"/>
      <c r="H160" s="70"/>
    </row>
    <row r="161" spans="1:8" x14ac:dyDescent="0.2">
      <c r="A161" s="440" t="str">
        <f>IF(ISBLANK(Twilight!AG66),"|",CONCATENATE(Twilight!AG66,"|"))</f>
        <v>|</v>
      </c>
      <c r="E161" s="70"/>
      <c r="F161" s="70"/>
      <c r="G161" s="70"/>
      <c r="H161" s="70"/>
    </row>
    <row r="162" spans="1:8" x14ac:dyDescent="0.2">
      <c r="A162" s="440" t="str">
        <f>IF(ISBLANK(Twilight!AG67),"|",CONCATENATE(Twilight!AG67,"|"))</f>
        <v>|</v>
      </c>
      <c r="E162" s="70"/>
      <c r="F162" s="70"/>
      <c r="G162" s="70"/>
      <c r="H162" s="70"/>
    </row>
    <row r="163" spans="1:8" x14ac:dyDescent="0.2">
      <c r="A163" s="440" t="str">
        <f>IF(ISBLANK(Twilight!AG68),"|",CONCATENATE(Twilight!AG68,"|"))</f>
        <v>|</v>
      </c>
      <c r="E163" s="70"/>
      <c r="F163" s="70"/>
      <c r="G163" s="70"/>
      <c r="H163" s="70"/>
    </row>
    <row r="164" spans="1:8" x14ac:dyDescent="0.2">
      <c r="A164" s="440" t="str">
        <f>IF(ISBLANK(Twilight!AG69),"|",CONCATENATE(Twilight!AG69,"|"))</f>
        <v>|</v>
      </c>
      <c r="E164" s="70"/>
      <c r="F164" s="70"/>
      <c r="G164" s="70"/>
      <c r="H164" s="70"/>
    </row>
    <row r="165" spans="1:8" x14ac:dyDescent="0.2">
      <c r="A165" s="440" t="str">
        <f>IF(ISBLANK(Twilight!AG70),"|",CONCATENATE(Twilight!AG70,"|"))</f>
        <v>|</v>
      </c>
      <c r="E165" s="70"/>
      <c r="F165" s="70"/>
      <c r="G165" s="70"/>
      <c r="H165" s="70"/>
    </row>
    <row r="166" spans="1:8" x14ac:dyDescent="0.2">
      <c r="A166" s="440" t="str">
        <f>IF(ISBLANK(Twilight!AG71),"|",CONCATENATE(Twilight!AG71,"|"))</f>
        <v>|</v>
      </c>
      <c r="E166" s="70"/>
      <c r="F166" s="70"/>
      <c r="G166" s="70"/>
      <c r="H166" s="70"/>
    </row>
    <row r="167" spans="1:8" x14ac:dyDescent="0.2">
      <c r="A167" s="440" t="str">
        <f>IF(ISBLANK(Twilight!AG72),"|",CONCATENATE(Twilight!AG72,"|"))</f>
        <v>|</v>
      </c>
      <c r="E167" s="70"/>
      <c r="F167" s="70"/>
      <c r="G167" s="70"/>
      <c r="H167" s="70"/>
    </row>
    <row r="168" spans="1:8" x14ac:dyDescent="0.2">
      <c r="A168" s="440" t="str">
        <f>IF(ISBLANK(Twilight!AG73),"|",CONCATENATE(Twilight!AG73,"|"))</f>
        <v>|</v>
      </c>
      <c r="E168" s="70"/>
      <c r="F168" s="70"/>
      <c r="G168" s="70"/>
      <c r="H168" s="70"/>
    </row>
    <row r="169" spans="1:8" x14ac:dyDescent="0.2">
      <c r="A169" s="440" t="str">
        <f>IF(ISBLANK(Twilight!AG74),"|",CONCATENATE(Twilight!AG74,"|"))</f>
        <v>|</v>
      </c>
      <c r="E169" s="70"/>
      <c r="F169" s="70"/>
      <c r="G169" s="70"/>
      <c r="H169" s="70"/>
    </row>
    <row r="170" spans="1:8" x14ac:dyDescent="0.2">
      <c r="A170" s="440" t="str">
        <f>IF(ISBLANK(Twilight!AG75),"|",CONCATENATE(Twilight!AG75,"|"))</f>
        <v>|</v>
      </c>
      <c r="E170" s="70"/>
      <c r="F170" s="70"/>
      <c r="G170" s="70"/>
      <c r="H170" s="70"/>
    </row>
    <row r="171" spans="1:8" x14ac:dyDescent="0.2">
      <c r="A171" s="440" t="str">
        <f>IF(ISBLANK(Twilight!AG76),"|",CONCATENATE(Twilight!AG76,"|"))</f>
        <v>|</v>
      </c>
      <c r="E171" s="70"/>
      <c r="F171" s="70"/>
      <c r="G171" s="70"/>
      <c r="H171" s="70"/>
    </row>
    <row r="172" spans="1:8" x14ac:dyDescent="0.2">
      <c r="A172" s="440" t="str">
        <f>IF(ISBLANK(Twilight!AG77),"|",CONCATENATE(Twilight!AG77,"|"))</f>
        <v>|</v>
      </c>
      <c r="E172" s="70"/>
      <c r="F172" s="70"/>
      <c r="G172" s="70"/>
      <c r="H172" s="70"/>
    </row>
    <row r="173" spans="1:8" x14ac:dyDescent="0.2">
      <c r="A173" s="440" t="str">
        <f>IF(ISBLANK(Twilight!AG78),"|",CONCATENATE(Twilight!AG78,"|"))</f>
        <v>|</v>
      </c>
      <c r="E173" s="70"/>
      <c r="F173" s="70"/>
      <c r="G173" s="70"/>
      <c r="H173" s="70"/>
    </row>
    <row r="174" spans="1:8" x14ac:dyDescent="0.2">
      <c r="A174" s="440" t="str">
        <f>IF(ISBLANK(Twilight!AG79),"|",CONCATENATE(Twilight!AG79,"|"))</f>
        <v>|</v>
      </c>
      <c r="E174" s="70"/>
      <c r="F174" s="70"/>
      <c r="G174" s="70"/>
      <c r="H174" s="70"/>
    </row>
    <row r="175" spans="1:8" x14ac:dyDescent="0.2">
      <c r="A175" s="440" t="str">
        <f>IF(ISBLANK(Twilight!AG80),"|",CONCATENATE(Twilight!AG80,"|"))</f>
        <v>|</v>
      </c>
      <c r="E175" s="70"/>
      <c r="F175" s="70"/>
      <c r="G175" s="70"/>
      <c r="H175" s="70"/>
    </row>
    <row r="176" spans="1:8" x14ac:dyDescent="0.2">
      <c r="A176" s="440" t="str">
        <f>IF(ISBLANK(Twilight!AG81),"|",CONCATENATE(Twilight!AG81,"|"))</f>
        <v>|</v>
      </c>
      <c r="E176" s="70"/>
      <c r="F176" s="70"/>
      <c r="G176" s="70"/>
      <c r="H176" s="70"/>
    </row>
    <row r="177" spans="1:8" x14ac:dyDescent="0.2">
      <c r="A177" s="440" t="str">
        <f>IF(ISBLANK(Twilight!AG82),"|",CONCATENATE(Twilight!AG82,"|"))</f>
        <v>|</v>
      </c>
      <c r="E177" s="70"/>
      <c r="F177" s="70"/>
      <c r="G177" s="70"/>
      <c r="H177" s="70"/>
    </row>
    <row r="178" spans="1:8" x14ac:dyDescent="0.2">
      <c r="A178" s="440" t="str">
        <f>IF(ISBLANK(Twilight!AG83),"|",CONCATENATE(Twilight!AG83,"|"))</f>
        <v>|</v>
      </c>
      <c r="E178" s="70"/>
      <c r="F178" s="70"/>
      <c r="G178" s="70"/>
      <c r="H178" s="70"/>
    </row>
    <row r="179" spans="1:8" x14ac:dyDescent="0.2">
      <c r="A179" s="440" t="str">
        <f>IF(ISBLANK(Twilight!AG84),"|",CONCATENATE(Twilight!AG84,"|"))</f>
        <v>|</v>
      </c>
      <c r="E179" s="70"/>
      <c r="F179" s="70"/>
      <c r="G179" s="70"/>
      <c r="H179" s="70"/>
    </row>
    <row r="180" spans="1:8" x14ac:dyDescent="0.2">
      <c r="A180" s="440" t="str">
        <f>IF(ISBLANK(Twilight!AG85),"|",CONCATENATE(Twilight!AG85,"|"))</f>
        <v>|</v>
      </c>
      <c r="E180" s="70"/>
      <c r="F180" s="70"/>
      <c r="G180" s="70"/>
      <c r="H180" s="70"/>
    </row>
    <row r="181" spans="1:8" x14ac:dyDescent="0.2">
      <c r="A181" s="440" t="str">
        <f>IF(ISBLANK(Twilight!AG86),"|",CONCATENATE(Twilight!AG86,"|"))</f>
        <v>|</v>
      </c>
      <c r="E181" s="70"/>
      <c r="F181" s="70"/>
      <c r="G181" s="70"/>
      <c r="H181" s="70"/>
    </row>
    <row r="182" spans="1:8" x14ac:dyDescent="0.2">
      <c r="A182" s="440" t="str">
        <f>IF(ISBLANK(Twilight!AG87),"|",CONCATENATE(Twilight!AG87,"|"))</f>
        <v>|</v>
      </c>
      <c r="E182" s="70"/>
      <c r="F182" s="70"/>
      <c r="G182" s="70"/>
      <c r="H182" s="70"/>
    </row>
    <row r="183" spans="1:8" x14ac:dyDescent="0.2">
      <c r="A183" s="440" t="str">
        <f>IF(ISBLANK(Twilight!AG88),"|",CONCATENATE(Twilight!AG88,"|"))</f>
        <v>|</v>
      </c>
      <c r="E183" s="70"/>
      <c r="F183" s="70"/>
      <c r="G183" s="70"/>
      <c r="H183" s="70"/>
    </row>
    <row r="184" spans="1:8" x14ac:dyDescent="0.2">
      <c r="A184" s="440" t="str">
        <f>IF(ISBLANK(Twilight!AG89),"|",CONCATENATE(Twilight!AG89,"|"))</f>
        <v>|</v>
      </c>
      <c r="E184" s="70"/>
      <c r="F184" s="70"/>
      <c r="G184" s="70"/>
      <c r="H184" s="70"/>
    </row>
    <row r="185" spans="1:8" x14ac:dyDescent="0.2">
      <c r="A185" s="440" t="str">
        <f>IF(ISBLANK(Twilight!AG90),"|",CONCATENATE(Twilight!AG90,"|"))</f>
        <v>|</v>
      </c>
      <c r="E185" s="70"/>
      <c r="F185" s="70"/>
      <c r="G185" s="70"/>
      <c r="H185" s="70"/>
    </row>
    <row r="186" spans="1:8" x14ac:dyDescent="0.2">
      <c r="A186" s="440" t="str">
        <f>IF(ISBLANK(Twilight!AG91),"|",CONCATENATE(Twilight!AG91,"|"))</f>
        <v>|</v>
      </c>
      <c r="E186" s="70"/>
      <c r="F186" s="70"/>
      <c r="G186" s="70"/>
      <c r="H186" s="70"/>
    </row>
    <row r="187" spans="1:8" x14ac:dyDescent="0.2">
      <c r="A187" s="440" t="str">
        <f>IF(ISBLANK(Twilight!AG92),"|",CONCATENATE(Twilight!AG92,"|"))</f>
        <v>|</v>
      </c>
      <c r="E187" s="70"/>
      <c r="F187" s="70"/>
      <c r="G187" s="70"/>
      <c r="H187" s="70"/>
    </row>
    <row r="188" spans="1:8" x14ac:dyDescent="0.2">
      <c r="A188" s="440" t="str">
        <f>IF(ISBLANK(Twilight!AG93),"|",CONCATENATE(Twilight!AG93,"|"))</f>
        <v>|</v>
      </c>
      <c r="E188" s="70"/>
      <c r="F188" s="70"/>
      <c r="G188" s="70"/>
      <c r="H188" s="70"/>
    </row>
    <row r="189" spans="1:8" x14ac:dyDescent="0.2">
      <c r="A189" s="440" t="str">
        <f>IF(ISBLANK(Twilight!AG94),"|",CONCATENATE(Twilight!AG94,"|"))</f>
        <v>|</v>
      </c>
      <c r="E189" s="70"/>
      <c r="F189" s="70"/>
      <c r="G189" s="70"/>
      <c r="H189" s="70"/>
    </row>
    <row r="190" spans="1:8" x14ac:dyDescent="0.2">
      <c r="A190" s="440" t="str">
        <f>IF(ISBLANK(Twilight!AG95),"|",CONCATENATE(Twilight!AG95,"|"))</f>
        <v>|</v>
      </c>
      <c r="E190" s="70"/>
      <c r="F190" s="70"/>
      <c r="G190" s="70"/>
      <c r="H190" s="70"/>
    </row>
    <row r="191" spans="1:8" x14ac:dyDescent="0.2">
      <c r="A191" s="440" t="str">
        <f>IF(ISBLANK(Twilight!AG96),"|",CONCATENATE(Twilight!AG96,"|"))</f>
        <v>|</v>
      </c>
      <c r="E191" s="70"/>
      <c r="F191" s="70"/>
      <c r="G191" s="70"/>
      <c r="H191" s="70"/>
    </row>
    <row r="192" spans="1:8" x14ac:dyDescent="0.2">
      <c r="A192" s="440" t="str">
        <f>IF(ISBLANK(Twilight!AG97),"|",CONCATENATE(Twilight!AG97,"|"))</f>
        <v>|</v>
      </c>
      <c r="E192" s="70"/>
      <c r="F192" s="70"/>
      <c r="G192" s="70"/>
      <c r="H192" s="70"/>
    </row>
    <row r="193" spans="1:8" x14ac:dyDescent="0.2">
      <c r="A193" s="440" t="str">
        <f>IF(ISBLANK(Twilight!AG98),"|",CONCATENATE(Twilight!AG98,"|"))</f>
        <v>|</v>
      </c>
      <c r="E193" s="70"/>
      <c r="F193" s="70"/>
      <c r="G193" s="70"/>
      <c r="H193" s="70"/>
    </row>
    <row r="194" spans="1:8" x14ac:dyDescent="0.2">
      <c r="A194" s="440" t="str">
        <f>IF(ISBLANK(Twilight!AG99),"|",CONCATENATE(Twilight!AG99,"|"))</f>
        <v>|</v>
      </c>
      <c r="E194" s="70"/>
      <c r="F194" s="70"/>
      <c r="G194" s="70"/>
      <c r="H194" s="70"/>
    </row>
    <row r="195" spans="1:8" x14ac:dyDescent="0.2">
      <c r="A195" s="440" t="str">
        <f>IF(ISBLANK(Twilight!AG100),"|",CONCATENATE(Twilight!AG100,"|"))</f>
        <v>|</v>
      </c>
      <c r="E195" s="70"/>
      <c r="F195" s="70"/>
      <c r="G195" s="70"/>
      <c r="H195" s="70"/>
    </row>
    <row r="196" spans="1:8" x14ac:dyDescent="0.2">
      <c r="A196" s="440" t="str">
        <f>IF(ISBLANK(Twilight!AG101),"|",CONCATENATE(Twilight!AG101,"|"))</f>
        <v>|</v>
      </c>
      <c r="E196" s="70"/>
      <c r="F196" s="70"/>
      <c r="G196" s="70"/>
      <c r="H196" s="70"/>
    </row>
    <row r="197" spans="1:8" x14ac:dyDescent="0.2">
      <c r="A197" s="440" t="str">
        <f>IF(ISBLANK(Twilight!AG102),"|",CONCATENATE(Twilight!AG102,"|"))</f>
        <v>|</v>
      </c>
      <c r="E197" s="70"/>
      <c r="F197" s="70"/>
      <c r="G197" s="70"/>
      <c r="H197" s="70"/>
    </row>
    <row r="198" spans="1:8" x14ac:dyDescent="0.2">
      <c r="A198" s="440" t="str">
        <f>IF(ISBLANK(Twilight!AG103),"|",CONCATENATE(Twilight!AG103,"|"))</f>
        <v>|</v>
      </c>
      <c r="E198" s="70"/>
      <c r="F198" s="70"/>
      <c r="G198" s="70"/>
      <c r="H198" s="70"/>
    </row>
    <row r="199" spans="1:8" x14ac:dyDescent="0.2">
      <c r="A199" s="440" t="str">
        <f>IF(ISBLANK(Twilight!AG104),"|",CONCATENATE(Twilight!AG104,"|"))</f>
        <v>|</v>
      </c>
      <c r="E199" s="70"/>
      <c r="F199" s="70"/>
      <c r="G199" s="70"/>
      <c r="H199" s="70"/>
    </row>
    <row r="200" spans="1:8" x14ac:dyDescent="0.2">
      <c r="A200" s="440" t="str">
        <f>IF(ISBLANK(Twilight!AG105),"|",CONCATENATE(Twilight!AG105,"|"))</f>
        <v>|</v>
      </c>
      <c r="E200" s="70"/>
      <c r="F200" s="70"/>
      <c r="G200" s="70"/>
      <c r="H200" s="70"/>
    </row>
    <row r="201" spans="1:8" x14ac:dyDescent="0.2">
      <c r="A201" s="440" t="str">
        <f>IF(ISBLANK(Twilight!AG106),"|",CONCATENATE(Twilight!AG106,"|"))</f>
        <v>|</v>
      </c>
      <c r="E201" s="70"/>
      <c r="F201" s="70"/>
      <c r="G201" s="70"/>
      <c r="H201" s="70"/>
    </row>
    <row r="202" spans="1:8" x14ac:dyDescent="0.2">
      <c r="A202" s="440" t="str">
        <f>IF(ISBLANK(Twilight!AG107),"|",CONCATENATE(Twilight!AG107,"|"))</f>
        <v>|</v>
      </c>
      <c r="E202" s="70"/>
      <c r="F202" s="70"/>
      <c r="G202" s="70"/>
      <c r="H202" s="70"/>
    </row>
    <row r="203" spans="1:8" x14ac:dyDescent="0.2">
      <c r="A203" s="440" t="str">
        <f>IF(ISBLANK(Twilight!AG108),"|",CONCATENATE(Twilight!AG108,"|"))</f>
        <v>|</v>
      </c>
      <c r="E203" s="70"/>
      <c r="F203" s="70"/>
      <c r="G203" s="70"/>
      <c r="H203" s="70"/>
    </row>
    <row r="204" spans="1:8" x14ac:dyDescent="0.2">
      <c r="A204" s="440" t="str">
        <f>IF(ISBLANK(Twilight!AG109),"|",CONCATENATE(Twilight!AG109,"|"))</f>
        <v>|</v>
      </c>
      <c r="E204" s="70"/>
      <c r="F204" s="70"/>
      <c r="G204" s="70"/>
      <c r="H204" s="70"/>
    </row>
    <row r="205" spans="1:8" x14ac:dyDescent="0.2">
      <c r="A205" s="440" t="str">
        <f>IF(ISBLANK(Twilight!AG110),"|",CONCATENATE(Twilight!AG110,"|"))</f>
        <v>|</v>
      </c>
      <c r="E205" s="70"/>
      <c r="F205" s="70"/>
      <c r="G205" s="70"/>
      <c r="H205" s="70"/>
    </row>
    <row r="206" spans="1:8" x14ac:dyDescent="0.2">
      <c r="A206" s="440" t="str">
        <f>IF(ISBLANK(Twilight!AG111),"|",CONCATENATE(Twilight!AG111,"|"))</f>
        <v>|</v>
      </c>
      <c r="E206" s="70"/>
      <c r="F206" s="70"/>
      <c r="G206" s="70"/>
      <c r="H206" s="70"/>
    </row>
    <row r="207" spans="1:8" x14ac:dyDescent="0.2">
      <c r="A207" s="440" t="str">
        <f>IF(ISBLANK(Twilight!AG112),"|",CONCATENATE(Twilight!AG112,"|"))</f>
        <v>|</v>
      </c>
      <c r="E207" s="70"/>
      <c r="F207" s="70"/>
      <c r="G207" s="70"/>
      <c r="H207" s="70"/>
    </row>
    <row r="208" spans="1:8" x14ac:dyDescent="0.2">
      <c r="A208" s="440" t="str">
        <f>IF(ISBLANK(Twilight!AG113),"|",CONCATENATE(Twilight!AG113,"|"))</f>
        <v>|</v>
      </c>
      <c r="E208" s="70"/>
      <c r="F208" s="70"/>
      <c r="G208" s="70"/>
      <c r="H208" s="70"/>
    </row>
    <row r="209" spans="1:8" x14ac:dyDescent="0.2">
      <c r="A209" s="440" t="str">
        <f>IF(ISBLANK(Twilight!AG114),"|",CONCATENATE(Twilight!AG114,"|"))</f>
        <v>|</v>
      </c>
      <c r="E209" s="70"/>
      <c r="F209" s="70"/>
      <c r="G209" s="70"/>
      <c r="H209" s="70"/>
    </row>
    <row r="210" spans="1:8" x14ac:dyDescent="0.2">
      <c r="A210" s="440" t="str">
        <f>IF(ISBLANK(Twilight!AG115),"|",CONCATENATE(Twilight!AG115,"|"))</f>
        <v>|</v>
      </c>
      <c r="E210" s="70"/>
      <c r="F210" s="70"/>
      <c r="G210" s="70"/>
      <c r="H210" s="70"/>
    </row>
    <row r="211" spans="1:8" x14ac:dyDescent="0.2">
      <c r="A211" s="440" t="str">
        <f>IF(ISBLANK(Twilight!AG116),"|",CONCATENATE(Twilight!AG116,"|"))</f>
        <v>|</v>
      </c>
      <c r="E211" s="70"/>
      <c r="F211" s="70"/>
      <c r="G211" s="70"/>
      <c r="H211" s="70"/>
    </row>
    <row r="212" spans="1:8" x14ac:dyDescent="0.2">
      <c r="A212" s="440" t="str">
        <f>IF(ISBLANK(Twilight!AG117),"|",CONCATENATE(Twilight!AG117,"|"))</f>
        <v>|</v>
      </c>
      <c r="E212" s="70"/>
      <c r="F212" s="70"/>
      <c r="G212" s="70"/>
      <c r="H212" s="70"/>
    </row>
    <row r="213" spans="1:8" x14ac:dyDescent="0.2">
      <c r="A213" s="440" t="str">
        <f>IF(ISBLANK(Twilight!AG118),"|",CONCATENATE(Twilight!AG118,"|"))</f>
        <v>|</v>
      </c>
      <c r="E213" s="70"/>
      <c r="F213" s="70"/>
      <c r="G213" s="70"/>
      <c r="H213" s="70"/>
    </row>
    <row r="214" spans="1:8" x14ac:dyDescent="0.2">
      <c r="A214" s="440" t="str">
        <f>IF(ISBLANK(Twilight!AG119),"|",CONCATENATE(Twilight!AG119,"|"))</f>
        <v>|</v>
      </c>
      <c r="E214" s="70"/>
      <c r="F214" s="70"/>
      <c r="G214" s="70"/>
      <c r="H214" s="70"/>
    </row>
    <row r="215" spans="1:8" x14ac:dyDescent="0.2">
      <c r="A215" s="440" t="str">
        <f>IF(ISBLANK(Twilight!AG120),"|",CONCATENATE(Twilight!AG120,"|"))</f>
        <v>|</v>
      </c>
      <c r="E215" s="70"/>
      <c r="F215" s="70"/>
      <c r="G215" s="70"/>
      <c r="H215" s="70"/>
    </row>
    <row r="216" spans="1:8" x14ac:dyDescent="0.2">
      <c r="A216" s="440" t="str">
        <f>IF(ISBLANK(Twilight!AG121),"|",CONCATENATE(Twilight!AG121,"|"))</f>
        <v>|</v>
      </c>
      <c r="E216" s="70"/>
      <c r="F216" s="70"/>
      <c r="G216" s="70"/>
      <c r="H216" s="70"/>
    </row>
    <row r="217" spans="1:8" x14ac:dyDescent="0.2">
      <c r="A217" s="440" t="str">
        <f>IF(ISBLANK(Twilight!AG122),"|",CONCATENATE(Twilight!AG122,"|"))</f>
        <v>|</v>
      </c>
      <c r="E217" s="70"/>
      <c r="F217" s="70"/>
      <c r="G217" s="70"/>
      <c r="H217" s="70"/>
    </row>
    <row r="218" spans="1:8" x14ac:dyDescent="0.2">
      <c r="A218" s="440" t="str">
        <f>IF(ISBLANK(Twilight!AG123),"|",CONCATENATE(Twilight!AG123,"|"))</f>
        <v>|</v>
      </c>
      <c r="E218" s="70"/>
      <c r="F218" s="70"/>
      <c r="G218" s="70"/>
      <c r="H218" s="70"/>
    </row>
    <row r="219" spans="1:8" x14ac:dyDescent="0.2">
      <c r="A219" s="440" t="str">
        <f>IF(ISBLANK(Twilight!AG124),"|",CONCATENATE(Twilight!AG124,"|"))</f>
        <v>|</v>
      </c>
      <c r="E219" s="70"/>
      <c r="F219" s="70"/>
      <c r="G219" s="70"/>
      <c r="H219" s="70"/>
    </row>
    <row r="220" spans="1:8" x14ac:dyDescent="0.2">
      <c r="A220" s="440" t="str">
        <f>IF(ISBLANK(Twilight!AG125),"|",CONCATENATE(Twilight!AG125,"|"))</f>
        <v>|</v>
      </c>
      <c r="E220" s="70"/>
      <c r="F220" s="70"/>
      <c r="G220" s="70"/>
      <c r="H220" s="70"/>
    </row>
    <row r="221" spans="1:8" x14ac:dyDescent="0.2">
      <c r="A221" s="440" t="str">
        <f>IF(ISBLANK(Twilight!AG126),"|",CONCATENATE(Twilight!AG126,"|"))</f>
        <v>|</v>
      </c>
      <c r="E221" s="70"/>
      <c r="F221" s="70"/>
      <c r="G221" s="70"/>
      <c r="H221" s="70"/>
    </row>
    <row r="222" spans="1:8" x14ac:dyDescent="0.2">
      <c r="A222" s="440" t="str">
        <f>IF(ISBLANK(Twilight!AG127),"|",CONCATENATE(Twilight!AG127,"|"))</f>
        <v>|</v>
      </c>
      <c r="E222" s="70"/>
      <c r="F222" s="70"/>
      <c r="G222" s="70"/>
      <c r="H222" s="70"/>
    </row>
    <row r="223" spans="1:8" x14ac:dyDescent="0.2">
      <c r="A223" s="440" t="str">
        <f>IF(ISBLANK(Twilight!AG128),"|",CONCATENATE(Twilight!AG128,"|"))</f>
        <v>|</v>
      </c>
      <c r="E223" s="70"/>
      <c r="F223" s="70"/>
      <c r="G223" s="70"/>
      <c r="H223" s="70"/>
    </row>
    <row r="224" spans="1:8" x14ac:dyDescent="0.2">
      <c r="A224" s="440" t="str">
        <f>IF(ISBLANK(Twilight!AG129),"|",CONCATENATE(Twilight!AG129,"|"))</f>
        <v>|</v>
      </c>
      <c r="E224" s="70"/>
      <c r="F224" s="70"/>
      <c r="G224" s="70"/>
      <c r="H224" s="70"/>
    </row>
    <row r="225" spans="1:8" x14ac:dyDescent="0.2">
      <c r="A225" s="440" t="str">
        <f>IF(ISBLANK(Twilight!AG130),"|",CONCATENATE(Twilight!AG130,"|"))</f>
        <v>|</v>
      </c>
      <c r="E225" s="70"/>
      <c r="F225" s="70"/>
      <c r="G225" s="70"/>
      <c r="H225" s="70"/>
    </row>
    <row r="226" spans="1:8" x14ac:dyDescent="0.2">
      <c r="A226" s="440" t="str">
        <f>IF(ISBLANK(Twilight!AG131),"|",CONCATENATE(Twilight!AG131,"|"))</f>
        <v>|</v>
      </c>
      <c r="E226" s="70"/>
      <c r="F226" s="70"/>
      <c r="G226" s="70"/>
      <c r="H226" s="70"/>
    </row>
    <row r="227" spans="1:8" x14ac:dyDescent="0.2">
      <c r="A227" s="440" t="str">
        <f>IF(ISBLANK(Twilight!AG132),"|",CONCATENATE(Twilight!AG132,"|"))</f>
        <v>|</v>
      </c>
      <c r="E227" s="70"/>
      <c r="F227" s="70"/>
      <c r="G227" s="70"/>
      <c r="H227" s="70"/>
    </row>
    <row r="228" spans="1:8" x14ac:dyDescent="0.2">
      <c r="A228" s="440" t="str">
        <f>IF(ISBLANK(Twilight!AG133),"|",CONCATENATE(Twilight!AG133,"|"))</f>
        <v>|</v>
      </c>
      <c r="E228" s="70"/>
      <c r="F228" s="70"/>
      <c r="G228" s="70"/>
      <c r="H228" s="70"/>
    </row>
    <row r="229" spans="1:8" x14ac:dyDescent="0.2">
      <c r="A229" s="440" t="str">
        <f>IF(ISBLANK(Twilight!AG134),"|",CONCATENATE(Twilight!AG134,"|"))</f>
        <v>|</v>
      </c>
      <c r="E229" s="70"/>
      <c r="F229" s="70"/>
      <c r="G229" s="70"/>
      <c r="H229" s="70"/>
    </row>
    <row r="230" spans="1:8" x14ac:dyDescent="0.2">
      <c r="A230" s="440" t="str">
        <f>IF(ISBLANK(Twilight!AG135),"|",CONCATENATE(Twilight!AG135,"|"))</f>
        <v>|</v>
      </c>
      <c r="E230" s="70"/>
      <c r="F230" s="70"/>
      <c r="G230" s="70"/>
      <c r="H230" s="70"/>
    </row>
    <row r="231" spans="1:8" x14ac:dyDescent="0.2">
      <c r="A231" s="440" t="str">
        <f>IF(ISBLANK(Twilight!AG136),"|",CONCATENATE(Twilight!AG136,"|"))</f>
        <v>|</v>
      </c>
      <c r="E231" s="70"/>
      <c r="F231" s="70"/>
      <c r="G231" s="70"/>
      <c r="H231" s="70"/>
    </row>
    <row r="232" spans="1:8" x14ac:dyDescent="0.2">
      <c r="A232" s="440" t="str">
        <f>IF(ISBLANK(Twilight!AG137),"|",CONCATENATE(Twilight!AG137,"|"))</f>
        <v>|</v>
      </c>
      <c r="E232" s="70"/>
      <c r="F232" s="70"/>
      <c r="G232" s="70"/>
      <c r="H232" s="70"/>
    </row>
    <row r="233" spans="1:8" x14ac:dyDescent="0.2">
      <c r="A233" s="440" t="str">
        <f>IF(ISBLANK(Twilight!AG138),"|",CONCATENATE(Twilight!AG138,"|"))</f>
        <v>|</v>
      </c>
      <c r="E233" s="70"/>
      <c r="F233" s="70"/>
      <c r="G233" s="70"/>
      <c r="H233" s="70"/>
    </row>
    <row r="234" spans="1:8" x14ac:dyDescent="0.2">
      <c r="A234" s="440" t="str">
        <f>IF(ISBLANK(Twilight!AG139),"|",CONCATENATE(Twilight!AG139,"|"))</f>
        <v>|</v>
      </c>
      <c r="E234" s="70"/>
      <c r="F234" s="70"/>
      <c r="G234" s="70"/>
      <c r="H234" s="70"/>
    </row>
    <row r="235" spans="1:8" x14ac:dyDescent="0.2">
      <c r="A235" s="440" t="str">
        <f>IF(ISBLANK(Twilight!AG140),"|",CONCATENATE(Twilight!AG140,"|"))</f>
        <v>|</v>
      </c>
      <c r="E235" s="70"/>
      <c r="F235" s="70"/>
      <c r="G235" s="70"/>
      <c r="H235" s="70"/>
    </row>
    <row r="236" spans="1:8" x14ac:dyDescent="0.2">
      <c r="A236" s="440" t="str">
        <f>IF(ISBLANK(Twilight!AG141),"|",CONCATENATE(Twilight!AG141,"|"))</f>
        <v>|</v>
      </c>
      <c r="E236" s="70"/>
      <c r="F236" s="70"/>
      <c r="G236" s="70"/>
      <c r="H236" s="70"/>
    </row>
    <row r="237" spans="1:8" x14ac:dyDescent="0.2">
      <c r="A237" s="440" t="str">
        <f>IF(ISBLANK(Twilight!AG142),"|",CONCATENATE(Twilight!AG142,"|"))</f>
        <v>|</v>
      </c>
      <c r="E237" s="70"/>
      <c r="F237" s="70"/>
      <c r="G237" s="70"/>
      <c r="H237" s="70"/>
    </row>
    <row r="238" spans="1:8" x14ac:dyDescent="0.2">
      <c r="A238" s="440" t="str">
        <f>IF(ISBLANK(Twilight!AG143),"|",CONCATENATE(Twilight!AG143,"|"))</f>
        <v>|</v>
      </c>
      <c r="E238" s="70"/>
      <c r="F238" s="70"/>
      <c r="G238" s="70"/>
      <c r="H238" s="70"/>
    </row>
    <row r="239" spans="1:8" x14ac:dyDescent="0.2">
      <c r="A239" s="440" t="str">
        <f>IF(ISBLANK(Twilight!AG144),"|",CONCATENATE(Twilight!AG144,"|"))</f>
        <v>|</v>
      </c>
      <c r="E239" s="70"/>
      <c r="F239" s="70"/>
      <c r="G239" s="70"/>
      <c r="H239" s="70"/>
    </row>
    <row r="240" spans="1:8" x14ac:dyDescent="0.2">
      <c r="A240" s="440" t="str">
        <f>IF(ISBLANK(Twilight!AG145),"|",CONCATENATE(Twilight!AG145,"|"))</f>
        <v>|</v>
      </c>
      <c r="E240" s="70"/>
      <c r="F240" s="70"/>
      <c r="G240" s="70"/>
      <c r="H240" s="70"/>
    </row>
    <row r="241" spans="1:8" x14ac:dyDescent="0.2">
      <c r="A241" s="440" t="str">
        <f>IF(ISBLANK(Twilight!AG146),"|",CONCATENATE(Twilight!AG146,"|"))</f>
        <v>|</v>
      </c>
      <c r="E241" s="70"/>
      <c r="F241" s="70"/>
      <c r="G241" s="70"/>
      <c r="H241" s="70"/>
    </row>
    <row r="242" spans="1:8" x14ac:dyDescent="0.2">
      <c r="A242" s="440" t="str">
        <f>IF(ISBLANK(Twilight!AG147),"|",CONCATENATE(Twilight!AG147,"|"))</f>
        <v>|</v>
      </c>
      <c r="E242" s="70"/>
      <c r="F242" s="70"/>
      <c r="G242" s="70"/>
      <c r="H242" s="70"/>
    </row>
    <row r="243" spans="1:8" x14ac:dyDescent="0.2">
      <c r="A243" s="440" t="str">
        <f>IF(ISBLANK(Twilight!AG148),"|",CONCATENATE(Twilight!AG148,"|"))</f>
        <v>|</v>
      </c>
      <c r="E243" s="70"/>
      <c r="F243" s="70"/>
      <c r="G243" s="70"/>
      <c r="H243" s="70"/>
    </row>
    <row r="244" spans="1:8" x14ac:dyDescent="0.2">
      <c r="A244" s="440" t="str">
        <f>IF(ISBLANK(Twilight!AG149),"|",CONCATENATE(Twilight!AG149,"|"))</f>
        <v>|</v>
      </c>
      <c r="E244" s="70"/>
      <c r="F244" s="70"/>
      <c r="G244" s="70"/>
      <c r="H244" s="70"/>
    </row>
    <row r="245" spans="1:8" x14ac:dyDescent="0.2">
      <c r="A245" s="440" t="str">
        <f>IF(ISBLANK(Twilight!AG150),"|",CONCATENATE(Twilight!AG150,"|"))</f>
        <v>|</v>
      </c>
      <c r="E245" s="70"/>
      <c r="F245" s="70"/>
      <c r="G245" s="70"/>
      <c r="H245" s="70"/>
    </row>
    <row r="246" spans="1:8" x14ac:dyDescent="0.2">
      <c r="A246" s="440" t="str">
        <f>IF(ISBLANK(Twilight!AG151),"|",CONCATENATE(Twilight!AG151,"|"))</f>
        <v>|</v>
      </c>
      <c r="E246" s="70"/>
      <c r="F246" s="70"/>
      <c r="G246" s="70"/>
      <c r="H246" s="70"/>
    </row>
    <row r="247" spans="1:8" x14ac:dyDescent="0.2">
      <c r="A247" s="440" t="str">
        <f>IF(ISBLANK(Twilight!AG152),"|",CONCATENATE(Twilight!AG152,"|"))</f>
        <v>|</v>
      </c>
      <c r="E247" s="70"/>
      <c r="F247" s="70"/>
      <c r="G247" s="70"/>
      <c r="H247" s="70"/>
    </row>
    <row r="248" spans="1:8" x14ac:dyDescent="0.2">
      <c r="A248" s="440" t="str">
        <f>IF(ISBLANK(Twilight!AG153),"|",CONCATENATE(Twilight!AG153,"|"))</f>
        <v>|</v>
      </c>
      <c r="E248" s="70"/>
      <c r="F248" s="70"/>
      <c r="G248" s="70"/>
      <c r="H248" s="70"/>
    </row>
    <row r="249" spans="1:8" x14ac:dyDescent="0.2">
      <c r="A249" s="440" t="str">
        <f>IF(ISBLANK(Twilight!AG154),"|",CONCATENATE(Twilight!AG154,"|"))</f>
        <v>|</v>
      </c>
      <c r="E249" s="70"/>
      <c r="F249" s="70"/>
      <c r="G249" s="70"/>
      <c r="H249" s="70"/>
    </row>
    <row r="250" spans="1:8" x14ac:dyDescent="0.2">
      <c r="A250" s="440" t="str">
        <f>IF(ISBLANK(Twilight!AG155),"|",CONCATENATE(Twilight!AG155,"|"))</f>
        <v>|</v>
      </c>
      <c r="E250" s="70"/>
      <c r="F250" s="70"/>
      <c r="G250" s="70"/>
      <c r="H250" s="70"/>
    </row>
    <row r="251" spans="1:8" x14ac:dyDescent="0.2">
      <c r="A251" s="440" t="str">
        <f>IF(ISBLANK(Twilight!AG156),"|",CONCATENATE(Twilight!AG156,"|"))</f>
        <v>|</v>
      </c>
      <c r="E251" s="70"/>
      <c r="F251" s="70"/>
      <c r="G251" s="70"/>
      <c r="H251" s="70"/>
    </row>
    <row r="252" spans="1:8" x14ac:dyDescent="0.2">
      <c r="A252" s="440" t="str">
        <f>IF(ISBLANK(Twilight!AG157),"|",CONCATENATE(Twilight!AG157,"|"))</f>
        <v>|</v>
      </c>
      <c r="E252" s="70"/>
      <c r="F252" s="70"/>
      <c r="G252" s="70"/>
      <c r="H252" s="70"/>
    </row>
    <row r="253" spans="1:8" x14ac:dyDescent="0.2">
      <c r="A253" s="440" t="str">
        <f>IF(ISBLANK(Twilight!AG158),"|",CONCATENATE(Twilight!AG158,"|"))</f>
        <v>|</v>
      </c>
      <c r="E253" s="70"/>
      <c r="F253" s="70"/>
      <c r="G253" s="70"/>
      <c r="H253" s="70"/>
    </row>
    <row r="254" spans="1:8" x14ac:dyDescent="0.2">
      <c r="A254" s="440" t="str">
        <f>IF(ISBLANK(Twilight!AG159),"|",CONCATENATE(Twilight!AG159,"|"))</f>
        <v>|</v>
      </c>
      <c r="E254" s="70"/>
      <c r="F254" s="70"/>
      <c r="G254" s="70"/>
      <c r="H254" s="70"/>
    </row>
    <row r="255" spans="1:8" x14ac:dyDescent="0.2">
      <c r="A255" s="440" t="str">
        <f>IF(ISBLANK(Twilight!AG160),"|",CONCATENATE(Twilight!AG160,"|"))</f>
        <v>|</v>
      </c>
      <c r="E255" s="70"/>
      <c r="F255" s="70"/>
      <c r="G255" s="70"/>
      <c r="H255" s="70"/>
    </row>
    <row r="256" spans="1:8" x14ac:dyDescent="0.2">
      <c r="A256" s="440" t="str">
        <f>IF(ISBLANK(Twilight!AG161),"|",CONCATENATE(Twilight!AG161,"|"))</f>
        <v>|</v>
      </c>
      <c r="E256" s="70"/>
      <c r="F256" s="70"/>
      <c r="G256" s="70"/>
      <c r="H256" s="70"/>
    </row>
    <row r="257" spans="1:8" x14ac:dyDescent="0.2">
      <c r="A257" s="440" t="str">
        <f>IF(ISBLANK(Twilight!AG162),"|",CONCATENATE(Twilight!AG162,"|"))</f>
        <v>|</v>
      </c>
      <c r="E257" s="70"/>
      <c r="F257" s="70"/>
      <c r="G257" s="70"/>
      <c r="H257" s="70"/>
    </row>
    <row r="258" spans="1:8" x14ac:dyDescent="0.2">
      <c r="A258" s="440" t="str">
        <f>IF(ISBLANK(Twilight!AG163),"|",CONCATENATE(Twilight!AG163,"|"))</f>
        <v>|</v>
      </c>
      <c r="E258" s="70"/>
      <c r="F258" s="70"/>
      <c r="G258" s="70"/>
      <c r="H258" s="70"/>
    </row>
    <row r="259" spans="1:8" x14ac:dyDescent="0.2">
      <c r="A259" s="440" t="str">
        <f>IF(ISBLANK(Twilight!AG164),"|",CONCATENATE(Twilight!AG164,"|"))</f>
        <v>|</v>
      </c>
      <c r="E259" s="70"/>
      <c r="F259" s="70"/>
      <c r="G259" s="70"/>
      <c r="H259" s="70"/>
    </row>
    <row r="260" spans="1:8" x14ac:dyDescent="0.2">
      <c r="A260" s="440" t="str">
        <f>IF(ISBLANK(Twilight!AG165),"|",CONCATENATE(Twilight!AG165,"|"))</f>
        <v>|</v>
      </c>
      <c r="E260" s="70"/>
      <c r="F260" s="70"/>
      <c r="G260" s="70"/>
      <c r="H260" s="70"/>
    </row>
    <row r="261" spans="1:8" x14ac:dyDescent="0.2">
      <c r="A261" s="440" t="str">
        <f>IF(ISBLANK(Twilight!AG166),"|",CONCATENATE(Twilight!AG166,"|"))</f>
        <v>|</v>
      </c>
      <c r="E261" s="70"/>
      <c r="F261" s="70"/>
      <c r="G261" s="70"/>
      <c r="H261" s="70"/>
    </row>
    <row r="262" spans="1:8" x14ac:dyDescent="0.2">
      <c r="A262" s="440" t="str">
        <f>IF(ISBLANK(Twilight!AG167),"|",CONCATENATE(Twilight!AG167,"|"))</f>
        <v>|</v>
      </c>
      <c r="E262" s="70"/>
      <c r="F262" s="70"/>
      <c r="G262" s="70"/>
      <c r="H262" s="70"/>
    </row>
    <row r="263" spans="1:8" x14ac:dyDescent="0.2">
      <c r="A263" s="440" t="str">
        <f>IF(ISBLANK(Twilight!AG168),"|",CONCATENATE(Twilight!AG168,"|"))</f>
        <v>|</v>
      </c>
      <c r="E263" s="70"/>
      <c r="F263" s="70"/>
      <c r="G263" s="70"/>
      <c r="H263" s="70"/>
    </row>
    <row r="264" spans="1:8" x14ac:dyDescent="0.2">
      <c r="A264" s="440" t="str">
        <f>IF(ISBLANK(Twilight!AG169),"|",CONCATENATE(Twilight!AG169,"|"))</f>
        <v>|</v>
      </c>
      <c r="E264" s="70"/>
      <c r="F264" s="70"/>
      <c r="G264" s="70"/>
      <c r="H264" s="70"/>
    </row>
    <row r="265" spans="1:8" x14ac:dyDescent="0.2">
      <c r="A265" s="440" t="str">
        <f>IF(ISBLANK(Twilight!AG170),"|",CONCATENATE(Twilight!AG170,"|"))</f>
        <v>|</v>
      </c>
      <c r="E265" s="70"/>
      <c r="F265" s="70"/>
      <c r="G265" s="70"/>
      <c r="H265" s="70"/>
    </row>
    <row r="266" spans="1:8" x14ac:dyDescent="0.2">
      <c r="A266" s="440" t="str">
        <f>IF(ISBLANK(Twilight!AG171),"|",CONCATENATE(Twilight!AG171,"|"))</f>
        <v>|</v>
      </c>
      <c r="E266" s="70"/>
      <c r="F266" s="70"/>
      <c r="G266" s="70"/>
      <c r="H266" s="70"/>
    </row>
    <row r="267" spans="1:8" x14ac:dyDescent="0.2">
      <c r="A267" s="440" t="str">
        <f>IF(ISBLANK(Twilight!AG172),"|",CONCATENATE(Twilight!AG172,"|"))</f>
        <v>|</v>
      </c>
      <c r="E267" s="70"/>
      <c r="F267" s="70"/>
      <c r="G267" s="70"/>
      <c r="H267" s="70"/>
    </row>
    <row r="268" spans="1:8" x14ac:dyDescent="0.2">
      <c r="A268" s="440" t="str">
        <f>IF(ISBLANK(Twilight!AG173),"|",CONCATENATE(Twilight!AG173,"|"))</f>
        <v>|</v>
      </c>
      <c r="E268" s="70"/>
      <c r="F268" s="70"/>
      <c r="G268" s="70"/>
      <c r="H268" s="70"/>
    </row>
    <row r="269" spans="1:8" x14ac:dyDescent="0.2">
      <c r="A269" s="440" t="str">
        <f>IF(ISBLANK(Twilight!AG174),"|",CONCATENATE(Twilight!AG174,"|"))</f>
        <v>|</v>
      </c>
      <c r="E269" s="70"/>
      <c r="F269" s="70"/>
      <c r="G269" s="70"/>
      <c r="H269" s="70"/>
    </row>
    <row r="270" spans="1:8" x14ac:dyDescent="0.2">
      <c r="A270" s="440" t="str">
        <f>IF(ISBLANK(Twilight!AG175),"|",CONCATENATE(Twilight!AG175,"|"))</f>
        <v>|</v>
      </c>
      <c r="E270" s="70"/>
      <c r="F270" s="70"/>
      <c r="G270" s="70"/>
      <c r="H270" s="70"/>
    </row>
    <row r="271" spans="1:8" x14ac:dyDescent="0.2">
      <c r="A271" s="440" t="str">
        <f>IF(ISBLANK(Twilight!AG176),"|",CONCATENATE(Twilight!AG176,"|"))</f>
        <v>|</v>
      </c>
      <c r="E271" s="70"/>
      <c r="F271" s="70"/>
      <c r="G271" s="70"/>
      <c r="H271" s="70"/>
    </row>
    <row r="272" spans="1:8" x14ac:dyDescent="0.2">
      <c r="A272" s="440" t="str">
        <f>IF(ISBLANK(Twilight!AG177),"|",CONCATENATE(Twilight!AG177,"|"))</f>
        <v>|</v>
      </c>
      <c r="E272" s="70"/>
      <c r="F272" s="70"/>
      <c r="G272" s="70"/>
      <c r="H272" s="70"/>
    </row>
    <row r="273" spans="1:8" x14ac:dyDescent="0.2">
      <c r="A273" s="440" t="str">
        <f>IF(ISBLANK(Twilight!AG178),"|",CONCATENATE(Twilight!AG178,"|"))</f>
        <v>|</v>
      </c>
      <c r="E273" s="70"/>
      <c r="F273" s="70"/>
      <c r="G273" s="70"/>
      <c r="H273" s="70"/>
    </row>
    <row r="274" spans="1:8" x14ac:dyDescent="0.2">
      <c r="A274" s="440" t="str">
        <f>IF(ISBLANK(Twilight!AG179),"|",CONCATENATE(Twilight!AG179,"|"))</f>
        <v>|</v>
      </c>
      <c r="E274" s="70"/>
      <c r="F274" s="70"/>
      <c r="G274" s="70"/>
      <c r="H274" s="70"/>
    </row>
    <row r="275" spans="1:8" x14ac:dyDescent="0.2">
      <c r="A275" s="440" t="str">
        <f>IF(ISBLANK(Twilight!AG180),"|",CONCATENATE(Twilight!AG180,"|"))</f>
        <v>|</v>
      </c>
      <c r="E275" s="70"/>
      <c r="F275" s="70"/>
      <c r="G275" s="70"/>
      <c r="H275" s="70"/>
    </row>
    <row r="276" spans="1:8" x14ac:dyDescent="0.2">
      <c r="A276" s="440" t="str">
        <f>IF(ISBLANK(Twilight!AG181),"|",CONCATENATE(Twilight!AG181,"|"))</f>
        <v>|</v>
      </c>
      <c r="E276" s="70"/>
      <c r="F276" s="70"/>
      <c r="G276" s="70"/>
      <c r="H276" s="70"/>
    </row>
    <row r="277" spans="1:8" x14ac:dyDescent="0.2">
      <c r="A277" s="440" t="str">
        <f>IF(ISBLANK(Twilight!AG182),"|",CONCATENATE(Twilight!AG182,"|"))</f>
        <v>|</v>
      </c>
      <c r="E277" s="70"/>
      <c r="F277" s="70"/>
      <c r="G277" s="70"/>
      <c r="H277" s="70"/>
    </row>
    <row r="278" spans="1:8" x14ac:dyDescent="0.2">
      <c r="A278" s="440" t="str">
        <f>IF(ISBLANK(Twilight!AG183),"|",CONCATENATE(Twilight!AG183,"|"))</f>
        <v>|</v>
      </c>
      <c r="E278" s="70"/>
      <c r="F278" s="70"/>
      <c r="G278" s="70"/>
      <c r="H278" s="70"/>
    </row>
    <row r="279" spans="1:8" x14ac:dyDescent="0.2">
      <c r="A279" s="440" t="str">
        <f>IF(ISBLANK(Twilight!AG184),"|",CONCATENATE(Twilight!AG184,"|"))</f>
        <v>|</v>
      </c>
      <c r="E279" s="70"/>
      <c r="F279" s="70"/>
      <c r="G279" s="70"/>
      <c r="H279" s="70"/>
    </row>
    <row r="280" spans="1:8" x14ac:dyDescent="0.2">
      <c r="A280" s="440" t="str">
        <f>IF(ISBLANK(Twilight!AG185),"|",CONCATENATE(Twilight!AG185,"|"))</f>
        <v>|</v>
      </c>
      <c r="E280" s="70"/>
      <c r="F280" s="70"/>
      <c r="G280" s="70"/>
      <c r="H280" s="70"/>
    </row>
    <row r="281" spans="1:8" x14ac:dyDescent="0.2">
      <c r="A281" s="440" t="str">
        <f>IF(ISBLANK(Twilight!AG186),"|",CONCATENATE(Twilight!AG186,"|"))</f>
        <v>|</v>
      </c>
      <c r="E281" s="70"/>
      <c r="F281" s="70"/>
      <c r="G281" s="70"/>
      <c r="H281" s="70"/>
    </row>
    <row r="282" spans="1:8" x14ac:dyDescent="0.2">
      <c r="A282" s="440" t="str">
        <f>IF(ISBLANK(Twilight!AG187),"|",CONCATENATE(Twilight!AG187,"|"))</f>
        <v>|</v>
      </c>
      <c r="E282" s="70"/>
      <c r="F282" s="70"/>
      <c r="G282" s="70"/>
      <c r="H282" s="70"/>
    </row>
    <row r="283" spans="1:8" x14ac:dyDescent="0.2">
      <c r="A283" s="440" t="str">
        <f>IF(ISBLANK(Twilight!AG188),"|",CONCATENATE(Twilight!AG188,"|"))</f>
        <v>|</v>
      </c>
      <c r="E283" s="70"/>
      <c r="F283" s="70"/>
      <c r="G283" s="70"/>
      <c r="H283" s="70"/>
    </row>
    <row r="284" spans="1:8" x14ac:dyDescent="0.2">
      <c r="A284" s="440" t="str">
        <f>IF(ISBLANK(Twilight!AG189),"|",CONCATENATE(Twilight!AG189,"|"))</f>
        <v>|</v>
      </c>
      <c r="E284" s="70"/>
      <c r="F284" s="70"/>
      <c r="G284" s="70"/>
      <c r="H284" s="70"/>
    </row>
    <row r="285" spans="1:8" x14ac:dyDescent="0.2">
      <c r="A285" s="440" t="str">
        <f>IF(ISBLANK(Twilight!AG190),"|",CONCATENATE(Twilight!AG190,"|"))</f>
        <v>|</v>
      </c>
      <c r="E285" s="70"/>
      <c r="F285" s="70"/>
      <c r="G285" s="70"/>
      <c r="H285" s="70"/>
    </row>
    <row r="286" spans="1:8" x14ac:dyDescent="0.2">
      <c r="A286" s="440" t="str">
        <f>IF(ISBLANK(Twilight!AG191),"|",CONCATENATE(Twilight!AG191,"|"))</f>
        <v>|</v>
      </c>
      <c r="E286" s="70"/>
      <c r="F286" s="70"/>
      <c r="G286" s="70"/>
      <c r="H286" s="70"/>
    </row>
    <row r="287" spans="1:8" x14ac:dyDescent="0.2">
      <c r="A287" s="440" t="str">
        <f>IF(ISBLANK(Twilight!AG192),"|",CONCATENATE(Twilight!AG192,"|"))</f>
        <v>|</v>
      </c>
      <c r="E287" s="70"/>
      <c r="F287" s="70"/>
      <c r="G287" s="70"/>
      <c r="H287" s="70"/>
    </row>
    <row r="288" spans="1:8" x14ac:dyDescent="0.2">
      <c r="A288" s="440" t="str">
        <f>IF(ISBLANK(Twilight!AG193),"|",CONCATENATE(Twilight!AG193,"|"))</f>
        <v>|</v>
      </c>
      <c r="E288" s="70"/>
      <c r="F288" s="70"/>
      <c r="G288" s="70"/>
      <c r="H288" s="70"/>
    </row>
    <row r="289" spans="1:8" x14ac:dyDescent="0.2">
      <c r="A289" s="440" t="str">
        <f>IF(ISBLANK(Twilight!AG194),"|",CONCATENATE(Twilight!AG194,"|"))</f>
        <v>|</v>
      </c>
      <c r="E289" s="70"/>
      <c r="F289" s="70"/>
      <c r="G289" s="70"/>
      <c r="H289" s="70"/>
    </row>
    <row r="290" spans="1:8" x14ac:dyDescent="0.2">
      <c r="A290" s="440" t="str">
        <f>IF(ISBLANK(Twilight!AG195),"|",CONCATENATE(Twilight!AG195,"|"))</f>
        <v>|</v>
      </c>
      <c r="E290" s="70"/>
      <c r="F290" s="70"/>
      <c r="G290" s="70"/>
      <c r="H290" s="70"/>
    </row>
    <row r="291" spans="1:8" x14ac:dyDescent="0.2">
      <c r="A291" s="440" t="str">
        <f>IF(ISBLANK(Twilight!AG196),"|",CONCATENATE(Twilight!AG196,"|"))</f>
        <v>|</v>
      </c>
      <c r="E291" s="70"/>
      <c r="F291" s="70"/>
      <c r="G291" s="70"/>
      <c r="H291" s="70"/>
    </row>
    <row r="292" spans="1:8" x14ac:dyDescent="0.2">
      <c r="A292" s="440" t="str">
        <f>IF(ISBLANK(Twilight!AG197),"|",CONCATENATE(Twilight!AG197,"|"))</f>
        <v>|</v>
      </c>
      <c r="E292" s="70"/>
      <c r="F292" s="70"/>
      <c r="G292" s="70"/>
      <c r="H292" s="70"/>
    </row>
    <row r="293" spans="1:8" x14ac:dyDescent="0.2">
      <c r="A293" s="440" t="str">
        <f>IF(ISBLANK(Twilight!AG198),"|",CONCATENATE(Twilight!AG198,"|"))</f>
        <v>|</v>
      </c>
      <c r="E293" s="70"/>
      <c r="F293" s="70"/>
      <c r="G293" s="70"/>
      <c r="H293" s="70"/>
    </row>
    <row r="294" spans="1:8" x14ac:dyDescent="0.2">
      <c r="A294" s="440" t="str">
        <f>IF(ISBLANK(Twilight!AG199),"|",CONCATENATE(Twilight!AG199,"|"))</f>
        <v>|</v>
      </c>
      <c r="E294" s="70"/>
      <c r="F294" s="70"/>
      <c r="G294" s="70"/>
      <c r="H294" s="70"/>
    </row>
    <row r="295" spans="1:8" x14ac:dyDescent="0.2">
      <c r="A295" s="440" t="str">
        <f>IF(ISBLANK(Twilight!AG200),"|",CONCATENATE(Twilight!AG200,"|"))</f>
        <v>|</v>
      </c>
      <c r="E295" s="70"/>
      <c r="F295" s="70"/>
      <c r="G295" s="70"/>
      <c r="H295" s="70"/>
    </row>
    <row r="296" spans="1:8" x14ac:dyDescent="0.2">
      <c r="A296" s="440" t="str">
        <f>IF(ISBLANK(Twilight!AG201),"|",CONCATENATE(Twilight!AG201,"|"))</f>
        <v>|</v>
      </c>
      <c r="E296" s="70"/>
      <c r="F296" s="70"/>
      <c r="G296" s="70"/>
      <c r="H296" s="70"/>
    </row>
    <row r="297" spans="1:8" x14ac:dyDescent="0.2">
      <c r="A297" s="440" t="str">
        <f>IF(ISBLANK(Twilight!AG202),"|",CONCATENATE(Twilight!AG202,"|"))</f>
        <v>|</v>
      </c>
      <c r="E297" s="70"/>
      <c r="F297" s="70"/>
      <c r="G297" s="70"/>
      <c r="H297" s="70"/>
    </row>
    <row r="298" spans="1:8" x14ac:dyDescent="0.2">
      <c r="A298" s="440" t="str">
        <f>IF(ISBLANK(Twilight!AG203),"|",CONCATENATE(Twilight!AG203,"|"))</f>
        <v>|</v>
      </c>
      <c r="E298" s="70"/>
      <c r="F298" s="70"/>
      <c r="G298" s="70"/>
      <c r="H298" s="70"/>
    </row>
    <row r="299" spans="1:8" x14ac:dyDescent="0.2">
      <c r="A299" s="440" t="str">
        <f>IF(ISBLANK(Twilight!AG204),"|",CONCATENATE(Twilight!AG204,"|"))</f>
        <v>|</v>
      </c>
      <c r="E299" s="70"/>
      <c r="F299" s="70"/>
      <c r="G299" s="70"/>
      <c r="H299" s="70"/>
    </row>
    <row r="300" spans="1:8" x14ac:dyDescent="0.2">
      <c r="A300" s="440" t="str">
        <f>IF(ISBLANK(Twilight!AG205),"|",CONCATENATE(Twilight!AG205,"|"))</f>
        <v>|</v>
      </c>
      <c r="E300" s="70"/>
      <c r="F300" s="70"/>
      <c r="G300" s="70"/>
      <c r="H300" s="70"/>
    </row>
    <row r="301" spans="1:8" x14ac:dyDescent="0.2">
      <c r="A301" s="440" t="str">
        <f>IF(ISBLANK(Twilight!AG206),"|",CONCATENATE(Twilight!AG206,"|"))</f>
        <v>|</v>
      </c>
      <c r="E301" s="70"/>
      <c r="F301" s="70"/>
      <c r="G301" s="70"/>
      <c r="H301" s="70"/>
    </row>
    <row r="302" spans="1:8" x14ac:dyDescent="0.2">
      <c r="A302" s="440" t="str">
        <f>IF(ISBLANK(Twilight!AG207),"|",CONCATENATE(Twilight!AG207,"|"))</f>
        <v>|</v>
      </c>
      <c r="E302" s="70"/>
      <c r="F302" s="70"/>
      <c r="G302" s="70"/>
      <c r="H302" s="70"/>
    </row>
    <row r="303" spans="1:8" x14ac:dyDescent="0.2">
      <c r="A303" s="440" t="str">
        <f>IF(ISBLANK(Twilight!AG208),"|",CONCATENATE(Twilight!AG208,"|"))</f>
        <v>|</v>
      </c>
      <c r="E303" s="70"/>
      <c r="F303" s="70"/>
      <c r="G303" s="70"/>
      <c r="H303" s="70"/>
    </row>
    <row r="304" spans="1:8" x14ac:dyDescent="0.2">
      <c r="A304" s="440" t="str">
        <f>IF(ISBLANK(Twilight!AG209),"|",CONCATENATE(Twilight!AG209,"|"))</f>
        <v>|</v>
      </c>
      <c r="E304" s="70"/>
      <c r="F304" s="70"/>
      <c r="G304" s="70"/>
      <c r="H304" s="70"/>
    </row>
    <row r="305" spans="1:8" x14ac:dyDescent="0.2">
      <c r="A305" s="440" t="str">
        <f>IF(ISBLANK(Twilight!AG210),"|",CONCATENATE(Twilight!AG210,"|"))</f>
        <v>|</v>
      </c>
      <c r="E305" s="70"/>
      <c r="F305" s="70"/>
      <c r="G305" s="70"/>
      <c r="H305" s="70"/>
    </row>
    <row r="306" spans="1:8" x14ac:dyDescent="0.2">
      <c r="A306" s="440" t="str">
        <f>IF(ISBLANK(Twilight!AG211),"|",CONCATENATE(Twilight!AG211,"|"))</f>
        <v>|</v>
      </c>
      <c r="E306" s="70"/>
      <c r="F306" s="70"/>
      <c r="G306" s="70"/>
      <c r="H306" s="70"/>
    </row>
    <row r="307" spans="1:8" x14ac:dyDescent="0.2">
      <c r="A307" s="440" t="str">
        <f>IF(ISBLANK(Twilight!AG212),"|",CONCATENATE(Twilight!AG212,"|"))</f>
        <v>|</v>
      </c>
      <c r="E307" s="70"/>
      <c r="F307" s="70"/>
      <c r="G307" s="70"/>
      <c r="H307" s="70"/>
    </row>
    <row r="308" spans="1:8" x14ac:dyDescent="0.2">
      <c r="A308" s="440" t="str">
        <f>IF(ISBLANK(Twilight!AG213),"|",CONCATENATE(Twilight!AG213,"|"))</f>
        <v>|</v>
      </c>
      <c r="E308" s="70"/>
      <c r="F308" s="70"/>
      <c r="G308" s="70"/>
      <c r="H308" s="70"/>
    </row>
    <row r="309" spans="1:8" x14ac:dyDescent="0.2">
      <c r="A309" s="440" t="str">
        <f>IF(ISBLANK(Twilight!AG214),"|",CONCATENATE(Twilight!AG214,"|"))</f>
        <v>|</v>
      </c>
      <c r="E309" s="70"/>
      <c r="F309" s="70"/>
      <c r="G309" s="70"/>
      <c r="H309" s="70"/>
    </row>
    <row r="310" spans="1:8" x14ac:dyDescent="0.2">
      <c r="A310" s="440" t="str">
        <f>IF(ISBLANK(Twilight!AG215),"|",CONCATENATE(Twilight!AG215,"|"))</f>
        <v>|</v>
      </c>
      <c r="E310" s="70"/>
      <c r="F310" s="70"/>
      <c r="G310" s="70"/>
      <c r="H310" s="70"/>
    </row>
    <row r="311" spans="1:8" x14ac:dyDescent="0.2">
      <c r="A311" s="440" t="str">
        <f>IF(ISBLANK(Twilight!AG216),"|",CONCATENATE(Twilight!AG216,"|"))</f>
        <v>|</v>
      </c>
      <c r="E311" s="70"/>
      <c r="F311" s="70"/>
      <c r="G311" s="70"/>
      <c r="H311" s="70"/>
    </row>
    <row r="312" spans="1:8" x14ac:dyDescent="0.2">
      <c r="A312" s="440" t="str">
        <f>IF(ISBLANK(Twilight!AG217),"|",CONCATENATE(Twilight!AG217,"|"))</f>
        <v>|</v>
      </c>
      <c r="E312" s="70"/>
      <c r="F312" s="70"/>
      <c r="G312" s="70"/>
      <c r="H312" s="70"/>
    </row>
    <row r="313" spans="1:8" x14ac:dyDescent="0.2">
      <c r="A313" s="440" t="str">
        <f>IF(ISBLANK(Twilight!AG218),"|",CONCATENATE(Twilight!AG218,"|"))</f>
        <v>|</v>
      </c>
      <c r="E313" s="70"/>
      <c r="F313" s="70"/>
      <c r="G313" s="70"/>
      <c r="H313" s="70"/>
    </row>
    <row r="314" spans="1:8" x14ac:dyDescent="0.2">
      <c r="A314" s="440" t="str">
        <f>IF(ISBLANK(Twilight!AG219),"|",CONCATENATE(Twilight!AG219,"|"))</f>
        <v>|</v>
      </c>
      <c r="E314" s="70"/>
      <c r="F314" s="70"/>
      <c r="G314" s="70"/>
      <c r="H314" s="70"/>
    </row>
    <row r="315" spans="1:8" x14ac:dyDescent="0.2">
      <c r="A315" s="440" t="str">
        <f>IF(ISBLANK(Twilight!AG220),"|",CONCATENATE(Twilight!AG220,"|"))</f>
        <v>|</v>
      </c>
      <c r="E315" s="70"/>
      <c r="F315" s="70"/>
      <c r="G315" s="70"/>
      <c r="H315" s="70"/>
    </row>
    <row r="316" spans="1:8" x14ac:dyDescent="0.2">
      <c r="A316" s="440" t="str">
        <f>IF(ISBLANK(Twilight!AG221),"|",CONCATENATE(Twilight!AG221,"|"))</f>
        <v>|</v>
      </c>
      <c r="E316" s="70"/>
      <c r="F316" s="70"/>
      <c r="G316" s="70"/>
      <c r="H316" s="70"/>
    </row>
    <row r="317" spans="1:8" x14ac:dyDescent="0.2">
      <c r="A317" s="440" t="str">
        <f>IF(ISBLANK(Twilight!AG222),"|",CONCATENATE(Twilight!AG222,"|"))</f>
        <v>|</v>
      </c>
      <c r="E317" s="70"/>
      <c r="F317" s="70"/>
      <c r="G317" s="70"/>
      <c r="H317" s="70"/>
    </row>
    <row r="318" spans="1:8" x14ac:dyDescent="0.2">
      <c r="A318" s="440" t="str">
        <f>IF(ISBLANK(Twilight!AG223),"|",CONCATENATE(Twilight!AG223,"|"))</f>
        <v>|</v>
      </c>
      <c r="E318" s="70"/>
      <c r="F318" s="70"/>
      <c r="G318" s="70"/>
      <c r="H318" s="70"/>
    </row>
    <row r="319" spans="1:8" x14ac:dyDescent="0.2">
      <c r="A319" s="440" t="str">
        <f>IF(ISBLANK(Twilight!AG224),"|",CONCATENATE(Twilight!AG224,"|"))</f>
        <v>|</v>
      </c>
      <c r="E319" s="70"/>
      <c r="F319" s="70"/>
      <c r="G319" s="70"/>
      <c r="H319" s="70"/>
    </row>
    <row r="320" spans="1:8" x14ac:dyDescent="0.2">
      <c r="A320" s="440" t="str">
        <f>IF(ISBLANK(Twilight!AG225),"|",CONCATENATE(Twilight!AG225,"|"))</f>
        <v>|</v>
      </c>
      <c r="E320" s="70"/>
      <c r="F320" s="70"/>
      <c r="G320" s="70"/>
      <c r="H320" s="70"/>
    </row>
    <row r="321" spans="1:8" x14ac:dyDescent="0.2">
      <c r="A321" s="440" t="str">
        <f>IF(ISBLANK(Twilight!AG226),"|",CONCATENATE(Twilight!AG226,"|"))</f>
        <v>|</v>
      </c>
      <c r="E321" s="70"/>
      <c r="F321" s="70"/>
      <c r="G321" s="70"/>
      <c r="H321" s="70"/>
    </row>
    <row r="322" spans="1:8" x14ac:dyDescent="0.2">
      <c r="A322" s="440" t="str">
        <f>IF(ISBLANK(Twilight!AG227),"|",CONCATENATE(Twilight!AG227,"|"))</f>
        <v>|</v>
      </c>
      <c r="E322" s="70"/>
      <c r="F322" s="70"/>
      <c r="G322" s="70"/>
      <c r="H322" s="70"/>
    </row>
    <row r="323" spans="1:8" x14ac:dyDescent="0.2">
      <c r="A323" s="440" t="str">
        <f>IF(ISBLANK(Twilight!AG228),"|",CONCATENATE(Twilight!AG228,"|"))</f>
        <v>|</v>
      </c>
      <c r="E323" s="70"/>
      <c r="F323" s="70"/>
      <c r="G323" s="70"/>
      <c r="H323" s="70"/>
    </row>
    <row r="324" spans="1:8" x14ac:dyDescent="0.2">
      <c r="A324" s="440" t="str">
        <f>IF(ISBLANK(Twilight!AG229),"|",CONCATENATE(Twilight!AG229,"|"))</f>
        <v>|</v>
      </c>
      <c r="E324" s="70"/>
      <c r="F324" s="70"/>
      <c r="G324" s="70"/>
      <c r="H324" s="70"/>
    </row>
    <row r="325" spans="1:8" x14ac:dyDescent="0.2">
      <c r="A325" s="440" t="str">
        <f>IF(ISBLANK(Twilight!AG230),"|",CONCATENATE(Twilight!AG230,"|"))</f>
        <v>|</v>
      </c>
      <c r="E325" s="70"/>
      <c r="F325" s="70"/>
      <c r="G325" s="70"/>
      <c r="H325" s="70"/>
    </row>
    <row r="326" spans="1:8" x14ac:dyDescent="0.2">
      <c r="A326" s="440" t="str">
        <f>IF(ISBLANK(Twilight!AG231),"|",CONCATENATE(Twilight!AG231,"|"))</f>
        <v>|</v>
      </c>
      <c r="E326" s="70"/>
      <c r="F326" s="70"/>
      <c r="G326" s="70"/>
      <c r="H326" s="70"/>
    </row>
    <row r="327" spans="1:8" x14ac:dyDescent="0.2">
      <c r="A327" s="440" t="str">
        <f>IF(ISBLANK(Twilight!AG232),"|",CONCATENATE(Twilight!AG232,"|"))</f>
        <v>|</v>
      </c>
      <c r="E327" s="70"/>
      <c r="F327" s="70"/>
      <c r="G327" s="70"/>
      <c r="H327" s="70"/>
    </row>
    <row r="328" spans="1:8" x14ac:dyDescent="0.2">
      <c r="A328" s="440" t="str">
        <f>IF(ISBLANK(Twilight!AG233),"|",CONCATENATE(Twilight!AG233,"|"))</f>
        <v>|</v>
      </c>
      <c r="E328" s="70"/>
      <c r="F328" s="70"/>
      <c r="G328" s="70"/>
      <c r="H328" s="70"/>
    </row>
    <row r="329" spans="1:8" x14ac:dyDescent="0.2">
      <c r="A329" s="440" t="str">
        <f>IF(ISBLANK(Twilight!AG234),"|",CONCATENATE(Twilight!AG234,"|"))</f>
        <v>|</v>
      </c>
      <c r="E329" s="70"/>
      <c r="F329" s="70"/>
      <c r="G329" s="70"/>
      <c r="H329" s="70"/>
    </row>
    <row r="330" spans="1:8" x14ac:dyDescent="0.2">
      <c r="A330" s="440" t="str">
        <f>IF(ISBLANK(Twilight!AG235),"|",CONCATENATE(Twilight!AG235,"|"))</f>
        <v>|</v>
      </c>
      <c r="E330" s="70"/>
      <c r="F330" s="70"/>
      <c r="G330" s="70"/>
      <c r="H330" s="70"/>
    </row>
    <row r="331" spans="1:8" x14ac:dyDescent="0.2">
      <c r="A331" s="440" t="str">
        <f>IF(ISBLANK(Twilight!AG236),"|",CONCATENATE(Twilight!AG236,"|"))</f>
        <v>|</v>
      </c>
      <c r="E331" s="70"/>
      <c r="F331" s="70"/>
      <c r="G331" s="70"/>
      <c r="H331" s="70"/>
    </row>
    <row r="332" spans="1:8" x14ac:dyDescent="0.2">
      <c r="A332" s="440" t="str">
        <f>IF(ISBLANK(Twilight!AG237),"|",CONCATENATE(Twilight!AG237,"|"))</f>
        <v>|</v>
      </c>
      <c r="E332" s="70"/>
      <c r="F332" s="70"/>
      <c r="G332" s="70"/>
      <c r="H332" s="70"/>
    </row>
    <row r="333" spans="1:8" x14ac:dyDescent="0.2">
      <c r="A333" s="440" t="str">
        <f>IF(ISBLANK(Twilight!AG238),"|",CONCATENATE(Twilight!AG238,"|"))</f>
        <v>|</v>
      </c>
      <c r="E333" s="70"/>
      <c r="F333" s="70"/>
      <c r="G333" s="70"/>
      <c r="H333" s="70"/>
    </row>
    <row r="334" spans="1:8" x14ac:dyDescent="0.2">
      <c r="A334" s="440" t="str">
        <f>IF(ISBLANK(Twilight!AG239),"|",CONCATENATE(Twilight!AG239,"|"))</f>
        <v>|</v>
      </c>
      <c r="E334" s="70"/>
      <c r="F334" s="70"/>
      <c r="G334" s="70"/>
      <c r="H334" s="70"/>
    </row>
    <row r="335" spans="1:8" x14ac:dyDescent="0.2">
      <c r="A335" s="440" t="str">
        <f>IF(ISBLANK(Twilight!AG240),"|",CONCATENATE(Twilight!AG240,"|"))</f>
        <v>|</v>
      </c>
      <c r="E335" s="70"/>
      <c r="F335" s="70"/>
      <c r="G335" s="70"/>
      <c r="H335" s="70"/>
    </row>
    <row r="336" spans="1:8" x14ac:dyDescent="0.2">
      <c r="A336" s="440" t="str">
        <f>IF(ISBLANK(Twilight!AG241),"|",CONCATENATE(Twilight!AG241,"|"))</f>
        <v>|</v>
      </c>
      <c r="E336" s="70"/>
      <c r="F336" s="70"/>
      <c r="G336" s="70"/>
      <c r="H336" s="70"/>
    </row>
    <row r="337" spans="1:8" x14ac:dyDescent="0.2">
      <c r="A337" s="440" t="str">
        <f>IF(ISBLANK(Twilight!AG242),"|",CONCATENATE(Twilight!AG242,"|"))</f>
        <v>|</v>
      </c>
      <c r="E337" s="70"/>
      <c r="F337" s="70"/>
      <c r="G337" s="70"/>
      <c r="H337" s="70"/>
    </row>
    <row r="338" spans="1:8" x14ac:dyDescent="0.2">
      <c r="A338" s="440" t="str">
        <f>IF(ISBLANK(Twilight!AG243),"|",CONCATENATE(Twilight!AG243,"|"))</f>
        <v>|</v>
      </c>
      <c r="E338" s="70"/>
      <c r="F338" s="70"/>
      <c r="G338" s="70"/>
      <c r="H338" s="70"/>
    </row>
    <row r="339" spans="1:8" x14ac:dyDescent="0.2">
      <c r="A339" s="440" t="str">
        <f>IF(ISBLANK(Twilight!AG244),"|",CONCATENATE(Twilight!AG244,"|"))</f>
        <v>|</v>
      </c>
      <c r="E339" s="70"/>
      <c r="F339" s="70"/>
      <c r="G339" s="70"/>
      <c r="H339" s="70"/>
    </row>
    <row r="340" spans="1:8" x14ac:dyDescent="0.2">
      <c r="A340" s="440" t="str">
        <f>IF(ISBLANK(Twilight!AG245),"|",CONCATENATE(Twilight!AG245,"|"))</f>
        <v>|</v>
      </c>
      <c r="E340" s="70"/>
      <c r="F340" s="70"/>
      <c r="G340" s="70"/>
      <c r="H340" s="70"/>
    </row>
    <row r="341" spans="1:8" x14ac:dyDescent="0.2">
      <c r="A341" s="440" t="str">
        <f>IF(ISBLANK(Twilight!AG246),"|",CONCATENATE(Twilight!AG246,"|"))</f>
        <v>|</v>
      </c>
      <c r="E341" s="70"/>
      <c r="F341" s="70"/>
      <c r="G341" s="70"/>
      <c r="H341" s="70"/>
    </row>
    <row r="342" spans="1:8" x14ac:dyDescent="0.2">
      <c r="A342" s="440" t="str">
        <f>IF(ISBLANK(Twilight!AG247),"|",CONCATENATE(Twilight!AG247,"|"))</f>
        <v>|</v>
      </c>
      <c r="E342" s="70"/>
      <c r="F342" s="70"/>
      <c r="G342" s="70"/>
      <c r="H342" s="70"/>
    </row>
    <row r="343" spans="1:8" x14ac:dyDescent="0.2">
      <c r="A343" s="440" t="str">
        <f>IF(ISBLANK(Twilight!AG248),"|",CONCATENATE(Twilight!AG248,"|"))</f>
        <v>|</v>
      </c>
      <c r="E343" s="70"/>
      <c r="F343" s="70"/>
      <c r="G343" s="70"/>
      <c r="H343" s="70"/>
    </row>
    <row r="344" spans="1:8" x14ac:dyDescent="0.2">
      <c r="A344" s="440" t="str">
        <f>IF(ISBLANK(Twilight!AG249),"|",CONCATENATE(Twilight!AG249,"|"))</f>
        <v>|</v>
      </c>
      <c r="E344" s="70"/>
      <c r="F344" s="70"/>
      <c r="G344" s="70"/>
      <c r="H344" s="70"/>
    </row>
    <row r="345" spans="1:8" x14ac:dyDescent="0.2">
      <c r="A345" s="440" t="str">
        <f>IF(ISBLANK(Twilight!AG250),"|",CONCATENATE(Twilight!AG250,"|"))</f>
        <v>|</v>
      </c>
      <c r="E345" s="70"/>
      <c r="F345" s="70"/>
      <c r="G345" s="70"/>
      <c r="H345" s="70"/>
    </row>
    <row r="346" spans="1:8" x14ac:dyDescent="0.2">
      <c r="A346" s="440" t="str">
        <f>IF(ISBLANK(Twilight!AG251),"|",CONCATENATE(Twilight!AG251,"|"))</f>
        <v>|</v>
      </c>
      <c r="E346" s="70"/>
      <c r="F346" s="70"/>
      <c r="G346" s="70"/>
      <c r="H346" s="70"/>
    </row>
    <row r="347" spans="1:8" x14ac:dyDescent="0.2">
      <c r="A347" s="440" t="str">
        <f>IF(ISBLANK(Twilight!AG252),"|",CONCATENATE(Twilight!AG252,"|"))</f>
        <v>|</v>
      </c>
      <c r="E347" s="70"/>
      <c r="F347" s="70"/>
      <c r="G347" s="70"/>
      <c r="H347" s="70"/>
    </row>
    <row r="348" spans="1:8" x14ac:dyDescent="0.2">
      <c r="A348" s="440" t="str">
        <f>IF(ISBLANK(Twilight!AG253),"|",CONCATENATE(Twilight!AG253,"|"))</f>
        <v>|</v>
      </c>
      <c r="E348" s="70"/>
      <c r="F348" s="70"/>
      <c r="G348" s="70"/>
      <c r="H348" s="70"/>
    </row>
    <row r="349" spans="1:8" x14ac:dyDescent="0.2">
      <c r="A349" s="440" t="str">
        <f>IF(ISBLANK(Twilight!AG254),"|",CONCATENATE(Twilight!AG254,"|"))</f>
        <v>|</v>
      </c>
      <c r="E349" s="70"/>
      <c r="F349" s="70"/>
      <c r="G349" s="70"/>
      <c r="H349" s="70"/>
    </row>
    <row r="350" spans="1:8" x14ac:dyDescent="0.2">
      <c r="A350" s="440" t="str">
        <f>IF(ISBLANK(Twilight!AG255),"|",CONCATENATE(Twilight!AG255,"|"))</f>
        <v>|</v>
      </c>
      <c r="E350" s="70"/>
      <c r="F350" s="70"/>
      <c r="G350" s="70"/>
      <c r="H350" s="70"/>
    </row>
    <row r="351" spans="1:8" x14ac:dyDescent="0.2">
      <c r="A351" s="440" t="str">
        <f>IF(ISBLANK(Twilight!AG256),"|",CONCATENATE(Twilight!AG256,"|"))</f>
        <v>|</v>
      </c>
      <c r="E351" s="70"/>
      <c r="F351" s="70"/>
      <c r="G351" s="70"/>
      <c r="H351" s="70"/>
    </row>
    <row r="352" spans="1:8" x14ac:dyDescent="0.2">
      <c r="A352" s="440" t="str">
        <f>IF(ISBLANK(Twilight!AG257),"|",CONCATENATE(Twilight!AG257,"|"))</f>
        <v>|</v>
      </c>
      <c r="E352" s="70"/>
      <c r="F352" s="70"/>
      <c r="G352" s="70"/>
      <c r="H352" s="70"/>
    </row>
    <row r="353" spans="1:8" x14ac:dyDescent="0.2">
      <c r="A353" s="440" t="str">
        <f>IF(ISBLANK(Twilight!AG258),"|",CONCATENATE(Twilight!AG258,"|"))</f>
        <v>|</v>
      </c>
      <c r="E353" s="70"/>
      <c r="F353" s="70"/>
      <c r="G353" s="70"/>
      <c r="H353" s="70"/>
    </row>
    <row r="354" spans="1:8" x14ac:dyDescent="0.2">
      <c r="A354" s="440" t="str">
        <f>IF(ISBLANK(Twilight!AG259),"|",CONCATENATE(Twilight!AG259,"|"))</f>
        <v>|</v>
      </c>
      <c r="E354" s="70"/>
      <c r="F354" s="70"/>
      <c r="G354" s="70"/>
      <c r="H354" s="70"/>
    </row>
    <row r="355" spans="1:8" x14ac:dyDescent="0.2">
      <c r="A355" s="440" t="str">
        <f>IF(ISBLANK(Twilight!AG260),"|",CONCATENATE(Twilight!AG260,"|"))</f>
        <v>|</v>
      </c>
      <c r="E355" s="70"/>
      <c r="F355" s="70"/>
      <c r="G355" s="70"/>
      <c r="H355" s="70"/>
    </row>
    <row r="356" spans="1:8" x14ac:dyDescent="0.2">
      <c r="A356" s="440" t="str">
        <f>IF(ISBLANK(Twilight!AG261),"|",CONCATENATE(Twilight!AG261,"|"))</f>
        <v>|</v>
      </c>
      <c r="E356" s="70"/>
      <c r="F356" s="70"/>
      <c r="G356" s="70"/>
      <c r="H356" s="70"/>
    </row>
    <row r="357" spans="1:8" x14ac:dyDescent="0.2">
      <c r="A357" s="440" t="str">
        <f>IF(ISBLANK(Twilight!AG262),"|",CONCATENATE(Twilight!AG262,"|"))</f>
        <v>|</v>
      </c>
      <c r="E357" s="70"/>
      <c r="F357" s="70"/>
      <c r="G357" s="70"/>
      <c r="H357" s="70"/>
    </row>
    <row r="358" spans="1:8" x14ac:dyDescent="0.2">
      <c r="A358" s="440" t="str">
        <f>IF(ISBLANK(Twilight!AG263),"|",CONCATENATE(Twilight!AG263,"|"))</f>
        <v>|</v>
      </c>
      <c r="E358" s="70"/>
      <c r="F358" s="70"/>
      <c r="G358" s="70"/>
      <c r="H358" s="70"/>
    </row>
    <row r="359" spans="1:8" x14ac:dyDescent="0.2">
      <c r="A359" s="440" t="str">
        <f>IF(ISBLANK(Twilight!AG264),"|",CONCATENATE(Twilight!AG264,"|"))</f>
        <v>|</v>
      </c>
      <c r="E359" s="70"/>
      <c r="F359" s="70"/>
      <c r="G359" s="70"/>
      <c r="H359" s="70"/>
    </row>
    <row r="360" spans="1:8" x14ac:dyDescent="0.2">
      <c r="A360" s="440" t="str">
        <f>IF(ISBLANK(Twilight!AG265),"|",CONCATENATE(Twilight!AG265,"|"))</f>
        <v>|</v>
      </c>
      <c r="E360" s="70"/>
      <c r="F360" s="70"/>
      <c r="G360" s="70"/>
      <c r="H360" s="70"/>
    </row>
    <row r="361" spans="1:8" x14ac:dyDescent="0.2">
      <c r="A361" s="440" t="str">
        <f>IF(ISBLANK(Twilight!AG266),"|",CONCATENATE(Twilight!AG266,"|"))</f>
        <v>|</v>
      </c>
      <c r="E361" s="70"/>
      <c r="F361" s="70"/>
      <c r="G361" s="70"/>
      <c r="H361" s="70"/>
    </row>
    <row r="362" spans="1:8" x14ac:dyDescent="0.2">
      <c r="A362" s="440" t="str">
        <f>IF(ISBLANK(Twilight!AG267),"|",CONCATENATE(Twilight!AG267,"|"))</f>
        <v>|</v>
      </c>
      <c r="E362" s="70"/>
      <c r="F362" s="70"/>
      <c r="G362" s="70"/>
      <c r="H362" s="70"/>
    </row>
    <row r="363" spans="1:8" x14ac:dyDescent="0.2">
      <c r="A363" s="440" t="str">
        <f>IF(ISBLANK(Twilight!AG268),"|",CONCATENATE(Twilight!AG268,"|"))</f>
        <v>|</v>
      </c>
      <c r="E363" s="70"/>
      <c r="F363" s="70"/>
      <c r="G363" s="70"/>
      <c r="H363" s="70"/>
    </row>
    <row r="364" spans="1:8" x14ac:dyDescent="0.2">
      <c r="A364" s="440" t="str">
        <f>IF(ISBLANK(Twilight!AG269),"|",CONCATENATE(Twilight!AG269,"|"))</f>
        <v>|</v>
      </c>
      <c r="E364" s="70"/>
      <c r="F364" s="70"/>
      <c r="G364" s="70"/>
      <c r="H364" s="70"/>
    </row>
    <row r="365" spans="1:8" x14ac:dyDescent="0.2">
      <c r="A365" s="440" t="str">
        <f>IF(ISBLANK(Twilight!AG270),"|",CONCATENATE(Twilight!AG270,"|"))</f>
        <v>|</v>
      </c>
      <c r="E365" s="70"/>
      <c r="F365" s="70"/>
      <c r="G365" s="70"/>
      <c r="H365" s="70"/>
    </row>
    <row r="366" spans="1:8" x14ac:dyDescent="0.2">
      <c r="A366" s="440" t="str">
        <f>IF(ISBLANK(Twilight!AG271),"|",CONCATENATE(Twilight!AG271,"|"))</f>
        <v>|</v>
      </c>
      <c r="E366" s="70"/>
      <c r="F366" s="70"/>
      <c r="G366" s="70"/>
      <c r="H366" s="70"/>
    </row>
    <row r="367" spans="1:8" x14ac:dyDescent="0.2">
      <c r="A367" s="440" t="str">
        <f>IF(ISBLANK(Twilight!AG272),"|",CONCATENATE(Twilight!AG272,"|"))</f>
        <v>|</v>
      </c>
      <c r="E367" s="70"/>
      <c r="F367" s="70"/>
      <c r="G367" s="70"/>
      <c r="H367" s="70"/>
    </row>
    <row r="368" spans="1:8" x14ac:dyDescent="0.2">
      <c r="A368" s="440" t="str">
        <f>IF(ISBLANK(Twilight!AG273),"|",CONCATENATE(Twilight!AG273,"|"))</f>
        <v>|</v>
      </c>
      <c r="E368" s="70"/>
      <c r="F368" s="70"/>
      <c r="G368" s="70"/>
      <c r="H368" s="70"/>
    </row>
    <row r="369" spans="1:8" x14ac:dyDescent="0.2">
      <c r="A369" s="440" t="str">
        <f>IF(ISBLANK(Twilight!AG274),"|",CONCATENATE(Twilight!AG274,"|"))</f>
        <v>|</v>
      </c>
      <c r="E369" s="70"/>
      <c r="F369" s="70"/>
      <c r="G369" s="70"/>
      <c r="H369" s="70"/>
    </row>
    <row r="370" spans="1:8" x14ac:dyDescent="0.2">
      <c r="A370" s="440" t="str">
        <f>IF(ISBLANK(Twilight!AG275),"|",CONCATENATE(Twilight!AG275,"|"))</f>
        <v>|</v>
      </c>
      <c r="E370" s="70"/>
      <c r="F370" s="70"/>
      <c r="G370" s="70"/>
      <c r="H370" s="70"/>
    </row>
    <row r="371" spans="1:8" x14ac:dyDescent="0.2">
      <c r="A371" s="440" t="str">
        <f>IF(ISBLANK(Twilight!AG276),"|",CONCATENATE(Twilight!AG276,"|"))</f>
        <v>|</v>
      </c>
      <c r="E371" s="70"/>
      <c r="F371" s="70"/>
      <c r="G371" s="70"/>
      <c r="H371" s="70"/>
    </row>
    <row r="372" spans="1:8" x14ac:dyDescent="0.2">
      <c r="A372" s="440" t="str">
        <f>IF(ISBLANK(Twilight!AG277),"|",CONCATENATE(Twilight!AG277,"|"))</f>
        <v>|</v>
      </c>
      <c r="E372" s="70"/>
      <c r="F372" s="70"/>
      <c r="G372" s="70"/>
      <c r="H372" s="70"/>
    </row>
    <row r="373" spans="1:8" x14ac:dyDescent="0.2">
      <c r="A373" s="440" t="str">
        <f>IF(ISBLANK(Twilight!AG278),"|",CONCATENATE(Twilight!AG278,"|"))</f>
        <v>|</v>
      </c>
      <c r="E373" s="70"/>
      <c r="F373" s="70"/>
      <c r="G373" s="70"/>
      <c r="H373" s="70"/>
    </row>
    <row r="374" spans="1:8" x14ac:dyDescent="0.2">
      <c r="A374" s="440" t="str">
        <f>IF(ISBLANK(Twilight!AG279),"|",CONCATENATE(Twilight!AG279,"|"))</f>
        <v>|</v>
      </c>
      <c r="E374" s="70"/>
      <c r="F374" s="70"/>
      <c r="G374" s="70"/>
      <c r="H374" s="70"/>
    </row>
    <row r="375" spans="1:8" x14ac:dyDescent="0.2">
      <c r="A375" s="440" t="str">
        <f>IF(ISBLANK(Twilight!AG280),"|",CONCATENATE(Twilight!AG280,"|"))</f>
        <v>|</v>
      </c>
      <c r="E375" s="70"/>
      <c r="F375" s="70"/>
      <c r="G375" s="70"/>
      <c r="H375" s="70"/>
    </row>
    <row r="376" spans="1:8" x14ac:dyDescent="0.2">
      <c r="A376" s="440" t="str">
        <f>IF(ISBLANK(Twilight!AG281),"|",CONCATENATE(Twilight!AG281,"|"))</f>
        <v>|</v>
      </c>
      <c r="E376" s="70"/>
      <c r="F376" s="70"/>
      <c r="G376" s="70"/>
      <c r="H376" s="70"/>
    </row>
    <row r="377" spans="1:8" x14ac:dyDescent="0.2">
      <c r="A377" s="440" t="str">
        <f>IF(ISBLANK(Twilight!AG282),"|",CONCATENATE(Twilight!AG282,"|"))</f>
        <v>|</v>
      </c>
      <c r="E377" s="70"/>
      <c r="F377" s="70"/>
      <c r="G377" s="70"/>
      <c r="H377" s="70"/>
    </row>
    <row r="378" spans="1:8" x14ac:dyDescent="0.2">
      <c r="A378" s="440" t="str">
        <f>IF(ISBLANK(Twilight!AG283),"|",CONCATENATE(Twilight!AG283,"|"))</f>
        <v>|</v>
      </c>
      <c r="E378" s="70"/>
      <c r="F378" s="70"/>
      <c r="G378" s="70"/>
      <c r="H378" s="70"/>
    </row>
    <row r="379" spans="1:8" x14ac:dyDescent="0.2">
      <c r="A379" s="440" t="str">
        <f>IF(ISBLANK(Twilight!AG284),"|",CONCATENATE(Twilight!AG284,"|"))</f>
        <v>|</v>
      </c>
      <c r="E379" s="70"/>
      <c r="F379" s="70"/>
      <c r="G379" s="70"/>
      <c r="H379" s="70"/>
    </row>
    <row r="380" spans="1:8" x14ac:dyDescent="0.2">
      <c r="A380" s="440" t="str">
        <f>IF(ISBLANK(Twilight!AG285),"|",CONCATENATE(Twilight!AG285,"|"))</f>
        <v>|</v>
      </c>
      <c r="E380" s="70"/>
      <c r="F380" s="70"/>
      <c r="G380" s="70"/>
      <c r="H380" s="70"/>
    </row>
    <row r="381" spans="1:8" x14ac:dyDescent="0.2">
      <c r="A381" s="440" t="str">
        <f>IF(ISBLANK(Twilight!AG286),"|",CONCATENATE(Twilight!AG286,"|"))</f>
        <v>|</v>
      </c>
      <c r="E381" s="70"/>
      <c r="F381" s="70"/>
      <c r="G381" s="70"/>
      <c r="H381" s="70"/>
    </row>
    <row r="382" spans="1:8" x14ac:dyDescent="0.2">
      <c r="A382" s="440" t="str">
        <f>IF(ISBLANK(Twilight!AG287),"|",CONCATENATE(Twilight!AG287,"|"))</f>
        <v>|</v>
      </c>
      <c r="E382" s="70"/>
      <c r="F382" s="70"/>
      <c r="G382" s="70"/>
      <c r="H382" s="70"/>
    </row>
    <row r="383" spans="1:8" x14ac:dyDescent="0.2">
      <c r="A383" s="440" t="str">
        <f>IF(ISBLANK(Twilight!AG288),"|",CONCATENATE(Twilight!AG288,"|"))</f>
        <v>|</v>
      </c>
      <c r="E383" s="70"/>
      <c r="F383" s="70"/>
      <c r="G383" s="70"/>
      <c r="H383" s="70"/>
    </row>
    <row r="384" spans="1:8" x14ac:dyDescent="0.2">
      <c r="A384" s="440" t="str">
        <f>IF(ISBLANK(Twilight!AG289),"|",CONCATENATE(Twilight!AG289,"|"))</f>
        <v>|</v>
      </c>
      <c r="E384" s="70"/>
      <c r="F384" s="70"/>
      <c r="G384" s="70"/>
      <c r="H384" s="70"/>
    </row>
    <row r="385" spans="1:8" x14ac:dyDescent="0.2">
      <c r="A385" s="440" t="str">
        <f>IF(ISBLANK(Twilight!AG290),"|",CONCATENATE(Twilight!AG290,"|"))</f>
        <v>|</v>
      </c>
      <c r="E385" s="70"/>
      <c r="F385" s="70"/>
      <c r="G385" s="70"/>
      <c r="H385" s="70"/>
    </row>
    <row r="386" spans="1:8" x14ac:dyDescent="0.2">
      <c r="A386" s="440" t="str">
        <f>IF(ISBLANK(Twilight!AG291),"|",CONCATENATE(Twilight!AG291,"|"))</f>
        <v>|</v>
      </c>
      <c r="E386" s="70"/>
      <c r="F386" s="70"/>
      <c r="G386" s="70"/>
      <c r="H386" s="70"/>
    </row>
    <row r="387" spans="1:8" x14ac:dyDescent="0.2">
      <c r="A387" s="440" t="str">
        <f>IF(ISBLANK(Twilight!AG292),"|",CONCATENATE(Twilight!AG292,"|"))</f>
        <v>|</v>
      </c>
      <c r="E387" s="70"/>
      <c r="F387" s="70"/>
      <c r="G387" s="70"/>
      <c r="H387" s="70"/>
    </row>
    <row r="388" spans="1:8" x14ac:dyDescent="0.2">
      <c r="A388" s="440" t="str">
        <f>IF(ISBLANK(Twilight!AG293),"|",CONCATENATE(Twilight!AG293,"|"))</f>
        <v>|</v>
      </c>
      <c r="E388" s="70"/>
      <c r="F388" s="70"/>
      <c r="G388" s="70"/>
      <c r="H388" s="70"/>
    </row>
    <row r="389" spans="1:8" x14ac:dyDescent="0.2">
      <c r="A389" s="440" t="str">
        <f>IF(ISBLANK(Twilight!AG294),"|",CONCATENATE(Twilight!AG294,"|"))</f>
        <v>|</v>
      </c>
      <c r="E389" s="70"/>
      <c r="F389" s="70"/>
      <c r="G389" s="70"/>
      <c r="H389" s="70"/>
    </row>
    <row r="390" spans="1:8" x14ac:dyDescent="0.2">
      <c r="A390" s="440" t="str">
        <f>IF(ISBLANK(Twilight!AG295),"|",CONCATENATE(Twilight!AG295,"|"))</f>
        <v>|</v>
      </c>
      <c r="E390" s="70"/>
      <c r="F390" s="70"/>
      <c r="G390" s="70"/>
      <c r="H390" s="70"/>
    </row>
    <row r="391" spans="1:8" x14ac:dyDescent="0.2">
      <c r="A391" s="440" t="str">
        <f>IF(ISBLANK(Twilight!AG296),"|",CONCATENATE(Twilight!AG296,"|"))</f>
        <v>|</v>
      </c>
      <c r="E391" s="70"/>
      <c r="F391" s="70"/>
      <c r="G391" s="70"/>
      <c r="H391" s="70"/>
    </row>
    <row r="392" spans="1:8" x14ac:dyDescent="0.2">
      <c r="A392" s="440" t="str">
        <f>IF(ISBLANK(Twilight!AG297),"|",CONCATENATE(Twilight!AG297,"|"))</f>
        <v>|</v>
      </c>
      <c r="E392" s="70"/>
      <c r="F392" s="70"/>
      <c r="G392" s="70"/>
      <c r="H392" s="70"/>
    </row>
    <row r="393" spans="1:8" x14ac:dyDescent="0.2">
      <c r="A393" s="440" t="str">
        <f>IF(ISBLANK(Twilight!AG298),"|",CONCATENATE(Twilight!AG298,"|"))</f>
        <v>|</v>
      </c>
      <c r="E393" s="70"/>
      <c r="F393" s="70"/>
      <c r="G393" s="70"/>
      <c r="H393" s="70"/>
    </row>
    <row r="394" spans="1:8" x14ac:dyDescent="0.2">
      <c r="A394" s="440" t="str">
        <f>IF(ISBLANK(Twilight!AG299),"|",CONCATENATE(Twilight!AG299,"|"))</f>
        <v>|</v>
      </c>
      <c r="E394" s="70"/>
      <c r="F394" s="70"/>
      <c r="G394" s="70"/>
      <c r="H394" s="70"/>
    </row>
    <row r="395" spans="1:8" x14ac:dyDescent="0.2">
      <c r="A395" s="440" t="str">
        <f>IF(ISBLANK(Twilight!AG300),"|",CONCATENATE(Twilight!AG300,"|"))</f>
        <v>|</v>
      </c>
      <c r="E395" s="70"/>
      <c r="F395" s="70"/>
      <c r="G395" s="70"/>
      <c r="H395" s="70"/>
    </row>
    <row r="396" spans="1:8" x14ac:dyDescent="0.2">
      <c r="A396" s="440" t="str">
        <f>IF(ISBLANK(Twilight!AG301),"|",CONCATENATE(Twilight!AG301,"|"))</f>
        <v>|</v>
      </c>
      <c r="E396" s="70"/>
      <c r="F396" s="70"/>
      <c r="G396" s="70"/>
      <c r="H396" s="70"/>
    </row>
    <row r="397" spans="1:8" x14ac:dyDescent="0.2">
      <c r="A397" s="440" t="str">
        <f>IF(ISBLANK(Twilight!AG302),"|",CONCATENATE(Twilight!AG302,"|"))</f>
        <v>|</v>
      </c>
      <c r="E397" s="70"/>
      <c r="F397" s="70"/>
      <c r="G397" s="70"/>
      <c r="H397" s="70"/>
    </row>
    <row r="398" spans="1:8" x14ac:dyDescent="0.2">
      <c r="A398" s="440" t="str">
        <f>IF(ISBLANK(Twilight!AG303),"|",CONCATENATE(Twilight!AG303,"|"))</f>
        <v>|</v>
      </c>
      <c r="E398" s="70"/>
      <c r="F398" s="70"/>
      <c r="G398" s="70"/>
      <c r="H398" s="70"/>
    </row>
    <row r="399" spans="1:8" x14ac:dyDescent="0.2">
      <c r="A399" s="440" t="str">
        <f>IF(ISBLANK(Twilight!AG304),"|",CONCATENATE(Twilight!AG304,"|"))</f>
        <v>|</v>
      </c>
      <c r="E399" s="70"/>
      <c r="F399" s="70"/>
      <c r="G399" s="70"/>
      <c r="H399" s="70"/>
    </row>
    <row r="400" spans="1:8" x14ac:dyDescent="0.2">
      <c r="A400" s="440" t="str">
        <f>IF(ISBLANK(Twilight!AG305),"|",CONCATENATE(Twilight!AG305,"|"))</f>
        <v>|</v>
      </c>
      <c r="E400" s="70"/>
      <c r="F400" s="70"/>
      <c r="G400" s="70"/>
      <c r="H400" s="70"/>
    </row>
    <row r="401" spans="1:8" x14ac:dyDescent="0.2">
      <c r="A401" s="440" t="str">
        <f>IF(ISBLANK(Twilight!AG306),"|",CONCATENATE(Twilight!AG306,"|"))</f>
        <v>|</v>
      </c>
      <c r="E401" s="70"/>
      <c r="F401" s="70"/>
      <c r="G401" s="70"/>
      <c r="H401" s="70"/>
    </row>
    <row r="402" spans="1:8" x14ac:dyDescent="0.2">
      <c r="A402" s="440" t="str">
        <f>IF(ISBLANK(Twilight!AG307),"|",CONCATENATE(Twilight!AG307,"|"))</f>
        <v>|</v>
      </c>
      <c r="E402" s="70"/>
      <c r="F402" s="70"/>
      <c r="G402" s="70"/>
      <c r="H402" s="70"/>
    </row>
    <row r="403" spans="1:8" x14ac:dyDescent="0.2">
      <c r="A403" s="440" t="str">
        <f>IF(ISBLANK(Twilight!AG308),"|",CONCATENATE(Twilight!AG308,"|"))</f>
        <v>|</v>
      </c>
      <c r="E403" s="70"/>
      <c r="F403" s="70"/>
      <c r="G403" s="70"/>
      <c r="H403" s="70"/>
    </row>
    <row r="404" spans="1:8" x14ac:dyDescent="0.2">
      <c r="A404" s="440" t="str">
        <f>IF(ISBLANK(Twilight!AG309),"|",CONCATENATE(Twilight!AG309,"|"))</f>
        <v>|</v>
      </c>
      <c r="E404" s="70"/>
      <c r="F404" s="70"/>
      <c r="G404" s="70"/>
      <c r="H404" s="70"/>
    </row>
    <row r="405" spans="1:8" x14ac:dyDescent="0.2">
      <c r="A405" s="440" t="str">
        <f>IF(ISBLANK(Twilight!AG310),"|",CONCATENATE(Twilight!AG310,"|"))</f>
        <v>|</v>
      </c>
      <c r="E405" s="70"/>
      <c r="F405" s="70"/>
      <c r="G405" s="70"/>
      <c r="H405" s="70"/>
    </row>
    <row r="406" spans="1:8" x14ac:dyDescent="0.2">
      <c r="A406" s="440" t="str">
        <f>IF(ISBLANK(Twilight!AG311),"|",CONCATENATE(Twilight!AG311,"|"))</f>
        <v>|</v>
      </c>
      <c r="E406" s="70"/>
      <c r="F406" s="70"/>
      <c r="G406" s="70"/>
      <c r="H406" s="70"/>
    </row>
    <row r="407" spans="1:8" x14ac:dyDescent="0.2">
      <c r="A407" s="440" t="str">
        <f>IF(ISBLANK(Twilight!AG312),"|",CONCATENATE(Twilight!AG312,"|"))</f>
        <v>|</v>
      </c>
      <c r="E407" s="70"/>
      <c r="F407" s="70"/>
      <c r="G407" s="70"/>
      <c r="H407" s="70"/>
    </row>
    <row r="408" spans="1:8" x14ac:dyDescent="0.2">
      <c r="A408" s="440" t="str">
        <f>IF(ISBLANK(Twilight!AG313),"|",CONCATENATE(Twilight!AG313,"|"))</f>
        <v>|</v>
      </c>
      <c r="E408" s="70"/>
      <c r="F408" s="70"/>
      <c r="G408" s="70"/>
      <c r="H408" s="70"/>
    </row>
    <row r="409" spans="1:8" x14ac:dyDescent="0.2">
      <c r="A409" s="440" t="str">
        <f>IF(ISBLANK(Twilight!AG314),"|",CONCATENATE(Twilight!AG314,"|"))</f>
        <v>|</v>
      </c>
      <c r="E409" s="70"/>
      <c r="F409" s="70"/>
      <c r="G409" s="70"/>
      <c r="H409" s="70"/>
    </row>
    <row r="410" spans="1:8" x14ac:dyDescent="0.2">
      <c r="A410" s="440" t="str">
        <f>IF(ISBLANK(Twilight!AG315),"|",CONCATENATE(Twilight!AG315,"|"))</f>
        <v>|</v>
      </c>
      <c r="E410" s="70"/>
      <c r="F410" s="70"/>
      <c r="G410" s="70"/>
      <c r="H410" s="70"/>
    </row>
    <row r="411" spans="1:8" x14ac:dyDescent="0.2">
      <c r="A411" s="440" t="str">
        <f>IF(ISBLANK(Twilight!AG316),"|",CONCATENATE(Twilight!AG316,"|"))</f>
        <v>|</v>
      </c>
      <c r="E411" s="70"/>
      <c r="F411" s="70"/>
      <c r="G411" s="70"/>
      <c r="H411" s="70"/>
    </row>
    <row r="412" spans="1:8" x14ac:dyDescent="0.2">
      <c r="A412" s="440" t="str">
        <f>IF(ISBLANK(Twilight!AG317),"|",CONCATENATE(Twilight!AG317,"|"))</f>
        <v>|</v>
      </c>
      <c r="E412" s="70"/>
      <c r="F412" s="70"/>
      <c r="G412" s="70"/>
      <c r="H412" s="70"/>
    </row>
    <row r="413" spans="1:8" x14ac:dyDescent="0.2">
      <c r="A413" s="440" t="str">
        <f>IF(ISBLANK(Twilight!AG318),"|",CONCATENATE(Twilight!AG318,"|"))</f>
        <v>|</v>
      </c>
      <c r="E413" s="70"/>
      <c r="F413" s="70"/>
      <c r="G413" s="70"/>
      <c r="H413" s="70"/>
    </row>
    <row r="414" spans="1:8" x14ac:dyDescent="0.2">
      <c r="A414" s="440" t="str">
        <f>IF(ISBLANK(Twilight!AG319),"|",CONCATENATE(Twilight!AG319,"|"))</f>
        <v>|</v>
      </c>
      <c r="E414" s="70"/>
      <c r="F414" s="70"/>
      <c r="G414" s="70"/>
      <c r="H414" s="70"/>
    </row>
    <row r="415" spans="1:8" x14ac:dyDescent="0.2">
      <c r="A415" s="440" t="str">
        <f>IF(ISBLANK(Twilight!AG320),"|",CONCATENATE(Twilight!AG320,"|"))</f>
        <v>|</v>
      </c>
      <c r="E415" s="70"/>
      <c r="F415" s="70"/>
      <c r="G415" s="70"/>
      <c r="H415" s="70"/>
    </row>
    <row r="416" spans="1:8" x14ac:dyDescent="0.2">
      <c r="A416" s="440" t="str">
        <f>IF(ISBLANK(Twilight!AG321),"|",CONCATENATE(Twilight!AG321,"|"))</f>
        <v>|</v>
      </c>
      <c r="E416" s="70"/>
      <c r="F416" s="70"/>
      <c r="G416" s="70"/>
      <c r="H416" s="70"/>
    </row>
    <row r="417" spans="1:8" x14ac:dyDescent="0.2">
      <c r="A417" s="440" t="str">
        <f>IF(ISBLANK(Twilight!AG322),"|",CONCATENATE(Twilight!AG322,"|"))</f>
        <v>|</v>
      </c>
      <c r="E417" s="70"/>
      <c r="F417" s="70"/>
      <c r="G417" s="70"/>
      <c r="H417" s="70"/>
    </row>
    <row r="418" spans="1:8" x14ac:dyDescent="0.2">
      <c r="A418" s="440" t="str">
        <f>IF(ISBLANK(Twilight!AG323),"|",CONCATENATE(Twilight!AG323,"|"))</f>
        <v>|</v>
      </c>
      <c r="E418" s="70"/>
      <c r="F418" s="70"/>
      <c r="G418" s="70"/>
      <c r="H418" s="70"/>
    </row>
    <row r="419" spans="1:8" x14ac:dyDescent="0.2">
      <c r="A419" s="440" t="str">
        <f>IF(ISBLANK(Twilight!AG324),"|",CONCATENATE(Twilight!AG324,"|"))</f>
        <v>|</v>
      </c>
      <c r="E419" s="70"/>
      <c r="F419" s="70"/>
      <c r="G419" s="70"/>
      <c r="H419" s="70"/>
    </row>
    <row r="420" spans="1:8" x14ac:dyDescent="0.2">
      <c r="A420" s="440" t="str">
        <f>IF(ISBLANK(Twilight!AG325),"|",CONCATENATE(Twilight!AG325,"|"))</f>
        <v>|</v>
      </c>
      <c r="E420" s="70"/>
      <c r="F420" s="70"/>
      <c r="G420" s="70"/>
      <c r="H420" s="70"/>
    </row>
    <row r="421" spans="1:8" x14ac:dyDescent="0.2">
      <c r="A421" s="440" t="str">
        <f>IF(ISBLANK(Twilight!AG326),"|",CONCATENATE(Twilight!AG326,"|"))</f>
        <v>|</v>
      </c>
      <c r="E421" s="70"/>
      <c r="F421" s="70"/>
      <c r="G421" s="70"/>
      <c r="H421" s="70"/>
    </row>
    <row r="422" spans="1:8" x14ac:dyDescent="0.2">
      <c r="A422" s="440" t="str">
        <f>IF(ISBLANK(Twilight!AG327),"|",CONCATENATE(Twilight!AG327,"|"))</f>
        <v>|</v>
      </c>
      <c r="E422" s="70"/>
      <c r="F422" s="70"/>
      <c r="G422" s="70"/>
      <c r="H422" s="70"/>
    </row>
    <row r="423" spans="1:8" x14ac:dyDescent="0.2">
      <c r="A423" s="440" t="str">
        <f>IF(ISBLANK(Twilight!AG328),"|",CONCATENATE(Twilight!AG328,"|"))</f>
        <v>|</v>
      </c>
      <c r="E423" s="70"/>
      <c r="F423" s="70"/>
      <c r="G423" s="70"/>
      <c r="H423" s="70"/>
    </row>
    <row r="424" spans="1:8" x14ac:dyDescent="0.2">
      <c r="A424" s="440" t="str">
        <f>IF(ISBLANK(Twilight!AG329),"|",CONCATENATE(Twilight!AG329,"|"))</f>
        <v>|</v>
      </c>
      <c r="E424" s="70"/>
      <c r="F424" s="70"/>
      <c r="G424" s="70"/>
      <c r="H424" s="70"/>
    </row>
    <row r="425" spans="1:8" x14ac:dyDescent="0.2">
      <c r="A425" s="440" t="str">
        <f>IF(ISBLANK(Twilight!AG330),"|",CONCATENATE(Twilight!AG330,"|"))</f>
        <v>|</v>
      </c>
      <c r="E425" s="70"/>
      <c r="F425" s="70"/>
      <c r="G425" s="70"/>
      <c r="H425" s="70"/>
    </row>
    <row r="426" spans="1:8" x14ac:dyDescent="0.2">
      <c r="A426" s="440" t="str">
        <f>IF(ISBLANK(Twilight!AG331),"|",CONCATENATE(Twilight!AG331,"|"))</f>
        <v>|</v>
      </c>
      <c r="E426" s="70"/>
      <c r="F426" s="70"/>
      <c r="G426" s="70"/>
      <c r="H426" s="70"/>
    </row>
    <row r="427" spans="1:8" x14ac:dyDescent="0.2">
      <c r="A427" s="440" t="str">
        <f>IF(ISBLANK(Twilight!AG332),"|",CONCATENATE(Twilight!AG332,"|"))</f>
        <v>|</v>
      </c>
      <c r="E427" s="70"/>
      <c r="F427" s="70"/>
      <c r="G427" s="70"/>
      <c r="H427" s="70"/>
    </row>
    <row r="428" spans="1:8" x14ac:dyDescent="0.2">
      <c r="A428" s="440" t="str">
        <f>IF(ISBLANK(Twilight!AG333),"|",CONCATENATE(Twilight!AG333,"|"))</f>
        <v>|</v>
      </c>
      <c r="E428" s="70"/>
      <c r="F428" s="70"/>
      <c r="G428" s="70"/>
      <c r="H428" s="70"/>
    </row>
    <row r="429" spans="1:8" x14ac:dyDescent="0.2">
      <c r="A429" s="440" t="str">
        <f>IF(ISBLANK(Twilight!AG334),"|",CONCATENATE(Twilight!AG334,"|"))</f>
        <v>|</v>
      </c>
      <c r="E429" s="70"/>
      <c r="F429" s="70"/>
      <c r="G429" s="70"/>
      <c r="H429" s="70"/>
    </row>
    <row r="430" spans="1:8" x14ac:dyDescent="0.2">
      <c r="A430" s="440" t="str">
        <f>IF(ISBLANK(Twilight!AG335),"|",CONCATENATE(Twilight!AG335,"|"))</f>
        <v>|</v>
      </c>
      <c r="E430" s="70"/>
      <c r="F430" s="70"/>
      <c r="G430" s="70"/>
      <c r="H430" s="70"/>
    </row>
    <row r="431" spans="1:8" x14ac:dyDescent="0.2">
      <c r="A431" s="440" t="str">
        <f>IF(ISBLANK(Twilight!AG336),"|",CONCATENATE(Twilight!AG336,"|"))</f>
        <v>|</v>
      </c>
      <c r="E431" s="70"/>
      <c r="F431" s="70"/>
      <c r="G431" s="70"/>
      <c r="H431" s="70"/>
    </row>
    <row r="432" spans="1:8" x14ac:dyDescent="0.2">
      <c r="A432" s="440" t="str">
        <f>IF(ISBLANK(Twilight!AG337),"|",CONCATENATE(Twilight!AG337,"|"))</f>
        <v>|</v>
      </c>
      <c r="E432" s="70"/>
      <c r="F432" s="70"/>
      <c r="G432" s="70"/>
      <c r="H432" s="70"/>
    </row>
    <row r="433" spans="1:8" x14ac:dyDescent="0.2">
      <c r="A433" s="440" t="str">
        <f>IF(ISBLANK(Twilight!AG338),"|",CONCATENATE(Twilight!AG338,"|"))</f>
        <v>|</v>
      </c>
      <c r="E433" s="70"/>
      <c r="F433" s="70"/>
      <c r="G433" s="70"/>
      <c r="H433" s="70"/>
    </row>
    <row r="434" spans="1:8" x14ac:dyDescent="0.2">
      <c r="A434" s="440" t="str">
        <f>IF(ISBLANK(Twilight!AG339),"|",CONCATENATE(Twilight!AG339,"|"))</f>
        <v>|</v>
      </c>
      <c r="E434" s="70"/>
      <c r="F434" s="70"/>
      <c r="G434" s="70"/>
      <c r="H434" s="70"/>
    </row>
    <row r="435" spans="1:8" x14ac:dyDescent="0.2">
      <c r="A435" s="440" t="str">
        <f>IF(ISBLANK(Twilight!AG340),"|",CONCATENATE(Twilight!AG340,"|"))</f>
        <v>|</v>
      </c>
      <c r="E435" s="70"/>
      <c r="F435" s="70"/>
      <c r="G435" s="70"/>
      <c r="H435" s="70"/>
    </row>
    <row r="436" spans="1:8" x14ac:dyDescent="0.2">
      <c r="A436" s="440" t="str">
        <f>IF(ISBLANK(Twilight!AG341),"|",CONCATENATE(Twilight!AG341,"|"))</f>
        <v>|</v>
      </c>
      <c r="E436" s="70"/>
      <c r="F436" s="70"/>
      <c r="G436" s="70"/>
      <c r="H436" s="70"/>
    </row>
    <row r="437" spans="1:8" x14ac:dyDescent="0.2">
      <c r="A437" s="440" t="str">
        <f>IF(ISBLANK(Twilight!AG342),"|",CONCATENATE(Twilight!AG342,"|"))</f>
        <v>|</v>
      </c>
      <c r="E437" s="70"/>
      <c r="F437" s="70"/>
      <c r="G437" s="70"/>
      <c r="H437" s="70"/>
    </row>
    <row r="438" spans="1:8" x14ac:dyDescent="0.2">
      <c r="A438" s="440" t="str">
        <f>IF(ISBLANK(Twilight!AG343),"|",CONCATENATE(Twilight!AG343,"|"))</f>
        <v>|</v>
      </c>
      <c r="E438" s="70"/>
      <c r="F438" s="70"/>
      <c r="G438" s="70"/>
      <c r="H438" s="70"/>
    </row>
    <row r="439" spans="1:8" x14ac:dyDescent="0.2">
      <c r="A439" s="440" t="str">
        <f>IF(ISBLANK(Twilight!AG344),"|",CONCATENATE(Twilight!AG344,"|"))</f>
        <v>|</v>
      </c>
      <c r="E439" s="70"/>
      <c r="F439" s="70"/>
      <c r="G439" s="70"/>
      <c r="H439" s="70"/>
    </row>
    <row r="440" spans="1:8" x14ac:dyDescent="0.2">
      <c r="A440" s="440" t="str">
        <f>IF(ISBLANK(Twilight!AG345),"|",CONCATENATE(Twilight!AG345,"|"))</f>
        <v>|</v>
      </c>
      <c r="E440" s="70"/>
      <c r="F440" s="70"/>
      <c r="G440" s="70"/>
      <c r="H440" s="70"/>
    </row>
    <row r="441" spans="1:8" x14ac:dyDescent="0.2">
      <c r="A441" s="440" t="str">
        <f>IF(ISBLANK(Twilight!AG346),"|",CONCATENATE(Twilight!AG346,"|"))</f>
        <v>|</v>
      </c>
      <c r="E441" s="70"/>
      <c r="F441" s="70"/>
      <c r="G441" s="70"/>
      <c r="H441" s="70"/>
    </row>
    <row r="442" spans="1:8" x14ac:dyDescent="0.2">
      <c r="A442" s="440" t="str">
        <f>IF(ISBLANK(Twilight!AG347),"|",CONCATENATE(Twilight!AG347,"|"))</f>
        <v>|</v>
      </c>
      <c r="E442" s="70"/>
      <c r="F442" s="70"/>
      <c r="G442" s="70"/>
      <c r="H442" s="70"/>
    </row>
    <row r="443" spans="1:8" x14ac:dyDescent="0.2">
      <c r="A443" s="440" t="str">
        <f>IF(ISBLANK(Twilight!AG348),"|",CONCATENATE(Twilight!AG348,"|"))</f>
        <v>|</v>
      </c>
      <c r="E443" s="70"/>
      <c r="F443" s="70"/>
      <c r="G443" s="70"/>
      <c r="H443" s="70"/>
    </row>
    <row r="444" spans="1:8" x14ac:dyDescent="0.2">
      <c r="A444" s="440" t="str">
        <f>IF(ISBLANK(Twilight!AG349),"|",CONCATENATE(Twilight!AG349,"|"))</f>
        <v>|</v>
      </c>
      <c r="E444" s="70"/>
      <c r="F444" s="70"/>
      <c r="G444" s="70"/>
      <c r="H444" s="70"/>
    </row>
    <row r="445" spans="1:8" x14ac:dyDescent="0.2">
      <c r="A445" s="440" t="str">
        <f>IF(ISBLANK(Twilight!AG350),"|",CONCATENATE(Twilight!AG350,"|"))</f>
        <v>|</v>
      </c>
      <c r="E445" s="70"/>
      <c r="F445" s="70"/>
      <c r="G445" s="70"/>
      <c r="H445" s="70"/>
    </row>
    <row r="446" spans="1:8" x14ac:dyDescent="0.2">
      <c r="A446" s="440" t="str">
        <f>IF(ISBLANK(Twilight!AG351),"|",CONCATENATE(Twilight!AG351,"|"))</f>
        <v>|</v>
      </c>
      <c r="E446" s="70"/>
      <c r="F446" s="70"/>
      <c r="G446" s="70"/>
      <c r="H446" s="70"/>
    </row>
    <row r="447" spans="1:8" x14ac:dyDescent="0.2">
      <c r="A447" s="440" t="str">
        <f>IF(ISBLANK(Twilight!AG352),"|",CONCATENATE(Twilight!AG352,"|"))</f>
        <v>|</v>
      </c>
      <c r="E447" s="70"/>
      <c r="F447" s="70"/>
      <c r="G447" s="70"/>
      <c r="H447" s="70"/>
    </row>
    <row r="448" spans="1:8" x14ac:dyDescent="0.2">
      <c r="A448" s="440" t="str">
        <f>IF(ISBLANK(Twilight!AG353),"|",CONCATENATE(Twilight!AG353,"|"))</f>
        <v>|</v>
      </c>
      <c r="E448" s="70"/>
      <c r="F448" s="70"/>
      <c r="G448" s="70"/>
      <c r="H448" s="70"/>
    </row>
    <row r="449" spans="1:8" x14ac:dyDescent="0.2">
      <c r="A449" s="440" t="str">
        <f>IF(ISBLANK(Twilight!AG354),"|",CONCATENATE(Twilight!AG354,"|"))</f>
        <v>|</v>
      </c>
      <c r="E449" s="70"/>
      <c r="F449" s="70"/>
      <c r="G449" s="70"/>
      <c r="H449" s="70"/>
    </row>
    <row r="450" spans="1:8" x14ac:dyDescent="0.2">
      <c r="A450" s="440" t="str">
        <f>IF(ISBLANK(Twilight!AG355),"|",CONCATENATE(Twilight!AG355,"|"))</f>
        <v>|</v>
      </c>
      <c r="E450" s="70"/>
      <c r="F450" s="70"/>
      <c r="G450" s="70"/>
      <c r="H450" s="70"/>
    </row>
    <row r="451" spans="1:8" x14ac:dyDescent="0.2">
      <c r="A451" s="440" t="str">
        <f>IF(ISBLANK(Twilight!AG356),"|",CONCATENATE(Twilight!AG356,"|"))</f>
        <v>|</v>
      </c>
      <c r="E451" s="70"/>
      <c r="F451" s="70"/>
      <c r="G451" s="70"/>
      <c r="H451" s="70"/>
    </row>
    <row r="452" spans="1:8" x14ac:dyDescent="0.2">
      <c r="A452" s="440" t="str">
        <f>IF(ISBLANK(Twilight!AG357),"|",CONCATENATE(Twilight!AG357,"|"))</f>
        <v>|</v>
      </c>
      <c r="E452" s="70"/>
      <c r="F452" s="70"/>
      <c r="G452" s="70"/>
      <c r="H452" s="70"/>
    </row>
    <row r="453" spans="1:8" x14ac:dyDescent="0.2">
      <c r="A453" s="440" t="str">
        <f>IF(ISBLANK(Twilight!AG358),"|",CONCATENATE(Twilight!AG358,"|"))</f>
        <v>|</v>
      </c>
      <c r="E453" s="70"/>
      <c r="F453" s="70"/>
      <c r="G453" s="70"/>
      <c r="H453" s="70"/>
    </row>
    <row r="454" spans="1:8" x14ac:dyDescent="0.2">
      <c r="A454" s="440" t="str">
        <f>IF(ISBLANK(Twilight!AG359),"|",CONCATENATE(Twilight!AG359,"|"))</f>
        <v>|</v>
      </c>
      <c r="E454" s="70"/>
      <c r="F454" s="70"/>
      <c r="G454" s="70"/>
      <c r="H454" s="70"/>
    </row>
    <row r="455" spans="1:8" x14ac:dyDescent="0.2">
      <c r="A455" s="440" t="str">
        <f>IF(ISBLANK(Twilight!AG360),"|",CONCATENATE(Twilight!AG360,"|"))</f>
        <v>|</v>
      </c>
      <c r="E455" s="70"/>
      <c r="F455" s="70"/>
      <c r="G455" s="70"/>
      <c r="H455" s="70"/>
    </row>
    <row r="456" spans="1:8" x14ac:dyDescent="0.2">
      <c r="A456" s="440" t="str">
        <f>IF(ISBLANK(Twilight!AG361),"|",CONCATENATE(Twilight!AG361,"|"))</f>
        <v>|</v>
      </c>
      <c r="E456" s="70"/>
      <c r="F456" s="70"/>
      <c r="G456" s="70"/>
      <c r="H456" s="70"/>
    </row>
    <row r="457" spans="1:8" x14ac:dyDescent="0.2">
      <c r="A457" s="440" t="str">
        <f>IF(ISBLANK(Twilight!AG362),"|",CONCATENATE(Twilight!AG362,"|"))</f>
        <v>|</v>
      </c>
      <c r="E457" s="70"/>
      <c r="F457" s="70"/>
      <c r="G457" s="70"/>
      <c r="H457" s="70"/>
    </row>
    <row r="458" spans="1:8" x14ac:dyDescent="0.2">
      <c r="A458" s="440" t="str">
        <f>IF(ISBLANK(Twilight!AG363),"|",CONCATENATE(Twilight!AG363,"|"))</f>
        <v>|</v>
      </c>
      <c r="E458" s="70"/>
      <c r="F458" s="70"/>
      <c r="G458" s="70"/>
      <c r="H458" s="70"/>
    </row>
    <row r="459" spans="1:8" x14ac:dyDescent="0.2">
      <c r="A459" s="440" t="str">
        <f>IF(ISBLANK(Twilight!AG364),"|",CONCATENATE(Twilight!AG364,"|"))</f>
        <v>|</v>
      </c>
      <c r="E459" s="70"/>
      <c r="F459" s="70"/>
      <c r="G459" s="70"/>
      <c r="H459" s="70"/>
    </row>
    <row r="460" spans="1:8" x14ac:dyDescent="0.2">
      <c r="A460" s="440" t="str">
        <f>IF(ISBLANK(Twilight!AG365),"|",CONCATENATE(Twilight!AG365,"|"))</f>
        <v>|</v>
      </c>
      <c r="E460" s="70"/>
      <c r="F460" s="70"/>
      <c r="G460" s="70"/>
      <c r="H460" s="70"/>
    </row>
    <row r="461" spans="1:8" x14ac:dyDescent="0.2">
      <c r="A461" s="440" t="str">
        <f>IF(ISBLANK(Twilight!AG366),"|",CONCATENATE(Twilight!AG366,"|"))</f>
        <v>|</v>
      </c>
      <c r="E461" s="70"/>
      <c r="F461" s="70"/>
      <c r="G461" s="70"/>
      <c r="H461" s="70"/>
    </row>
    <row r="462" spans="1:8" x14ac:dyDescent="0.2">
      <c r="A462" s="440" t="str">
        <f>IF(ISBLANK(Twilight!AG367),"|",CONCATENATE(Twilight!AG367,"|"))</f>
        <v>|</v>
      </c>
      <c r="E462" s="70"/>
      <c r="F462" s="70"/>
      <c r="G462" s="70"/>
      <c r="H462" s="70"/>
    </row>
    <row r="463" spans="1:8" x14ac:dyDescent="0.2">
      <c r="A463" s="440" t="str">
        <f>IF(ISBLANK(Twilight!AG368),"|",CONCATENATE(Twilight!AG368,"|"))</f>
        <v>|</v>
      </c>
      <c r="E463" s="70"/>
      <c r="F463" s="70"/>
      <c r="G463" s="70"/>
      <c r="H463" s="70"/>
    </row>
    <row r="464" spans="1:8" x14ac:dyDescent="0.2">
      <c r="A464" s="440" t="str">
        <f>IF(ISBLANK(Twilight!AG369),"|",CONCATENATE(Twilight!AG369,"|"))</f>
        <v>|</v>
      </c>
      <c r="E464" s="70"/>
      <c r="F464" s="70"/>
      <c r="G464" s="70"/>
      <c r="H464" s="70"/>
    </row>
    <row r="465" spans="1:8" x14ac:dyDescent="0.2">
      <c r="A465" s="440" t="str">
        <f>IF(ISBLANK(Twilight!AG370),"|",CONCATENATE(Twilight!AG370,"|"))</f>
        <v>|</v>
      </c>
      <c r="E465" s="70"/>
      <c r="F465" s="70"/>
      <c r="G465" s="70"/>
      <c r="H465" s="70"/>
    </row>
    <row r="466" spans="1:8" x14ac:dyDescent="0.2">
      <c r="A466" s="440" t="str">
        <f>IF(ISBLANK(Twilight!AG371),"|",CONCATENATE(Twilight!AG371,"|"))</f>
        <v>|</v>
      </c>
      <c r="E466" s="70"/>
      <c r="F466" s="70"/>
      <c r="G466" s="70"/>
      <c r="H466" s="70"/>
    </row>
    <row r="467" spans="1:8" x14ac:dyDescent="0.2">
      <c r="A467" s="440" t="str">
        <f>IF(ISBLANK(Twilight!AG372),"|",CONCATENATE(Twilight!AG372,"|"))</f>
        <v>|</v>
      </c>
      <c r="E467" s="70"/>
      <c r="F467" s="70"/>
      <c r="G467" s="70"/>
      <c r="H467" s="70"/>
    </row>
    <row r="468" spans="1:8" x14ac:dyDescent="0.2">
      <c r="A468" s="440" t="str">
        <f>IF(ISBLANK(Twilight!AG373),"|",CONCATENATE(Twilight!AG373,"|"))</f>
        <v>|</v>
      </c>
      <c r="E468" s="70"/>
      <c r="F468" s="70"/>
      <c r="G468" s="70"/>
      <c r="H468" s="70"/>
    </row>
    <row r="469" spans="1:8" x14ac:dyDescent="0.2">
      <c r="A469" s="440" t="str">
        <f>IF(ISBLANK(Twilight!AG374),"|",CONCATENATE(Twilight!AG374,"|"))</f>
        <v>|</v>
      </c>
      <c r="E469" s="70"/>
      <c r="F469" s="70"/>
      <c r="G469" s="70"/>
      <c r="H469" s="70"/>
    </row>
    <row r="470" spans="1:8" x14ac:dyDescent="0.2">
      <c r="A470" s="440" t="str">
        <f>IF(ISBLANK(Twilight!AG375),"|",CONCATENATE(Twilight!AG375,"|"))</f>
        <v>|</v>
      </c>
      <c r="E470" s="70"/>
      <c r="F470" s="70"/>
      <c r="G470" s="70"/>
      <c r="H470" s="70"/>
    </row>
    <row r="471" spans="1:8" x14ac:dyDescent="0.2">
      <c r="A471" s="440" t="str">
        <f>IF(ISBLANK(Twilight!AG376),"|",CONCATENATE(Twilight!AG376,"|"))</f>
        <v>|</v>
      </c>
      <c r="E471" s="70"/>
      <c r="F471" s="70"/>
      <c r="G471" s="70"/>
      <c r="H471" s="70"/>
    </row>
    <row r="472" spans="1:8" x14ac:dyDescent="0.2">
      <c r="A472" s="440" t="str">
        <f>IF(ISBLANK(Twilight!AG377),"|",CONCATENATE(Twilight!AG377,"|"))</f>
        <v>|</v>
      </c>
      <c r="E472" s="70"/>
      <c r="F472" s="70"/>
      <c r="G472" s="70"/>
      <c r="H472" s="70"/>
    </row>
    <row r="473" spans="1:8" x14ac:dyDescent="0.2">
      <c r="A473" s="440" t="str">
        <f>IF(ISBLANK(Twilight!AG378),"|",CONCATENATE(Twilight!AG378,"|"))</f>
        <v>|</v>
      </c>
      <c r="E473" s="70"/>
      <c r="F473" s="70"/>
      <c r="G473" s="70"/>
      <c r="H473" s="70"/>
    </row>
    <row r="474" spans="1:8" x14ac:dyDescent="0.2">
      <c r="A474" s="440" t="str">
        <f>IF(ISBLANK(Twilight!AG379),"|",CONCATENATE(Twilight!AG379,"|"))</f>
        <v>|</v>
      </c>
      <c r="E474" s="70"/>
      <c r="F474" s="70"/>
      <c r="G474" s="70"/>
      <c r="H474" s="70"/>
    </row>
    <row r="475" spans="1:8" x14ac:dyDescent="0.2">
      <c r="A475" s="440" t="str">
        <f>IF(ISBLANK(Twilight!AG380),"|",CONCATENATE(Twilight!AG380,"|"))</f>
        <v>|</v>
      </c>
      <c r="E475" s="70"/>
      <c r="F475" s="70"/>
      <c r="G475" s="70"/>
      <c r="H475" s="70"/>
    </row>
    <row r="476" spans="1:8" x14ac:dyDescent="0.2">
      <c r="A476" s="440" t="str">
        <f>IF(ISBLANK(Twilight!AG381),"|",CONCATENATE(Twilight!AG381,"|"))</f>
        <v>|</v>
      </c>
      <c r="E476" s="70"/>
      <c r="F476" s="70"/>
      <c r="G476" s="70"/>
      <c r="H476" s="70"/>
    </row>
    <row r="477" spans="1:8" x14ac:dyDescent="0.2">
      <c r="A477" s="440" t="str">
        <f>IF(ISBLANK(Twilight!AG382),"|",CONCATENATE(Twilight!AG382,"|"))</f>
        <v>|</v>
      </c>
      <c r="E477" s="70"/>
      <c r="F477" s="70"/>
      <c r="G477" s="70"/>
      <c r="H477" s="70"/>
    </row>
    <row r="478" spans="1:8" x14ac:dyDescent="0.2">
      <c r="A478" s="440" t="str">
        <f>IF(ISBLANK(Twilight!AG383),"|",CONCATENATE(Twilight!AG383,"|"))</f>
        <v>|</v>
      </c>
      <c r="E478" s="70"/>
      <c r="F478" s="70"/>
      <c r="G478" s="70"/>
      <c r="H478" s="70"/>
    </row>
    <row r="479" spans="1:8" x14ac:dyDescent="0.2">
      <c r="A479" s="440" t="str">
        <f>IF(ISBLANK(Twilight!AG384),"|",CONCATENATE(Twilight!AG384,"|"))</f>
        <v>|</v>
      </c>
      <c r="E479" s="70"/>
      <c r="F479" s="70"/>
      <c r="G479" s="70"/>
      <c r="H479" s="70"/>
    </row>
    <row r="480" spans="1:8" x14ac:dyDescent="0.2">
      <c r="A480" s="440" t="str">
        <f>IF(ISBLANK(Twilight!AG385),"|",CONCATENATE(Twilight!AG385,"|"))</f>
        <v>|</v>
      </c>
      <c r="E480" s="70"/>
      <c r="F480" s="70"/>
      <c r="G480" s="70"/>
      <c r="H480" s="70"/>
    </row>
    <row r="481" spans="1:8" x14ac:dyDescent="0.2">
      <c r="A481" s="440" t="str">
        <f>IF(ISBLANK(Twilight!AG386),"|",CONCATENATE(Twilight!AG386,"|"))</f>
        <v>|</v>
      </c>
      <c r="E481" s="70"/>
      <c r="F481" s="70"/>
      <c r="G481" s="70"/>
      <c r="H481" s="70"/>
    </row>
    <row r="482" spans="1:8" x14ac:dyDescent="0.2">
      <c r="A482" s="440" t="str">
        <f>IF(ISBLANK(Twilight!AG387),"|",CONCATENATE(Twilight!AG387,"|"))</f>
        <v>|</v>
      </c>
      <c r="E482" s="70"/>
      <c r="F482" s="70"/>
      <c r="G482" s="70"/>
      <c r="H482" s="70"/>
    </row>
    <row r="483" spans="1:8" x14ac:dyDescent="0.2">
      <c r="A483" s="440" t="str">
        <f>IF(ISBLANK(Twilight!AG388),"|",CONCATENATE(Twilight!AG388,"|"))</f>
        <v>|</v>
      </c>
      <c r="E483" s="70"/>
      <c r="F483" s="70"/>
      <c r="G483" s="70"/>
      <c r="H483" s="70"/>
    </row>
    <row r="484" spans="1:8" x14ac:dyDescent="0.2">
      <c r="A484" s="440" t="str">
        <f>IF(ISBLANK(Twilight!AG389),"|",CONCATENATE(Twilight!AG389,"|"))</f>
        <v>|</v>
      </c>
      <c r="E484" s="70"/>
      <c r="F484" s="70"/>
      <c r="G484" s="70"/>
      <c r="H484" s="70"/>
    </row>
    <row r="485" spans="1:8" x14ac:dyDescent="0.2">
      <c r="A485" s="440" t="str">
        <f>IF(ISBLANK(Twilight!AG390),"|",CONCATENATE(Twilight!AG390,"|"))</f>
        <v>|</v>
      </c>
      <c r="E485" s="70"/>
      <c r="F485" s="70"/>
      <c r="G485" s="70"/>
      <c r="H485" s="70"/>
    </row>
    <row r="486" spans="1:8" x14ac:dyDescent="0.2">
      <c r="A486" s="440" t="str">
        <f>IF(ISBLANK(Twilight!AG391),"|",CONCATENATE(Twilight!AG391,"|"))</f>
        <v>|</v>
      </c>
      <c r="E486" s="70"/>
      <c r="F486" s="70"/>
      <c r="G486" s="70"/>
      <c r="H486" s="70"/>
    </row>
    <row r="487" spans="1:8" x14ac:dyDescent="0.2">
      <c r="A487" s="440" t="str">
        <f>IF(ISBLANK(Twilight!AG392),"|",CONCATENATE(Twilight!AG392,"|"))</f>
        <v>|</v>
      </c>
      <c r="E487" s="70"/>
      <c r="F487" s="70"/>
      <c r="G487" s="70"/>
      <c r="H487" s="70"/>
    </row>
    <row r="488" spans="1:8" x14ac:dyDescent="0.2">
      <c r="A488" s="440" t="str">
        <f>IF(ISBLANK(Twilight!AG393),"|",CONCATENATE(Twilight!AG393,"|"))</f>
        <v>|</v>
      </c>
      <c r="E488" s="70"/>
      <c r="F488" s="70"/>
      <c r="G488" s="70"/>
      <c r="H488" s="70"/>
    </row>
    <row r="489" spans="1:8" x14ac:dyDescent="0.2">
      <c r="A489" s="440" t="str">
        <f>IF(ISBLANK(Twilight!AG394),"|",CONCATENATE(Twilight!AG394,"|"))</f>
        <v>|</v>
      </c>
      <c r="E489" s="70"/>
      <c r="F489" s="70"/>
      <c r="G489" s="70"/>
      <c r="H489" s="70"/>
    </row>
    <row r="490" spans="1:8" x14ac:dyDescent="0.2">
      <c r="A490" s="440" t="str">
        <f>IF(ISBLANK(Twilight!AG395),"|",CONCATENATE(Twilight!AG395,"|"))</f>
        <v>|</v>
      </c>
      <c r="E490" s="70"/>
      <c r="F490" s="70"/>
      <c r="G490" s="70"/>
      <c r="H490" s="70"/>
    </row>
    <row r="491" spans="1:8" x14ac:dyDescent="0.2">
      <c r="A491" s="440" t="str">
        <f>IF(ISBLANK(Twilight!AG396),"|",CONCATENATE(Twilight!AG396,"|"))</f>
        <v>|</v>
      </c>
      <c r="E491" s="70"/>
      <c r="F491" s="70"/>
      <c r="G491" s="70"/>
      <c r="H491" s="70"/>
    </row>
    <row r="492" spans="1:8" x14ac:dyDescent="0.2">
      <c r="A492" s="440" t="str">
        <f>IF(ISBLANK(Twilight!AG397),"|",CONCATENATE(Twilight!AG397,"|"))</f>
        <v>|</v>
      </c>
      <c r="E492" s="70"/>
      <c r="F492" s="70"/>
      <c r="G492" s="70"/>
      <c r="H492" s="70"/>
    </row>
    <row r="493" spans="1:8" x14ac:dyDescent="0.2">
      <c r="A493" s="440" t="str">
        <f>IF(ISBLANK(Twilight!AG398),"|",CONCATENATE(Twilight!AG398,"|"))</f>
        <v>|</v>
      </c>
      <c r="E493" s="70"/>
      <c r="F493" s="70"/>
      <c r="G493" s="70"/>
      <c r="H493" s="70"/>
    </row>
    <row r="494" spans="1:8" x14ac:dyDescent="0.2">
      <c r="A494" s="440" t="str">
        <f>IF(ISBLANK(Twilight!AG399),"|",CONCATENATE(Twilight!AG399,"|"))</f>
        <v>|</v>
      </c>
      <c r="E494" s="70"/>
      <c r="F494" s="70"/>
      <c r="G494" s="70"/>
      <c r="H494" s="70"/>
    </row>
    <row r="495" spans="1:8" x14ac:dyDescent="0.2">
      <c r="A495" s="440" t="str">
        <f>IF(ISBLANK(Twilight!AG400),"|",CONCATENATE(Twilight!AG400,"|"))</f>
        <v>|</v>
      </c>
      <c r="E495" s="70"/>
      <c r="F495" s="70"/>
      <c r="G495" s="70"/>
      <c r="H495" s="70"/>
    </row>
    <row r="496" spans="1:8" x14ac:dyDescent="0.2">
      <c r="A496" s="440" t="str">
        <f>IF(ISBLANK(Twilight!AG401),"|",CONCATENATE(Twilight!AG401,"|"))</f>
        <v>|</v>
      </c>
      <c r="E496" s="70"/>
      <c r="F496" s="70"/>
      <c r="G496" s="70"/>
      <c r="H496" s="70"/>
    </row>
    <row r="497" spans="1:8" x14ac:dyDescent="0.2">
      <c r="A497" s="440" t="str">
        <f>IF(ISBLANK(Twilight!AG402),"|",CONCATENATE(Twilight!AG402,"|"))</f>
        <v>|</v>
      </c>
      <c r="E497" s="70"/>
      <c r="F497" s="70"/>
      <c r="G497" s="70"/>
      <c r="H497" s="70"/>
    </row>
    <row r="498" spans="1:8" x14ac:dyDescent="0.2">
      <c r="A498" s="440" t="str">
        <f>IF(ISBLANK(Twilight!AG403),"|",CONCATENATE(Twilight!AG403,"|"))</f>
        <v>|</v>
      </c>
      <c r="E498" s="70"/>
      <c r="F498" s="70"/>
      <c r="G498" s="70"/>
      <c r="H498" s="70"/>
    </row>
    <row r="499" spans="1:8" x14ac:dyDescent="0.2">
      <c r="A499" s="440" t="str">
        <f>IF(ISBLANK(Twilight!AG404),"|",CONCATENATE(Twilight!AG404,"|"))</f>
        <v>|</v>
      </c>
      <c r="E499" s="70"/>
      <c r="F499" s="70"/>
      <c r="G499" s="70"/>
      <c r="H499" s="70"/>
    </row>
    <row r="500" spans="1:8" x14ac:dyDescent="0.2">
      <c r="A500" s="440" t="str">
        <f>IF(ISBLANK(Twilight!AG405),"|",CONCATENATE(Twilight!AG405,"|"))</f>
        <v>|</v>
      </c>
      <c r="E500" s="70"/>
      <c r="F500" s="70"/>
      <c r="G500" s="70"/>
      <c r="H500" s="70"/>
    </row>
    <row r="501" spans="1:8" x14ac:dyDescent="0.2">
      <c r="A501" s="440" t="str">
        <f>IF(ISBLANK(Twilight!AG406),"|",CONCATENATE(Twilight!AG406,"|"))</f>
        <v>|</v>
      </c>
      <c r="E501" s="70"/>
      <c r="F501" s="70"/>
      <c r="G501" s="70"/>
      <c r="H501" s="70"/>
    </row>
    <row r="502" spans="1:8" x14ac:dyDescent="0.2">
      <c r="A502" s="440" t="str">
        <f>IF(ISBLANK(Twilight!AG407),"|",CONCATENATE(Twilight!AG407,"|"))</f>
        <v>|</v>
      </c>
      <c r="E502" s="70"/>
      <c r="F502" s="70"/>
      <c r="G502" s="70"/>
      <c r="H502" s="70"/>
    </row>
    <row r="503" spans="1:8" x14ac:dyDescent="0.2">
      <c r="A503" s="440" t="str">
        <f>IF(ISBLANK(Twilight!AG408),"|",CONCATENATE(Twilight!AG408,"|"))</f>
        <v>|</v>
      </c>
      <c r="E503" s="70"/>
      <c r="F503" s="70"/>
      <c r="G503" s="70"/>
      <c r="H503" s="70"/>
    </row>
    <row r="504" spans="1:8" x14ac:dyDescent="0.2">
      <c r="A504" s="440" t="str">
        <f>IF(ISBLANK(Twilight!AG409),"|",CONCATENATE(Twilight!AG409,"|"))</f>
        <v>|</v>
      </c>
      <c r="E504" s="70"/>
      <c r="F504" s="70"/>
      <c r="G504" s="70"/>
      <c r="H504" s="70"/>
    </row>
    <row r="505" spans="1:8" x14ac:dyDescent="0.2">
      <c r="A505" s="440" t="str">
        <f>IF(ISBLANK(Twilight!AG410),"|",CONCATENATE(Twilight!AG410,"|"))</f>
        <v>|</v>
      </c>
      <c r="E505" s="70"/>
      <c r="F505" s="70"/>
      <c r="G505" s="70"/>
      <c r="H505" s="70"/>
    </row>
    <row r="506" spans="1:8" x14ac:dyDescent="0.2">
      <c r="A506" s="440" t="str">
        <f>IF(ISBLANK(Twilight!AG411),"|",CONCATENATE(Twilight!AG411,"|"))</f>
        <v>|</v>
      </c>
      <c r="E506" s="70"/>
      <c r="F506" s="70"/>
      <c r="G506" s="70"/>
      <c r="H506" s="70"/>
    </row>
    <row r="507" spans="1:8" x14ac:dyDescent="0.2">
      <c r="A507" s="440" t="str">
        <f>IF(ISBLANK(Twilight!AG412),"|",CONCATENATE(Twilight!AG412,"|"))</f>
        <v>|</v>
      </c>
      <c r="E507" s="70"/>
      <c r="F507" s="70"/>
      <c r="G507" s="70"/>
      <c r="H507" s="70"/>
    </row>
    <row r="508" spans="1:8" x14ac:dyDescent="0.2">
      <c r="A508" s="440" t="str">
        <f>IF(ISBLANK(Twilight!AG413),"|",CONCATENATE(Twilight!AG413,"|"))</f>
        <v>|</v>
      </c>
      <c r="E508" s="70"/>
      <c r="F508" s="70"/>
      <c r="G508" s="70"/>
      <c r="H508" s="70"/>
    </row>
    <row r="509" spans="1:8" x14ac:dyDescent="0.2">
      <c r="A509" s="440" t="str">
        <f>IF(ISBLANK(Twilight!AG414),"|",CONCATENATE(Twilight!AG414,"|"))</f>
        <v>|</v>
      </c>
      <c r="E509" s="70"/>
      <c r="F509" s="70"/>
      <c r="G509" s="70"/>
      <c r="H509" s="70"/>
    </row>
    <row r="510" spans="1:8" x14ac:dyDescent="0.2">
      <c r="A510" s="440" t="str">
        <f>IF(ISBLANK(Twilight!AG415),"|",CONCATENATE(Twilight!AG415,"|"))</f>
        <v>|</v>
      </c>
      <c r="E510" s="70"/>
      <c r="F510" s="70"/>
      <c r="G510" s="70"/>
      <c r="H510" s="70"/>
    </row>
    <row r="511" spans="1:8" x14ac:dyDescent="0.2">
      <c r="A511" s="440" t="str">
        <f>IF(ISBLANK(Twilight!AG416),"|",CONCATENATE(Twilight!AG416,"|"))</f>
        <v>|</v>
      </c>
      <c r="E511" s="70"/>
      <c r="F511" s="70"/>
      <c r="G511" s="70"/>
      <c r="H511" s="70"/>
    </row>
    <row r="512" spans="1:8" x14ac:dyDescent="0.2">
      <c r="A512" s="440" t="str">
        <f>IF(ISBLANK(Twilight!AG417),"|",CONCATENATE(Twilight!AG417,"|"))</f>
        <v>|</v>
      </c>
      <c r="E512" s="70"/>
      <c r="F512" s="70"/>
      <c r="G512" s="70"/>
      <c r="H512" s="70"/>
    </row>
    <row r="513" spans="1:8" x14ac:dyDescent="0.2">
      <c r="A513" s="440" t="str">
        <f>IF(ISBLANK(Twilight!AG418),"|",CONCATENATE(Twilight!AG418,"|"))</f>
        <v>|</v>
      </c>
      <c r="E513" s="70"/>
      <c r="F513" s="70"/>
      <c r="G513" s="70"/>
      <c r="H513" s="70"/>
    </row>
    <row r="514" spans="1:8" x14ac:dyDescent="0.2">
      <c r="A514" s="440" t="str">
        <f>IF(ISBLANK(Twilight!AG419),"|",CONCATENATE(Twilight!AG419,"|"))</f>
        <v>|</v>
      </c>
      <c r="E514" s="70"/>
      <c r="F514" s="70"/>
      <c r="G514" s="70"/>
      <c r="H514" s="70"/>
    </row>
    <row r="515" spans="1:8" x14ac:dyDescent="0.2">
      <c r="A515" s="440" t="str">
        <f>IF(ISBLANK(Twilight!AG420),"|",CONCATENATE(Twilight!AG420,"|"))</f>
        <v>|</v>
      </c>
      <c r="E515" s="70"/>
      <c r="F515" s="70"/>
      <c r="G515" s="70"/>
      <c r="H515" s="70"/>
    </row>
    <row r="516" spans="1:8" x14ac:dyDescent="0.2">
      <c r="A516" s="440" t="str">
        <f>IF(ISBLANK(Twilight!AG421),"|",CONCATENATE(Twilight!AG421,"|"))</f>
        <v>|</v>
      </c>
      <c r="E516" s="70"/>
      <c r="F516" s="70"/>
      <c r="G516" s="70"/>
      <c r="H516" s="70"/>
    </row>
    <row r="517" spans="1:8" x14ac:dyDescent="0.2">
      <c r="A517" s="440" t="str">
        <f>IF(ISBLANK(Twilight!AG422),"|",CONCATENATE(Twilight!AG422,"|"))</f>
        <v>|</v>
      </c>
      <c r="E517" s="70"/>
      <c r="F517" s="70"/>
      <c r="G517" s="70"/>
      <c r="H517" s="70"/>
    </row>
    <row r="518" spans="1:8" x14ac:dyDescent="0.2">
      <c r="A518" s="440" t="str">
        <f>IF(ISBLANK(Twilight!AG423),"|",CONCATENATE(Twilight!AG423,"|"))</f>
        <v>|</v>
      </c>
      <c r="E518" s="70"/>
      <c r="F518" s="70"/>
      <c r="G518" s="70"/>
      <c r="H518" s="70"/>
    </row>
    <row r="519" spans="1:8" x14ac:dyDescent="0.2">
      <c r="A519" s="440" t="str">
        <f>IF(ISBLANK(Twilight!AG424),"|",CONCATENATE(Twilight!AG424,"|"))</f>
        <v>|</v>
      </c>
      <c r="E519" s="70"/>
      <c r="F519" s="70"/>
      <c r="G519" s="70"/>
      <c r="H519" s="70"/>
    </row>
    <row r="520" spans="1:8" x14ac:dyDescent="0.2">
      <c r="A520" s="440" t="str">
        <f>IF(ISBLANK(Twilight!AG425),"|",CONCATENATE(Twilight!AG425,"|"))</f>
        <v>|</v>
      </c>
      <c r="E520" s="70"/>
      <c r="F520" s="70"/>
      <c r="G520" s="70"/>
      <c r="H520" s="70"/>
    </row>
    <row r="521" spans="1:8" x14ac:dyDescent="0.2">
      <c r="A521" s="440" t="str">
        <f>IF(ISBLANK(Twilight!AG426),"|",CONCATENATE(Twilight!AG426,"|"))</f>
        <v>|</v>
      </c>
      <c r="E521" s="70"/>
      <c r="F521" s="70"/>
      <c r="G521" s="70"/>
      <c r="H521" s="70"/>
    </row>
    <row r="522" spans="1:8" x14ac:dyDescent="0.2">
      <c r="A522" s="440" t="str">
        <f>IF(ISBLANK(Twilight!AG427),"|",CONCATENATE(Twilight!AG427,"|"))</f>
        <v>|</v>
      </c>
      <c r="E522" s="70"/>
      <c r="F522" s="70"/>
      <c r="G522" s="70"/>
      <c r="H522" s="70"/>
    </row>
    <row r="523" spans="1:8" x14ac:dyDescent="0.2">
      <c r="A523" s="440" t="str">
        <f>IF(ISBLANK(Twilight!AG428),"|",CONCATENATE(Twilight!AG428,"|"))</f>
        <v>|</v>
      </c>
      <c r="E523" s="70"/>
      <c r="F523" s="70"/>
      <c r="G523" s="70"/>
      <c r="H523" s="70"/>
    </row>
    <row r="524" spans="1:8" x14ac:dyDescent="0.2">
      <c r="A524" s="440" t="str">
        <f>IF(ISBLANK(Twilight!AG429),"|",CONCATENATE(Twilight!AG429,"|"))</f>
        <v>|</v>
      </c>
      <c r="E524" s="70"/>
      <c r="F524" s="70"/>
      <c r="G524" s="70"/>
      <c r="H524" s="70"/>
    </row>
    <row r="525" spans="1:8" x14ac:dyDescent="0.2">
      <c r="A525" s="440" t="str">
        <f>IF(ISBLANK(Twilight!AG430),"|",CONCATENATE(Twilight!AG430,"|"))</f>
        <v>|</v>
      </c>
      <c r="E525" s="70"/>
      <c r="F525" s="70"/>
      <c r="G525" s="70"/>
      <c r="H525" s="70"/>
    </row>
    <row r="526" spans="1:8" x14ac:dyDescent="0.2">
      <c r="A526" s="440" t="str">
        <f>IF(ISBLANK(Twilight!AG431),"|",CONCATENATE(Twilight!AG431,"|"))</f>
        <v>|</v>
      </c>
      <c r="E526" s="70"/>
      <c r="F526" s="70"/>
      <c r="G526" s="70"/>
      <c r="H526" s="70"/>
    </row>
    <row r="527" spans="1:8" x14ac:dyDescent="0.2">
      <c r="A527" s="440" t="str">
        <f>IF(ISBLANK(Twilight!AG432),"|",CONCATENATE(Twilight!AG432,"|"))</f>
        <v>|</v>
      </c>
      <c r="E527" s="70"/>
      <c r="F527" s="70"/>
      <c r="G527" s="70"/>
      <c r="H527" s="70"/>
    </row>
    <row r="528" spans="1:8" x14ac:dyDescent="0.2">
      <c r="A528" s="440" t="str">
        <f>IF(ISBLANK(Twilight!AG433),"|",CONCATENATE(Twilight!AG433,"|"))</f>
        <v>|</v>
      </c>
      <c r="E528" s="70"/>
      <c r="F528" s="70"/>
      <c r="G528" s="70"/>
      <c r="H528" s="70"/>
    </row>
    <row r="529" spans="1:8" x14ac:dyDescent="0.2">
      <c r="A529" s="440" t="str">
        <f>IF(ISBLANK(Twilight!AG434),"|",CONCATENATE(Twilight!AG434,"|"))</f>
        <v>|</v>
      </c>
      <c r="E529" s="70"/>
      <c r="F529" s="70"/>
      <c r="G529" s="70"/>
      <c r="H529" s="70"/>
    </row>
    <row r="530" spans="1:8" x14ac:dyDescent="0.2">
      <c r="A530" s="440" t="str">
        <f>IF(ISBLANK(Twilight!AG435),"|",CONCATENATE(Twilight!AG435,"|"))</f>
        <v>|</v>
      </c>
      <c r="E530" s="70"/>
      <c r="F530" s="70"/>
      <c r="G530" s="70"/>
      <c r="H530" s="70"/>
    </row>
    <row r="531" spans="1:8" x14ac:dyDescent="0.2">
      <c r="A531" s="440" t="str">
        <f>IF(ISBLANK(Twilight!AG436),"|",CONCATENATE(Twilight!AG436,"|"))</f>
        <v>|</v>
      </c>
      <c r="E531" s="70"/>
      <c r="F531" s="70"/>
      <c r="G531" s="70"/>
      <c r="H531" s="70"/>
    </row>
    <row r="532" spans="1:8" x14ac:dyDescent="0.2">
      <c r="A532" s="440" t="str">
        <f>IF(ISBLANK(Twilight!AG437),"|",CONCATENATE(Twilight!AG437,"|"))</f>
        <v>|</v>
      </c>
      <c r="E532" s="70"/>
      <c r="F532" s="70"/>
      <c r="G532" s="70"/>
      <c r="H532" s="70"/>
    </row>
    <row r="533" spans="1:8" x14ac:dyDescent="0.2">
      <c r="A533" s="440" t="str">
        <f>IF(ISBLANK(Twilight!AG438),"|",CONCATENATE(Twilight!AG438,"|"))</f>
        <v>|</v>
      </c>
      <c r="E533" s="70"/>
      <c r="F533" s="70"/>
      <c r="G533" s="70"/>
      <c r="H533" s="70"/>
    </row>
    <row r="534" spans="1:8" x14ac:dyDescent="0.2">
      <c r="A534" s="440" t="str">
        <f>IF(ISBLANK(Twilight!AG439),"|",CONCATENATE(Twilight!AG439,"|"))</f>
        <v>|</v>
      </c>
      <c r="E534" s="70"/>
      <c r="F534" s="70"/>
      <c r="G534" s="70"/>
      <c r="H534" s="70"/>
    </row>
    <row r="535" spans="1:8" x14ac:dyDescent="0.2">
      <c r="A535" s="440" t="str">
        <f>IF(ISBLANK(Twilight!AG440),"|",CONCATENATE(Twilight!AG440,"|"))</f>
        <v>|</v>
      </c>
      <c r="E535" s="70"/>
      <c r="F535" s="70"/>
      <c r="G535" s="70"/>
      <c r="H535" s="70"/>
    </row>
    <row r="536" spans="1:8" x14ac:dyDescent="0.2">
      <c r="A536" s="440" t="str">
        <f>IF(ISBLANK(Twilight!AG441),"|",CONCATENATE(Twilight!AG441,"|"))</f>
        <v>|</v>
      </c>
      <c r="E536" s="70"/>
      <c r="F536" s="70"/>
      <c r="G536" s="70"/>
      <c r="H536" s="70"/>
    </row>
    <row r="537" spans="1:8" x14ac:dyDescent="0.2">
      <c r="A537" s="440" t="str">
        <f>IF(ISBLANK(Twilight!AG442),"|",CONCATENATE(Twilight!AG442,"|"))</f>
        <v>|</v>
      </c>
      <c r="E537" s="70"/>
      <c r="F537" s="70"/>
      <c r="G537" s="70"/>
      <c r="H537" s="70"/>
    </row>
    <row r="538" spans="1:8" x14ac:dyDescent="0.2">
      <c r="A538" s="440" t="str">
        <f>IF(ISBLANK(Twilight!AG443),"|",CONCATENATE(Twilight!AG443,"|"))</f>
        <v>|</v>
      </c>
      <c r="E538" s="70"/>
      <c r="F538" s="70"/>
      <c r="G538" s="70"/>
      <c r="H538" s="70"/>
    </row>
    <row r="539" spans="1:8" x14ac:dyDescent="0.2">
      <c r="A539" s="440" t="str">
        <f>IF(ISBLANK(Twilight!AG444),"|",CONCATENATE(Twilight!AG444,"|"))</f>
        <v>|</v>
      </c>
      <c r="E539" s="70"/>
      <c r="F539" s="70"/>
      <c r="G539" s="70"/>
      <c r="H539" s="70"/>
    </row>
    <row r="540" spans="1:8" x14ac:dyDescent="0.2">
      <c r="A540" s="440" t="str">
        <f>IF(ISBLANK(Twilight!AG445),"|",CONCATENATE(Twilight!AG445,"|"))</f>
        <v>|</v>
      </c>
      <c r="E540" s="70"/>
      <c r="F540" s="70"/>
      <c r="G540" s="70"/>
      <c r="H540" s="70"/>
    </row>
    <row r="541" spans="1:8" x14ac:dyDescent="0.2">
      <c r="A541" s="440" t="str">
        <f>IF(ISBLANK(Twilight!AG446),"|",CONCATENATE(Twilight!AG446,"|"))</f>
        <v>|</v>
      </c>
      <c r="E541" s="70"/>
      <c r="F541" s="70"/>
      <c r="G541" s="70"/>
      <c r="H541" s="70"/>
    </row>
    <row r="542" spans="1:8" x14ac:dyDescent="0.2">
      <c r="A542" s="440" t="str">
        <f>IF(ISBLANK(Twilight!AG447),"|",CONCATENATE(Twilight!AG447,"|"))</f>
        <v>|</v>
      </c>
      <c r="E542" s="70"/>
      <c r="F542" s="70"/>
      <c r="G542" s="70"/>
      <c r="H542" s="70"/>
    </row>
    <row r="543" spans="1:8" x14ac:dyDescent="0.2">
      <c r="A543" s="440" t="str">
        <f>IF(ISBLANK(Twilight!AG448),"|",CONCATENATE(Twilight!AG448,"|"))</f>
        <v>|</v>
      </c>
      <c r="E543" s="70"/>
      <c r="F543" s="70"/>
      <c r="G543" s="70"/>
      <c r="H543" s="70"/>
    </row>
    <row r="544" spans="1:8" x14ac:dyDescent="0.2">
      <c r="A544" s="440" t="str">
        <f>IF(ISBLANK(Twilight!AG449),"|",CONCATENATE(Twilight!AG449,"|"))</f>
        <v>|</v>
      </c>
      <c r="E544" s="70"/>
      <c r="F544" s="70"/>
      <c r="G544" s="70"/>
      <c r="H544" s="70"/>
    </row>
    <row r="545" spans="1:8" x14ac:dyDescent="0.2">
      <c r="A545" s="440" t="str">
        <f>IF(ISBLANK(Twilight!AG450),"|",CONCATENATE(Twilight!AG450,"|"))</f>
        <v>|</v>
      </c>
      <c r="E545" s="70"/>
      <c r="F545" s="70"/>
      <c r="G545" s="70"/>
      <c r="H545" s="70"/>
    </row>
    <row r="546" spans="1:8" x14ac:dyDescent="0.2">
      <c r="A546" s="440" t="str">
        <f>IF(ISBLANK(Twilight!AG451),"|",CONCATENATE(Twilight!AG451,"|"))</f>
        <v>|</v>
      </c>
      <c r="E546" s="70"/>
      <c r="F546" s="70"/>
      <c r="G546" s="70"/>
      <c r="H546" s="70"/>
    </row>
    <row r="547" spans="1:8" x14ac:dyDescent="0.2">
      <c r="A547" s="440" t="str">
        <f>IF(ISBLANK(Twilight!AG452),"|",CONCATENATE(Twilight!AG452,"|"))</f>
        <v>|</v>
      </c>
      <c r="E547" s="70"/>
      <c r="F547" s="70"/>
      <c r="G547" s="70"/>
      <c r="H547" s="70"/>
    </row>
    <row r="548" spans="1:8" x14ac:dyDescent="0.2">
      <c r="A548" s="440" t="str">
        <f>IF(ISBLANK(Twilight!AG453),"|",CONCATENATE(Twilight!AG453,"|"))</f>
        <v>|</v>
      </c>
      <c r="E548" s="70"/>
      <c r="F548" s="70"/>
      <c r="G548" s="70"/>
      <c r="H548" s="70"/>
    </row>
    <row r="549" spans="1:8" x14ac:dyDescent="0.2">
      <c r="A549" s="440" t="str">
        <f>IF(ISBLANK(Twilight!AG454),"|",CONCATENATE(Twilight!AG454,"|"))</f>
        <v>|</v>
      </c>
      <c r="E549" s="70"/>
      <c r="F549" s="70"/>
      <c r="G549" s="70"/>
      <c r="H549" s="70"/>
    </row>
    <row r="550" spans="1:8" x14ac:dyDescent="0.2">
      <c r="A550" s="440" t="str">
        <f>IF(ISBLANK(Twilight!AG455),"|",CONCATENATE(Twilight!AG455,"|"))</f>
        <v>|</v>
      </c>
      <c r="E550" s="70"/>
      <c r="F550" s="70"/>
      <c r="G550" s="70"/>
      <c r="H550" s="70"/>
    </row>
    <row r="551" spans="1:8" x14ac:dyDescent="0.2">
      <c r="A551" s="440" t="str">
        <f>IF(ISBLANK(Twilight!AG456),"|",CONCATENATE(Twilight!AG456,"|"))</f>
        <v>|</v>
      </c>
      <c r="E551" s="70"/>
      <c r="F551" s="70"/>
      <c r="G551" s="70"/>
      <c r="H551" s="70"/>
    </row>
    <row r="552" spans="1:8" x14ac:dyDescent="0.2">
      <c r="A552" s="440" t="str">
        <f>IF(ISBLANK(Twilight!AG457),"|",CONCATENATE(Twilight!AG457,"|"))</f>
        <v>|</v>
      </c>
      <c r="E552" s="70"/>
      <c r="F552" s="70"/>
      <c r="G552" s="70"/>
      <c r="H552" s="70"/>
    </row>
    <row r="553" spans="1:8" x14ac:dyDescent="0.2">
      <c r="A553" s="440" t="str">
        <f>IF(ISBLANK(Twilight!AG458),"|",CONCATENATE(Twilight!AG458,"|"))</f>
        <v>|</v>
      </c>
      <c r="E553" s="70"/>
      <c r="F553" s="70"/>
      <c r="G553" s="70"/>
      <c r="H553" s="70"/>
    </row>
    <row r="554" spans="1:8" x14ac:dyDescent="0.2">
      <c r="A554" s="440" t="str">
        <f>IF(ISBLANK(Twilight!AG459),"|",CONCATENATE(Twilight!AG459,"|"))</f>
        <v>|</v>
      </c>
      <c r="E554" s="70"/>
      <c r="F554" s="70"/>
      <c r="G554" s="70"/>
      <c r="H554" s="70"/>
    </row>
    <row r="555" spans="1:8" x14ac:dyDescent="0.2">
      <c r="A555" s="440" t="str">
        <f>IF(ISBLANK(Twilight!AG460),"|",CONCATENATE(Twilight!AG460,"|"))</f>
        <v>|</v>
      </c>
      <c r="E555" s="70"/>
      <c r="F555" s="70"/>
      <c r="G555" s="70"/>
      <c r="H555" s="70"/>
    </row>
    <row r="556" spans="1:8" x14ac:dyDescent="0.2">
      <c r="A556" s="440" t="str">
        <f>IF(ISBLANK(Twilight!AG461),"|",CONCATENATE(Twilight!AG461,"|"))</f>
        <v>|</v>
      </c>
      <c r="E556" s="70"/>
      <c r="F556" s="70"/>
      <c r="G556" s="70"/>
      <c r="H556" s="70"/>
    </row>
    <row r="557" spans="1:8" x14ac:dyDescent="0.2">
      <c r="A557" s="440" t="str">
        <f>IF(ISBLANK(Twilight!AG462),"|",CONCATENATE(Twilight!AG462,"|"))</f>
        <v>|</v>
      </c>
      <c r="E557" s="70"/>
      <c r="F557" s="70"/>
      <c r="G557" s="70"/>
      <c r="H557" s="70"/>
    </row>
    <row r="558" spans="1:8" x14ac:dyDescent="0.2">
      <c r="A558" s="440" t="str">
        <f>IF(ISBLANK(Twilight!AG463),"|",CONCATENATE(Twilight!AG463,"|"))</f>
        <v>|</v>
      </c>
      <c r="E558" s="70"/>
      <c r="F558" s="70"/>
      <c r="G558" s="70"/>
      <c r="H558" s="70"/>
    </row>
    <row r="559" spans="1:8" x14ac:dyDescent="0.2">
      <c r="A559" s="440" t="str">
        <f>IF(ISBLANK(Twilight!AG464),"|",CONCATENATE(Twilight!AG464,"|"))</f>
        <v>|</v>
      </c>
      <c r="E559" s="70"/>
      <c r="F559" s="70"/>
      <c r="G559" s="70"/>
      <c r="H559" s="70"/>
    </row>
    <row r="560" spans="1:8" x14ac:dyDescent="0.2">
      <c r="A560" s="440" t="str">
        <f>IF(ISBLANK(Twilight!AG465),"|",CONCATENATE(Twilight!AG465,"|"))</f>
        <v>|</v>
      </c>
      <c r="E560" s="70"/>
      <c r="F560" s="70"/>
      <c r="G560" s="70"/>
      <c r="H560" s="70"/>
    </row>
    <row r="561" spans="1:8" x14ac:dyDescent="0.2">
      <c r="A561" s="440" t="str">
        <f>IF(ISBLANK(Twilight!AG466),"|",CONCATENATE(Twilight!AG466,"|"))</f>
        <v>|</v>
      </c>
      <c r="E561" s="70"/>
      <c r="F561" s="70"/>
      <c r="G561" s="70"/>
      <c r="H561" s="70"/>
    </row>
    <row r="562" spans="1:8" x14ac:dyDescent="0.2">
      <c r="A562" s="440" t="str">
        <f>IF(ISBLANK(Twilight!AG467),"|",CONCATENATE(Twilight!AG467,"|"))</f>
        <v>|</v>
      </c>
      <c r="E562" s="70"/>
      <c r="F562" s="70"/>
      <c r="G562" s="70"/>
      <c r="H562" s="70"/>
    </row>
    <row r="563" spans="1:8" x14ac:dyDescent="0.2">
      <c r="A563" s="440" t="str">
        <f>IF(ISBLANK(Twilight!AG468),"|",CONCATENATE(Twilight!AG468,"|"))</f>
        <v>|</v>
      </c>
      <c r="E563" s="70"/>
      <c r="F563" s="70"/>
      <c r="G563" s="70"/>
      <c r="H563" s="70"/>
    </row>
    <row r="564" spans="1:8" x14ac:dyDescent="0.2">
      <c r="A564" s="440" t="str">
        <f>IF(ISBLANK(Twilight!AG469),"|",CONCATENATE(Twilight!AG469,"|"))</f>
        <v>|</v>
      </c>
      <c r="E564" s="70"/>
      <c r="F564" s="70"/>
      <c r="G564" s="70"/>
      <c r="H564" s="70"/>
    </row>
    <row r="565" spans="1:8" x14ac:dyDescent="0.2">
      <c r="A565" s="440" t="str">
        <f>IF(ISBLANK(Twilight!AG470),"|",CONCATENATE(Twilight!AG470,"|"))</f>
        <v>|</v>
      </c>
      <c r="E565" s="70"/>
      <c r="F565" s="70"/>
      <c r="G565" s="70"/>
      <c r="H565" s="70"/>
    </row>
    <row r="566" spans="1:8" x14ac:dyDescent="0.2">
      <c r="A566" s="440" t="str">
        <f>IF(ISBLANK(Twilight!AG471),"|",CONCATENATE(Twilight!AG471,"|"))</f>
        <v>|</v>
      </c>
      <c r="E566" s="70"/>
      <c r="F566" s="70"/>
      <c r="G566" s="70"/>
      <c r="H566" s="70"/>
    </row>
    <row r="567" spans="1:8" x14ac:dyDescent="0.2">
      <c r="A567" s="440" t="str">
        <f>IF(ISBLANK(Twilight!AG472),"|",CONCATENATE(Twilight!AG472,"|"))</f>
        <v>|</v>
      </c>
      <c r="E567" s="70"/>
      <c r="F567" s="70"/>
      <c r="G567" s="70"/>
      <c r="H567" s="70"/>
    </row>
    <row r="568" spans="1:8" x14ac:dyDescent="0.2">
      <c r="A568" s="440" t="str">
        <f>IF(ISBLANK(Twilight!AG473),"|",CONCATENATE(Twilight!AG473,"|"))</f>
        <v>|</v>
      </c>
      <c r="E568" s="70"/>
      <c r="F568" s="70"/>
      <c r="G568" s="70"/>
      <c r="H568" s="70"/>
    </row>
    <row r="569" spans="1:8" x14ac:dyDescent="0.2">
      <c r="A569" s="440" t="str">
        <f>IF(ISBLANK(Twilight!AG474),"|",CONCATENATE(Twilight!AG474,"|"))</f>
        <v>|</v>
      </c>
      <c r="E569" s="70"/>
      <c r="F569" s="70"/>
      <c r="G569" s="70"/>
      <c r="H569" s="70"/>
    </row>
    <row r="570" spans="1:8" x14ac:dyDescent="0.2">
      <c r="A570" s="440" t="str">
        <f>IF(ISBLANK(Twilight!AG475),"|",CONCATENATE(Twilight!AG475,"|"))</f>
        <v>|</v>
      </c>
      <c r="E570" s="70"/>
      <c r="F570" s="70"/>
      <c r="G570" s="70"/>
      <c r="H570" s="70"/>
    </row>
    <row r="571" spans="1:8" x14ac:dyDescent="0.2">
      <c r="A571" s="440" t="str">
        <f>IF(ISBLANK(Twilight!AG476),"|",CONCATENATE(Twilight!AG476,"|"))</f>
        <v>|</v>
      </c>
      <c r="E571" s="70"/>
      <c r="F571" s="70"/>
      <c r="G571" s="70"/>
      <c r="H571" s="70"/>
    </row>
    <row r="572" spans="1:8" x14ac:dyDescent="0.2">
      <c r="A572" s="440" t="str">
        <f>IF(ISBLANK(Twilight!AG477),"|",CONCATENATE(Twilight!AG477,"|"))</f>
        <v>|</v>
      </c>
      <c r="E572" s="70"/>
      <c r="F572" s="70"/>
      <c r="G572" s="70"/>
      <c r="H572" s="70"/>
    </row>
    <row r="573" spans="1:8" x14ac:dyDescent="0.2">
      <c r="A573" s="440" t="str">
        <f>IF(ISBLANK(Twilight!AG478),"|",CONCATENATE(Twilight!AG478,"|"))</f>
        <v>|</v>
      </c>
      <c r="E573" s="70"/>
      <c r="F573" s="70"/>
      <c r="G573" s="70"/>
      <c r="H573" s="70"/>
    </row>
    <row r="574" spans="1:8" x14ac:dyDescent="0.2">
      <c r="A574" s="440" t="str">
        <f>IF(ISBLANK(Twilight!AG479),"|",CONCATENATE(Twilight!AG479,"|"))</f>
        <v>|</v>
      </c>
      <c r="E574" s="70"/>
      <c r="F574" s="70"/>
      <c r="G574" s="70"/>
      <c r="H574" s="70"/>
    </row>
    <row r="575" spans="1:8" x14ac:dyDescent="0.2">
      <c r="A575" s="440" t="str">
        <f>IF(ISBLANK(Twilight!AG480),"|",CONCATENATE(Twilight!AG480,"|"))</f>
        <v>|</v>
      </c>
      <c r="E575" s="70"/>
      <c r="F575" s="70"/>
      <c r="G575" s="70"/>
      <c r="H575" s="70"/>
    </row>
    <row r="576" spans="1:8" x14ac:dyDescent="0.2">
      <c r="A576" s="440" t="str">
        <f>IF(ISBLANK(Twilight!AG481),"|",CONCATENATE(Twilight!AG481,"|"))</f>
        <v>|</v>
      </c>
      <c r="E576" s="70"/>
      <c r="F576" s="70"/>
      <c r="G576" s="70"/>
      <c r="H576" s="70"/>
    </row>
    <row r="577" spans="1:8" x14ac:dyDescent="0.2">
      <c r="A577" s="440" t="str">
        <f>IF(ISBLANK(Twilight!AG482),"|",CONCATENATE(Twilight!AG482,"|"))</f>
        <v>|</v>
      </c>
      <c r="E577" s="70"/>
      <c r="F577" s="70"/>
      <c r="G577" s="70"/>
      <c r="H577" s="70"/>
    </row>
    <row r="578" spans="1:8" x14ac:dyDescent="0.2">
      <c r="A578" s="440" t="str">
        <f>IF(ISBLANK(Twilight!AG483),"|",CONCATENATE(Twilight!AG483,"|"))</f>
        <v>|</v>
      </c>
      <c r="E578" s="70"/>
      <c r="F578" s="70"/>
      <c r="G578" s="70"/>
      <c r="H578" s="70"/>
    </row>
    <row r="579" spans="1:8" x14ac:dyDescent="0.2">
      <c r="A579" s="440" t="str">
        <f>IF(ISBLANK(Twilight!AG484),"|",CONCATENATE(Twilight!AG484,"|"))</f>
        <v>|</v>
      </c>
      <c r="E579" s="70"/>
      <c r="F579" s="70"/>
      <c r="G579" s="70"/>
      <c r="H579" s="70"/>
    </row>
    <row r="580" spans="1:8" x14ac:dyDescent="0.2">
      <c r="A580" s="440" t="str">
        <f>IF(ISBLANK(Twilight!AG485),"|",CONCATENATE(Twilight!AG485,"|"))</f>
        <v>|</v>
      </c>
      <c r="E580" s="70"/>
      <c r="F580" s="70"/>
      <c r="G580" s="70"/>
      <c r="H580" s="70"/>
    </row>
    <row r="581" spans="1:8" x14ac:dyDescent="0.2">
      <c r="A581" s="440" t="str">
        <f>IF(ISBLANK(Twilight!AG486),"|",CONCATENATE(Twilight!AG486,"|"))</f>
        <v>|</v>
      </c>
      <c r="E581" s="70"/>
      <c r="F581" s="70"/>
      <c r="G581" s="70"/>
      <c r="H581" s="70"/>
    </row>
    <row r="582" spans="1:8" x14ac:dyDescent="0.2">
      <c r="A582" s="440" t="str">
        <f>IF(ISBLANK(Twilight!AG487),"|",CONCATENATE(Twilight!AG487,"|"))</f>
        <v>|</v>
      </c>
      <c r="E582" s="70"/>
      <c r="F582" s="70"/>
      <c r="G582" s="70"/>
      <c r="H582" s="70"/>
    </row>
    <row r="583" spans="1:8" x14ac:dyDescent="0.2">
      <c r="A583" s="440" t="str">
        <f>IF(ISBLANK(Twilight!AG488),"|",CONCATENATE(Twilight!AG488,"|"))</f>
        <v>|</v>
      </c>
      <c r="E583" s="70"/>
      <c r="F583" s="70"/>
      <c r="G583" s="70"/>
      <c r="H583" s="70"/>
    </row>
    <row r="584" spans="1:8" x14ac:dyDescent="0.2">
      <c r="A584" s="440" t="str">
        <f>IF(ISBLANK(Twilight!AG489),"|",CONCATENATE(Twilight!AG489,"|"))</f>
        <v>|</v>
      </c>
      <c r="E584" s="70"/>
      <c r="F584" s="70"/>
      <c r="G584" s="70"/>
      <c r="H584" s="70"/>
    </row>
    <row r="585" spans="1:8" x14ac:dyDescent="0.2">
      <c r="A585" s="440" t="str">
        <f>IF(ISBLANK(Twilight!AG490),"|",CONCATENATE(Twilight!AG490,"|"))</f>
        <v>|</v>
      </c>
      <c r="E585" s="70"/>
      <c r="F585" s="70"/>
      <c r="G585" s="70"/>
      <c r="H585" s="70"/>
    </row>
    <row r="586" spans="1:8" x14ac:dyDescent="0.2">
      <c r="A586" s="440" t="str">
        <f>IF(ISBLANK(Twilight!AG491),"|",CONCATENATE(Twilight!AG491,"|"))</f>
        <v>|</v>
      </c>
      <c r="E586" s="70"/>
      <c r="F586" s="70"/>
      <c r="G586" s="70"/>
      <c r="H586" s="70"/>
    </row>
    <row r="587" spans="1:8" x14ac:dyDescent="0.2">
      <c r="A587" s="440" t="str">
        <f>IF(ISBLANK(Twilight!AG492),"|",CONCATENATE(Twilight!AG492,"|"))</f>
        <v>|</v>
      </c>
      <c r="E587" s="70"/>
      <c r="F587" s="70"/>
      <c r="G587" s="70"/>
      <c r="H587" s="70"/>
    </row>
    <row r="588" spans="1:8" x14ac:dyDescent="0.2">
      <c r="A588" s="440" t="str">
        <f>IF(ISBLANK(Twilight!AG493),"|",CONCATENATE(Twilight!AG493,"|"))</f>
        <v>|</v>
      </c>
      <c r="E588" s="70"/>
      <c r="F588" s="70"/>
      <c r="G588" s="70"/>
      <c r="H588" s="70"/>
    </row>
    <row r="589" spans="1:8" x14ac:dyDescent="0.2">
      <c r="A589" s="440" t="str">
        <f>IF(ISBLANK(Twilight!AG494),"|",CONCATENATE(Twilight!AG494,"|"))</f>
        <v>|</v>
      </c>
      <c r="E589" s="70"/>
      <c r="F589" s="70"/>
      <c r="G589" s="70"/>
      <c r="H589" s="70"/>
    </row>
    <row r="590" spans="1:8" x14ac:dyDescent="0.2">
      <c r="A590" s="440" t="str">
        <f>IF(ISBLANK(Twilight!AG495),"|",CONCATENATE(Twilight!AG495,"|"))</f>
        <v>|</v>
      </c>
      <c r="E590" s="70"/>
      <c r="F590" s="70"/>
      <c r="G590" s="70"/>
      <c r="H590" s="70"/>
    </row>
    <row r="591" spans="1:8" x14ac:dyDescent="0.2">
      <c r="A591" s="440" t="str">
        <f>IF(ISBLANK(Twilight!AG496),"|",CONCATENATE(Twilight!AG496,"|"))</f>
        <v>|</v>
      </c>
      <c r="E591" s="70"/>
      <c r="F591" s="70"/>
      <c r="G591" s="70"/>
      <c r="H591" s="70"/>
    </row>
    <row r="592" spans="1:8" x14ac:dyDescent="0.2">
      <c r="A592" s="440" t="str">
        <f>IF(ISBLANK(Twilight!AG497),"|",CONCATENATE(Twilight!AG497,"|"))</f>
        <v>|</v>
      </c>
      <c r="E592" s="70"/>
      <c r="F592" s="70"/>
      <c r="G592" s="70"/>
      <c r="H592" s="70"/>
    </row>
    <row r="593" spans="1:8" x14ac:dyDescent="0.2">
      <c r="A593" s="440" t="str">
        <f>IF(ISBLANK(Twilight!AG498),"|",CONCATENATE(Twilight!AG498,"|"))</f>
        <v>|</v>
      </c>
      <c r="E593" s="70"/>
      <c r="F593" s="70"/>
      <c r="G593" s="70"/>
      <c r="H593" s="70"/>
    </row>
    <row r="594" spans="1:8" x14ac:dyDescent="0.2">
      <c r="A594" s="440" t="str">
        <f>IF(ISBLANK(Twilight!AG499),"|",CONCATENATE(Twilight!AG499,"|"))</f>
        <v>|</v>
      </c>
      <c r="E594" s="70"/>
      <c r="F594" s="70"/>
      <c r="G594" s="70"/>
      <c r="H594" s="70"/>
    </row>
    <row r="595" spans="1:8" x14ac:dyDescent="0.2">
      <c r="A595" s="440" t="str">
        <f>IF(ISBLANK(Twilight!AG500),"|",CONCATENATE(Twilight!AG500,"|"))</f>
        <v>|</v>
      </c>
      <c r="E595" s="70"/>
      <c r="F595" s="70"/>
      <c r="G595" s="70"/>
      <c r="H595" s="70"/>
    </row>
    <row r="596" spans="1:8" x14ac:dyDescent="0.2">
      <c r="A596" s="440" t="str">
        <f>IF(ISBLANK(Twilight!AG501),"|",CONCATENATE(Twilight!AG501,"|"))</f>
        <v>|</v>
      </c>
      <c r="E596" s="70"/>
      <c r="F596" s="70"/>
      <c r="G596" s="70"/>
      <c r="H596" s="70"/>
    </row>
    <row r="597" spans="1:8" x14ac:dyDescent="0.2">
      <c r="A597" s="440" t="str">
        <f>IF(ISBLANK(Twilight!AG502),"|",CONCATENATE(Twilight!AG502,"|"))</f>
        <v>|</v>
      </c>
      <c r="E597" s="70"/>
      <c r="F597" s="70"/>
      <c r="G597" s="70"/>
      <c r="H597" s="70"/>
    </row>
    <row r="598" spans="1:8" x14ac:dyDescent="0.2">
      <c r="A598" s="440" t="str">
        <f>IF(ISBLANK(Twilight!AG503),"|",CONCATENATE(Twilight!AG503,"|"))</f>
        <v>|</v>
      </c>
      <c r="E598" s="70"/>
      <c r="F598" s="70"/>
      <c r="G598" s="70"/>
      <c r="H598" s="70"/>
    </row>
    <row r="599" spans="1:8" x14ac:dyDescent="0.2">
      <c r="A599" s="440" t="str">
        <f>IF(ISBLANK(Twilight!AG504),"|",CONCATENATE(Twilight!AG504,"|"))</f>
        <v>|</v>
      </c>
      <c r="E599" s="70"/>
      <c r="F599" s="70"/>
      <c r="G599" s="70"/>
      <c r="H599" s="70"/>
    </row>
    <row r="600" spans="1:8" x14ac:dyDescent="0.2">
      <c r="A600" s="440" t="str">
        <f>IF(ISBLANK(Twilight!AG505),"|",CONCATENATE(Twilight!AG505,"|"))</f>
        <v>|</v>
      </c>
      <c r="E600" s="70"/>
      <c r="F600" s="70"/>
      <c r="G600" s="70"/>
      <c r="H600" s="70"/>
    </row>
    <row r="601" spans="1:8" x14ac:dyDescent="0.2">
      <c r="A601" s="440" t="str">
        <f>IF(ISBLANK(Twilight!AG506),"|",CONCATENATE(Twilight!AG506,"|"))</f>
        <v>|</v>
      </c>
      <c r="E601" s="70"/>
      <c r="F601" s="70"/>
      <c r="G601" s="70"/>
      <c r="H601" s="70"/>
    </row>
    <row r="602" spans="1:8" x14ac:dyDescent="0.2">
      <c r="A602" s="440" t="str">
        <f>IF(ISBLANK(Twilight!AG507),"|",CONCATENATE(Twilight!AG507,"|"))</f>
        <v>|</v>
      </c>
      <c r="E602" s="70"/>
      <c r="F602" s="70"/>
      <c r="G602" s="70"/>
      <c r="H602" s="70"/>
    </row>
    <row r="603" spans="1:8" x14ac:dyDescent="0.2">
      <c r="A603" s="440" t="str">
        <f>IF(ISBLANK(Twilight!AG508),"|",CONCATENATE(Twilight!AG508,"|"))</f>
        <v>|</v>
      </c>
      <c r="E603" s="70"/>
      <c r="F603" s="70"/>
      <c r="G603" s="70"/>
      <c r="H603" s="70"/>
    </row>
    <row r="604" spans="1:8" x14ac:dyDescent="0.2">
      <c r="A604" s="440" t="str">
        <f>IF(ISBLANK(Twilight!AG509),"|",CONCATENATE(Twilight!AG509,"|"))</f>
        <v>|</v>
      </c>
      <c r="E604" s="70"/>
      <c r="F604" s="70"/>
      <c r="G604" s="70"/>
      <c r="H604" s="70"/>
    </row>
    <row r="605" spans="1:8" x14ac:dyDescent="0.2">
      <c r="A605" s="440" t="str">
        <f>IF(ISBLANK(Twilight!AG510),"|",CONCATENATE(Twilight!AG510,"|"))</f>
        <v>|</v>
      </c>
      <c r="E605" s="70"/>
      <c r="F605" s="70"/>
      <c r="G605" s="70"/>
      <c r="H605" s="70"/>
    </row>
    <row r="606" spans="1:8" x14ac:dyDescent="0.2">
      <c r="A606" s="440" t="str">
        <f>IF(ISBLANK(Twilight!AG511),"|",CONCATENATE(Twilight!AG511,"|"))</f>
        <v>|</v>
      </c>
      <c r="E606" s="70"/>
      <c r="F606" s="70"/>
      <c r="G606" s="70"/>
      <c r="H606" s="70"/>
    </row>
    <row r="607" spans="1:8" x14ac:dyDescent="0.2">
      <c r="A607" s="440" t="str">
        <f>IF(ISBLANK(Twilight!AG512),"|",CONCATENATE(Twilight!AG512,"|"))</f>
        <v>|</v>
      </c>
      <c r="E607" s="70"/>
      <c r="F607" s="70"/>
      <c r="G607" s="70"/>
      <c r="H607" s="70"/>
    </row>
    <row r="608" spans="1:8" x14ac:dyDescent="0.2">
      <c r="A608" s="440" t="str">
        <f>IF(ISBLANK(Twilight!AG513),"|",CONCATENATE(Twilight!AG513,"|"))</f>
        <v>|</v>
      </c>
      <c r="E608" s="70"/>
      <c r="F608" s="70"/>
      <c r="G608" s="70"/>
      <c r="H608" s="70"/>
    </row>
    <row r="609" spans="1:8" x14ac:dyDescent="0.2">
      <c r="A609" s="440" t="str">
        <f>IF(ISBLANK(Twilight!AG514),"|",CONCATENATE(Twilight!AG514,"|"))</f>
        <v>|</v>
      </c>
      <c r="E609" s="70"/>
      <c r="F609" s="70"/>
      <c r="G609" s="70"/>
      <c r="H609" s="70"/>
    </row>
    <row r="610" spans="1:8" x14ac:dyDescent="0.2">
      <c r="A610" s="440" t="str">
        <f>IF(ISBLANK(Twilight!AG515),"|",CONCATENATE(Twilight!AG515,"|"))</f>
        <v>|</v>
      </c>
      <c r="E610" s="70"/>
      <c r="F610" s="70"/>
      <c r="G610" s="70"/>
      <c r="H610" s="70"/>
    </row>
    <row r="611" spans="1:8" x14ac:dyDescent="0.2">
      <c r="A611" s="440" t="str">
        <f>IF(ISBLANK(Twilight!AG516),"|",CONCATENATE(Twilight!AG516,"|"))</f>
        <v>|</v>
      </c>
      <c r="E611" s="70"/>
      <c r="F611" s="70"/>
      <c r="G611" s="70"/>
      <c r="H611" s="70"/>
    </row>
    <row r="612" spans="1:8" x14ac:dyDescent="0.2">
      <c r="A612" s="440" t="str">
        <f>IF(ISBLANK(Twilight!AG517),"|",CONCATENATE(Twilight!AG517,"|"))</f>
        <v>|</v>
      </c>
      <c r="E612" s="70"/>
      <c r="F612" s="70"/>
      <c r="G612" s="70"/>
      <c r="H612" s="70"/>
    </row>
    <row r="613" spans="1:8" x14ac:dyDescent="0.2">
      <c r="A613" s="440" t="str">
        <f>IF(ISBLANK(Twilight!AG518),"|",CONCATENATE(Twilight!AG518,"|"))</f>
        <v>|</v>
      </c>
      <c r="E613" s="70"/>
      <c r="F613" s="70"/>
      <c r="G613" s="70"/>
      <c r="H613" s="70"/>
    </row>
    <row r="614" spans="1:8" x14ac:dyDescent="0.2">
      <c r="A614" s="440" t="str">
        <f>IF(ISBLANK(Twilight!AG519),"|",CONCATENATE(Twilight!AG519,"|"))</f>
        <v>|</v>
      </c>
      <c r="E614" s="70"/>
      <c r="F614" s="70"/>
      <c r="G614" s="70"/>
      <c r="H614" s="70"/>
    </row>
    <row r="615" spans="1:8" x14ac:dyDescent="0.2">
      <c r="A615" s="440" t="str">
        <f>IF(ISBLANK(Twilight!AG520),"|",CONCATENATE(Twilight!AG520,"|"))</f>
        <v>|</v>
      </c>
      <c r="E615" s="70"/>
      <c r="F615" s="70"/>
      <c r="G615" s="70"/>
      <c r="H615" s="70"/>
    </row>
    <row r="616" spans="1:8" x14ac:dyDescent="0.2">
      <c r="A616" s="440" t="str">
        <f>IF(ISBLANK(Twilight!AG521),"|",CONCATENATE(Twilight!AG521,"|"))</f>
        <v>|</v>
      </c>
      <c r="E616" s="70"/>
      <c r="F616" s="70"/>
      <c r="G616" s="70"/>
      <c r="H616" s="70"/>
    </row>
    <row r="617" spans="1:8" x14ac:dyDescent="0.2">
      <c r="A617" s="440" t="str">
        <f>IF(ISBLANK(Twilight!AG522),"|",CONCATENATE(Twilight!AG522,"|"))</f>
        <v>|</v>
      </c>
      <c r="E617" s="70"/>
      <c r="F617" s="70"/>
      <c r="G617" s="70"/>
      <c r="H617" s="70"/>
    </row>
    <row r="618" spans="1:8" x14ac:dyDescent="0.2">
      <c r="A618" s="440" t="str">
        <f>IF(ISBLANK(Twilight!AG523),"|",CONCATENATE(Twilight!AG523,"|"))</f>
        <v>|</v>
      </c>
      <c r="E618" s="70"/>
      <c r="F618" s="70"/>
      <c r="G618" s="70"/>
      <c r="H618" s="70"/>
    </row>
    <row r="619" spans="1:8" x14ac:dyDescent="0.2">
      <c r="A619" s="440" t="str">
        <f>IF(ISBLANK(Twilight!AG524),"|",CONCATENATE(Twilight!AG524,"|"))</f>
        <v>|</v>
      </c>
      <c r="E619" s="70"/>
      <c r="F619" s="70"/>
      <c r="G619" s="70"/>
      <c r="H619" s="70"/>
    </row>
    <row r="620" spans="1:8" x14ac:dyDescent="0.2">
      <c r="A620" s="440" t="str">
        <f>IF(ISBLANK(Twilight!AG525),"|",CONCATENATE(Twilight!AG525,"|"))</f>
        <v>|</v>
      </c>
      <c r="E620" s="70"/>
      <c r="F620" s="70"/>
      <c r="G620" s="70"/>
      <c r="H620" s="70"/>
    </row>
    <row r="621" spans="1:8" x14ac:dyDescent="0.2">
      <c r="A621" s="440" t="str">
        <f>IF(ISBLANK(Twilight!AG526),"|",CONCATENATE(Twilight!AG526,"|"))</f>
        <v>|</v>
      </c>
      <c r="E621" s="70"/>
      <c r="F621" s="70"/>
      <c r="G621" s="70"/>
      <c r="H621" s="70"/>
    </row>
    <row r="622" spans="1:8" x14ac:dyDescent="0.2">
      <c r="A622" s="440" t="str">
        <f>IF(ISBLANK(Twilight!AG527),"|",CONCATENATE(Twilight!AG527,"|"))</f>
        <v>|</v>
      </c>
      <c r="E622" s="70"/>
      <c r="F622" s="70"/>
      <c r="G622" s="70"/>
      <c r="H622" s="70"/>
    </row>
    <row r="623" spans="1:8" x14ac:dyDescent="0.2">
      <c r="A623" s="440" t="str">
        <f>IF(ISBLANK(Twilight!AG528),"|",CONCATENATE(Twilight!AG528,"|"))</f>
        <v>|</v>
      </c>
      <c r="E623" s="70"/>
      <c r="F623" s="70"/>
      <c r="G623" s="70"/>
      <c r="H623" s="70"/>
    </row>
    <row r="624" spans="1:8" x14ac:dyDescent="0.2">
      <c r="A624" s="440" t="str">
        <f>IF(ISBLANK(Twilight!AG529),"|",CONCATENATE(Twilight!AG529,"|"))</f>
        <v>|</v>
      </c>
      <c r="E624" s="70"/>
      <c r="F624" s="70"/>
      <c r="G624" s="70"/>
      <c r="H624" s="70"/>
    </row>
    <row r="625" spans="1:8" x14ac:dyDescent="0.2">
      <c r="A625" s="440" t="str">
        <f>IF(ISBLANK(Twilight!AG530),"|",CONCATENATE(Twilight!AG530,"|"))</f>
        <v>|</v>
      </c>
      <c r="E625" s="70"/>
      <c r="F625" s="70"/>
      <c r="G625" s="70"/>
      <c r="H625" s="70"/>
    </row>
    <row r="626" spans="1:8" x14ac:dyDescent="0.2">
      <c r="A626" s="440" t="str">
        <f>IF(ISBLANK(Twilight!AG531),"|",CONCATENATE(Twilight!AG531,"|"))</f>
        <v>|</v>
      </c>
      <c r="E626" s="70"/>
      <c r="F626" s="70"/>
      <c r="G626" s="70"/>
      <c r="H626" s="70"/>
    </row>
    <row r="627" spans="1:8" x14ac:dyDescent="0.2">
      <c r="A627" s="440" t="str">
        <f>IF(ISBLANK(Twilight!AG532),"|",CONCATENATE(Twilight!AG532,"|"))</f>
        <v>|</v>
      </c>
      <c r="E627" s="70"/>
      <c r="F627" s="70"/>
      <c r="G627" s="70"/>
      <c r="H627" s="70"/>
    </row>
    <row r="628" spans="1:8" x14ac:dyDescent="0.2">
      <c r="A628" s="440" t="str">
        <f>IF(ISBLANK(Twilight!AG533),"|",CONCATENATE(Twilight!AG533,"|"))</f>
        <v>|</v>
      </c>
      <c r="E628" s="70"/>
      <c r="F628" s="70"/>
      <c r="G628" s="70"/>
      <c r="H628" s="70"/>
    </row>
    <row r="629" spans="1:8" x14ac:dyDescent="0.2">
      <c r="A629" s="440" t="str">
        <f>IF(ISBLANK(Twilight!AG534),"|",CONCATENATE(Twilight!AG534,"|"))</f>
        <v>|</v>
      </c>
      <c r="E629" s="70"/>
      <c r="F629" s="70"/>
      <c r="G629" s="70"/>
      <c r="H629" s="70"/>
    </row>
    <row r="630" spans="1:8" x14ac:dyDescent="0.2">
      <c r="A630" s="440" t="str">
        <f>IF(ISBLANK(Twilight!AG535),"|",CONCATENATE(Twilight!AG535,"|"))</f>
        <v>|</v>
      </c>
      <c r="E630" s="70"/>
      <c r="F630" s="70"/>
      <c r="G630" s="70"/>
      <c r="H630" s="70"/>
    </row>
    <row r="631" spans="1:8" x14ac:dyDescent="0.2">
      <c r="A631" s="440" t="str">
        <f>IF(ISBLANK(Twilight!AG536),"|",CONCATENATE(Twilight!AG536,"|"))</f>
        <v>|</v>
      </c>
      <c r="E631" s="70"/>
      <c r="F631" s="70"/>
      <c r="G631" s="70"/>
      <c r="H631" s="70"/>
    </row>
    <row r="632" spans="1:8" x14ac:dyDescent="0.2">
      <c r="A632" s="440" t="str">
        <f>IF(ISBLANK(Twilight!AG537),"|",CONCATENATE(Twilight!AG537,"|"))</f>
        <v>|</v>
      </c>
      <c r="E632" s="70"/>
      <c r="F632" s="70"/>
      <c r="G632" s="70"/>
      <c r="H632" s="70"/>
    </row>
    <row r="633" spans="1:8" x14ac:dyDescent="0.2">
      <c r="A633" s="440" t="str">
        <f>IF(ISBLANK(Twilight!AG538),"|",CONCATENATE(Twilight!AG538,"|"))</f>
        <v>|</v>
      </c>
      <c r="E633" s="70"/>
      <c r="F633" s="70"/>
      <c r="G633" s="70"/>
      <c r="H633" s="70"/>
    </row>
    <row r="634" spans="1:8" x14ac:dyDescent="0.2">
      <c r="A634" s="440" t="str">
        <f>IF(ISBLANK(Twilight!AG539),"|",CONCATENATE(Twilight!AG539,"|"))</f>
        <v>|</v>
      </c>
      <c r="E634" s="70"/>
      <c r="F634" s="70"/>
      <c r="G634" s="70"/>
      <c r="H634" s="70"/>
    </row>
    <row r="635" spans="1:8" x14ac:dyDescent="0.2">
      <c r="A635" s="440" t="str">
        <f>IF(ISBLANK(Twilight!AG540),"|",CONCATENATE(Twilight!AG540,"|"))</f>
        <v>|</v>
      </c>
      <c r="E635" s="70"/>
      <c r="F635" s="70"/>
      <c r="G635" s="70"/>
      <c r="H635" s="70"/>
    </row>
    <row r="636" spans="1:8" x14ac:dyDescent="0.2">
      <c r="A636" s="440" t="str">
        <f>IF(ISBLANK(Twilight!AG541),"|",CONCATENATE(Twilight!AG541,"|"))</f>
        <v>|</v>
      </c>
      <c r="E636" s="70"/>
      <c r="F636" s="70"/>
      <c r="G636" s="70"/>
      <c r="H636" s="70"/>
    </row>
    <row r="637" spans="1:8" x14ac:dyDescent="0.2">
      <c r="A637" s="440" t="str">
        <f>IF(ISBLANK(Twilight!AG542),"|",CONCATENATE(Twilight!AG542,"|"))</f>
        <v>|</v>
      </c>
      <c r="E637" s="70"/>
      <c r="F637" s="70"/>
      <c r="G637" s="70"/>
      <c r="H637" s="70"/>
    </row>
    <row r="638" spans="1:8" x14ac:dyDescent="0.2">
      <c r="A638" s="440" t="str">
        <f>IF(ISBLANK(Twilight!AG543),"|",CONCATENATE(Twilight!AG543,"|"))</f>
        <v>|</v>
      </c>
      <c r="E638" s="70"/>
      <c r="F638" s="70"/>
      <c r="G638" s="70"/>
      <c r="H638" s="70"/>
    </row>
    <row r="639" spans="1:8" x14ac:dyDescent="0.2">
      <c r="A639" s="440" t="str">
        <f>IF(ISBLANK(Twilight!AG544),"|",CONCATENATE(Twilight!AG544,"|"))</f>
        <v>|</v>
      </c>
      <c r="E639" s="70"/>
      <c r="F639" s="70"/>
      <c r="G639" s="70"/>
      <c r="H639" s="70"/>
    </row>
    <row r="640" spans="1:8" x14ac:dyDescent="0.2">
      <c r="A640" s="440" t="str">
        <f>IF(ISBLANK(Twilight!AG545),"|",CONCATENATE(Twilight!AG545,"|"))</f>
        <v>|</v>
      </c>
      <c r="E640" s="70"/>
      <c r="F640" s="70"/>
      <c r="G640" s="70"/>
      <c r="H640" s="70"/>
    </row>
    <row r="641" spans="1:8" x14ac:dyDescent="0.2">
      <c r="A641" s="440" t="str">
        <f>IF(ISBLANK(Twilight!AG546),"|",CONCATENATE(Twilight!AG546,"|"))</f>
        <v>|</v>
      </c>
      <c r="E641" s="70"/>
      <c r="F641" s="70"/>
      <c r="G641" s="70"/>
      <c r="H641" s="70"/>
    </row>
    <row r="642" spans="1:8" x14ac:dyDescent="0.2">
      <c r="A642" s="440" t="str">
        <f>IF(ISBLANK(Twilight!AG547),"|",CONCATENATE(Twilight!AG547,"|"))</f>
        <v>|</v>
      </c>
      <c r="E642" s="70"/>
      <c r="F642" s="70"/>
      <c r="G642" s="70"/>
      <c r="H642" s="70"/>
    </row>
    <row r="643" spans="1:8" x14ac:dyDescent="0.2">
      <c r="A643" s="440" t="str">
        <f>IF(ISBLANK(Twilight!AG548),"|",CONCATENATE(Twilight!AG548,"|"))</f>
        <v>|</v>
      </c>
      <c r="E643" s="70"/>
      <c r="F643" s="70"/>
      <c r="G643" s="70"/>
      <c r="H643" s="70"/>
    </row>
    <row r="644" spans="1:8" x14ac:dyDescent="0.2">
      <c r="A644" s="440" t="str">
        <f>IF(ISBLANK(Twilight!AG549),"|",CONCATENATE(Twilight!AG549,"|"))</f>
        <v>|</v>
      </c>
      <c r="E644" s="70"/>
      <c r="F644" s="70"/>
      <c r="G644" s="70"/>
      <c r="H644" s="70"/>
    </row>
    <row r="645" spans="1:8" x14ac:dyDescent="0.2">
      <c r="A645" s="440" t="str">
        <f>IF(ISBLANK(Twilight!AG550),"|",CONCATENATE(Twilight!AG550,"|"))</f>
        <v>|</v>
      </c>
      <c r="E645" s="70"/>
      <c r="F645" s="70"/>
      <c r="G645" s="70"/>
      <c r="H645" s="70"/>
    </row>
    <row r="646" spans="1:8" x14ac:dyDescent="0.2">
      <c r="A646" s="440" t="str">
        <f>IF(ISBLANK(Twilight!AG551),"|",CONCATENATE(Twilight!AG551,"|"))</f>
        <v>|</v>
      </c>
      <c r="E646" s="70"/>
      <c r="F646" s="70"/>
      <c r="G646" s="70"/>
      <c r="H646" s="70"/>
    </row>
    <row r="647" spans="1:8" x14ac:dyDescent="0.2">
      <c r="A647" s="440" t="str">
        <f>IF(ISBLANK(Twilight!AG552),"|",CONCATENATE(Twilight!AG552,"|"))</f>
        <v>|</v>
      </c>
      <c r="E647" s="70"/>
      <c r="F647" s="70"/>
      <c r="G647" s="70"/>
      <c r="H647" s="70"/>
    </row>
    <row r="648" spans="1:8" x14ac:dyDescent="0.2">
      <c r="A648" s="440" t="str">
        <f>IF(ISBLANK(Twilight!AG553),"|",CONCATENATE(Twilight!AG553,"|"))</f>
        <v>|</v>
      </c>
      <c r="E648" s="70"/>
      <c r="F648" s="70"/>
      <c r="G648" s="70"/>
      <c r="H648" s="70"/>
    </row>
    <row r="649" spans="1:8" x14ac:dyDescent="0.2">
      <c r="A649" s="440" t="str">
        <f>IF(ISBLANK(Twilight!AG554),"|",CONCATENATE(Twilight!AG554,"|"))</f>
        <v>|</v>
      </c>
      <c r="E649" s="70"/>
      <c r="F649" s="70"/>
      <c r="G649" s="70"/>
      <c r="H649" s="70"/>
    </row>
    <row r="650" spans="1:8" x14ac:dyDescent="0.2">
      <c r="A650" s="440" t="str">
        <f>IF(ISBLANK(Twilight!AG555),"|",CONCATENATE(Twilight!AG555,"|"))</f>
        <v>|</v>
      </c>
      <c r="E650" s="70"/>
      <c r="F650" s="70"/>
      <c r="G650" s="70"/>
      <c r="H650" s="70"/>
    </row>
    <row r="651" spans="1:8" x14ac:dyDescent="0.2">
      <c r="A651" s="440" t="str">
        <f>IF(ISBLANK(Twilight!AG556),"|",CONCATENATE(Twilight!AG556,"|"))</f>
        <v>|</v>
      </c>
      <c r="E651" s="70"/>
      <c r="F651" s="70"/>
      <c r="G651" s="70"/>
      <c r="H651" s="70"/>
    </row>
    <row r="652" spans="1:8" x14ac:dyDescent="0.2">
      <c r="A652" s="440" t="str">
        <f>IF(ISBLANK(Twilight!AG557),"|",CONCATENATE(Twilight!AG557,"|"))</f>
        <v>|</v>
      </c>
      <c r="E652" s="70"/>
      <c r="F652" s="70"/>
      <c r="G652" s="70"/>
      <c r="H652" s="70"/>
    </row>
    <row r="653" spans="1:8" x14ac:dyDescent="0.2">
      <c r="A653" s="440" t="str">
        <f>IF(ISBLANK(Twilight!AG558),"|",CONCATENATE(Twilight!AG558,"|"))</f>
        <v>|</v>
      </c>
      <c r="E653" s="70"/>
      <c r="F653" s="70"/>
      <c r="G653" s="70"/>
      <c r="H653" s="70"/>
    </row>
    <row r="654" spans="1:8" x14ac:dyDescent="0.2">
      <c r="A654" s="440" t="str">
        <f>IF(ISBLANK(Twilight!AG559),"|",CONCATENATE(Twilight!AG559,"|"))</f>
        <v>|</v>
      </c>
      <c r="E654" s="70"/>
      <c r="F654" s="70"/>
      <c r="G654" s="70"/>
      <c r="H654" s="70"/>
    </row>
    <row r="655" spans="1:8" x14ac:dyDescent="0.2">
      <c r="A655" s="440" t="str">
        <f>IF(ISBLANK(Twilight!AG560),"|",CONCATENATE(Twilight!AG560,"|"))</f>
        <v>|</v>
      </c>
      <c r="E655" s="70"/>
      <c r="F655" s="70"/>
      <c r="G655" s="70"/>
      <c r="H655" s="70"/>
    </row>
    <row r="656" spans="1:8" x14ac:dyDescent="0.2">
      <c r="A656" s="440" t="str">
        <f>IF(ISBLANK(Twilight!AG561),"|",CONCATENATE(Twilight!AG561,"|"))</f>
        <v>|</v>
      </c>
      <c r="E656" s="70"/>
      <c r="F656" s="70"/>
      <c r="G656" s="70"/>
      <c r="H656" s="70"/>
    </row>
    <row r="657" spans="1:8" x14ac:dyDescent="0.2">
      <c r="A657" s="440" t="str">
        <f>IF(ISBLANK(Twilight!AG562),"|",CONCATENATE(Twilight!AG562,"|"))</f>
        <v>|</v>
      </c>
      <c r="E657" s="70"/>
      <c r="F657" s="70"/>
      <c r="G657" s="70"/>
      <c r="H657" s="70"/>
    </row>
    <row r="658" spans="1:8" x14ac:dyDescent="0.2">
      <c r="A658" s="440" t="str">
        <f>IF(ISBLANK(Twilight!AG563),"|",CONCATENATE(Twilight!AG563,"|"))</f>
        <v>|</v>
      </c>
      <c r="E658" s="70"/>
      <c r="F658" s="70"/>
      <c r="G658" s="70"/>
      <c r="H658" s="70"/>
    </row>
    <row r="659" spans="1:8" x14ac:dyDescent="0.2">
      <c r="A659" s="440" t="str">
        <f>IF(ISBLANK(Twilight!AG564),"|",CONCATENATE(Twilight!AG564,"|"))</f>
        <v>|</v>
      </c>
      <c r="E659" s="70"/>
      <c r="F659" s="70"/>
      <c r="G659" s="70"/>
      <c r="H659" s="70"/>
    </row>
    <row r="660" spans="1:8" x14ac:dyDescent="0.2">
      <c r="A660" s="440" t="str">
        <f>IF(ISBLANK(Twilight!AG565),"|",CONCATENATE(Twilight!AG565,"|"))</f>
        <v>|</v>
      </c>
      <c r="E660" s="70"/>
      <c r="F660" s="70"/>
      <c r="G660" s="70"/>
      <c r="H660" s="70"/>
    </row>
    <row r="661" spans="1:8" x14ac:dyDescent="0.2">
      <c r="A661" s="440" t="str">
        <f>IF(ISBLANK(Twilight!AG566),"|",CONCATENATE(Twilight!AG566,"|"))</f>
        <v>|</v>
      </c>
      <c r="E661" s="70"/>
      <c r="F661" s="70"/>
      <c r="G661" s="70"/>
      <c r="H661" s="70"/>
    </row>
    <row r="662" spans="1:8" x14ac:dyDescent="0.2">
      <c r="A662" s="440" t="str">
        <f>IF(ISBLANK(Twilight!AG567),"|",CONCATENATE(Twilight!AG567,"|"))</f>
        <v>|</v>
      </c>
      <c r="E662" s="70"/>
      <c r="F662" s="70"/>
      <c r="G662" s="70"/>
      <c r="H662" s="70"/>
    </row>
    <row r="663" spans="1:8" x14ac:dyDescent="0.2">
      <c r="A663" s="440" t="str">
        <f>IF(ISBLANK(Twilight!AG568),"|",CONCATENATE(Twilight!AG568,"|"))</f>
        <v>|</v>
      </c>
      <c r="E663" s="70"/>
      <c r="F663" s="70"/>
      <c r="G663" s="70"/>
      <c r="H663" s="70"/>
    </row>
    <row r="664" spans="1:8" x14ac:dyDescent="0.2">
      <c r="A664" s="440" t="str">
        <f>IF(ISBLANK(Twilight!AG569),"|",CONCATENATE(Twilight!AG569,"|"))</f>
        <v>|</v>
      </c>
      <c r="E664" s="70"/>
      <c r="F664" s="70"/>
      <c r="G664" s="70"/>
      <c r="H664" s="70"/>
    </row>
    <row r="665" spans="1:8" x14ac:dyDescent="0.2">
      <c r="A665" s="440" t="str">
        <f>IF(ISBLANK(Twilight!AG570),"|",CONCATENATE(Twilight!AG570,"|"))</f>
        <v>|</v>
      </c>
      <c r="E665" s="70"/>
      <c r="F665" s="70"/>
      <c r="G665" s="70"/>
      <c r="H665" s="70"/>
    </row>
    <row r="666" spans="1:8" x14ac:dyDescent="0.2">
      <c r="A666" s="440" t="str">
        <f>IF(ISBLANK(Twilight!AG571),"|",CONCATENATE(Twilight!AG571,"|"))</f>
        <v>|</v>
      </c>
      <c r="E666" s="70"/>
      <c r="F666" s="70"/>
      <c r="G666" s="70"/>
      <c r="H666" s="70"/>
    </row>
    <row r="667" spans="1:8" x14ac:dyDescent="0.2">
      <c r="A667" s="440" t="str">
        <f>IF(ISBLANK(Twilight!AG572),"|",CONCATENATE(Twilight!AG572,"|"))</f>
        <v>|</v>
      </c>
      <c r="E667" s="70"/>
      <c r="F667" s="70"/>
      <c r="G667" s="70"/>
      <c r="H667" s="70"/>
    </row>
    <row r="668" spans="1:8" x14ac:dyDescent="0.2">
      <c r="A668" s="440" t="str">
        <f>IF(ISBLANK(Twilight!AG573),"|",CONCATENATE(Twilight!AG573,"|"))</f>
        <v>|</v>
      </c>
      <c r="E668" s="70"/>
      <c r="F668" s="70"/>
      <c r="G668" s="70"/>
      <c r="H668" s="70"/>
    </row>
    <row r="669" spans="1:8" x14ac:dyDescent="0.2">
      <c r="A669" s="440" t="str">
        <f>IF(ISBLANK(Twilight!AG574),"|",CONCATENATE(Twilight!AG574,"|"))</f>
        <v>|</v>
      </c>
      <c r="E669" s="70"/>
      <c r="F669" s="70"/>
      <c r="G669" s="70"/>
      <c r="H669" s="70"/>
    </row>
    <row r="670" spans="1:8" x14ac:dyDescent="0.2">
      <c r="A670" s="440" t="str">
        <f>IF(ISBLANK(Twilight!AG575),"|",CONCATENATE(Twilight!AG575,"|"))</f>
        <v>|</v>
      </c>
      <c r="E670" s="70"/>
      <c r="F670" s="70"/>
      <c r="G670" s="70"/>
      <c r="H670" s="70"/>
    </row>
    <row r="671" spans="1:8" x14ac:dyDescent="0.2">
      <c r="A671" s="440" t="str">
        <f>IF(ISBLANK(Twilight!AG576),"|",CONCATENATE(Twilight!AG576,"|"))</f>
        <v>|</v>
      </c>
      <c r="E671" s="70"/>
      <c r="F671" s="70"/>
      <c r="G671" s="70"/>
      <c r="H671" s="70"/>
    </row>
    <row r="672" spans="1:8" x14ac:dyDescent="0.2">
      <c r="A672" s="440" t="str">
        <f>IF(ISBLANK(Twilight!AG577),"|",CONCATENATE(Twilight!AG577,"|"))</f>
        <v>|</v>
      </c>
      <c r="E672" s="70"/>
      <c r="F672" s="70"/>
      <c r="G672" s="70"/>
      <c r="H672" s="70"/>
    </row>
    <row r="673" spans="1:8" x14ac:dyDescent="0.2">
      <c r="A673" s="440" t="str">
        <f>IF(ISBLANK(Twilight!AG578),"|",CONCATENATE(Twilight!AG578,"|"))</f>
        <v>|</v>
      </c>
      <c r="E673" s="70"/>
      <c r="F673" s="70"/>
      <c r="G673" s="70"/>
      <c r="H673" s="70"/>
    </row>
    <row r="674" spans="1:8" x14ac:dyDescent="0.2">
      <c r="A674" s="440" t="str">
        <f>IF(ISBLANK(Twilight!AG579),"|",CONCATENATE(Twilight!AG579,"|"))</f>
        <v>|</v>
      </c>
      <c r="E674" s="70"/>
      <c r="F674" s="70"/>
      <c r="G674" s="70"/>
      <c r="H674" s="70"/>
    </row>
    <row r="675" spans="1:8" x14ac:dyDescent="0.2">
      <c r="A675" s="440" t="str">
        <f>IF(ISBLANK(Twilight!AG580),"|",CONCATENATE(Twilight!AG580,"|"))</f>
        <v>|</v>
      </c>
      <c r="E675" s="70"/>
      <c r="F675" s="70"/>
      <c r="G675" s="70"/>
      <c r="H675" s="70"/>
    </row>
    <row r="676" spans="1:8" x14ac:dyDescent="0.2">
      <c r="A676" s="440" t="str">
        <f>IF(ISBLANK(Twilight!AG581),"|",CONCATENATE(Twilight!AG581,"|"))</f>
        <v>|</v>
      </c>
      <c r="E676" s="70"/>
      <c r="F676" s="70"/>
      <c r="G676" s="70"/>
      <c r="H676" s="70"/>
    </row>
    <row r="677" spans="1:8" x14ac:dyDescent="0.2">
      <c r="A677" s="440" t="str">
        <f>IF(ISBLANK(Twilight!AG582),"|",CONCATENATE(Twilight!AG582,"|"))</f>
        <v>|</v>
      </c>
      <c r="E677" s="70"/>
      <c r="F677" s="70"/>
      <c r="G677" s="70"/>
      <c r="H677" s="70"/>
    </row>
    <row r="678" spans="1:8" x14ac:dyDescent="0.2">
      <c r="A678" s="440" t="str">
        <f>IF(ISBLANK(Twilight!AG583),"|",CONCATENATE(Twilight!AG583,"|"))</f>
        <v>|</v>
      </c>
      <c r="E678" s="70"/>
      <c r="F678" s="70"/>
      <c r="G678" s="70"/>
      <c r="H678" s="70"/>
    </row>
    <row r="679" spans="1:8" x14ac:dyDescent="0.2">
      <c r="A679" s="440" t="str">
        <f>IF(ISBLANK(Twilight!AG584),"|",CONCATENATE(Twilight!AG584,"|"))</f>
        <v>|</v>
      </c>
      <c r="E679" s="70"/>
      <c r="F679" s="70"/>
      <c r="G679" s="70"/>
      <c r="H679" s="70"/>
    </row>
    <row r="680" spans="1:8" x14ac:dyDescent="0.2">
      <c r="A680" s="440" t="str">
        <f>IF(ISBLANK(Twilight!AG585),"|",CONCATENATE(Twilight!AG585,"|"))</f>
        <v>|</v>
      </c>
      <c r="E680" s="70"/>
      <c r="F680" s="70"/>
      <c r="G680" s="70"/>
      <c r="H680" s="70"/>
    </row>
    <row r="681" spans="1:8" x14ac:dyDescent="0.2">
      <c r="A681" s="440" t="str">
        <f>IF(ISBLANK(Twilight!AG586),"|",CONCATENATE(Twilight!AG586,"|"))</f>
        <v>|</v>
      </c>
      <c r="E681" s="70"/>
      <c r="F681" s="70"/>
      <c r="G681" s="70"/>
      <c r="H681" s="70"/>
    </row>
    <row r="682" spans="1:8" x14ac:dyDescent="0.2">
      <c r="A682" s="440" t="str">
        <f>IF(ISBLANK(Twilight!AG587),"|",CONCATENATE(Twilight!AG587,"|"))</f>
        <v>|</v>
      </c>
      <c r="E682" s="70"/>
      <c r="F682" s="70"/>
      <c r="G682" s="70"/>
      <c r="H682" s="70"/>
    </row>
    <row r="683" spans="1:8" x14ac:dyDescent="0.2">
      <c r="A683" s="440" t="str">
        <f>IF(ISBLANK(Twilight!AG588),"|",CONCATENATE(Twilight!AG588,"|"))</f>
        <v>|</v>
      </c>
      <c r="E683" s="70"/>
      <c r="F683" s="70"/>
      <c r="G683" s="70"/>
      <c r="H683" s="70"/>
    </row>
    <row r="684" spans="1:8" x14ac:dyDescent="0.2">
      <c r="A684" s="440" t="str">
        <f>IF(ISBLANK(Twilight!AG589),"|",CONCATENATE(Twilight!AG589,"|"))</f>
        <v>|</v>
      </c>
      <c r="E684" s="70"/>
      <c r="F684" s="70"/>
      <c r="G684" s="70"/>
      <c r="H684" s="70"/>
    </row>
    <row r="685" spans="1:8" x14ac:dyDescent="0.2">
      <c r="A685" s="440" t="str">
        <f>IF(ISBLANK(Twilight!AG590),"|",CONCATENATE(Twilight!AG590,"|"))</f>
        <v>|</v>
      </c>
      <c r="E685" s="70"/>
      <c r="F685" s="70"/>
      <c r="G685" s="70"/>
      <c r="H685" s="70"/>
    </row>
    <row r="686" spans="1:8" x14ac:dyDescent="0.2">
      <c r="A686" s="440" t="str">
        <f>IF(ISBLANK(Twilight!AG591),"|",CONCATENATE(Twilight!AG591,"|"))</f>
        <v>|</v>
      </c>
      <c r="E686" s="70"/>
      <c r="F686" s="70"/>
      <c r="G686" s="70"/>
      <c r="H686" s="70"/>
    </row>
    <row r="687" spans="1:8" x14ac:dyDescent="0.2">
      <c r="A687" s="440" t="str">
        <f>IF(ISBLANK(Twilight!AG592),"|",CONCATENATE(Twilight!AG592,"|"))</f>
        <v>|</v>
      </c>
      <c r="E687" s="70"/>
      <c r="F687" s="70"/>
      <c r="G687" s="70"/>
      <c r="H687" s="70"/>
    </row>
    <row r="688" spans="1:8" x14ac:dyDescent="0.2">
      <c r="A688" s="440" t="str">
        <f>IF(ISBLANK(Twilight!AG593),"|",CONCATENATE(Twilight!AG593,"|"))</f>
        <v>|</v>
      </c>
      <c r="E688" s="70"/>
      <c r="F688" s="70"/>
      <c r="G688" s="70"/>
      <c r="H688" s="70"/>
    </row>
    <row r="689" spans="1:8" x14ac:dyDescent="0.2">
      <c r="A689" s="440" t="str">
        <f>IF(ISBLANK(Twilight!AG594),"|",CONCATENATE(Twilight!AG594,"|"))</f>
        <v>|</v>
      </c>
      <c r="E689" s="70"/>
      <c r="F689" s="70"/>
      <c r="G689" s="70"/>
      <c r="H689" s="70"/>
    </row>
    <row r="690" spans="1:8" x14ac:dyDescent="0.2">
      <c r="A690" s="440" t="str">
        <f>IF(ISBLANK(Twilight!AG595),"|",CONCATENATE(Twilight!AG595,"|"))</f>
        <v>|</v>
      </c>
      <c r="E690" s="70"/>
      <c r="F690" s="70"/>
      <c r="G690" s="70"/>
      <c r="H690" s="70"/>
    </row>
    <row r="691" spans="1:8" x14ac:dyDescent="0.2">
      <c r="A691" s="440" t="str">
        <f>IF(ISBLANK(Twilight!AG596),"|",CONCATENATE(Twilight!AG596,"|"))</f>
        <v>|</v>
      </c>
      <c r="E691" s="70"/>
      <c r="F691" s="70"/>
      <c r="G691" s="70"/>
      <c r="H691" s="70"/>
    </row>
    <row r="692" spans="1:8" x14ac:dyDescent="0.2">
      <c r="A692" s="440" t="str">
        <f>IF(ISBLANK(Twilight!AG597),"|",CONCATENATE(Twilight!AG597,"|"))</f>
        <v>|</v>
      </c>
      <c r="E692" s="70"/>
      <c r="F692" s="70"/>
      <c r="G692" s="70"/>
      <c r="H692" s="70"/>
    </row>
    <row r="693" spans="1:8" x14ac:dyDescent="0.2">
      <c r="A693" s="440" t="str">
        <f>IF(ISBLANK(Twilight!AG598),"|",CONCATENATE(Twilight!AG598,"|"))</f>
        <v>|</v>
      </c>
      <c r="E693" s="70"/>
      <c r="F693" s="70"/>
      <c r="G693" s="70"/>
      <c r="H693" s="70"/>
    </row>
    <row r="694" spans="1:8" x14ac:dyDescent="0.2">
      <c r="A694" s="440" t="str">
        <f>IF(ISBLANK(Twilight!AG599),"|",CONCATENATE(Twilight!AG599,"|"))</f>
        <v>|</v>
      </c>
      <c r="E694" s="70"/>
      <c r="F694" s="70"/>
      <c r="G694" s="70"/>
      <c r="H694" s="70"/>
    </row>
    <row r="695" spans="1:8" x14ac:dyDescent="0.2">
      <c r="A695" s="440" t="str">
        <f>IF(ISBLANK(Twilight!AG600),"|",CONCATENATE(Twilight!AG600,"|"))</f>
        <v>|</v>
      </c>
      <c r="E695" s="70"/>
      <c r="F695" s="70"/>
      <c r="G695" s="70"/>
      <c r="H695" s="70"/>
    </row>
    <row r="696" spans="1:8" x14ac:dyDescent="0.2">
      <c r="A696" s="440" t="str">
        <f>IF(ISBLANK(Twilight!AG601),"|",CONCATENATE(Twilight!AG601,"|"))</f>
        <v>|</v>
      </c>
      <c r="E696" s="70"/>
      <c r="F696" s="70"/>
      <c r="G696" s="70"/>
      <c r="H696" s="70"/>
    </row>
    <row r="697" spans="1:8" x14ac:dyDescent="0.2">
      <c r="A697" s="440" t="str">
        <f>IF(ISBLANK(Twilight!AG602),"|",CONCATENATE(Twilight!AG602,"|"))</f>
        <v>|</v>
      </c>
      <c r="E697" s="70"/>
      <c r="F697" s="70"/>
      <c r="G697" s="70"/>
      <c r="H697" s="70"/>
    </row>
    <row r="698" spans="1:8" x14ac:dyDescent="0.2">
      <c r="A698" s="440" t="str">
        <f>IF(ISBLANK(Twilight!AG603),"|",CONCATENATE(Twilight!AG603,"|"))</f>
        <v>|</v>
      </c>
      <c r="E698" s="70"/>
      <c r="F698" s="70"/>
      <c r="G698" s="70"/>
      <c r="H698" s="70"/>
    </row>
    <row r="699" spans="1:8" x14ac:dyDescent="0.2">
      <c r="A699" s="440" t="str">
        <f>IF(ISBLANK(Twilight!AG604),"|",CONCATENATE(Twilight!AG604,"|"))</f>
        <v>|</v>
      </c>
      <c r="E699" s="70"/>
      <c r="F699" s="70"/>
      <c r="G699" s="70"/>
      <c r="H699" s="70"/>
    </row>
    <row r="700" spans="1:8" x14ac:dyDescent="0.2">
      <c r="A700" s="440" t="str">
        <f>IF(ISBLANK(Twilight!AG605),"|",CONCATENATE(Twilight!AG605,"|"))</f>
        <v>|</v>
      </c>
      <c r="E700" s="70"/>
      <c r="F700" s="70"/>
      <c r="G700" s="70"/>
      <c r="H700" s="70"/>
    </row>
    <row r="701" spans="1:8" x14ac:dyDescent="0.2">
      <c r="A701" s="440" t="str">
        <f>IF(ISBLANK(Twilight!AG606),"|",CONCATENATE(Twilight!AG606,"|"))</f>
        <v>|</v>
      </c>
      <c r="E701" s="70"/>
      <c r="F701" s="70"/>
      <c r="G701" s="70"/>
      <c r="H701" s="70"/>
    </row>
    <row r="702" spans="1:8" x14ac:dyDescent="0.2">
      <c r="A702" s="440" t="str">
        <f>IF(ISBLANK(Twilight!AG607),"|",CONCATENATE(Twilight!AG607,"|"))</f>
        <v>|</v>
      </c>
      <c r="E702" s="70"/>
      <c r="F702" s="70"/>
      <c r="G702" s="70"/>
      <c r="H702" s="70"/>
    </row>
    <row r="703" spans="1:8" x14ac:dyDescent="0.2">
      <c r="A703" s="440" t="str">
        <f>IF(ISBLANK(Twilight!AG608),"|",CONCATENATE(Twilight!AG608,"|"))</f>
        <v>|</v>
      </c>
      <c r="E703" s="70"/>
      <c r="F703" s="70"/>
      <c r="G703" s="70"/>
      <c r="H703" s="70"/>
    </row>
    <row r="704" spans="1:8" x14ac:dyDescent="0.2">
      <c r="A704" s="440" t="str">
        <f>IF(ISBLANK(Twilight!AG609),"|",CONCATENATE(Twilight!AG609,"|"))</f>
        <v>|</v>
      </c>
      <c r="E704" s="70"/>
      <c r="F704" s="70"/>
      <c r="G704" s="70"/>
      <c r="H704" s="70"/>
    </row>
    <row r="705" spans="1:8" x14ac:dyDescent="0.2">
      <c r="A705" s="440" t="str">
        <f>IF(ISBLANK(Twilight!AG610),"|",CONCATENATE(Twilight!AG610,"|"))</f>
        <v>|</v>
      </c>
      <c r="E705" s="70"/>
      <c r="F705" s="70"/>
      <c r="G705" s="70"/>
      <c r="H705" s="70"/>
    </row>
    <row r="706" spans="1:8" x14ac:dyDescent="0.2">
      <c r="A706" s="440" t="str">
        <f>IF(ISBLANK(Twilight!AG611),"|",CONCATENATE(Twilight!AG611,"|"))</f>
        <v>|</v>
      </c>
      <c r="E706" s="70"/>
      <c r="F706" s="70"/>
      <c r="G706" s="70"/>
      <c r="H706" s="70"/>
    </row>
    <row r="707" spans="1:8" x14ac:dyDescent="0.2">
      <c r="A707" s="440" t="str">
        <f>IF(ISBLANK(Twilight!AG612),"|",CONCATENATE(Twilight!AG612,"|"))</f>
        <v>|</v>
      </c>
      <c r="E707" s="70"/>
      <c r="F707" s="70"/>
      <c r="G707" s="70"/>
      <c r="H707" s="70"/>
    </row>
    <row r="708" spans="1:8" x14ac:dyDescent="0.2">
      <c r="A708" s="440" t="str">
        <f>IF(ISBLANK(Twilight!AG613),"|",CONCATENATE(Twilight!AG613,"|"))</f>
        <v>|</v>
      </c>
      <c r="E708" s="70"/>
      <c r="F708" s="70"/>
      <c r="G708" s="70"/>
      <c r="H708" s="70"/>
    </row>
    <row r="709" spans="1:8" x14ac:dyDescent="0.2">
      <c r="A709" s="440" t="str">
        <f>IF(ISBLANK(Twilight!AG614),"|",CONCATENATE(Twilight!AG614,"|"))</f>
        <v>|</v>
      </c>
      <c r="E709" s="70"/>
      <c r="F709" s="70"/>
      <c r="G709" s="70"/>
      <c r="H709" s="70"/>
    </row>
    <row r="710" spans="1:8" x14ac:dyDescent="0.2">
      <c r="A710" s="440" t="str">
        <f>IF(ISBLANK(Twilight!AG615),"|",CONCATENATE(Twilight!AG615,"|"))</f>
        <v>|</v>
      </c>
      <c r="E710" s="70"/>
      <c r="F710" s="70"/>
      <c r="G710" s="70"/>
      <c r="H710" s="70"/>
    </row>
    <row r="711" spans="1:8" x14ac:dyDescent="0.2">
      <c r="A711" s="440" t="str">
        <f>IF(ISBLANK(Twilight!AG616),"|",CONCATENATE(Twilight!AG616,"|"))</f>
        <v>|</v>
      </c>
      <c r="E711" s="70"/>
      <c r="F711" s="70"/>
      <c r="G711" s="70"/>
      <c r="H711" s="70"/>
    </row>
    <row r="712" spans="1:8" x14ac:dyDescent="0.2">
      <c r="A712" s="440" t="str">
        <f>IF(ISBLANK(Twilight!AG617),"|",CONCATENATE(Twilight!AG617,"|"))</f>
        <v>|</v>
      </c>
      <c r="E712" s="70"/>
      <c r="F712" s="70"/>
      <c r="G712" s="70"/>
      <c r="H712" s="70"/>
    </row>
    <row r="713" spans="1:8" x14ac:dyDescent="0.2">
      <c r="A713" s="440" t="str">
        <f>IF(ISBLANK(Twilight!AG618),"|",CONCATENATE(Twilight!AG618,"|"))</f>
        <v>|</v>
      </c>
      <c r="E713" s="70"/>
      <c r="F713" s="70"/>
      <c r="G713" s="70"/>
      <c r="H713" s="70"/>
    </row>
    <row r="714" spans="1:8" x14ac:dyDescent="0.2">
      <c r="A714" s="440" t="str">
        <f>IF(ISBLANK(Twilight!AG619),"|",CONCATENATE(Twilight!AG619,"|"))</f>
        <v>|</v>
      </c>
      <c r="E714" s="70"/>
      <c r="F714" s="70"/>
      <c r="G714" s="70"/>
      <c r="H714" s="70"/>
    </row>
    <row r="715" spans="1:8" x14ac:dyDescent="0.2">
      <c r="A715" s="440" t="str">
        <f>IF(ISBLANK(Twilight!AG620),"|",CONCATENATE(Twilight!AG620,"|"))</f>
        <v>|</v>
      </c>
      <c r="E715" s="70"/>
      <c r="F715" s="70"/>
      <c r="G715" s="70"/>
      <c r="H715" s="70"/>
    </row>
    <row r="716" spans="1:8" x14ac:dyDescent="0.2">
      <c r="A716" s="440" t="str">
        <f>IF(ISBLANK(Twilight!AG621),"|",CONCATENATE(Twilight!AG621,"|"))</f>
        <v>|</v>
      </c>
      <c r="E716" s="70"/>
      <c r="F716" s="70"/>
      <c r="G716" s="70"/>
      <c r="H716" s="70"/>
    </row>
    <row r="717" spans="1:8" x14ac:dyDescent="0.2">
      <c r="A717" s="440" t="str">
        <f>IF(ISBLANK(Twilight!AG622),"|",CONCATENATE(Twilight!AG622,"|"))</f>
        <v>|</v>
      </c>
      <c r="E717" s="70"/>
      <c r="F717" s="70"/>
      <c r="G717" s="70"/>
      <c r="H717" s="70"/>
    </row>
    <row r="718" spans="1:8" x14ac:dyDescent="0.2">
      <c r="A718" s="440" t="str">
        <f>IF(ISBLANK(Twilight!AG623),"|",CONCATENATE(Twilight!AG623,"|"))</f>
        <v>|</v>
      </c>
      <c r="E718" s="70"/>
      <c r="F718" s="70"/>
      <c r="G718" s="70"/>
      <c r="H718" s="70"/>
    </row>
    <row r="719" spans="1:8" x14ac:dyDescent="0.2">
      <c r="A719" s="440" t="str">
        <f>IF(ISBLANK(Twilight!AG624),"|",CONCATENATE(Twilight!AG624,"|"))</f>
        <v>|</v>
      </c>
      <c r="E719" s="70"/>
      <c r="F719" s="70"/>
      <c r="G719" s="70"/>
      <c r="H719" s="70"/>
    </row>
    <row r="720" spans="1:8" x14ac:dyDescent="0.2">
      <c r="A720" s="440" t="str">
        <f>IF(ISBLANK(Twilight!AG625),"|",CONCATENATE(Twilight!AG625,"|"))</f>
        <v>|</v>
      </c>
      <c r="E720" s="70"/>
      <c r="F720" s="70"/>
      <c r="G720" s="70"/>
      <c r="H720" s="70"/>
    </row>
    <row r="721" spans="1:8" x14ac:dyDescent="0.2">
      <c r="A721" s="440" t="str">
        <f>IF(ISBLANK(Twilight!AG626),"|",CONCATENATE(Twilight!AG626,"|"))</f>
        <v>|</v>
      </c>
      <c r="E721" s="70"/>
      <c r="F721" s="70"/>
      <c r="G721" s="70"/>
      <c r="H721" s="70"/>
    </row>
    <row r="722" spans="1:8" x14ac:dyDescent="0.2">
      <c r="A722" s="440" t="str">
        <f>IF(ISBLANK(Twilight!AG627),"|",CONCATENATE(Twilight!AG627,"|"))</f>
        <v>|</v>
      </c>
      <c r="E722" s="70"/>
      <c r="F722" s="70"/>
      <c r="G722" s="70"/>
      <c r="H722" s="70"/>
    </row>
    <row r="723" spans="1:8" x14ac:dyDescent="0.2">
      <c r="A723" s="440" t="str">
        <f>IF(ISBLANK(Twilight!AG628),"|",CONCATENATE(Twilight!AG628,"|"))</f>
        <v>|</v>
      </c>
      <c r="E723" s="70"/>
      <c r="F723" s="70"/>
      <c r="G723" s="70"/>
      <c r="H723" s="70"/>
    </row>
    <row r="724" spans="1:8" x14ac:dyDescent="0.2">
      <c r="A724" s="440" t="str">
        <f>IF(ISBLANK(Twilight!AG629),"|",CONCATENATE(Twilight!AG629,"|"))</f>
        <v>|</v>
      </c>
      <c r="E724" s="70"/>
      <c r="F724" s="70"/>
      <c r="G724" s="70"/>
      <c r="H724" s="70"/>
    </row>
    <row r="725" spans="1:8" x14ac:dyDescent="0.2">
      <c r="A725" s="440" t="str">
        <f>IF(ISBLANK(Twilight!AG630),"|",CONCATENATE(Twilight!AG630,"|"))</f>
        <v>|</v>
      </c>
      <c r="E725" s="70"/>
      <c r="F725" s="70"/>
      <c r="G725" s="70"/>
      <c r="H725" s="70"/>
    </row>
    <row r="726" spans="1:8" x14ac:dyDescent="0.2">
      <c r="A726" s="440" t="str">
        <f>IF(ISBLANK(Twilight!AG631),"|",CONCATENATE(Twilight!AG631,"|"))</f>
        <v>|</v>
      </c>
      <c r="E726" s="70"/>
      <c r="F726" s="70"/>
      <c r="G726" s="70"/>
      <c r="H726" s="70"/>
    </row>
    <row r="727" spans="1:8" x14ac:dyDescent="0.2">
      <c r="A727" s="440" t="str">
        <f>IF(ISBLANK(Twilight!AG632),"|",CONCATENATE(Twilight!AG632,"|"))</f>
        <v>|</v>
      </c>
      <c r="E727" s="70"/>
      <c r="F727" s="70"/>
      <c r="G727" s="70"/>
      <c r="H727" s="70"/>
    </row>
    <row r="728" spans="1:8" x14ac:dyDescent="0.2">
      <c r="A728" s="440" t="str">
        <f>IF(ISBLANK(Twilight!AG633),"|",CONCATENATE(Twilight!AG633,"|"))</f>
        <v>|</v>
      </c>
      <c r="E728" s="70"/>
      <c r="F728" s="70"/>
      <c r="G728" s="70"/>
      <c r="H728" s="70"/>
    </row>
    <row r="729" spans="1:8" x14ac:dyDescent="0.2">
      <c r="A729" s="440" t="str">
        <f>IF(ISBLANK(Twilight!AG634),"|",CONCATENATE(Twilight!AG634,"|"))</f>
        <v>|</v>
      </c>
      <c r="E729" s="70"/>
      <c r="F729" s="70"/>
      <c r="G729" s="70"/>
      <c r="H729" s="70"/>
    </row>
    <row r="730" spans="1:8" x14ac:dyDescent="0.2">
      <c r="A730" s="440" t="str">
        <f>IF(ISBLANK(Twilight!AG635),"|",CONCATENATE(Twilight!AG635,"|"))</f>
        <v>|</v>
      </c>
      <c r="E730" s="70"/>
      <c r="F730" s="70"/>
      <c r="G730" s="70"/>
      <c r="H730" s="70"/>
    </row>
    <row r="731" spans="1:8" x14ac:dyDescent="0.2">
      <c r="A731" s="440" t="str">
        <f>IF(ISBLANK(Twilight!AG636),"|",CONCATENATE(Twilight!AG636,"|"))</f>
        <v>|</v>
      </c>
      <c r="E731" s="70"/>
      <c r="F731" s="70"/>
      <c r="G731" s="70"/>
      <c r="H731" s="70"/>
    </row>
    <row r="732" spans="1:8" x14ac:dyDescent="0.2">
      <c r="A732" s="440" t="str">
        <f>IF(ISBLANK(Twilight!AG637),"|",CONCATENATE(Twilight!AG637,"|"))</f>
        <v>|</v>
      </c>
      <c r="E732" s="70"/>
      <c r="F732" s="70"/>
      <c r="G732" s="70"/>
      <c r="H732" s="70"/>
    </row>
    <row r="733" spans="1:8" x14ac:dyDescent="0.2">
      <c r="A733" s="440" t="str">
        <f>IF(ISBLANK(Twilight!AG638),"|",CONCATENATE(Twilight!AG638,"|"))</f>
        <v>|</v>
      </c>
      <c r="E733" s="70"/>
      <c r="F733" s="70"/>
      <c r="G733" s="70"/>
      <c r="H733" s="70"/>
    </row>
    <row r="734" spans="1:8" x14ac:dyDescent="0.2">
      <c r="A734" s="440" t="str">
        <f>IF(ISBLANK(Twilight!AG639),"|",CONCATENATE(Twilight!AG639,"|"))</f>
        <v>|</v>
      </c>
      <c r="E734" s="70"/>
      <c r="F734" s="70"/>
      <c r="G734" s="70"/>
      <c r="H734" s="70"/>
    </row>
    <row r="735" spans="1:8" x14ac:dyDescent="0.2">
      <c r="A735" s="440" t="str">
        <f>IF(ISBLANK(Twilight!AG640),"|",CONCATENATE(Twilight!AG640,"|"))</f>
        <v>|</v>
      </c>
      <c r="E735" s="70"/>
      <c r="F735" s="70"/>
      <c r="G735" s="70"/>
      <c r="H735" s="70"/>
    </row>
    <row r="736" spans="1:8" x14ac:dyDescent="0.2">
      <c r="A736" s="440" t="str">
        <f>IF(ISBLANK(Twilight!AG641),"|",CONCATENATE(Twilight!AG641,"|"))</f>
        <v>|</v>
      </c>
      <c r="E736" s="70"/>
      <c r="F736" s="70"/>
      <c r="G736" s="70"/>
      <c r="H736" s="70"/>
    </row>
    <row r="737" spans="1:8" x14ac:dyDescent="0.2">
      <c r="A737" s="440" t="str">
        <f>IF(ISBLANK(Twilight!AG642),"|",CONCATENATE(Twilight!AG642,"|"))</f>
        <v>|</v>
      </c>
      <c r="E737" s="70"/>
      <c r="F737" s="70"/>
      <c r="G737" s="70"/>
      <c r="H737" s="70"/>
    </row>
    <row r="738" spans="1:8" x14ac:dyDescent="0.2">
      <c r="A738" s="440" t="str">
        <f>IF(ISBLANK(Twilight!AG643),"|",CONCATENATE(Twilight!AG643,"|"))</f>
        <v>|</v>
      </c>
      <c r="E738" s="70"/>
      <c r="F738" s="70"/>
      <c r="G738" s="70"/>
      <c r="H738" s="70"/>
    </row>
    <row r="739" spans="1:8" x14ac:dyDescent="0.2">
      <c r="A739" s="440" t="str">
        <f>IF(ISBLANK(Twilight!AG644),"|",CONCATENATE(Twilight!AG644,"|"))</f>
        <v>|</v>
      </c>
      <c r="E739" s="70"/>
      <c r="F739" s="70"/>
      <c r="G739" s="70"/>
      <c r="H739" s="70"/>
    </row>
    <row r="740" spans="1:8" x14ac:dyDescent="0.2">
      <c r="A740" s="440" t="str">
        <f>IF(ISBLANK(Twilight!AG645),"|",CONCATENATE(Twilight!AG645,"|"))</f>
        <v>|</v>
      </c>
      <c r="E740" s="70"/>
      <c r="F740" s="70"/>
      <c r="G740" s="70"/>
      <c r="H740" s="70"/>
    </row>
    <row r="741" spans="1:8" x14ac:dyDescent="0.2">
      <c r="A741" s="440" t="str">
        <f>IF(ISBLANK(Twilight!AG646),"|",CONCATENATE(Twilight!AG646,"|"))</f>
        <v>|</v>
      </c>
      <c r="E741" s="70"/>
      <c r="F741" s="70"/>
      <c r="G741" s="70"/>
      <c r="H741" s="70"/>
    </row>
    <row r="742" spans="1:8" x14ac:dyDescent="0.2">
      <c r="A742" s="440" t="str">
        <f>IF(ISBLANK(Twilight!AG647),"|",CONCATENATE(Twilight!AG647,"|"))</f>
        <v>|</v>
      </c>
      <c r="E742" s="70"/>
      <c r="F742" s="70"/>
      <c r="G742" s="70"/>
      <c r="H742" s="70"/>
    </row>
    <row r="743" spans="1:8" x14ac:dyDescent="0.2">
      <c r="A743" s="440" t="str">
        <f>IF(ISBLANK(Twilight!AG648),"|",CONCATENATE(Twilight!AG648,"|"))</f>
        <v>|</v>
      </c>
      <c r="E743" s="70"/>
      <c r="F743" s="70"/>
      <c r="G743" s="70"/>
      <c r="H743" s="70"/>
    </row>
    <row r="744" spans="1:8" x14ac:dyDescent="0.2">
      <c r="A744" s="440" t="str">
        <f>IF(ISBLANK(Twilight!AG649),"|",CONCATENATE(Twilight!AG649,"|"))</f>
        <v>|</v>
      </c>
      <c r="E744" s="70"/>
      <c r="F744" s="70"/>
      <c r="G744" s="70"/>
      <c r="H744" s="70"/>
    </row>
    <row r="745" spans="1:8" x14ac:dyDescent="0.2">
      <c r="A745" s="440" t="str">
        <f>IF(ISBLANK(Twilight!AG650),"|",CONCATENATE(Twilight!AG650,"|"))</f>
        <v>|</v>
      </c>
      <c r="E745" s="70"/>
      <c r="F745" s="70"/>
      <c r="G745" s="70"/>
      <c r="H745" s="70"/>
    </row>
    <row r="746" spans="1:8" x14ac:dyDescent="0.2">
      <c r="A746" s="440" t="str">
        <f>IF(ISBLANK(Twilight!AG651),"|",CONCATENATE(Twilight!AG651,"|"))</f>
        <v>|</v>
      </c>
      <c r="E746" s="70"/>
      <c r="F746" s="70"/>
      <c r="G746" s="70"/>
      <c r="H746" s="70"/>
    </row>
    <row r="747" spans="1:8" x14ac:dyDescent="0.2">
      <c r="A747" s="440" t="str">
        <f>IF(ISBLANK(Twilight!AG652),"|",CONCATENATE(Twilight!AG652,"|"))</f>
        <v>|</v>
      </c>
      <c r="E747" s="70"/>
      <c r="F747" s="70"/>
      <c r="G747" s="70"/>
      <c r="H747" s="70"/>
    </row>
    <row r="748" spans="1:8" x14ac:dyDescent="0.2">
      <c r="A748" s="440" t="str">
        <f>IF(ISBLANK(Twilight!AG653),"|",CONCATENATE(Twilight!AG653,"|"))</f>
        <v>|</v>
      </c>
      <c r="E748" s="70"/>
      <c r="F748" s="70"/>
      <c r="G748" s="70"/>
      <c r="H748" s="70"/>
    </row>
    <row r="749" spans="1:8" x14ac:dyDescent="0.2">
      <c r="A749" s="440" t="str">
        <f>IF(ISBLANK(Twilight!AG654),"|",CONCATENATE(Twilight!AG654,"|"))</f>
        <v>|</v>
      </c>
      <c r="E749" s="70"/>
      <c r="F749" s="70"/>
      <c r="G749" s="70"/>
      <c r="H749" s="70"/>
    </row>
    <row r="750" spans="1:8" x14ac:dyDescent="0.2">
      <c r="A750" s="440" t="str">
        <f>IF(ISBLANK(Twilight!AG655),"|",CONCATENATE(Twilight!AG655,"|"))</f>
        <v>|</v>
      </c>
      <c r="E750" s="70"/>
      <c r="F750" s="70"/>
      <c r="G750" s="70"/>
      <c r="H750" s="70"/>
    </row>
    <row r="751" spans="1:8" x14ac:dyDescent="0.2">
      <c r="A751" s="440" t="str">
        <f>IF(ISBLANK(Twilight!AG656),"|",CONCATENATE(Twilight!AG656,"|"))</f>
        <v>|</v>
      </c>
      <c r="E751" s="70"/>
      <c r="F751" s="70"/>
      <c r="G751" s="70"/>
      <c r="H751" s="70"/>
    </row>
    <row r="752" spans="1:8" x14ac:dyDescent="0.2">
      <c r="A752" s="440" t="str">
        <f>IF(ISBLANK(Twilight!AG657),"|",CONCATENATE(Twilight!AG657,"|"))</f>
        <v>|</v>
      </c>
      <c r="E752" s="70"/>
      <c r="F752" s="70"/>
      <c r="G752" s="70"/>
      <c r="H752" s="70"/>
    </row>
    <row r="753" spans="1:8" x14ac:dyDescent="0.2">
      <c r="A753" s="440" t="str">
        <f>IF(ISBLANK(Twilight!AG658),"|",CONCATENATE(Twilight!AG658,"|"))</f>
        <v>|</v>
      </c>
      <c r="E753" s="70"/>
      <c r="F753" s="70"/>
      <c r="G753" s="70"/>
      <c r="H753" s="70"/>
    </row>
    <row r="754" spans="1:8" x14ac:dyDescent="0.2">
      <c r="A754" s="440" t="str">
        <f>IF(ISBLANK(Twilight!AG659),"|",CONCATENATE(Twilight!AG659,"|"))</f>
        <v>|</v>
      </c>
      <c r="E754" s="70"/>
      <c r="F754" s="70"/>
      <c r="G754" s="70"/>
      <c r="H754" s="70"/>
    </row>
    <row r="755" spans="1:8" x14ac:dyDescent="0.2">
      <c r="A755" s="440" t="str">
        <f>IF(ISBLANK(Twilight!AG660),"|",CONCATENATE(Twilight!AG660,"|"))</f>
        <v>|</v>
      </c>
      <c r="E755" s="70"/>
      <c r="F755" s="70"/>
      <c r="G755" s="70"/>
      <c r="H755" s="70"/>
    </row>
    <row r="756" spans="1:8" x14ac:dyDescent="0.2">
      <c r="A756" s="440" t="str">
        <f>IF(ISBLANK(Twilight!AG661),"|",CONCATENATE(Twilight!AG661,"|"))</f>
        <v>|</v>
      </c>
      <c r="E756" s="70"/>
      <c r="F756" s="70"/>
      <c r="G756" s="70"/>
      <c r="H756" s="70"/>
    </row>
    <row r="757" spans="1:8" x14ac:dyDescent="0.2">
      <c r="A757" s="440" t="str">
        <f>IF(ISBLANK(Twilight!AG662),"|",CONCATENATE(Twilight!AG662,"|"))</f>
        <v>|</v>
      </c>
      <c r="E757" s="70"/>
      <c r="F757" s="70"/>
      <c r="G757" s="70"/>
      <c r="H757" s="70"/>
    </row>
    <row r="758" spans="1:8" x14ac:dyDescent="0.2">
      <c r="A758" s="440" t="str">
        <f>IF(ISBLANK(Twilight!AG663),"|",CONCATENATE(Twilight!AG663,"|"))</f>
        <v>|</v>
      </c>
      <c r="E758" s="70"/>
      <c r="F758" s="70"/>
      <c r="G758" s="70"/>
      <c r="H758" s="70"/>
    </row>
    <row r="759" spans="1:8" x14ac:dyDescent="0.2">
      <c r="A759" s="440" t="str">
        <f>IF(ISBLANK(Twilight!AG664),"|",CONCATENATE(Twilight!AG664,"|"))</f>
        <v>|</v>
      </c>
      <c r="E759" s="70"/>
      <c r="F759" s="70"/>
      <c r="G759" s="70"/>
      <c r="H759" s="70"/>
    </row>
    <row r="760" spans="1:8" x14ac:dyDescent="0.2">
      <c r="A760" s="440" t="str">
        <f>IF(ISBLANK(Twilight!AG665),"|",CONCATENATE(Twilight!AG665,"|"))</f>
        <v>|</v>
      </c>
      <c r="E760" s="70"/>
      <c r="F760" s="70"/>
      <c r="G760" s="70"/>
      <c r="H760" s="70"/>
    </row>
    <row r="761" spans="1:8" x14ac:dyDescent="0.2">
      <c r="A761" s="440" t="str">
        <f>IF(ISBLANK(Twilight!AG666),"|",CONCATENATE(Twilight!AG666,"|"))</f>
        <v>|</v>
      </c>
      <c r="E761" s="70"/>
      <c r="F761" s="70"/>
      <c r="G761" s="70"/>
      <c r="H761" s="70"/>
    </row>
    <row r="762" spans="1:8" x14ac:dyDescent="0.2">
      <c r="A762" s="440" t="str">
        <f>IF(ISBLANK(Twilight!AG667),"|",CONCATENATE(Twilight!AG667,"|"))</f>
        <v>|</v>
      </c>
      <c r="E762" s="70"/>
      <c r="F762" s="70"/>
      <c r="G762" s="70"/>
      <c r="H762" s="70"/>
    </row>
    <row r="763" spans="1:8" x14ac:dyDescent="0.2">
      <c r="A763" s="440" t="str">
        <f>IF(ISBLANK(Twilight!AG668),"|",CONCATENATE(Twilight!AG668,"|"))</f>
        <v>|</v>
      </c>
      <c r="E763" s="70"/>
      <c r="F763" s="70"/>
      <c r="G763" s="70"/>
      <c r="H763" s="70"/>
    </row>
    <row r="764" spans="1:8" x14ac:dyDescent="0.2">
      <c r="A764" s="440" t="str">
        <f>IF(ISBLANK(Twilight!AG669),"|",CONCATENATE(Twilight!AG669,"|"))</f>
        <v>|</v>
      </c>
      <c r="E764" s="70"/>
      <c r="F764" s="70"/>
      <c r="G764" s="70"/>
      <c r="H764" s="70"/>
    </row>
    <row r="765" spans="1:8" x14ac:dyDescent="0.2">
      <c r="A765" s="440" t="str">
        <f>IF(ISBLANK(Twilight!AG670),"|",CONCATENATE(Twilight!AG670,"|"))</f>
        <v>|</v>
      </c>
      <c r="E765" s="70"/>
      <c r="F765" s="70"/>
      <c r="G765" s="70"/>
      <c r="H765" s="70"/>
    </row>
    <row r="766" spans="1:8" x14ac:dyDescent="0.2">
      <c r="A766" s="440" t="str">
        <f>IF(ISBLANK(Twilight!AG671),"|",CONCATENATE(Twilight!AG671,"|"))</f>
        <v>|</v>
      </c>
      <c r="E766" s="70"/>
      <c r="F766" s="70"/>
      <c r="G766" s="70"/>
      <c r="H766" s="70"/>
    </row>
    <row r="767" spans="1:8" x14ac:dyDescent="0.2">
      <c r="A767" s="440" t="str">
        <f>IF(ISBLANK(Twilight!AG672),"|",CONCATENATE(Twilight!AG672,"|"))</f>
        <v>|</v>
      </c>
      <c r="E767" s="70"/>
      <c r="F767" s="70"/>
      <c r="G767" s="70"/>
      <c r="H767" s="70"/>
    </row>
    <row r="768" spans="1:8" x14ac:dyDescent="0.2">
      <c r="A768" s="440" t="str">
        <f>IF(ISBLANK(Twilight!AG673),"|",CONCATENATE(Twilight!AG673,"|"))</f>
        <v>|</v>
      </c>
      <c r="E768" s="70"/>
      <c r="F768" s="70"/>
      <c r="G768" s="70"/>
      <c r="H768" s="70"/>
    </row>
    <row r="769" spans="1:8" x14ac:dyDescent="0.2">
      <c r="A769" s="440" t="str">
        <f>IF(ISBLANK(Twilight!AG674),"|",CONCATENATE(Twilight!AG674,"|"))</f>
        <v>|</v>
      </c>
      <c r="E769" s="70"/>
      <c r="F769" s="70"/>
      <c r="G769" s="70"/>
      <c r="H769" s="70"/>
    </row>
    <row r="770" spans="1:8" x14ac:dyDescent="0.2">
      <c r="A770" s="440" t="str">
        <f>IF(ISBLANK(Twilight!AG675),"|",CONCATENATE(Twilight!AG675,"|"))</f>
        <v>|</v>
      </c>
      <c r="E770" s="70"/>
      <c r="F770" s="70"/>
      <c r="G770" s="70"/>
      <c r="H770" s="70"/>
    </row>
    <row r="771" spans="1:8" x14ac:dyDescent="0.2">
      <c r="A771" s="440" t="str">
        <f>IF(ISBLANK(Twilight!AG676),"|",CONCATENATE(Twilight!AG676,"|"))</f>
        <v>|</v>
      </c>
      <c r="E771" s="70"/>
      <c r="F771" s="70"/>
      <c r="G771" s="70"/>
      <c r="H771" s="70"/>
    </row>
    <row r="772" spans="1:8" x14ac:dyDescent="0.2">
      <c r="A772" s="440" t="str">
        <f>IF(ISBLANK(Twilight!AG677),"|",CONCATENATE(Twilight!AG677,"|"))</f>
        <v>|</v>
      </c>
      <c r="E772" s="70"/>
      <c r="F772" s="70"/>
      <c r="G772" s="70"/>
      <c r="H772" s="70"/>
    </row>
    <row r="773" spans="1:8" x14ac:dyDescent="0.2">
      <c r="A773" s="440" t="str">
        <f>IF(ISBLANK(Twilight!AG678),"|",CONCATENATE(Twilight!AG678,"|"))</f>
        <v>|</v>
      </c>
      <c r="E773" s="70"/>
      <c r="F773" s="70"/>
      <c r="G773" s="70"/>
      <c r="H773" s="70"/>
    </row>
    <row r="774" spans="1:8" x14ac:dyDescent="0.2">
      <c r="A774" s="440" t="str">
        <f>IF(ISBLANK(Twilight!AG679),"|",CONCATENATE(Twilight!AG679,"|"))</f>
        <v>|</v>
      </c>
      <c r="E774" s="70"/>
      <c r="F774" s="70"/>
      <c r="G774" s="70"/>
      <c r="H774" s="70"/>
    </row>
    <row r="775" spans="1:8" x14ac:dyDescent="0.2">
      <c r="A775" s="440" t="str">
        <f>IF(ISBLANK(Twilight!AG680),"|",CONCATENATE(Twilight!AG680,"|"))</f>
        <v>|</v>
      </c>
      <c r="E775" s="70"/>
      <c r="F775" s="70"/>
      <c r="G775" s="70"/>
      <c r="H775" s="70"/>
    </row>
    <row r="776" spans="1:8" x14ac:dyDescent="0.2">
      <c r="A776" s="440" t="str">
        <f>IF(ISBLANK(Twilight!AG681),"|",CONCATENATE(Twilight!AG681,"|"))</f>
        <v>|</v>
      </c>
      <c r="E776" s="70"/>
      <c r="F776" s="70"/>
      <c r="G776" s="70"/>
      <c r="H776" s="70"/>
    </row>
    <row r="777" spans="1:8" x14ac:dyDescent="0.2">
      <c r="A777" s="440" t="str">
        <f>IF(ISBLANK(Twilight!AG682),"|",CONCATENATE(Twilight!AG682,"|"))</f>
        <v>|</v>
      </c>
      <c r="E777" s="70"/>
      <c r="F777" s="70"/>
      <c r="G777" s="70"/>
      <c r="H777" s="70"/>
    </row>
    <row r="778" spans="1:8" x14ac:dyDescent="0.2">
      <c r="A778" s="440" t="str">
        <f>IF(ISBLANK(Twilight!AG683),"|",CONCATENATE(Twilight!AG683,"|"))</f>
        <v>|</v>
      </c>
      <c r="E778" s="70"/>
      <c r="F778" s="70"/>
      <c r="G778" s="70"/>
      <c r="H778" s="70"/>
    </row>
    <row r="779" spans="1:8" x14ac:dyDescent="0.2">
      <c r="A779" s="440" t="str">
        <f>IF(ISBLANK(Twilight!AG684),"|",CONCATENATE(Twilight!AG684,"|"))</f>
        <v>|</v>
      </c>
      <c r="E779" s="70"/>
      <c r="F779" s="70"/>
      <c r="G779" s="70"/>
      <c r="H779" s="70"/>
    </row>
    <row r="780" spans="1:8" x14ac:dyDescent="0.2">
      <c r="A780" s="440" t="str">
        <f>IF(ISBLANK(Twilight!AG685),"|",CONCATENATE(Twilight!AG685,"|"))</f>
        <v>|</v>
      </c>
      <c r="E780" s="70"/>
      <c r="F780" s="70"/>
      <c r="G780" s="70"/>
      <c r="H780" s="70"/>
    </row>
    <row r="781" spans="1:8" x14ac:dyDescent="0.2">
      <c r="A781" s="440" t="str">
        <f>IF(ISBLANK(Twilight!AG686),"|",CONCATENATE(Twilight!AG686,"|"))</f>
        <v>|</v>
      </c>
      <c r="E781" s="70"/>
      <c r="F781" s="70"/>
      <c r="G781" s="70"/>
      <c r="H781" s="70"/>
    </row>
    <row r="782" spans="1:8" x14ac:dyDescent="0.2">
      <c r="A782" s="440" t="str">
        <f>IF(ISBLANK(Twilight!AG687),"|",CONCATENATE(Twilight!AG687,"|"))</f>
        <v>|</v>
      </c>
      <c r="E782" s="70"/>
      <c r="F782" s="70"/>
      <c r="G782" s="70"/>
      <c r="H782" s="70"/>
    </row>
    <row r="783" spans="1:8" x14ac:dyDescent="0.2">
      <c r="A783" s="440" t="str">
        <f>IF(ISBLANK(Twilight!AG688),"|",CONCATENATE(Twilight!AG688,"|"))</f>
        <v>|</v>
      </c>
      <c r="E783" s="70"/>
      <c r="F783" s="70"/>
      <c r="G783" s="70"/>
      <c r="H783" s="70"/>
    </row>
    <row r="784" spans="1:8" x14ac:dyDescent="0.2">
      <c r="A784" s="440" t="str">
        <f>IF(ISBLANK(Twilight!AG689),"|",CONCATENATE(Twilight!AG689,"|"))</f>
        <v>|</v>
      </c>
      <c r="E784" s="70"/>
      <c r="F784" s="70"/>
      <c r="G784" s="70"/>
      <c r="H784" s="70"/>
    </row>
    <row r="785" spans="1:8" x14ac:dyDescent="0.2">
      <c r="A785" s="440" t="str">
        <f>IF(ISBLANK(Twilight!AG690),"|",CONCATENATE(Twilight!AG690,"|"))</f>
        <v>|</v>
      </c>
      <c r="E785" s="70"/>
      <c r="F785" s="70"/>
      <c r="G785" s="70"/>
      <c r="H785" s="70"/>
    </row>
    <row r="786" spans="1:8" x14ac:dyDescent="0.2">
      <c r="A786" s="440" t="str">
        <f>IF(ISBLANK(Twilight!AG691),"|",CONCATENATE(Twilight!AG691,"|"))</f>
        <v>|</v>
      </c>
      <c r="E786" s="70"/>
      <c r="F786" s="70"/>
      <c r="G786" s="70"/>
      <c r="H786" s="70"/>
    </row>
    <row r="787" spans="1:8" x14ac:dyDescent="0.2">
      <c r="A787" s="440" t="str">
        <f>IF(ISBLANK(Twilight!AG692),"|",CONCATENATE(Twilight!AG692,"|"))</f>
        <v>|</v>
      </c>
      <c r="E787" s="70"/>
      <c r="F787" s="70"/>
      <c r="G787" s="70"/>
      <c r="H787" s="70"/>
    </row>
    <row r="788" spans="1:8" x14ac:dyDescent="0.2">
      <c r="A788" s="440" t="str">
        <f>IF(ISBLANK(Twilight!AG693),"|",CONCATENATE(Twilight!AG693,"|"))</f>
        <v>|</v>
      </c>
      <c r="E788" s="70"/>
      <c r="F788" s="70"/>
      <c r="G788" s="70"/>
      <c r="H788" s="70"/>
    </row>
    <row r="789" spans="1:8" x14ac:dyDescent="0.2">
      <c r="A789" s="440" t="str">
        <f>IF(ISBLANK(Twilight!AG694),"|",CONCATENATE(Twilight!AG694,"|"))</f>
        <v>|</v>
      </c>
      <c r="E789" s="70"/>
      <c r="F789" s="70"/>
      <c r="G789" s="70"/>
      <c r="H789" s="70"/>
    </row>
    <row r="790" spans="1:8" x14ac:dyDescent="0.2">
      <c r="A790" s="440" t="str">
        <f>IF(ISBLANK(Twilight!AG695),"|",CONCATENATE(Twilight!AG695,"|"))</f>
        <v>|</v>
      </c>
      <c r="E790" s="70"/>
      <c r="F790" s="70"/>
      <c r="G790" s="70"/>
      <c r="H790" s="70"/>
    </row>
    <row r="791" spans="1:8" x14ac:dyDescent="0.2">
      <c r="A791" s="440" t="str">
        <f>IF(ISBLANK(Twilight!AG696),"|",CONCATENATE(Twilight!AG696,"|"))</f>
        <v>|</v>
      </c>
      <c r="E791" s="70"/>
      <c r="F791" s="70"/>
      <c r="G791" s="70"/>
      <c r="H791" s="70"/>
    </row>
    <row r="792" spans="1:8" x14ac:dyDescent="0.2">
      <c r="A792" s="440" t="str">
        <f>IF(ISBLANK(Twilight!AG697),"|",CONCATENATE(Twilight!AG697,"|"))</f>
        <v>|</v>
      </c>
      <c r="E792" s="70"/>
      <c r="F792" s="70"/>
      <c r="G792" s="70"/>
      <c r="H792" s="70"/>
    </row>
    <row r="793" spans="1:8" x14ac:dyDescent="0.2">
      <c r="A793" s="440" t="str">
        <f>IF(ISBLANK(Twilight!AG698),"|",CONCATENATE(Twilight!AG698,"|"))</f>
        <v>|</v>
      </c>
      <c r="E793" s="70"/>
      <c r="F793" s="70"/>
      <c r="G793" s="70"/>
      <c r="H793" s="70"/>
    </row>
    <row r="794" spans="1:8" x14ac:dyDescent="0.2">
      <c r="A794" s="440" t="str">
        <f>IF(ISBLANK(Twilight!AG699),"|",CONCATENATE(Twilight!AG699,"|"))</f>
        <v>|</v>
      </c>
      <c r="E794" s="70"/>
      <c r="F794" s="70"/>
      <c r="G794" s="70"/>
      <c r="H794" s="70"/>
    </row>
    <row r="795" spans="1:8" x14ac:dyDescent="0.2">
      <c r="A795" s="440" t="str">
        <f>IF(ISBLANK(Twilight!AG700),"|",CONCATENATE(Twilight!AG700,"|"))</f>
        <v>|</v>
      </c>
      <c r="E795" s="70"/>
      <c r="F795" s="70"/>
      <c r="G795" s="70"/>
      <c r="H795" s="70"/>
    </row>
    <row r="796" spans="1:8" x14ac:dyDescent="0.2">
      <c r="A796" s="440" t="str">
        <f>IF(ISBLANK(Twilight!AG701),"|",CONCATENATE(Twilight!AG701,"|"))</f>
        <v>|</v>
      </c>
      <c r="E796" s="70"/>
      <c r="F796" s="70"/>
      <c r="G796" s="70"/>
      <c r="H796" s="70"/>
    </row>
    <row r="797" spans="1:8" x14ac:dyDescent="0.2">
      <c r="A797" s="440" t="str">
        <f>IF(ISBLANK(Twilight!AG702),"|",CONCATENATE(Twilight!AG702,"|"))</f>
        <v>|</v>
      </c>
      <c r="E797" s="70"/>
      <c r="F797" s="70"/>
      <c r="G797" s="70"/>
      <c r="H797" s="70"/>
    </row>
    <row r="798" spans="1:8" x14ac:dyDescent="0.2">
      <c r="A798" s="440" t="str">
        <f>IF(ISBLANK(Twilight!AG703),"|",CONCATENATE(Twilight!AG703,"|"))</f>
        <v>|</v>
      </c>
      <c r="E798" s="70"/>
      <c r="F798" s="70"/>
      <c r="G798" s="70"/>
      <c r="H798" s="70"/>
    </row>
    <row r="799" spans="1:8" x14ac:dyDescent="0.2">
      <c r="A799" s="440" t="str">
        <f>IF(ISBLANK(Twilight!AG704),"|",CONCATENATE(Twilight!AG704,"|"))</f>
        <v>|</v>
      </c>
      <c r="E799" s="70"/>
      <c r="F799" s="70"/>
      <c r="G799" s="70"/>
      <c r="H799" s="70"/>
    </row>
    <row r="800" spans="1:8" x14ac:dyDescent="0.2">
      <c r="A800" s="440" t="str">
        <f>IF(ISBLANK(Twilight!AG705),"|",CONCATENATE(Twilight!AG705,"|"))</f>
        <v>|</v>
      </c>
      <c r="E800" s="70"/>
      <c r="F800" s="70"/>
      <c r="G800" s="70"/>
      <c r="H800" s="70"/>
    </row>
    <row r="801" spans="1:8" x14ac:dyDescent="0.2">
      <c r="A801" s="440" t="str">
        <f>IF(ISBLANK(Twilight!AG706),"|",CONCATENATE(Twilight!AG706,"|"))</f>
        <v>|</v>
      </c>
      <c r="E801" s="70"/>
      <c r="F801" s="70"/>
      <c r="G801" s="70"/>
      <c r="H801" s="70"/>
    </row>
    <row r="802" spans="1:8" x14ac:dyDescent="0.2">
      <c r="A802" s="440" t="str">
        <f>IF(ISBLANK(Twilight!AG707),"|",CONCATENATE(Twilight!AG707,"|"))</f>
        <v>|</v>
      </c>
      <c r="E802" s="70"/>
      <c r="F802" s="70"/>
      <c r="G802" s="70"/>
      <c r="H802" s="70"/>
    </row>
    <row r="803" spans="1:8" x14ac:dyDescent="0.2">
      <c r="A803" s="440" t="str">
        <f>IF(ISBLANK(Twilight!AG708),"|",CONCATENATE(Twilight!AG708,"|"))</f>
        <v>|</v>
      </c>
      <c r="E803" s="70"/>
      <c r="F803" s="70"/>
      <c r="G803" s="70"/>
      <c r="H803" s="70"/>
    </row>
    <row r="804" spans="1:8" x14ac:dyDescent="0.2">
      <c r="A804" s="440" t="str">
        <f>IF(ISBLANK(Twilight!AG709),"|",CONCATENATE(Twilight!AG709,"|"))</f>
        <v>|</v>
      </c>
      <c r="E804" s="70"/>
      <c r="F804" s="70"/>
      <c r="G804" s="70"/>
      <c r="H804" s="70"/>
    </row>
    <row r="805" spans="1:8" x14ac:dyDescent="0.2">
      <c r="A805" s="440" t="str">
        <f>IF(ISBLANK(Twilight!AG710),"|",CONCATENATE(Twilight!AG710,"|"))</f>
        <v>|</v>
      </c>
      <c r="E805" s="70"/>
      <c r="F805" s="70"/>
      <c r="G805" s="70"/>
      <c r="H805" s="70"/>
    </row>
    <row r="806" spans="1:8" x14ac:dyDescent="0.2">
      <c r="A806" s="440" t="str">
        <f>IF(ISBLANK(Twilight!AG711),"|",CONCATENATE(Twilight!AG711,"|"))</f>
        <v>|</v>
      </c>
      <c r="E806" s="70"/>
      <c r="F806" s="70"/>
      <c r="G806" s="70"/>
      <c r="H806" s="70"/>
    </row>
    <row r="807" spans="1:8" x14ac:dyDescent="0.2">
      <c r="A807" s="440" t="str">
        <f>IF(ISBLANK(Twilight!AG712),"|",CONCATENATE(Twilight!AG712,"|"))</f>
        <v>|</v>
      </c>
      <c r="E807" s="70"/>
      <c r="F807" s="70"/>
      <c r="G807" s="70"/>
      <c r="H807" s="70"/>
    </row>
    <row r="808" spans="1:8" x14ac:dyDescent="0.2">
      <c r="A808" s="440" t="str">
        <f>IF(ISBLANK(Twilight!AG713),"|",CONCATENATE(Twilight!AG713,"|"))</f>
        <v>|</v>
      </c>
      <c r="E808" s="70"/>
      <c r="F808" s="70"/>
      <c r="G808" s="70"/>
      <c r="H808" s="70"/>
    </row>
    <row r="809" spans="1:8" x14ac:dyDescent="0.2">
      <c r="A809" s="440" t="str">
        <f>IF(ISBLANK(Twilight!AG714),"|",CONCATENATE(Twilight!AG714,"|"))</f>
        <v>|</v>
      </c>
      <c r="E809" s="70"/>
      <c r="F809" s="70"/>
      <c r="G809" s="70"/>
      <c r="H809" s="70"/>
    </row>
    <row r="810" spans="1:8" x14ac:dyDescent="0.2">
      <c r="A810" s="440" t="str">
        <f>IF(ISBLANK(Twilight!AG715),"|",CONCATENATE(Twilight!AG715,"|"))</f>
        <v>|</v>
      </c>
      <c r="E810" s="70"/>
      <c r="F810" s="70"/>
      <c r="G810" s="70"/>
      <c r="H810" s="70"/>
    </row>
    <row r="811" spans="1:8" x14ac:dyDescent="0.2">
      <c r="A811" s="440" t="str">
        <f>IF(ISBLANK(Twilight!AG716),"|",CONCATENATE(Twilight!AG716,"|"))</f>
        <v>|</v>
      </c>
      <c r="E811" s="70"/>
      <c r="F811" s="70"/>
      <c r="G811" s="70"/>
      <c r="H811" s="70"/>
    </row>
    <row r="812" spans="1:8" x14ac:dyDescent="0.2">
      <c r="A812" s="440" t="str">
        <f>IF(ISBLANK(Twilight!AG717),"|",CONCATENATE(Twilight!AG717,"|"))</f>
        <v>|</v>
      </c>
      <c r="E812" s="70"/>
      <c r="F812" s="70"/>
      <c r="G812" s="70"/>
      <c r="H812" s="70"/>
    </row>
    <row r="813" spans="1:8" x14ac:dyDescent="0.2">
      <c r="A813" s="440" t="str">
        <f>IF(ISBLANK(Twilight!AG718),"|",CONCATENATE(Twilight!AG718,"|"))</f>
        <v>|</v>
      </c>
      <c r="E813" s="70"/>
      <c r="F813" s="70"/>
      <c r="G813" s="70"/>
      <c r="H813" s="70"/>
    </row>
    <row r="814" spans="1:8" x14ac:dyDescent="0.2">
      <c r="A814" s="440" t="str">
        <f>IF(ISBLANK(Twilight!AG719),"|",CONCATENATE(Twilight!AG719,"|"))</f>
        <v>|</v>
      </c>
      <c r="E814" s="70"/>
      <c r="F814" s="70"/>
      <c r="G814" s="70"/>
      <c r="H814" s="70"/>
    </row>
    <row r="815" spans="1:8" x14ac:dyDescent="0.2">
      <c r="A815" s="440" t="str">
        <f>IF(ISBLANK(Twilight!AG720),"|",CONCATENATE(Twilight!AG720,"|"))</f>
        <v>|</v>
      </c>
      <c r="E815" s="70"/>
      <c r="F815" s="70"/>
      <c r="G815" s="70"/>
      <c r="H815" s="70"/>
    </row>
    <row r="816" spans="1:8" x14ac:dyDescent="0.2">
      <c r="A816" s="440" t="str">
        <f>IF(ISBLANK(Twilight!AG721),"|",CONCATENATE(Twilight!AG721,"|"))</f>
        <v>|</v>
      </c>
      <c r="E816" s="70"/>
      <c r="F816" s="70"/>
      <c r="G816" s="70"/>
      <c r="H816" s="70"/>
    </row>
    <row r="817" spans="1:8" x14ac:dyDescent="0.2">
      <c r="A817" s="440" t="str">
        <f>IF(ISBLANK(Twilight!AG722),"|",CONCATENATE(Twilight!AG722,"|"))</f>
        <v>|</v>
      </c>
      <c r="E817" s="70"/>
      <c r="F817" s="70"/>
      <c r="G817" s="70"/>
      <c r="H817" s="70"/>
    </row>
    <row r="818" spans="1:8" x14ac:dyDescent="0.2">
      <c r="A818" s="440" t="str">
        <f>IF(ISBLANK(Twilight!AG723),"|",CONCATENATE(Twilight!AG723,"|"))</f>
        <v>|</v>
      </c>
      <c r="E818" s="70"/>
      <c r="F818" s="70"/>
      <c r="G818" s="70"/>
      <c r="H818" s="70"/>
    </row>
    <row r="819" spans="1:8" x14ac:dyDescent="0.2">
      <c r="A819" s="440" t="str">
        <f>IF(ISBLANK(Twilight!AG724),"|",CONCATENATE(Twilight!AG724,"|"))</f>
        <v>|</v>
      </c>
      <c r="E819" s="70"/>
      <c r="F819" s="70"/>
      <c r="G819" s="70"/>
      <c r="H819" s="70"/>
    </row>
    <row r="820" spans="1:8" x14ac:dyDescent="0.2">
      <c r="A820" s="440" t="str">
        <f>IF(ISBLANK(Twilight!AG725),"|",CONCATENATE(Twilight!AG725,"|"))</f>
        <v>|</v>
      </c>
      <c r="E820" s="70"/>
      <c r="F820" s="70"/>
      <c r="G820" s="70"/>
      <c r="H820" s="70"/>
    </row>
    <row r="821" spans="1:8" x14ac:dyDescent="0.2">
      <c r="A821" s="440" t="str">
        <f>IF(ISBLANK(Twilight!AG726),"|",CONCATENATE(Twilight!AG726,"|"))</f>
        <v>|</v>
      </c>
      <c r="E821" s="70"/>
      <c r="F821" s="70"/>
      <c r="G821" s="70"/>
      <c r="H821" s="70"/>
    </row>
    <row r="822" spans="1:8" x14ac:dyDescent="0.2">
      <c r="A822" s="440" t="str">
        <f>IF(ISBLANK(Twilight!AG727),"|",CONCATENATE(Twilight!AG727,"|"))</f>
        <v>|</v>
      </c>
      <c r="E822" s="70"/>
      <c r="F822" s="70"/>
      <c r="G822" s="70"/>
      <c r="H822" s="70"/>
    </row>
    <row r="823" spans="1:8" x14ac:dyDescent="0.2">
      <c r="A823" s="440" t="str">
        <f>IF(ISBLANK(Twilight!AG728),"|",CONCATENATE(Twilight!AG728,"|"))</f>
        <v>|</v>
      </c>
      <c r="E823" s="70"/>
      <c r="F823" s="70"/>
      <c r="G823" s="70"/>
      <c r="H823" s="70"/>
    </row>
    <row r="824" spans="1:8" x14ac:dyDescent="0.2">
      <c r="A824" s="440" t="str">
        <f>IF(ISBLANK(Twilight!AG729),"|",CONCATENATE(Twilight!AG729,"|"))</f>
        <v>|</v>
      </c>
      <c r="E824" s="70"/>
      <c r="F824" s="70"/>
      <c r="G824" s="70"/>
      <c r="H824" s="70"/>
    </row>
    <row r="825" spans="1:8" x14ac:dyDescent="0.2">
      <c r="A825" s="440" t="str">
        <f>IF(ISBLANK(Twilight!AG730),"|",CONCATENATE(Twilight!AG730,"|"))</f>
        <v>|</v>
      </c>
      <c r="E825" s="70"/>
      <c r="F825" s="70"/>
      <c r="G825" s="70"/>
      <c r="H825" s="70"/>
    </row>
    <row r="826" spans="1:8" x14ac:dyDescent="0.2">
      <c r="A826" s="440" t="str">
        <f>IF(ISBLANK(Twilight!AG731),"|",CONCATENATE(Twilight!AG731,"|"))</f>
        <v>|</v>
      </c>
      <c r="E826" s="70"/>
      <c r="F826" s="70"/>
      <c r="G826" s="70"/>
      <c r="H826" s="70"/>
    </row>
    <row r="827" spans="1:8" x14ac:dyDescent="0.2">
      <c r="A827" s="440" t="str">
        <f>IF(ISBLANK(Twilight!AG732),"|",CONCATENATE(Twilight!AG732,"|"))</f>
        <v>|</v>
      </c>
      <c r="E827" s="70"/>
      <c r="F827" s="70"/>
      <c r="G827" s="70"/>
      <c r="H827" s="70"/>
    </row>
    <row r="828" spans="1:8" x14ac:dyDescent="0.2">
      <c r="A828" s="440" t="str">
        <f>IF(ISBLANK(Twilight!AG733),"|",CONCATENATE(Twilight!AG733,"|"))</f>
        <v>|</v>
      </c>
      <c r="E828" s="70"/>
      <c r="F828" s="70"/>
      <c r="G828" s="70"/>
      <c r="H828" s="70"/>
    </row>
    <row r="829" spans="1:8" x14ac:dyDescent="0.2">
      <c r="A829" s="440" t="str">
        <f>IF(ISBLANK(Twilight!AG734),"|",CONCATENATE(Twilight!AG734,"|"))</f>
        <v>|</v>
      </c>
      <c r="E829" s="70"/>
      <c r="F829" s="70"/>
      <c r="G829" s="70"/>
      <c r="H829" s="70"/>
    </row>
    <row r="830" spans="1:8" x14ac:dyDescent="0.2">
      <c r="A830" s="440" t="str">
        <f>IF(ISBLANK(Twilight!AG735),"|",CONCATENATE(Twilight!AG735,"|"))</f>
        <v>|</v>
      </c>
      <c r="E830" s="70"/>
      <c r="F830" s="70"/>
      <c r="G830" s="70"/>
      <c r="H830" s="70"/>
    </row>
    <row r="831" spans="1:8" x14ac:dyDescent="0.2">
      <c r="A831" s="440" t="str">
        <f>IF(ISBLANK(Twilight!AG736),"|",CONCATENATE(Twilight!AG736,"|"))</f>
        <v>|</v>
      </c>
      <c r="E831" s="70"/>
      <c r="F831" s="70"/>
      <c r="G831" s="70"/>
      <c r="H831" s="70"/>
    </row>
    <row r="832" spans="1:8" x14ac:dyDescent="0.2">
      <c r="A832" s="440" t="str">
        <f>IF(ISBLANK(Twilight!AG737),"|",CONCATENATE(Twilight!AG737,"|"))</f>
        <v>|</v>
      </c>
      <c r="E832" s="70"/>
      <c r="F832" s="70"/>
      <c r="G832" s="70"/>
      <c r="H832" s="70"/>
    </row>
    <row r="833" spans="1:8" x14ac:dyDescent="0.2">
      <c r="A833" s="440" t="str">
        <f>IF(ISBLANK(Twilight!AG738),"|",CONCATENATE(Twilight!AG738,"|"))</f>
        <v>|</v>
      </c>
      <c r="E833" s="70"/>
      <c r="F833" s="70"/>
      <c r="G833" s="70"/>
      <c r="H833" s="70"/>
    </row>
    <row r="834" spans="1:8" x14ac:dyDescent="0.2">
      <c r="A834" s="440" t="str">
        <f>IF(ISBLANK(Twilight!AG739),"|",CONCATENATE(Twilight!AG739,"|"))</f>
        <v>|</v>
      </c>
      <c r="E834" s="70"/>
      <c r="F834" s="70"/>
      <c r="G834" s="70"/>
      <c r="H834" s="70"/>
    </row>
    <row r="835" spans="1:8" x14ac:dyDescent="0.2">
      <c r="A835" s="440" t="str">
        <f>IF(ISBLANK(Twilight!AG740),"|",CONCATENATE(Twilight!AG740,"|"))</f>
        <v>|</v>
      </c>
      <c r="E835" s="70"/>
      <c r="F835" s="70"/>
      <c r="G835" s="70"/>
      <c r="H835" s="70"/>
    </row>
    <row r="836" spans="1:8" x14ac:dyDescent="0.2">
      <c r="A836" s="440" t="str">
        <f>IF(ISBLANK(Twilight!AG741),"|",CONCATENATE(Twilight!AG741,"|"))</f>
        <v>|</v>
      </c>
      <c r="E836" s="70"/>
      <c r="F836" s="70"/>
      <c r="G836" s="70"/>
      <c r="H836" s="70"/>
    </row>
    <row r="837" spans="1:8" x14ac:dyDescent="0.2">
      <c r="A837" s="440" t="str">
        <f>IF(ISBLANK(Twilight!AG742),"|",CONCATENATE(Twilight!AG742,"|"))</f>
        <v>|</v>
      </c>
      <c r="E837" s="70"/>
      <c r="F837" s="70"/>
      <c r="G837" s="70"/>
      <c r="H837" s="70"/>
    </row>
    <row r="838" spans="1:8" x14ac:dyDescent="0.2">
      <c r="A838" s="440" t="str">
        <f>IF(ISBLANK(Twilight!AG743),"|",CONCATENATE(Twilight!AG743,"|"))</f>
        <v>|</v>
      </c>
      <c r="E838" s="70"/>
      <c r="F838" s="70"/>
      <c r="G838" s="70"/>
      <c r="H838" s="70"/>
    </row>
    <row r="839" spans="1:8" x14ac:dyDescent="0.2">
      <c r="A839" s="440" t="str">
        <f>IF(ISBLANK(Twilight!AG744),"|",CONCATENATE(Twilight!AG744,"|"))</f>
        <v>|</v>
      </c>
      <c r="E839" s="70"/>
      <c r="F839" s="70"/>
      <c r="G839" s="70"/>
      <c r="H839" s="70"/>
    </row>
    <row r="840" spans="1:8" x14ac:dyDescent="0.2">
      <c r="A840" s="440" t="str">
        <f>IF(ISBLANK(Twilight!AG745),"|",CONCATENATE(Twilight!AG745,"|"))</f>
        <v>|</v>
      </c>
      <c r="E840" s="70"/>
      <c r="F840" s="70"/>
      <c r="G840" s="70"/>
      <c r="H840" s="70"/>
    </row>
    <row r="841" spans="1:8" x14ac:dyDescent="0.2">
      <c r="A841" s="440" t="str">
        <f>IF(ISBLANK(Twilight!AG746),"|",CONCATENATE(Twilight!AG746,"|"))</f>
        <v>|</v>
      </c>
      <c r="E841" s="70"/>
      <c r="F841" s="70"/>
      <c r="G841" s="70"/>
      <c r="H841" s="70"/>
    </row>
    <row r="842" spans="1:8" x14ac:dyDescent="0.2">
      <c r="A842" s="440" t="str">
        <f>IF(ISBLANK(Twilight!AG747),"|",CONCATENATE(Twilight!AG747,"|"))</f>
        <v>|</v>
      </c>
      <c r="E842" s="70"/>
      <c r="F842" s="70"/>
      <c r="G842" s="70"/>
      <c r="H842" s="70"/>
    </row>
    <row r="843" spans="1:8" x14ac:dyDescent="0.2">
      <c r="A843" s="440" t="str">
        <f>IF(ISBLANK(Twilight!AG748),"|",CONCATENATE(Twilight!AG748,"|"))</f>
        <v>|</v>
      </c>
      <c r="E843" s="70"/>
      <c r="F843" s="70"/>
      <c r="G843" s="70"/>
      <c r="H843" s="70"/>
    </row>
    <row r="844" spans="1:8" x14ac:dyDescent="0.2">
      <c r="A844" s="440" t="str">
        <f>IF(ISBLANK(Twilight!AG749),"|",CONCATENATE(Twilight!AG749,"|"))</f>
        <v>|</v>
      </c>
      <c r="E844" s="70"/>
      <c r="F844" s="70"/>
      <c r="G844" s="70"/>
      <c r="H844" s="70"/>
    </row>
    <row r="845" spans="1:8" x14ac:dyDescent="0.2">
      <c r="A845" s="440" t="str">
        <f>IF(ISBLANK(Twilight!AG750),"|",CONCATENATE(Twilight!AG750,"|"))</f>
        <v>|</v>
      </c>
      <c r="E845" s="70"/>
      <c r="F845" s="70"/>
      <c r="G845" s="70"/>
      <c r="H845" s="70"/>
    </row>
    <row r="846" spans="1:8" x14ac:dyDescent="0.2">
      <c r="A846" s="440" t="str">
        <f>IF(ISBLANK(Twilight!AG751),"|",CONCATENATE(Twilight!AG751,"|"))</f>
        <v>|</v>
      </c>
      <c r="E846" s="70"/>
      <c r="F846" s="70"/>
      <c r="G846" s="70"/>
      <c r="H846" s="70"/>
    </row>
    <row r="847" spans="1:8" x14ac:dyDescent="0.2">
      <c r="A847" s="440" t="str">
        <f>IF(ISBLANK(Twilight!AG752),"|",CONCATENATE(Twilight!AG752,"|"))</f>
        <v>|</v>
      </c>
      <c r="E847" s="70"/>
      <c r="F847" s="70"/>
      <c r="G847" s="70"/>
      <c r="H847" s="70"/>
    </row>
    <row r="848" spans="1:8" x14ac:dyDescent="0.2">
      <c r="A848" s="440" t="str">
        <f>IF(ISBLANK(Twilight!AG753),"|",CONCATENATE(Twilight!AG753,"|"))</f>
        <v>|</v>
      </c>
      <c r="E848" s="70"/>
      <c r="F848" s="70"/>
      <c r="G848" s="70"/>
      <c r="H848" s="70"/>
    </row>
    <row r="849" spans="1:8" x14ac:dyDescent="0.2">
      <c r="A849" s="440" t="str">
        <f>IF(ISBLANK(Twilight!AG754),"|",CONCATENATE(Twilight!AG754,"|"))</f>
        <v>|</v>
      </c>
      <c r="E849" s="70"/>
      <c r="F849" s="70"/>
      <c r="G849" s="70"/>
      <c r="H849" s="70"/>
    </row>
    <row r="850" spans="1:8" x14ac:dyDescent="0.2">
      <c r="A850" s="440" t="str">
        <f>IF(ISBLANK(Twilight!AG755),"|",CONCATENATE(Twilight!AG755,"|"))</f>
        <v>|</v>
      </c>
      <c r="E850" s="70"/>
      <c r="F850" s="70"/>
      <c r="G850" s="70"/>
      <c r="H850" s="70"/>
    </row>
    <row r="851" spans="1:8" x14ac:dyDescent="0.2">
      <c r="A851" s="440" t="str">
        <f>IF(ISBLANK(Twilight!AG756),"|",CONCATENATE(Twilight!AG756,"|"))</f>
        <v>|</v>
      </c>
      <c r="E851" s="70"/>
      <c r="F851" s="70"/>
      <c r="G851" s="70"/>
      <c r="H851" s="70"/>
    </row>
    <row r="852" spans="1:8" x14ac:dyDescent="0.2">
      <c r="A852" s="440" t="str">
        <f>IF(ISBLANK(Twilight!AG757),"|",CONCATENATE(Twilight!AG757,"|"))</f>
        <v>|</v>
      </c>
      <c r="E852" s="70"/>
      <c r="F852" s="70"/>
      <c r="G852" s="70"/>
      <c r="H852" s="70"/>
    </row>
    <row r="853" spans="1:8" x14ac:dyDescent="0.2">
      <c r="A853" s="440" t="str">
        <f>IF(ISBLANK(Twilight!AG758),"|",CONCATENATE(Twilight!AG758,"|"))</f>
        <v>|</v>
      </c>
      <c r="E853" s="70"/>
      <c r="F853" s="70"/>
      <c r="G853" s="70"/>
      <c r="H853" s="70"/>
    </row>
    <row r="854" spans="1:8" x14ac:dyDescent="0.2">
      <c r="A854" s="440" t="str">
        <f>IF(ISBLANK(Twilight!AG759),"|",CONCATENATE(Twilight!AG759,"|"))</f>
        <v>|</v>
      </c>
      <c r="E854" s="70"/>
      <c r="F854" s="70"/>
      <c r="G854" s="70"/>
      <c r="H854" s="70"/>
    </row>
    <row r="855" spans="1:8" x14ac:dyDescent="0.2">
      <c r="A855" s="440" t="str">
        <f>IF(ISBLANK(Twilight!AG760),"|",CONCATENATE(Twilight!AG760,"|"))</f>
        <v>|</v>
      </c>
      <c r="E855" s="70"/>
      <c r="F855" s="70"/>
      <c r="G855" s="70"/>
      <c r="H855" s="70"/>
    </row>
    <row r="856" spans="1:8" x14ac:dyDescent="0.2">
      <c r="A856" s="440" t="str">
        <f>IF(ISBLANK(Twilight!AG761),"|",CONCATENATE(Twilight!AG761,"|"))</f>
        <v>|</v>
      </c>
      <c r="E856" s="70"/>
      <c r="F856" s="70"/>
      <c r="G856" s="70"/>
      <c r="H856" s="70"/>
    </row>
    <row r="857" spans="1:8" x14ac:dyDescent="0.2">
      <c r="A857" s="440" t="str">
        <f>IF(ISBLANK(Twilight!AG762),"|",CONCATENATE(Twilight!AG762,"|"))</f>
        <v>|</v>
      </c>
      <c r="E857" s="70"/>
      <c r="F857" s="70"/>
      <c r="G857" s="70"/>
      <c r="H857" s="70"/>
    </row>
    <row r="858" spans="1:8" x14ac:dyDescent="0.2">
      <c r="A858" s="440" t="str">
        <f>IF(ISBLANK(Twilight!AG763),"|",CONCATENATE(Twilight!AG763,"|"))</f>
        <v>|</v>
      </c>
      <c r="E858" s="70"/>
      <c r="F858" s="70"/>
      <c r="G858" s="70"/>
      <c r="H858" s="70"/>
    </row>
    <row r="859" spans="1:8" x14ac:dyDescent="0.2">
      <c r="A859" s="440" t="str">
        <f>IF(ISBLANK(Twilight!AG764),"|",CONCATENATE(Twilight!AG764,"|"))</f>
        <v>|</v>
      </c>
      <c r="E859" s="70"/>
      <c r="F859" s="70"/>
      <c r="G859" s="70"/>
      <c r="H859" s="70"/>
    </row>
    <row r="860" spans="1:8" x14ac:dyDescent="0.2">
      <c r="A860" s="440" t="str">
        <f>IF(ISBLANK(Twilight!AG765),"|",CONCATENATE(Twilight!AG765,"|"))</f>
        <v>|</v>
      </c>
      <c r="E860" s="70"/>
      <c r="F860" s="70"/>
      <c r="G860" s="70"/>
      <c r="H860" s="70"/>
    </row>
    <row r="861" spans="1:8" x14ac:dyDescent="0.2">
      <c r="A861" s="440" t="str">
        <f>IF(ISBLANK(Twilight!AG766),"|",CONCATENATE(Twilight!AG766,"|"))</f>
        <v>|</v>
      </c>
      <c r="E861" s="70"/>
      <c r="F861" s="70"/>
      <c r="G861" s="70"/>
      <c r="H861" s="70"/>
    </row>
    <row r="862" spans="1:8" x14ac:dyDescent="0.2">
      <c r="A862" s="440" t="str">
        <f>IF(ISBLANK(Twilight!AG767),"|",CONCATENATE(Twilight!AG767,"|"))</f>
        <v>|</v>
      </c>
      <c r="E862" s="70"/>
      <c r="F862" s="70"/>
      <c r="G862" s="70"/>
      <c r="H862" s="70"/>
    </row>
    <row r="863" spans="1:8" x14ac:dyDescent="0.2">
      <c r="A863" s="440" t="str">
        <f>IF(ISBLANK(Twilight!AG768),"|",CONCATENATE(Twilight!AG768,"|"))</f>
        <v>|</v>
      </c>
      <c r="E863" s="70"/>
      <c r="F863" s="70"/>
      <c r="G863" s="70"/>
      <c r="H863" s="70"/>
    </row>
    <row r="864" spans="1:8" x14ac:dyDescent="0.2">
      <c r="A864" s="440" t="str">
        <f>IF(ISBLANK(Twilight!AG769),"|",CONCATENATE(Twilight!AG769,"|"))</f>
        <v>|</v>
      </c>
      <c r="E864" s="70"/>
      <c r="F864" s="70"/>
      <c r="G864" s="70"/>
      <c r="H864" s="70"/>
    </row>
    <row r="865" spans="1:8" x14ac:dyDescent="0.2">
      <c r="A865" s="440" t="str">
        <f>IF(ISBLANK(Twilight!AG770),"|",CONCATENATE(Twilight!AG770,"|"))</f>
        <v>|</v>
      </c>
      <c r="E865" s="70"/>
      <c r="F865" s="70"/>
      <c r="G865" s="70"/>
      <c r="H865" s="70"/>
    </row>
    <row r="866" spans="1:8" x14ac:dyDescent="0.2">
      <c r="A866" s="440" t="str">
        <f>IF(ISBLANK(Twilight!AG771),"|",CONCATENATE(Twilight!AG771,"|"))</f>
        <v>|</v>
      </c>
      <c r="E866" s="70"/>
      <c r="F866" s="70"/>
      <c r="G866" s="70"/>
      <c r="H866" s="70"/>
    </row>
    <row r="867" spans="1:8" x14ac:dyDescent="0.2">
      <c r="A867" s="440" t="str">
        <f>IF(ISBLANK(Twilight!AG772),"|",CONCATENATE(Twilight!AG772,"|"))</f>
        <v>|</v>
      </c>
      <c r="E867" s="70"/>
      <c r="F867" s="70"/>
      <c r="G867" s="70"/>
      <c r="H867" s="70"/>
    </row>
    <row r="868" spans="1:8" x14ac:dyDescent="0.2">
      <c r="A868" s="440" t="str">
        <f>IF(ISBLANK(Twilight!AG773),"|",CONCATENATE(Twilight!AG773,"|"))</f>
        <v>|</v>
      </c>
      <c r="E868" s="70"/>
      <c r="F868" s="70"/>
      <c r="G868" s="70"/>
      <c r="H868" s="70"/>
    </row>
    <row r="869" spans="1:8" x14ac:dyDescent="0.2">
      <c r="A869" s="440" t="str">
        <f>IF(ISBLANK(Twilight!AG774),"|",CONCATENATE(Twilight!AG774,"|"))</f>
        <v>|</v>
      </c>
      <c r="E869" s="70"/>
      <c r="F869" s="70"/>
      <c r="G869" s="70"/>
      <c r="H869" s="70"/>
    </row>
    <row r="870" spans="1:8" x14ac:dyDescent="0.2">
      <c r="A870" s="440" t="str">
        <f>IF(ISBLANK(Twilight!AG775),"|",CONCATENATE(Twilight!AG775,"|"))</f>
        <v>|</v>
      </c>
      <c r="E870" s="70"/>
      <c r="F870" s="70"/>
      <c r="G870" s="70"/>
      <c r="H870" s="70"/>
    </row>
    <row r="871" spans="1:8" x14ac:dyDescent="0.2">
      <c r="A871" s="440" t="str">
        <f>IF(ISBLANK(Twilight!AG776),"|",CONCATENATE(Twilight!AG776,"|"))</f>
        <v>|</v>
      </c>
      <c r="E871" s="70"/>
      <c r="F871" s="70"/>
      <c r="G871" s="70"/>
      <c r="H871" s="70"/>
    </row>
    <row r="872" spans="1:8" x14ac:dyDescent="0.2">
      <c r="A872" s="440" t="str">
        <f>IF(ISBLANK(Twilight!AG777),"|",CONCATENATE(Twilight!AG777,"|"))</f>
        <v>|</v>
      </c>
      <c r="E872" s="70"/>
      <c r="F872" s="70"/>
      <c r="G872" s="70"/>
      <c r="H872" s="70"/>
    </row>
    <row r="873" spans="1:8" x14ac:dyDescent="0.2">
      <c r="A873" s="440" t="str">
        <f>IF(ISBLANK(Twilight!AG778),"|",CONCATENATE(Twilight!AG778,"|"))</f>
        <v>|</v>
      </c>
      <c r="E873" s="70"/>
      <c r="F873" s="70"/>
      <c r="G873" s="70"/>
      <c r="H873" s="70"/>
    </row>
    <row r="874" spans="1:8" x14ac:dyDescent="0.2">
      <c r="A874" s="440" t="str">
        <f>IF(ISBLANK(Twilight!AG779),"|",CONCATENATE(Twilight!AG779,"|"))</f>
        <v>|</v>
      </c>
      <c r="E874" s="70"/>
      <c r="F874" s="70"/>
      <c r="G874" s="70"/>
      <c r="H874" s="70"/>
    </row>
    <row r="875" spans="1:8" x14ac:dyDescent="0.2">
      <c r="A875" s="440" t="str">
        <f>IF(ISBLANK(Twilight!AG780),"|",CONCATENATE(Twilight!AG780,"|"))</f>
        <v>|</v>
      </c>
      <c r="E875" s="70"/>
      <c r="F875" s="70"/>
      <c r="G875" s="70"/>
      <c r="H875" s="70"/>
    </row>
    <row r="876" spans="1:8" x14ac:dyDescent="0.2">
      <c r="A876" s="440" t="str">
        <f>IF(ISBLANK(Twilight!AG781),"|",CONCATENATE(Twilight!AG781,"|"))</f>
        <v>|</v>
      </c>
      <c r="E876" s="70"/>
      <c r="F876" s="70"/>
      <c r="G876" s="70"/>
      <c r="H876" s="70"/>
    </row>
    <row r="877" spans="1:8" x14ac:dyDescent="0.2">
      <c r="A877" s="440" t="str">
        <f>IF(ISBLANK(Twilight!AG782),"|",CONCATENATE(Twilight!AG782,"|"))</f>
        <v>|</v>
      </c>
      <c r="E877" s="70"/>
      <c r="F877" s="70"/>
      <c r="G877" s="70"/>
      <c r="H877" s="70"/>
    </row>
    <row r="878" spans="1:8" x14ac:dyDescent="0.2">
      <c r="A878" s="440" t="str">
        <f>IF(ISBLANK(Twilight!AG783),"|",CONCATENATE(Twilight!AG783,"|"))</f>
        <v>|</v>
      </c>
      <c r="E878" s="70"/>
      <c r="F878" s="70"/>
      <c r="G878" s="70"/>
      <c r="H878" s="70"/>
    </row>
    <row r="879" spans="1:8" x14ac:dyDescent="0.2">
      <c r="A879" s="440" t="str">
        <f>IF(ISBLANK(Twilight!AG784),"|",CONCATENATE(Twilight!AG784,"|"))</f>
        <v>|</v>
      </c>
      <c r="E879" s="70"/>
      <c r="F879" s="70"/>
      <c r="G879" s="70"/>
      <c r="H879" s="70"/>
    </row>
    <row r="880" spans="1:8" x14ac:dyDescent="0.2">
      <c r="A880" s="440" t="str">
        <f>IF(ISBLANK(Twilight!AG785),"|",CONCATENATE(Twilight!AG785,"|"))</f>
        <v>|</v>
      </c>
      <c r="E880" s="70"/>
      <c r="F880" s="70"/>
      <c r="G880" s="70"/>
      <c r="H880" s="70"/>
    </row>
    <row r="881" spans="1:8" x14ac:dyDescent="0.2">
      <c r="A881" s="440" t="str">
        <f>IF(ISBLANK(Twilight!AG786),"|",CONCATENATE(Twilight!AG786,"|"))</f>
        <v>|</v>
      </c>
      <c r="E881" s="70"/>
      <c r="F881" s="70"/>
      <c r="G881" s="70"/>
      <c r="H881" s="70"/>
    </row>
    <row r="882" spans="1:8" x14ac:dyDescent="0.2">
      <c r="A882" s="440" t="str">
        <f>IF(ISBLANK(Twilight!AG787),"|",CONCATENATE(Twilight!AG787,"|"))</f>
        <v>|</v>
      </c>
      <c r="E882" s="70"/>
      <c r="F882" s="70"/>
      <c r="G882" s="70"/>
      <c r="H882" s="70"/>
    </row>
    <row r="883" spans="1:8" x14ac:dyDescent="0.2">
      <c r="A883" s="440" t="str">
        <f>IF(ISBLANK(Twilight!AG788),"|",CONCATENATE(Twilight!AG788,"|"))</f>
        <v>|</v>
      </c>
      <c r="E883" s="70"/>
      <c r="F883" s="70"/>
      <c r="G883" s="70"/>
      <c r="H883" s="70"/>
    </row>
    <row r="884" spans="1:8" x14ac:dyDescent="0.2">
      <c r="A884" s="440" t="str">
        <f>IF(ISBLANK(Twilight!AG789),"|",CONCATENATE(Twilight!AG789,"|"))</f>
        <v>|</v>
      </c>
      <c r="E884" s="70"/>
      <c r="F884" s="70"/>
      <c r="G884" s="70"/>
      <c r="H884" s="70"/>
    </row>
    <row r="885" spans="1:8" x14ac:dyDescent="0.2">
      <c r="A885" s="440" t="str">
        <f>IF(ISBLANK(Twilight!AG790),"|",CONCATENATE(Twilight!AG790,"|"))</f>
        <v>|</v>
      </c>
      <c r="E885" s="70"/>
      <c r="F885" s="70"/>
      <c r="G885" s="70"/>
      <c r="H885" s="70"/>
    </row>
    <row r="886" spans="1:8" x14ac:dyDescent="0.2">
      <c r="A886" s="440" t="str">
        <f>IF(ISBLANK(Twilight!AG791),"|",CONCATENATE(Twilight!AG791,"|"))</f>
        <v>|</v>
      </c>
      <c r="E886" s="70"/>
      <c r="F886" s="70"/>
      <c r="G886" s="70"/>
      <c r="H886" s="70"/>
    </row>
    <row r="887" spans="1:8" x14ac:dyDescent="0.2">
      <c r="A887" s="440" t="str">
        <f>IF(ISBLANK(Twilight!AG792),"|",CONCATENATE(Twilight!AG792,"|"))</f>
        <v>|</v>
      </c>
      <c r="E887" s="70"/>
      <c r="F887" s="70"/>
      <c r="G887" s="70"/>
      <c r="H887" s="70"/>
    </row>
    <row r="888" spans="1:8" x14ac:dyDescent="0.2">
      <c r="A888" s="440" t="str">
        <f>IF(ISBLANK(Twilight!AG793),"|",CONCATENATE(Twilight!AG793,"|"))</f>
        <v>|</v>
      </c>
      <c r="E888" s="70"/>
      <c r="F888" s="70"/>
      <c r="G888" s="70"/>
      <c r="H888" s="70"/>
    </row>
    <row r="889" spans="1:8" x14ac:dyDescent="0.2">
      <c r="A889" s="440" t="str">
        <f>IF(ISBLANK(Twilight!AG794),"|",CONCATENATE(Twilight!AG794,"|"))</f>
        <v>|</v>
      </c>
      <c r="E889" s="70"/>
      <c r="F889" s="70"/>
      <c r="G889" s="70"/>
      <c r="H889" s="70"/>
    </row>
    <row r="890" spans="1:8" x14ac:dyDescent="0.2">
      <c r="A890" s="440" t="str">
        <f>IF(ISBLANK(Twilight!AG795),"|",CONCATENATE(Twilight!AG795,"|"))</f>
        <v>|</v>
      </c>
      <c r="E890" s="70"/>
      <c r="F890" s="70"/>
      <c r="G890" s="70"/>
      <c r="H890" s="70"/>
    </row>
    <row r="891" spans="1:8" x14ac:dyDescent="0.2">
      <c r="A891" s="440" t="str">
        <f>IF(ISBLANK(Twilight!AG796),"|",CONCATENATE(Twilight!AG796,"|"))</f>
        <v>|</v>
      </c>
      <c r="E891" s="70"/>
      <c r="F891" s="70"/>
      <c r="G891" s="70"/>
      <c r="H891" s="70"/>
    </row>
    <row r="892" spans="1:8" x14ac:dyDescent="0.2">
      <c r="A892" s="440" t="str">
        <f>IF(ISBLANK(Twilight!AG797),"|",CONCATENATE(Twilight!AG797,"|"))</f>
        <v>|</v>
      </c>
      <c r="E892" s="70"/>
      <c r="F892" s="70"/>
      <c r="G892" s="70"/>
      <c r="H892" s="70"/>
    </row>
    <row r="893" spans="1:8" x14ac:dyDescent="0.2">
      <c r="A893" s="440" t="str">
        <f>IF(ISBLANK(Twilight!AG798),"|",CONCATENATE(Twilight!AG798,"|"))</f>
        <v>|</v>
      </c>
      <c r="E893" s="70"/>
      <c r="F893" s="70"/>
      <c r="G893" s="70"/>
      <c r="H893" s="70"/>
    </row>
    <row r="894" spans="1:8" x14ac:dyDescent="0.2">
      <c r="A894" s="440" t="str">
        <f>IF(ISBLANK(Twilight!AG799),"|",CONCATENATE(Twilight!AG799,"|"))</f>
        <v>|</v>
      </c>
      <c r="E894" s="70"/>
      <c r="F894" s="70"/>
      <c r="G894" s="70"/>
      <c r="H894" s="70"/>
    </row>
    <row r="895" spans="1:8" x14ac:dyDescent="0.2">
      <c r="A895" s="440" t="str">
        <f>IF(ISBLANK(Twilight!AG800),"|",CONCATENATE(Twilight!AG800,"|"))</f>
        <v>|</v>
      </c>
      <c r="E895" s="70"/>
      <c r="F895" s="70"/>
      <c r="G895" s="70"/>
      <c r="H895" s="70"/>
    </row>
    <row r="896" spans="1:8" x14ac:dyDescent="0.2">
      <c r="A896" s="440" t="str">
        <f>IF(ISBLANK(Twilight!AG801),"|",CONCATENATE(Twilight!AG801,"|"))</f>
        <v>|</v>
      </c>
      <c r="E896" s="70"/>
      <c r="F896" s="70"/>
      <c r="G896" s="70"/>
      <c r="H896" s="70"/>
    </row>
    <row r="897" spans="1:8" x14ac:dyDescent="0.2">
      <c r="A897" s="440" t="str">
        <f>IF(ISBLANK(Twilight!AG802),"|",CONCATENATE(Twilight!AG802,"|"))</f>
        <v>|</v>
      </c>
      <c r="E897" s="70"/>
      <c r="F897" s="70"/>
      <c r="G897" s="70"/>
      <c r="H897" s="70"/>
    </row>
    <row r="898" spans="1:8" x14ac:dyDescent="0.2">
      <c r="A898" s="440" t="str">
        <f>IF(ISBLANK(Twilight!AG803),"|",CONCATENATE(Twilight!AG803,"|"))</f>
        <v>|</v>
      </c>
      <c r="E898" s="70"/>
      <c r="F898" s="70"/>
      <c r="G898" s="70"/>
      <c r="H898" s="70"/>
    </row>
    <row r="899" spans="1:8" x14ac:dyDescent="0.2">
      <c r="A899" s="440" t="str">
        <f>IF(ISBLANK(Twilight!AG804),"|",CONCATENATE(Twilight!AG804,"|"))</f>
        <v>|</v>
      </c>
      <c r="E899" s="70"/>
      <c r="F899" s="70"/>
      <c r="G899" s="70"/>
      <c r="H899" s="70"/>
    </row>
    <row r="900" spans="1:8" x14ac:dyDescent="0.2">
      <c r="A900" s="440" t="str">
        <f>IF(ISBLANK(Twilight!AG805),"|",CONCATENATE(Twilight!AG805,"|"))</f>
        <v>|</v>
      </c>
      <c r="E900" s="70"/>
      <c r="F900" s="70"/>
      <c r="G900" s="70"/>
      <c r="H900" s="70"/>
    </row>
    <row r="901" spans="1:8" x14ac:dyDescent="0.2">
      <c r="A901" s="440" t="str">
        <f>IF(ISBLANK(Twilight!AG806),"|",CONCATENATE(Twilight!AG806,"|"))</f>
        <v>|</v>
      </c>
      <c r="E901" s="70"/>
      <c r="F901" s="70"/>
      <c r="G901" s="70"/>
      <c r="H901" s="70"/>
    </row>
    <row r="902" spans="1:8" x14ac:dyDescent="0.2">
      <c r="A902" s="440" t="str">
        <f>IF(ISBLANK(Twilight!AG807),"|",CONCATENATE(Twilight!AG807,"|"))</f>
        <v>|</v>
      </c>
      <c r="E902" s="70"/>
      <c r="F902" s="70"/>
      <c r="G902" s="70"/>
      <c r="H902" s="70"/>
    </row>
    <row r="903" spans="1:8" x14ac:dyDescent="0.2">
      <c r="A903" s="440" t="str">
        <f>IF(ISBLANK(Twilight!AG808),"|",CONCATENATE(Twilight!AG808,"|"))</f>
        <v>|</v>
      </c>
      <c r="E903" s="70"/>
      <c r="F903" s="70"/>
      <c r="G903" s="70"/>
      <c r="H903" s="70"/>
    </row>
    <row r="904" spans="1:8" x14ac:dyDescent="0.2">
      <c r="A904" s="440" t="str">
        <f>IF(ISBLANK(Twilight!AG809),"|",CONCATENATE(Twilight!AG809,"|"))</f>
        <v>|</v>
      </c>
      <c r="E904" s="70"/>
      <c r="F904" s="70"/>
      <c r="G904" s="70"/>
      <c r="H904" s="70"/>
    </row>
    <row r="905" spans="1:8" x14ac:dyDescent="0.2">
      <c r="A905" s="440" t="str">
        <f>IF(ISBLANK(Twilight!AG810),"|",CONCATENATE(Twilight!AG810,"|"))</f>
        <v>|</v>
      </c>
      <c r="E905" s="70"/>
      <c r="F905" s="70"/>
      <c r="G905" s="70"/>
      <c r="H905" s="70"/>
    </row>
    <row r="906" spans="1:8" x14ac:dyDescent="0.2">
      <c r="A906" s="440" t="str">
        <f>IF(ISBLANK(Twilight!AG811),"|",CONCATENATE(Twilight!AG811,"|"))</f>
        <v>|</v>
      </c>
      <c r="E906" s="70"/>
      <c r="F906" s="70"/>
      <c r="G906" s="70"/>
      <c r="H906" s="70"/>
    </row>
    <row r="907" spans="1:8" x14ac:dyDescent="0.2">
      <c r="A907" s="440" t="str">
        <f>IF(ISBLANK(Twilight!AG812),"|",CONCATENATE(Twilight!AG812,"|"))</f>
        <v>|</v>
      </c>
      <c r="E907" s="70"/>
      <c r="F907" s="70"/>
      <c r="G907" s="70"/>
      <c r="H907" s="70"/>
    </row>
    <row r="908" spans="1:8" x14ac:dyDescent="0.2">
      <c r="A908" s="440" t="str">
        <f>IF(ISBLANK(Twilight!AG813),"|",CONCATENATE(Twilight!AG813,"|"))</f>
        <v>|</v>
      </c>
      <c r="E908" s="70"/>
      <c r="F908" s="70"/>
      <c r="G908" s="70"/>
      <c r="H908" s="70"/>
    </row>
    <row r="909" spans="1:8" x14ac:dyDescent="0.2">
      <c r="A909" s="440" t="str">
        <f>IF(ISBLANK(Twilight!AG814),"|",CONCATENATE(Twilight!AG814,"|"))</f>
        <v>|</v>
      </c>
      <c r="E909" s="70"/>
      <c r="F909" s="70"/>
      <c r="G909" s="70"/>
      <c r="H909" s="70"/>
    </row>
    <row r="910" spans="1:8" x14ac:dyDescent="0.2">
      <c r="A910" s="440" t="str">
        <f>IF(ISBLANK(Twilight!AG815),"|",CONCATENATE(Twilight!AG815,"|"))</f>
        <v>|</v>
      </c>
      <c r="E910" s="70"/>
      <c r="F910" s="70"/>
      <c r="G910" s="70"/>
      <c r="H910" s="70"/>
    </row>
    <row r="911" spans="1:8" x14ac:dyDescent="0.2">
      <c r="A911" s="440" t="str">
        <f>IF(ISBLANK(Twilight!AG816),"|",CONCATENATE(Twilight!AG816,"|"))</f>
        <v>|</v>
      </c>
      <c r="E911" s="70"/>
      <c r="F911" s="70"/>
      <c r="G911" s="70"/>
      <c r="H911" s="70"/>
    </row>
    <row r="912" spans="1:8" x14ac:dyDescent="0.2">
      <c r="A912" s="440" t="str">
        <f>IF(ISBLANK(Twilight!AG817),"|",CONCATENATE(Twilight!AG817,"|"))</f>
        <v>|</v>
      </c>
      <c r="E912" s="70"/>
      <c r="F912" s="70"/>
      <c r="G912" s="70"/>
      <c r="H912" s="70"/>
    </row>
    <row r="913" spans="1:8" x14ac:dyDescent="0.2">
      <c r="A913" s="440" t="str">
        <f>IF(ISBLANK(Twilight!AG818),"|",CONCATENATE(Twilight!AG818,"|"))</f>
        <v>|</v>
      </c>
      <c r="E913" s="70"/>
      <c r="F913" s="70"/>
      <c r="G913" s="70"/>
      <c r="H913" s="70"/>
    </row>
    <row r="914" spans="1:8" x14ac:dyDescent="0.2">
      <c r="A914" s="440" t="str">
        <f>IF(ISBLANK(Twilight!AG819),"|",CONCATENATE(Twilight!AG819,"|"))</f>
        <v>|</v>
      </c>
      <c r="E914" s="70"/>
      <c r="F914" s="70"/>
      <c r="G914" s="70"/>
      <c r="H914" s="70"/>
    </row>
    <row r="915" spans="1:8" x14ac:dyDescent="0.2">
      <c r="A915" s="440" t="str">
        <f>IF(ISBLANK(Twilight!AG820),"|",CONCATENATE(Twilight!AG820,"|"))</f>
        <v>|</v>
      </c>
      <c r="E915" s="70"/>
      <c r="F915" s="70"/>
      <c r="G915" s="70"/>
      <c r="H915" s="70"/>
    </row>
    <row r="916" spans="1:8" x14ac:dyDescent="0.2">
      <c r="A916" s="440" t="str">
        <f>IF(ISBLANK(Twilight!AG821),"|",CONCATENATE(Twilight!AG821,"|"))</f>
        <v>|</v>
      </c>
      <c r="E916" s="70"/>
      <c r="F916" s="70"/>
      <c r="G916" s="70"/>
      <c r="H916" s="70"/>
    </row>
    <row r="917" spans="1:8" x14ac:dyDescent="0.2">
      <c r="A917" s="440" t="str">
        <f>IF(ISBLANK(Twilight!AG822),"|",CONCATENATE(Twilight!AG822,"|"))</f>
        <v>|</v>
      </c>
      <c r="E917" s="70"/>
      <c r="F917" s="70"/>
      <c r="G917" s="70"/>
      <c r="H917" s="70"/>
    </row>
    <row r="918" spans="1:8" x14ac:dyDescent="0.2">
      <c r="A918" s="440" t="str">
        <f>IF(ISBLANK(Twilight!AG823),"|",CONCATENATE(Twilight!AG823,"|"))</f>
        <v>|</v>
      </c>
      <c r="E918" s="70"/>
      <c r="F918" s="70"/>
      <c r="G918" s="70"/>
      <c r="H918" s="70"/>
    </row>
    <row r="919" spans="1:8" x14ac:dyDescent="0.2">
      <c r="A919" s="440" t="str">
        <f>IF(ISBLANK(Twilight!AG824),"|",CONCATENATE(Twilight!AG824,"|"))</f>
        <v>|</v>
      </c>
      <c r="E919" s="70"/>
      <c r="F919" s="70"/>
      <c r="G919" s="70"/>
      <c r="H919" s="70"/>
    </row>
    <row r="920" spans="1:8" x14ac:dyDescent="0.2">
      <c r="A920" s="440" t="str">
        <f>IF(ISBLANK(Twilight!AG825),"|",CONCATENATE(Twilight!AG825,"|"))</f>
        <v>|</v>
      </c>
      <c r="E920" s="70"/>
      <c r="F920" s="70"/>
      <c r="G920" s="70"/>
      <c r="H920" s="70"/>
    </row>
    <row r="921" spans="1:8" x14ac:dyDescent="0.2">
      <c r="A921" s="440" t="str">
        <f>IF(ISBLANK(Twilight!AG826),"|",CONCATENATE(Twilight!AG826,"|"))</f>
        <v>|</v>
      </c>
      <c r="E921" s="70"/>
      <c r="F921" s="70"/>
      <c r="G921" s="70"/>
      <c r="H921" s="70"/>
    </row>
    <row r="922" spans="1:8" x14ac:dyDescent="0.2">
      <c r="A922" s="440" t="str">
        <f>IF(ISBLANK(Twilight!AG827),"|",CONCATENATE(Twilight!AG827,"|"))</f>
        <v>|</v>
      </c>
      <c r="E922" s="70"/>
      <c r="F922" s="70"/>
      <c r="G922" s="70"/>
      <c r="H922" s="70"/>
    </row>
    <row r="923" spans="1:8" x14ac:dyDescent="0.2">
      <c r="A923" s="440" t="str">
        <f>IF(ISBLANK(Twilight!AG828),"|",CONCATENATE(Twilight!AG828,"|"))</f>
        <v>|</v>
      </c>
      <c r="E923" s="70"/>
      <c r="F923" s="70"/>
      <c r="G923" s="70"/>
      <c r="H923" s="70"/>
    </row>
    <row r="924" spans="1:8" x14ac:dyDescent="0.2">
      <c r="A924" s="440" t="str">
        <f>IF(ISBLANK(Twilight!AG829),"|",CONCATENATE(Twilight!AG829,"|"))</f>
        <v>|</v>
      </c>
      <c r="E924" s="70"/>
      <c r="F924" s="70"/>
      <c r="G924" s="70"/>
      <c r="H924" s="70"/>
    </row>
    <row r="925" spans="1:8" x14ac:dyDescent="0.2">
      <c r="A925" s="440" t="str">
        <f>IF(ISBLANK(Twilight!AG830),"|",CONCATENATE(Twilight!AG830,"|"))</f>
        <v>|</v>
      </c>
      <c r="E925" s="70"/>
      <c r="F925" s="70"/>
      <c r="G925" s="70"/>
      <c r="H925" s="70"/>
    </row>
    <row r="926" spans="1:8" x14ac:dyDescent="0.2">
      <c r="A926" s="440" t="str">
        <f>IF(ISBLANK(Twilight!AG831),"|",CONCATENATE(Twilight!AG831,"|"))</f>
        <v>|</v>
      </c>
      <c r="E926" s="70"/>
      <c r="F926" s="70"/>
      <c r="G926" s="70"/>
      <c r="H926" s="70"/>
    </row>
    <row r="927" spans="1:8" x14ac:dyDescent="0.2">
      <c r="A927" s="440" t="str">
        <f>IF(ISBLANK(Twilight!AG832),"|",CONCATENATE(Twilight!AG832,"|"))</f>
        <v>|</v>
      </c>
      <c r="E927" s="70"/>
      <c r="F927" s="70"/>
      <c r="G927" s="70"/>
      <c r="H927" s="70"/>
    </row>
    <row r="928" spans="1:8" x14ac:dyDescent="0.2">
      <c r="A928" s="440" t="str">
        <f>IF(ISBLANK(Twilight!AG833),"|",CONCATENATE(Twilight!AG833,"|"))</f>
        <v>|</v>
      </c>
      <c r="E928" s="70"/>
      <c r="F928" s="70"/>
      <c r="G928" s="70"/>
      <c r="H928" s="70"/>
    </row>
    <row r="929" spans="1:8" x14ac:dyDescent="0.2">
      <c r="A929" s="440" t="str">
        <f>IF(ISBLANK(Twilight!AG834),"|",CONCATENATE(Twilight!AG834,"|"))</f>
        <v>|</v>
      </c>
      <c r="E929" s="70"/>
      <c r="F929" s="70"/>
      <c r="G929" s="70"/>
      <c r="H929" s="70"/>
    </row>
    <row r="930" spans="1:8" x14ac:dyDescent="0.2">
      <c r="A930" s="440" t="str">
        <f>IF(ISBLANK(Twilight!AG835),"|",CONCATENATE(Twilight!AG835,"|"))</f>
        <v>|</v>
      </c>
      <c r="E930" s="70"/>
      <c r="F930" s="70"/>
      <c r="G930" s="70"/>
      <c r="H930" s="70"/>
    </row>
    <row r="931" spans="1:8" x14ac:dyDescent="0.2">
      <c r="A931" s="440" t="str">
        <f>IF(ISBLANK(Twilight!AG836),"|",CONCATENATE(Twilight!AG836,"|"))</f>
        <v>|</v>
      </c>
      <c r="E931" s="70"/>
      <c r="F931" s="70"/>
      <c r="G931" s="70"/>
      <c r="H931" s="70"/>
    </row>
    <row r="932" spans="1:8" x14ac:dyDescent="0.2">
      <c r="A932" s="440" t="str">
        <f>IF(ISBLANK(Twilight!AG837),"|",CONCATENATE(Twilight!AG837,"|"))</f>
        <v>|</v>
      </c>
      <c r="E932" s="70"/>
      <c r="F932" s="70"/>
      <c r="G932" s="70"/>
      <c r="H932" s="70"/>
    </row>
    <row r="933" spans="1:8" x14ac:dyDescent="0.2">
      <c r="A933" s="440" t="str">
        <f>IF(ISBLANK(Twilight!AG838),"|",CONCATENATE(Twilight!AG838,"|"))</f>
        <v>|</v>
      </c>
      <c r="E933" s="70"/>
      <c r="F933" s="70"/>
      <c r="G933" s="70"/>
      <c r="H933" s="70"/>
    </row>
    <row r="934" spans="1:8" x14ac:dyDescent="0.2">
      <c r="A934" s="440" t="str">
        <f>IF(ISBLANK(Twilight!AG839),"|",CONCATENATE(Twilight!AG839,"|"))</f>
        <v>|</v>
      </c>
      <c r="E934" s="70"/>
      <c r="F934" s="70"/>
      <c r="G934" s="70"/>
      <c r="H934" s="70"/>
    </row>
    <row r="935" spans="1:8" x14ac:dyDescent="0.2">
      <c r="A935" s="440" t="str">
        <f>IF(ISBLANK(Twilight!AG840),"|",CONCATENATE(Twilight!AG840,"|"))</f>
        <v>|</v>
      </c>
      <c r="E935" s="70"/>
      <c r="F935" s="70"/>
      <c r="G935" s="70"/>
      <c r="H935" s="70"/>
    </row>
    <row r="936" spans="1:8" x14ac:dyDescent="0.2">
      <c r="A936" s="440" t="str">
        <f>IF(ISBLANK(Twilight!AG841),"|",CONCATENATE(Twilight!AG841,"|"))</f>
        <v>|</v>
      </c>
      <c r="E936" s="70"/>
      <c r="F936" s="70"/>
      <c r="G936" s="70"/>
      <c r="H936" s="70"/>
    </row>
    <row r="937" spans="1:8" x14ac:dyDescent="0.2">
      <c r="A937" s="440" t="str">
        <f>IF(ISBLANK(Twilight!AG842),"|",CONCATENATE(Twilight!AG842,"|"))</f>
        <v>|</v>
      </c>
      <c r="E937" s="70"/>
      <c r="F937" s="70"/>
      <c r="G937" s="70"/>
      <c r="H937" s="70"/>
    </row>
    <row r="938" spans="1:8" x14ac:dyDescent="0.2">
      <c r="A938" s="440" t="str">
        <f>IF(ISBLANK(Twilight!AG843),"|",CONCATENATE(Twilight!AG843,"|"))</f>
        <v>|</v>
      </c>
      <c r="E938" s="70"/>
      <c r="F938" s="70"/>
      <c r="G938" s="70"/>
      <c r="H938" s="70"/>
    </row>
    <row r="939" spans="1:8" x14ac:dyDescent="0.2">
      <c r="A939" s="440" t="str">
        <f>IF(ISBLANK(Twilight!AG844),"|",CONCATENATE(Twilight!AG844,"|"))</f>
        <v>|</v>
      </c>
      <c r="E939" s="70"/>
      <c r="F939" s="70"/>
      <c r="G939" s="70"/>
      <c r="H939" s="70"/>
    </row>
    <row r="940" spans="1:8" x14ac:dyDescent="0.2">
      <c r="A940" s="440" t="str">
        <f>IF(ISBLANK(Twilight!AG845),"|",CONCATENATE(Twilight!AG845,"|"))</f>
        <v>|</v>
      </c>
      <c r="E940" s="70"/>
      <c r="F940" s="70"/>
      <c r="G940" s="70"/>
      <c r="H940" s="70"/>
    </row>
    <row r="941" spans="1:8" x14ac:dyDescent="0.2">
      <c r="A941" s="440" t="str">
        <f>IF(ISBLANK(Twilight!AG846),"|",CONCATENATE(Twilight!AG846,"|"))</f>
        <v>|</v>
      </c>
      <c r="E941" s="70"/>
      <c r="F941" s="70"/>
      <c r="G941" s="70"/>
      <c r="H941" s="70"/>
    </row>
    <row r="942" spans="1:8" x14ac:dyDescent="0.2">
      <c r="A942" s="440" t="str">
        <f>IF(ISBLANK(Twilight!AG847),"|",CONCATENATE(Twilight!AG847,"|"))</f>
        <v>|</v>
      </c>
      <c r="E942" s="70"/>
      <c r="F942" s="70"/>
      <c r="G942" s="70"/>
      <c r="H942" s="70"/>
    </row>
    <row r="943" spans="1:8" x14ac:dyDescent="0.2">
      <c r="A943" s="440" t="str">
        <f>IF(ISBLANK(Twilight!AG848),"|",CONCATENATE(Twilight!AG848,"|"))</f>
        <v>|</v>
      </c>
      <c r="E943" s="70"/>
      <c r="F943" s="70"/>
      <c r="G943" s="70"/>
      <c r="H943" s="70"/>
    </row>
    <row r="944" spans="1:8" x14ac:dyDescent="0.2">
      <c r="A944" s="440" t="str">
        <f>IF(ISBLANK(Twilight!AG849),"|",CONCATENATE(Twilight!AG849,"|"))</f>
        <v>|</v>
      </c>
      <c r="E944" s="70"/>
      <c r="F944" s="70"/>
      <c r="G944" s="70"/>
      <c r="H944" s="70"/>
    </row>
    <row r="945" spans="1:8" x14ac:dyDescent="0.2">
      <c r="A945" s="440" t="str">
        <f>IF(ISBLANK(Twilight!AG850),"|",CONCATENATE(Twilight!AG850,"|"))</f>
        <v>|</v>
      </c>
      <c r="E945" s="70"/>
      <c r="F945" s="70"/>
      <c r="G945" s="70"/>
      <c r="H945" s="70"/>
    </row>
    <row r="946" spans="1:8" x14ac:dyDescent="0.2">
      <c r="A946" s="440" t="str">
        <f>IF(ISBLANK(Twilight!AG851),"|",CONCATENATE(Twilight!AG851,"|"))</f>
        <v>|</v>
      </c>
      <c r="E946" s="70"/>
      <c r="F946" s="70"/>
      <c r="G946" s="70"/>
      <c r="H946" s="70"/>
    </row>
    <row r="947" spans="1:8" x14ac:dyDescent="0.2">
      <c r="A947" s="440" t="str">
        <f>IF(ISBLANK(Twilight!AG852),"|",CONCATENATE(Twilight!AG852,"|"))</f>
        <v>|</v>
      </c>
      <c r="E947" s="70"/>
      <c r="F947" s="70"/>
      <c r="G947" s="70"/>
      <c r="H947" s="70"/>
    </row>
    <row r="948" spans="1:8" x14ac:dyDescent="0.2">
      <c r="A948" s="440" t="str">
        <f>IF(ISBLANK(Twilight!AG853),"|",CONCATENATE(Twilight!AG853,"|"))</f>
        <v>|</v>
      </c>
      <c r="E948" s="70"/>
      <c r="F948" s="70"/>
      <c r="G948" s="70"/>
      <c r="H948" s="70"/>
    </row>
    <row r="949" spans="1:8" x14ac:dyDescent="0.2">
      <c r="A949" s="440" t="str">
        <f>IF(ISBLANK(Twilight!AG854),"|",CONCATENATE(Twilight!AG854,"|"))</f>
        <v>|</v>
      </c>
      <c r="E949" s="70"/>
      <c r="F949" s="70"/>
      <c r="G949" s="70"/>
      <c r="H949" s="70"/>
    </row>
    <row r="950" spans="1:8" x14ac:dyDescent="0.2">
      <c r="A950" s="440" t="str">
        <f>IF(ISBLANK(Twilight!AG855),"|",CONCATENATE(Twilight!AG855,"|"))</f>
        <v>|</v>
      </c>
      <c r="E950" s="70"/>
      <c r="F950" s="70"/>
      <c r="G950" s="70"/>
      <c r="H950" s="70"/>
    </row>
    <row r="951" spans="1:8" x14ac:dyDescent="0.2">
      <c r="A951" s="440" t="str">
        <f>IF(ISBLANK(Twilight!AG856),"|",CONCATENATE(Twilight!AG856,"|"))</f>
        <v>|</v>
      </c>
      <c r="E951" s="70"/>
      <c r="F951" s="70"/>
      <c r="G951" s="70"/>
      <c r="H951" s="70"/>
    </row>
    <row r="952" spans="1:8" x14ac:dyDescent="0.2">
      <c r="A952" s="440" t="str">
        <f>IF(ISBLANK(Twilight!AG857),"|",CONCATENATE(Twilight!AG857,"|"))</f>
        <v>|</v>
      </c>
      <c r="E952" s="70"/>
      <c r="F952" s="70"/>
      <c r="G952" s="70"/>
      <c r="H952" s="70"/>
    </row>
    <row r="953" spans="1:8" x14ac:dyDescent="0.2">
      <c r="A953" s="440" t="str">
        <f>IF(ISBLANK(Twilight!AG858),"|",CONCATENATE(Twilight!AG858,"|"))</f>
        <v>|</v>
      </c>
      <c r="E953" s="70"/>
      <c r="F953" s="70"/>
      <c r="G953" s="70"/>
      <c r="H953" s="70"/>
    </row>
    <row r="954" spans="1:8" x14ac:dyDescent="0.2">
      <c r="A954" s="440" t="str">
        <f>IF(ISBLANK(Twilight!AG859),"|",CONCATENATE(Twilight!AG859,"|"))</f>
        <v>|</v>
      </c>
      <c r="E954" s="70"/>
      <c r="F954" s="70"/>
      <c r="G954" s="70"/>
      <c r="H954" s="70"/>
    </row>
    <row r="955" spans="1:8" x14ac:dyDescent="0.2">
      <c r="A955" s="440" t="str">
        <f>IF(ISBLANK(Twilight!AG860),"|",CONCATENATE(Twilight!AG860,"|"))</f>
        <v>|</v>
      </c>
      <c r="E955" s="70"/>
      <c r="F955" s="70"/>
      <c r="G955" s="70"/>
      <c r="H955" s="70"/>
    </row>
    <row r="956" spans="1:8" x14ac:dyDescent="0.2">
      <c r="A956" s="440" t="str">
        <f>IF(ISBLANK(Twilight!AG861),"|",CONCATENATE(Twilight!AG861,"|"))</f>
        <v>|</v>
      </c>
      <c r="E956" s="70"/>
      <c r="F956" s="70"/>
      <c r="G956" s="70"/>
      <c r="H956" s="70"/>
    </row>
    <row r="957" spans="1:8" x14ac:dyDescent="0.2">
      <c r="A957" s="440" t="str">
        <f>IF(ISBLANK(Twilight!AG862),"|",CONCATENATE(Twilight!AG862,"|"))</f>
        <v>|</v>
      </c>
      <c r="E957" s="70"/>
      <c r="F957" s="70"/>
      <c r="G957" s="70"/>
      <c r="H957" s="70"/>
    </row>
    <row r="958" spans="1:8" x14ac:dyDescent="0.2">
      <c r="A958" s="440" t="str">
        <f>IF(ISBLANK(Twilight!AG863),"|",CONCATENATE(Twilight!AG863,"|"))</f>
        <v>|</v>
      </c>
      <c r="E958" s="70"/>
      <c r="F958" s="70"/>
      <c r="G958" s="70"/>
      <c r="H958" s="70"/>
    </row>
    <row r="959" spans="1:8" x14ac:dyDescent="0.2">
      <c r="A959" s="440" t="str">
        <f>IF(ISBLANK(Twilight!AG864),"|",CONCATENATE(Twilight!AG864,"|"))</f>
        <v>|</v>
      </c>
      <c r="E959" s="70"/>
      <c r="F959" s="70"/>
      <c r="G959" s="70"/>
      <c r="H959" s="70"/>
    </row>
    <row r="960" spans="1:8" x14ac:dyDescent="0.2">
      <c r="A960" s="440" t="str">
        <f>IF(ISBLANK(Twilight!AG865),"|",CONCATENATE(Twilight!AG865,"|"))</f>
        <v>|</v>
      </c>
      <c r="E960" s="70"/>
      <c r="F960" s="70"/>
      <c r="G960" s="70"/>
      <c r="H960" s="70"/>
    </row>
    <row r="961" spans="1:8" x14ac:dyDescent="0.2">
      <c r="A961" s="440" t="str">
        <f>IF(ISBLANK(Twilight!AG866),"|",CONCATENATE(Twilight!AG866,"|"))</f>
        <v>|</v>
      </c>
      <c r="E961" s="70"/>
      <c r="F961" s="70"/>
      <c r="G961" s="70"/>
      <c r="H961" s="70"/>
    </row>
    <row r="962" spans="1:8" x14ac:dyDescent="0.2">
      <c r="A962" s="440" t="str">
        <f>IF(ISBLANK(Twilight!AG867),"|",CONCATENATE(Twilight!AG867,"|"))</f>
        <v>|</v>
      </c>
      <c r="E962" s="70"/>
      <c r="F962" s="70"/>
      <c r="G962" s="70"/>
      <c r="H962" s="70"/>
    </row>
    <row r="963" spans="1:8" x14ac:dyDescent="0.2">
      <c r="A963" s="440" t="str">
        <f>IF(ISBLANK(Twilight!AG868),"|",CONCATENATE(Twilight!AG868,"|"))</f>
        <v>|</v>
      </c>
      <c r="E963" s="70"/>
      <c r="F963" s="70"/>
      <c r="G963" s="70"/>
      <c r="H963" s="70"/>
    </row>
    <row r="964" spans="1:8" x14ac:dyDescent="0.2">
      <c r="A964" s="440" t="str">
        <f>IF(ISBLANK(Twilight!AG869),"|",CONCATENATE(Twilight!AG869,"|"))</f>
        <v>|</v>
      </c>
      <c r="E964" s="70"/>
      <c r="F964" s="70"/>
      <c r="G964" s="70"/>
      <c r="H964" s="70"/>
    </row>
    <row r="965" spans="1:8" x14ac:dyDescent="0.2">
      <c r="A965" s="440" t="str">
        <f>IF(ISBLANK(Twilight!AG870),"|",CONCATENATE(Twilight!AG870,"|"))</f>
        <v>|</v>
      </c>
      <c r="E965" s="70"/>
      <c r="F965" s="70"/>
      <c r="G965" s="70"/>
      <c r="H965" s="70"/>
    </row>
    <row r="966" spans="1:8" x14ac:dyDescent="0.2">
      <c r="A966" s="440" t="str">
        <f>IF(ISBLANK(Twilight!AG871),"|",CONCATENATE(Twilight!AG871,"|"))</f>
        <v>|</v>
      </c>
      <c r="E966" s="70"/>
      <c r="F966" s="70"/>
      <c r="G966" s="70"/>
      <c r="H966" s="70"/>
    </row>
    <row r="967" spans="1:8" x14ac:dyDescent="0.2">
      <c r="A967" s="440" t="str">
        <f>IF(ISBLANK(Twilight!AG872),"|",CONCATENATE(Twilight!AG872,"|"))</f>
        <v>|</v>
      </c>
      <c r="E967" s="70"/>
      <c r="F967" s="70"/>
      <c r="G967" s="70"/>
      <c r="H967" s="70"/>
    </row>
    <row r="968" spans="1:8" x14ac:dyDescent="0.2">
      <c r="A968" s="440" t="str">
        <f>IF(ISBLANK(Twilight!AG873),"|",CONCATENATE(Twilight!AG873,"|"))</f>
        <v>|</v>
      </c>
      <c r="E968" s="70"/>
      <c r="F968" s="70"/>
      <c r="G968" s="70"/>
      <c r="H968" s="70"/>
    </row>
    <row r="969" spans="1:8" x14ac:dyDescent="0.2">
      <c r="A969" s="440" t="str">
        <f>IF(ISBLANK(Twilight!AG874),"|",CONCATENATE(Twilight!AG874,"|"))</f>
        <v>|</v>
      </c>
      <c r="E969" s="70"/>
      <c r="F969" s="70"/>
      <c r="G969" s="70"/>
      <c r="H969" s="70"/>
    </row>
    <row r="970" spans="1:8" x14ac:dyDescent="0.2">
      <c r="A970" s="440" t="str">
        <f>IF(ISBLANK(Twilight!AG875),"|",CONCATENATE(Twilight!AG875,"|"))</f>
        <v>|</v>
      </c>
      <c r="E970" s="70"/>
      <c r="F970" s="70"/>
      <c r="G970" s="70"/>
      <c r="H970" s="70"/>
    </row>
    <row r="971" spans="1:8" x14ac:dyDescent="0.2">
      <c r="A971" s="440" t="str">
        <f>IF(ISBLANK(Twilight!AG876),"|",CONCATENATE(Twilight!AG876,"|"))</f>
        <v>|</v>
      </c>
      <c r="E971" s="70"/>
      <c r="F971" s="70"/>
      <c r="G971" s="70"/>
      <c r="H971" s="70"/>
    </row>
    <row r="972" spans="1:8" x14ac:dyDescent="0.2">
      <c r="A972" s="440" t="str">
        <f>IF(ISBLANK(Twilight!AG877),"|",CONCATENATE(Twilight!AG877,"|"))</f>
        <v>|</v>
      </c>
      <c r="E972" s="70"/>
      <c r="F972" s="70"/>
      <c r="G972" s="70"/>
      <c r="H972" s="70"/>
    </row>
    <row r="973" spans="1:8" x14ac:dyDescent="0.2">
      <c r="A973" s="440" t="str">
        <f>IF(ISBLANK(Twilight!AG878),"|",CONCATENATE(Twilight!AG878,"|"))</f>
        <v>|</v>
      </c>
      <c r="E973" s="70"/>
      <c r="F973" s="70"/>
      <c r="G973" s="70"/>
      <c r="H973" s="70"/>
    </row>
    <row r="974" spans="1:8" x14ac:dyDescent="0.2">
      <c r="A974" s="440" t="str">
        <f>IF(ISBLANK(Twilight!AG879),"|",CONCATENATE(Twilight!AG879,"|"))</f>
        <v>|</v>
      </c>
      <c r="E974" s="70"/>
      <c r="F974" s="70"/>
      <c r="G974" s="70"/>
      <c r="H974" s="70"/>
    </row>
    <row r="975" spans="1:8" x14ac:dyDescent="0.2">
      <c r="A975" s="440" t="str">
        <f>IF(ISBLANK(Twilight!AG880),"|",CONCATENATE(Twilight!AG880,"|"))</f>
        <v>|</v>
      </c>
      <c r="E975" s="70"/>
      <c r="F975" s="70"/>
      <c r="G975" s="70"/>
      <c r="H975" s="70"/>
    </row>
    <row r="976" spans="1:8" x14ac:dyDescent="0.2">
      <c r="A976" s="440" t="str">
        <f>IF(ISBLANK(Twilight!AG881),"|",CONCATENATE(Twilight!AG881,"|"))</f>
        <v>|</v>
      </c>
      <c r="E976" s="70"/>
      <c r="F976" s="70"/>
      <c r="G976" s="70"/>
      <c r="H976" s="70"/>
    </row>
    <row r="977" spans="1:8" x14ac:dyDescent="0.2">
      <c r="A977" s="440" t="str">
        <f>IF(ISBLANK(Twilight!AG882),"|",CONCATENATE(Twilight!AG882,"|"))</f>
        <v>|</v>
      </c>
      <c r="E977" s="70"/>
      <c r="F977" s="70"/>
      <c r="G977" s="70"/>
      <c r="H977" s="70"/>
    </row>
    <row r="978" spans="1:8" x14ac:dyDescent="0.2">
      <c r="A978" s="440" t="str">
        <f>IF(ISBLANK(Twilight!AG883),"|",CONCATENATE(Twilight!AG883,"|"))</f>
        <v>|</v>
      </c>
      <c r="E978" s="70"/>
      <c r="F978" s="70"/>
      <c r="G978" s="70"/>
      <c r="H978" s="70"/>
    </row>
    <row r="979" spans="1:8" x14ac:dyDescent="0.2">
      <c r="A979" s="440" t="str">
        <f>IF(ISBLANK(Twilight!AG884),"|",CONCATENATE(Twilight!AG884,"|"))</f>
        <v>|</v>
      </c>
      <c r="E979" s="70"/>
      <c r="F979" s="70"/>
      <c r="G979" s="70"/>
      <c r="H979" s="70"/>
    </row>
    <row r="980" spans="1:8" x14ac:dyDescent="0.2">
      <c r="A980" s="440" t="str">
        <f>IF(ISBLANK(Twilight!AG885),"|",CONCATENATE(Twilight!AG885,"|"))</f>
        <v>|</v>
      </c>
      <c r="E980" s="70"/>
      <c r="F980" s="70"/>
      <c r="G980" s="70"/>
      <c r="H980" s="70"/>
    </row>
    <row r="981" spans="1:8" x14ac:dyDescent="0.2">
      <c r="A981" s="440" t="str">
        <f>IF(ISBLANK(Twilight!AG886),"|",CONCATENATE(Twilight!AG886,"|"))</f>
        <v>|</v>
      </c>
      <c r="E981" s="70"/>
      <c r="F981" s="70"/>
      <c r="G981" s="70"/>
      <c r="H981" s="70"/>
    </row>
    <row r="982" spans="1:8" x14ac:dyDescent="0.2">
      <c r="A982" s="440" t="str">
        <f>IF(ISBLANK(Twilight!AG887),"|",CONCATENATE(Twilight!AG887,"|"))</f>
        <v>|</v>
      </c>
      <c r="E982" s="70"/>
      <c r="F982" s="70"/>
      <c r="G982" s="70"/>
      <c r="H982" s="70"/>
    </row>
    <row r="983" spans="1:8" x14ac:dyDescent="0.2">
      <c r="A983" s="440" t="str">
        <f>IF(ISBLANK(Twilight!AG888),"|",CONCATENATE(Twilight!AG888,"|"))</f>
        <v>|</v>
      </c>
      <c r="E983" s="70"/>
      <c r="F983" s="70"/>
      <c r="G983" s="70"/>
      <c r="H983" s="70"/>
    </row>
    <row r="984" spans="1:8" x14ac:dyDescent="0.2">
      <c r="A984" s="440" t="str">
        <f>IF(ISBLANK(Twilight!AG889),"|",CONCATENATE(Twilight!AG889,"|"))</f>
        <v>|</v>
      </c>
      <c r="E984" s="70"/>
      <c r="F984" s="70"/>
      <c r="G984" s="70"/>
      <c r="H984" s="70"/>
    </row>
    <row r="985" spans="1:8" x14ac:dyDescent="0.2">
      <c r="A985" s="440" t="str">
        <f>IF(ISBLANK(Twilight!AG890),"|",CONCATENATE(Twilight!AG890,"|"))</f>
        <v>|</v>
      </c>
      <c r="E985" s="70"/>
      <c r="F985" s="70"/>
      <c r="G985" s="70"/>
      <c r="H985" s="70"/>
    </row>
    <row r="986" spans="1:8" x14ac:dyDescent="0.2">
      <c r="A986" s="440" t="str">
        <f>IF(ISBLANK(Twilight!AG891),"|",CONCATENATE(Twilight!AG891,"|"))</f>
        <v>|</v>
      </c>
      <c r="E986" s="70"/>
      <c r="F986" s="70"/>
      <c r="G986" s="70"/>
      <c r="H986" s="70"/>
    </row>
    <row r="987" spans="1:8" x14ac:dyDescent="0.2">
      <c r="A987" s="440" t="str">
        <f>IF(ISBLANK(Twilight!AG892),"|",CONCATENATE(Twilight!AG892,"|"))</f>
        <v>|</v>
      </c>
      <c r="E987" s="70"/>
      <c r="F987" s="70"/>
      <c r="G987" s="70"/>
      <c r="H987" s="70"/>
    </row>
    <row r="988" spans="1:8" x14ac:dyDescent="0.2">
      <c r="A988" s="440" t="str">
        <f>IF(ISBLANK(Twilight!AG893),"|",CONCATENATE(Twilight!AG893,"|"))</f>
        <v>|</v>
      </c>
      <c r="E988" s="70"/>
      <c r="F988" s="70"/>
      <c r="G988" s="70"/>
      <c r="H988" s="70"/>
    </row>
    <row r="989" spans="1:8" x14ac:dyDescent="0.2">
      <c r="A989" s="440" t="str">
        <f>IF(ISBLANK(Twilight!AG894),"|",CONCATENATE(Twilight!AG894,"|"))</f>
        <v>|</v>
      </c>
      <c r="E989" s="70"/>
      <c r="F989" s="70"/>
      <c r="G989" s="70"/>
      <c r="H989" s="70"/>
    </row>
    <row r="990" spans="1:8" x14ac:dyDescent="0.2">
      <c r="A990" s="440" t="str">
        <f>IF(ISBLANK(Twilight!AG895),"|",CONCATENATE(Twilight!AG895,"|"))</f>
        <v>|</v>
      </c>
      <c r="E990" s="70"/>
      <c r="F990" s="70"/>
      <c r="G990" s="70"/>
      <c r="H990" s="70"/>
    </row>
    <row r="991" spans="1:8" x14ac:dyDescent="0.2">
      <c r="A991" s="440" t="str">
        <f>IF(ISBLANK(Twilight!AG896),"|",CONCATENATE(Twilight!AG896,"|"))</f>
        <v>|</v>
      </c>
      <c r="E991" s="70"/>
      <c r="F991" s="70"/>
      <c r="G991" s="70"/>
      <c r="H991" s="70"/>
    </row>
    <row r="992" spans="1:8" x14ac:dyDescent="0.2">
      <c r="A992" s="440" t="str">
        <f>IF(ISBLANK(Twilight!AG897),"|",CONCATENATE(Twilight!AG897,"|"))</f>
        <v>|</v>
      </c>
      <c r="E992" s="70"/>
      <c r="F992" s="70"/>
      <c r="G992" s="70"/>
      <c r="H992" s="70"/>
    </row>
    <row r="993" spans="1:8" x14ac:dyDescent="0.2">
      <c r="A993" s="440" t="str">
        <f>IF(ISBLANK(Twilight!AG898),"|",CONCATENATE(Twilight!AG898,"|"))</f>
        <v>|</v>
      </c>
      <c r="E993" s="70"/>
      <c r="F993" s="70"/>
      <c r="G993" s="70"/>
      <c r="H993" s="70"/>
    </row>
    <row r="994" spans="1:8" x14ac:dyDescent="0.2">
      <c r="A994" s="440" t="str">
        <f>IF(ISBLANK(Twilight!AG899),"|",CONCATENATE(Twilight!AG899,"|"))</f>
        <v>|</v>
      </c>
      <c r="E994" s="70"/>
      <c r="F994" s="70"/>
      <c r="G994" s="70"/>
      <c r="H994" s="70"/>
    </row>
    <row r="995" spans="1:8" x14ac:dyDescent="0.2">
      <c r="A995" s="440" t="str">
        <f>IF(ISBLANK(Twilight!AG900),"|",CONCATENATE(Twilight!AG900,"|"))</f>
        <v>|</v>
      </c>
      <c r="E995" s="70"/>
      <c r="F995" s="70"/>
      <c r="G995" s="70"/>
      <c r="H995" s="70"/>
    </row>
    <row r="996" spans="1:8" x14ac:dyDescent="0.2">
      <c r="A996" s="440" t="str">
        <f>IF(ISBLANK(Twilight!AG901),"|",CONCATENATE(Twilight!AG901,"|"))</f>
        <v>|</v>
      </c>
      <c r="E996" s="70"/>
      <c r="F996" s="70"/>
      <c r="G996" s="70"/>
      <c r="H996" s="70"/>
    </row>
    <row r="997" spans="1:8" x14ac:dyDescent="0.2">
      <c r="A997" s="440" t="str">
        <f>IF(ISBLANK(Twilight!AG902),"|",CONCATENATE(Twilight!AG902,"|"))</f>
        <v>|</v>
      </c>
      <c r="E997" s="70"/>
      <c r="F997" s="70"/>
      <c r="G997" s="70"/>
      <c r="H997" s="70"/>
    </row>
    <row r="998" spans="1:8" x14ac:dyDescent="0.2">
      <c r="A998" s="440" t="str">
        <f>IF(ISBLANK(Twilight!AG903),"|",CONCATENATE(Twilight!AG903,"|"))</f>
        <v>|</v>
      </c>
      <c r="E998" s="70"/>
      <c r="F998" s="70"/>
      <c r="G998" s="70"/>
      <c r="H998" s="70"/>
    </row>
    <row r="999" spans="1:8" x14ac:dyDescent="0.2">
      <c r="A999" s="440" t="str">
        <f>IF(ISBLANK(Twilight!AG904),"|",CONCATENATE(Twilight!AG904,"|"))</f>
        <v>|</v>
      </c>
      <c r="E999" s="70"/>
      <c r="F999" s="70"/>
      <c r="G999" s="70"/>
      <c r="H999" s="70"/>
    </row>
    <row r="1000" spans="1:8" x14ac:dyDescent="0.2">
      <c r="A1000" s="440" t="str">
        <f>IF(ISBLANK(Twilight!AG905),"|",CONCATENATE(Twilight!AG905,"|"))</f>
        <v>|</v>
      </c>
      <c r="E1000" s="70"/>
      <c r="F1000" s="70"/>
      <c r="G1000" s="70"/>
      <c r="H1000" s="70"/>
    </row>
    <row r="1001" spans="1:8" x14ac:dyDescent="0.2">
      <c r="A1001" s="440" t="str">
        <f>IF(ISBLANK(Twilight!AG906),"|",CONCATENATE(Twilight!AG906,"|"))</f>
        <v>|</v>
      </c>
      <c r="E1001" s="70"/>
      <c r="F1001" s="70"/>
      <c r="G1001" s="70"/>
      <c r="H1001" s="70"/>
    </row>
    <row r="1002" spans="1:8" x14ac:dyDescent="0.2">
      <c r="A1002" s="440" t="str">
        <f>IF(ISBLANK(Twilight!AG907),"|",CONCATENATE(Twilight!AG907,"|"))</f>
        <v>|</v>
      </c>
      <c r="E1002" s="70"/>
      <c r="F1002" s="70"/>
      <c r="G1002" s="70"/>
      <c r="H1002" s="70"/>
    </row>
    <row r="1003" spans="1:8" x14ac:dyDescent="0.2">
      <c r="A1003" s="440" t="str">
        <f>IF(ISBLANK(Twilight!AG908),"|",CONCATENATE(Twilight!AG908,"|"))</f>
        <v>|</v>
      </c>
      <c r="E1003" s="70"/>
      <c r="F1003" s="70"/>
      <c r="G1003" s="70"/>
      <c r="H1003" s="70"/>
    </row>
    <row r="1004" spans="1:8" x14ac:dyDescent="0.2">
      <c r="A1004" s="440" t="str">
        <f>IF(ISBLANK(Twilight!AG909),"|",CONCATENATE(Twilight!AG909,"|"))</f>
        <v>|</v>
      </c>
      <c r="E1004" s="70"/>
      <c r="F1004" s="70"/>
      <c r="G1004" s="70"/>
      <c r="H1004" s="70"/>
    </row>
    <row r="1005" spans="1:8" x14ac:dyDescent="0.2">
      <c r="A1005" s="440" t="str">
        <f>IF(ISBLANK(Twilight!AG910),"|",CONCATENATE(Twilight!AG910,"|"))</f>
        <v>|</v>
      </c>
      <c r="E1005" s="70"/>
      <c r="F1005" s="70"/>
      <c r="G1005" s="70"/>
      <c r="H1005" s="70"/>
    </row>
    <row r="1006" spans="1:8" x14ac:dyDescent="0.2">
      <c r="A1006" s="440" t="str">
        <f>IF(ISBLANK(Twilight!AG911),"|",CONCATENATE(Twilight!AG911,"|"))</f>
        <v>|</v>
      </c>
      <c r="E1006" s="70"/>
      <c r="F1006" s="70"/>
      <c r="G1006" s="70"/>
      <c r="H1006" s="70"/>
    </row>
    <row r="1007" spans="1:8" x14ac:dyDescent="0.2">
      <c r="A1007" s="440" t="str">
        <f>IF(ISBLANK(Twilight!AG912),"|",CONCATENATE(Twilight!AG912,"|"))</f>
        <v>|</v>
      </c>
      <c r="E1007" s="70"/>
      <c r="F1007" s="70"/>
      <c r="G1007" s="70"/>
      <c r="H1007" s="70"/>
    </row>
    <row r="1008" spans="1:8" x14ac:dyDescent="0.2">
      <c r="A1008" s="440" t="str">
        <f>IF(ISBLANK(Twilight!AG913),"|",CONCATENATE(Twilight!AG913,"|"))</f>
        <v>|</v>
      </c>
      <c r="E1008" s="70"/>
      <c r="F1008" s="70"/>
      <c r="G1008" s="70"/>
      <c r="H1008" s="70"/>
    </row>
    <row r="1009" spans="1:8" x14ac:dyDescent="0.2">
      <c r="A1009" s="440" t="str">
        <f>IF(ISBLANK(Twilight!AG914),"|",CONCATENATE(Twilight!AG914,"|"))</f>
        <v>|</v>
      </c>
      <c r="E1009" s="70"/>
      <c r="F1009" s="70"/>
      <c r="G1009" s="70"/>
      <c r="H1009" s="70"/>
    </row>
    <row r="1010" spans="1:8" x14ac:dyDescent="0.2">
      <c r="A1010" s="440" t="str">
        <f>IF(ISBLANK(Twilight!AG915),"|",CONCATENATE(Twilight!AG915,"|"))</f>
        <v>|</v>
      </c>
      <c r="E1010" s="70"/>
      <c r="F1010" s="70"/>
      <c r="G1010" s="70"/>
      <c r="H1010" s="70"/>
    </row>
    <row r="1011" spans="1:8" x14ac:dyDescent="0.2">
      <c r="A1011" s="440" t="str">
        <f>IF(ISBLANK(Twilight!AG916),"|",CONCATENATE(Twilight!AG916,"|"))</f>
        <v>|</v>
      </c>
      <c r="E1011" s="70"/>
      <c r="F1011" s="70"/>
      <c r="G1011" s="70"/>
      <c r="H1011" s="70"/>
    </row>
    <row r="1012" spans="1:8" x14ac:dyDescent="0.2">
      <c r="A1012" s="440" t="str">
        <f>IF(ISBLANK(Twilight!AG917),"|",CONCATENATE(Twilight!AG917,"|"))</f>
        <v>|</v>
      </c>
      <c r="E1012" s="70"/>
      <c r="F1012" s="70"/>
      <c r="G1012" s="70"/>
      <c r="H1012" s="70"/>
    </row>
    <row r="1013" spans="1:8" x14ac:dyDescent="0.2">
      <c r="A1013" s="440" t="str">
        <f>IF(ISBLANK(Twilight!AG918),"|",CONCATENATE(Twilight!AG918,"|"))</f>
        <v>|</v>
      </c>
      <c r="E1013" s="70"/>
      <c r="F1013" s="70"/>
      <c r="G1013" s="70"/>
      <c r="H1013" s="70"/>
    </row>
    <row r="1014" spans="1:8" x14ac:dyDescent="0.2">
      <c r="A1014" s="440" t="str">
        <f>IF(ISBLANK(Twilight!AG919),"|",CONCATENATE(Twilight!AG919,"|"))</f>
        <v>|</v>
      </c>
      <c r="E1014" s="70"/>
      <c r="F1014" s="70"/>
      <c r="G1014" s="70"/>
      <c r="H1014" s="70"/>
    </row>
    <row r="1015" spans="1:8" x14ac:dyDescent="0.2">
      <c r="A1015" s="440" t="str">
        <f>IF(ISBLANK(Twilight!AG920),"|",CONCATENATE(Twilight!AG920,"|"))</f>
        <v>|</v>
      </c>
      <c r="E1015" s="70"/>
      <c r="F1015" s="70"/>
      <c r="G1015" s="70"/>
      <c r="H1015" s="70"/>
    </row>
    <row r="1016" spans="1:8" x14ac:dyDescent="0.2">
      <c r="A1016" s="440" t="str">
        <f>IF(ISBLANK(Twilight!AG921),"|",CONCATENATE(Twilight!AG921,"|"))</f>
        <v>|</v>
      </c>
      <c r="E1016" s="70"/>
      <c r="F1016" s="70"/>
      <c r="G1016" s="70"/>
      <c r="H1016" s="70"/>
    </row>
    <row r="1017" spans="1:8" x14ac:dyDescent="0.2">
      <c r="A1017" s="440" t="str">
        <f>IF(ISBLANK(Twilight!AG922),"|",CONCATENATE(Twilight!AG922,"|"))</f>
        <v>|</v>
      </c>
      <c r="E1017" s="70"/>
      <c r="F1017" s="70"/>
      <c r="G1017" s="70"/>
      <c r="H1017" s="70"/>
    </row>
    <row r="1018" spans="1:8" x14ac:dyDescent="0.2">
      <c r="A1018" s="440" t="str">
        <f>IF(ISBLANK(Twilight!AG923),"|",CONCATENATE(Twilight!AG923,"|"))</f>
        <v>|</v>
      </c>
      <c r="E1018" s="70"/>
      <c r="F1018" s="70"/>
      <c r="G1018" s="70"/>
      <c r="H1018" s="70"/>
    </row>
    <row r="1019" spans="1:8" x14ac:dyDescent="0.2">
      <c r="A1019" s="440" t="str">
        <f>IF(ISBLANK(Twilight!AG924),"|",CONCATENATE(Twilight!AG924,"|"))</f>
        <v>|</v>
      </c>
      <c r="E1019" s="70"/>
      <c r="F1019" s="70"/>
      <c r="G1019" s="70"/>
      <c r="H1019" s="70"/>
    </row>
    <row r="1020" spans="1:8" x14ac:dyDescent="0.2">
      <c r="A1020" s="440" t="str">
        <f>IF(ISBLANK(Twilight!AG925),"|",CONCATENATE(Twilight!AG925,"|"))</f>
        <v>|</v>
      </c>
      <c r="E1020" s="70"/>
      <c r="F1020" s="70"/>
      <c r="G1020" s="70"/>
      <c r="H1020" s="70"/>
    </row>
    <row r="1021" spans="1:8" x14ac:dyDescent="0.2">
      <c r="A1021" s="440" t="str">
        <f>IF(ISBLANK(Twilight!AG926),"|",CONCATENATE(Twilight!AG926,"|"))</f>
        <v>|</v>
      </c>
      <c r="E1021" s="70"/>
      <c r="F1021" s="70"/>
      <c r="G1021" s="70"/>
      <c r="H1021" s="70"/>
    </row>
    <row r="1022" spans="1:8" x14ac:dyDescent="0.2">
      <c r="A1022" s="440" t="str">
        <f>IF(ISBLANK(Twilight!AG927),"|",CONCATENATE(Twilight!AG927,"|"))</f>
        <v>|</v>
      </c>
      <c r="E1022" s="70"/>
      <c r="F1022" s="70"/>
      <c r="G1022" s="70"/>
      <c r="H1022" s="70"/>
    </row>
    <row r="1023" spans="1:8" x14ac:dyDescent="0.2">
      <c r="A1023" s="440" t="str">
        <f>IF(ISBLANK(Twilight!AG928),"|",CONCATENATE(Twilight!AG928,"|"))</f>
        <v>|</v>
      </c>
      <c r="E1023" s="70"/>
      <c r="F1023" s="70"/>
      <c r="G1023" s="70"/>
      <c r="H1023" s="70"/>
    </row>
    <row r="1024" spans="1:8" x14ac:dyDescent="0.2">
      <c r="A1024" s="440" t="str">
        <f>IF(ISBLANK(Twilight!AG929),"|",CONCATENATE(Twilight!AG929,"|"))</f>
        <v>|</v>
      </c>
      <c r="E1024" s="70"/>
      <c r="F1024" s="70"/>
      <c r="G1024" s="70"/>
      <c r="H1024" s="70"/>
    </row>
    <row r="1025" spans="1:8" x14ac:dyDescent="0.2">
      <c r="A1025" s="440" t="str">
        <f>IF(ISBLANK(Twilight!AG930),"|",CONCATENATE(Twilight!AG930,"|"))</f>
        <v>|</v>
      </c>
      <c r="E1025" s="70"/>
      <c r="F1025" s="70"/>
      <c r="G1025" s="70"/>
      <c r="H1025" s="70"/>
    </row>
    <row r="1026" spans="1:8" x14ac:dyDescent="0.2">
      <c r="A1026" s="440" t="str">
        <f>IF(ISBLANK(Twilight!AG931),"|",CONCATENATE(Twilight!AG931,"|"))</f>
        <v>|</v>
      </c>
      <c r="E1026" s="70"/>
      <c r="F1026" s="70"/>
      <c r="G1026" s="70"/>
      <c r="H1026" s="70"/>
    </row>
    <row r="1027" spans="1:8" x14ac:dyDescent="0.2">
      <c r="A1027" s="440" t="str">
        <f>IF(ISBLANK(Twilight!AG932),"|",CONCATENATE(Twilight!AG932,"|"))</f>
        <v>|</v>
      </c>
      <c r="E1027" s="70"/>
      <c r="F1027" s="70"/>
      <c r="G1027" s="70"/>
      <c r="H1027" s="70"/>
    </row>
    <row r="1028" spans="1:8" x14ac:dyDescent="0.2">
      <c r="A1028" s="440" t="str">
        <f>IF(ISBLANK(Twilight!AG933),"|",CONCATENATE(Twilight!AG933,"|"))</f>
        <v>|</v>
      </c>
      <c r="E1028" s="70"/>
      <c r="F1028" s="70"/>
      <c r="G1028" s="70"/>
      <c r="H1028" s="70"/>
    </row>
    <row r="1029" spans="1:8" x14ac:dyDescent="0.2">
      <c r="A1029" s="440" t="str">
        <f>IF(ISBLANK(Twilight!AG934),"|",CONCATENATE(Twilight!AG934,"|"))</f>
        <v>|</v>
      </c>
      <c r="E1029" s="70"/>
      <c r="F1029" s="70"/>
      <c r="G1029" s="70"/>
      <c r="H1029" s="70"/>
    </row>
    <row r="1030" spans="1:8" x14ac:dyDescent="0.2">
      <c r="A1030" s="440" t="str">
        <f>IF(ISBLANK(Twilight!AG935),"|",CONCATENATE(Twilight!AG935,"|"))</f>
        <v>|</v>
      </c>
      <c r="E1030" s="70"/>
      <c r="F1030" s="70"/>
      <c r="G1030" s="70"/>
      <c r="H1030" s="70"/>
    </row>
    <row r="1031" spans="1:8" x14ac:dyDescent="0.2">
      <c r="A1031" s="440" t="str">
        <f>IF(ISBLANK(Twilight!AG936),"|",CONCATENATE(Twilight!AG936,"|"))</f>
        <v>|</v>
      </c>
      <c r="E1031" s="70"/>
      <c r="F1031" s="70"/>
      <c r="G1031" s="70"/>
      <c r="H1031" s="70"/>
    </row>
    <row r="1032" spans="1:8" x14ac:dyDescent="0.2">
      <c r="A1032" s="440" t="str">
        <f>IF(ISBLANK(Twilight!AG937),"|",CONCATENATE(Twilight!AG937,"|"))</f>
        <v>|</v>
      </c>
      <c r="E1032" s="70"/>
      <c r="F1032" s="70"/>
      <c r="G1032" s="70"/>
      <c r="H1032" s="70"/>
    </row>
    <row r="1033" spans="1:8" x14ac:dyDescent="0.2">
      <c r="A1033" s="440" t="str">
        <f>IF(ISBLANK(Twilight!AG938),"|",CONCATENATE(Twilight!AG938,"|"))</f>
        <v>|</v>
      </c>
      <c r="E1033" s="70"/>
      <c r="F1033" s="70"/>
      <c r="G1033" s="70"/>
      <c r="H1033" s="70"/>
    </row>
    <row r="1034" spans="1:8" x14ac:dyDescent="0.2">
      <c r="A1034" s="440" t="str">
        <f>IF(ISBLANK(Twilight!AG939),"|",CONCATENATE(Twilight!AG939,"|"))</f>
        <v>|</v>
      </c>
      <c r="E1034" s="70"/>
      <c r="F1034" s="70"/>
      <c r="G1034" s="70"/>
      <c r="H1034" s="70"/>
    </row>
    <row r="1035" spans="1:8" x14ac:dyDescent="0.2">
      <c r="A1035" s="440" t="str">
        <f>IF(ISBLANK(Twilight!AG940),"|",CONCATENATE(Twilight!AG940,"|"))</f>
        <v>|</v>
      </c>
      <c r="E1035" s="70"/>
      <c r="F1035" s="70"/>
      <c r="G1035" s="70"/>
      <c r="H1035" s="70"/>
    </row>
    <row r="1036" spans="1:8" x14ac:dyDescent="0.2">
      <c r="A1036" s="440" t="str">
        <f>IF(ISBLANK(Twilight!AG941),"|",CONCATENATE(Twilight!AG941,"|"))</f>
        <v>|</v>
      </c>
      <c r="E1036" s="70"/>
      <c r="F1036" s="70"/>
      <c r="G1036" s="70"/>
      <c r="H1036" s="70"/>
    </row>
    <row r="1037" spans="1:8" x14ac:dyDescent="0.2">
      <c r="A1037" s="440" t="str">
        <f>IF(ISBLANK(Twilight!AG942),"|",CONCATENATE(Twilight!AG942,"|"))</f>
        <v>|</v>
      </c>
      <c r="E1037" s="70"/>
      <c r="F1037" s="70"/>
      <c r="G1037" s="70"/>
      <c r="H1037" s="70"/>
    </row>
    <row r="1038" spans="1:8" x14ac:dyDescent="0.2">
      <c r="A1038" s="440" t="str">
        <f>IF(ISBLANK(Twilight!AG943),"|",CONCATENATE(Twilight!AG943,"|"))</f>
        <v>|</v>
      </c>
      <c r="E1038" s="70"/>
      <c r="F1038" s="70"/>
      <c r="G1038" s="70"/>
      <c r="H1038" s="70"/>
    </row>
    <row r="1039" spans="1:8" x14ac:dyDescent="0.2">
      <c r="A1039" s="440" t="str">
        <f>IF(ISBLANK(Twilight!AG944),"|",CONCATENATE(Twilight!AG944,"|"))</f>
        <v>|</v>
      </c>
      <c r="E1039" s="70"/>
      <c r="F1039" s="70"/>
      <c r="G1039" s="70"/>
      <c r="H1039" s="70"/>
    </row>
    <row r="1040" spans="1:8" x14ac:dyDescent="0.2">
      <c r="A1040" s="440" t="str">
        <f>IF(ISBLANK(Twilight!AG945),"|",CONCATENATE(Twilight!AG945,"|"))</f>
        <v>|</v>
      </c>
      <c r="E1040" s="70"/>
      <c r="F1040" s="70"/>
      <c r="G1040" s="70"/>
      <c r="H1040" s="70"/>
    </row>
    <row r="1041" spans="1:8" x14ac:dyDescent="0.2">
      <c r="A1041" s="440" t="str">
        <f>IF(ISBLANK(Twilight!AG946),"|",CONCATENATE(Twilight!AG946,"|"))</f>
        <v>|</v>
      </c>
      <c r="E1041" s="70"/>
      <c r="F1041" s="70"/>
      <c r="G1041" s="70"/>
      <c r="H1041" s="70"/>
    </row>
    <row r="1042" spans="1:8" x14ac:dyDescent="0.2">
      <c r="A1042" s="440" t="str">
        <f>IF(ISBLANK(Twilight!AG947),"|",CONCATENATE(Twilight!AG947,"|"))</f>
        <v>|</v>
      </c>
      <c r="E1042" s="70"/>
      <c r="F1042" s="70"/>
      <c r="G1042" s="70"/>
      <c r="H1042" s="70"/>
    </row>
    <row r="1043" spans="1:8" x14ac:dyDescent="0.2">
      <c r="A1043" s="440" t="str">
        <f>IF(ISBLANK(Twilight!AG948),"|",CONCATENATE(Twilight!AG948,"|"))</f>
        <v>|</v>
      </c>
      <c r="E1043" s="70"/>
      <c r="F1043" s="70"/>
      <c r="G1043" s="70"/>
      <c r="H1043" s="70"/>
    </row>
    <row r="1044" spans="1:8" x14ac:dyDescent="0.2">
      <c r="A1044" s="440" t="str">
        <f>IF(ISBLANK(Twilight!AG949),"|",CONCATENATE(Twilight!AG949,"|"))</f>
        <v>|</v>
      </c>
      <c r="E1044" s="70"/>
      <c r="F1044" s="70"/>
      <c r="G1044" s="70"/>
      <c r="H1044" s="70"/>
    </row>
    <row r="1045" spans="1:8" x14ac:dyDescent="0.2">
      <c r="A1045" s="440" t="str">
        <f>IF(ISBLANK(Twilight!AG950),"|",CONCATENATE(Twilight!AG950,"|"))</f>
        <v>|</v>
      </c>
      <c r="E1045" s="70"/>
      <c r="F1045" s="70"/>
      <c r="G1045" s="70"/>
      <c r="H1045" s="70"/>
    </row>
    <row r="1046" spans="1:8" x14ac:dyDescent="0.2">
      <c r="A1046" s="440" t="str">
        <f>IF(ISBLANK(Twilight!AG951),"|",CONCATENATE(Twilight!AG951,"|"))</f>
        <v>|</v>
      </c>
      <c r="E1046" s="70"/>
      <c r="F1046" s="70"/>
      <c r="G1046" s="70"/>
      <c r="H1046" s="70"/>
    </row>
    <row r="1047" spans="1:8" x14ac:dyDescent="0.2">
      <c r="A1047" s="440" t="str">
        <f>IF(ISBLANK(Twilight!AG952),"|",CONCATENATE(Twilight!AG952,"|"))</f>
        <v>|</v>
      </c>
      <c r="E1047" s="70"/>
      <c r="F1047" s="70"/>
      <c r="G1047" s="70"/>
      <c r="H1047" s="70"/>
    </row>
    <row r="1048" spans="1:8" x14ac:dyDescent="0.2">
      <c r="A1048" s="440" t="str">
        <f>IF(ISBLANK(Twilight!AG953),"|",CONCATENATE(Twilight!AG953,"|"))</f>
        <v>|</v>
      </c>
      <c r="E1048" s="70"/>
      <c r="F1048" s="70"/>
      <c r="G1048" s="70"/>
      <c r="H1048" s="70"/>
    </row>
    <row r="1049" spans="1:8" x14ac:dyDescent="0.2">
      <c r="A1049" s="440" t="str">
        <f>IF(ISBLANK(Twilight!AG954),"|",CONCATENATE(Twilight!AG954,"|"))</f>
        <v>|</v>
      </c>
      <c r="E1049" s="70"/>
      <c r="F1049" s="70"/>
      <c r="G1049" s="70"/>
      <c r="H1049" s="70"/>
    </row>
    <row r="1050" spans="1:8" x14ac:dyDescent="0.2">
      <c r="A1050" s="440" t="str">
        <f>IF(ISBLANK(Twilight!AG955),"|",CONCATENATE(Twilight!AG955,"|"))</f>
        <v>|</v>
      </c>
      <c r="E1050" s="70"/>
      <c r="F1050" s="70"/>
      <c r="G1050" s="70"/>
      <c r="H1050" s="70"/>
    </row>
    <row r="1051" spans="1:8" x14ac:dyDescent="0.2">
      <c r="A1051" s="440" t="str">
        <f>IF(ISBLANK(Twilight!AG956),"|",CONCATENATE(Twilight!AG956,"|"))</f>
        <v>|</v>
      </c>
      <c r="E1051" s="70"/>
      <c r="F1051" s="70"/>
      <c r="G1051" s="70"/>
      <c r="H1051" s="70"/>
    </row>
    <row r="1052" spans="1:8" x14ac:dyDescent="0.2">
      <c r="A1052" s="440" t="str">
        <f>IF(ISBLANK(Twilight!AG957),"|",CONCATENATE(Twilight!AG957,"|"))</f>
        <v>|</v>
      </c>
      <c r="E1052" s="70"/>
      <c r="F1052" s="70"/>
      <c r="G1052" s="70"/>
      <c r="H1052" s="70"/>
    </row>
    <row r="1053" spans="1:8" x14ac:dyDescent="0.2">
      <c r="A1053" s="440" t="str">
        <f>IF(ISBLANK(Twilight!AG958),"|",CONCATENATE(Twilight!AG958,"|"))</f>
        <v>|</v>
      </c>
      <c r="E1053" s="70"/>
      <c r="F1053" s="70"/>
      <c r="G1053" s="70"/>
      <c r="H1053" s="70"/>
    </row>
    <row r="1054" spans="1:8" x14ac:dyDescent="0.2">
      <c r="A1054" s="440" t="str">
        <f>IF(ISBLANK(Twilight!AG959),"|",CONCATENATE(Twilight!AG959,"|"))</f>
        <v>|</v>
      </c>
      <c r="E1054" s="70"/>
      <c r="F1054" s="70"/>
      <c r="G1054" s="70"/>
      <c r="H1054" s="70"/>
    </row>
    <row r="1055" spans="1:8" x14ac:dyDescent="0.2">
      <c r="A1055" s="440" t="str">
        <f>IF(ISBLANK(Twilight!AG960),"|",CONCATENATE(Twilight!AG960,"|"))</f>
        <v>|</v>
      </c>
      <c r="E1055" s="70"/>
      <c r="F1055" s="70"/>
      <c r="G1055" s="70"/>
      <c r="H1055" s="70"/>
    </row>
    <row r="1056" spans="1:8" x14ac:dyDescent="0.2">
      <c r="A1056" s="440" t="str">
        <f>IF(ISBLANK(Twilight!AG961),"|",CONCATENATE(Twilight!AG961,"|"))</f>
        <v>|</v>
      </c>
      <c r="E1056" s="70"/>
      <c r="F1056" s="70"/>
      <c r="G1056" s="70"/>
      <c r="H1056" s="70"/>
    </row>
    <row r="1057" spans="1:8" x14ac:dyDescent="0.2">
      <c r="A1057" s="440" t="str">
        <f>IF(ISBLANK(Twilight!AG962),"|",CONCATENATE(Twilight!AG962,"|"))</f>
        <v>|</v>
      </c>
      <c r="E1057" s="70"/>
      <c r="F1057" s="70"/>
      <c r="G1057" s="70"/>
      <c r="H1057" s="70"/>
    </row>
    <row r="1058" spans="1:8" x14ac:dyDescent="0.2">
      <c r="A1058" s="440" t="str">
        <f>IF(ISBLANK(Twilight!AG963),"|",CONCATENATE(Twilight!AG963,"|"))</f>
        <v>|</v>
      </c>
      <c r="E1058" s="70"/>
      <c r="F1058" s="70"/>
      <c r="G1058" s="70"/>
      <c r="H1058" s="70"/>
    </row>
    <row r="1059" spans="1:8" x14ac:dyDescent="0.2">
      <c r="A1059" s="440" t="str">
        <f>IF(ISBLANK(Twilight!AG964),"|",CONCATENATE(Twilight!AG964,"|"))</f>
        <v>|</v>
      </c>
      <c r="E1059" s="70"/>
      <c r="F1059" s="70"/>
      <c r="G1059" s="70"/>
      <c r="H1059" s="70"/>
    </row>
    <row r="1060" spans="1:8" x14ac:dyDescent="0.2">
      <c r="A1060" s="440" t="str">
        <f>IF(ISBLANK(Twilight!AG965),"|",CONCATENATE(Twilight!AG965,"|"))</f>
        <v>|</v>
      </c>
      <c r="E1060" s="70"/>
      <c r="F1060" s="70"/>
      <c r="G1060" s="70"/>
      <c r="H1060" s="70"/>
    </row>
    <row r="1061" spans="1:8" x14ac:dyDescent="0.2">
      <c r="A1061" s="440" t="str">
        <f>IF(ISBLANK(Twilight!AG966),"|",CONCATENATE(Twilight!AG966,"|"))</f>
        <v>|</v>
      </c>
      <c r="E1061" s="70"/>
      <c r="F1061" s="70"/>
      <c r="G1061" s="70"/>
      <c r="H1061" s="70"/>
    </row>
    <row r="1062" spans="1:8" x14ac:dyDescent="0.2">
      <c r="A1062" s="440" t="str">
        <f>IF(ISBLANK(Twilight!AG967),"|",CONCATENATE(Twilight!AG967,"|"))</f>
        <v>|</v>
      </c>
      <c r="E1062" s="70"/>
      <c r="F1062" s="70"/>
      <c r="G1062" s="70"/>
      <c r="H1062" s="70"/>
    </row>
    <row r="1063" spans="1:8" x14ac:dyDescent="0.2">
      <c r="A1063" s="440" t="str">
        <f>IF(ISBLANK(Twilight!AG968),"|",CONCATENATE(Twilight!AG968,"|"))</f>
        <v>|</v>
      </c>
      <c r="E1063" s="70"/>
      <c r="F1063" s="70"/>
      <c r="G1063" s="70"/>
      <c r="H1063" s="70"/>
    </row>
    <row r="1064" spans="1:8" x14ac:dyDescent="0.2">
      <c r="A1064" s="440" t="str">
        <f>IF(ISBLANK(Twilight!AG969),"|",CONCATENATE(Twilight!AG969,"|"))</f>
        <v>|</v>
      </c>
      <c r="E1064" s="70"/>
      <c r="F1064" s="70"/>
      <c r="G1064" s="70"/>
      <c r="H1064" s="70"/>
    </row>
    <row r="1065" spans="1:8" x14ac:dyDescent="0.2">
      <c r="A1065" s="440" t="str">
        <f>IF(ISBLANK(Twilight!AG970),"|",CONCATENATE(Twilight!AG970,"|"))</f>
        <v>|</v>
      </c>
      <c r="E1065" s="70"/>
      <c r="F1065" s="70"/>
      <c r="G1065" s="70"/>
      <c r="H1065" s="70"/>
    </row>
    <row r="1066" spans="1:8" x14ac:dyDescent="0.2">
      <c r="A1066" s="440" t="str">
        <f>IF(ISBLANK(Twilight!AG971),"|",CONCATENATE(Twilight!AG971,"|"))</f>
        <v>|</v>
      </c>
      <c r="E1066" s="70"/>
      <c r="F1066" s="70"/>
      <c r="G1066" s="70"/>
      <c r="H1066" s="70"/>
    </row>
    <row r="1067" spans="1:8" x14ac:dyDescent="0.2">
      <c r="A1067" s="440" t="str">
        <f>IF(ISBLANK(Twilight!AG972),"|",CONCATENATE(Twilight!AG972,"|"))</f>
        <v>|</v>
      </c>
      <c r="E1067" s="70"/>
      <c r="F1067" s="70"/>
      <c r="G1067" s="70"/>
      <c r="H1067" s="70"/>
    </row>
    <row r="1068" spans="1:8" x14ac:dyDescent="0.2">
      <c r="A1068" s="440" t="str">
        <f>IF(ISBLANK(Twilight!AG973),"|",CONCATENATE(Twilight!AG973,"|"))</f>
        <v>|</v>
      </c>
      <c r="E1068" s="70"/>
      <c r="F1068" s="70"/>
      <c r="G1068" s="70"/>
      <c r="H1068" s="70"/>
    </row>
    <row r="1069" spans="1:8" x14ac:dyDescent="0.2">
      <c r="A1069" s="440" t="str">
        <f>IF(ISBLANK(Twilight!AG974),"|",CONCATENATE(Twilight!AG974,"|"))</f>
        <v>|</v>
      </c>
      <c r="E1069" s="70"/>
      <c r="F1069" s="70"/>
      <c r="G1069" s="70"/>
      <c r="H1069" s="70"/>
    </row>
    <row r="1070" spans="1:8" x14ac:dyDescent="0.2">
      <c r="A1070" s="440" t="str">
        <f>IF(ISBLANK(Twilight!AG975),"|",CONCATENATE(Twilight!AG975,"|"))</f>
        <v>|</v>
      </c>
      <c r="E1070" s="70"/>
      <c r="F1070" s="70"/>
      <c r="G1070" s="70"/>
      <c r="H1070" s="70"/>
    </row>
    <row r="1071" spans="1:8" x14ac:dyDescent="0.2">
      <c r="A1071" s="440" t="str">
        <f>IF(ISBLANK(Twilight!AG976),"|",CONCATENATE(Twilight!AG976,"|"))</f>
        <v>|</v>
      </c>
      <c r="E1071" s="70"/>
      <c r="F1071" s="70"/>
      <c r="G1071" s="70"/>
      <c r="H1071" s="70"/>
    </row>
    <row r="1072" spans="1:8" x14ac:dyDescent="0.2">
      <c r="A1072" s="440" t="str">
        <f>IF(ISBLANK(Twilight!AG977),"|",CONCATENATE(Twilight!AG977,"|"))</f>
        <v>|</v>
      </c>
      <c r="E1072" s="70"/>
      <c r="F1072" s="70"/>
      <c r="G1072" s="70"/>
      <c r="H1072" s="70"/>
    </row>
    <row r="1073" spans="1:8" x14ac:dyDescent="0.2">
      <c r="A1073" s="440" t="str">
        <f>IF(ISBLANK(Twilight!AG978),"|",CONCATENATE(Twilight!AG978,"|"))</f>
        <v>|</v>
      </c>
      <c r="E1073" s="70"/>
      <c r="F1073" s="70"/>
      <c r="G1073" s="70"/>
      <c r="H1073" s="70"/>
    </row>
    <row r="1074" spans="1:8" x14ac:dyDescent="0.2">
      <c r="A1074" s="440" t="str">
        <f>IF(ISBLANK(Twilight!AG979),"|",CONCATENATE(Twilight!AG979,"|"))</f>
        <v>|</v>
      </c>
      <c r="E1074" s="70"/>
      <c r="F1074" s="70"/>
      <c r="G1074" s="70"/>
      <c r="H1074" s="70"/>
    </row>
    <row r="1075" spans="1:8" x14ac:dyDescent="0.2">
      <c r="A1075" s="440" t="str">
        <f>IF(ISBLANK(Twilight!AG980),"|",CONCATENATE(Twilight!AG980,"|"))</f>
        <v>|</v>
      </c>
      <c r="E1075" s="70"/>
      <c r="F1075" s="70"/>
      <c r="G1075" s="70"/>
      <c r="H1075" s="70"/>
    </row>
    <row r="1076" spans="1:8" x14ac:dyDescent="0.2">
      <c r="A1076" s="440" t="str">
        <f>IF(ISBLANK(Twilight!AG981),"|",CONCATENATE(Twilight!AG981,"|"))</f>
        <v>|</v>
      </c>
      <c r="E1076" s="70"/>
      <c r="F1076" s="70"/>
      <c r="G1076" s="70"/>
      <c r="H1076" s="70"/>
    </row>
    <row r="1077" spans="1:8" x14ac:dyDescent="0.2">
      <c r="A1077" s="440" t="str">
        <f>IF(ISBLANK(Twilight!AG982),"|",CONCATENATE(Twilight!AG982,"|"))</f>
        <v>|</v>
      </c>
      <c r="E1077" s="70"/>
      <c r="F1077" s="70"/>
      <c r="G1077" s="70"/>
      <c r="H1077" s="70"/>
    </row>
    <row r="1078" spans="1:8" x14ac:dyDescent="0.2">
      <c r="A1078" s="440" t="str">
        <f>IF(ISBLANK(Twilight!AG983),"|",CONCATENATE(Twilight!AG983,"|"))</f>
        <v>|</v>
      </c>
      <c r="E1078" s="70"/>
      <c r="F1078" s="70"/>
      <c r="G1078" s="70"/>
      <c r="H1078" s="70"/>
    </row>
    <row r="1079" spans="1:8" x14ac:dyDescent="0.2">
      <c r="A1079" s="440" t="str">
        <f>IF(ISBLANK(Twilight!AG984),"|",CONCATENATE(Twilight!AG984,"|"))</f>
        <v>|</v>
      </c>
      <c r="E1079" s="70"/>
      <c r="F1079" s="70"/>
      <c r="G1079" s="70"/>
      <c r="H1079" s="70"/>
    </row>
    <row r="1080" spans="1:8" x14ac:dyDescent="0.2">
      <c r="A1080" s="440" t="str">
        <f>IF(ISBLANK(Twilight!AG985),"|",CONCATENATE(Twilight!AG985,"|"))</f>
        <v>|</v>
      </c>
      <c r="E1080" s="70"/>
      <c r="F1080" s="70"/>
      <c r="G1080" s="70"/>
      <c r="H1080" s="70"/>
    </row>
    <row r="1081" spans="1:8" x14ac:dyDescent="0.2">
      <c r="A1081" s="440" t="str">
        <f>IF(ISBLANK(Twilight!AG986),"|",CONCATENATE(Twilight!AG986,"|"))</f>
        <v>|</v>
      </c>
      <c r="E1081" s="70"/>
      <c r="F1081" s="70"/>
      <c r="G1081" s="70"/>
      <c r="H1081" s="70"/>
    </row>
    <row r="1082" spans="1:8" x14ac:dyDescent="0.2">
      <c r="A1082" s="440" t="str">
        <f>IF(ISBLANK(Twilight!AG987),"|",CONCATENATE(Twilight!AG987,"|"))</f>
        <v>|</v>
      </c>
      <c r="E1082" s="70"/>
      <c r="F1082" s="70"/>
      <c r="G1082" s="70"/>
      <c r="H1082" s="70"/>
    </row>
    <row r="1083" spans="1:8" x14ac:dyDescent="0.2">
      <c r="A1083" s="440" t="str">
        <f>IF(ISBLANK(Twilight!AG988),"|",CONCATENATE(Twilight!AG988,"|"))</f>
        <v>|</v>
      </c>
      <c r="E1083" s="70"/>
      <c r="F1083" s="70"/>
      <c r="G1083" s="70"/>
      <c r="H1083" s="70"/>
    </row>
    <row r="1084" spans="1:8" x14ac:dyDescent="0.2">
      <c r="A1084" s="440" t="str">
        <f>IF(ISBLANK(Twilight!AG989),"|",CONCATENATE(Twilight!AG989,"|"))</f>
        <v>|</v>
      </c>
      <c r="E1084" s="70"/>
      <c r="F1084" s="70"/>
      <c r="G1084" s="70"/>
      <c r="H1084" s="70"/>
    </row>
    <row r="1085" spans="1:8" x14ac:dyDescent="0.2">
      <c r="A1085" s="440" t="str">
        <f>IF(ISBLANK(Twilight!AG990),"|",CONCATENATE(Twilight!AG990,"|"))</f>
        <v>|</v>
      </c>
      <c r="E1085" s="70"/>
      <c r="F1085" s="70"/>
      <c r="G1085" s="70"/>
      <c r="H1085" s="70"/>
    </row>
    <row r="1086" spans="1:8" x14ac:dyDescent="0.2">
      <c r="A1086" s="440" t="str">
        <f>IF(ISBLANK(Twilight!AG991),"|",CONCATENATE(Twilight!AG991,"|"))</f>
        <v>|</v>
      </c>
      <c r="E1086" s="70"/>
      <c r="F1086" s="70"/>
      <c r="G1086" s="70"/>
      <c r="H1086" s="70"/>
    </row>
    <row r="1087" spans="1:8" x14ac:dyDescent="0.2">
      <c r="A1087" s="440" t="str">
        <f>IF(ISBLANK(Twilight!AG992),"|",CONCATENATE(Twilight!AG992,"|"))</f>
        <v>|</v>
      </c>
      <c r="E1087" s="70"/>
      <c r="F1087" s="70"/>
      <c r="G1087" s="70"/>
      <c r="H1087" s="70"/>
    </row>
    <row r="1088" spans="1:8" x14ac:dyDescent="0.2">
      <c r="A1088" s="440" t="str">
        <f>IF(ISBLANK(Twilight!AG993),"|",CONCATENATE(Twilight!AG993,"|"))</f>
        <v>|</v>
      </c>
      <c r="E1088" s="70"/>
      <c r="F1088" s="70"/>
      <c r="G1088" s="70"/>
      <c r="H1088" s="70"/>
    </row>
    <row r="1089" spans="1:8" x14ac:dyDescent="0.2">
      <c r="A1089" s="440" t="str">
        <f>IF(ISBLANK(Twilight!AG994),"|",CONCATENATE(Twilight!AG994,"|"))</f>
        <v>|</v>
      </c>
      <c r="E1089" s="70"/>
      <c r="F1089" s="70"/>
      <c r="G1089" s="70"/>
      <c r="H1089" s="70"/>
    </row>
    <row r="1090" spans="1:8" x14ac:dyDescent="0.2">
      <c r="A1090" s="440" t="str">
        <f>IF(ISBLANK(Twilight!AG995),"|",CONCATENATE(Twilight!AG995,"|"))</f>
        <v>|</v>
      </c>
      <c r="E1090" s="70"/>
      <c r="F1090" s="70"/>
      <c r="G1090" s="70"/>
      <c r="H1090" s="70"/>
    </row>
    <row r="1091" spans="1:8" x14ac:dyDescent="0.2">
      <c r="A1091" s="440" t="str">
        <f>IF(ISBLANK(Twilight!AG996),"|",CONCATENATE(Twilight!AG996,"|"))</f>
        <v>|</v>
      </c>
      <c r="E1091" s="70"/>
      <c r="F1091" s="70"/>
      <c r="G1091" s="70"/>
      <c r="H1091" s="70"/>
    </row>
    <row r="1092" spans="1:8" x14ac:dyDescent="0.2">
      <c r="A1092" s="440" t="str">
        <f>IF(ISBLANK(Twilight!AG997),"|",CONCATENATE(Twilight!AG997,"|"))</f>
        <v>|</v>
      </c>
      <c r="E1092" s="70"/>
      <c r="F1092" s="70"/>
      <c r="G1092" s="70"/>
      <c r="H1092" s="70"/>
    </row>
    <row r="1093" spans="1:8" x14ac:dyDescent="0.2">
      <c r="A1093" s="440" t="str">
        <f>IF(ISBLANK(Twilight!AG998),"|",CONCATENATE(Twilight!AG998,"|"))</f>
        <v>|</v>
      </c>
      <c r="E1093" s="70"/>
      <c r="F1093" s="70"/>
      <c r="G1093" s="70"/>
      <c r="H1093" s="70"/>
    </row>
    <row r="1094" spans="1:8" x14ac:dyDescent="0.2">
      <c r="A1094" s="440" t="str">
        <f>IF(ISBLANK(Twilight!AG999),"|",CONCATENATE(Twilight!AG999,"|"))</f>
        <v>|</v>
      </c>
      <c r="E1094" s="70"/>
      <c r="F1094" s="70"/>
      <c r="G1094" s="70"/>
      <c r="H1094" s="70"/>
    </row>
    <row r="1095" spans="1:8" x14ac:dyDescent="0.2">
      <c r="A1095" s="440" t="str">
        <f>IF(ISBLANK(Twilight!AG1000),"|",CONCATENATE(Twilight!AG1000,"|"))</f>
        <v>|</v>
      </c>
      <c r="E1095" s="70"/>
      <c r="F1095" s="70"/>
      <c r="G1095" s="70"/>
      <c r="H1095" s="70"/>
    </row>
    <row r="1096" spans="1:8" x14ac:dyDescent="0.2">
      <c r="A1096" s="440" t="str">
        <f>IF(ISBLANK(Twilight!AG1001),"|",CONCATENATE(Twilight!AG1001,"|"))</f>
        <v>|</v>
      </c>
      <c r="E1096" s="70"/>
      <c r="F1096" s="70"/>
      <c r="G1096" s="70"/>
      <c r="H1096" s="70"/>
    </row>
    <row r="1097" spans="1:8" x14ac:dyDescent="0.2">
      <c r="A1097" s="440" t="str">
        <f>IF(ISBLANK(Twilight!AG1002),"|",CONCATENATE(Twilight!AG1002,"|"))</f>
        <v>|</v>
      </c>
      <c r="E1097" s="70"/>
      <c r="F1097" s="70"/>
      <c r="G1097" s="70"/>
      <c r="H1097" s="70"/>
    </row>
    <row r="1098" spans="1:8" x14ac:dyDescent="0.2">
      <c r="A1098" s="440" t="str">
        <f>IF(ISBLANK(Twilight!AG1003),"|",CONCATENATE(Twilight!AG1003,"|"))</f>
        <v>|</v>
      </c>
      <c r="E1098" s="70"/>
      <c r="F1098" s="70"/>
      <c r="G1098" s="70"/>
      <c r="H1098" s="70"/>
    </row>
    <row r="1099" spans="1:8" x14ac:dyDescent="0.2">
      <c r="A1099" s="440" t="str">
        <f>IF(ISBLANK(Twilight!AG1004),"|",CONCATENATE(Twilight!AG1004,"|"))</f>
        <v>|</v>
      </c>
      <c r="E1099" s="70"/>
      <c r="F1099" s="70"/>
      <c r="G1099" s="70"/>
      <c r="H1099" s="70"/>
    </row>
    <row r="1100" spans="1:8" x14ac:dyDescent="0.2">
      <c r="A1100" s="440" t="str">
        <f>IF(ISBLANK(Twilight!AG1005),"|",CONCATENATE(Twilight!AG1005,"|"))</f>
        <v>|</v>
      </c>
      <c r="E1100" s="70"/>
      <c r="F1100" s="70"/>
      <c r="G1100" s="70"/>
      <c r="H1100" s="70"/>
    </row>
    <row r="1101" spans="1:8" x14ac:dyDescent="0.2">
      <c r="A1101" s="440" t="str">
        <f>IF(ISBLANK(Twilight!AG1006),"|",CONCATENATE(Twilight!AG1006,"|"))</f>
        <v>|</v>
      </c>
      <c r="E1101" s="70"/>
      <c r="F1101" s="70"/>
      <c r="G1101" s="70"/>
      <c r="H1101" s="70"/>
    </row>
    <row r="1102" spans="1:8" x14ac:dyDescent="0.2">
      <c r="A1102" s="440" t="str">
        <f>IF(ISBLANK(Twilight!AG1007),"|",CONCATENATE(Twilight!AG1007,"|"))</f>
        <v>|</v>
      </c>
      <c r="E1102" s="70"/>
      <c r="F1102" s="70"/>
      <c r="G1102" s="70"/>
      <c r="H1102" s="70"/>
    </row>
    <row r="1103" spans="1:8" x14ac:dyDescent="0.2">
      <c r="A1103" s="440" t="str">
        <f>IF(ISBLANK(Twilight!AG1008),"|",CONCATENATE(Twilight!AG1008,"|"))</f>
        <v>|</v>
      </c>
      <c r="E1103" s="70"/>
      <c r="F1103" s="70"/>
      <c r="G1103" s="70"/>
      <c r="H1103" s="70"/>
    </row>
    <row r="1104" spans="1:8" x14ac:dyDescent="0.2">
      <c r="A1104" s="440" t="str">
        <f>IF(ISBLANK(Twilight!AG1009),"|",CONCATENATE(Twilight!AG1009,"|"))</f>
        <v>|</v>
      </c>
      <c r="E1104" s="70"/>
      <c r="F1104" s="70"/>
      <c r="G1104" s="70"/>
      <c r="H1104" s="70"/>
    </row>
    <row r="1105" spans="1:8" x14ac:dyDescent="0.2">
      <c r="A1105" s="440" t="str">
        <f>IF(ISBLANK(Twilight!AG1010),"|",CONCATENATE(Twilight!AG1010,"|"))</f>
        <v>|</v>
      </c>
      <c r="E1105" s="70"/>
      <c r="F1105" s="70"/>
      <c r="G1105" s="70"/>
      <c r="H1105" s="70"/>
    </row>
    <row r="1106" spans="1:8" x14ac:dyDescent="0.2">
      <c r="A1106" s="440" t="str">
        <f>IF(ISBLANK(Twilight!AG1011),"|",CONCATENATE(Twilight!AG1011,"|"))</f>
        <v>|</v>
      </c>
      <c r="E1106" s="70"/>
      <c r="F1106" s="70"/>
      <c r="G1106" s="70"/>
      <c r="H1106" s="70"/>
    </row>
    <row r="1107" spans="1:8" x14ac:dyDescent="0.2">
      <c r="A1107" s="440" t="str">
        <f>IF(ISBLANK(Twilight!AG1012),"|",CONCATENATE(Twilight!AG1012,"|"))</f>
        <v>|</v>
      </c>
      <c r="E1107" s="70"/>
      <c r="F1107" s="70"/>
      <c r="G1107" s="70"/>
      <c r="H1107" s="70"/>
    </row>
    <row r="1108" spans="1:8" x14ac:dyDescent="0.2">
      <c r="A1108" s="440" t="str">
        <f>IF(ISBLANK(Twilight!AG1013),"|",CONCATENATE(Twilight!AG1013,"|"))</f>
        <v>|</v>
      </c>
      <c r="E1108" s="70"/>
      <c r="F1108" s="70"/>
      <c r="G1108" s="70"/>
      <c r="H1108" s="70"/>
    </row>
    <row r="1109" spans="1:8" x14ac:dyDescent="0.2">
      <c r="A1109" s="440" t="str">
        <f>IF(ISBLANK(Twilight!AG1014),"|",CONCATENATE(Twilight!AG1014,"|"))</f>
        <v>|</v>
      </c>
      <c r="E1109" s="70"/>
      <c r="F1109" s="70"/>
      <c r="G1109" s="70"/>
      <c r="H1109" s="70"/>
    </row>
    <row r="1110" spans="1:8" x14ac:dyDescent="0.2">
      <c r="A1110" s="440" t="str">
        <f>IF(ISBLANK(Twilight!AG1015),"|",CONCATENATE(Twilight!AG1015,"|"))</f>
        <v>|</v>
      </c>
      <c r="E1110" s="70"/>
      <c r="F1110" s="70"/>
      <c r="G1110" s="70"/>
      <c r="H1110" s="70"/>
    </row>
    <row r="1111" spans="1:8" x14ac:dyDescent="0.2">
      <c r="A1111" s="440" t="str">
        <f>IF(ISBLANK(Twilight!AG1016),"|",CONCATENATE(Twilight!AG1016,"|"))</f>
        <v>|</v>
      </c>
      <c r="E1111" s="70"/>
      <c r="F1111" s="70"/>
      <c r="G1111" s="70"/>
      <c r="H1111" s="70"/>
    </row>
    <row r="1112" spans="1:8" x14ac:dyDescent="0.2">
      <c r="A1112" s="440" t="str">
        <f>IF(ISBLANK(Twilight!AG1017),"|",CONCATENATE(Twilight!AG1017,"|"))</f>
        <v>|</v>
      </c>
      <c r="E1112" s="70"/>
      <c r="F1112" s="70"/>
      <c r="G1112" s="70"/>
      <c r="H1112" s="70"/>
    </row>
    <row r="1113" spans="1:8" x14ac:dyDescent="0.2">
      <c r="A1113" s="440" t="str">
        <f>IF(ISBLANK(Twilight!AG1018),"|",CONCATENATE(Twilight!AG1018,"|"))</f>
        <v>|</v>
      </c>
      <c r="E1113" s="70"/>
      <c r="F1113" s="70"/>
      <c r="G1113" s="70"/>
      <c r="H1113" s="70"/>
    </row>
    <row r="1114" spans="1:8" x14ac:dyDescent="0.2">
      <c r="A1114" s="440" t="str">
        <f>IF(ISBLANK(Twilight!AG1019),"|",CONCATENATE(Twilight!AG1019,"|"))</f>
        <v>|</v>
      </c>
      <c r="E1114" s="70"/>
      <c r="F1114" s="70"/>
      <c r="G1114" s="70"/>
      <c r="H1114" s="70"/>
    </row>
    <row r="1115" spans="1:8" x14ac:dyDescent="0.2">
      <c r="A1115" s="440" t="str">
        <f>IF(ISBLANK(Twilight!AG1020),"|",CONCATENATE(Twilight!AG1020,"|"))</f>
        <v>|</v>
      </c>
      <c r="E1115" s="70"/>
      <c r="F1115" s="70"/>
      <c r="G1115" s="70"/>
      <c r="H1115" s="70"/>
    </row>
    <row r="1116" spans="1:8" x14ac:dyDescent="0.2">
      <c r="A1116" s="440" t="str">
        <f>IF(ISBLANK(Twilight!AG1021),"|",CONCATENATE(Twilight!AG1021,"|"))</f>
        <v>|</v>
      </c>
      <c r="E1116" s="70"/>
      <c r="F1116" s="70"/>
      <c r="G1116" s="70"/>
      <c r="H1116" s="70"/>
    </row>
    <row r="1117" spans="1:8" x14ac:dyDescent="0.2">
      <c r="A1117" s="440" t="str">
        <f>IF(ISBLANK(Twilight!AG1022),"|",CONCATENATE(Twilight!AG1022,"|"))</f>
        <v>|</v>
      </c>
      <c r="E1117" s="70"/>
      <c r="F1117" s="70"/>
      <c r="G1117" s="70"/>
      <c r="H1117" s="70"/>
    </row>
    <row r="1118" spans="1:8" x14ac:dyDescent="0.2">
      <c r="A1118" s="440" t="str">
        <f>IF(ISBLANK(Twilight!AG1023),"|",CONCATENATE(Twilight!AG1023,"|"))</f>
        <v>|</v>
      </c>
      <c r="E1118" s="70"/>
      <c r="F1118" s="70"/>
      <c r="G1118" s="70"/>
      <c r="H1118" s="70"/>
    </row>
    <row r="1119" spans="1:8" x14ac:dyDescent="0.2">
      <c r="A1119" s="440" t="str">
        <f>IF(ISBLANK(Twilight!AG1024),"|",CONCATENATE(Twilight!AG1024,"|"))</f>
        <v>|</v>
      </c>
      <c r="E1119" s="70"/>
      <c r="F1119" s="70"/>
      <c r="G1119" s="70"/>
      <c r="H1119" s="70"/>
    </row>
    <row r="1120" spans="1:8" x14ac:dyDescent="0.2">
      <c r="A1120" s="440" t="str">
        <f>IF(ISBLANK(Twilight!AG1025),"|",CONCATENATE(Twilight!AG1025,"|"))</f>
        <v>|</v>
      </c>
      <c r="E1120" s="70"/>
      <c r="F1120" s="70"/>
      <c r="G1120" s="70"/>
      <c r="H1120" s="70"/>
    </row>
    <row r="1121" spans="1:8" x14ac:dyDescent="0.2">
      <c r="A1121" s="440" t="str">
        <f>IF(ISBLANK(Twilight!AG1026),"|",CONCATENATE(Twilight!AG1026,"|"))</f>
        <v>|</v>
      </c>
      <c r="E1121" s="70"/>
      <c r="F1121" s="70"/>
      <c r="G1121" s="70"/>
      <c r="H1121" s="70"/>
    </row>
    <row r="1122" spans="1:8" x14ac:dyDescent="0.2">
      <c r="A1122" s="440" t="str">
        <f>IF(ISBLANK(Twilight!AG1027),"|",CONCATENATE(Twilight!AG1027,"|"))</f>
        <v>|</v>
      </c>
      <c r="E1122" s="70"/>
      <c r="F1122" s="70"/>
      <c r="G1122" s="70"/>
      <c r="H1122" s="70"/>
    </row>
    <row r="1123" spans="1:8" x14ac:dyDescent="0.2">
      <c r="A1123" s="440" t="str">
        <f>IF(ISBLANK(Twilight!AG1028),"|",CONCATENATE(Twilight!AG1028,"|"))</f>
        <v>|</v>
      </c>
      <c r="E1123" s="70"/>
      <c r="F1123" s="70"/>
      <c r="G1123" s="70"/>
      <c r="H1123" s="70"/>
    </row>
    <row r="1124" spans="1:8" x14ac:dyDescent="0.2">
      <c r="A1124" s="440" t="str">
        <f>IF(ISBLANK(Twilight!AG1029),"|",CONCATENATE(Twilight!AG1029,"|"))</f>
        <v>|</v>
      </c>
      <c r="E1124" s="70"/>
      <c r="F1124" s="70"/>
      <c r="G1124" s="70"/>
      <c r="H1124" s="70"/>
    </row>
    <row r="1125" spans="1:8" x14ac:dyDescent="0.2">
      <c r="A1125" s="440" t="str">
        <f>IF(ISBLANK(Twilight!AG1030),"|",CONCATENATE(Twilight!AG1030,"|"))</f>
        <v>|</v>
      </c>
      <c r="E1125" s="70"/>
      <c r="F1125" s="70"/>
      <c r="G1125" s="70"/>
      <c r="H1125" s="70"/>
    </row>
    <row r="1126" spans="1:8" x14ac:dyDescent="0.2">
      <c r="A1126" s="440" t="str">
        <f>IF(ISBLANK(Twilight!AG1031),"|",CONCATENATE(Twilight!AG1031,"|"))</f>
        <v>|</v>
      </c>
      <c r="E1126" s="70"/>
      <c r="F1126" s="70"/>
      <c r="G1126" s="70"/>
      <c r="H1126" s="70"/>
    </row>
    <row r="1127" spans="1:8" x14ac:dyDescent="0.2">
      <c r="A1127" s="440" t="str">
        <f>IF(ISBLANK(Twilight!AG1032),"|",CONCATENATE(Twilight!AG1032,"|"))</f>
        <v>|</v>
      </c>
      <c r="E1127" s="70"/>
      <c r="F1127" s="70"/>
      <c r="G1127" s="70"/>
      <c r="H1127" s="70"/>
    </row>
    <row r="1128" spans="1:8" x14ac:dyDescent="0.2">
      <c r="A1128" s="440" t="str">
        <f>IF(ISBLANK(Twilight!AG1033),"|",CONCATENATE(Twilight!AG1033,"|"))</f>
        <v>|</v>
      </c>
      <c r="E1128" s="70"/>
      <c r="F1128" s="70"/>
      <c r="G1128" s="70"/>
      <c r="H1128" s="70"/>
    </row>
    <row r="1129" spans="1:8" x14ac:dyDescent="0.2">
      <c r="A1129" s="440" t="str">
        <f>IF(ISBLANK(Twilight!AG1034),"|",CONCATENATE(Twilight!AG1034,"|"))</f>
        <v>|</v>
      </c>
      <c r="E1129" s="70"/>
      <c r="F1129" s="70"/>
      <c r="G1129" s="70"/>
      <c r="H1129" s="70"/>
    </row>
    <row r="1130" spans="1:8" x14ac:dyDescent="0.2">
      <c r="A1130" s="440" t="str">
        <f>IF(ISBLANK(Twilight!AG1035),"|",CONCATENATE(Twilight!AG1035,"|"))</f>
        <v>|</v>
      </c>
      <c r="E1130" s="70"/>
      <c r="F1130" s="70"/>
      <c r="G1130" s="70"/>
      <c r="H1130" s="70"/>
    </row>
    <row r="1131" spans="1:8" x14ac:dyDescent="0.2">
      <c r="A1131" s="440" t="str">
        <f>IF(ISBLANK(Twilight!AG1036),"|",CONCATENATE(Twilight!AG1036,"|"))</f>
        <v>|</v>
      </c>
      <c r="E1131" s="70"/>
      <c r="F1131" s="70"/>
      <c r="G1131" s="70"/>
      <c r="H1131" s="70"/>
    </row>
    <row r="1132" spans="1:8" x14ac:dyDescent="0.2">
      <c r="A1132" s="440" t="str">
        <f>IF(ISBLANK(Twilight!AG1037),"|",CONCATENATE(Twilight!AG1037,"|"))</f>
        <v>|</v>
      </c>
      <c r="E1132" s="70"/>
      <c r="F1132" s="70"/>
      <c r="G1132" s="70"/>
      <c r="H1132" s="70"/>
    </row>
    <row r="1133" spans="1:8" x14ac:dyDescent="0.2">
      <c r="A1133" s="440" t="str">
        <f>IF(ISBLANK(Twilight!AG1038),"|",CONCATENATE(Twilight!AG1038,"|"))</f>
        <v>|</v>
      </c>
      <c r="E1133" s="70"/>
      <c r="F1133" s="70"/>
      <c r="G1133" s="70"/>
      <c r="H1133" s="70"/>
    </row>
    <row r="1134" spans="1:8" x14ac:dyDescent="0.2">
      <c r="A1134" s="440" t="str">
        <f>IF(ISBLANK(Twilight!AG1039),"|",CONCATENATE(Twilight!AG1039,"|"))</f>
        <v>|</v>
      </c>
      <c r="E1134" s="70"/>
      <c r="F1134" s="70"/>
      <c r="G1134" s="70"/>
      <c r="H1134" s="70"/>
    </row>
    <row r="1135" spans="1:8" x14ac:dyDescent="0.2">
      <c r="A1135" s="440" t="str">
        <f>IF(ISBLANK(Twilight!AG1040),"|",CONCATENATE(Twilight!AG1040,"|"))</f>
        <v>|</v>
      </c>
      <c r="E1135" s="70"/>
      <c r="F1135" s="70"/>
      <c r="G1135" s="70"/>
      <c r="H1135" s="70"/>
    </row>
    <row r="1136" spans="1:8" x14ac:dyDescent="0.2">
      <c r="A1136" s="440" t="str">
        <f>IF(ISBLANK(Twilight!AG1041),"|",CONCATENATE(Twilight!AG1041,"|"))</f>
        <v>|</v>
      </c>
      <c r="E1136" s="70"/>
      <c r="F1136" s="70"/>
      <c r="G1136" s="70"/>
      <c r="H1136" s="70"/>
    </row>
    <row r="1137" spans="1:8" x14ac:dyDescent="0.2">
      <c r="A1137" s="440" t="str">
        <f>IF(ISBLANK(Twilight!AG1042),"|",CONCATENATE(Twilight!AG1042,"|"))</f>
        <v>|</v>
      </c>
      <c r="E1137" s="70"/>
      <c r="F1137" s="70"/>
      <c r="G1137" s="70"/>
      <c r="H1137" s="70"/>
    </row>
    <row r="1138" spans="1:8" x14ac:dyDescent="0.2">
      <c r="A1138" s="440" t="str">
        <f>IF(ISBLANK(Twilight!AG1043),"|",CONCATENATE(Twilight!AG1043,"|"))</f>
        <v>|</v>
      </c>
      <c r="E1138" s="70"/>
      <c r="F1138" s="70"/>
      <c r="G1138" s="70"/>
      <c r="H1138" s="70"/>
    </row>
    <row r="1139" spans="1:8" x14ac:dyDescent="0.2">
      <c r="A1139" s="440" t="str">
        <f>IF(ISBLANK(Twilight!AG1044),"|",CONCATENATE(Twilight!AG1044,"|"))</f>
        <v>|</v>
      </c>
      <c r="E1139" s="70"/>
      <c r="F1139" s="70"/>
      <c r="G1139" s="70"/>
      <c r="H1139" s="70"/>
    </row>
    <row r="1140" spans="1:8" x14ac:dyDescent="0.2">
      <c r="A1140" s="440" t="str">
        <f>IF(ISBLANK(Twilight!AG1045),"|",CONCATENATE(Twilight!AG1045,"|"))</f>
        <v>|</v>
      </c>
      <c r="E1140" s="70"/>
      <c r="F1140" s="70"/>
      <c r="G1140" s="70"/>
      <c r="H1140" s="70"/>
    </row>
    <row r="1141" spans="1:8" x14ac:dyDescent="0.2">
      <c r="A1141" s="440" t="str">
        <f>IF(ISBLANK(Twilight!AG1046),"|",CONCATENATE(Twilight!AG1046,"|"))</f>
        <v>|</v>
      </c>
      <c r="E1141" s="70"/>
      <c r="F1141" s="70"/>
      <c r="G1141" s="70"/>
      <c r="H1141" s="70"/>
    </row>
    <row r="1142" spans="1:8" x14ac:dyDescent="0.2">
      <c r="A1142" s="440" t="str">
        <f>IF(ISBLANK(Twilight!AG1047),"|",CONCATENATE(Twilight!AG1047,"|"))</f>
        <v>|</v>
      </c>
      <c r="E1142" s="70"/>
      <c r="F1142" s="70"/>
      <c r="G1142" s="70"/>
      <c r="H1142" s="70"/>
    </row>
    <row r="1143" spans="1:8" x14ac:dyDescent="0.2">
      <c r="A1143" s="440" t="str">
        <f>IF(ISBLANK(Twilight!AG1048),"|",CONCATENATE(Twilight!AG1048,"|"))</f>
        <v>|</v>
      </c>
      <c r="E1143" s="70"/>
      <c r="F1143" s="70"/>
      <c r="G1143" s="70"/>
      <c r="H1143" s="70"/>
    </row>
    <row r="1144" spans="1:8" x14ac:dyDescent="0.2">
      <c r="A1144" s="440" t="str">
        <f>IF(ISBLANK(Twilight!AG1049),"|",CONCATENATE(Twilight!AG1049,"|"))</f>
        <v>|</v>
      </c>
      <c r="E1144" s="70"/>
      <c r="F1144" s="70"/>
      <c r="G1144" s="70"/>
      <c r="H1144" s="70"/>
    </row>
    <row r="1145" spans="1:8" x14ac:dyDescent="0.2">
      <c r="A1145" s="440" t="str">
        <f>IF(ISBLANK(Twilight!AG1050),"|",CONCATENATE(Twilight!AG1050,"|"))</f>
        <v>|</v>
      </c>
      <c r="E1145" s="70"/>
      <c r="F1145" s="70"/>
      <c r="G1145" s="70"/>
      <c r="H1145" s="70"/>
    </row>
    <row r="1146" spans="1:8" x14ac:dyDescent="0.2">
      <c r="A1146" s="440" t="str">
        <f>IF(ISBLANK(Twilight!AG1051),"|",CONCATENATE(Twilight!AG1051,"|"))</f>
        <v>|</v>
      </c>
      <c r="E1146" s="70"/>
      <c r="F1146" s="70"/>
      <c r="G1146" s="70"/>
      <c r="H1146" s="70"/>
    </row>
    <row r="1147" spans="1:8" x14ac:dyDescent="0.2">
      <c r="A1147" s="440" t="str">
        <f>IF(ISBLANK(Twilight!AG1052),"|",CONCATENATE(Twilight!AG1052,"|"))</f>
        <v>|</v>
      </c>
      <c r="E1147" s="70"/>
      <c r="F1147" s="70"/>
      <c r="G1147" s="70"/>
      <c r="H1147" s="70"/>
    </row>
    <row r="1148" spans="1:8" x14ac:dyDescent="0.2">
      <c r="A1148" s="440" t="str">
        <f>IF(ISBLANK(Twilight!AG1053),"|",CONCATENATE(Twilight!AG1053,"|"))</f>
        <v>|</v>
      </c>
      <c r="E1148" s="70"/>
      <c r="F1148" s="70"/>
      <c r="G1148" s="70"/>
      <c r="H1148" s="70"/>
    </row>
    <row r="1149" spans="1:8" x14ac:dyDescent="0.2">
      <c r="A1149" s="440" t="str">
        <f>IF(ISBLANK(Twilight!AG1054),"|",CONCATENATE(Twilight!AG1054,"|"))</f>
        <v>|</v>
      </c>
      <c r="E1149" s="70"/>
      <c r="F1149" s="70"/>
      <c r="G1149" s="70"/>
      <c r="H1149" s="70"/>
    </row>
    <row r="1150" spans="1:8" x14ac:dyDescent="0.2">
      <c r="A1150" s="440" t="str">
        <f>IF(ISBLANK(Twilight!AG1055),"|",CONCATENATE(Twilight!AG1055,"|"))</f>
        <v>|</v>
      </c>
      <c r="E1150" s="70"/>
      <c r="F1150" s="70"/>
      <c r="G1150" s="70"/>
      <c r="H1150" s="70"/>
    </row>
    <row r="1151" spans="1:8" x14ac:dyDescent="0.2">
      <c r="A1151" s="440" t="str">
        <f>IF(ISBLANK(Twilight!AG1056),"|",CONCATENATE(Twilight!AG1056,"|"))</f>
        <v>|</v>
      </c>
      <c r="E1151" s="70"/>
      <c r="F1151" s="70"/>
      <c r="G1151" s="70"/>
      <c r="H1151" s="70"/>
    </row>
    <row r="1152" spans="1:8" x14ac:dyDescent="0.2">
      <c r="A1152" s="440" t="str">
        <f>IF(ISBLANK(Twilight!AG1057),"|",CONCATENATE(Twilight!AG1057,"|"))</f>
        <v>|</v>
      </c>
      <c r="E1152" s="70"/>
      <c r="F1152" s="70"/>
      <c r="G1152" s="70"/>
      <c r="H1152" s="70"/>
    </row>
    <row r="1153" spans="1:8" x14ac:dyDescent="0.2">
      <c r="A1153" s="440" t="str">
        <f>IF(ISBLANK(Twilight!AG1058),"|",CONCATENATE(Twilight!AG1058,"|"))</f>
        <v>|</v>
      </c>
      <c r="E1153" s="70"/>
      <c r="F1153" s="70"/>
      <c r="G1153" s="70"/>
      <c r="H1153" s="70"/>
    </row>
    <row r="1154" spans="1:8" x14ac:dyDescent="0.2">
      <c r="A1154" s="440" t="str">
        <f>IF(ISBLANK(Twilight!AG1059),"|",CONCATENATE(Twilight!AG1059,"|"))</f>
        <v>|</v>
      </c>
      <c r="E1154" s="70"/>
      <c r="F1154" s="70"/>
      <c r="G1154" s="70"/>
      <c r="H1154" s="70"/>
    </row>
    <row r="1155" spans="1:8" x14ac:dyDescent="0.2">
      <c r="A1155" s="440" t="str">
        <f>IF(ISBLANK(Twilight!AG1060),"|",CONCATENATE(Twilight!AG1060,"|"))</f>
        <v>|</v>
      </c>
      <c r="E1155" s="70"/>
      <c r="F1155" s="70"/>
      <c r="G1155" s="70"/>
      <c r="H1155" s="70"/>
    </row>
    <row r="1156" spans="1:8" x14ac:dyDescent="0.2">
      <c r="A1156" s="440" t="str">
        <f>IF(ISBLANK(Twilight!AG1061),"|",CONCATENATE(Twilight!AG1061,"|"))</f>
        <v>|</v>
      </c>
      <c r="E1156" s="70"/>
      <c r="F1156" s="70"/>
      <c r="G1156" s="70"/>
      <c r="H1156" s="70"/>
    </row>
    <row r="1157" spans="1:8" x14ac:dyDescent="0.2">
      <c r="A1157" s="440" t="str">
        <f>IF(ISBLANK(Twilight!AG1062),"|",CONCATENATE(Twilight!AG1062,"|"))</f>
        <v>|</v>
      </c>
      <c r="E1157" s="70"/>
      <c r="F1157" s="70"/>
      <c r="G1157" s="70"/>
      <c r="H1157" s="70"/>
    </row>
    <row r="1158" spans="1:8" x14ac:dyDescent="0.2">
      <c r="A1158" s="440" t="str">
        <f>IF(ISBLANK(Twilight!AG1063),"|",CONCATENATE(Twilight!AG1063,"|"))</f>
        <v>|</v>
      </c>
      <c r="E1158" s="70"/>
      <c r="F1158" s="70"/>
      <c r="G1158" s="70"/>
      <c r="H1158" s="70"/>
    </row>
    <row r="1159" spans="1:8" x14ac:dyDescent="0.2">
      <c r="A1159" s="440" t="str">
        <f>IF(ISBLANK(Twilight!AG1064),"|",CONCATENATE(Twilight!AG1064,"|"))</f>
        <v>|</v>
      </c>
      <c r="E1159" s="70"/>
      <c r="F1159" s="70"/>
      <c r="G1159" s="70"/>
      <c r="H1159" s="70"/>
    </row>
    <row r="1160" spans="1:8" x14ac:dyDescent="0.2">
      <c r="A1160" s="440" t="str">
        <f>IF(ISBLANK(Twilight!AG1065),"|",CONCATENATE(Twilight!AG1065,"|"))</f>
        <v>|</v>
      </c>
      <c r="E1160" s="70"/>
      <c r="F1160" s="70"/>
      <c r="G1160" s="70"/>
      <c r="H1160" s="70"/>
    </row>
    <row r="1161" spans="1:8" x14ac:dyDescent="0.2">
      <c r="A1161" s="440" t="str">
        <f>IF(ISBLANK(Twilight!AG1066),"|",CONCATENATE(Twilight!AG1066,"|"))</f>
        <v>|</v>
      </c>
      <c r="E1161" s="70"/>
      <c r="F1161" s="70"/>
      <c r="G1161" s="70"/>
      <c r="H1161" s="70"/>
    </row>
    <row r="1162" spans="1:8" x14ac:dyDescent="0.2">
      <c r="A1162" s="440" t="str">
        <f>IF(ISBLANK(Twilight!AG1067),"|",CONCATENATE(Twilight!AG1067,"|"))</f>
        <v>|</v>
      </c>
      <c r="E1162" s="70"/>
      <c r="F1162" s="70"/>
      <c r="G1162" s="70"/>
      <c r="H1162" s="70"/>
    </row>
    <row r="1163" spans="1:8" x14ac:dyDescent="0.2">
      <c r="A1163" s="440" t="str">
        <f>IF(ISBLANK(Twilight!AG1068),"|",CONCATENATE(Twilight!AG1068,"|"))</f>
        <v>|</v>
      </c>
      <c r="E1163" s="70"/>
      <c r="F1163" s="70"/>
      <c r="G1163" s="70"/>
      <c r="H1163" s="70"/>
    </row>
    <row r="1164" spans="1:8" x14ac:dyDescent="0.2">
      <c r="A1164" s="440" t="str">
        <f>IF(ISBLANK(Twilight!AG1069),"|",CONCATENATE(Twilight!AG1069,"|"))</f>
        <v>|</v>
      </c>
      <c r="E1164" s="70"/>
      <c r="F1164" s="70"/>
      <c r="G1164" s="70"/>
      <c r="H1164" s="70"/>
    </row>
    <row r="1165" spans="1:8" x14ac:dyDescent="0.2">
      <c r="A1165" s="440" t="str">
        <f>IF(ISBLANK(Twilight!AG1070),"|",CONCATENATE(Twilight!AG1070,"|"))</f>
        <v>|</v>
      </c>
      <c r="E1165" s="70"/>
      <c r="F1165" s="70"/>
      <c r="G1165" s="70"/>
      <c r="H1165" s="70"/>
    </row>
    <row r="1166" spans="1:8" x14ac:dyDescent="0.2">
      <c r="A1166" s="440" t="str">
        <f>IF(ISBLANK(Twilight!AG1071),"|",CONCATENATE(Twilight!AG1071,"|"))</f>
        <v>|</v>
      </c>
      <c r="E1166" s="70"/>
      <c r="F1166" s="70"/>
      <c r="G1166" s="70"/>
      <c r="H1166" s="70"/>
    </row>
    <row r="1167" spans="1:8" x14ac:dyDescent="0.2">
      <c r="A1167" s="440" t="str">
        <f>IF(ISBLANK(Twilight!AG1072),"|",CONCATENATE(Twilight!AG1072,"|"))</f>
        <v>|</v>
      </c>
      <c r="E1167" s="70"/>
      <c r="F1167" s="70"/>
      <c r="G1167" s="70"/>
      <c r="H1167" s="70"/>
    </row>
    <row r="1168" spans="1:8" x14ac:dyDescent="0.2">
      <c r="A1168" s="440" t="str">
        <f>IF(ISBLANK(Twilight!AG1073),"|",CONCATENATE(Twilight!AG1073,"|"))</f>
        <v>|</v>
      </c>
      <c r="E1168" s="70"/>
      <c r="F1168" s="70"/>
      <c r="G1168" s="70"/>
      <c r="H1168" s="70"/>
    </row>
    <row r="1169" spans="1:8" x14ac:dyDescent="0.2">
      <c r="A1169" s="440" t="str">
        <f>IF(ISBLANK(Twilight!AG1074),"|",CONCATENATE(Twilight!AG1074,"|"))</f>
        <v>|</v>
      </c>
      <c r="E1169" s="70"/>
      <c r="F1169" s="70"/>
      <c r="G1169" s="70"/>
      <c r="H1169" s="70"/>
    </row>
    <row r="1170" spans="1:8" x14ac:dyDescent="0.2">
      <c r="A1170" s="440" t="str">
        <f>IF(ISBLANK(Twilight!AG1075),"|",CONCATENATE(Twilight!AG1075,"|"))</f>
        <v>|</v>
      </c>
      <c r="E1170" s="70"/>
      <c r="F1170" s="70"/>
      <c r="G1170" s="70"/>
      <c r="H1170" s="70"/>
    </row>
    <row r="1171" spans="1:8" x14ac:dyDescent="0.2">
      <c r="A1171" s="440" t="str">
        <f>IF(ISBLANK(Twilight!AG1076),"|",CONCATENATE(Twilight!AG1076,"|"))</f>
        <v>|</v>
      </c>
      <c r="E1171" s="70"/>
      <c r="F1171" s="70"/>
      <c r="G1171" s="70"/>
      <c r="H1171" s="70"/>
    </row>
    <row r="1172" spans="1:8" x14ac:dyDescent="0.2">
      <c r="A1172" s="440" t="str">
        <f>IF(ISBLANK(Twilight!AG1077),"|",CONCATENATE(Twilight!AG1077,"|"))</f>
        <v>|</v>
      </c>
      <c r="E1172" s="70"/>
      <c r="F1172" s="70"/>
      <c r="G1172" s="70"/>
      <c r="H1172" s="70"/>
    </row>
    <row r="1173" spans="1:8" x14ac:dyDescent="0.2">
      <c r="A1173" s="440" t="str">
        <f>IF(ISBLANK(Twilight!AG1078),"|",CONCATENATE(Twilight!AG1078,"|"))</f>
        <v>|</v>
      </c>
      <c r="E1173" s="70"/>
      <c r="F1173" s="70"/>
      <c r="G1173" s="70"/>
      <c r="H1173" s="70"/>
    </row>
    <row r="1174" spans="1:8" x14ac:dyDescent="0.2">
      <c r="A1174" s="440" t="str">
        <f>IF(ISBLANK(Twilight!AG1079),"|",CONCATENATE(Twilight!AG1079,"|"))</f>
        <v>|</v>
      </c>
      <c r="E1174" s="70"/>
      <c r="F1174" s="70"/>
      <c r="G1174" s="70"/>
      <c r="H1174" s="70"/>
    </row>
    <row r="1175" spans="1:8" x14ac:dyDescent="0.2">
      <c r="A1175" s="440" t="str">
        <f>IF(ISBLANK(Twilight!AG1080),"|",CONCATENATE(Twilight!AG1080,"|"))</f>
        <v>|</v>
      </c>
      <c r="E1175" s="70"/>
      <c r="F1175" s="70"/>
      <c r="G1175" s="70"/>
      <c r="H1175" s="70"/>
    </row>
    <row r="1176" spans="1:8" x14ac:dyDescent="0.2">
      <c r="A1176" s="440" t="str">
        <f>IF(ISBLANK(Twilight!AG1081),"|",CONCATENATE(Twilight!AG1081,"|"))</f>
        <v>|</v>
      </c>
      <c r="E1176" s="70"/>
      <c r="F1176" s="70"/>
      <c r="G1176" s="70"/>
      <c r="H1176" s="70"/>
    </row>
    <row r="1177" spans="1:8" x14ac:dyDescent="0.2">
      <c r="A1177" s="440" t="str">
        <f>IF(ISBLANK(Twilight!AG1082),"|",CONCATENATE(Twilight!AG1082,"|"))</f>
        <v>|</v>
      </c>
      <c r="E1177" s="70"/>
      <c r="F1177" s="70"/>
      <c r="G1177" s="70"/>
      <c r="H1177" s="70"/>
    </row>
    <row r="1178" spans="1:8" x14ac:dyDescent="0.2">
      <c r="A1178" s="440" t="str">
        <f>IF(ISBLANK(Twilight!AG1083),"|",CONCATENATE(Twilight!AG1083,"|"))</f>
        <v>|</v>
      </c>
      <c r="E1178" s="70"/>
      <c r="F1178" s="70"/>
      <c r="G1178" s="70"/>
      <c r="H1178" s="70"/>
    </row>
    <row r="1179" spans="1:8" x14ac:dyDescent="0.2">
      <c r="A1179" s="440" t="str">
        <f>IF(ISBLANK(Twilight!AG1084),"|",CONCATENATE(Twilight!AG1084,"|"))</f>
        <v>|</v>
      </c>
      <c r="E1179" s="70"/>
      <c r="F1179" s="70"/>
      <c r="G1179" s="70"/>
      <c r="H1179" s="70"/>
    </row>
    <row r="1180" spans="1:8" x14ac:dyDescent="0.2">
      <c r="A1180" s="440" t="str">
        <f>IF(ISBLANK(Twilight!AG1085),"|",CONCATENATE(Twilight!AG1085,"|"))</f>
        <v>|</v>
      </c>
      <c r="E1180" s="70"/>
      <c r="F1180" s="70"/>
      <c r="G1180" s="70"/>
      <c r="H1180" s="70"/>
    </row>
    <row r="1181" spans="1:8" x14ac:dyDescent="0.2">
      <c r="A1181" s="440" t="str">
        <f>IF(ISBLANK(Twilight!AG1086),"|",CONCATENATE(Twilight!AG1086,"|"))</f>
        <v>|</v>
      </c>
      <c r="E1181" s="70"/>
      <c r="F1181" s="70"/>
      <c r="G1181" s="70"/>
      <c r="H1181" s="70"/>
    </row>
    <row r="1182" spans="1:8" x14ac:dyDescent="0.2">
      <c r="A1182" s="440" t="str">
        <f>IF(ISBLANK(Twilight!AG1087),"|",CONCATENATE(Twilight!AG1087,"|"))</f>
        <v>|</v>
      </c>
      <c r="E1182" s="70"/>
      <c r="F1182" s="70"/>
      <c r="G1182" s="70"/>
      <c r="H1182" s="70"/>
    </row>
    <row r="1183" spans="1:8" x14ac:dyDescent="0.2">
      <c r="A1183" s="440" t="str">
        <f>IF(ISBLANK(Twilight!AG1088),"|",CONCATENATE(Twilight!AG1088,"|"))</f>
        <v>|</v>
      </c>
      <c r="E1183" s="70"/>
      <c r="F1183" s="70"/>
      <c r="G1183" s="70"/>
      <c r="H1183" s="70"/>
    </row>
    <row r="1184" spans="1:8" x14ac:dyDescent="0.2">
      <c r="A1184" s="440" t="str">
        <f>IF(ISBLANK(Twilight!AG1089),"|",CONCATENATE(Twilight!AG1089,"|"))</f>
        <v>|</v>
      </c>
      <c r="E1184" s="70"/>
      <c r="F1184" s="70"/>
      <c r="G1184" s="70"/>
      <c r="H1184" s="70"/>
    </row>
    <row r="1185" spans="1:8" x14ac:dyDescent="0.2">
      <c r="A1185" s="440" t="str">
        <f>IF(ISBLANK(Twilight!AG1090),"|",CONCATENATE(Twilight!AG1090,"|"))</f>
        <v>|</v>
      </c>
      <c r="E1185" s="70"/>
      <c r="F1185" s="70"/>
      <c r="G1185" s="70"/>
      <c r="H1185" s="70"/>
    </row>
    <row r="1186" spans="1:8" x14ac:dyDescent="0.2">
      <c r="A1186" s="440" t="str">
        <f>IF(ISBLANK(Twilight!AG1091),"|",CONCATENATE(Twilight!AG1091,"|"))</f>
        <v>|</v>
      </c>
      <c r="E1186" s="70"/>
      <c r="F1186" s="70"/>
      <c r="G1186" s="70"/>
      <c r="H1186" s="70"/>
    </row>
    <row r="1187" spans="1:8" x14ac:dyDescent="0.2">
      <c r="A1187" s="440" t="str">
        <f>IF(ISBLANK(Twilight!AG1092),"|",CONCATENATE(Twilight!AG1092,"|"))</f>
        <v>|</v>
      </c>
      <c r="E1187" s="70"/>
      <c r="F1187" s="70"/>
      <c r="G1187" s="70"/>
      <c r="H1187" s="70"/>
    </row>
    <row r="1188" spans="1:8" x14ac:dyDescent="0.2">
      <c r="A1188" s="440" t="str">
        <f>IF(ISBLANK(Twilight!AG1093),"|",CONCATENATE(Twilight!AG1093,"|"))</f>
        <v>|</v>
      </c>
      <c r="E1188" s="70"/>
      <c r="F1188" s="70"/>
      <c r="G1188" s="70"/>
      <c r="H1188" s="70"/>
    </row>
    <row r="1189" spans="1:8" x14ac:dyDescent="0.2">
      <c r="A1189" s="440" t="str">
        <f>IF(ISBLANK(Twilight!AG1094),"|",CONCATENATE(Twilight!AG1094,"|"))</f>
        <v>|</v>
      </c>
      <c r="E1189" s="70"/>
      <c r="F1189" s="70"/>
      <c r="G1189" s="70"/>
      <c r="H1189" s="70"/>
    </row>
    <row r="1190" spans="1:8" x14ac:dyDescent="0.2">
      <c r="A1190" s="440" t="str">
        <f>IF(ISBLANK(Twilight!AG1095),"|",CONCATENATE(Twilight!AG1095,"|"))</f>
        <v>|</v>
      </c>
      <c r="E1190" s="70"/>
      <c r="F1190" s="70"/>
      <c r="G1190" s="70"/>
      <c r="H1190" s="70"/>
    </row>
    <row r="1191" spans="1:8" x14ac:dyDescent="0.2">
      <c r="A1191" s="440" t="str">
        <f>IF(ISBLANK(Twilight!AG1096),"|",CONCATENATE(Twilight!AG1096,"|"))</f>
        <v>|</v>
      </c>
      <c r="E1191" s="70"/>
      <c r="F1191" s="70"/>
      <c r="G1191" s="70"/>
      <c r="H1191" s="70"/>
    </row>
    <row r="1192" spans="1:8" x14ac:dyDescent="0.2">
      <c r="A1192" s="440" t="str">
        <f>IF(ISBLANK(Twilight!AG1097),"|",CONCATENATE(Twilight!AG1097,"|"))</f>
        <v>|</v>
      </c>
      <c r="E1192" s="70"/>
      <c r="F1192" s="70"/>
      <c r="G1192" s="70"/>
      <c r="H1192" s="70"/>
    </row>
    <row r="1193" spans="1:8" x14ac:dyDescent="0.2">
      <c r="A1193" s="440" t="str">
        <f>IF(ISBLANK(Twilight!AG1098),"|",CONCATENATE(Twilight!AG1098,"|"))</f>
        <v>|</v>
      </c>
      <c r="E1193" s="70"/>
      <c r="F1193" s="70"/>
      <c r="G1193" s="70"/>
      <c r="H1193" s="70"/>
    </row>
    <row r="1194" spans="1:8" x14ac:dyDescent="0.2">
      <c r="A1194" s="440" t="str">
        <f>IF(ISBLANK(Twilight!AG1099),"|",CONCATENATE(Twilight!AG1099,"|"))</f>
        <v>|</v>
      </c>
      <c r="E1194" s="70"/>
      <c r="F1194" s="70"/>
      <c r="G1194" s="70"/>
      <c r="H1194" s="70"/>
    </row>
    <row r="1195" spans="1:8" x14ac:dyDescent="0.2">
      <c r="A1195" s="440" t="str">
        <f>IF(ISBLANK(Twilight!AG1100),"|",CONCATENATE(Twilight!AG1100,"|"))</f>
        <v>|</v>
      </c>
      <c r="E1195" s="70"/>
      <c r="F1195" s="70"/>
      <c r="G1195" s="70"/>
      <c r="H1195" s="70"/>
    </row>
    <row r="1196" spans="1:8" x14ac:dyDescent="0.2">
      <c r="A1196" s="440" t="str">
        <f>IF(ISBLANK(Twilight!AG1101),"|",CONCATENATE(Twilight!AG1101,"|"))</f>
        <v>|</v>
      </c>
      <c r="E1196" s="70"/>
      <c r="F1196" s="70"/>
      <c r="G1196" s="70"/>
      <c r="H1196" s="70"/>
    </row>
    <row r="1197" spans="1:8" x14ac:dyDescent="0.2">
      <c r="A1197" s="440" t="str">
        <f>IF(ISBLANK(Twilight!AG1102),"|",CONCATENATE(Twilight!AG1102,"|"))</f>
        <v>|</v>
      </c>
      <c r="E1197" s="70"/>
      <c r="F1197" s="70"/>
      <c r="G1197" s="70"/>
      <c r="H1197" s="70"/>
    </row>
    <row r="1198" spans="1:8" x14ac:dyDescent="0.2">
      <c r="A1198" s="440" t="str">
        <f>IF(ISBLANK(Twilight!AG1103),"|",CONCATENATE(Twilight!AG1103,"|"))</f>
        <v>|</v>
      </c>
      <c r="E1198" s="70"/>
      <c r="F1198" s="70"/>
      <c r="G1198" s="70"/>
      <c r="H1198" s="70"/>
    </row>
    <row r="1199" spans="1:8" x14ac:dyDescent="0.2">
      <c r="A1199" s="440" t="str">
        <f>IF(ISBLANK(Twilight!AG1104),"|",CONCATENATE(Twilight!AG1104,"|"))</f>
        <v>|</v>
      </c>
      <c r="E1199" s="70"/>
      <c r="F1199" s="70"/>
      <c r="G1199" s="70"/>
      <c r="H1199" s="70"/>
    </row>
    <row r="1200" spans="1:8" x14ac:dyDescent="0.2">
      <c r="A1200" s="440" t="str">
        <f>IF(ISBLANK(Twilight!AG1105),"|",CONCATENATE(Twilight!AG1105,"|"))</f>
        <v>|</v>
      </c>
      <c r="E1200" s="70"/>
      <c r="F1200" s="70"/>
      <c r="G1200" s="70"/>
      <c r="H1200" s="70"/>
    </row>
    <row r="1201" spans="1:8" x14ac:dyDescent="0.2">
      <c r="A1201" s="440" t="str">
        <f>IF(ISBLANK(Twilight!AG1106),"|",CONCATENATE(Twilight!AG1106,"|"))</f>
        <v>|</v>
      </c>
      <c r="E1201" s="70"/>
      <c r="F1201" s="70"/>
      <c r="G1201" s="70"/>
      <c r="H1201" s="70"/>
    </row>
    <row r="1202" spans="1:8" x14ac:dyDescent="0.2">
      <c r="A1202" s="440" t="str">
        <f>IF(ISBLANK(Twilight!AG1107),"|",CONCATENATE(Twilight!AG1107,"|"))</f>
        <v>|</v>
      </c>
      <c r="E1202" s="70"/>
      <c r="F1202" s="70"/>
      <c r="G1202" s="70"/>
      <c r="H1202" s="70"/>
    </row>
    <row r="1203" spans="1:8" x14ac:dyDescent="0.2">
      <c r="A1203" s="440" t="str">
        <f>IF(ISBLANK(Twilight!AG1108),"|",CONCATENATE(Twilight!AG1108,"|"))</f>
        <v>|</v>
      </c>
      <c r="E1203" s="70"/>
      <c r="F1203" s="70"/>
      <c r="G1203" s="70"/>
      <c r="H1203" s="70"/>
    </row>
    <row r="1204" spans="1:8" x14ac:dyDescent="0.2">
      <c r="A1204" s="440" t="str">
        <f>IF(ISBLANK(Twilight!AG1109),"|",CONCATENATE(Twilight!AG1109,"|"))</f>
        <v>|</v>
      </c>
      <c r="E1204" s="70"/>
      <c r="F1204" s="70"/>
      <c r="G1204" s="70"/>
      <c r="H1204" s="70"/>
    </row>
    <row r="1205" spans="1:8" x14ac:dyDescent="0.2">
      <c r="A1205" s="440" t="str">
        <f>IF(ISBLANK(Twilight!AG1110),"|",CONCATENATE(Twilight!AG1110,"|"))</f>
        <v>|</v>
      </c>
      <c r="E1205" s="70"/>
      <c r="F1205" s="70"/>
      <c r="G1205" s="70"/>
      <c r="H1205" s="70"/>
    </row>
    <row r="1206" spans="1:8" x14ac:dyDescent="0.2">
      <c r="A1206" s="440" t="str">
        <f>IF(ISBLANK(Twilight!AG1111),"|",CONCATENATE(Twilight!AG1111,"|"))</f>
        <v>|</v>
      </c>
      <c r="E1206" s="70"/>
      <c r="F1206" s="70"/>
      <c r="G1206" s="70"/>
      <c r="H1206" s="70"/>
    </row>
    <row r="1207" spans="1:8" x14ac:dyDescent="0.2">
      <c r="A1207" s="440" t="str">
        <f>IF(ISBLANK(Twilight!AG1112),"|",CONCATENATE(Twilight!AG1112,"|"))</f>
        <v>|</v>
      </c>
      <c r="E1207" s="70"/>
      <c r="F1207" s="70"/>
      <c r="G1207" s="70"/>
      <c r="H1207" s="70"/>
    </row>
    <row r="1208" spans="1:8" x14ac:dyDescent="0.2">
      <c r="A1208" s="440" t="str">
        <f>IF(ISBLANK(Twilight!AG1113),"|",CONCATENATE(Twilight!AG1113,"|"))</f>
        <v>|</v>
      </c>
      <c r="E1208" s="70"/>
      <c r="F1208" s="70"/>
      <c r="G1208" s="70"/>
      <c r="H1208" s="70"/>
    </row>
    <row r="1209" spans="1:8" x14ac:dyDescent="0.2">
      <c r="A1209" s="440" t="str">
        <f>IF(ISBLANK(Twilight!AG1114),"|",CONCATENATE(Twilight!AG1114,"|"))</f>
        <v>|</v>
      </c>
      <c r="E1209" s="70"/>
      <c r="F1209" s="70"/>
      <c r="G1209" s="70"/>
      <c r="H1209" s="70"/>
    </row>
    <row r="1210" spans="1:8" x14ac:dyDescent="0.2">
      <c r="A1210" s="440" t="str">
        <f>IF(ISBLANK(Twilight!AG1115),"|",CONCATENATE(Twilight!AG1115,"|"))</f>
        <v>|</v>
      </c>
      <c r="E1210" s="70"/>
      <c r="F1210" s="70"/>
      <c r="G1210" s="70"/>
      <c r="H1210" s="70"/>
    </row>
    <row r="1211" spans="1:8" x14ac:dyDescent="0.2">
      <c r="A1211" s="440" t="str">
        <f>IF(ISBLANK(Twilight!AG1116),"|",CONCATENATE(Twilight!AG1116,"|"))</f>
        <v>|</v>
      </c>
      <c r="E1211" s="70"/>
      <c r="F1211" s="70"/>
      <c r="G1211" s="70"/>
      <c r="H1211" s="70"/>
    </row>
    <row r="1212" spans="1:8" x14ac:dyDescent="0.2">
      <c r="A1212" s="440" t="str">
        <f>IF(ISBLANK(Twilight!AG1117),"|",CONCATENATE(Twilight!AG1117,"|"))</f>
        <v>|</v>
      </c>
      <c r="E1212" s="70"/>
      <c r="F1212" s="70"/>
      <c r="G1212" s="70"/>
      <c r="H1212" s="70"/>
    </row>
    <row r="1213" spans="1:8" x14ac:dyDescent="0.2">
      <c r="A1213" s="440" t="str">
        <f>IF(ISBLANK(Twilight!AG1118),"|",CONCATENATE(Twilight!AG1118,"|"))</f>
        <v>|</v>
      </c>
      <c r="E1213" s="70"/>
      <c r="F1213" s="70"/>
      <c r="G1213" s="70"/>
      <c r="H1213" s="70"/>
    </row>
    <row r="1214" spans="1:8" x14ac:dyDescent="0.2">
      <c r="A1214" s="440" t="str">
        <f>IF(ISBLANK(Twilight!AG1119),"|",CONCATENATE(Twilight!AG1119,"|"))</f>
        <v>|</v>
      </c>
      <c r="E1214" s="70"/>
      <c r="F1214" s="70"/>
      <c r="G1214" s="70"/>
      <c r="H1214" s="70"/>
    </row>
    <row r="1215" spans="1:8" x14ac:dyDescent="0.2">
      <c r="A1215" s="440" t="str">
        <f>IF(ISBLANK(Twilight!AG1120),"|",CONCATENATE(Twilight!AG1120,"|"))</f>
        <v>|</v>
      </c>
      <c r="E1215" s="70"/>
      <c r="F1215" s="70"/>
      <c r="G1215" s="70"/>
      <c r="H1215" s="70"/>
    </row>
    <row r="1216" spans="1:8" x14ac:dyDescent="0.2">
      <c r="A1216" s="440" t="str">
        <f>IF(ISBLANK(Twilight!AG1121),"|",CONCATENATE(Twilight!AG1121,"|"))</f>
        <v>|</v>
      </c>
      <c r="E1216" s="70"/>
      <c r="F1216" s="70"/>
      <c r="G1216" s="70"/>
      <c r="H1216" s="70"/>
    </row>
    <row r="1217" spans="1:8" x14ac:dyDescent="0.2">
      <c r="A1217" s="440" t="str">
        <f>IF(ISBLANK(Twilight!AG1122),"|",CONCATENATE(Twilight!AG1122,"|"))</f>
        <v>|</v>
      </c>
      <c r="E1217" s="70"/>
      <c r="F1217" s="70"/>
      <c r="G1217" s="70"/>
      <c r="H1217" s="70"/>
    </row>
    <row r="1218" spans="1:8" x14ac:dyDescent="0.2">
      <c r="A1218" s="440" t="str">
        <f>IF(ISBLANK(Twilight!AG1123),"|",CONCATENATE(Twilight!AG1123,"|"))</f>
        <v>|</v>
      </c>
      <c r="E1218" s="70"/>
      <c r="F1218" s="70"/>
      <c r="G1218" s="70"/>
      <c r="H1218" s="70"/>
    </row>
    <row r="1219" spans="1:8" x14ac:dyDescent="0.2">
      <c r="A1219" s="440" t="str">
        <f>IF(ISBLANK(Twilight!AG1124),"|",CONCATENATE(Twilight!AG1124,"|"))</f>
        <v>|</v>
      </c>
      <c r="E1219" s="70"/>
      <c r="F1219" s="70"/>
      <c r="G1219" s="70"/>
      <c r="H1219" s="70"/>
    </row>
    <row r="1220" spans="1:8" x14ac:dyDescent="0.2">
      <c r="A1220" s="440" t="str">
        <f>IF(ISBLANK(Twilight!AG1125),"|",CONCATENATE(Twilight!AG1125,"|"))</f>
        <v>|</v>
      </c>
      <c r="E1220" s="70"/>
      <c r="F1220" s="70"/>
      <c r="G1220" s="70"/>
      <c r="H1220" s="70"/>
    </row>
    <row r="1221" spans="1:8" x14ac:dyDescent="0.2">
      <c r="A1221" s="440" t="str">
        <f>IF(ISBLANK(Twilight!AG1126),"|",CONCATENATE(Twilight!AG1126,"|"))</f>
        <v>|</v>
      </c>
      <c r="E1221" s="70"/>
      <c r="F1221" s="70"/>
      <c r="G1221" s="70"/>
      <c r="H1221" s="70"/>
    </row>
    <row r="1222" spans="1:8" x14ac:dyDescent="0.2">
      <c r="A1222" s="440" t="str">
        <f>IF(ISBLANK(Twilight!AG1127),"|",CONCATENATE(Twilight!AG1127,"|"))</f>
        <v>|</v>
      </c>
      <c r="E1222" s="70"/>
      <c r="F1222" s="70"/>
      <c r="G1222" s="70"/>
      <c r="H1222" s="70"/>
    </row>
    <row r="1223" spans="1:8" x14ac:dyDescent="0.2">
      <c r="A1223" s="440" t="str">
        <f>IF(ISBLANK(Twilight!AG1128),"|",CONCATENATE(Twilight!AG1128,"|"))</f>
        <v>|</v>
      </c>
      <c r="E1223" s="70"/>
      <c r="F1223" s="70"/>
      <c r="G1223" s="70"/>
      <c r="H1223" s="70"/>
    </row>
    <row r="1224" spans="1:8" x14ac:dyDescent="0.2">
      <c r="A1224" s="440" t="str">
        <f>IF(ISBLANK(Twilight!AG1129),"|",CONCATENATE(Twilight!AG1129,"|"))</f>
        <v>|</v>
      </c>
      <c r="E1224" s="70"/>
      <c r="F1224" s="70"/>
      <c r="G1224" s="70"/>
      <c r="H1224" s="70"/>
    </row>
    <row r="1225" spans="1:8" x14ac:dyDescent="0.2">
      <c r="A1225" s="440" t="str">
        <f>IF(ISBLANK(Twilight!AG1130),"|",CONCATENATE(Twilight!AG1130,"|"))</f>
        <v>|</v>
      </c>
      <c r="E1225" s="70"/>
      <c r="F1225" s="70"/>
      <c r="G1225" s="70"/>
      <c r="H1225" s="70"/>
    </row>
    <row r="1226" spans="1:8" x14ac:dyDescent="0.2">
      <c r="A1226" s="440" t="str">
        <f>IF(ISBLANK(Twilight!AG1131),"|",CONCATENATE(Twilight!AG1131,"|"))</f>
        <v>|</v>
      </c>
      <c r="E1226" s="70"/>
      <c r="F1226" s="70"/>
      <c r="G1226" s="70"/>
      <c r="H1226" s="70"/>
    </row>
    <row r="1227" spans="1:8" x14ac:dyDescent="0.2">
      <c r="A1227" s="440" t="str">
        <f>IF(ISBLANK(Twilight!AG1132),"|",CONCATENATE(Twilight!AG1132,"|"))</f>
        <v>|</v>
      </c>
      <c r="E1227" s="70"/>
      <c r="F1227" s="70"/>
      <c r="G1227" s="70"/>
      <c r="H1227" s="70"/>
    </row>
    <row r="1228" spans="1:8" x14ac:dyDescent="0.2">
      <c r="A1228" s="440" t="str">
        <f>IF(ISBLANK(Twilight!AG1133),"|",CONCATENATE(Twilight!AG1133,"|"))</f>
        <v>|</v>
      </c>
      <c r="E1228" s="70"/>
      <c r="F1228" s="70"/>
      <c r="G1228" s="70"/>
      <c r="H1228" s="70"/>
    </row>
    <row r="1229" spans="1:8" x14ac:dyDescent="0.2">
      <c r="A1229" s="440" t="str">
        <f>IF(ISBLANK(Twilight!AG1134),"|",CONCATENATE(Twilight!AG1134,"|"))</f>
        <v>|</v>
      </c>
      <c r="E1229" s="70"/>
      <c r="F1229" s="70"/>
      <c r="G1229" s="70"/>
      <c r="H1229" s="70"/>
    </row>
    <row r="1230" spans="1:8" x14ac:dyDescent="0.2">
      <c r="A1230" s="440" t="str">
        <f>IF(ISBLANK(Twilight!AG1135),"|",CONCATENATE(Twilight!AG1135,"|"))</f>
        <v>|</v>
      </c>
      <c r="E1230" s="70"/>
      <c r="F1230" s="70"/>
      <c r="G1230" s="70"/>
      <c r="H1230" s="70"/>
    </row>
    <row r="1231" spans="1:8" x14ac:dyDescent="0.2">
      <c r="A1231" s="440" t="str">
        <f>IF(ISBLANK(Twilight!AG1136),"|",CONCATENATE(Twilight!AG1136,"|"))</f>
        <v>|</v>
      </c>
      <c r="E1231" s="70"/>
      <c r="F1231" s="70"/>
      <c r="G1231" s="70"/>
      <c r="H1231" s="70"/>
    </row>
    <row r="1232" spans="1:8" x14ac:dyDescent="0.2">
      <c r="A1232" s="440" t="str">
        <f>IF(ISBLANK(Twilight!AG1137),"|",CONCATENATE(Twilight!AG1137,"|"))</f>
        <v>|</v>
      </c>
      <c r="E1232" s="70"/>
      <c r="F1232" s="70"/>
      <c r="G1232" s="70"/>
      <c r="H1232" s="70"/>
    </row>
    <row r="1233" spans="1:8" x14ac:dyDescent="0.2">
      <c r="A1233" s="440" t="str">
        <f>IF(ISBLANK(Twilight!AG1138),"|",CONCATENATE(Twilight!AG1138,"|"))</f>
        <v>|</v>
      </c>
      <c r="E1233" s="70"/>
      <c r="F1233" s="70"/>
      <c r="G1233" s="70"/>
      <c r="H1233" s="70"/>
    </row>
    <row r="1234" spans="1:8" x14ac:dyDescent="0.2">
      <c r="A1234" s="440" t="str">
        <f>IF(ISBLANK(Twilight!AG1139),"|",CONCATENATE(Twilight!AG1139,"|"))</f>
        <v>|</v>
      </c>
      <c r="E1234" s="70"/>
      <c r="F1234" s="70"/>
      <c r="G1234" s="70"/>
      <c r="H1234" s="70"/>
    </row>
    <row r="1235" spans="1:8" x14ac:dyDescent="0.2">
      <c r="A1235" s="440" t="str">
        <f>IF(ISBLANK(Twilight!AG1140),"|",CONCATENATE(Twilight!AG1140,"|"))</f>
        <v>|</v>
      </c>
      <c r="E1235" s="70"/>
      <c r="F1235" s="70"/>
      <c r="G1235" s="70"/>
      <c r="H1235" s="70"/>
    </row>
    <row r="1236" spans="1:8" x14ac:dyDescent="0.2">
      <c r="A1236" s="440" t="str">
        <f>IF(ISBLANK(Twilight!AG1141),"|",CONCATENATE(Twilight!AG1141,"|"))</f>
        <v>|</v>
      </c>
      <c r="E1236" s="70"/>
      <c r="F1236" s="70"/>
      <c r="G1236" s="70"/>
      <c r="H1236" s="70"/>
    </row>
    <row r="1237" spans="1:8" x14ac:dyDescent="0.2">
      <c r="A1237" s="440" t="str">
        <f>IF(ISBLANK(Twilight!AG1142),"|",CONCATENATE(Twilight!AG1142,"|"))</f>
        <v>|</v>
      </c>
      <c r="E1237" s="70"/>
      <c r="F1237" s="70"/>
      <c r="G1237" s="70"/>
      <c r="H1237" s="70"/>
    </row>
    <row r="1238" spans="1:8" x14ac:dyDescent="0.2">
      <c r="A1238" s="440" t="str">
        <f>IF(ISBLANK(Twilight!AG1143),"|",CONCATENATE(Twilight!AG1143,"|"))</f>
        <v>|</v>
      </c>
      <c r="E1238" s="70"/>
      <c r="F1238" s="70"/>
      <c r="G1238" s="70"/>
      <c r="H1238" s="70"/>
    </row>
    <row r="1239" spans="1:8" x14ac:dyDescent="0.2">
      <c r="A1239" s="440" t="str">
        <f>IF(ISBLANK(Twilight!AG1144),"|",CONCATENATE(Twilight!AG1144,"|"))</f>
        <v>|</v>
      </c>
      <c r="E1239" s="70"/>
      <c r="F1239" s="70"/>
      <c r="G1239" s="70"/>
      <c r="H1239" s="70"/>
    </row>
    <row r="1240" spans="1:8" x14ac:dyDescent="0.2">
      <c r="A1240" s="440" t="str">
        <f>IF(ISBLANK(Twilight!AG1145),"|",CONCATENATE(Twilight!AG1145,"|"))</f>
        <v>|</v>
      </c>
      <c r="E1240" s="70"/>
      <c r="F1240" s="70"/>
      <c r="G1240" s="70"/>
      <c r="H1240" s="70"/>
    </row>
    <row r="1241" spans="1:8" x14ac:dyDescent="0.2">
      <c r="A1241" s="440" t="str">
        <f>IF(ISBLANK(Twilight!AG1146),"|",CONCATENATE(Twilight!AG1146,"|"))</f>
        <v>|</v>
      </c>
      <c r="E1241" s="70"/>
      <c r="F1241" s="70"/>
      <c r="G1241" s="70"/>
      <c r="H1241" s="70"/>
    </row>
    <row r="1242" spans="1:8" x14ac:dyDescent="0.2">
      <c r="A1242" s="440" t="str">
        <f>IF(ISBLANK(Twilight!AG1147),"|",CONCATENATE(Twilight!AG1147,"|"))</f>
        <v>|</v>
      </c>
      <c r="E1242" s="70"/>
      <c r="F1242" s="70"/>
      <c r="G1242" s="70"/>
      <c r="H1242" s="70"/>
    </row>
    <row r="1243" spans="1:8" x14ac:dyDescent="0.2">
      <c r="A1243" s="440" t="str">
        <f>IF(ISBLANK(Twilight!AG1148),"|",CONCATENATE(Twilight!AG1148,"|"))</f>
        <v>|</v>
      </c>
      <c r="E1243" s="70"/>
      <c r="F1243" s="70"/>
      <c r="G1243" s="70"/>
      <c r="H1243" s="70"/>
    </row>
    <row r="1244" spans="1:8" x14ac:dyDescent="0.2">
      <c r="A1244" s="440" t="str">
        <f>IF(ISBLANK(Twilight!AG1149),"|",CONCATENATE(Twilight!AG1149,"|"))</f>
        <v>|</v>
      </c>
      <c r="E1244" s="70"/>
      <c r="F1244" s="70"/>
      <c r="G1244" s="70"/>
      <c r="H1244" s="70"/>
    </row>
    <row r="1245" spans="1:8" x14ac:dyDescent="0.2">
      <c r="A1245" s="440" t="str">
        <f>IF(ISBLANK(Twilight!AG1150),"|",CONCATENATE(Twilight!AG1150,"|"))</f>
        <v>|</v>
      </c>
      <c r="E1245" s="70"/>
      <c r="F1245" s="70"/>
      <c r="G1245" s="70"/>
      <c r="H1245" s="70"/>
    </row>
    <row r="1246" spans="1:8" x14ac:dyDescent="0.2">
      <c r="A1246" s="440" t="str">
        <f>IF(ISBLANK(Twilight!AG1151),"|",CONCATENATE(Twilight!AG1151,"|"))</f>
        <v>|</v>
      </c>
      <c r="E1246" s="70"/>
      <c r="F1246" s="70"/>
      <c r="G1246" s="70"/>
      <c r="H1246" s="70"/>
    </row>
    <row r="1247" spans="1:8" x14ac:dyDescent="0.2">
      <c r="A1247" s="440" t="str">
        <f>IF(ISBLANK(Twilight!AG1152),"|",CONCATENATE(Twilight!AG1152,"|"))</f>
        <v>|</v>
      </c>
      <c r="E1247" s="70"/>
      <c r="F1247" s="70"/>
      <c r="G1247" s="70"/>
      <c r="H1247" s="70"/>
    </row>
    <row r="1248" spans="1:8" x14ac:dyDescent="0.2">
      <c r="A1248" s="440" t="str">
        <f>IF(ISBLANK(Twilight!AG1153),"|",CONCATENATE(Twilight!AG1153,"|"))</f>
        <v>|</v>
      </c>
      <c r="E1248" s="70"/>
      <c r="F1248" s="70"/>
      <c r="G1248" s="70"/>
      <c r="H1248" s="70"/>
    </row>
    <row r="1249" spans="1:8" x14ac:dyDescent="0.2">
      <c r="A1249" s="440" t="str">
        <f>IF(ISBLANK(Twilight!AG1154),"|",CONCATENATE(Twilight!AG1154,"|"))</f>
        <v>|</v>
      </c>
      <c r="E1249" s="70"/>
      <c r="F1249" s="70"/>
      <c r="G1249" s="70"/>
      <c r="H1249" s="70"/>
    </row>
    <row r="1250" spans="1:8" x14ac:dyDescent="0.2">
      <c r="A1250" s="440" t="str">
        <f>IF(ISBLANK(Twilight!AG1155),"|",CONCATENATE(Twilight!AG1155,"|"))</f>
        <v>|</v>
      </c>
      <c r="E1250" s="70"/>
      <c r="F1250" s="70"/>
      <c r="G1250" s="70"/>
      <c r="H1250" s="70"/>
    </row>
    <row r="1251" spans="1:8" x14ac:dyDescent="0.2">
      <c r="A1251" s="440" t="str">
        <f>IF(ISBLANK(Twilight!AG1156),"|",CONCATENATE(Twilight!AG1156,"|"))</f>
        <v>|</v>
      </c>
      <c r="E1251" s="70"/>
      <c r="F1251" s="70"/>
      <c r="G1251" s="70"/>
      <c r="H1251" s="70"/>
    </row>
    <row r="1252" spans="1:8" x14ac:dyDescent="0.2">
      <c r="A1252" s="440" t="str">
        <f>IF(ISBLANK(Twilight!AG1157),"|",CONCATENATE(Twilight!AG1157,"|"))</f>
        <v>|</v>
      </c>
      <c r="E1252" s="70"/>
      <c r="F1252" s="70"/>
      <c r="G1252" s="70"/>
      <c r="H1252" s="70"/>
    </row>
    <row r="1253" spans="1:8" x14ac:dyDescent="0.2">
      <c r="A1253" s="440" t="str">
        <f>IF(ISBLANK(Twilight!AG1158),"|",CONCATENATE(Twilight!AG1158,"|"))</f>
        <v>|</v>
      </c>
      <c r="E1253" s="70"/>
      <c r="F1253" s="70"/>
      <c r="G1253" s="70"/>
      <c r="H1253" s="70"/>
    </row>
    <row r="1254" spans="1:8" x14ac:dyDescent="0.2">
      <c r="A1254" s="440" t="str">
        <f>IF(ISBLANK(Twilight!AG1159),"|",CONCATENATE(Twilight!AG1159,"|"))</f>
        <v>|</v>
      </c>
      <c r="E1254" s="70"/>
      <c r="F1254" s="70"/>
      <c r="G1254" s="70"/>
      <c r="H1254" s="70"/>
    </row>
    <row r="1255" spans="1:8" x14ac:dyDescent="0.2">
      <c r="A1255" s="440" t="str">
        <f>IF(ISBLANK(Twilight!AG1160),"|",CONCATENATE(Twilight!AG1160,"|"))</f>
        <v>|</v>
      </c>
      <c r="E1255" s="70"/>
      <c r="F1255" s="70"/>
      <c r="G1255" s="70"/>
      <c r="H1255" s="70"/>
    </row>
    <row r="1256" spans="1:8" x14ac:dyDescent="0.2">
      <c r="A1256" s="440" t="str">
        <f>IF(ISBLANK(Twilight!AG1161),"|",CONCATENATE(Twilight!AG1161,"|"))</f>
        <v>|</v>
      </c>
      <c r="E1256" s="70"/>
      <c r="F1256" s="70"/>
      <c r="G1256" s="70"/>
      <c r="H1256" s="70"/>
    </row>
    <row r="1257" spans="1:8" x14ac:dyDescent="0.2">
      <c r="A1257" s="440" t="str">
        <f>IF(ISBLANK(Twilight!AG1162),"|",CONCATENATE(Twilight!AG1162,"|"))</f>
        <v>|</v>
      </c>
      <c r="E1257" s="70"/>
      <c r="F1257" s="70"/>
      <c r="G1257" s="70"/>
      <c r="H1257" s="70"/>
    </row>
    <row r="1258" spans="1:8" x14ac:dyDescent="0.2">
      <c r="A1258" s="440" t="str">
        <f>IF(ISBLANK(Twilight!AG1163),"|",CONCATENATE(Twilight!AG1163,"|"))</f>
        <v>|</v>
      </c>
      <c r="E1258" s="70"/>
      <c r="F1258" s="70"/>
      <c r="G1258" s="70"/>
      <c r="H1258" s="70"/>
    </row>
    <row r="1259" spans="1:8" x14ac:dyDescent="0.2">
      <c r="A1259" s="440" t="str">
        <f>IF(ISBLANK(Twilight!AG1164),"|",CONCATENATE(Twilight!AG1164,"|"))</f>
        <v>|</v>
      </c>
      <c r="E1259" s="70"/>
      <c r="F1259" s="70"/>
      <c r="G1259" s="70"/>
      <c r="H1259" s="70"/>
    </row>
    <row r="1260" spans="1:8" x14ac:dyDescent="0.2">
      <c r="A1260" s="440" t="str">
        <f>IF(ISBLANK(Twilight!AG1165),"|",CONCATENATE(Twilight!AG1165,"|"))</f>
        <v>|</v>
      </c>
      <c r="E1260" s="70"/>
      <c r="F1260" s="70"/>
      <c r="G1260" s="70"/>
      <c r="H1260" s="70"/>
    </row>
    <row r="1261" spans="1:8" x14ac:dyDescent="0.2">
      <c r="A1261" s="440" t="str">
        <f>IF(ISBLANK(Twilight!AG1166),"|",CONCATENATE(Twilight!AG1166,"|"))</f>
        <v>|</v>
      </c>
      <c r="E1261" s="70"/>
      <c r="F1261" s="70"/>
      <c r="G1261" s="70"/>
      <c r="H1261" s="70"/>
    </row>
    <row r="1262" spans="1:8" x14ac:dyDescent="0.2">
      <c r="A1262" s="440" t="str">
        <f>IF(ISBLANK(Twilight!AG1167),"|",CONCATENATE(Twilight!AG1167,"|"))</f>
        <v>|</v>
      </c>
      <c r="E1262" s="70"/>
      <c r="F1262" s="70"/>
      <c r="G1262" s="70"/>
      <c r="H1262" s="70"/>
    </row>
    <row r="1263" spans="1:8" x14ac:dyDescent="0.2">
      <c r="A1263" s="440" t="str">
        <f>IF(ISBLANK(Twilight!AG1168),"|",CONCATENATE(Twilight!AG1168,"|"))</f>
        <v>|</v>
      </c>
      <c r="E1263" s="70"/>
      <c r="F1263" s="70"/>
      <c r="G1263" s="70"/>
      <c r="H1263" s="70"/>
    </row>
    <row r="1264" spans="1:8" x14ac:dyDescent="0.2">
      <c r="A1264" s="440" t="str">
        <f>IF(ISBLANK(Twilight!AG1169),"|",CONCATENATE(Twilight!AG1169,"|"))</f>
        <v>|</v>
      </c>
      <c r="E1264" s="70"/>
      <c r="F1264" s="70"/>
      <c r="G1264" s="70"/>
      <c r="H1264" s="70"/>
    </row>
    <row r="1265" spans="1:8" x14ac:dyDescent="0.2">
      <c r="A1265" s="440" t="str">
        <f>IF(ISBLANK(Twilight!AG1170),"|",CONCATENATE(Twilight!AG1170,"|"))</f>
        <v>|</v>
      </c>
      <c r="E1265" s="70"/>
      <c r="F1265" s="70"/>
      <c r="G1265" s="70"/>
      <c r="H1265" s="70"/>
    </row>
    <row r="1266" spans="1:8" x14ac:dyDescent="0.2">
      <c r="A1266" s="440" t="str">
        <f>IF(ISBLANK(Twilight!AG1171),"|",CONCATENATE(Twilight!AG1171,"|"))</f>
        <v>|</v>
      </c>
      <c r="E1266" s="70"/>
      <c r="F1266" s="70"/>
      <c r="G1266" s="70"/>
      <c r="H1266" s="70"/>
    </row>
    <row r="1267" spans="1:8" x14ac:dyDescent="0.2">
      <c r="A1267" s="440" t="str">
        <f>IF(ISBLANK(Twilight!AG1172),"|",CONCATENATE(Twilight!AG1172,"|"))</f>
        <v>|</v>
      </c>
      <c r="E1267" s="70"/>
      <c r="F1267" s="70"/>
      <c r="G1267" s="70"/>
      <c r="H1267" s="70"/>
    </row>
    <row r="1268" spans="1:8" x14ac:dyDescent="0.2">
      <c r="A1268" s="440" t="str">
        <f>IF(ISBLANK(Twilight!AG1173),"|",CONCATENATE(Twilight!AG1173,"|"))</f>
        <v>|</v>
      </c>
      <c r="E1268" s="70"/>
      <c r="F1268" s="70"/>
      <c r="G1268" s="70"/>
      <c r="H1268" s="70"/>
    </row>
    <row r="1269" spans="1:8" x14ac:dyDescent="0.2">
      <c r="A1269" s="440" t="str">
        <f>IF(ISBLANK(Twilight!AG1174),"|",CONCATENATE(Twilight!AG1174,"|"))</f>
        <v>|</v>
      </c>
      <c r="E1269" s="70"/>
      <c r="F1269" s="70"/>
      <c r="G1269" s="70"/>
      <c r="H1269" s="70"/>
    </row>
    <row r="1270" spans="1:8" x14ac:dyDescent="0.2">
      <c r="A1270" s="440" t="str">
        <f>IF(ISBLANK(Twilight!AG1175),"|",CONCATENATE(Twilight!AG1175,"|"))</f>
        <v>|</v>
      </c>
      <c r="E1270" s="70"/>
      <c r="F1270" s="70"/>
      <c r="G1270" s="70"/>
      <c r="H1270" s="70"/>
    </row>
    <row r="1271" spans="1:8" x14ac:dyDescent="0.2">
      <c r="A1271" s="440" t="str">
        <f>IF(ISBLANK(Twilight!AG1176),"|",CONCATENATE(Twilight!AG1176,"|"))</f>
        <v>|</v>
      </c>
      <c r="E1271" s="70"/>
      <c r="F1271" s="70"/>
      <c r="G1271" s="70"/>
      <c r="H1271" s="70"/>
    </row>
    <row r="1272" spans="1:8" x14ac:dyDescent="0.2">
      <c r="A1272" s="440" t="str">
        <f>IF(ISBLANK(Twilight!AG1177),"|",CONCATENATE(Twilight!AG1177,"|"))</f>
        <v>|</v>
      </c>
      <c r="E1272" s="70"/>
      <c r="F1272" s="70"/>
      <c r="G1272" s="70"/>
      <c r="H1272" s="70"/>
    </row>
    <row r="1273" spans="1:8" x14ac:dyDescent="0.2">
      <c r="A1273" s="440" t="str">
        <f>IF(ISBLANK(Twilight!AG1178),"|",CONCATENATE(Twilight!AG1178,"|"))</f>
        <v>|</v>
      </c>
      <c r="E1273" s="70"/>
      <c r="F1273" s="70"/>
      <c r="G1273" s="70"/>
      <c r="H1273" s="70"/>
    </row>
    <row r="1274" spans="1:8" x14ac:dyDescent="0.2">
      <c r="A1274" s="440" t="str">
        <f>IF(ISBLANK(Twilight!AG1179),"|",CONCATENATE(Twilight!AG1179,"|"))</f>
        <v>|</v>
      </c>
      <c r="E1274" s="70"/>
      <c r="F1274" s="70"/>
      <c r="G1274" s="70"/>
      <c r="H1274" s="70"/>
    </row>
    <row r="1275" spans="1:8" x14ac:dyDescent="0.2">
      <c r="A1275" s="440" t="str">
        <f>IF(ISBLANK(Twilight!AG1180),"|",CONCATENATE(Twilight!AG1180,"|"))</f>
        <v>|</v>
      </c>
      <c r="E1275" s="70"/>
      <c r="F1275" s="70"/>
      <c r="G1275" s="70"/>
      <c r="H1275" s="70"/>
    </row>
    <row r="1276" spans="1:8" x14ac:dyDescent="0.2">
      <c r="A1276" s="440" t="str">
        <f>IF(ISBLANK(Twilight!AG1181),"|",CONCATENATE(Twilight!AG1181,"|"))</f>
        <v>|</v>
      </c>
      <c r="E1276" s="70"/>
      <c r="F1276" s="70"/>
      <c r="G1276" s="70"/>
      <c r="H1276" s="70"/>
    </row>
    <row r="1277" spans="1:8" x14ac:dyDescent="0.2">
      <c r="A1277" s="440" t="str">
        <f>IF(ISBLANK(Twilight!AG1182),"|",CONCATENATE(Twilight!AG1182,"|"))</f>
        <v>|</v>
      </c>
      <c r="E1277" s="70"/>
      <c r="F1277" s="70"/>
      <c r="G1277" s="70"/>
      <c r="H1277" s="70"/>
    </row>
    <row r="1278" spans="1:8" x14ac:dyDescent="0.2">
      <c r="A1278" s="440" t="str">
        <f>IF(ISBLANK(Twilight!AG1183),"|",CONCATENATE(Twilight!AG1183,"|"))</f>
        <v>|</v>
      </c>
      <c r="E1278" s="70"/>
      <c r="F1278" s="70"/>
      <c r="G1278" s="70"/>
      <c r="H1278" s="70"/>
    </row>
    <row r="1279" spans="1:8" x14ac:dyDescent="0.2">
      <c r="A1279" s="440" t="str">
        <f>IF(ISBLANK(Twilight!AG1184),"|",CONCATENATE(Twilight!AG1184,"|"))</f>
        <v>|</v>
      </c>
      <c r="E1279" s="70"/>
      <c r="F1279" s="70"/>
      <c r="G1279" s="70"/>
      <c r="H1279" s="70"/>
    </row>
    <row r="1280" spans="1:8" x14ac:dyDescent="0.2">
      <c r="A1280" s="440" t="str">
        <f>IF(ISBLANK(Twilight!AG1185),"|",CONCATENATE(Twilight!AG1185,"|"))</f>
        <v>|</v>
      </c>
      <c r="E1280" s="70"/>
      <c r="F1280" s="70"/>
      <c r="G1280" s="70"/>
      <c r="H1280" s="70"/>
    </row>
    <row r="1281" spans="1:8" x14ac:dyDescent="0.2">
      <c r="A1281" s="440" t="str">
        <f>IF(ISBLANK(Twilight!AG1186),"|",CONCATENATE(Twilight!AG1186,"|"))</f>
        <v>|</v>
      </c>
      <c r="E1281" s="70"/>
      <c r="F1281" s="70"/>
      <c r="G1281" s="70"/>
      <c r="H1281" s="70"/>
    </row>
    <row r="1282" spans="1:8" x14ac:dyDescent="0.2">
      <c r="A1282" s="440" t="str">
        <f>IF(ISBLANK(Twilight!AG1187),"|",CONCATENATE(Twilight!AG1187,"|"))</f>
        <v>|</v>
      </c>
      <c r="E1282" s="70"/>
      <c r="F1282" s="70"/>
      <c r="G1282" s="70"/>
      <c r="H1282" s="70"/>
    </row>
    <row r="1283" spans="1:8" x14ac:dyDescent="0.2">
      <c r="A1283" s="440" t="str">
        <f>IF(ISBLANK(Twilight!AG1188),"|",CONCATENATE(Twilight!AG1188,"|"))</f>
        <v>|</v>
      </c>
      <c r="E1283" s="70"/>
      <c r="F1283" s="70"/>
      <c r="G1283" s="70"/>
      <c r="H1283" s="70"/>
    </row>
    <row r="1284" spans="1:8" x14ac:dyDescent="0.2">
      <c r="A1284" s="440" t="str">
        <f>IF(ISBLANK(Twilight!AG1189),"|",CONCATENATE(Twilight!AG1189,"|"))</f>
        <v>|</v>
      </c>
      <c r="E1284" s="70"/>
      <c r="F1284" s="70"/>
      <c r="G1284" s="70"/>
      <c r="H1284" s="70"/>
    </row>
    <row r="1285" spans="1:8" x14ac:dyDescent="0.2">
      <c r="A1285" s="440" t="str">
        <f>IF(ISBLANK(Twilight!AG1190),"|",CONCATENATE(Twilight!AG1190,"|"))</f>
        <v>|</v>
      </c>
      <c r="E1285" s="70"/>
      <c r="F1285" s="70"/>
      <c r="G1285" s="70"/>
      <c r="H1285" s="70"/>
    </row>
    <row r="1286" spans="1:8" x14ac:dyDescent="0.2">
      <c r="A1286" s="440" t="str">
        <f>IF(ISBLANK(Twilight!AG1191),"|",CONCATENATE(Twilight!AG1191,"|"))</f>
        <v>|</v>
      </c>
      <c r="E1286" s="70"/>
      <c r="F1286" s="70"/>
      <c r="G1286" s="70"/>
      <c r="H1286" s="70"/>
    </row>
    <row r="1287" spans="1:8" x14ac:dyDescent="0.2">
      <c r="A1287" s="440" t="str">
        <f>IF(ISBLANK(Twilight!AG1192),"|",CONCATENATE(Twilight!AG1192,"|"))</f>
        <v>|</v>
      </c>
      <c r="E1287" s="70"/>
      <c r="F1287" s="70"/>
      <c r="G1287" s="70"/>
      <c r="H1287" s="70"/>
    </row>
    <row r="1288" spans="1:8" x14ac:dyDescent="0.2">
      <c r="A1288" s="440" t="str">
        <f>IF(ISBLANK(Twilight!AG1193),"|",CONCATENATE(Twilight!AG1193,"|"))</f>
        <v>|</v>
      </c>
      <c r="E1288" s="70"/>
      <c r="F1288" s="70"/>
      <c r="G1288" s="70"/>
      <c r="H1288" s="70"/>
    </row>
    <row r="1289" spans="1:8" x14ac:dyDescent="0.2">
      <c r="A1289" s="440" t="str">
        <f>IF(ISBLANK(Twilight!AG1194),"|",CONCATENATE(Twilight!AG1194,"|"))</f>
        <v>|</v>
      </c>
      <c r="E1289" s="70"/>
      <c r="F1289" s="70"/>
      <c r="G1289" s="70"/>
      <c r="H1289" s="70"/>
    </row>
    <row r="1290" spans="1:8" x14ac:dyDescent="0.2">
      <c r="A1290" s="440" t="str">
        <f>IF(ISBLANK(Twilight!AG1195),"|",CONCATENATE(Twilight!AG1195,"|"))</f>
        <v>|</v>
      </c>
      <c r="E1290" s="70"/>
      <c r="F1290" s="70"/>
      <c r="G1290" s="70"/>
      <c r="H1290" s="70"/>
    </row>
    <row r="1291" spans="1:8" x14ac:dyDescent="0.2">
      <c r="A1291" s="440" t="str">
        <f>IF(ISBLANK(Twilight!AG1196),"|",CONCATENATE(Twilight!AG1196,"|"))</f>
        <v>|</v>
      </c>
      <c r="E1291" s="70"/>
      <c r="F1291" s="70"/>
      <c r="G1291" s="70"/>
      <c r="H1291" s="70"/>
    </row>
    <row r="1292" spans="1:8" x14ac:dyDescent="0.2">
      <c r="A1292" s="440" t="str">
        <f>IF(ISBLANK(Twilight!AG1197),"|",CONCATENATE(Twilight!AG1197,"|"))</f>
        <v>|</v>
      </c>
      <c r="E1292" s="70"/>
      <c r="F1292" s="70"/>
      <c r="G1292" s="70"/>
      <c r="H1292" s="70"/>
    </row>
    <row r="1293" spans="1:8" x14ac:dyDescent="0.2">
      <c r="A1293" s="440" t="str">
        <f>IF(ISBLANK(Twilight!AG1198),"|",CONCATENATE(Twilight!AG1198,"|"))</f>
        <v>|</v>
      </c>
      <c r="E1293" s="70"/>
      <c r="F1293" s="70"/>
      <c r="G1293" s="70"/>
      <c r="H1293" s="70"/>
    </row>
    <row r="1294" spans="1:8" x14ac:dyDescent="0.2">
      <c r="A1294" s="440" t="str">
        <f>IF(ISBLANK(Twilight!AG1199),"|",CONCATENATE(Twilight!AG1199,"|"))</f>
        <v>|</v>
      </c>
      <c r="E1294" s="70"/>
      <c r="F1294" s="70"/>
      <c r="G1294" s="70"/>
      <c r="H1294" s="70"/>
    </row>
    <row r="1295" spans="1:8" x14ac:dyDescent="0.2">
      <c r="A1295" s="440" t="str">
        <f>IF(ISBLANK(Twilight!AG1200),"|",CONCATENATE(Twilight!AG1200,"|"))</f>
        <v>|</v>
      </c>
      <c r="E1295" s="70"/>
      <c r="F1295" s="70"/>
      <c r="G1295" s="70"/>
      <c r="H1295" s="70"/>
    </row>
    <row r="1296" spans="1:8" x14ac:dyDescent="0.2">
      <c r="A1296" s="440" t="str">
        <f>IF(ISBLANK(Twilight!AG1201),"|",CONCATENATE(Twilight!AG1201,"|"))</f>
        <v>|</v>
      </c>
      <c r="E1296" s="70"/>
      <c r="F1296" s="70"/>
      <c r="G1296" s="70"/>
      <c r="H1296" s="70"/>
    </row>
    <row r="1297" spans="1:8" x14ac:dyDescent="0.2">
      <c r="A1297" s="440" t="str">
        <f>IF(ISBLANK(Twilight!AG1202),"|",CONCATENATE(Twilight!AG1202,"|"))</f>
        <v>|</v>
      </c>
      <c r="E1297" s="70"/>
      <c r="F1297" s="70"/>
      <c r="G1297" s="70"/>
      <c r="H1297" s="70"/>
    </row>
    <row r="1298" spans="1:8" x14ac:dyDescent="0.2">
      <c r="A1298" s="440" t="str">
        <f>IF(ISBLANK(Twilight!AG1203),"|",CONCATENATE(Twilight!AG1203,"|"))</f>
        <v>|</v>
      </c>
      <c r="E1298" s="70"/>
      <c r="F1298" s="70"/>
      <c r="G1298" s="70"/>
      <c r="H1298" s="70"/>
    </row>
    <row r="1299" spans="1:8" x14ac:dyDescent="0.2">
      <c r="A1299" s="440" t="str">
        <f>IF(ISBLANK(Twilight!AG1204),"|",CONCATENATE(Twilight!AG1204,"|"))</f>
        <v>|</v>
      </c>
      <c r="E1299" s="70"/>
      <c r="F1299" s="70"/>
      <c r="G1299" s="70"/>
      <c r="H1299" s="70"/>
    </row>
    <row r="1300" spans="1:8" x14ac:dyDescent="0.2">
      <c r="A1300" s="440" t="str">
        <f>IF(ISBLANK(Twilight!AG1205),"|",CONCATENATE(Twilight!AG1205,"|"))</f>
        <v>|</v>
      </c>
      <c r="E1300" s="70"/>
      <c r="F1300" s="70"/>
      <c r="G1300" s="70"/>
      <c r="H1300" s="70"/>
    </row>
    <row r="1301" spans="1:8" x14ac:dyDescent="0.2">
      <c r="A1301" s="440" t="str">
        <f>IF(ISBLANK(Twilight!AG1206),"|",CONCATENATE(Twilight!AG1206,"|"))</f>
        <v>|</v>
      </c>
      <c r="E1301" s="70"/>
      <c r="F1301" s="70"/>
      <c r="G1301" s="70"/>
      <c r="H1301" s="70"/>
    </row>
    <row r="1302" spans="1:8" x14ac:dyDescent="0.2">
      <c r="A1302" s="440" t="str">
        <f>IF(ISBLANK(Twilight!AG1207),"|",CONCATENATE(Twilight!AG1207,"|"))</f>
        <v>|</v>
      </c>
      <c r="E1302" s="70"/>
      <c r="F1302" s="70"/>
      <c r="G1302" s="70"/>
      <c r="H1302" s="70"/>
    </row>
    <row r="1303" spans="1:8" x14ac:dyDescent="0.2">
      <c r="A1303" s="440" t="str">
        <f>IF(ISBLANK(Twilight!AG1208),"|",CONCATENATE(Twilight!AG1208,"|"))</f>
        <v>|</v>
      </c>
      <c r="E1303" s="70"/>
      <c r="F1303" s="70"/>
      <c r="G1303" s="70"/>
      <c r="H1303" s="70"/>
    </row>
    <row r="1304" spans="1:8" x14ac:dyDescent="0.2">
      <c r="A1304" s="440" t="str">
        <f>IF(ISBLANK(Twilight!AG1209),"|",CONCATENATE(Twilight!AG1209,"|"))</f>
        <v>|</v>
      </c>
      <c r="E1304" s="70"/>
      <c r="F1304" s="70"/>
      <c r="G1304" s="70"/>
      <c r="H1304" s="70"/>
    </row>
    <row r="1305" spans="1:8" x14ac:dyDescent="0.2">
      <c r="A1305" s="440" t="str">
        <f>IF(ISBLANK(Twilight!AG1210),"|",CONCATENATE(Twilight!AG1210,"|"))</f>
        <v>|</v>
      </c>
      <c r="E1305" s="70"/>
      <c r="F1305" s="70"/>
      <c r="G1305" s="70"/>
      <c r="H1305" s="70"/>
    </row>
    <row r="1306" spans="1:8" x14ac:dyDescent="0.2">
      <c r="A1306" s="440" t="str">
        <f>IF(ISBLANK(Twilight!AG1211),"|",CONCATENATE(Twilight!AG1211,"|"))</f>
        <v>|</v>
      </c>
      <c r="E1306" s="70"/>
      <c r="F1306" s="70"/>
      <c r="G1306" s="70"/>
      <c r="H1306" s="70"/>
    </row>
    <row r="1307" spans="1:8" x14ac:dyDescent="0.2">
      <c r="A1307" s="440" t="str">
        <f>IF(ISBLANK(Twilight!AG1212),"|",CONCATENATE(Twilight!AG1212,"|"))</f>
        <v>|</v>
      </c>
      <c r="E1307" s="70"/>
      <c r="F1307" s="70"/>
      <c r="G1307" s="70"/>
      <c r="H1307" s="70"/>
    </row>
    <row r="1308" spans="1:8" x14ac:dyDescent="0.2">
      <c r="A1308" s="440" t="str">
        <f>IF(ISBLANK(Twilight!AG1213),"|",CONCATENATE(Twilight!AG1213,"|"))</f>
        <v>|</v>
      </c>
      <c r="E1308" s="70"/>
      <c r="F1308" s="70"/>
      <c r="G1308" s="70"/>
      <c r="H1308" s="70"/>
    </row>
    <row r="1309" spans="1:8" x14ac:dyDescent="0.2">
      <c r="A1309" s="440" t="str">
        <f>IF(ISBLANK(Twilight!AG1214),"|",CONCATENATE(Twilight!AG1214,"|"))</f>
        <v>|</v>
      </c>
      <c r="E1309" s="70"/>
      <c r="F1309" s="70"/>
      <c r="G1309" s="70"/>
      <c r="H1309" s="70"/>
    </row>
    <row r="1310" spans="1:8" x14ac:dyDescent="0.2">
      <c r="A1310" s="440" t="str">
        <f>IF(ISBLANK(Twilight!AG1215),"|",CONCATENATE(Twilight!AG1215,"|"))</f>
        <v>|</v>
      </c>
      <c r="E1310" s="70"/>
      <c r="F1310" s="70"/>
      <c r="G1310" s="70"/>
      <c r="H1310" s="70"/>
    </row>
    <row r="1311" spans="1:8" x14ac:dyDescent="0.2">
      <c r="A1311" s="440" t="str">
        <f>IF(ISBLANK(Twilight!AG1216),"|",CONCATENATE(Twilight!AG1216,"|"))</f>
        <v>|</v>
      </c>
      <c r="E1311" s="70"/>
      <c r="F1311" s="70"/>
      <c r="G1311" s="70"/>
      <c r="H1311" s="70"/>
    </row>
    <row r="1312" spans="1:8" x14ac:dyDescent="0.2">
      <c r="A1312" s="440" t="str">
        <f>IF(ISBLANK(Twilight!AG1217),"|",CONCATENATE(Twilight!AG1217,"|"))</f>
        <v>|</v>
      </c>
      <c r="E1312" s="70"/>
      <c r="F1312" s="70"/>
      <c r="G1312" s="70"/>
      <c r="H1312" s="70"/>
    </row>
    <row r="1313" spans="1:8" x14ac:dyDescent="0.2">
      <c r="A1313" s="440" t="str">
        <f>IF(ISBLANK(Twilight!AG1218),"|",CONCATENATE(Twilight!AG1218,"|"))</f>
        <v>|</v>
      </c>
      <c r="E1313" s="70"/>
      <c r="F1313" s="70"/>
      <c r="G1313" s="70"/>
      <c r="H1313" s="70"/>
    </row>
    <row r="1314" spans="1:8" x14ac:dyDescent="0.2">
      <c r="A1314" s="440" t="str">
        <f>IF(ISBLANK(Twilight!AG1219),"|",CONCATENATE(Twilight!AG1219,"|"))</f>
        <v>|</v>
      </c>
      <c r="E1314" s="70"/>
      <c r="F1314" s="70"/>
      <c r="G1314" s="70"/>
      <c r="H1314" s="70"/>
    </row>
    <row r="1315" spans="1:8" x14ac:dyDescent="0.2">
      <c r="A1315" s="440" t="str">
        <f>IF(ISBLANK(Twilight!AG1220),"|",CONCATENATE(Twilight!AG1220,"|"))</f>
        <v>|</v>
      </c>
      <c r="E1315" s="70"/>
      <c r="F1315" s="70"/>
      <c r="G1315" s="70"/>
      <c r="H1315" s="70"/>
    </row>
    <row r="1316" spans="1:8" x14ac:dyDescent="0.2">
      <c r="A1316" s="440" t="str">
        <f>IF(ISBLANK(Twilight!AG1221),"|",CONCATENATE(Twilight!AG1221,"|"))</f>
        <v>|</v>
      </c>
      <c r="E1316" s="70"/>
      <c r="F1316" s="70"/>
      <c r="G1316" s="70"/>
      <c r="H1316" s="70"/>
    </row>
    <row r="1317" spans="1:8" x14ac:dyDescent="0.2">
      <c r="A1317" s="440" t="str">
        <f>IF(ISBLANK(Twilight!AG1222),"|",CONCATENATE(Twilight!AG1222,"|"))</f>
        <v>|</v>
      </c>
      <c r="E1317" s="70"/>
      <c r="F1317" s="70"/>
      <c r="G1317" s="70"/>
      <c r="H1317" s="70"/>
    </row>
    <row r="1318" spans="1:8" x14ac:dyDescent="0.2">
      <c r="A1318" s="440" t="str">
        <f>IF(ISBLANK(Twilight!AG1223),"|",CONCATENATE(Twilight!AG1223,"|"))</f>
        <v>|</v>
      </c>
      <c r="E1318" s="70"/>
      <c r="F1318" s="70"/>
      <c r="G1318" s="70"/>
      <c r="H1318" s="70"/>
    </row>
    <row r="1319" spans="1:8" x14ac:dyDescent="0.2">
      <c r="A1319" s="440" t="str">
        <f>IF(ISBLANK(Twilight!AG1224),"|",CONCATENATE(Twilight!AG1224,"|"))</f>
        <v>|</v>
      </c>
      <c r="E1319" s="70"/>
      <c r="F1319" s="70"/>
      <c r="G1319" s="70"/>
      <c r="H1319" s="70"/>
    </row>
    <row r="1320" spans="1:8" x14ac:dyDescent="0.2">
      <c r="A1320" s="440" t="str">
        <f>IF(ISBLANK(Twilight!AG1225),"|",CONCATENATE(Twilight!AG1225,"|"))</f>
        <v>|</v>
      </c>
      <c r="E1320" s="70"/>
      <c r="F1320" s="70"/>
      <c r="G1320" s="70"/>
      <c r="H1320" s="70"/>
    </row>
    <row r="1321" spans="1:8" x14ac:dyDescent="0.2">
      <c r="A1321" s="440" t="str">
        <f>IF(ISBLANK(Twilight!AG1226),"|",CONCATENATE(Twilight!AG1226,"|"))</f>
        <v>|</v>
      </c>
      <c r="E1321" s="70"/>
      <c r="F1321" s="70"/>
      <c r="G1321" s="70"/>
      <c r="H1321" s="70"/>
    </row>
    <row r="1322" spans="1:8" x14ac:dyDescent="0.2">
      <c r="A1322" s="440" t="str">
        <f>IF(ISBLANK(Twilight!AG1227),"|",CONCATENATE(Twilight!AG1227,"|"))</f>
        <v>|</v>
      </c>
      <c r="E1322" s="70"/>
      <c r="F1322" s="70"/>
      <c r="G1322" s="70"/>
      <c r="H1322" s="70"/>
    </row>
    <row r="1323" spans="1:8" x14ac:dyDescent="0.2">
      <c r="A1323" s="440" t="str">
        <f>IF(ISBLANK(Twilight!AG1228),"|",CONCATENATE(Twilight!AG1228,"|"))</f>
        <v>|</v>
      </c>
      <c r="E1323" s="70"/>
      <c r="F1323" s="70"/>
      <c r="G1323" s="70"/>
      <c r="H1323" s="70"/>
    </row>
    <row r="1324" spans="1:8" x14ac:dyDescent="0.2">
      <c r="A1324" s="440" t="str">
        <f>IF(ISBLANK(Twilight!AG1229),"|",CONCATENATE(Twilight!AG1229,"|"))</f>
        <v>|</v>
      </c>
      <c r="E1324" s="70"/>
      <c r="F1324" s="70"/>
      <c r="G1324" s="70"/>
      <c r="H1324" s="70"/>
    </row>
    <row r="1325" spans="1:8" x14ac:dyDescent="0.2">
      <c r="A1325" s="440" t="str">
        <f>IF(ISBLANK(Twilight!AG1230),"|",CONCATENATE(Twilight!AG1230,"|"))</f>
        <v>|</v>
      </c>
      <c r="E1325" s="70"/>
      <c r="F1325" s="70"/>
      <c r="G1325" s="70"/>
      <c r="H1325" s="70"/>
    </row>
    <row r="1326" spans="1:8" x14ac:dyDescent="0.2">
      <c r="A1326" s="440" t="str">
        <f>IF(ISBLANK(Twilight!AG1231),"|",CONCATENATE(Twilight!AG1231,"|"))</f>
        <v>|</v>
      </c>
      <c r="E1326" s="70"/>
      <c r="F1326" s="70"/>
      <c r="G1326" s="70"/>
      <c r="H1326" s="70"/>
    </row>
    <row r="1327" spans="1:8" x14ac:dyDescent="0.2">
      <c r="A1327" s="440" t="str">
        <f>IF(ISBLANK(Twilight!AG1232),"|",CONCATENATE(Twilight!AG1232,"|"))</f>
        <v>|</v>
      </c>
      <c r="E1327" s="70"/>
      <c r="F1327" s="70"/>
      <c r="G1327" s="70"/>
      <c r="H1327" s="70"/>
    </row>
    <row r="1328" spans="1:8" x14ac:dyDescent="0.2">
      <c r="A1328" s="440" t="str">
        <f>IF(ISBLANK(Twilight!AG1233),"|",CONCATENATE(Twilight!AG1233,"|"))</f>
        <v>|</v>
      </c>
      <c r="E1328" s="70"/>
      <c r="F1328" s="70"/>
      <c r="G1328" s="70"/>
      <c r="H1328" s="70"/>
    </row>
    <row r="1329" spans="1:8" x14ac:dyDescent="0.2">
      <c r="A1329" s="440" t="str">
        <f>IF(ISBLANK(Twilight!AG1234),"|",CONCATENATE(Twilight!AG1234,"|"))</f>
        <v>|</v>
      </c>
      <c r="E1329" s="70"/>
      <c r="F1329" s="70"/>
      <c r="G1329" s="70"/>
      <c r="H1329" s="70"/>
    </row>
    <row r="1330" spans="1:8" x14ac:dyDescent="0.2">
      <c r="A1330" s="440" t="str">
        <f>IF(ISBLANK(Twilight!AG1235),"|",CONCATENATE(Twilight!AG1235,"|"))</f>
        <v>|</v>
      </c>
      <c r="E1330" s="70"/>
      <c r="F1330" s="70"/>
      <c r="G1330" s="70"/>
      <c r="H1330" s="70"/>
    </row>
    <row r="1331" spans="1:8" x14ac:dyDescent="0.2">
      <c r="A1331" s="440" t="str">
        <f>IF(ISBLANK(Twilight!AG1236),"|",CONCATENATE(Twilight!AG1236,"|"))</f>
        <v>|</v>
      </c>
      <c r="E1331" s="70"/>
      <c r="F1331" s="70"/>
      <c r="G1331" s="70"/>
      <c r="H1331" s="70"/>
    </row>
    <row r="1332" spans="1:8" x14ac:dyDescent="0.2">
      <c r="A1332" s="440" t="str">
        <f>IF(ISBLANK(Twilight!AG1237),"|",CONCATENATE(Twilight!AG1237,"|"))</f>
        <v>|</v>
      </c>
      <c r="E1332" s="70"/>
      <c r="F1332" s="70"/>
      <c r="G1332" s="70"/>
      <c r="H1332" s="70"/>
    </row>
    <row r="1333" spans="1:8" x14ac:dyDescent="0.2">
      <c r="A1333" s="440" t="str">
        <f>IF(ISBLANK(Twilight!AG1238),"|",CONCATENATE(Twilight!AG1238,"|"))</f>
        <v>|</v>
      </c>
      <c r="E1333" s="70"/>
      <c r="F1333" s="70"/>
      <c r="G1333" s="70"/>
      <c r="H1333" s="70"/>
    </row>
    <row r="1334" spans="1:8" x14ac:dyDescent="0.2">
      <c r="A1334" s="440" t="str">
        <f>IF(ISBLANK(Twilight!AG1239),"|",CONCATENATE(Twilight!AG1239,"|"))</f>
        <v>|</v>
      </c>
      <c r="E1334" s="70"/>
      <c r="F1334" s="70"/>
      <c r="G1334" s="70"/>
      <c r="H1334" s="70"/>
    </row>
    <row r="1335" spans="1:8" x14ac:dyDescent="0.2">
      <c r="A1335" s="440" t="str">
        <f>IF(ISBLANK(Twilight!AG1240),"|",CONCATENATE(Twilight!AG1240,"|"))</f>
        <v>|</v>
      </c>
      <c r="E1335" s="70"/>
      <c r="F1335" s="70"/>
      <c r="G1335" s="70"/>
      <c r="H1335" s="70"/>
    </row>
    <row r="1336" spans="1:8" x14ac:dyDescent="0.2">
      <c r="A1336" s="440" t="str">
        <f>IF(ISBLANK(Twilight!AG1241),"|",CONCATENATE(Twilight!AG1241,"|"))</f>
        <v>|</v>
      </c>
      <c r="E1336" s="70"/>
      <c r="F1336" s="70"/>
      <c r="G1336" s="70"/>
      <c r="H1336" s="70"/>
    </row>
    <row r="1337" spans="1:8" x14ac:dyDescent="0.2">
      <c r="A1337" s="440" t="str">
        <f>IF(ISBLANK(Twilight!AG1242),"|",CONCATENATE(Twilight!AG1242,"|"))</f>
        <v>|</v>
      </c>
      <c r="E1337" s="70"/>
      <c r="F1337" s="70"/>
      <c r="G1337" s="70"/>
      <c r="H1337" s="70"/>
    </row>
    <row r="1338" spans="1:8" x14ac:dyDescent="0.2">
      <c r="A1338" s="440" t="str">
        <f>IF(ISBLANK(Twilight!AG1243),"|",CONCATENATE(Twilight!AG1243,"|"))</f>
        <v>|</v>
      </c>
      <c r="E1338" s="70"/>
      <c r="F1338" s="70"/>
      <c r="G1338" s="70"/>
      <c r="H1338" s="70"/>
    </row>
    <row r="1339" spans="1:8" x14ac:dyDescent="0.2">
      <c r="A1339" s="440" t="str">
        <f>IF(ISBLANK(Twilight!AG1244),"|",CONCATENATE(Twilight!AG1244,"|"))</f>
        <v>|</v>
      </c>
      <c r="E1339" s="70"/>
      <c r="F1339" s="70"/>
      <c r="G1339" s="70"/>
      <c r="H1339" s="70"/>
    </row>
    <row r="1340" spans="1:8" x14ac:dyDescent="0.2">
      <c r="A1340" s="440" t="str">
        <f>IF(ISBLANK(Twilight!AG1245),"|",CONCATENATE(Twilight!AG1245,"|"))</f>
        <v>|</v>
      </c>
      <c r="E1340" s="70"/>
      <c r="F1340" s="70"/>
      <c r="G1340" s="70"/>
      <c r="H1340" s="70"/>
    </row>
    <row r="1341" spans="1:8" x14ac:dyDescent="0.2">
      <c r="A1341" s="440" t="str">
        <f>IF(ISBLANK(Twilight!AG1246),"|",CONCATENATE(Twilight!AG1246,"|"))</f>
        <v>|</v>
      </c>
      <c r="E1341" s="70"/>
      <c r="F1341" s="70"/>
      <c r="G1341" s="70"/>
      <c r="H1341" s="70"/>
    </row>
    <row r="1342" spans="1:8" x14ac:dyDescent="0.2">
      <c r="A1342" s="440" t="str">
        <f>IF(ISBLANK(Twilight!AG1247),"|",CONCATENATE(Twilight!AG1247,"|"))</f>
        <v>|</v>
      </c>
      <c r="E1342" s="70"/>
      <c r="F1342" s="70"/>
      <c r="G1342" s="70"/>
      <c r="H1342" s="70"/>
    </row>
    <row r="1343" spans="1:8" x14ac:dyDescent="0.2">
      <c r="A1343" s="440" t="str">
        <f>IF(ISBLANK(Twilight!AG1248),"|",CONCATENATE(Twilight!AG1248,"|"))</f>
        <v>|</v>
      </c>
      <c r="E1343" s="70"/>
      <c r="F1343" s="70"/>
      <c r="G1343" s="70"/>
      <c r="H1343" s="70"/>
    </row>
    <row r="1344" spans="1:8" x14ac:dyDescent="0.2">
      <c r="A1344" s="440" t="str">
        <f>IF(ISBLANK(Twilight!AG1249),"|",CONCATENATE(Twilight!AG1249,"|"))</f>
        <v>|</v>
      </c>
      <c r="E1344" s="70"/>
      <c r="F1344" s="70"/>
      <c r="G1344" s="70"/>
      <c r="H1344" s="70"/>
    </row>
    <row r="1345" spans="1:8" x14ac:dyDescent="0.2">
      <c r="A1345" s="440" t="str">
        <f>IF(ISBLANK(Twilight!AG1250),"|",CONCATENATE(Twilight!AG1250,"|"))</f>
        <v>|</v>
      </c>
      <c r="E1345" s="70"/>
      <c r="F1345" s="70"/>
      <c r="G1345" s="70"/>
      <c r="H1345" s="70"/>
    </row>
    <row r="1346" spans="1:8" x14ac:dyDescent="0.2">
      <c r="A1346" s="440" t="str">
        <f>IF(ISBLANK(Twilight!AG1251),"|",CONCATENATE(Twilight!AG1251,"|"))</f>
        <v>|</v>
      </c>
      <c r="E1346" s="70"/>
      <c r="F1346" s="70"/>
      <c r="G1346" s="70"/>
      <c r="H1346" s="70"/>
    </row>
    <row r="1347" spans="1:8" x14ac:dyDescent="0.2">
      <c r="A1347" s="440" t="str">
        <f>IF(ISBLANK(Twilight!AG1252),"|",CONCATENATE(Twilight!AG1252,"|"))</f>
        <v>|</v>
      </c>
      <c r="E1347" s="70"/>
      <c r="F1347" s="70"/>
      <c r="G1347" s="70"/>
      <c r="H1347" s="70"/>
    </row>
    <row r="1348" spans="1:8" x14ac:dyDescent="0.2">
      <c r="A1348" s="440" t="str">
        <f>IF(ISBLANK(Twilight!AG1253),"|",CONCATENATE(Twilight!AG1253,"|"))</f>
        <v>|</v>
      </c>
      <c r="E1348" s="70"/>
      <c r="F1348" s="70"/>
      <c r="G1348" s="70"/>
      <c r="H1348" s="70"/>
    </row>
    <row r="1349" spans="1:8" x14ac:dyDescent="0.2">
      <c r="A1349" s="440" t="str">
        <f>IF(ISBLANK(Twilight!AG1254),"|",CONCATENATE(Twilight!AG1254,"|"))</f>
        <v>|</v>
      </c>
      <c r="E1349" s="70"/>
      <c r="F1349" s="70"/>
      <c r="G1349" s="70"/>
      <c r="H1349" s="70"/>
    </row>
    <row r="1350" spans="1:8" x14ac:dyDescent="0.2">
      <c r="A1350" s="440" t="str">
        <f>IF(ISBLANK(Twilight!AG1255),"|",CONCATENATE(Twilight!AG1255,"|"))</f>
        <v>|</v>
      </c>
      <c r="E1350" s="70"/>
      <c r="F1350" s="70"/>
      <c r="G1350" s="70"/>
      <c r="H1350" s="70"/>
    </row>
    <row r="1351" spans="1:8" x14ac:dyDescent="0.2">
      <c r="A1351" s="440" t="str">
        <f>IF(ISBLANK(Twilight!AG1256),"|",CONCATENATE(Twilight!AG1256,"|"))</f>
        <v>|</v>
      </c>
      <c r="E1351" s="70"/>
      <c r="F1351" s="70"/>
      <c r="G1351" s="70"/>
      <c r="H1351" s="70"/>
    </row>
    <row r="1352" spans="1:8" x14ac:dyDescent="0.2">
      <c r="A1352" s="440" t="str">
        <f>IF(ISBLANK(Twilight!AG1257),"|",CONCATENATE(Twilight!AG1257,"|"))</f>
        <v>|</v>
      </c>
      <c r="E1352" s="70"/>
      <c r="F1352" s="70"/>
      <c r="G1352" s="70"/>
      <c r="H1352" s="70"/>
    </row>
    <row r="1353" spans="1:8" x14ac:dyDescent="0.2">
      <c r="A1353" s="440" t="str">
        <f>IF(ISBLANK(Twilight!AG1258),"|",CONCATENATE(Twilight!AG1258,"|"))</f>
        <v>|</v>
      </c>
      <c r="E1353" s="70"/>
      <c r="F1353" s="70"/>
      <c r="G1353" s="70"/>
      <c r="H1353" s="70"/>
    </row>
    <row r="1354" spans="1:8" x14ac:dyDescent="0.2">
      <c r="A1354" s="440" t="str">
        <f>IF(ISBLANK(Twilight!AG1259),"|",CONCATENATE(Twilight!AG1259,"|"))</f>
        <v>|</v>
      </c>
      <c r="E1354" s="70"/>
      <c r="F1354" s="70"/>
      <c r="G1354" s="70"/>
      <c r="H1354" s="70"/>
    </row>
    <row r="1355" spans="1:8" x14ac:dyDescent="0.2">
      <c r="A1355" s="440" t="str">
        <f>IF(ISBLANK(Twilight!AG1260),"|",CONCATENATE(Twilight!AG1260,"|"))</f>
        <v>|</v>
      </c>
      <c r="E1355" s="70"/>
      <c r="F1355" s="70"/>
      <c r="G1355" s="70"/>
      <c r="H1355" s="70"/>
    </row>
    <row r="1356" spans="1:8" x14ac:dyDescent="0.2">
      <c r="A1356" s="440" t="str">
        <f>IF(ISBLANK(Twilight!AG1261),"|",CONCATENATE(Twilight!AG1261,"|"))</f>
        <v>|</v>
      </c>
      <c r="E1356" s="70"/>
      <c r="F1356" s="70"/>
      <c r="G1356" s="70"/>
      <c r="H1356" s="70"/>
    </row>
    <row r="1357" spans="1:8" x14ac:dyDescent="0.2">
      <c r="A1357" s="440" t="str">
        <f>IF(ISBLANK(Twilight!AG1262),"|",CONCATENATE(Twilight!AG1262,"|"))</f>
        <v>|</v>
      </c>
      <c r="E1357" s="70"/>
      <c r="F1357" s="70"/>
      <c r="G1357" s="70"/>
      <c r="H1357" s="70"/>
    </row>
    <row r="1358" spans="1:8" x14ac:dyDescent="0.2">
      <c r="A1358" s="440" t="str">
        <f>IF(ISBLANK(Twilight!AG1263),"|",CONCATENATE(Twilight!AG1263,"|"))</f>
        <v>|</v>
      </c>
      <c r="E1358" s="70"/>
      <c r="F1358" s="70"/>
      <c r="G1358" s="70"/>
      <c r="H1358" s="70"/>
    </row>
    <row r="1359" spans="1:8" x14ac:dyDescent="0.2">
      <c r="A1359" s="440" t="str">
        <f>IF(ISBLANK(Twilight!AG1264),"|",CONCATENATE(Twilight!AG1264,"|"))</f>
        <v>|</v>
      </c>
      <c r="E1359" s="70"/>
      <c r="F1359" s="70"/>
      <c r="G1359" s="70"/>
      <c r="H1359" s="70"/>
    </row>
    <row r="1360" spans="1:8" x14ac:dyDescent="0.2">
      <c r="A1360" s="440" t="str">
        <f>IF(ISBLANK(Twilight!AG1265),"|",CONCATENATE(Twilight!AG1265,"|"))</f>
        <v>|</v>
      </c>
      <c r="E1360" s="70"/>
      <c r="F1360" s="70"/>
      <c r="G1360" s="70"/>
      <c r="H1360" s="70"/>
    </row>
    <row r="1361" spans="1:8" x14ac:dyDescent="0.2">
      <c r="A1361" s="440" t="str">
        <f>IF(ISBLANK(Twilight!AG1266),"|",CONCATENATE(Twilight!AG1266,"|"))</f>
        <v>|</v>
      </c>
      <c r="E1361" s="70"/>
      <c r="F1361" s="70"/>
      <c r="G1361" s="70"/>
      <c r="H1361" s="70"/>
    </row>
    <row r="1362" spans="1:8" x14ac:dyDescent="0.2">
      <c r="A1362" s="440" t="str">
        <f>IF(ISBLANK(Twilight!AG1267),"|",CONCATENATE(Twilight!AG1267,"|"))</f>
        <v>|</v>
      </c>
      <c r="E1362" s="70"/>
      <c r="F1362" s="70"/>
      <c r="G1362" s="70"/>
      <c r="H1362" s="70"/>
    </row>
    <row r="1363" spans="1:8" x14ac:dyDescent="0.2">
      <c r="A1363" s="440" t="str">
        <f>IF(ISBLANK(Twilight!AG1268),"|",CONCATENATE(Twilight!AG1268,"|"))</f>
        <v>|</v>
      </c>
      <c r="E1363" s="70"/>
      <c r="F1363" s="70"/>
      <c r="G1363" s="70"/>
      <c r="H1363" s="70"/>
    </row>
    <row r="1364" spans="1:8" x14ac:dyDescent="0.2">
      <c r="A1364" s="440" t="str">
        <f>IF(ISBLANK(Twilight!AG1269),"|",CONCATENATE(Twilight!AG1269,"|"))</f>
        <v>|</v>
      </c>
      <c r="E1364" s="70"/>
      <c r="F1364" s="70"/>
      <c r="G1364" s="70"/>
      <c r="H1364" s="70"/>
    </row>
    <row r="1365" spans="1:8" x14ac:dyDescent="0.2">
      <c r="A1365" s="440" t="str">
        <f>IF(ISBLANK(Twilight!AG1270),"|",CONCATENATE(Twilight!AG1270,"|"))</f>
        <v>|</v>
      </c>
      <c r="E1365" s="70"/>
      <c r="F1365" s="70"/>
      <c r="G1365" s="70"/>
      <c r="H1365" s="70"/>
    </row>
    <row r="1366" spans="1:8" x14ac:dyDescent="0.2">
      <c r="A1366" s="440" t="str">
        <f>IF(ISBLANK(Twilight!AG1271),"|",CONCATENATE(Twilight!AG1271,"|"))</f>
        <v>|</v>
      </c>
      <c r="E1366" s="70"/>
      <c r="F1366" s="70"/>
      <c r="G1366" s="70"/>
      <c r="H1366" s="70"/>
    </row>
    <row r="1367" spans="1:8" x14ac:dyDescent="0.2">
      <c r="A1367" s="440" t="str">
        <f>IF(ISBLANK(Twilight!AG1272),"|",CONCATENATE(Twilight!AG1272,"|"))</f>
        <v>|</v>
      </c>
      <c r="E1367" s="70"/>
      <c r="F1367" s="70"/>
      <c r="G1367" s="70"/>
      <c r="H1367" s="70"/>
    </row>
    <row r="1368" spans="1:8" x14ac:dyDescent="0.2">
      <c r="A1368" s="440" t="str">
        <f>IF(ISBLANK(Twilight!AG1273),"|",CONCATENATE(Twilight!AG1273,"|"))</f>
        <v>|</v>
      </c>
      <c r="E1368" s="70"/>
      <c r="F1368" s="70"/>
      <c r="G1368" s="70"/>
      <c r="H1368" s="70"/>
    </row>
    <row r="1369" spans="1:8" x14ac:dyDescent="0.2">
      <c r="A1369" s="440" t="str">
        <f>IF(ISBLANK(Twilight!AG1274),"|",CONCATENATE(Twilight!AG1274,"|"))</f>
        <v>|</v>
      </c>
      <c r="E1369" s="70"/>
      <c r="F1369" s="70"/>
      <c r="G1369" s="70"/>
      <c r="H1369" s="70"/>
    </row>
    <row r="1370" spans="1:8" x14ac:dyDescent="0.2">
      <c r="A1370" s="440" t="str">
        <f>IF(ISBLANK(Twilight!AG1275),"|",CONCATENATE(Twilight!AG1275,"|"))</f>
        <v>|</v>
      </c>
      <c r="E1370" s="70"/>
      <c r="F1370" s="70"/>
      <c r="G1370" s="70"/>
      <c r="H1370" s="70"/>
    </row>
    <row r="1371" spans="1:8" x14ac:dyDescent="0.2">
      <c r="A1371" s="440" t="str">
        <f>IF(ISBLANK(Twilight!AG1276),"|",CONCATENATE(Twilight!AG1276,"|"))</f>
        <v>|</v>
      </c>
      <c r="E1371" s="70"/>
      <c r="F1371" s="70"/>
      <c r="G1371" s="70"/>
      <c r="H1371" s="70"/>
    </row>
    <row r="1372" spans="1:8" x14ac:dyDescent="0.2">
      <c r="A1372" s="440" t="str">
        <f>IF(ISBLANK(Twilight!AG1277),"|",CONCATENATE(Twilight!AG1277,"|"))</f>
        <v>|</v>
      </c>
      <c r="E1372" s="70"/>
      <c r="F1372" s="70"/>
      <c r="G1372" s="70"/>
      <c r="H1372" s="70"/>
    </row>
    <row r="1373" spans="1:8" x14ac:dyDescent="0.2">
      <c r="A1373" s="440" t="str">
        <f>IF(ISBLANK(Twilight!AG1278),"|",CONCATENATE(Twilight!AG1278,"|"))</f>
        <v>|</v>
      </c>
      <c r="E1373" s="70"/>
      <c r="F1373" s="70"/>
      <c r="G1373" s="70"/>
      <c r="H1373" s="70"/>
    </row>
    <row r="1374" spans="1:8" x14ac:dyDescent="0.2">
      <c r="A1374" s="440" t="str">
        <f>IF(ISBLANK(Twilight!AG1279),"|",CONCATENATE(Twilight!AG1279,"|"))</f>
        <v>|</v>
      </c>
      <c r="E1374" s="70"/>
      <c r="F1374" s="70"/>
      <c r="G1374" s="70"/>
      <c r="H1374" s="70"/>
    </row>
    <row r="1375" spans="1:8" x14ac:dyDescent="0.2">
      <c r="A1375" s="440" t="str">
        <f>IF(ISBLANK(Twilight!AG1280),"|",CONCATENATE(Twilight!AG1280,"|"))</f>
        <v>|</v>
      </c>
      <c r="E1375" s="70"/>
      <c r="F1375" s="70"/>
      <c r="G1375" s="70"/>
      <c r="H1375" s="70"/>
    </row>
    <row r="1376" spans="1:8" x14ac:dyDescent="0.2">
      <c r="A1376" s="440" t="str">
        <f>IF(ISBLANK(Twilight!AG1281),"|",CONCATENATE(Twilight!AG1281,"|"))</f>
        <v>|</v>
      </c>
      <c r="E1376" s="70"/>
      <c r="F1376" s="70"/>
      <c r="G1376" s="70"/>
      <c r="H1376" s="70"/>
    </row>
    <row r="1377" spans="1:8" x14ac:dyDescent="0.2">
      <c r="A1377" s="440" t="str">
        <f>IF(ISBLANK(Twilight!AG1282),"|",CONCATENATE(Twilight!AG1282,"|"))</f>
        <v>|</v>
      </c>
      <c r="E1377" s="70"/>
      <c r="F1377" s="70"/>
      <c r="G1377" s="70"/>
      <c r="H1377" s="70"/>
    </row>
    <row r="1378" spans="1:8" x14ac:dyDescent="0.2">
      <c r="A1378" s="440" t="str">
        <f>IF(ISBLANK(Twilight!AG1283),"|",CONCATENATE(Twilight!AG1283,"|"))</f>
        <v>|</v>
      </c>
      <c r="E1378" s="70"/>
      <c r="F1378" s="70"/>
      <c r="G1378" s="70"/>
      <c r="H1378" s="70"/>
    </row>
    <row r="1379" spans="1:8" x14ac:dyDescent="0.2">
      <c r="A1379" s="440" t="str">
        <f>IF(ISBLANK(Twilight!AG1284),"|",CONCATENATE(Twilight!AG1284,"|"))</f>
        <v>|</v>
      </c>
      <c r="E1379" s="70"/>
      <c r="F1379" s="70"/>
      <c r="G1379" s="70"/>
      <c r="H1379" s="70"/>
    </row>
    <row r="1380" spans="1:8" x14ac:dyDescent="0.2">
      <c r="A1380" s="440" t="str">
        <f>IF(ISBLANK(Twilight!AG1285),"|",CONCATENATE(Twilight!AG1285,"|"))</f>
        <v>|</v>
      </c>
      <c r="E1380" s="70"/>
      <c r="F1380" s="70"/>
      <c r="G1380" s="70"/>
      <c r="H1380" s="70"/>
    </row>
    <row r="1381" spans="1:8" x14ac:dyDescent="0.2">
      <c r="A1381" s="440" t="str">
        <f>IF(ISBLANK(Twilight!AG1286),"|",CONCATENATE(Twilight!AG1286,"|"))</f>
        <v>|</v>
      </c>
      <c r="E1381" s="70"/>
      <c r="F1381" s="70"/>
      <c r="G1381" s="70"/>
      <c r="H1381" s="70"/>
    </row>
    <row r="1382" spans="1:8" x14ac:dyDescent="0.2">
      <c r="A1382" s="440" t="str">
        <f>IF(ISBLANK(Twilight!AG1287),"|",CONCATENATE(Twilight!AG1287,"|"))</f>
        <v>|</v>
      </c>
      <c r="E1382" s="70"/>
      <c r="F1382" s="70"/>
      <c r="G1382" s="70"/>
      <c r="H1382" s="70"/>
    </row>
    <row r="1383" spans="1:8" x14ac:dyDescent="0.2">
      <c r="A1383" s="440" t="str">
        <f>IF(ISBLANK(Twilight!AG1288),"|",CONCATENATE(Twilight!AG1288,"|"))</f>
        <v>|</v>
      </c>
      <c r="E1383" s="70"/>
      <c r="F1383" s="70"/>
      <c r="G1383" s="70"/>
      <c r="H1383" s="70"/>
    </row>
    <row r="1384" spans="1:8" x14ac:dyDescent="0.2">
      <c r="A1384" s="440" t="str">
        <f>IF(ISBLANK(Twilight!AG1289),"|",CONCATENATE(Twilight!AG1289,"|"))</f>
        <v>|</v>
      </c>
      <c r="E1384" s="70"/>
      <c r="F1384" s="70"/>
      <c r="G1384" s="70"/>
      <c r="H1384" s="70"/>
    </row>
    <row r="1385" spans="1:8" x14ac:dyDescent="0.2">
      <c r="A1385" s="440" t="str">
        <f>IF(ISBLANK(Twilight!AG1290),"|",CONCATENATE(Twilight!AG1290,"|"))</f>
        <v>|</v>
      </c>
      <c r="E1385" s="70"/>
      <c r="F1385" s="70"/>
      <c r="G1385" s="70"/>
      <c r="H1385" s="70"/>
    </row>
    <row r="1386" spans="1:8" x14ac:dyDescent="0.2">
      <c r="A1386" s="440" t="str">
        <f>IF(ISBLANK(Twilight!AG1291),"|",CONCATENATE(Twilight!AG1291,"|"))</f>
        <v>|</v>
      </c>
      <c r="E1386" s="70"/>
      <c r="F1386" s="70"/>
      <c r="G1386" s="70"/>
      <c r="H1386" s="70"/>
    </row>
    <row r="1387" spans="1:8" x14ac:dyDescent="0.2">
      <c r="A1387" s="440" t="str">
        <f>IF(ISBLANK(Twilight!AG1292),"|",CONCATENATE(Twilight!AG1292,"|"))</f>
        <v>|</v>
      </c>
      <c r="E1387" s="70"/>
      <c r="F1387" s="70"/>
      <c r="G1387" s="70"/>
      <c r="H1387" s="70"/>
    </row>
    <row r="1388" spans="1:8" x14ac:dyDescent="0.2">
      <c r="A1388" s="440" t="str">
        <f>IF(ISBLANK(Twilight!AG1293),"|",CONCATENATE(Twilight!AG1293,"|"))</f>
        <v>|</v>
      </c>
      <c r="E1388" s="70"/>
      <c r="F1388" s="70"/>
      <c r="G1388" s="70"/>
      <c r="H1388" s="70"/>
    </row>
    <row r="1389" spans="1:8" x14ac:dyDescent="0.2">
      <c r="A1389" s="440" t="str">
        <f>IF(ISBLANK(Twilight!AG1294),"|",CONCATENATE(Twilight!AG1294,"|"))</f>
        <v>|</v>
      </c>
      <c r="E1389" s="70"/>
      <c r="F1389" s="70"/>
      <c r="G1389" s="70"/>
      <c r="H1389" s="70"/>
    </row>
    <row r="1390" spans="1:8" x14ac:dyDescent="0.2">
      <c r="A1390" s="440" t="str">
        <f>IF(ISBLANK(Twilight!AG1295),"|",CONCATENATE(Twilight!AG1295,"|"))</f>
        <v>|</v>
      </c>
      <c r="E1390" s="70"/>
      <c r="F1390" s="70"/>
      <c r="G1390" s="70"/>
      <c r="H1390" s="70"/>
    </row>
    <row r="1391" spans="1:8" x14ac:dyDescent="0.2">
      <c r="A1391" s="440" t="str">
        <f>IF(ISBLANK(Twilight!AG1296),"|",CONCATENATE(Twilight!AG1296,"|"))</f>
        <v>|</v>
      </c>
      <c r="E1391" s="70"/>
      <c r="F1391" s="70"/>
      <c r="G1391" s="70"/>
      <c r="H1391" s="70"/>
    </row>
    <row r="1392" spans="1:8" x14ac:dyDescent="0.2">
      <c r="A1392" s="440" t="str">
        <f>IF(ISBLANK(Twilight!AG1297),"|",CONCATENATE(Twilight!AG1297,"|"))</f>
        <v>|</v>
      </c>
      <c r="E1392" s="70"/>
      <c r="F1392" s="70"/>
      <c r="G1392" s="70"/>
      <c r="H1392" s="70"/>
    </row>
    <row r="1393" spans="1:8" x14ac:dyDescent="0.2">
      <c r="A1393" s="440" t="str">
        <f>IF(ISBLANK(Twilight!AG1298),"|",CONCATENATE(Twilight!AG1298,"|"))</f>
        <v>|</v>
      </c>
      <c r="E1393" s="70"/>
      <c r="F1393" s="70"/>
      <c r="G1393" s="70"/>
      <c r="H1393" s="70"/>
    </row>
    <row r="1394" spans="1:8" x14ac:dyDescent="0.2">
      <c r="A1394" s="440" t="str">
        <f>IF(ISBLANK(Twilight!AG1299),"|",CONCATENATE(Twilight!AG1299,"|"))</f>
        <v>|</v>
      </c>
      <c r="E1394" s="70"/>
      <c r="F1394" s="70"/>
      <c r="G1394" s="70"/>
      <c r="H1394" s="70"/>
    </row>
    <row r="1395" spans="1:8" x14ac:dyDescent="0.2">
      <c r="A1395" s="440" t="str">
        <f>IF(ISBLANK(Twilight!AG1300),"|",CONCATENATE(Twilight!AG1300,"|"))</f>
        <v>|</v>
      </c>
      <c r="E1395" s="70"/>
      <c r="F1395" s="70"/>
      <c r="G1395" s="70"/>
      <c r="H1395" s="70"/>
    </row>
    <row r="1396" spans="1:8" x14ac:dyDescent="0.2">
      <c r="A1396" s="440" t="str">
        <f>IF(ISBLANK(Twilight!AG1301),"|",CONCATENATE(Twilight!AG1301,"|"))</f>
        <v>|</v>
      </c>
      <c r="E1396" s="70"/>
      <c r="F1396" s="70"/>
      <c r="G1396" s="70"/>
      <c r="H1396" s="70"/>
    </row>
    <row r="1397" spans="1:8" x14ac:dyDescent="0.2">
      <c r="A1397" s="440" t="str">
        <f>IF(ISBLANK(Twilight!AG1302),"|",CONCATENATE(Twilight!AG1302,"|"))</f>
        <v>|</v>
      </c>
      <c r="E1397" s="70"/>
      <c r="F1397" s="70"/>
      <c r="G1397" s="70"/>
      <c r="H1397" s="70"/>
    </row>
    <row r="1398" spans="1:8" x14ac:dyDescent="0.2">
      <c r="A1398" s="440" t="str">
        <f>IF(ISBLANK(Twilight!AG1303),"|",CONCATENATE(Twilight!AG1303,"|"))</f>
        <v>|</v>
      </c>
      <c r="E1398" s="70"/>
      <c r="F1398" s="70"/>
      <c r="G1398" s="70"/>
      <c r="H1398" s="70"/>
    </row>
    <row r="1399" spans="1:8" x14ac:dyDescent="0.2">
      <c r="A1399" s="440" t="str">
        <f>IF(ISBLANK(Twilight!AG1304),"|",CONCATENATE(Twilight!AG1304,"|"))</f>
        <v>|</v>
      </c>
      <c r="E1399" s="70"/>
      <c r="F1399" s="70"/>
      <c r="G1399" s="70"/>
      <c r="H1399" s="70"/>
    </row>
    <row r="1400" spans="1:8" x14ac:dyDescent="0.2">
      <c r="A1400" s="440" t="str">
        <f>IF(ISBLANK(Twilight!AG1305),"|",CONCATENATE(Twilight!AG1305,"|"))</f>
        <v>|</v>
      </c>
      <c r="E1400" s="70"/>
      <c r="F1400" s="70"/>
      <c r="G1400" s="70"/>
      <c r="H1400" s="70"/>
    </row>
    <row r="1401" spans="1:8" x14ac:dyDescent="0.2">
      <c r="A1401" s="440" t="str">
        <f>IF(ISBLANK(Twilight!AG1306),"|",CONCATENATE(Twilight!AG1306,"|"))</f>
        <v>|</v>
      </c>
      <c r="E1401" s="70"/>
      <c r="F1401" s="70"/>
      <c r="G1401" s="70"/>
      <c r="H1401" s="70"/>
    </row>
    <row r="1402" spans="1:8" x14ac:dyDescent="0.2">
      <c r="A1402" s="440" t="str">
        <f>IF(ISBLANK(Twilight!AG1307),"|",CONCATENATE(Twilight!AG1307,"|"))</f>
        <v>|</v>
      </c>
      <c r="E1402" s="70"/>
      <c r="F1402" s="70"/>
      <c r="G1402" s="70"/>
      <c r="H1402" s="70"/>
    </row>
    <row r="1403" spans="1:8" x14ac:dyDescent="0.2">
      <c r="A1403" s="440" t="str">
        <f>IF(ISBLANK(Twilight!AG1308),"|",CONCATENATE(Twilight!AG1308,"|"))</f>
        <v>|</v>
      </c>
      <c r="E1403" s="70"/>
      <c r="F1403" s="70"/>
      <c r="G1403" s="70"/>
      <c r="H1403" s="70"/>
    </row>
    <row r="1404" spans="1:8" x14ac:dyDescent="0.2">
      <c r="A1404" s="440" t="str">
        <f>IF(ISBLANK(Twilight!AG1309),"|",CONCATENATE(Twilight!AG1309,"|"))</f>
        <v>|</v>
      </c>
      <c r="E1404" s="70"/>
      <c r="F1404" s="70"/>
      <c r="G1404" s="70"/>
      <c r="H1404" s="70"/>
    </row>
    <row r="1405" spans="1:8" x14ac:dyDescent="0.2">
      <c r="A1405" s="440" t="str">
        <f>IF(ISBLANK(Twilight!AG1310),"|",CONCATENATE(Twilight!AG1310,"|"))</f>
        <v>|</v>
      </c>
      <c r="E1405" s="70"/>
      <c r="F1405" s="70"/>
      <c r="G1405" s="70"/>
      <c r="H1405" s="70"/>
    </row>
    <row r="1406" spans="1:8" x14ac:dyDescent="0.2">
      <c r="A1406" s="440" t="str">
        <f>IF(ISBLANK(Twilight!AG1311),"|",CONCATENATE(Twilight!AG1311,"|"))</f>
        <v>|</v>
      </c>
      <c r="E1406" s="70"/>
      <c r="F1406" s="70"/>
      <c r="G1406" s="70"/>
      <c r="H1406" s="70"/>
    </row>
    <row r="1407" spans="1:8" x14ac:dyDescent="0.2">
      <c r="A1407" s="440" t="str">
        <f>IF(ISBLANK(Twilight!AG1312),"|",CONCATENATE(Twilight!AG1312,"|"))</f>
        <v>|</v>
      </c>
      <c r="E1407" s="70"/>
      <c r="F1407" s="70"/>
      <c r="G1407" s="70"/>
      <c r="H1407" s="70"/>
    </row>
    <row r="1408" spans="1:8" x14ac:dyDescent="0.2">
      <c r="A1408" s="440" t="str">
        <f>IF(ISBLANK(Twilight!AG1313),"|",CONCATENATE(Twilight!AG1313,"|"))</f>
        <v>|</v>
      </c>
      <c r="E1408" s="70"/>
      <c r="F1408" s="70"/>
      <c r="G1408" s="70"/>
      <c r="H1408" s="70"/>
    </row>
    <row r="1409" spans="1:8" x14ac:dyDescent="0.2">
      <c r="A1409" s="440" t="str">
        <f>IF(ISBLANK(Twilight!AG1314),"|",CONCATENATE(Twilight!AG1314,"|"))</f>
        <v>|</v>
      </c>
      <c r="E1409" s="70"/>
      <c r="F1409" s="70"/>
      <c r="G1409" s="70"/>
      <c r="H1409" s="70"/>
    </row>
    <row r="1410" spans="1:8" x14ac:dyDescent="0.2">
      <c r="A1410" s="440" t="str">
        <f>IF(ISBLANK(Twilight!AG1315),"|",CONCATENATE(Twilight!AG1315,"|"))</f>
        <v>|</v>
      </c>
      <c r="E1410" s="70"/>
      <c r="F1410" s="70"/>
      <c r="G1410" s="70"/>
      <c r="H1410" s="70"/>
    </row>
    <row r="1411" spans="1:8" x14ac:dyDescent="0.2">
      <c r="A1411" s="440" t="str">
        <f>IF(ISBLANK(Twilight!AG1316),"|",CONCATENATE(Twilight!AG1316,"|"))</f>
        <v>|</v>
      </c>
      <c r="E1411" s="70"/>
      <c r="F1411" s="70"/>
      <c r="G1411" s="70"/>
      <c r="H1411" s="70"/>
    </row>
    <row r="1412" spans="1:8" x14ac:dyDescent="0.2">
      <c r="A1412" s="440" t="str">
        <f>IF(ISBLANK(Twilight!AG1317),"|",CONCATENATE(Twilight!AG1317,"|"))</f>
        <v>|</v>
      </c>
      <c r="E1412" s="70"/>
      <c r="F1412" s="70"/>
      <c r="G1412" s="70"/>
      <c r="H1412" s="70"/>
    </row>
    <row r="1413" spans="1:8" x14ac:dyDescent="0.2">
      <c r="A1413" s="440" t="str">
        <f>IF(ISBLANK(Twilight!AG1318),"|",CONCATENATE(Twilight!AG1318,"|"))</f>
        <v>|</v>
      </c>
      <c r="E1413" s="70"/>
      <c r="F1413" s="70"/>
      <c r="G1413" s="70"/>
      <c r="H1413" s="70"/>
    </row>
    <row r="1414" spans="1:8" x14ac:dyDescent="0.2">
      <c r="A1414" s="440" t="str">
        <f>IF(ISBLANK(Twilight!AG1319),"|",CONCATENATE(Twilight!AG1319,"|"))</f>
        <v>|</v>
      </c>
      <c r="E1414" s="70"/>
      <c r="F1414" s="70"/>
      <c r="G1414" s="70"/>
      <c r="H1414" s="70"/>
    </row>
    <row r="1415" spans="1:8" x14ac:dyDescent="0.2">
      <c r="A1415" s="440" t="str">
        <f>IF(ISBLANK(Twilight!AG1320),"|",CONCATENATE(Twilight!AG1320,"|"))</f>
        <v>|</v>
      </c>
      <c r="E1415" s="70"/>
      <c r="F1415" s="70"/>
      <c r="G1415" s="70"/>
      <c r="H1415" s="70"/>
    </row>
    <row r="1416" spans="1:8" x14ac:dyDescent="0.2">
      <c r="A1416" s="440" t="str">
        <f>IF(ISBLANK(Twilight!AG1321),"|",CONCATENATE(Twilight!AG1321,"|"))</f>
        <v>|</v>
      </c>
      <c r="E1416" s="70"/>
      <c r="F1416" s="70"/>
      <c r="G1416" s="70"/>
      <c r="H1416" s="70"/>
    </row>
    <row r="1417" spans="1:8" x14ac:dyDescent="0.2">
      <c r="A1417" s="440" t="str">
        <f>IF(ISBLANK(Twilight!AG1322),"|",CONCATENATE(Twilight!AG1322,"|"))</f>
        <v>|</v>
      </c>
      <c r="E1417" s="70"/>
      <c r="F1417" s="70"/>
      <c r="G1417" s="70"/>
      <c r="H1417" s="70"/>
    </row>
    <row r="1418" spans="1:8" x14ac:dyDescent="0.2">
      <c r="A1418" s="440" t="str">
        <f>IF(ISBLANK(Twilight!AG1323),"|",CONCATENATE(Twilight!AG1323,"|"))</f>
        <v>|</v>
      </c>
      <c r="E1418" s="70"/>
      <c r="F1418" s="70"/>
      <c r="G1418" s="70"/>
      <c r="H1418" s="70"/>
    </row>
    <row r="1419" spans="1:8" x14ac:dyDescent="0.2">
      <c r="A1419" s="440" t="str">
        <f>IF(ISBLANK(Twilight!AG1324),"|",CONCATENATE(Twilight!AG1324,"|"))</f>
        <v>|</v>
      </c>
      <c r="E1419" s="70"/>
      <c r="F1419" s="70"/>
      <c r="G1419" s="70"/>
      <c r="H1419" s="70"/>
    </row>
    <row r="1420" spans="1:8" x14ac:dyDescent="0.2">
      <c r="A1420" s="440" t="str">
        <f>IF(ISBLANK(Twilight!AG1325),"|",CONCATENATE(Twilight!AG1325,"|"))</f>
        <v>|</v>
      </c>
      <c r="E1420" s="70"/>
      <c r="F1420" s="70"/>
      <c r="G1420" s="70"/>
      <c r="H1420" s="70"/>
    </row>
    <row r="1421" spans="1:8" x14ac:dyDescent="0.2">
      <c r="A1421" s="440" t="str">
        <f>IF(ISBLANK(Twilight!AG1326),"|",CONCATENATE(Twilight!AG1326,"|"))</f>
        <v>|</v>
      </c>
      <c r="E1421" s="70"/>
      <c r="F1421" s="70"/>
      <c r="G1421" s="70"/>
      <c r="H1421" s="70"/>
    </row>
    <row r="1422" spans="1:8" x14ac:dyDescent="0.2">
      <c r="A1422" s="440" t="str">
        <f>IF(ISBLANK(Twilight!AG1327),"|",CONCATENATE(Twilight!AG1327,"|"))</f>
        <v>|</v>
      </c>
      <c r="E1422" s="70"/>
      <c r="F1422" s="70"/>
      <c r="G1422" s="70"/>
      <c r="H1422" s="70"/>
    </row>
    <row r="1423" spans="1:8" x14ac:dyDescent="0.2">
      <c r="A1423" s="440" t="str">
        <f>IF(ISBLANK(Twilight!AG1328),"|",CONCATENATE(Twilight!AG1328,"|"))</f>
        <v>|</v>
      </c>
      <c r="E1423" s="70"/>
      <c r="F1423" s="70"/>
      <c r="G1423" s="70"/>
      <c r="H1423" s="70"/>
    </row>
    <row r="1424" spans="1:8" x14ac:dyDescent="0.2">
      <c r="A1424" s="440" t="str">
        <f>IF(ISBLANK(Twilight!AG1329),"|",CONCATENATE(Twilight!AG1329,"|"))</f>
        <v>|</v>
      </c>
      <c r="E1424" s="70"/>
      <c r="F1424" s="70"/>
      <c r="G1424" s="70"/>
      <c r="H1424" s="70"/>
    </row>
    <row r="1425" spans="1:8" x14ac:dyDescent="0.2">
      <c r="A1425" s="440" t="str">
        <f>IF(ISBLANK(Twilight!AG1330),"|",CONCATENATE(Twilight!AG1330,"|"))</f>
        <v>|</v>
      </c>
      <c r="E1425" s="70"/>
      <c r="F1425" s="70"/>
      <c r="G1425" s="70"/>
      <c r="H1425" s="70"/>
    </row>
    <row r="1426" spans="1:8" x14ac:dyDescent="0.2">
      <c r="A1426" s="440" t="str">
        <f>IF(ISBLANK(Twilight!AG1331),"|",CONCATENATE(Twilight!AG1331,"|"))</f>
        <v>|</v>
      </c>
      <c r="E1426" s="70"/>
      <c r="F1426" s="70"/>
      <c r="G1426" s="70"/>
      <c r="H1426" s="70"/>
    </row>
    <row r="1427" spans="1:8" x14ac:dyDescent="0.2">
      <c r="A1427" s="440" t="str">
        <f>IF(ISBLANK(Twilight!AG1332),"|",CONCATENATE(Twilight!AG1332,"|"))</f>
        <v>|</v>
      </c>
      <c r="E1427" s="70"/>
      <c r="F1427" s="70"/>
      <c r="G1427" s="70"/>
      <c r="H1427" s="70"/>
    </row>
    <row r="1428" spans="1:8" x14ac:dyDescent="0.2">
      <c r="A1428" s="440" t="str">
        <f>IF(ISBLANK(Twilight!AG1333),"|",CONCATENATE(Twilight!AG1333,"|"))</f>
        <v>|</v>
      </c>
      <c r="E1428" s="70"/>
      <c r="F1428" s="70"/>
      <c r="G1428" s="70"/>
      <c r="H1428" s="70"/>
    </row>
    <row r="1429" spans="1:8" x14ac:dyDescent="0.2">
      <c r="A1429" s="440" t="str">
        <f>IF(ISBLANK(Twilight!AG1334),"|",CONCATENATE(Twilight!AG1334,"|"))</f>
        <v>|</v>
      </c>
      <c r="E1429" s="70"/>
      <c r="F1429" s="70"/>
      <c r="G1429" s="70"/>
      <c r="H1429" s="70"/>
    </row>
    <row r="1430" spans="1:8" x14ac:dyDescent="0.2">
      <c r="A1430" s="440" t="str">
        <f>IF(ISBLANK(Twilight!AG1335),"|",CONCATENATE(Twilight!AG1335,"|"))</f>
        <v>|</v>
      </c>
      <c r="E1430" s="70"/>
      <c r="F1430" s="70"/>
      <c r="G1430" s="70"/>
      <c r="H1430" s="70"/>
    </row>
    <row r="1431" spans="1:8" x14ac:dyDescent="0.2">
      <c r="A1431" s="440" t="str">
        <f>IF(ISBLANK(Twilight!AG1336),"|",CONCATENATE(Twilight!AG1336,"|"))</f>
        <v>|</v>
      </c>
      <c r="E1431" s="70"/>
      <c r="F1431" s="70"/>
      <c r="G1431" s="70"/>
      <c r="H1431" s="70"/>
    </row>
    <row r="1432" spans="1:8" x14ac:dyDescent="0.2">
      <c r="A1432" s="440" t="str">
        <f>IF(ISBLANK(Twilight!AG1337),"|",CONCATENATE(Twilight!AG1337,"|"))</f>
        <v>|</v>
      </c>
      <c r="E1432" s="70"/>
      <c r="F1432" s="70"/>
      <c r="G1432" s="70"/>
      <c r="H1432" s="70"/>
    </row>
    <row r="1433" spans="1:8" x14ac:dyDescent="0.2">
      <c r="A1433" s="440" t="str">
        <f>IF(ISBLANK(Twilight!AG1338),"|",CONCATENATE(Twilight!AG1338,"|"))</f>
        <v>|</v>
      </c>
      <c r="E1433" s="70"/>
      <c r="F1433" s="70"/>
      <c r="G1433" s="70"/>
      <c r="H1433" s="70"/>
    </row>
    <row r="1434" spans="1:8" x14ac:dyDescent="0.2">
      <c r="A1434" s="440" t="str">
        <f>IF(ISBLANK(Twilight!AG1339),"|",CONCATENATE(Twilight!AG1339,"|"))</f>
        <v>|</v>
      </c>
      <c r="E1434" s="70"/>
      <c r="F1434" s="70"/>
      <c r="G1434" s="70"/>
      <c r="H1434" s="70"/>
    </row>
    <row r="1435" spans="1:8" x14ac:dyDescent="0.2">
      <c r="A1435" s="440" t="str">
        <f>IF(ISBLANK(Twilight!AG1340),"|",CONCATENATE(Twilight!AG1340,"|"))</f>
        <v>|</v>
      </c>
      <c r="E1435" s="70"/>
      <c r="F1435" s="70"/>
      <c r="G1435" s="70"/>
      <c r="H1435" s="70"/>
    </row>
    <row r="1436" spans="1:8" x14ac:dyDescent="0.2">
      <c r="A1436" s="440" t="str">
        <f>IF(ISBLANK(Twilight!AG1341),"|",CONCATENATE(Twilight!AG1341,"|"))</f>
        <v>|</v>
      </c>
      <c r="E1436" s="70"/>
      <c r="F1436" s="70"/>
      <c r="G1436" s="70"/>
      <c r="H1436" s="70"/>
    </row>
    <row r="1437" spans="1:8" x14ac:dyDescent="0.2">
      <c r="A1437" s="440" t="str">
        <f>IF(ISBLANK(Twilight!AG1342),"|",CONCATENATE(Twilight!AG1342,"|"))</f>
        <v>|</v>
      </c>
      <c r="E1437" s="70"/>
      <c r="F1437" s="70"/>
      <c r="G1437" s="70"/>
      <c r="H1437" s="70"/>
    </row>
    <row r="1438" spans="1:8" x14ac:dyDescent="0.2">
      <c r="A1438" s="440" t="str">
        <f>IF(ISBLANK(Twilight!AG1343),"|",CONCATENATE(Twilight!AG1343,"|"))</f>
        <v>|</v>
      </c>
      <c r="E1438" s="70"/>
      <c r="F1438" s="70"/>
      <c r="G1438" s="70"/>
      <c r="H1438" s="70"/>
    </row>
    <row r="1439" spans="1:8" x14ac:dyDescent="0.2">
      <c r="A1439" s="440" t="str">
        <f>IF(ISBLANK(Twilight!AG1344),"|",CONCATENATE(Twilight!AG1344,"|"))</f>
        <v>|</v>
      </c>
      <c r="E1439" s="70"/>
      <c r="F1439" s="70"/>
      <c r="G1439" s="70"/>
      <c r="H1439" s="70"/>
    </row>
    <row r="1440" spans="1:8" x14ac:dyDescent="0.2">
      <c r="A1440" s="440" t="str">
        <f>IF(ISBLANK(Twilight!AG1345),"|",CONCATENATE(Twilight!AG1345,"|"))</f>
        <v>|</v>
      </c>
      <c r="E1440" s="70"/>
      <c r="F1440" s="70"/>
      <c r="G1440" s="70"/>
      <c r="H1440" s="70"/>
    </row>
    <row r="1441" spans="1:8" x14ac:dyDescent="0.2">
      <c r="A1441" s="440" t="str">
        <f>IF(ISBLANK(Twilight!AG1346),"|",CONCATENATE(Twilight!AG1346,"|"))</f>
        <v>|</v>
      </c>
      <c r="E1441" s="70"/>
      <c r="F1441" s="70"/>
      <c r="G1441" s="70"/>
      <c r="H1441" s="70"/>
    </row>
    <row r="1442" spans="1:8" x14ac:dyDescent="0.2">
      <c r="A1442" s="440" t="str">
        <f>IF(ISBLANK(Twilight!AG1347),"|",CONCATENATE(Twilight!AG1347,"|"))</f>
        <v>|</v>
      </c>
      <c r="E1442" s="70"/>
      <c r="F1442" s="70"/>
      <c r="G1442" s="70"/>
      <c r="H1442" s="70"/>
    </row>
    <row r="1443" spans="1:8" x14ac:dyDescent="0.2">
      <c r="A1443" s="440" t="str">
        <f>IF(ISBLANK(Twilight!AG1348),"|",CONCATENATE(Twilight!AG1348,"|"))</f>
        <v>|</v>
      </c>
      <c r="E1443" s="70"/>
      <c r="F1443" s="70"/>
      <c r="G1443" s="70"/>
      <c r="H1443" s="70"/>
    </row>
    <row r="1444" spans="1:8" x14ac:dyDescent="0.2">
      <c r="A1444" s="440" t="str">
        <f>IF(ISBLANK(Twilight!AG1349),"|",CONCATENATE(Twilight!AG1349,"|"))</f>
        <v>|</v>
      </c>
      <c r="E1444" s="70"/>
      <c r="F1444" s="70"/>
      <c r="G1444" s="70"/>
      <c r="H1444" s="70"/>
    </row>
    <row r="1445" spans="1:8" x14ac:dyDescent="0.2">
      <c r="A1445" s="440" t="str">
        <f>IF(ISBLANK(Twilight!AG1350),"|",CONCATENATE(Twilight!AG1350,"|"))</f>
        <v>|</v>
      </c>
      <c r="E1445" s="70"/>
      <c r="F1445" s="70"/>
      <c r="G1445" s="70"/>
      <c r="H1445" s="70"/>
    </row>
    <row r="1446" spans="1:8" x14ac:dyDescent="0.2">
      <c r="A1446" s="440" t="str">
        <f>IF(ISBLANK(Twilight!AG1351),"|",CONCATENATE(Twilight!AG1351,"|"))</f>
        <v>|</v>
      </c>
      <c r="E1446" s="70"/>
      <c r="F1446" s="70"/>
      <c r="G1446" s="70"/>
      <c r="H1446" s="70"/>
    </row>
    <row r="1447" spans="1:8" x14ac:dyDescent="0.2">
      <c r="A1447" s="440" t="str">
        <f>IF(ISBLANK(Twilight!AG1352),"|",CONCATENATE(Twilight!AG1352,"|"))</f>
        <v>|</v>
      </c>
      <c r="E1447" s="70"/>
      <c r="F1447" s="70"/>
      <c r="G1447" s="70"/>
      <c r="H1447" s="70"/>
    </row>
    <row r="1448" spans="1:8" x14ac:dyDescent="0.2">
      <c r="A1448" s="440" t="str">
        <f>IF(ISBLANK(Twilight!AG1353),"|",CONCATENATE(Twilight!AG1353,"|"))</f>
        <v>|</v>
      </c>
      <c r="E1448" s="70"/>
      <c r="F1448" s="70"/>
      <c r="G1448" s="70"/>
      <c r="H1448" s="70"/>
    </row>
    <row r="1449" spans="1:8" x14ac:dyDescent="0.2">
      <c r="A1449" s="440" t="str">
        <f>IF(ISBLANK(Twilight!AG1354),"|",CONCATENATE(Twilight!AG1354,"|"))</f>
        <v>|</v>
      </c>
      <c r="E1449" s="70"/>
      <c r="F1449" s="70"/>
      <c r="G1449" s="70"/>
      <c r="H1449" s="70"/>
    </row>
    <row r="1450" spans="1:8" x14ac:dyDescent="0.2">
      <c r="A1450" s="440" t="str">
        <f>IF(ISBLANK(Twilight!AG1355),"|",CONCATENATE(Twilight!AG1355,"|"))</f>
        <v>|</v>
      </c>
      <c r="E1450" s="70"/>
      <c r="F1450" s="70"/>
      <c r="G1450" s="70"/>
      <c r="H1450" s="70"/>
    </row>
    <row r="1451" spans="1:8" x14ac:dyDescent="0.2">
      <c r="A1451" s="440" t="str">
        <f>IF(ISBLANK(Twilight!AG1356),"|",CONCATENATE(Twilight!AG1356,"|"))</f>
        <v>|</v>
      </c>
      <c r="E1451" s="70"/>
      <c r="F1451" s="70"/>
      <c r="G1451" s="70"/>
      <c r="H1451" s="70"/>
    </row>
    <row r="1452" spans="1:8" x14ac:dyDescent="0.2">
      <c r="A1452" s="440" t="str">
        <f>IF(ISBLANK(Twilight!AG1357),"|",CONCATENATE(Twilight!AG1357,"|"))</f>
        <v>|</v>
      </c>
      <c r="E1452" s="70"/>
      <c r="F1452" s="70"/>
      <c r="G1452" s="70"/>
      <c r="H1452" s="70"/>
    </row>
    <row r="1453" spans="1:8" x14ac:dyDescent="0.2">
      <c r="A1453" s="440" t="str">
        <f>IF(ISBLANK(Twilight!AG1358),"|",CONCATENATE(Twilight!AG1358,"|"))</f>
        <v>|</v>
      </c>
      <c r="E1453" s="70"/>
      <c r="F1453" s="70"/>
      <c r="G1453" s="70"/>
      <c r="H1453" s="70"/>
    </row>
    <row r="1454" spans="1:8" x14ac:dyDescent="0.2">
      <c r="A1454" s="440" t="str">
        <f>IF(ISBLANK(Twilight!AG1359),"|",CONCATENATE(Twilight!AG1359,"|"))</f>
        <v>|</v>
      </c>
      <c r="E1454" s="70"/>
      <c r="F1454" s="70"/>
      <c r="G1454" s="70"/>
      <c r="H1454" s="70"/>
    </row>
    <row r="1455" spans="1:8" x14ac:dyDescent="0.2">
      <c r="A1455" s="440" t="str">
        <f>IF(ISBLANK(Twilight!AG1360),"|",CONCATENATE(Twilight!AG1360,"|"))</f>
        <v>|</v>
      </c>
      <c r="E1455" s="70"/>
      <c r="F1455" s="70"/>
      <c r="G1455" s="70"/>
      <c r="H1455" s="70"/>
    </row>
    <row r="1456" spans="1:8" x14ac:dyDescent="0.2">
      <c r="A1456" s="440" t="str">
        <f>IF(ISBLANK(Twilight!AG1361),"|",CONCATENATE(Twilight!AG1361,"|"))</f>
        <v>|</v>
      </c>
      <c r="E1456" s="70"/>
      <c r="F1456" s="70"/>
      <c r="G1456" s="70"/>
      <c r="H1456" s="70"/>
    </row>
    <row r="1457" spans="1:8" x14ac:dyDescent="0.2">
      <c r="A1457" s="440" t="str">
        <f>IF(ISBLANK(Twilight!AG1362),"|",CONCATENATE(Twilight!AG1362,"|"))</f>
        <v>|</v>
      </c>
      <c r="E1457" s="70"/>
      <c r="F1457" s="70"/>
      <c r="G1457" s="70"/>
      <c r="H1457" s="70"/>
    </row>
    <row r="1458" spans="1:8" x14ac:dyDescent="0.2">
      <c r="A1458" s="440" t="str">
        <f>IF(ISBLANK(Twilight!AG1363),"|",CONCATENATE(Twilight!AG1363,"|"))</f>
        <v>|</v>
      </c>
      <c r="E1458" s="70"/>
      <c r="F1458" s="70"/>
      <c r="G1458" s="70"/>
      <c r="H1458" s="70"/>
    </row>
    <row r="1459" spans="1:8" x14ac:dyDescent="0.2">
      <c r="A1459" s="440" t="str">
        <f>IF(ISBLANK(Twilight!AG1364),"|",CONCATENATE(Twilight!AG1364,"|"))</f>
        <v>|</v>
      </c>
      <c r="E1459" s="70"/>
      <c r="F1459" s="70"/>
      <c r="G1459" s="70"/>
      <c r="H1459" s="70"/>
    </row>
    <row r="1460" spans="1:8" x14ac:dyDescent="0.2">
      <c r="A1460" s="440" t="str">
        <f>IF(ISBLANK(Twilight!AG1365),"|",CONCATENATE(Twilight!AG1365,"|"))</f>
        <v>|</v>
      </c>
      <c r="E1460" s="70"/>
      <c r="F1460" s="70"/>
      <c r="G1460" s="70"/>
      <c r="H1460" s="70"/>
    </row>
    <row r="1461" spans="1:8" x14ac:dyDescent="0.2">
      <c r="A1461" s="440" t="str">
        <f>IF(ISBLANK(Twilight!AG1366),"|",CONCATENATE(Twilight!AG1366,"|"))</f>
        <v>|</v>
      </c>
      <c r="E1461" s="70"/>
      <c r="F1461" s="70"/>
      <c r="G1461" s="70"/>
      <c r="H1461" s="70"/>
    </row>
    <row r="1462" spans="1:8" x14ac:dyDescent="0.2">
      <c r="A1462" s="440" t="str">
        <f>IF(ISBLANK(Twilight!AG1367),"|",CONCATENATE(Twilight!AG1367,"|"))</f>
        <v>|</v>
      </c>
      <c r="E1462" s="70"/>
      <c r="F1462" s="70"/>
      <c r="G1462" s="70"/>
      <c r="H1462" s="70"/>
    </row>
    <row r="1463" spans="1:8" x14ac:dyDescent="0.2">
      <c r="A1463" s="440" t="str">
        <f>IF(ISBLANK(Twilight!AG1368),"|",CONCATENATE(Twilight!AG1368,"|"))</f>
        <v>|</v>
      </c>
      <c r="E1463" s="70"/>
      <c r="F1463" s="70"/>
      <c r="G1463" s="70"/>
      <c r="H1463" s="70"/>
    </row>
    <row r="1464" spans="1:8" x14ac:dyDescent="0.2">
      <c r="A1464" s="440" t="str">
        <f>IF(ISBLANK(Twilight!AG1369),"|",CONCATENATE(Twilight!AG1369,"|"))</f>
        <v>|</v>
      </c>
      <c r="E1464" s="70"/>
      <c r="F1464" s="70"/>
      <c r="G1464" s="70"/>
      <c r="H1464" s="70"/>
    </row>
    <row r="1465" spans="1:8" x14ac:dyDescent="0.2">
      <c r="A1465" s="440" t="str">
        <f>IF(ISBLANK(Twilight!AG1370),"|",CONCATENATE(Twilight!AG1370,"|"))</f>
        <v>|</v>
      </c>
      <c r="E1465" s="70"/>
      <c r="F1465" s="70"/>
      <c r="G1465" s="70"/>
      <c r="H1465" s="70"/>
    </row>
    <row r="1466" spans="1:8" x14ac:dyDescent="0.2">
      <c r="A1466" s="440" t="str">
        <f>IF(ISBLANK(Twilight!AG1371),"|",CONCATENATE(Twilight!AG1371,"|"))</f>
        <v>|</v>
      </c>
      <c r="E1466" s="70"/>
      <c r="F1466" s="70"/>
      <c r="G1466" s="70"/>
      <c r="H1466" s="70"/>
    </row>
    <row r="1467" spans="1:8" x14ac:dyDescent="0.2">
      <c r="A1467" s="440" t="str">
        <f>IF(ISBLANK(Twilight!AG1372),"|",CONCATENATE(Twilight!AG1372,"|"))</f>
        <v>|</v>
      </c>
      <c r="E1467" s="70"/>
      <c r="F1467" s="70"/>
      <c r="G1467" s="70"/>
      <c r="H1467" s="70"/>
    </row>
    <row r="1468" spans="1:8" x14ac:dyDescent="0.2">
      <c r="A1468" s="440" t="str">
        <f>IF(ISBLANK(Twilight!AG1373),"|",CONCATENATE(Twilight!AG1373,"|"))</f>
        <v>|</v>
      </c>
      <c r="E1468" s="70"/>
      <c r="F1468" s="70"/>
      <c r="G1468" s="70"/>
      <c r="H1468" s="70"/>
    </row>
    <row r="1469" spans="1:8" x14ac:dyDescent="0.2">
      <c r="A1469" s="440" t="str">
        <f>IF(ISBLANK(Twilight!AG1374),"|",CONCATENATE(Twilight!AG1374,"|"))</f>
        <v>|</v>
      </c>
      <c r="E1469" s="70"/>
      <c r="F1469" s="70"/>
      <c r="G1469" s="70"/>
      <c r="H1469" s="70"/>
    </row>
    <row r="1470" spans="1:8" x14ac:dyDescent="0.2">
      <c r="A1470" s="440" t="str">
        <f>IF(ISBLANK(Twilight!AG1375),"|",CONCATENATE(Twilight!AG1375,"|"))</f>
        <v>|</v>
      </c>
      <c r="E1470" s="70"/>
      <c r="F1470" s="70"/>
      <c r="G1470" s="70"/>
      <c r="H1470" s="70"/>
    </row>
    <row r="1471" spans="1:8" x14ac:dyDescent="0.2">
      <c r="A1471" s="440" t="str">
        <f>IF(ISBLANK(Twilight!AG1376),"|",CONCATENATE(Twilight!AG1376,"|"))</f>
        <v>|</v>
      </c>
      <c r="E1471" s="70"/>
      <c r="F1471" s="70"/>
      <c r="G1471" s="70"/>
      <c r="H1471" s="70"/>
    </row>
    <row r="1472" spans="1:8" x14ac:dyDescent="0.2">
      <c r="A1472" s="440" t="str">
        <f>IF(ISBLANK(Twilight!AG1377),"|",CONCATENATE(Twilight!AG1377,"|"))</f>
        <v>|</v>
      </c>
      <c r="E1472" s="70"/>
      <c r="F1472" s="70"/>
      <c r="G1472" s="70"/>
      <c r="H1472" s="70"/>
    </row>
    <row r="1473" spans="1:8" x14ac:dyDescent="0.2">
      <c r="A1473" s="440" t="str">
        <f>IF(ISBLANK(Twilight!AG1378),"|",CONCATENATE(Twilight!AG1378,"|"))</f>
        <v>|</v>
      </c>
      <c r="E1473" s="70"/>
      <c r="F1473" s="70"/>
      <c r="G1473" s="70"/>
      <c r="H1473" s="70"/>
    </row>
    <row r="1474" spans="1:8" x14ac:dyDescent="0.2">
      <c r="A1474" s="440" t="str">
        <f>IF(ISBLANK(Twilight!AG1379),"|",CONCATENATE(Twilight!AG1379,"|"))</f>
        <v>|</v>
      </c>
      <c r="E1474" s="70"/>
      <c r="F1474" s="70"/>
      <c r="G1474" s="70"/>
      <c r="H1474" s="70"/>
    </row>
    <row r="1475" spans="1:8" x14ac:dyDescent="0.2">
      <c r="A1475" s="440" t="str">
        <f>IF(ISBLANK(Twilight!AG1380),"|",CONCATENATE(Twilight!AG1380,"|"))</f>
        <v>|</v>
      </c>
      <c r="E1475" s="70"/>
      <c r="F1475" s="70"/>
      <c r="G1475" s="70"/>
      <c r="H1475" s="70"/>
    </row>
    <row r="1476" spans="1:8" x14ac:dyDescent="0.2">
      <c r="A1476" s="440" t="str">
        <f>IF(ISBLANK(Twilight!AG1381),"|",CONCATENATE(Twilight!AG1381,"|"))</f>
        <v>|</v>
      </c>
      <c r="E1476" s="70"/>
      <c r="F1476" s="70"/>
      <c r="G1476" s="70"/>
      <c r="H1476" s="70"/>
    </row>
    <row r="1477" spans="1:8" x14ac:dyDescent="0.2">
      <c r="A1477" s="440" t="str">
        <f>IF(ISBLANK(Twilight!AG1382),"|",CONCATENATE(Twilight!AG1382,"|"))</f>
        <v>|</v>
      </c>
      <c r="E1477" s="70"/>
      <c r="F1477" s="70"/>
      <c r="G1477" s="70"/>
      <c r="H1477" s="70"/>
    </row>
    <row r="1478" spans="1:8" x14ac:dyDescent="0.2">
      <c r="A1478" s="440" t="str">
        <f>IF(ISBLANK(Twilight!AG1383),"|",CONCATENATE(Twilight!AG1383,"|"))</f>
        <v>|</v>
      </c>
      <c r="E1478" s="70"/>
      <c r="F1478" s="70"/>
      <c r="G1478" s="70"/>
      <c r="H1478" s="70"/>
    </row>
    <row r="1479" spans="1:8" x14ac:dyDescent="0.2">
      <c r="A1479" s="440" t="str">
        <f>IF(ISBLANK(Twilight!AG1384),"|",CONCATENATE(Twilight!AG1384,"|"))</f>
        <v>|</v>
      </c>
      <c r="E1479" s="70"/>
      <c r="F1479" s="70"/>
      <c r="G1479" s="70"/>
      <c r="H1479" s="70"/>
    </row>
    <row r="1480" spans="1:8" x14ac:dyDescent="0.2">
      <c r="A1480" s="440" t="str">
        <f>IF(ISBLANK(Twilight!AG1385),"|",CONCATENATE(Twilight!AG1385,"|"))</f>
        <v>|</v>
      </c>
      <c r="E1480" s="70"/>
      <c r="F1480" s="70"/>
      <c r="G1480" s="70"/>
      <c r="H1480" s="70"/>
    </row>
    <row r="1481" spans="1:8" x14ac:dyDescent="0.2">
      <c r="A1481" s="440" t="str">
        <f>IF(ISBLANK(Twilight!AG1386),"|",CONCATENATE(Twilight!AG1386,"|"))</f>
        <v>|</v>
      </c>
      <c r="E1481" s="70"/>
      <c r="F1481" s="70"/>
      <c r="G1481" s="70"/>
      <c r="H1481" s="70"/>
    </row>
    <row r="1482" spans="1:8" x14ac:dyDescent="0.2">
      <c r="A1482" s="440" t="str">
        <f>IF(ISBLANK(Twilight!AG1387),"|",CONCATENATE(Twilight!AG1387,"|"))</f>
        <v>|</v>
      </c>
      <c r="E1482" s="70"/>
      <c r="F1482" s="70"/>
      <c r="G1482" s="70"/>
      <c r="H1482" s="70"/>
    </row>
    <row r="1483" spans="1:8" x14ac:dyDescent="0.2">
      <c r="A1483" s="440" t="str">
        <f>IF(ISBLANK(Twilight!AG1388),"|",CONCATENATE(Twilight!AG1388,"|"))</f>
        <v>|</v>
      </c>
      <c r="E1483" s="70"/>
      <c r="F1483" s="70"/>
      <c r="G1483" s="70"/>
      <c r="H1483" s="70"/>
    </row>
    <row r="1484" spans="1:8" x14ac:dyDescent="0.2">
      <c r="A1484" s="440" t="str">
        <f>IF(ISBLANK(Twilight!AG1389),"|",CONCATENATE(Twilight!AG1389,"|"))</f>
        <v>|</v>
      </c>
      <c r="E1484" s="70"/>
      <c r="F1484" s="70"/>
      <c r="G1484" s="70"/>
      <c r="H1484" s="70"/>
    </row>
    <row r="1485" spans="1:8" x14ac:dyDescent="0.2">
      <c r="A1485" s="440" t="str">
        <f>IF(ISBLANK(Twilight!AG1390),"|",CONCATENATE(Twilight!AG1390,"|"))</f>
        <v>|</v>
      </c>
      <c r="E1485" s="70"/>
      <c r="F1485" s="70"/>
      <c r="G1485" s="70"/>
      <c r="H1485" s="70"/>
    </row>
    <row r="1486" spans="1:8" x14ac:dyDescent="0.2">
      <c r="A1486" s="440" t="str">
        <f>IF(ISBLANK(Twilight!AG1391),"|",CONCATENATE(Twilight!AG1391,"|"))</f>
        <v>|</v>
      </c>
      <c r="E1486" s="70"/>
      <c r="F1486" s="70"/>
      <c r="G1486" s="70"/>
      <c r="H1486" s="70"/>
    </row>
    <row r="1487" spans="1:8" x14ac:dyDescent="0.2">
      <c r="A1487" s="440" t="str">
        <f>IF(ISBLANK(Twilight!AG1392),"|",CONCATENATE(Twilight!AG1392,"|"))</f>
        <v>|</v>
      </c>
      <c r="E1487" s="70"/>
      <c r="F1487" s="70"/>
      <c r="G1487" s="70"/>
      <c r="H1487" s="70"/>
    </row>
    <row r="1488" spans="1:8" x14ac:dyDescent="0.2">
      <c r="A1488" s="440" t="str">
        <f>IF(ISBLANK(Twilight!AG1393),"|",CONCATENATE(Twilight!AG1393,"|"))</f>
        <v>|</v>
      </c>
      <c r="E1488" s="70"/>
      <c r="F1488" s="70"/>
      <c r="G1488" s="70"/>
      <c r="H1488" s="70"/>
    </row>
    <row r="1489" spans="1:8" x14ac:dyDescent="0.2">
      <c r="A1489" s="440" t="str">
        <f>IF(ISBLANK(Twilight!AG1394),"|",CONCATENATE(Twilight!AG1394,"|"))</f>
        <v>|</v>
      </c>
      <c r="E1489" s="70"/>
      <c r="F1489" s="70"/>
      <c r="G1489" s="70"/>
      <c r="H1489" s="70"/>
    </row>
    <row r="1490" spans="1:8" x14ac:dyDescent="0.2">
      <c r="A1490" s="440" t="str">
        <f>IF(ISBLANK(Twilight!AG1395),"|",CONCATENATE(Twilight!AG1395,"|"))</f>
        <v>|</v>
      </c>
      <c r="E1490" s="70"/>
      <c r="F1490" s="70"/>
      <c r="G1490" s="70"/>
      <c r="H1490" s="70"/>
    </row>
    <row r="1491" spans="1:8" x14ac:dyDescent="0.2">
      <c r="A1491" s="440" t="str">
        <f>IF(ISBLANK(Twilight!AG1396),"|",CONCATENATE(Twilight!AG1396,"|"))</f>
        <v>|</v>
      </c>
      <c r="E1491" s="70"/>
      <c r="F1491" s="70"/>
      <c r="G1491" s="70"/>
      <c r="H1491" s="70"/>
    </row>
    <row r="1492" spans="1:8" x14ac:dyDescent="0.2">
      <c r="A1492" s="440" t="str">
        <f>IF(ISBLANK(Twilight!AG1397),"|",CONCATENATE(Twilight!AG1397,"|"))</f>
        <v>|</v>
      </c>
      <c r="E1492" s="70"/>
      <c r="F1492" s="70"/>
      <c r="G1492" s="70"/>
      <c r="H1492" s="70"/>
    </row>
    <row r="1493" spans="1:8" x14ac:dyDescent="0.2">
      <c r="A1493" s="440" t="str">
        <f>IF(ISBLANK(Twilight!AG1398),"|",CONCATENATE(Twilight!AG1398,"|"))</f>
        <v>|</v>
      </c>
      <c r="E1493" s="70"/>
      <c r="F1493" s="70"/>
      <c r="G1493" s="70"/>
      <c r="H1493" s="70"/>
    </row>
    <row r="1494" spans="1:8" x14ac:dyDescent="0.2">
      <c r="A1494" s="440" t="str">
        <f>IF(ISBLANK(Twilight!AG1399),"|",CONCATENATE(Twilight!AG1399,"|"))</f>
        <v>|</v>
      </c>
      <c r="E1494" s="70"/>
      <c r="F1494" s="70"/>
      <c r="G1494" s="70"/>
      <c r="H1494" s="70"/>
    </row>
    <row r="1495" spans="1:8" x14ac:dyDescent="0.2">
      <c r="A1495" s="440" t="str">
        <f>IF(ISBLANK(Twilight!AG1400),"|",CONCATENATE(Twilight!AG1400,"|"))</f>
        <v>|</v>
      </c>
      <c r="E1495" s="70"/>
      <c r="F1495" s="70"/>
      <c r="G1495" s="70"/>
      <c r="H1495" s="70"/>
    </row>
    <row r="1496" spans="1:8" x14ac:dyDescent="0.2">
      <c r="A1496" s="440" t="str">
        <f>IF(ISBLANK(Twilight!AG1401),"|",CONCATENATE(Twilight!AG1401,"|"))</f>
        <v>|</v>
      </c>
      <c r="E1496" s="70"/>
      <c r="F1496" s="70"/>
      <c r="G1496" s="70"/>
      <c r="H1496" s="70"/>
    </row>
    <row r="1497" spans="1:8" x14ac:dyDescent="0.2">
      <c r="A1497" s="440" t="str">
        <f>IF(ISBLANK(Twilight!AG1402),"|",CONCATENATE(Twilight!AG1402,"|"))</f>
        <v>|</v>
      </c>
      <c r="E1497" s="70"/>
      <c r="F1497" s="70"/>
      <c r="G1497" s="70"/>
      <c r="H1497" s="70"/>
    </row>
    <row r="1498" spans="1:8" x14ac:dyDescent="0.2">
      <c r="A1498" s="440" t="str">
        <f>IF(ISBLANK(Twilight!AG1403),"|",CONCATENATE(Twilight!AG1403,"|"))</f>
        <v>|</v>
      </c>
      <c r="E1498" s="70"/>
      <c r="F1498" s="70"/>
      <c r="G1498" s="70"/>
      <c r="H1498" s="70"/>
    </row>
    <row r="1499" spans="1:8" x14ac:dyDescent="0.2">
      <c r="A1499" s="440" t="str">
        <f>IF(ISBLANK(Twilight!AG1404),"|",CONCATENATE(Twilight!AG1404,"|"))</f>
        <v>|</v>
      </c>
      <c r="E1499" s="70"/>
      <c r="F1499" s="70"/>
      <c r="G1499" s="70"/>
      <c r="H1499" s="70"/>
    </row>
    <row r="1500" spans="1:8" x14ac:dyDescent="0.2">
      <c r="A1500" s="440" t="str">
        <f>IF(ISBLANK(Twilight!AG1405),"|",CONCATENATE(Twilight!AG1405,"|"))</f>
        <v>|</v>
      </c>
      <c r="E1500" s="70"/>
      <c r="F1500" s="70"/>
      <c r="G1500" s="70"/>
      <c r="H1500" s="70"/>
    </row>
    <row r="1501" spans="1:8" x14ac:dyDescent="0.2">
      <c r="A1501" s="440" t="str">
        <f>IF(ISBLANK(Twilight!AG1406),"|",CONCATENATE(Twilight!AG1406,"|"))</f>
        <v>|</v>
      </c>
      <c r="E1501" s="70"/>
      <c r="F1501" s="70"/>
      <c r="G1501" s="70"/>
      <c r="H1501" s="70"/>
    </row>
    <row r="1502" spans="1:8" x14ac:dyDescent="0.2">
      <c r="A1502" s="440" t="str">
        <f>IF(ISBLANK(Twilight!AG1407),"|",CONCATENATE(Twilight!AG1407,"|"))</f>
        <v>|</v>
      </c>
      <c r="E1502" s="70"/>
      <c r="F1502" s="70"/>
      <c r="G1502" s="70"/>
      <c r="H1502" s="70"/>
    </row>
    <row r="1503" spans="1:8" x14ac:dyDescent="0.2">
      <c r="A1503" s="440" t="str">
        <f>IF(ISBLANK(Twilight!AG1408),"|",CONCATENATE(Twilight!AG1408,"|"))</f>
        <v>|</v>
      </c>
      <c r="E1503" s="70"/>
      <c r="F1503" s="70"/>
      <c r="G1503" s="70"/>
      <c r="H1503" s="70"/>
    </row>
    <row r="1504" spans="1:8" x14ac:dyDescent="0.2">
      <c r="A1504" s="440" t="str">
        <f>IF(ISBLANK(Twilight!AG1409),"|",CONCATENATE(Twilight!AG1409,"|"))</f>
        <v>|</v>
      </c>
      <c r="E1504" s="70"/>
      <c r="F1504" s="70"/>
      <c r="G1504" s="70"/>
      <c r="H1504" s="70"/>
    </row>
    <row r="1505" spans="1:8" x14ac:dyDescent="0.2">
      <c r="A1505" s="440" t="str">
        <f>IF(ISBLANK(Twilight!AG1410),"|",CONCATENATE(Twilight!AG1410,"|"))</f>
        <v>|</v>
      </c>
      <c r="E1505" s="70"/>
      <c r="F1505" s="70"/>
      <c r="G1505" s="70"/>
      <c r="H1505" s="70"/>
    </row>
    <row r="1506" spans="1:8" x14ac:dyDescent="0.2">
      <c r="A1506" s="440" t="str">
        <f>IF(ISBLANK(Twilight!AG1411),"|",CONCATENATE(Twilight!AG1411,"|"))</f>
        <v>|</v>
      </c>
      <c r="E1506" s="70"/>
      <c r="F1506" s="70"/>
      <c r="G1506" s="70"/>
      <c r="H1506" s="70"/>
    </row>
    <row r="1507" spans="1:8" x14ac:dyDescent="0.2">
      <c r="A1507" s="440" t="str">
        <f>IF(ISBLANK(Twilight!AG1412),"|",CONCATENATE(Twilight!AG1412,"|"))</f>
        <v>|</v>
      </c>
      <c r="E1507" s="70"/>
      <c r="F1507" s="70"/>
      <c r="G1507" s="70"/>
      <c r="H1507" s="70"/>
    </row>
    <row r="1508" spans="1:8" x14ac:dyDescent="0.2">
      <c r="A1508" s="440" t="str">
        <f>IF(ISBLANK(Twilight!AG1413),"|",CONCATENATE(Twilight!AG1413,"|"))</f>
        <v>|</v>
      </c>
      <c r="E1508" s="70"/>
      <c r="F1508" s="70"/>
      <c r="G1508" s="70"/>
      <c r="H1508" s="70"/>
    </row>
    <row r="1509" spans="1:8" x14ac:dyDescent="0.2">
      <c r="A1509" s="440" t="str">
        <f>IF(ISBLANK(Twilight!AG1414),"|",CONCATENATE(Twilight!AG1414,"|"))</f>
        <v>|</v>
      </c>
      <c r="E1509" s="70"/>
      <c r="F1509" s="70"/>
      <c r="G1509" s="70"/>
      <c r="H1509" s="70"/>
    </row>
    <row r="1510" spans="1:8" x14ac:dyDescent="0.2">
      <c r="A1510" s="440" t="str">
        <f>IF(ISBLANK(Twilight!AG1415),"|",CONCATENATE(Twilight!AG1415,"|"))</f>
        <v>|</v>
      </c>
      <c r="E1510" s="70"/>
      <c r="F1510" s="70"/>
      <c r="G1510" s="70"/>
      <c r="H1510" s="70"/>
    </row>
    <row r="1511" spans="1:8" x14ac:dyDescent="0.2">
      <c r="A1511" s="440" t="str">
        <f>IF(ISBLANK(Twilight!AG1416),"|",CONCATENATE(Twilight!AG1416,"|"))</f>
        <v>|</v>
      </c>
      <c r="E1511" s="70"/>
      <c r="F1511" s="70"/>
      <c r="G1511" s="70"/>
      <c r="H1511" s="70"/>
    </row>
    <row r="1512" spans="1:8" x14ac:dyDescent="0.2">
      <c r="A1512" s="440" t="str">
        <f>IF(ISBLANK(Twilight!AG1417),"|",CONCATENATE(Twilight!AG1417,"|"))</f>
        <v>|</v>
      </c>
      <c r="E1512" s="70"/>
      <c r="F1512" s="70"/>
      <c r="G1512" s="70"/>
      <c r="H1512" s="70"/>
    </row>
    <row r="1513" spans="1:8" x14ac:dyDescent="0.2">
      <c r="A1513" s="440" t="str">
        <f>IF(ISBLANK(Twilight!AG1418),"|",CONCATENATE(Twilight!AG1418,"|"))</f>
        <v>|</v>
      </c>
      <c r="E1513" s="70"/>
      <c r="F1513" s="70"/>
      <c r="G1513" s="70"/>
      <c r="H1513" s="70"/>
    </row>
    <row r="1514" spans="1:8" x14ac:dyDescent="0.2">
      <c r="A1514" s="440" t="str">
        <f>IF(ISBLANK(Twilight!AG1419),"|",CONCATENATE(Twilight!AG1419,"|"))</f>
        <v>|</v>
      </c>
      <c r="E1514" s="70"/>
      <c r="F1514" s="70"/>
      <c r="G1514" s="70"/>
      <c r="H1514" s="70"/>
    </row>
    <row r="1515" spans="1:8" x14ac:dyDescent="0.2">
      <c r="A1515" s="440" t="str">
        <f>IF(ISBLANK(Twilight!AG1420),"|",CONCATENATE(Twilight!AG1420,"|"))</f>
        <v>|</v>
      </c>
      <c r="E1515" s="70"/>
      <c r="F1515" s="70"/>
      <c r="G1515" s="70"/>
      <c r="H1515" s="70"/>
    </row>
    <row r="1516" spans="1:8" x14ac:dyDescent="0.2">
      <c r="A1516" s="440" t="str">
        <f>IF(ISBLANK(Twilight!AG1421),"|",CONCATENATE(Twilight!AG1421,"|"))</f>
        <v>|</v>
      </c>
      <c r="E1516" s="70"/>
      <c r="F1516" s="70"/>
      <c r="G1516" s="70"/>
      <c r="H1516" s="70"/>
    </row>
    <row r="1517" spans="1:8" x14ac:dyDescent="0.2">
      <c r="A1517" s="440" t="str">
        <f>IF(ISBLANK(Twilight!AG1422),"|",CONCATENATE(Twilight!AG1422,"|"))</f>
        <v>|</v>
      </c>
      <c r="E1517" s="70"/>
      <c r="F1517" s="70"/>
      <c r="G1517" s="70"/>
      <c r="H1517" s="70"/>
    </row>
    <row r="1518" spans="1:8" x14ac:dyDescent="0.2">
      <c r="A1518" s="440" t="str">
        <f>IF(ISBLANK(Twilight!AG1423),"|",CONCATENATE(Twilight!AG1423,"|"))</f>
        <v>|</v>
      </c>
      <c r="E1518" s="70"/>
      <c r="F1518" s="70"/>
      <c r="G1518" s="70"/>
      <c r="H1518" s="70"/>
    </row>
    <row r="1519" spans="1:8" x14ac:dyDescent="0.2">
      <c r="A1519" s="440" t="str">
        <f>IF(ISBLANK(Twilight!AG1424),"|",CONCATENATE(Twilight!AG1424,"|"))</f>
        <v>|</v>
      </c>
      <c r="E1519" s="70"/>
      <c r="F1519" s="70"/>
      <c r="G1519" s="70"/>
      <c r="H1519" s="70"/>
    </row>
    <row r="1520" spans="1:8" x14ac:dyDescent="0.2">
      <c r="A1520" s="440" t="str">
        <f>IF(ISBLANK(Twilight!AG1425),"|",CONCATENATE(Twilight!AG1425,"|"))</f>
        <v>|</v>
      </c>
      <c r="E1520" s="70"/>
      <c r="F1520" s="70"/>
      <c r="G1520" s="70"/>
      <c r="H1520" s="70"/>
    </row>
    <row r="1521" spans="1:8" x14ac:dyDescent="0.2">
      <c r="A1521" s="440" t="str">
        <f>IF(ISBLANK(Twilight!AG1426),"|",CONCATENATE(Twilight!AG1426,"|"))</f>
        <v>|</v>
      </c>
      <c r="E1521" s="70"/>
      <c r="F1521" s="70"/>
      <c r="G1521" s="70"/>
      <c r="H1521" s="70"/>
    </row>
    <row r="1522" spans="1:8" x14ac:dyDescent="0.2">
      <c r="A1522" s="440" t="str">
        <f>IF(ISBLANK(Twilight!AG1427),"|",CONCATENATE(Twilight!AG1427,"|"))</f>
        <v>|</v>
      </c>
      <c r="E1522" s="70"/>
      <c r="F1522" s="70"/>
      <c r="G1522" s="70"/>
      <c r="H1522" s="70"/>
    </row>
    <row r="1523" spans="1:8" x14ac:dyDescent="0.2">
      <c r="A1523" s="440" t="str">
        <f>IF(ISBLANK(Twilight!AG1428),"|",CONCATENATE(Twilight!AG1428,"|"))</f>
        <v>|</v>
      </c>
      <c r="E1523" s="70"/>
      <c r="F1523" s="70"/>
      <c r="G1523" s="70"/>
      <c r="H1523" s="70"/>
    </row>
    <row r="1524" spans="1:8" x14ac:dyDescent="0.2">
      <c r="A1524" s="440" t="str">
        <f>IF(ISBLANK(Twilight!AG1429),"|",CONCATENATE(Twilight!AG1429,"|"))</f>
        <v>|</v>
      </c>
      <c r="E1524" s="70"/>
      <c r="F1524" s="70"/>
      <c r="G1524" s="70"/>
      <c r="H1524" s="70"/>
    </row>
    <row r="1525" spans="1:8" x14ac:dyDescent="0.2">
      <c r="A1525" s="440" t="str">
        <f>IF(ISBLANK(Twilight!AG1430),"|",CONCATENATE(Twilight!AG1430,"|"))</f>
        <v>|</v>
      </c>
      <c r="E1525" s="70"/>
      <c r="F1525" s="70"/>
      <c r="G1525" s="70"/>
      <c r="H1525" s="70"/>
    </row>
    <row r="1526" spans="1:8" x14ac:dyDescent="0.2">
      <c r="A1526" s="440" t="str">
        <f>IF(ISBLANK(Twilight!AG1431),"|",CONCATENATE(Twilight!AG1431,"|"))</f>
        <v>|</v>
      </c>
      <c r="E1526" s="70"/>
      <c r="F1526" s="70"/>
      <c r="G1526" s="70"/>
      <c r="H1526" s="70"/>
    </row>
    <row r="1527" spans="1:8" x14ac:dyDescent="0.2">
      <c r="A1527" s="440" t="str">
        <f>IF(ISBLANK(Twilight!AG1432),"|",CONCATENATE(Twilight!AG1432,"|"))</f>
        <v>|</v>
      </c>
      <c r="E1527" s="70"/>
      <c r="F1527" s="70"/>
      <c r="G1527" s="70"/>
      <c r="H1527" s="70"/>
    </row>
    <row r="1528" spans="1:8" x14ac:dyDescent="0.2">
      <c r="A1528" s="440" t="str">
        <f>IF(ISBLANK(Twilight!AG1433),"|",CONCATENATE(Twilight!AG1433,"|"))</f>
        <v>|</v>
      </c>
      <c r="E1528" s="70"/>
      <c r="F1528" s="70"/>
      <c r="G1528" s="70"/>
      <c r="H1528" s="70"/>
    </row>
    <row r="1529" spans="1:8" x14ac:dyDescent="0.2">
      <c r="A1529" s="440" t="str">
        <f>IF(ISBLANK(Twilight!AG1434),"|",CONCATENATE(Twilight!AG1434,"|"))</f>
        <v>|</v>
      </c>
      <c r="E1529" s="70"/>
      <c r="F1529" s="70"/>
      <c r="G1529" s="70"/>
      <c r="H1529" s="70"/>
    </row>
    <row r="1530" spans="1:8" x14ac:dyDescent="0.2">
      <c r="A1530" s="440" t="str">
        <f>IF(ISBLANK(Twilight!AG1435),"|",CONCATENATE(Twilight!AG1435,"|"))</f>
        <v>|</v>
      </c>
      <c r="E1530" s="70"/>
      <c r="F1530" s="70"/>
      <c r="G1530" s="70"/>
      <c r="H1530" s="70"/>
    </row>
    <row r="1531" spans="1:8" x14ac:dyDescent="0.2">
      <c r="A1531" s="440" t="str">
        <f>IF(ISBLANK(Twilight!AG1436),"|",CONCATENATE(Twilight!AG1436,"|"))</f>
        <v>|</v>
      </c>
      <c r="E1531" s="70"/>
      <c r="F1531" s="70"/>
      <c r="G1531" s="70"/>
      <c r="H1531" s="70"/>
    </row>
    <row r="1532" spans="1:8" x14ac:dyDescent="0.2">
      <c r="A1532" s="440" t="str">
        <f>IF(ISBLANK(Twilight!AG1437),"|",CONCATENATE(Twilight!AG1437,"|"))</f>
        <v>|</v>
      </c>
      <c r="E1532" s="70"/>
      <c r="F1532" s="70"/>
      <c r="G1532" s="70"/>
      <c r="H1532" s="70"/>
    </row>
    <row r="1533" spans="1:8" x14ac:dyDescent="0.2">
      <c r="A1533" s="440" t="str">
        <f>IF(ISBLANK(Twilight!AG1438),"|",CONCATENATE(Twilight!AG1438,"|"))</f>
        <v>|</v>
      </c>
      <c r="E1533" s="70"/>
      <c r="F1533" s="70"/>
      <c r="G1533" s="70"/>
      <c r="H1533" s="70"/>
    </row>
    <row r="1534" spans="1:8" x14ac:dyDescent="0.2">
      <c r="A1534" s="440" t="str">
        <f>IF(ISBLANK(Twilight!AG1439),"|",CONCATENATE(Twilight!AG1439,"|"))</f>
        <v>|</v>
      </c>
      <c r="E1534" s="70"/>
      <c r="F1534" s="70"/>
      <c r="G1534" s="70"/>
      <c r="H1534" s="70"/>
    </row>
    <row r="1535" spans="1:8" x14ac:dyDescent="0.2">
      <c r="A1535" s="440" t="str">
        <f>IF(ISBLANK(Twilight!AG1440),"|",CONCATENATE(Twilight!AG1440,"|"))</f>
        <v>|</v>
      </c>
      <c r="E1535" s="70"/>
      <c r="F1535" s="70"/>
      <c r="G1535" s="70"/>
      <c r="H1535" s="70"/>
    </row>
    <row r="1536" spans="1:8" x14ac:dyDescent="0.2">
      <c r="A1536" s="440" t="str">
        <f>IF(ISBLANK(Twilight!AG1441),"|",CONCATENATE(Twilight!AG1441,"|"))</f>
        <v>|</v>
      </c>
      <c r="E1536" s="70"/>
      <c r="F1536" s="70"/>
      <c r="G1536" s="70"/>
      <c r="H1536" s="70"/>
    </row>
    <row r="1537" spans="1:8" x14ac:dyDescent="0.2">
      <c r="A1537" s="440" t="str">
        <f>IF(ISBLANK(Twilight!AG1442),"|",CONCATENATE(Twilight!AG1442,"|"))</f>
        <v>|</v>
      </c>
      <c r="E1537" s="70"/>
      <c r="F1537" s="70"/>
      <c r="G1537" s="70"/>
      <c r="H1537" s="70"/>
    </row>
    <row r="1538" spans="1:8" x14ac:dyDescent="0.2">
      <c r="A1538" s="440" t="str">
        <f>IF(ISBLANK(Twilight!AG1443),"|",CONCATENATE(Twilight!AG1443,"|"))</f>
        <v>|</v>
      </c>
      <c r="E1538" s="70"/>
      <c r="F1538" s="70"/>
      <c r="G1538" s="70"/>
      <c r="H1538" s="70"/>
    </row>
    <row r="1539" spans="1:8" x14ac:dyDescent="0.2">
      <c r="A1539" s="440" t="str">
        <f>IF(ISBLANK(Twilight!AG1444),"|",CONCATENATE(Twilight!AG1444,"|"))</f>
        <v>|</v>
      </c>
      <c r="E1539" s="70"/>
      <c r="F1539" s="70"/>
      <c r="G1539" s="70"/>
      <c r="H1539" s="70"/>
    </row>
    <row r="1540" spans="1:8" x14ac:dyDescent="0.2">
      <c r="A1540" s="440" t="str">
        <f>IF(ISBLANK(Twilight!AG1445),"|",CONCATENATE(Twilight!AG1445,"|"))</f>
        <v>|</v>
      </c>
      <c r="E1540" s="70"/>
      <c r="F1540" s="70"/>
      <c r="G1540" s="70"/>
      <c r="H1540" s="70"/>
    </row>
    <row r="1541" spans="1:8" x14ac:dyDescent="0.2">
      <c r="A1541" s="440" t="str">
        <f>IF(ISBLANK(Twilight!AG1446),"|",CONCATENATE(Twilight!AG1446,"|"))</f>
        <v>|</v>
      </c>
      <c r="E1541" s="70"/>
      <c r="F1541" s="70"/>
      <c r="G1541" s="70"/>
      <c r="H1541" s="70"/>
    </row>
    <row r="1542" spans="1:8" x14ac:dyDescent="0.2">
      <c r="A1542" s="440" t="str">
        <f>IF(ISBLANK(Twilight!AG1447),"|",CONCATENATE(Twilight!AG1447,"|"))</f>
        <v>|</v>
      </c>
      <c r="E1542" s="70"/>
      <c r="F1542" s="70"/>
      <c r="G1542" s="70"/>
      <c r="H1542" s="70"/>
    </row>
    <row r="1543" spans="1:8" x14ac:dyDescent="0.2">
      <c r="A1543" s="440" t="str">
        <f>IF(ISBLANK(Twilight!AG1448),"|",CONCATENATE(Twilight!AG1448,"|"))</f>
        <v>|</v>
      </c>
      <c r="E1543" s="70"/>
      <c r="F1543" s="70"/>
      <c r="G1543" s="70"/>
      <c r="H1543" s="70"/>
    </row>
    <row r="1544" spans="1:8" x14ac:dyDescent="0.2">
      <c r="A1544" s="440" t="str">
        <f>IF(ISBLANK(Twilight!AG1449),"|",CONCATENATE(Twilight!AG1449,"|"))</f>
        <v>|</v>
      </c>
      <c r="E1544" s="70"/>
      <c r="F1544" s="70"/>
      <c r="G1544" s="70"/>
      <c r="H1544" s="70"/>
    </row>
    <row r="1545" spans="1:8" x14ac:dyDescent="0.2">
      <c r="A1545" s="440" t="str">
        <f>IF(ISBLANK(Twilight!AG1450),"|",CONCATENATE(Twilight!AG1450,"|"))</f>
        <v>|</v>
      </c>
      <c r="E1545" s="70"/>
      <c r="F1545" s="70"/>
      <c r="G1545" s="70"/>
      <c r="H1545" s="70"/>
    </row>
    <row r="1546" spans="1:8" x14ac:dyDescent="0.2">
      <c r="A1546" s="440" t="str">
        <f>IF(ISBLANK(Twilight!AG1451),"|",CONCATENATE(Twilight!AG1451,"|"))</f>
        <v>|</v>
      </c>
      <c r="E1546" s="70"/>
      <c r="F1546" s="70"/>
      <c r="G1546" s="70"/>
      <c r="H1546" s="70"/>
    </row>
    <row r="1547" spans="1:8" x14ac:dyDescent="0.2">
      <c r="A1547" s="440" t="str">
        <f>IF(ISBLANK(Twilight!AG1452),"|",CONCATENATE(Twilight!AG1452,"|"))</f>
        <v>|</v>
      </c>
      <c r="E1547" s="70"/>
      <c r="F1547" s="70"/>
      <c r="G1547" s="70"/>
      <c r="H1547" s="70"/>
    </row>
    <row r="1548" spans="1:8" x14ac:dyDescent="0.2">
      <c r="A1548" s="440" t="str">
        <f>IF(ISBLANK(Twilight!AG1453),"|",CONCATENATE(Twilight!AG1453,"|"))</f>
        <v>|</v>
      </c>
      <c r="E1548" s="70"/>
      <c r="F1548" s="70"/>
      <c r="G1548" s="70"/>
      <c r="H1548" s="70"/>
    </row>
    <row r="1549" spans="1:8" x14ac:dyDescent="0.2">
      <c r="A1549" s="440" t="str">
        <f>IF(ISBLANK(Twilight!AG1454),"|",CONCATENATE(Twilight!AG1454,"|"))</f>
        <v>|</v>
      </c>
      <c r="E1549" s="70"/>
      <c r="F1549" s="70"/>
      <c r="G1549" s="70"/>
      <c r="H1549" s="70"/>
    </row>
    <row r="1550" spans="1:8" x14ac:dyDescent="0.2">
      <c r="A1550" s="440" t="str">
        <f>IF(ISBLANK(Twilight!AG1455),"|",CONCATENATE(Twilight!AG1455,"|"))</f>
        <v>|</v>
      </c>
      <c r="E1550" s="70"/>
      <c r="F1550" s="70"/>
      <c r="G1550" s="70"/>
      <c r="H1550" s="70"/>
    </row>
    <row r="1551" spans="1:8" x14ac:dyDescent="0.2">
      <c r="A1551" s="440" t="str">
        <f>IF(ISBLANK(Twilight!AG1456),"|",CONCATENATE(Twilight!AG1456,"|"))</f>
        <v>|</v>
      </c>
      <c r="E1551" s="70"/>
      <c r="F1551" s="70"/>
      <c r="G1551" s="70"/>
      <c r="H1551" s="70"/>
    </row>
    <row r="1552" spans="1:8" x14ac:dyDescent="0.2">
      <c r="A1552" s="440" t="str">
        <f>IF(ISBLANK(Twilight!AG1457),"|",CONCATENATE(Twilight!AG1457,"|"))</f>
        <v>|</v>
      </c>
      <c r="E1552" s="70"/>
      <c r="F1552" s="70"/>
      <c r="G1552" s="70"/>
      <c r="H1552" s="70"/>
    </row>
    <row r="1553" spans="1:8" x14ac:dyDescent="0.2">
      <c r="A1553" s="440" t="str">
        <f>IF(ISBLANK(Twilight!AG1458),"|",CONCATENATE(Twilight!AG1458,"|"))</f>
        <v>|</v>
      </c>
      <c r="E1553" s="70"/>
      <c r="F1553" s="70"/>
      <c r="G1553" s="70"/>
      <c r="H1553" s="70"/>
    </row>
    <row r="1554" spans="1:8" x14ac:dyDescent="0.2">
      <c r="A1554" s="440" t="str">
        <f>IF(ISBLANK(Twilight!AG1459),"|",CONCATENATE(Twilight!AG1459,"|"))</f>
        <v>|</v>
      </c>
      <c r="E1554" s="70"/>
      <c r="F1554" s="70"/>
      <c r="G1554" s="70"/>
      <c r="H1554" s="70"/>
    </row>
    <row r="1555" spans="1:8" x14ac:dyDescent="0.2">
      <c r="A1555" s="440" t="str">
        <f>IF(ISBLANK(Twilight!AG1460),"|",CONCATENATE(Twilight!AG1460,"|"))</f>
        <v>|</v>
      </c>
      <c r="E1555" s="70"/>
      <c r="F1555" s="70"/>
      <c r="G1555" s="70"/>
      <c r="H1555" s="70"/>
    </row>
    <row r="1556" spans="1:8" x14ac:dyDescent="0.2">
      <c r="A1556" s="440" t="str">
        <f>IF(ISBLANK(Twilight!AG1461),"|",CONCATENATE(Twilight!AG1461,"|"))</f>
        <v>|</v>
      </c>
      <c r="E1556" s="70"/>
      <c r="F1556" s="70"/>
      <c r="G1556" s="70"/>
      <c r="H1556" s="70"/>
    </row>
    <row r="1557" spans="1:8" x14ac:dyDescent="0.2">
      <c r="A1557" s="440" t="str">
        <f>IF(ISBLANK(Twilight!AG1462),"|",CONCATENATE(Twilight!AG1462,"|"))</f>
        <v>|</v>
      </c>
      <c r="E1557" s="70"/>
      <c r="F1557" s="70"/>
      <c r="G1557" s="70"/>
      <c r="H1557" s="70"/>
    </row>
    <row r="1558" spans="1:8" x14ac:dyDescent="0.2">
      <c r="A1558" s="440" t="str">
        <f>IF(ISBLANK(Twilight!AG1463),"|",CONCATENATE(Twilight!AG1463,"|"))</f>
        <v>|</v>
      </c>
      <c r="E1558" s="70"/>
      <c r="F1558" s="70"/>
      <c r="G1558" s="70"/>
      <c r="H1558" s="70"/>
    </row>
    <row r="1559" spans="1:8" x14ac:dyDescent="0.2">
      <c r="A1559" s="440" t="str">
        <f>IF(ISBLANK(Twilight!AG1464),"|",CONCATENATE(Twilight!AG1464,"|"))</f>
        <v>|</v>
      </c>
      <c r="E1559" s="70"/>
      <c r="F1559" s="70"/>
      <c r="G1559" s="70"/>
      <c r="H1559" s="70"/>
    </row>
    <row r="1560" spans="1:8" x14ac:dyDescent="0.2">
      <c r="A1560" s="440" t="str">
        <f>IF(ISBLANK(Twilight!AG1465),"|",CONCATENATE(Twilight!AG1465,"|"))</f>
        <v>|</v>
      </c>
      <c r="E1560" s="70"/>
      <c r="F1560" s="70"/>
      <c r="G1560" s="70"/>
      <c r="H1560" s="70"/>
    </row>
    <row r="1561" spans="1:8" x14ac:dyDescent="0.2">
      <c r="A1561" s="440" t="str">
        <f>IF(ISBLANK(Twilight!AG1466),"|",CONCATENATE(Twilight!AG1466,"|"))</f>
        <v>|</v>
      </c>
      <c r="E1561" s="70"/>
      <c r="F1561" s="70"/>
      <c r="G1561" s="70"/>
      <c r="H1561" s="70"/>
    </row>
    <row r="1562" spans="1:8" x14ac:dyDescent="0.2">
      <c r="A1562" s="440" t="str">
        <f>IF(ISBLANK(Twilight!AG1467),"|",CONCATENATE(Twilight!AG1467,"|"))</f>
        <v>|</v>
      </c>
      <c r="E1562" s="70"/>
      <c r="F1562" s="70"/>
      <c r="G1562" s="70"/>
      <c r="H1562" s="70"/>
    </row>
    <row r="1563" spans="1:8" x14ac:dyDescent="0.2">
      <c r="A1563" s="440" t="str">
        <f>IF(ISBLANK(Twilight!AG1468),"|",CONCATENATE(Twilight!AG1468,"|"))</f>
        <v>|</v>
      </c>
      <c r="E1563" s="70"/>
      <c r="F1563" s="70"/>
      <c r="G1563" s="70"/>
      <c r="H1563" s="70"/>
    </row>
    <row r="1564" spans="1:8" x14ac:dyDescent="0.2">
      <c r="A1564" s="440" t="str">
        <f>IF(ISBLANK(Twilight!AG1469),"|",CONCATENATE(Twilight!AG1469,"|"))</f>
        <v>|</v>
      </c>
      <c r="E1564" s="70"/>
      <c r="F1564" s="70"/>
      <c r="G1564" s="70"/>
      <c r="H1564" s="70"/>
    </row>
    <row r="1565" spans="1:8" x14ac:dyDescent="0.2">
      <c r="A1565" s="440" t="str">
        <f>IF(ISBLANK(Twilight!AG1470),"|",CONCATENATE(Twilight!AG1470,"|"))</f>
        <v>|</v>
      </c>
      <c r="E1565" s="70"/>
      <c r="F1565" s="70"/>
      <c r="G1565" s="70"/>
      <c r="H1565" s="70"/>
    </row>
    <row r="1566" spans="1:8" x14ac:dyDescent="0.2">
      <c r="A1566" s="440" t="str">
        <f>IF(ISBLANK(Twilight!AG1471),"|",CONCATENATE(Twilight!AG1471,"|"))</f>
        <v>|</v>
      </c>
      <c r="E1566" s="70"/>
      <c r="F1566" s="70"/>
      <c r="G1566" s="70"/>
      <c r="H1566" s="70"/>
    </row>
    <row r="1567" spans="1:8" x14ac:dyDescent="0.2">
      <c r="A1567" s="440" t="str">
        <f>IF(ISBLANK(Twilight!AG1472),"|",CONCATENATE(Twilight!AG1472,"|"))</f>
        <v>|</v>
      </c>
      <c r="E1567" s="70"/>
      <c r="F1567" s="70"/>
      <c r="G1567" s="70"/>
      <c r="H1567" s="70"/>
    </row>
    <row r="1568" spans="1:8" x14ac:dyDescent="0.2">
      <c r="A1568" s="440" t="str">
        <f>IF(ISBLANK(Twilight!AG1473),"|",CONCATENATE(Twilight!AG1473,"|"))</f>
        <v>|</v>
      </c>
      <c r="E1568" s="70"/>
      <c r="F1568" s="70"/>
      <c r="G1568" s="70"/>
      <c r="H1568" s="70"/>
    </row>
    <row r="1569" spans="1:8" x14ac:dyDescent="0.2">
      <c r="A1569" s="440" t="str">
        <f>IF(ISBLANK(Twilight!AG1474),"|",CONCATENATE(Twilight!AG1474,"|"))</f>
        <v>|</v>
      </c>
      <c r="E1569" s="70"/>
      <c r="F1569" s="70"/>
      <c r="G1569" s="70"/>
      <c r="H1569" s="70"/>
    </row>
    <row r="1570" spans="1:8" x14ac:dyDescent="0.2">
      <c r="A1570" s="440" t="str">
        <f>IF(ISBLANK(Twilight!AG1475),"|",CONCATENATE(Twilight!AG1475,"|"))</f>
        <v>|</v>
      </c>
      <c r="E1570" s="70"/>
      <c r="F1570" s="70"/>
      <c r="G1570" s="70"/>
      <c r="H1570" s="70"/>
    </row>
    <row r="1571" spans="1:8" x14ac:dyDescent="0.2">
      <c r="A1571" s="440" t="str">
        <f>IF(ISBLANK(Twilight!AG1476),"|",CONCATENATE(Twilight!AG1476,"|"))</f>
        <v>|</v>
      </c>
      <c r="E1571" s="70"/>
      <c r="F1571" s="70"/>
      <c r="G1571" s="70"/>
      <c r="H1571" s="70"/>
    </row>
    <row r="1572" spans="1:8" x14ac:dyDescent="0.2">
      <c r="A1572" s="440" t="str">
        <f>IF(ISBLANK(Twilight!AG1477),"|",CONCATENATE(Twilight!AG1477,"|"))</f>
        <v>|</v>
      </c>
      <c r="E1572" s="70"/>
      <c r="F1572" s="70"/>
      <c r="G1572" s="70"/>
      <c r="H1572" s="70"/>
    </row>
    <row r="1573" spans="1:8" x14ac:dyDescent="0.2">
      <c r="A1573" s="440" t="str">
        <f>IF(ISBLANK(Twilight!AG1478),"|",CONCATENATE(Twilight!AG1478,"|"))</f>
        <v>|</v>
      </c>
      <c r="E1573" s="70"/>
      <c r="F1573" s="70"/>
      <c r="G1573" s="70"/>
      <c r="H1573" s="70"/>
    </row>
    <row r="1574" spans="1:8" x14ac:dyDescent="0.2">
      <c r="A1574" s="440" t="str">
        <f>IF(ISBLANK(Twilight!AG1479),"|",CONCATENATE(Twilight!AG1479,"|"))</f>
        <v>|</v>
      </c>
      <c r="E1574" s="70"/>
      <c r="F1574" s="70"/>
      <c r="G1574" s="70"/>
      <c r="H1574" s="70"/>
    </row>
    <row r="1575" spans="1:8" x14ac:dyDescent="0.2">
      <c r="A1575" s="440" t="str">
        <f>IF(ISBLANK(Twilight!AG1480),"|",CONCATENATE(Twilight!AG1480,"|"))</f>
        <v>|</v>
      </c>
      <c r="E1575" s="70"/>
      <c r="F1575" s="70"/>
      <c r="G1575" s="70"/>
      <c r="H1575" s="70"/>
    </row>
    <row r="1576" spans="1:8" x14ac:dyDescent="0.2">
      <c r="A1576" s="440" t="str">
        <f>IF(ISBLANK(Twilight!AG1481),"|",CONCATENATE(Twilight!AG1481,"|"))</f>
        <v>|</v>
      </c>
      <c r="E1576" s="70"/>
      <c r="F1576" s="70"/>
      <c r="G1576" s="70"/>
      <c r="H1576" s="70"/>
    </row>
    <row r="1577" spans="1:8" x14ac:dyDescent="0.2">
      <c r="A1577" s="440" t="str">
        <f>IF(ISBLANK(Twilight!AG1482),"|",CONCATENATE(Twilight!AG1482,"|"))</f>
        <v>|</v>
      </c>
      <c r="E1577" s="70"/>
      <c r="F1577" s="70"/>
      <c r="G1577" s="70"/>
      <c r="H1577" s="70"/>
    </row>
    <row r="1578" spans="1:8" x14ac:dyDescent="0.2">
      <c r="A1578" s="440" t="str">
        <f>IF(ISBLANK(Twilight!AG1483),"|",CONCATENATE(Twilight!AG1483,"|"))</f>
        <v>|</v>
      </c>
      <c r="E1578" s="70"/>
      <c r="F1578" s="70"/>
      <c r="G1578" s="70"/>
      <c r="H1578" s="70"/>
    </row>
    <row r="1579" spans="1:8" x14ac:dyDescent="0.2">
      <c r="A1579" s="440" t="str">
        <f>IF(ISBLANK(Twilight!AG1484),"|",CONCATENATE(Twilight!AG1484,"|"))</f>
        <v>|</v>
      </c>
      <c r="E1579" s="70"/>
      <c r="F1579" s="70"/>
      <c r="G1579" s="70"/>
      <c r="H1579" s="70"/>
    </row>
    <row r="1580" spans="1:8" x14ac:dyDescent="0.2">
      <c r="A1580" s="440" t="str">
        <f>IF(ISBLANK(Twilight!AG1485),"|",CONCATENATE(Twilight!AG1485,"|"))</f>
        <v>|</v>
      </c>
      <c r="E1580" s="70"/>
      <c r="F1580" s="70"/>
      <c r="G1580" s="70"/>
      <c r="H1580" s="70"/>
    </row>
    <row r="1581" spans="1:8" x14ac:dyDescent="0.2">
      <c r="A1581" s="440" t="str">
        <f>IF(ISBLANK(Twilight!AG1486),"|",CONCATENATE(Twilight!AG1486,"|"))</f>
        <v>|</v>
      </c>
      <c r="E1581" s="70"/>
      <c r="F1581" s="70"/>
      <c r="G1581" s="70"/>
      <c r="H1581" s="70"/>
    </row>
    <row r="1582" spans="1:8" x14ac:dyDescent="0.2">
      <c r="A1582" s="440" t="str">
        <f>IF(ISBLANK(Twilight!AG1487),"|",CONCATENATE(Twilight!AG1487,"|"))</f>
        <v>|</v>
      </c>
      <c r="E1582" s="70"/>
      <c r="F1582" s="70"/>
      <c r="G1582" s="70"/>
      <c r="H1582" s="70"/>
    </row>
    <row r="1583" spans="1:8" x14ac:dyDescent="0.2">
      <c r="A1583" s="440" t="str">
        <f>IF(ISBLANK(Twilight!AG1488),"|",CONCATENATE(Twilight!AG1488,"|"))</f>
        <v>|</v>
      </c>
      <c r="E1583" s="70"/>
      <c r="F1583" s="70"/>
      <c r="G1583" s="70"/>
      <c r="H1583" s="70"/>
    </row>
    <row r="1584" spans="1:8" x14ac:dyDescent="0.2">
      <c r="A1584" s="440" t="str">
        <f>IF(ISBLANK(Twilight!AG1489),"|",CONCATENATE(Twilight!AG1489,"|"))</f>
        <v>|</v>
      </c>
      <c r="E1584" s="70"/>
      <c r="F1584" s="70"/>
      <c r="G1584" s="70"/>
      <c r="H1584" s="70"/>
    </row>
    <row r="1585" spans="1:8" x14ac:dyDescent="0.2">
      <c r="A1585" s="440" t="str">
        <f>IF(ISBLANK(Twilight!AG1490),"|",CONCATENATE(Twilight!AG1490,"|"))</f>
        <v>|</v>
      </c>
      <c r="E1585" s="70"/>
      <c r="F1585" s="70"/>
      <c r="G1585" s="70"/>
      <c r="H1585" s="70"/>
    </row>
    <row r="1586" spans="1:8" x14ac:dyDescent="0.2">
      <c r="A1586" s="440" t="str">
        <f>IF(ISBLANK(Twilight!AG1491),"|",CONCATENATE(Twilight!AG1491,"|"))</f>
        <v>|</v>
      </c>
      <c r="E1586" s="70"/>
      <c r="F1586" s="70"/>
      <c r="G1586" s="70"/>
      <c r="H1586" s="70"/>
    </row>
    <row r="1587" spans="1:8" x14ac:dyDescent="0.2">
      <c r="A1587" s="440" t="str">
        <f>IF(ISBLANK(Twilight!AG1492),"|",CONCATENATE(Twilight!AG1492,"|"))</f>
        <v>|</v>
      </c>
      <c r="E1587" s="70"/>
      <c r="F1587" s="70"/>
      <c r="G1587" s="70"/>
      <c r="H1587" s="70"/>
    </row>
    <row r="1588" spans="1:8" x14ac:dyDescent="0.2">
      <c r="A1588" s="440" t="str">
        <f>IF(ISBLANK(Twilight!AG1493),"|",CONCATENATE(Twilight!AG1493,"|"))</f>
        <v>|</v>
      </c>
      <c r="E1588" s="70"/>
      <c r="F1588" s="70"/>
      <c r="G1588" s="70"/>
      <c r="H1588" s="70"/>
    </row>
    <row r="1589" spans="1:8" x14ac:dyDescent="0.2">
      <c r="A1589" s="440" t="str">
        <f>IF(ISBLANK(Twilight!AG1494),"|",CONCATENATE(Twilight!AG1494,"|"))</f>
        <v>|</v>
      </c>
      <c r="E1589" s="70"/>
      <c r="F1589" s="70"/>
      <c r="G1589" s="70"/>
      <c r="H1589" s="70"/>
    </row>
    <row r="1590" spans="1:8" x14ac:dyDescent="0.2">
      <c r="A1590" s="440" t="str">
        <f>IF(ISBLANK(Twilight!AG1495),"|",CONCATENATE(Twilight!AG1495,"|"))</f>
        <v>|</v>
      </c>
      <c r="E1590" s="70"/>
      <c r="F1590" s="70"/>
      <c r="G1590" s="70"/>
      <c r="H1590" s="70"/>
    </row>
    <row r="1591" spans="1:8" x14ac:dyDescent="0.2">
      <c r="A1591" s="440" t="str">
        <f>IF(ISBLANK(Twilight!AG1496),"|",CONCATENATE(Twilight!AG1496,"|"))</f>
        <v>|</v>
      </c>
      <c r="E1591" s="70"/>
      <c r="F1591" s="70"/>
      <c r="G1591" s="70"/>
      <c r="H1591" s="70"/>
    </row>
    <row r="1592" spans="1:8" x14ac:dyDescent="0.2">
      <c r="A1592" s="440" t="str">
        <f>IF(ISBLANK(Twilight!AG1497),"|",CONCATENATE(Twilight!AG1497,"|"))</f>
        <v>|</v>
      </c>
      <c r="E1592" s="70"/>
      <c r="F1592" s="70"/>
      <c r="G1592" s="70"/>
      <c r="H1592" s="70"/>
    </row>
    <row r="1593" spans="1:8" x14ac:dyDescent="0.2">
      <c r="A1593" s="440" t="str">
        <f>IF(ISBLANK(Twilight!AG1498),"|",CONCATENATE(Twilight!AG1498,"|"))</f>
        <v>|</v>
      </c>
      <c r="E1593" s="70"/>
      <c r="F1593" s="70"/>
      <c r="G1593" s="70"/>
      <c r="H1593" s="70"/>
    </row>
    <row r="1594" spans="1:8" x14ac:dyDescent="0.2">
      <c r="A1594" s="440" t="str">
        <f>IF(ISBLANK(Twilight!AG1499),"|",CONCATENATE(Twilight!AG1499,"|"))</f>
        <v>|</v>
      </c>
      <c r="E1594" s="70"/>
      <c r="F1594" s="70"/>
      <c r="G1594" s="70"/>
      <c r="H1594" s="70"/>
    </row>
    <row r="1595" spans="1:8" x14ac:dyDescent="0.2">
      <c r="A1595" s="440" t="str">
        <f>IF(ISBLANK(Twilight!AG1500),"|",CONCATENATE(Twilight!AG1500,"|"))</f>
        <v>|</v>
      </c>
      <c r="E1595" s="70"/>
      <c r="F1595" s="70"/>
      <c r="G1595" s="70"/>
      <c r="H1595" s="70"/>
    </row>
    <row r="1596" spans="1:8" x14ac:dyDescent="0.2">
      <c r="A1596" s="440" t="str">
        <f>IF(ISBLANK(Twilight!AG1501),"|",CONCATENATE(Twilight!AG1501,"|"))</f>
        <v>|</v>
      </c>
      <c r="E1596" s="70"/>
      <c r="F1596" s="70"/>
      <c r="G1596" s="70"/>
      <c r="H1596" s="70"/>
    </row>
    <row r="1597" spans="1:8" x14ac:dyDescent="0.2">
      <c r="A1597" s="440" t="str">
        <f>IF(ISBLANK(Twilight!AG1502),"|",CONCATENATE(Twilight!AG1502,"|"))</f>
        <v>|</v>
      </c>
      <c r="E1597" s="70"/>
      <c r="F1597" s="70"/>
      <c r="G1597" s="70"/>
      <c r="H1597" s="70"/>
    </row>
    <row r="1598" spans="1:8" x14ac:dyDescent="0.2">
      <c r="A1598" s="440" t="str">
        <f>IF(ISBLANK(Twilight!AG1503),"|",CONCATENATE(Twilight!AG1503,"|"))</f>
        <v>|</v>
      </c>
      <c r="E1598" s="70"/>
      <c r="F1598" s="70"/>
      <c r="G1598" s="70"/>
      <c r="H1598" s="70"/>
    </row>
    <row r="1599" spans="1:8" x14ac:dyDescent="0.2">
      <c r="A1599" s="440" t="str">
        <f>IF(ISBLANK(Twilight!AG1504),"|",CONCATENATE(Twilight!AG1504,"|"))</f>
        <v>|</v>
      </c>
      <c r="E1599" s="70"/>
      <c r="F1599" s="70"/>
      <c r="G1599" s="70"/>
      <c r="H1599" s="70"/>
    </row>
    <row r="1600" spans="1:8" x14ac:dyDescent="0.2">
      <c r="A1600" s="440" t="str">
        <f>IF(ISBLANK(Twilight!AG1505),"|",CONCATENATE(Twilight!AG1505,"|"))</f>
        <v>|</v>
      </c>
      <c r="E1600" s="70"/>
      <c r="F1600" s="70"/>
      <c r="G1600" s="70"/>
      <c r="H1600" s="70"/>
    </row>
    <row r="1601" spans="1:8" x14ac:dyDescent="0.2">
      <c r="A1601" s="440" t="str">
        <f>IF(ISBLANK(Twilight!AG1506),"|",CONCATENATE(Twilight!AG1506,"|"))</f>
        <v>|</v>
      </c>
      <c r="E1601" s="70"/>
      <c r="F1601" s="70"/>
      <c r="G1601" s="70"/>
      <c r="H1601" s="70"/>
    </row>
    <row r="1602" spans="1:8" x14ac:dyDescent="0.2">
      <c r="A1602" s="440" t="str">
        <f>IF(ISBLANK(Twilight!AG1507),"|",CONCATENATE(Twilight!AG1507,"|"))</f>
        <v>|</v>
      </c>
      <c r="E1602" s="70"/>
      <c r="F1602" s="70"/>
      <c r="G1602" s="70"/>
      <c r="H1602" s="70"/>
    </row>
    <row r="1603" spans="1:8" x14ac:dyDescent="0.2">
      <c r="A1603" s="440" t="str">
        <f>IF(ISBLANK(Twilight!AG1508),"|",CONCATENATE(Twilight!AG1508,"|"))</f>
        <v>|</v>
      </c>
      <c r="E1603" s="70"/>
      <c r="F1603" s="70"/>
      <c r="G1603" s="70"/>
      <c r="H1603" s="70"/>
    </row>
    <row r="1604" spans="1:8" x14ac:dyDescent="0.2">
      <c r="A1604" s="440" t="str">
        <f>IF(ISBLANK(Twilight!AG1509),"|",CONCATENATE(Twilight!AG1509,"|"))</f>
        <v>|</v>
      </c>
      <c r="E1604" s="70"/>
      <c r="F1604" s="70"/>
      <c r="G1604" s="70"/>
      <c r="H1604" s="70"/>
    </row>
    <row r="1605" spans="1:8" x14ac:dyDescent="0.2">
      <c r="A1605" s="440" t="str">
        <f>IF(ISBLANK(Twilight!AG1510),"|",CONCATENATE(Twilight!AG1510,"|"))</f>
        <v>|</v>
      </c>
      <c r="E1605" s="70"/>
      <c r="F1605" s="70"/>
      <c r="G1605" s="70"/>
      <c r="H1605" s="70"/>
    </row>
    <row r="1606" spans="1:8" x14ac:dyDescent="0.2">
      <c r="A1606" s="440" t="str">
        <f>IF(ISBLANK(Twilight!AG1511),"|",CONCATENATE(Twilight!AG1511,"|"))</f>
        <v>|</v>
      </c>
      <c r="E1606" s="70"/>
      <c r="F1606" s="70"/>
      <c r="G1606" s="70"/>
      <c r="H1606" s="70"/>
    </row>
    <row r="1607" spans="1:8" x14ac:dyDescent="0.2">
      <c r="A1607" s="440" t="str">
        <f>IF(ISBLANK(Twilight!AG1512),"|",CONCATENATE(Twilight!AG1512,"|"))</f>
        <v>|</v>
      </c>
      <c r="E1607" s="70"/>
      <c r="F1607" s="70"/>
      <c r="G1607" s="70"/>
      <c r="H1607" s="70"/>
    </row>
    <row r="1608" spans="1:8" x14ac:dyDescent="0.2">
      <c r="A1608" s="440" t="str">
        <f>IF(ISBLANK(Twilight!AG1513),"|",CONCATENATE(Twilight!AG1513,"|"))</f>
        <v>|</v>
      </c>
      <c r="E1608" s="70"/>
      <c r="F1608" s="70"/>
      <c r="G1608" s="70"/>
      <c r="H1608" s="70"/>
    </row>
    <row r="1609" spans="1:8" x14ac:dyDescent="0.2">
      <c r="A1609" s="440" t="str">
        <f>IF(ISBLANK(Twilight!AG1514),"|",CONCATENATE(Twilight!AG1514,"|"))</f>
        <v>|</v>
      </c>
      <c r="E1609" s="70"/>
      <c r="F1609" s="70"/>
      <c r="G1609" s="70"/>
      <c r="H1609" s="70"/>
    </row>
    <row r="1610" spans="1:8" x14ac:dyDescent="0.2">
      <c r="A1610" s="440" t="str">
        <f>IF(ISBLANK(Twilight!AG1515),"|",CONCATENATE(Twilight!AG1515,"|"))</f>
        <v>|</v>
      </c>
      <c r="E1610" s="70"/>
      <c r="F1610" s="70"/>
      <c r="G1610" s="70"/>
      <c r="H1610" s="70"/>
    </row>
    <row r="1611" spans="1:8" x14ac:dyDescent="0.2">
      <c r="A1611" s="440" t="str">
        <f>IF(ISBLANK(Twilight!AG1516),"|",CONCATENATE(Twilight!AG1516,"|"))</f>
        <v>|</v>
      </c>
      <c r="E1611" s="70"/>
      <c r="F1611" s="70"/>
      <c r="G1611" s="70"/>
      <c r="H1611" s="70"/>
    </row>
    <row r="1612" spans="1:8" x14ac:dyDescent="0.2">
      <c r="A1612" s="440" t="str">
        <f>IF(ISBLANK(Twilight!AG1517),"|",CONCATENATE(Twilight!AG1517,"|"))</f>
        <v>|</v>
      </c>
      <c r="E1612" s="70"/>
      <c r="F1612" s="70"/>
      <c r="G1612" s="70"/>
      <c r="H1612" s="70"/>
    </row>
    <row r="1613" spans="1:8" x14ac:dyDescent="0.2">
      <c r="A1613" s="440" t="str">
        <f>IF(ISBLANK(Twilight!AG1518),"|",CONCATENATE(Twilight!AG1518,"|"))</f>
        <v>|</v>
      </c>
      <c r="E1613" s="70"/>
      <c r="F1613" s="70"/>
      <c r="G1613" s="70"/>
      <c r="H1613" s="70"/>
    </row>
    <row r="1614" spans="1:8" x14ac:dyDescent="0.2">
      <c r="A1614" s="440" t="str">
        <f>IF(ISBLANK(Twilight!AG1519),"|",CONCATENATE(Twilight!AG1519,"|"))</f>
        <v>|</v>
      </c>
      <c r="E1614" s="70"/>
      <c r="F1614" s="70"/>
      <c r="G1614" s="70"/>
      <c r="H1614" s="70"/>
    </row>
    <row r="1615" spans="1:8" x14ac:dyDescent="0.2">
      <c r="A1615" s="440" t="str">
        <f>IF(ISBLANK(Twilight!AG1520),"|",CONCATENATE(Twilight!AG1520,"|"))</f>
        <v>|</v>
      </c>
      <c r="E1615" s="70"/>
      <c r="F1615" s="70"/>
      <c r="G1615" s="70"/>
      <c r="H1615" s="70"/>
    </row>
    <row r="1616" spans="1:8" x14ac:dyDescent="0.2">
      <c r="A1616" s="440" t="str">
        <f>IF(ISBLANK(Twilight!AG1521),"|",CONCATENATE(Twilight!AG1521,"|"))</f>
        <v>|</v>
      </c>
      <c r="E1616" s="70"/>
      <c r="F1616" s="70"/>
      <c r="G1616" s="70"/>
      <c r="H1616" s="70"/>
    </row>
    <row r="1617" spans="1:18" x14ac:dyDescent="0.2">
      <c r="A1617" s="440" t="str">
        <f>IF(ISBLANK(Twilight!AG1522),"|",CONCATENATE(Twilight!AG1522,"|"))</f>
        <v>|</v>
      </c>
      <c r="E1617" s="70"/>
      <c r="F1617" s="70"/>
      <c r="G1617" s="70"/>
      <c r="H1617" s="70"/>
    </row>
    <row r="1618" spans="1:18" x14ac:dyDescent="0.2">
      <c r="A1618" s="440" t="str">
        <f>IF(ISBLANK(Twilight!AG1523),"|",CONCATENATE(Twilight!AG1523,"|"))</f>
        <v>|</v>
      </c>
      <c r="E1618" s="70"/>
      <c r="F1618" s="70"/>
      <c r="G1618" s="70"/>
      <c r="H1618" s="70"/>
    </row>
    <row r="1619" spans="1:18" x14ac:dyDescent="0.2">
      <c r="A1619" s="440" t="str">
        <f>IF(ISBLANK(Twilight!AG1524),"|",CONCATENATE(Twilight!AG1524,"|"))</f>
        <v>|</v>
      </c>
      <c r="E1619" s="70"/>
      <c r="F1619" s="70"/>
      <c r="G1619" s="70"/>
      <c r="H1619" s="70"/>
    </row>
    <row r="1620" spans="1:18" x14ac:dyDescent="0.2">
      <c r="A1620" s="440" t="s">
        <v>482</v>
      </c>
      <c r="E1620" s="70"/>
      <c r="F1620" s="70"/>
      <c r="G1620" s="70"/>
      <c r="H1620" s="70"/>
    </row>
    <row r="1621" spans="1:18" x14ac:dyDescent="0.2">
      <c r="A1621" s="381"/>
      <c r="K1621" t="str">
        <f>IF(ISBLANK(Character!P60)," ",Character!P60)</f>
        <v xml:space="preserve"> </v>
      </c>
    </row>
    <row r="1622" spans="1:18" x14ac:dyDescent="0.2">
      <c r="A1622" s="381" t="str">
        <f>CONCATENATE("&lt;a id=",CHAR(34),RIGHT(A1623,LEN(A1623)-3),CHAR(34)," /&gt;")</f>
        <v>&lt;a id=" Posessions" /&gt;</v>
      </c>
    </row>
    <row r="1623" spans="1:18" x14ac:dyDescent="0.2">
      <c r="A1623" s="381" t="str">
        <f>CONCATENATE("### ","Posessions")</f>
        <v>### Posessions</v>
      </c>
      <c r="P1623" t="str">
        <f>IF(ISBLANK(Character!P61)," ",Character!P61)</f>
        <v xml:space="preserve"> </v>
      </c>
    </row>
    <row r="1624" spans="1:18" x14ac:dyDescent="0.2">
      <c r="A1624" s="440" t="str">
        <f>CONCATENATE(Posessions!A1,"|",Posessions!B1,"|",Posessions!C1,"|",Posessions!D1)</f>
        <v>Item|Description|Carried?|Load value</v>
      </c>
      <c r="P1624" t="str">
        <f>IF(ISBLANK(Character!P62)," ",Character!P62)</f>
        <v xml:space="preserve"> </v>
      </c>
    </row>
    <row r="1625" spans="1:18" x14ac:dyDescent="0.2">
      <c r="A1625" s="381" t="str">
        <f>CONCATENATE(":--|:--|:--|:--")</f>
        <v>:--|:--|:--|:--</v>
      </c>
      <c r="P1625" t="str">
        <f>IF(ISBLANK(Character!P63)," ",Character!P63)</f>
        <v xml:space="preserve"> </v>
      </c>
    </row>
    <row r="1626" spans="1:18" x14ac:dyDescent="0.2">
      <c r="A1626" s="460" t="str">
        <f>CONCATENATE(Posessions!A2,"|",Posessions!B2,"|",Posessions!C2,"|",Posessions!D2)</f>
        <v>|||</v>
      </c>
      <c r="P1626" t="str">
        <f>IF(ISBLANK(Character!P64)," ",Character!P64)</f>
        <v xml:space="preserve"> </v>
      </c>
    </row>
    <row r="1627" spans="1:18" x14ac:dyDescent="0.2">
      <c r="A1627" s="460" t="str">
        <f>CONCATENATE(Posessions!A3,"|",Posessions!B3,"|",Posessions!C3,"|",Posessions!D3)</f>
        <v>|||</v>
      </c>
      <c r="P1627" t="str">
        <f>IF(ISBLANK(Character!P65)," ",Character!P65)</f>
        <v xml:space="preserve"> </v>
      </c>
    </row>
    <row r="1628" spans="1:18" x14ac:dyDescent="0.2">
      <c r="A1628" s="460" t="str">
        <f>CONCATENATE(Posessions!A4,"|",Posessions!B4,"|",Posessions!C4,"|",Posessions!D4)</f>
        <v>|||</v>
      </c>
      <c r="P1628" t="str">
        <f>IF(ISBLANK(Character!P66)," ",Character!P66)</f>
        <v xml:space="preserve"> </v>
      </c>
    </row>
    <row r="1629" spans="1:18" x14ac:dyDescent="0.2">
      <c r="A1629" s="460" t="str">
        <f>CONCATENATE(Posessions!A5,"|",Posessions!B5,"|",Posessions!C5,"|",Posessions!D5)</f>
        <v>|||</v>
      </c>
      <c r="B1629" s="70"/>
      <c r="C1629" s="70"/>
      <c r="D1629" s="70"/>
      <c r="E1629" s="70"/>
      <c r="F1629" s="70"/>
      <c r="G1629" s="70"/>
      <c r="H1629" s="70"/>
      <c r="I1629" s="70"/>
      <c r="J1629" s="70"/>
      <c r="K1629" s="70"/>
      <c r="L1629" s="70"/>
      <c r="M1629" s="70"/>
      <c r="N1629" s="70"/>
      <c r="O1629" s="70"/>
      <c r="P1629" s="70"/>
    </row>
    <row r="1630" spans="1:18" x14ac:dyDescent="0.2">
      <c r="A1630" s="460" t="str">
        <f>CONCATENATE(Posessions!A6,"|",Posessions!B6,"|",Posessions!C6,"|",Posessions!D6)</f>
        <v>|||</v>
      </c>
      <c r="P1630" s="70"/>
      <c r="Q1630" s="70"/>
      <c r="R1630" s="70"/>
    </row>
    <row r="1631" spans="1:18" x14ac:dyDescent="0.2">
      <c r="A1631" s="460" t="str">
        <f>CONCATENATE(Posessions!A7,"|",Posessions!B7,"|",Posessions!C7,"|",Posessions!D7)</f>
        <v>|||</v>
      </c>
      <c r="P1631" t="str">
        <f>IF(ISBLANK(Character!P69)," ",Character!P69)</f>
        <v xml:space="preserve"> </v>
      </c>
    </row>
    <row r="1632" spans="1:18" x14ac:dyDescent="0.2">
      <c r="A1632" s="460" t="str">
        <f>CONCATENATE(Posessions!A8,"|",Posessions!B8,"|",Posessions!C8,"|",Posessions!D8)</f>
        <v>|||</v>
      </c>
      <c r="P1632" t="str">
        <f>IF(ISBLANK(Character!P70)," ",Character!P70)</f>
        <v xml:space="preserve"> </v>
      </c>
    </row>
    <row r="1633" spans="1:18" x14ac:dyDescent="0.2">
      <c r="A1633" s="460" t="str">
        <f>CONCATENATE(Posessions!A9,"|",Posessions!B9,"|",Posessions!C9,"|",Posessions!D9)</f>
        <v>|||</v>
      </c>
      <c r="P1633" t="str">
        <f>IF(ISBLANK(Character!P71)," ",Character!P71)</f>
        <v xml:space="preserve"> </v>
      </c>
    </row>
    <row r="1634" spans="1:18" x14ac:dyDescent="0.2">
      <c r="A1634" s="460" t="str">
        <f>CONCATENATE(Posessions!A10,"|",Posessions!B10,"|",Posessions!C10,"|",Posessions!D10)</f>
        <v>|||</v>
      </c>
      <c r="P1634" t="str">
        <f>IF(ISBLANK(Character!P72)," ",Character!P72)</f>
        <v xml:space="preserve"> </v>
      </c>
    </row>
    <row r="1635" spans="1:18" x14ac:dyDescent="0.2">
      <c r="A1635" s="460" t="str">
        <f>CONCATENATE(Posessions!A11,"|",Posessions!B11,"|",Posessions!C11,"|",Posessions!D11)</f>
        <v>|||</v>
      </c>
      <c r="P1635" t="str">
        <f>IF(ISBLANK(Character!P73)," ",Character!P73)</f>
        <v xml:space="preserve"> </v>
      </c>
    </row>
    <row r="1636" spans="1:18" x14ac:dyDescent="0.2">
      <c r="A1636" s="460" t="str">
        <f>CONCATENATE(Posessions!A12,"|",Posessions!B12,"|",Posessions!C12,"|",Posessions!D12)</f>
        <v>|||</v>
      </c>
      <c r="P1636" t="str">
        <f>IF(ISBLANK(Character!P74)," ",Character!P74)</f>
        <v xml:space="preserve"> </v>
      </c>
    </row>
    <row r="1637" spans="1:18" x14ac:dyDescent="0.2">
      <c r="A1637" s="460" t="str">
        <f>CONCATENATE(Posessions!A13,"|",Posessions!B13,"|",Posessions!C13,"|",Posessions!D13)</f>
        <v>|||</v>
      </c>
      <c r="B1637" s="70"/>
      <c r="C1637" s="70"/>
      <c r="D1637" s="70"/>
      <c r="E1637" s="70"/>
      <c r="F1637" s="70"/>
      <c r="G1637" s="70"/>
      <c r="H1637" s="70"/>
      <c r="I1637" s="70"/>
      <c r="J1637" s="70"/>
      <c r="K1637" s="70"/>
      <c r="L1637" s="70"/>
      <c r="M1637" s="70"/>
      <c r="N1637" s="70"/>
      <c r="O1637" s="70"/>
      <c r="P1637" s="70"/>
      <c r="Q1637" s="70"/>
      <c r="R1637" s="70"/>
    </row>
    <row r="1638" spans="1:18" x14ac:dyDescent="0.2">
      <c r="A1638" s="460" t="str">
        <f>CONCATENATE(Posessions!A14,"|",Posessions!B14,"|",Posessions!C14,"|",Posessions!D14)</f>
        <v>|||</v>
      </c>
      <c r="P1638" t="str">
        <f>IF(ISBLANK(Character!P76)," ",Character!P76)</f>
        <v xml:space="preserve"> </v>
      </c>
    </row>
    <row r="1639" spans="1:18" x14ac:dyDescent="0.2">
      <c r="A1639" s="460" t="str">
        <f>CONCATENATE(Posessions!A15,"|",Posessions!B15,"|",Posessions!C15,"|",Posessions!D15)</f>
        <v>|||</v>
      </c>
      <c r="P1639" t="str">
        <f>IF(ISBLANK(Character!P77)," ",Character!P77)</f>
        <v xml:space="preserve"> </v>
      </c>
    </row>
    <row r="1640" spans="1:18" x14ac:dyDescent="0.2">
      <c r="A1640" s="460" t="str">
        <f>CONCATENATE(Posessions!A16,"|",Posessions!B16,"|",Posessions!C16,"|",Posessions!D16)</f>
        <v>|||</v>
      </c>
      <c r="P1640" t="str">
        <f>IF(ISBLANK(Character!P78)," ",Character!P78)</f>
        <v xml:space="preserve"> </v>
      </c>
    </row>
    <row r="1641" spans="1:18" x14ac:dyDescent="0.2">
      <c r="A1641" s="460" t="str">
        <f>CONCATENATE(Posessions!A17,"|",Posessions!B17,"|",Posessions!C17,"|",Posessions!D17)</f>
        <v>|||</v>
      </c>
      <c r="P1641" t="str">
        <f>IF(ISBLANK(Character!P79)," ",Character!P79)</f>
        <v xml:space="preserve"> </v>
      </c>
    </row>
    <row r="1642" spans="1:18" x14ac:dyDescent="0.2">
      <c r="A1642" s="460" t="str">
        <f>CONCATENATE(Posessions!A18,"|",Posessions!B18,"|",Posessions!C18,"|",Posessions!D18)</f>
        <v>|||</v>
      </c>
      <c r="P1642" t="str">
        <f>IF(ISBLANK(Character!P80)," ",Character!P80)</f>
        <v xml:space="preserve"> </v>
      </c>
    </row>
    <row r="1643" spans="1:18" x14ac:dyDescent="0.2">
      <c r="A1643" s="460" t="str">
        <f>CONCATENATE(Posessions!A19,"|",Posessions!B19,"|",Posessions!C19,"|",Posessions!D19)</f>
        <v>|||</v>
      </c>
      <c r="P1643" t="str">
        <f>IF(ISBLANK(Character!P81)," ",Character!P81)</f>
        <v xml:space="preserve"> </v>
      </c>
    </row>
    <row r="1644" spans="1:18" x14ac:dyDescent="0.2">
      <c r="A1644" s="460" t="str">
        <f>CONCATENATE(Posessions!A20,"|",Posessions!B20,"|",Posessions!C20,"|",Posessions!D20)</f>
        <v>|||</v>
      </c>
      <c r="P1644" t="str">
        <f>IF(ISBLANK(Character!P82)," ",Character!P82)</f>
        <v xml:space="preserve"> </v>
      </c>
    </row>
    <row r="1645" spans="1:18" x14ac:dyDescent="0.2">
      <c r="A1645" s="460" t="str">
        <f>CONCATENATE(Posessions!A21,"|",Posessions!B21,"|",Posessions!C21,"|",Posessions!D21)</f>
        <v>|||</v>
      </c>
      <c r="P1645" t="str">
        <f>IF(ISBLANK(Character!P83)," ",Character!P83)</f>
        <v xml:space="preserve"> </v>
      </c>
    </row>
    <row r="1646" spans="1:18" x14ac:dyDescent="0.2">
      <c r="A1646" s="460" t="str">
        <f>CONCATENATE(Posessions!A22,"|",Posessions!B22,"|",Posessions!C22,"|",Posessions!D22)</f>
        <v>|||</v>
      </c>
      <c r="P1646" t="str">
        <f>IF(ISBLANK(Character!P84)," ",Character!P84)</f>
        <v xml:space="preserve"> </v>
      </c>
    </row>
    <row r="1647" spans="1:18" x14ac:dyDescent="0.2">
      <c r="A1647" s="460" t="str">
        <f>CONCATENATE(Posessions!A23,"|",Posessions!B23,"|",Posessions!C23,"|",Posessions!D23)</f>
        <v>|||</v>
      </c>
      <c r="P1647" t="str">
        <f>IF(ISBLANK(Character!P85)," ",Character!P85)</f>
        <v xml:space="preserve"> </v>
      </c>
    </row>
    <row r="1648" spans="1:18" x14ac:dyDescent="0.2">
      <c r="A1648" s="460" t="str">
        <f>CONCATENATE(Posessions!A24,"|",Posessions!B24,"|",Posessions!C24,"|",Posessions!D24)</f>
        <v>|||</v>
      </c>
      <c r="P1648" t="str">
        <f>IF(ISBLANK(Character!P86)," ",Character!P86)</f>
        <v xml:space="preserve"> </v>
      </c>
    </row>
    <row r="1649" spans="1:16" x14ac:dyDescent="0.2">
      <c r="A1649" s="460" t="str">
        <f>CONCATENATE(Posessions!A25,"|",Posessions!B25,"|",Posessions!C25,"|",Posessions!D25)</f>
        <v>|||</v>
      </c>
      <c r="P1649" t="str">
        <f>IF(ISBLANK(Character!P87)," ",Character!P87)</f>
        <v xml:space="preserve"> </v>
      </c>
    </row>
    <row r="1650" spans="1:16" x14ac:dyDescent="0.2">
      <c r="A1650" s="460" t="str">
        <f>CONCATENATE(Posessions!A26,"|",Posessions!B26,"|",Posessions!C26,"|",Posessions!D26)</f>
        <v>|||</v>
      </c>
      <c r="P1650" t="str">
        <f>IF(ISBLANK(Character!P88)," ",Character!P88)</f>
        <v xml:space="preserve"> </v>
      </c>
    </row>
    <row r="1651" spans="1:16" x14ac:dyDescent="0.2">
      <c r="A1651" s="460" t="str">
        <f>CONCATENATE(Posessions!A27,"|",Posessions!B27,"|",Posessions!C27,"|",Posessions!D27)</f>
        <v>|||</v>
      </c>
      <c r="P1651" t="str">
        <f>IF(ISBLANK(Character!P89)," ",Character!P89)</f>
        <v xml:space="preserve"> </v>
      </c>
    </row>
    <row r="1652" spans="1:16" x14ac:dyDescent="0.2">
      <c r="A1652" s="460" t="str">
        <f>CONCATENATE(Posessions!A28,"|",Posessions!B28,"|",Posessions!C28,"|",Posessions!D28)</f>
        <v>|||</v>
      </c>
      <c r="P1652" t="str">
        <f>IF(ISBLANK(Character!P90)," ",Character!P90)</f>
        <v xml:space="preserve"> </v>
      </c>
    </row>
    <row r="1653" spans="1:16" x14ac:dyDescent="0.2">
      <c r="A1653" s="460" t="str">
        <f>CONCATENATE(Posessions!A29,"|",Posessions!B29,"|",Posessions!C29,"|",Posessions!D29)</f>
        <v>|||</v>
      </c>
      <c r="P1653" t="str">
        <f>IF(ISBLANK(Character!P91)," ",Character!P91)</f>
        <v xml:space="preserve"> </v>
      </c>
    </row>
    <row r="1654" spans="1:16" x14ac:dyDescent="0.2">
      <c r="A1654" s="460" t="str">
        <f>CONCATENATE(Posessions!A30,"|",Posessions!B30,"|",Posessions!C30,"|",Posessions!D30)</f>
        <v>|||</v>
      </c>
      <c r="B1654" t="str">
        <f>IF(ISBLANK(Character!B92)," ",Character!B92)</f>
        <v xml:space="preserve"> </v>
      </c>
      <c r="C1654" t="str">
        <f>IF(ISBLANK(Character!C92)," ",Character!C92)</f>
        <v xml:space="preserve"> </v>
      </c>
      <c r="D1654" t="str">
        <f>IF(ISBLANK(Character!D92)," ",Character!D92)</f>
        <v xml:space="preserve"> </v>
      </c>
      <c r="E1654" t="str">
        <f>IF(ISBLANK(Character!E92)," ",Character!E92)</f>
        <v xml:space="preserve"> </v>
      </c>
      <c r="F1654" t="str">
        <f>IF(ISBLANK(Character!F92)," ",Character!F92)</f>
        <v xml:space="preserve"> </v>
      </c>
      <c r="G1654" t="str">
        <f>IF(ISBLANK(Character!G92)," ",Character!G92)</f>
        <v xml:space="preserve"> </v>
      </c>
      <c r="H1654" s="70"/>
      <c r="I1654" t="str">
        <f>IF(ISBLANK(Character!I92)," ",Character!I92)</f>
        <v xml:space="preserve"> </v>
      </c>
      <c r="J1654" t="str">
        <f>IF(ISBLANK(Character!J92)," ",Character!J92)</f>
        <v xml:space="preserve"> </v>
      </c>
      <c r="K1654" t="str">
        <f>IF(ISBLANK(Character!K92)," ",Character!K92)</f>
        <v xml:space="preserve"> </v>
      </c>
      <c r="L1654" t="str">
        <f>IF(ISBLANK(Character!L92)," ",Character!L92)</f>
        <v xml:space="preserve"> </v>
      </c>
      <c r="M1654" t="str">
        <f>IF(ISBLANK(Character!M92)," ",Character!M92)</f>
        <v xml:space="preserve"> </v>
      </c>
      <c r="N1654" t="str">
        <f>IF(ISBLANK(Character!N92)," ",Character!N92)</f>
        <v xml:space="preserve"> </v>
      </c>
      <c r="O1654" t="str">
        <f>IF(ISBLANK(Character!O92)," ",Character!O92)</f>
        <v xml:space="preserve"> </v>
      </c>
      <c r="P1654" t="str">
        <f>IF(ISBLANK(Character!P92)," ",Character!P92)</f>
        <v xml:space="preserve"> </v>
      </c>
    </row>
    <row r="1655" spans="1:16" x14ac:dyDescent="0.2">
      <c r="A1655" s="460" t="str">
        <f>CONCATENATE(Posessions!A31,"|",Posessions!B31,"|",Posessions!C31,"|",Posessions!D31)</f>
        <v>|||</v>
      </c>
      <c r="B1655" t="str">
        <f>IF(ISBLANK(Character!B93)," ",Character!B93)</f>
        <v xml:space="preserve"> </v>
      </c>
      <c r="C1655" t="str">
        <f>IF(ISBLANK(Character!C93)," ",Character!C93)</f>
        <v xml:space="preserve"> </v>
      </c>
      <c r="D1655" t="str">
        <f>IF(ISBLANK(Character!D93)," ",Character!D93)</f>
        <v xml:space="preserve"> </v>
      </c>
      <c r="E1655" t="str">
        <f>IF(ISBLANK(Character!E93)," ",Character!E93)</f>
        <v xml:space="preserve"> </v>
      </c>
      <c r="F1655" t="str">
        <f>IF(ISBLANK(Character!F93)," ",Character!F93)</f>
        <v xml:space="preserve"> </v>
      </c>
      <c r="G1655" t="str">
        <f>IF(ISBLANK(Character!G93)," ",Character!G93)</f>
        <v xml:space="preserve"> </v>
      </c>
      <c r="H1655" s="70"/>
      <c r="I1655" t="str">
        <f>IF(ISBLANK(Character!I93)," ",Character!I93)</f>
        <v xml:space="preserve"> </v>
      </c>
      <c r="J1655" t="str">
        <f>IF(ISBLANK(Character!J93)," ",Character!J93)</f>
        <v xml:space="preserve"> </v>
      </c>
      <c r="K1655" t="str">
        <f>IF(ISBLANK(Character!K93)," ",Character!K93)</f>
        <v xml:space="preserve"> </v>
      </c>
      <c r="L1655" t="str">
        <f>IF(ISBLANK(Character!L93)," ",Character!L93)</f>
        <v xml:space="preserve"> </v>
      </c>
      <c r="M1655" t="str">
        <f>IF(ISBLANK(Character!M93)," ",Character!M93)</f>
        <v xml:space="preserve"> </v>
      </c>
      <c r="N1655" t="str">
        <f>IF(ISBLANK(Character!N93)," ",Character!N93)</f>
        <v xml:space="preserve"> </v>
      </c>
      <c r="O1655" t="str">
        <f>IF(ISBLANK(Character!O93)," ",Character!O93)</f>
        <v xml:space="preserve"> </v>
      </c>
      <c r="P1655" t="str">
        <f>IF(ISBLANK(Character!P93)," ",Character!P93)</f>
        <v xml:space="preserve"> </v>
      </c>
    </row>
    <row r="1656" spans="1:16" x14ac:dyDescent="0.2">
      <c r="A1656" s="460" t="str">
        <f>CONCATENATE(Posessions!A32,"|",Posessions!B32,"|",Posessions!C32,"|",Posessions!D32)</f>
        <v>|||</v>
      </c>
      <c r="B1656" t="str">
        <f>IF(ISBLANK(Character!B94)," ",Character!B94)</f>
        <v xml:space="preserve"> </v>
      </c>
      <c r="C1656" t="str">
        <f>IF(ISBLANK(Character!C94)," ",Character!C94)</f>
        <v xml:space="preserve"> </v>
      </c>
      <c r="D1656" t="str">
        <f>IF(ISBLANK(Character!D94)," ",Character!D94)</f>
        <v xml:space="preserve"> </v>
      </c>
      <c r="E1656" t="str">
        <f>IF(ISBLANK(Character!E94)," ",Character!E94)</f>
        <v xml:space="preserve"> </v>
      </c>
      <c r="F1656" t="str">
        <f>IF(ISBLANK(Character!F94)," ",Character!F94)</f>
        <v xml:space="preserve"> </v>
      </c>
      <c r="G1656" t="str">
        <f>IF(ISBLANK(Character!G94)," ",Character!G94)</f>
        <v xml:space="preserve"> </v>
      </c>
      <c r="H1656" s="70"/>
      <c r="I1656" t="str">
        <f>IF(ISBLANK(Character!I94)," ",Character!I94)</f>
        <v xml:space="preserve"> </v>
      </c>
      <c r="J1656" t="str">
        <f>IF(ISBLANK(Character!J94)," ",Character!J94)</f>
        <v xml:space="preserve"> </v>
      </c>
      <c r="K1656" t="str">
        <f>IF(ISBLANK(Character!K94)," ",Character!K94)</f>
        <v xml:space="preserve"> </v>
      </c>
      <c r="L1656" t="str">
        <f>IF(ISBLANK(Character!L94)," ",Character!L94)</f>
        <v xml:space="preserve"> </v>
      </c>
      <c r="M1656" t="str">
        <f>IF(ISBLANK(Character!M94)," ",Character!M94)</f>
        <v xml:space="preserve"> </v>
      </c>
      <c r="N1656" t="str">
        <f>IF(ISBLANK(Character!N94)," ",Character!N94)</f>
        <v xml:space="preserve"> </v>
      </c>
      <c r="O1656" t="str">
        <f>IF(ISBLANK(Character!O94)," ",Character!O94)</f>
        <v xml:space="preserve"> </v>
      </c>
      <c r="P1656" t="str">
        <f>IF(ISBLANK(Character!P94)," ",Character!P94)</f>
        <v xml:space="preserve"> </v>
      </c>
    </row>
    <row r="1657" spans="1:16" x14ac:dyDescent="0.2">
      <c r="A1657" s="460" t="str">
        <f>CONCATENATE(Posessions!A33,"|",Posessions!B33,"|",Posessions!C33,"|",Posessions!D33)</f>
        <v>|||</v>
      </c>
      <c r="B1657" t="str">
        <f>IF(ISBLANK(Character!B95)," ",Character!B95)</f>
        <v xml:space="preserve"> </v>
      </c>
      <c r="C1657" t="str">
        <f>IF(ISBLANK(Character!C95)," ",Character!C95)</f>
        <v xml:space="preserve"> </v>
      </c>
      <c r="D1657" t="str">
        <f>IF(ISBLANK(Character!D95)," ",Character!D95)</f>
        <v xml:space="preserve"> </v>
      </c>
      <c r="E1657" t="str">
        <f>IF(ISBLANK(Character!E95)," ",Character!E95)</f>
        <v xml:space="preserve"> </v>
      </c>
      <c r="F1657" t="str">
        <f>IF(ISBLANK(Character!F95)," ",Character!F95)</f>
        <v xml:space="preserve"> </v>
      </c>
      <c r="G1657" t="str">
        <f>IF(ISBLANK(Character!G95)," ",Character!G95)</f>
        <v xml:space="preserve"> </v>
      </c>
      <c r="H1657" s="70"/>
      <c r="I1657" t="str">
        <f>IF(ISBLANK(Character!I95)," ",Character!I95)</f>
        <v xml:space="preserve"> </v>
      </c>
      <c r="J1657" t="str">
        <f>IF(ISBLANK(Character!J95)," ",Character!J95)</f>
        <v xml:space="preserve"> </v>
      </c>
      <c r="K1657" t="str">
        <f>IF(ISBLANK(Character!K95)," ",Character!K95)</f>
        <v xml:space="preserve"> </v>
      </c>
      <c r="L1657" t="str">
        <f>IF(ISBLANK(Character!L95)," ",Character!L95)</f>
        <v xml:space="preserve"> </v>
      </c>
      <c r="M1657" t="str">
        <f>IF(ISBLANK(Character!M95)," ",Character!M95)</f>
        <v xml:space="preserve"> </v>
      </c>
      <c r="N1657" t="str">
        <f>IF(ISBLANK(Character!N95)," ",Character!N95)</f>
        <v xml:space="preserve"> </v>
      </c>
      <c r="O1657" t="str">
        <f>IF(ISBLANK(Character!O95)," ",Character!O95)</f>
        <v xml:space="preserve"> </v>
      </c>
      <c r="P1657" t="str">
        <f>IF(ISBLANK(Character!P95)," ",Character!P95)</f>
        <v xml:space="preserve"> </v>
      </c>
    </row>
    <row r="1658" spans="1:16" x14ac:dyDescent="0.2">
      <c r="A1658" s="460" t="str">
        <f>CONCATENATE(Posessions!A34,"|",Posessions!B34,"|",Posessions!C34,"|",Posessions!D34)</f>
        <v>|||</v>
      </c>
      <c r="B1658" t="str">
        <f>IF(ISBLANK(Character!B96)," ",Character!B96)</f>
        <v xml:space="preserve"> </v>
      </c>
      <c r="C1658" t="str">
        <f>IF(ISBLANK(Character!C96)," ",Character!C96)</f>
        <v xml:space="preserve"> </v>
      </c>
      <c r="D1658" t="str">
        <f>IF(ISBLANK(Character!D96)," ",Character!D96)</f>
        <v xml:space="preserve"> </v>
      </c>
      <c r="E1658" t="str">
        <f>IF(ISBLANK(Character!E96)," ",Character!E96)</f>
        <v xml:space="preserve"> </v>
      </c>
      <c r="F1658" t="str">
        <f>IF(ISBLANK(Character!F96)," ",Character!F96)</f>
        <v xml:space="preserve"> </v>
      </c>
      <c r="G1658" t="str">
        <f>IF(ISBLANK(Character!G96)," ",Character!G96)</f>
        <v xml:space="preserve"> </v>
      </c>
      <c r="H1658" t="str">
        <f>IF(ISBLANK(Character!H96)," ",Character!H96)</f>
        <v xml:space="preserve"> </v>
      </c>
      <c r="I1658" t="str">
        <f>IF(ISBLANK(Character!I96)," ",Character!I96)</f>
        <v xml:space="preserve"> </v>
      </c>
      <c r="J1658" t="str">
        <f>IF(ISBLANK(Character!J96)," ",Character!J96)</f>
        <v xml:space="preserve"> </v>
      </c>
      <c r="K1658" t="str">
        <f>IF(ISBLANK(Character!K96)," ",Character!K96)</f>
        <v xml:space="preserve"> </v>
      </c>
      <c r="L1658" t="str">
        <f>IF(ISBLANK(Character!L96)," ",Character!L96)</f>
        <v xml:space="preserve"> </v>
      </c>
      <c r="M1658" t="str">
        <f>IF(ISBLANK(Character!M96)," ",Character!M96)</f>
        <v xml:space="preserve"> </v>
      </c>
      <c r="N1658" t="str">
        <f>IF(ISBLANK(Character!N96)," ",Character!N96)</f>
        <v xml:space="preserve"> </v>
      </c>
      <c r="O1658" t="str">
        <f>IF(ISBLANK(Character!O96)," ",Character!O96)</f>
        <v xml:space="preserve"> </v>
      </c>
      <c r="P1658" t="str">
        <f>IF(ISBLANK(Character!P96)," ",Character!P96)</f>
        <v xml:space="preserve"> </v>
      </c>
    </row>
    <row r="1659" spans="1:16" x14ac:dyDescent="0.2">
      <c r="A1659" s="460" t="str">
        <f>CONCATENATE(Posessions!A35,"|",Posessions!B35,"|",Posessions!C35,"|",Posessions!D35)</f>
        <v>|||</v>
      </c>
      <c r="B1659" t="str">
        <f>IF(ISBLANK(Character!B97)," ",Character!B97)</f>
        <v xml:space="preserve"> </v>
      </c>
      <c r="C1659" t="str">
        <f>IF(ISBLANK(Character!C97)," ",Character!C97)</f>
        <v xml:space="preserve"> </v>
      </c>
      <c r="D1659" t="str">
        <f>IF(ISBLANK(Character!D97)," ",Character!D97)</f>
        <v xml:space="preserve"> </v>
      </c>
      <c r="E1659" t="str">
        <f>IF(ISBLANK(Character!E97)," ",Character!E97)</f>
        <v xml:space="preserve"> </v>
      </c>
      <c r="F1659" t="str">
        <f>IF(ISBLANK(Character!F97)," ",Character!F97)</f>
        <v xml:space="preserve"> </v>
      </c>
      <c r="G1659" t="str">
        <f>IF(ISBLANK(Character!G97)," ",Character!G97)</f>
        <v xml:space="preserve"> </v>
      </c>
      <c r="H1659" t="str">
        <f>IF(ISBLANK(Character!H97)," ",Character!H97)</f>
        <v xml:space="preserve"> </v>
      </c>
      <c r="I1659" t="str">
        <f>IF(ISBLANK(Character!I97)," ",Character!I97)</f>
        <v xml:space="preserve"> </v>
      </c>
      <c r="J1659" t="str">
        <f>IF(ISBLANK(Character!J97)," ",Character!J97)</f>
        <v xml:space="preserve"> </v>
      </c>
      <c r="K1659" t="str">
        <f>IF(ISBLANK(Character!K97)," ",Character!K97)</f>
        <v xml:space="preserve"> </v>
      </c>
      <c r="L1659" t="str">
        <f>IF(ISBLANK(Character!L97)," ",Character!L97)</f>
        <v xml:space="preserve"> </v>
      </c>
      <c r="M1659" t="str">
        <f>IF(ISBLANK(Character!M97)," ",Character!M97)</f>
        <v xml:space="preserve"> </v>
      </c>
      <c r="N1659" t="str">
        <f>IF(ISBLANK(Character!N97)," ",Character!N97)</f>
        <v xml:space="preserve"> </v>
      </c>
      <c r="O1659" t="str">
        <f>IF(ISBLANK(Character!O97)," ",Character!O97)</f>
        <v xml:space="preserve"> </v>
      </c>
      <c r="P1659" t="str">
        <f>IF(ISBLANK(Character!P97)," ",Character!P97)</f>
        <v xml:space="preserve"> </v>
      </c>
    </row>
    <row r="1660" spans="1:16" x14ac:dyDescent="0.2">
      <c r="A1660" s="460" t="str">
        <f>CONCATENATE(Posessions!A36,"|",Posessions!B36,"|",Posessions!C36,"|",Posessions!D36)</f>
        <v>|||</v>
      </c>
      <c r="B1660" t="str">
        <f>IF(ISBLANK(Character!B98)," ",Character!B98)</f>
        <v xml:space="preserve"> </v>
      </c>
      <c r="C1660" t="str">
        <f>IF(ISBLANK(Character!C98)," ",Character!C98)</f>
        <v xml:space="preserve"> </v>
      </c>
      <c r="D1660" t="str">
        <f>IF(ISBLANK(Character!D98)," ",Character!D98)</f>
        <v xml:space="preserve"> </v>
      </c>
      <c r="E1660" t="str">
        <f>IF(ISBLANK(Character!E98)," ",Character!E98)</f>
        <v xml:space="preserve"> </v>
      </c>
      <c r="F1660" t="str">
        <f>IF(ISBLANK(Character!F98)," ",Character!F98)</f>
        <v xml:space="preserve"> </v>
      </c>
      <c r="G1660" t="str">
        <f>IF(ISBLANK(Character!G98)," ",Character!G98)</f>
        <v xml:space="preserve"> </v>
      </c>
      <c r="H1660" t="str">
        <f>IF(ISBLANK(Character!H98)," ",Character!H98)</f>
        <v xml:space="preserve"> </v>
      </c>
      <c r="I1660" t="str">
        <f>IF(ISBLANK(Character!I98)," ",Character!I98)</f>
        <v xml:space="preserve"> </v>
      </c>
      <c r="J1660" t="str">
        <f>IF(ISBLANK(Character!J98)," ",Character!J98)</f>
        <v xml:space="preserve"> </v>
      </c>
      <c r="K1660" t="str">
        <f>IF(ISBLANK(Character!K98)," ",Character!K98)</f>
        <v xml:space="preserve"> </v>
      </c>
      <c r="L1660" t="str">
        <f>IF(ISBLANK(Character!L98)," ",Character!L98)</f>
        <v xml:space="preserve"> </v>
      </c>
      <c r="M1660" t="str">
        <f>IF(ISBLANK(Character!M98)," ",Character!M98)</f>
        <v xml:space="preserve"> </v>
      </c>
      <c r="N1660" t="str">
        <f>IF(ISBLANK(Character!N98)," ",Character!N98)</f>
        <v xml:space="preserve"> </v>
      </c>
      <c r="O1660" t="str">
        <f>IF(ISBLANK(Character!O98)," ",Character!O98)</f>
        <v xml:space="preserve"> </v>
      </c>
      <c r="P1660" t="str">
        <f>IF(ISBLANK(Character!P98)," ",Character!P98)</f>
        <v xml:space="preserve"> </v>
      </c>
    </row>
    <row r="1661" spans="1:16" x14ac:dyDescent="0.2">
      <c r="A1661" s="460" t="str">
        <f>CONCATENATE(Posessions!A37,"|",Posessions!B37,"|",Posessions!C37,"|",Posessions!D37)</f>
        <v>|||</v>
      </c>
      <c r="B1661" t="str">
        <f>IF(ISBLANK(Character!B99)," ",Character!B99)</f>
        <v xml:space="preserve"> </v>
      </c>
      <c r="C1661" t="str">
        <f>IF(ISBLANK(Character!C99)," ",Character!C99)</f>
        <v xml:space="preserve"> </v>
      </c>
      <c r="D1661" t="str">
        <f>IF(ISBLANK(Character!D99)," ",Character!D99)</f>
        <v xml:space="preserve"> </v>
      </c>
      <c r="E1661" t="str">
        <f>IF(ISBLANK(Character!E99)," ",Character!E99)</f>
        <v xml:space="preserve"> </v>
      </c>
      <c r="F1661" t="str">
        <f>IF(ISBLANK(Character!F99)," ",Character!F99)</f>
        <v xml:space="preserve"> </v>
      </c>
      <c r="G1661" t="str">
        <f>IF(ISBLANK(Character!G99)," ",Character!G99)</f>
        <v xml:space="preserve"> </v>
      </c>
      <c r="H1661" t="str">
        <f>IF(ISBLANK(Character!H99)," ",Character!H99)</f>
        <v xml:space="preserve"> </v>
      </c>
      <c r="I1661" t="str">
        <f>IF(ISBLANK(Character!I99)," ",Character!I99)</f>
        <v xml:space="preserve"> </v>
      </c>
      <c r="J1661" t="str">
        <f>IF(ISBLANK(Character!J99)," ",Character!J99)</f>
        <v xml:space="preserve"> </v>
      </c>
      <c r="K1661" t="str">
        <f>IF(ISBLANK(Character!K99)," ",Character!K99)</f>
        <v xml:space="preserve"> </v>
      </c>
      <c r="L1661" t="str">
        <f>IF(ISBLANK(Character!L99)," ",Character!L99)</f>
        <v xml:space="preserve"> </v>
      </c>
      <c r="M1661" t="str">
        <f>IF(ISBLANK(Character!M99)," ",Character!M99)</f>
        <v xml:space="preserve"> </v>
      </c>
      <c r="N1661" t="str">
        <f>IF(ISBLANK(Character!N99)," ",Character!N99)</f>
        <v xml:space="preserve"> </v>
      </c>
      <c r="O1661" t="str">
        <f>IF(ISBLANK(Character!O99)," ",Character!O99)</f>
        <v xml:space="preserve"> </v>
      </c>
      <c r="P1661" t="str">
        <f>IF(ISBLANK(Character!P99)," ",Character!P99)</f>
        <v xml:space="preserve"> </v>
      </c>
    </row>
    <row r="1662" spans="1:16" x14ac:dyDescent="0.2">
      <c r="A1662" s="460" t="str">
        <f>CONCATENATE(Posessions!A38,"|",Posessions!B38,"|",Posessions!C38,"|",Posessions!D38)</f>
        <v>|||</v>
      </c>
      <c r="B1662" t="str">
        <f>IF(ISBLANK(Character!B100)," ",Character!B100)</f>
        <v xml:space="preserve"> </v>
      </c>
      <c r="C1662" t="str">
        <f>IF(ISBLANK(Character!C100)," ",Character!C100)</f>
        <v xml:space="preserve"> </v>
      </c>
      <c r="D1662" t="str">
        <f>IF(ISBLANK(Character!D100)," ",Character!D100)</f>
        <v xml:space="preserve"> </v>
      </c>
      <c r="E1662" t="str">
        <f>IF(ISBLANK(Character!E100)," ",Character!E100)</f>
        <v xml:space="preserve"> </v>
      </c>
      <c r="F1662" t="str">
        <f>IF(ISBLANK(Character!F100)," ",Character!F100)</f>
        <v xml:space="preserve"> </v>
      </c>
      <c r="G1662" t="str">
        <f>IF(ISBLANK(Character!G100)," ",Character!G100)</f>
        <v xml:space="preserve"> </v>
      </c>
      <c r="H1662" t="str">
        <f>IF(ISBLANK(Character!H100)," ",Character!H100)</f>
        <v xml:space="preserve"> </v>
      </c>
      <c r="I1662" t="str">
        <f>IF(ISBLANK(Character!I100)," ",Character!I100)</f>
        <v xml:space="preserve"> </v>
      </c>
      <c r="J1662" t="str">
        <f>IF(ISBLANK(Character!J100)," ",Character!J100)</f>
        <v xml:space="preserve"> </v>
      </c>
      <c r="K1662" t="str">
        <f>IF(ISBLANK(Character!K100)," ",Character!K100)</f>
        <v xml:space="preserve"> </v>
      </c>
      <c r="L1662" t="str">
        <f>IF(ISBLANK(Character!L100)," ",Character!L100)</f>
        <v xml:space="preserve"> </v>
      </c>
      <c r="M1662" t="str">
        <f>IF(ISBLANK(Character!M100)," ",Character!M100)</f>
        <v xml:space="preserve"> </v>
      </c>
      <c r="N1662" t="str">
        <f>IF(ISBLANK(Character!N100)," ",Character!N100)</f>
        <v xml:space="preserve"> </v>
      </c>
      <c r="O1662" t="str">
        <f>IF(ISBLANK(Character!O100)," ",Character!O100)</f>
        <v xml:space="preserve"> </v>
      </c>
      <c r="P1662" t="str">
        <f>IF(ISBLANK(Character!P100)," ",Character!P100)</f>
        <v xml:space="preserve"> </v>
      </c>
    </row>
    <row r="1663" spans="1:16" x14ac:dyDescent="0.2">
      <c r="A1663" s="460" t="str">
        <f>CONCATENATE(Posessions!A39,"|",Posessions!B39,"|",Posessions!C39,"|",Posessions!D39)</f>
        <v>|||</v>
      </c>
      <c r="B1663" t="str">
        <f>IF(ISBLANK(Character!B101)," ",Character!B101)</f>
        <v xml:space="preserve"> </v>
      </c>
      <c r="C1663" t="str">
        <f>IF(ISBLANK(Character!C101)," ",Character!C101)</f>
        <v xml:space="preserve"> </v>
      </c>
      <c r="D1663" t="str">
        <f>IF(ISBLANK(Character!D101)," ",Character!D101)</f>
        <v xml:space="preserve"> </v>
      </c>
      <c r="E1663" t="str">
        <f>IF(ISBLANK(Character!E101)," ",Character!E101)</f>
        <v xml:space="preserve"> </v>
      </c>
      <c r="F1663" t="str">
        <f>IF(ISBLANK(Character!F101)," ",Character!F101)</f>
        <v xml:space="preserve"> </v>
      </c>
      <c r="G1663" t="str">
        <f>IF(ISBLANK(Character!G101)," ",Character!G101)</f>
        <v xml:space="preserve"> </v>
      </c>
      <c r="H1663" t="str">
        <f>IF(ISBLANK(Character!H101)," ",Character!H101)</f>
        <v xml:space="preserve"> </v>
      </c>
      <c r="I1663" t="str">
        <f>IF(ISBLANK(Character!I101)," ",Character!I101)</f>
        <v xml:space="preserve"> </v>
      </c>
      <c r="J1663" t="str">
        <f>IF(ISBLANK(Character!J101)," ",Character!J101)</f>
        <v xml:space="preserve"> </v>
      </c>
      <c r="K1663" t="str">
        <f>IF(ISBLANK(Character!K101)," ",Character!K101)</f>
        <v xml:space="preserve"> </v>
      </c>
      <c r="L1663" t="str">
        <f>IF(ISBLANK(Character!L101)," ",Character!L101)</f>
        <v xml:space="preserve"> </v>
      </c>
      <c r="M1663" t="str">
        <f>IF(ISBLANK(Character!M101)," ",Character!M101)</f>
        <v xml:space="preserve"> </v>
      </c>
      <c r="N1663" t="str">
        <f>IF(ISBLANK(Character!N101)," ",Character!N101)</f>
        <v xml:space="preserve"> </v>
      </c>
      <c r="O1663" t="str">
        <f>IF(ISBLANK(Character!O101)," ",Character!O101)</f>
        <v xml:space="preserve"> </v>
      </c>
      <c r="P1663" t="str">
        <f>IF(ISBLANK(Character!P101)," ",Character!P101)</f>
        <v xml:space="preserve"> </v>
      </c>
    </row>
    <row r="1664" spans="1:16" x14ac:dyDescent="0.2">
      <c r="A1664" s="460" t="str">
        <f>CONCATENATE(Posessions!A40,"|",Posessions!B40,"|",Posessions!C40,"|",Posessions!D40)</f>
        <v>|||</v>
      </c>
      <c r="B1664" t="str">
        <f>IF(ISBLANK(Character!B102)," ",Character!B102)</f>
        <v xml:space="preserve"> </v>
      </c>
      <c r="C1664" t="str">
        <f>IF(ISBLANK(Character!C102)," ",Character!C102)</f>
        <v xml:space="preserve"> </v>
      </c>
      <c r="D1664" t="str">
        <f>IF(ISBLANK(Character!D102)," ",Character!D102)</f>
        <v xml:space="preserve"> </v>
      </c>
      <c r="E1664" t="str">
        <f>IF(ISBLANK(Character!E102)," ",Character!E102)</f>
        <v xml:space="preserve"> </v>
      </c>
      <c r="F1664" t="str">
        <f>IF(ISBLANK(Character!F102)," ",Character!F102)</f>
        <v xml:space="preserve"> </v>
      </c>
      <c r="G1664" t="str">
        <f>IF(ISBLANK(Character!G102)," ",Character!G102)</f>
        <v xml:space="preserve"> </v>
      </c>
      <c r="H1664" t="str">
        <f>IF(ISBLANK(Character!H102)," ",Character!H102)</f>
        <v xml:space="preserve"> </v>
      </c>
      <c r="I1664" t="str">
        <f>IF(ISBLANK(Character!I102)," ",Character!I102)</f>
        <v xml:space="preserve"> </v>
      </c>
      <c r="J1664" t="str">
        <f>IF(ISBLANK(Character!J102)," ",Character!J102)</f>
        <v xml:space="preserve"> </v>
      </c>
      <c r="K1664" t="str">
        <f>IF(ISBLANK(Character!K102)," ",Character!K102)</f>
        <v xml:space="preserve"> </v>
      </c>
      <c r="L1664" t="str">
        <f>IF(ISBLANK(Character!L102)," ",Character!L102)</f>
        <v xml:space="preserve"> </v>
      </c>
      <c r="M1664" t="str">
        <f>IF(ISBLANK(Character!M102)," ",Character!M102)</f>
        <v xml:space="preserve"> </v>
      </c>
      <c r="N1664" t="str">
        <f>IF(ISBLANK(Character!N102)," ",Character!N102)</f>
        <v xml:space="preserve"> </v>
      </c>
      <c r="O1664" t="str">
        <f>IF(ISBLANK(Character!O102)," ",Character!O102)</f>
        <v xml:space="preserve"> </v>
      </c>
      <c r="P1664" t="str">
        <f>IF(ISBLANK(Character!P102)," ",Character!P102)</f>
        <v xml:space="preserve"> </v>
      </c>
    </row>
    <row r="1665" spans="1:16" x14ac:dyDescent="0.2">
      <c r="A1665" s="460" t="str">
        <f>CONCATENATE(Posessions!A41,"|",Posessions!B41,"|",Posessions!C41,"|",Posessions!D41)</f>
        <v>|||</v>
      </c>
      <c r="B1665" t="str">
        <f>IF(ISBLANK(Character!B103)," ",Character!B103)</f>
        <v xml:space="preserve"> </v>
      </c>
      <c r="C1665" t="str">
        <f>IF(ISBLANK(Character!C103)," ",Character!C103)</f>
        <v xml:space="preserve"> </v>
      </c>
      <c r="D1665" t="str">
        <f>IF(ISBLANK(Character!D103)," ",Character!D103)</f>
        <v xml:space="preserve"> </v>
      </c>
      <c r="E1665" t="str">
        <f>IF(ISBLANK(Character!E103)," ",Character!E103)</f>
        <v xml:space="preserve"> </v>
      </c>
      <c r="F1665" t="str">
        <f>IF(ISBLANK(Character!F103)," ",Character!F103)</f>
        <v xml:space="preserve"> </v>
      </c>
      <c r="G1665" t="str">
        <f>IF(ISBLANK(Character!G103)," ",Character!G103)</f>
        <v xml:space="preserve"> </v>
      </c>
      <c r="H1665" t="str">
        <f>IF(ISBLANK(Character!H103)," ",Character!H103)</f>
        <v xml:space="preserve"> </v>
      </c>
      <c r="I1665" t="str">
        <f>IF(ISBLANK(Character!I103)," ",Character!I103)</f>
        <v xml:space="preserve"> </v>
      </c>
      <c r="J1665" t="str">
        <f>IF(ISBLANK(Character!J103)," ",Character!J103)</f>
        <v xml:space="preserve"> </v>
      </c>
      <c r="K1665" t="str">
        <f>IF(ISBLANK(Character!K103)," ",Character!K103)</f>
        <v xml:space="preserve"> </v>
      </c>
      <c r="L1665" t="str">
        <f>IF(ISBLANK(Character!L103)," ",Character!L103)</f>
        <v xml:space="preserve"> </v>
      </c>
      <c r="M1665" t="str">
        <f>IF(ISBLANK(Character!M103)," ",Character!M103)</f>
        <v xml:space="preserve"> </v>
      </c>
      <c r="N1665" t="str">
        <f>IF(ISBLANK(Character!N103)," ",Character!N103)</f>
        <v xml:space="preserve"> </v>
      </c>
      <c r="O1665" t="str">
        <f>IF(ISBLANK(Character!O103)," ",Character!O103)</f>
        <v xml:space="preserve"> </v>
      </c>
      <c r="P1665" t="str">
        <f>IF(ISBLANK(Character!P103)," ",Character!P103)</f>
        <v xml:space="preserve"> </v>
      </c>
    </row>
    <row r="1666" spans="1:16" x14ac:dyDescent="0.2">
      <c r="A1666" s="460" t="str">
        <f>CONCATENATE(Posessions!A42,"|",Posessions!B42,"|",Posessions!C42,"|",Posessions!D42)</f>
        <v>|||</v>
      </c>
      <c r="B1666" t="str">
        <f>IF(ISBLANK(Character!B104)," ",Character!B104)</f>
        <v xml:space="preserve"> </v>
      </c>
      <c r="C1666" t="str">
        <f>IF(ISBLANK(Character!C104)," ",Character!C104)</f>
        <v xml:space="preserve"> </v>
      </c>
      <c r="D1666" t="str">
        <f>IF(ISBLANK(Character!D104)," ",Character!D104)</f>
        <v xml:space="preserve"> </v>
      </c>
      <c r="E1666" t="str">
        <f>IF(ISBLANK(Character!E104)," ",Character!E104)</f>
        <v xml:space="preserve"> </v>
      </c>
      <c r="F1666" t="str">
        <f>IF(ISBLANK(Character!F104)," ",Character!F104)</f>
        <v xml:space="preserve"> </v>
      </c>
      <c r="G1666" t="str">
        <f>IF(ISBLANK(Character!G104)," ",Character!G104)</f>
        <v xml:space="preserve"> </v>
      </c>
      <c r="H1666" t="str">
        <f>IF(ISBLANK(Character!H104)," ",Character!H104)</f>
        <v xml:space="preserve"> </v>
      </c>
      <c r="I1666" t="str">
        <f>IF(ISBLANK(Character!I104)," ",Character!I104)</f>
        <v xml:space="preserve"> </v>
      </c>
      <c r="J1666" t="str">
        <f>IF(ISBLANK(Character!J104)," ",Character!J104)</f>
        <v xml:space="preserve"> </v>
      </c>
      <c r="K1666" t="str">
        <f>IF(ISBLANK(Character!K104)," ",Character!K104)</f>
        <v xml:space="preserve"> </v>
      </c>
      <c r="L1666" t="str">
        <f>IF(ISBLANK(Character!L104)," ",Character!L104)</f>
        <v xml:space="preserve"> </v>
      </c>
      <c r="M1666" t="str">
        <f>IF(ISBLANK(Character!M104)," ",Character!M104)</f>
        <v xml:space="preserve"> </v>
      </c>
      <c r="N1666" t="str">
        <f>IF(ISBLANK(Character!N104)," ",Character!N104)</f>
        <v xml:space="preserve"> </v>
      </c>
      <c r="O1666" t="str">
        <f>IF(ISBLANK(Character!O104)," ",Character!O104)</f>
        <v xml:space="preserve"> </v>
      </c>
      <c r="P1666" t="str">
        <f>IF(ISBLANK(Character!P104)," ",Character!P104)</f>
        <v xml:space="preserve"> </v>
      </c>
    </row>
    <row r="1667" spans="1:16" x14ac:dyDescent="0.2">
      <c r="A1667" s="460" t="str">
        <f>CONCATENATE(Posessions!A43,"|",Posessions!B43,"|",Posessions!C43,"|",Posessions!D43)</f>
        <v>|||</v>
      </c>
      <c r="B1667" t="str">
        <f>IF(ISBLANK(Character!B105)," ",Character!B105)</f>
        <v xml:space="preserve"> </v>
      </c>
      <c r="C1667" t="str">
        <f>IF(ISBLANK(Character!C105)," ",Character!C105)</f>
        <v xml:space="preserve"> </v>
      </c>
      <c r="D1667" t="str">
        <f>IF(ISBLANK(Character!D105)," ",Character!D105)</f>
        <v xml:space="preserve"> </v>
      </c>
      <c r="E1667" t="str">
        <f>IF(ISBLANK(Character!E105)," ",Character!E105)</f>
        <v xml:space="preserve"> </v>
      </c>
      <c r="F1667" t="str">
        <f>IF(ISBLANK(Character!F105)," ",Character!F105)</f>
        <v xml:space="preserve"> </v>
      </c>
      <c r="G1667" t="str">
        <f>IF(ISBLANK(Character!G105)," ",Character!G105)</f>
        <v xml:space="preserve"> </v>
      </c>
      <c r="H1667" t="str">
        <f>IF(ISBLANK(Character!H105)," ",Character!H105)</f>
        <v xml:space="preserve"> </v>
      </c>
      <c r="I1667" t="str">
        <f>IF(ISBLANK(Character!I105)," ",Character!I105)</f>
        <v xml:space="preserve"> </v>
      </c>
      <c r="J1667" t="str">
        <f>IF(ISBLANK(Character!J105)," ",Character!J105)</f>
        <v xml:space="preserve"> </v>
      </c>
      <c r="K1667" t="str">
        <f>IF(ISBLANK(Character!K105)," ",Character!K105)</f>
        <v xml:space="preserve"> </v>
      </c>
      <c r="L1667" t="str">
        <f>IF(ISBLANK(Character!L105)," ",Character!L105)</f>
        <v xml:space="preserve"> </v>
      </c>
      <c r="M1667" t="str">
        <f>IF(ISBLANK(Character!M105)," ",Character!M105)</f>
        <v xml:space="preserve"> </v>
      </c>
      <c r="N1667" t="str">
        <f>IF(ISBLANK(Character!N105)," ",Character!N105)</f>
        <v xml:space="preserve"> </v>
      </c>
      <c r="O1667" t="str">
        <f>IF(ISBLANK(Character!O105)," ",Character!O105)</f>
        <v xml:space="preserve"> </v>
      </c>
      <c r="P1667" t="str">
        <f>IF(ISBLANK(Character!P105)," ",Character!P105)</f>
        <v xml:space="preserve"> </v>
      </c>
    </row>
    <row r="1668" spans="1:16" x14ac:dyDescent="0.2">
      <c r="A1668" s="460" t="str">
        <f>CONCATENATE(Posessions!A44,"|",Posessions!B44,"|",Posessions!C44,"|",Posessions!D44)</f>
        <v>|||</v>
      </c>
      <c r="B1668" t="str">
        <f>IF(ISBLANK(Character!B106)," ",Character!B106)</f>
        <v xml:space="preserve"> </v>
      </c>
      <c r="C1668" t="str">
        <f>IF(ISBLANK(Character!C106)," ",Character!C106)</f>
        <v xml:space="preserve"> </v>
      </c>
      <c r="D1668" t="str">
        <f>IF(ISBLANK(Character!D106)," ",Character!D106)</f>
        <v xml:space="preserve"> </v>
      </c>
      <c r="E1668" t="str">
        <f>IF(ISBLANK(Character!E106)," ",Character!E106)</f>
        <v xml:space="preserve"> </v>
      </c>
      <c r="F1668" t="str">
        <f>IF(ISBLANK(Character!F106)," ",Character!F106)</f>
        <v xml:space="preserve"> </v>
      </c>
      <c r="G1668" t="str">
        <f>IF(ISBLANK(Character!G106)," ",Character!G106)</f>
        <v xml:space="preserve"> </v>
      </c>
      <c r="H1668" t="str">
        <f>IF(ISBLANK(Character!H106)," ",Character!H106)</f>
        <v xml:space="preserve"> </v>
      </c>
      <c r="I1668" t="str">
        <f>IF(ISBLANK(Character!I106)," ",Character!I106)</f>
        <v xml:space="preserve"> </v>
      </c>
      <c r="J1668" t="str">
        <f>IF(ISBLANK(Character!J106)," ",Character!J106)</f>
        <v xml:space="preserve"> </v>
      </c>
      <c r="K1668" t="str">
        <f>IF(ISBLANK(Character!K106)," ",Character!K106)</f>
        <v xml:space="preserve"> </v>
      </c>
      <c r="L1668" t="str">
        <f>IF(ISBLANK(Character!L106)," ",Character!L106)</f>
        <v xml:space="preserve"> </v>
      </c>
      <c r="M1668" t="str">
        <f>IF(ISBLANK(Character!M106)," ",Character!M106)</f>
        <v xml:space="preserve"> </v>
      </c>
      <c r="N1668" t="str">
        <f>IF(ISBLANK(Character!N106)," ",Character!N106)</f>
        <v xml:space="preserve"> </v>
      </c>
      <c r="O1668" t="str">
        <f>IF(ISBLANK(Character!O106)," ",Character!O106)</f>
        <v xml:space="preserve"> </v>
      </c>
      <c r="P1668" t="str">
        <f>IF(ISBLANK(Character!P106)," ",Character!P106)</f>
        <v xml:space="preserve"> </v>
      </c>
    </row>
    <row r="1669" spans="1:16" x14ac:dyDescent="0.2">
      <c r="A1669" s="460" t="str">
        <f>CONCATENATE(Posessions!A45,"|",Posessions!B45,"|",Posessions!C45,"|",Posessions!D45)</f>
        <v>|||</v>
      </c>
      <c r="B1669" t="str">
        <f>IF(ISBLANK(Character!B107)," ",Character!B107)</f>
        <v xml:space="preserve"> </v>
      </c>
      <c r="C1669" t="str">
        <f>IF(ISBLANK(Character!C107)," ",Character!C107)</f>
        <v xml:space="preserve"> </v>
      </c>
      <c r="D1669" t="str">
        <f>IF(ISBLANK(Character!D107)," ",Character!D107)</f>
        <v xml:space="preserve"> </v>
      </c>
      <c r="E1669" t="str">
        <f>IF(ISBLANK(Character!E107)," ",Character!E107)</f>
        <v xml:space="preserve"> </v>
      </c>
      <c r="F1669" t="str">
        <f>IF(ISBLANK(Character!F107)," ",Character!F107)</f>
        <v xml:space="preserve"> </v>
      </c>
      <c r="G1669" t="str">
        <f>IF(ISBLANK(Character!G107)," ",Character!G107)</f>
        <v xml:space="preserve"> </v>
      </c>
      <c r="H1669" t="str">
        <f>IF(ISBLANK(Character!H107)," ",Character!H107)</f>
        <v xml:space="preserve"> </v>
      </c>
      <c r="I1669" t="str">
        <f>IF(ISBLANK(Character!I107)," ",Character!I107)</f>
        <v xml:space="preserve"> </v>
      </c>
      <c r="J1669" t="str">
        <f>IF(ISBLANK(Character!J107)," ",Character!J107)</f>
        <v xml:space="preserve"> </v>
      </c>
      <c r="K1669" t="str">
        <f>IF(ISBLANK(Character!K107)," ",Character!K107)</f>
        <v xml:space="preserve"> </v>
      </c>
      <c r="L1669" t="str">
        <f>IF(ISBLANK(Character!L107)," ",Character!L107)</f>
        <v xml:space="preserve"> </v>
      </c>
      <c r="M1669" t="str">
        <f>IF(ISBLANK(Character!M107)," ",Character!M107)</f>
        <v xml:space="preserve"> </v>
      </c>
      <c r="N1669" t="str">
        <f>IF(ISBLANK(Character!N107)," ",Character!N107)</f>
        <v xml:space="preserve"> </v>
      </c>
      <c r="O1669" t="str">
        <f>IF(ISBLANK(Character!O107)," ",Character!O107)</f>
        <v xml:space="preserve"> </v>
      </c>
      <c r="P1669" t="str">
        <f>IF(ISBLANK(Character!P107)," ",Character!P107)</f>
        <v xml:space="preserve"> </v>
      </c>
    </row>
    <row r="1670" spans="1:16" x14ac:dyDescent="0.2">
      <c r="A1670" s="460" t="str">
        <f>CONCATENATE(Posessions!A46,"|",Posessions!B46,"|",Posessions!C46,"|",Posessions!D46)</f>
        <v>|||</v>
      </c>
      <c r="B1670" t="str">
        <f>IF(ISBLANK(Character!B108)," ",Character!B108)</f>
        <v xml:space="preserve"> </v>
      </c>
      <c r="C1670" t="str">
        <f>IF(ISBLANK(Character!C108)," ",Character!C108)</f>
        <v xml:space="preserve"> </v>
      </c>
      <c r="D1670" t="str">
        <f>IF(ISBLANK(Character!D108)," ",Character!D108)</f>
        <v xml:space="preserve"> </v>
      </c>
      <c r="E1670" t="str">
        <f>IF(ISBLANK(Character!E108)," ",Character!E108)</f>
        <v xml:space="preserve"> </v>
      </c>
      <c r="F1670" t="str">
        <f>IF(ISBLANK(Character!F108)," ",Character!F108)</f>
        <v xml:space="preserve"> </v>
      </c>
      <c r="G1670" t="str">
        <f>IF(ISBLANK(Character!G108)," ",Character!G108)</f>
        <v xml:space="preserve"> </v>
      </c>
      <c r="H1670" t="str">
        <f>IF(ISBLANK(Character!H108)," ",Character!H108)</f>
        <v xml:space="preserve"> </v>
      </c>
      <c r="I1670" t="str">
        <f>IF(ISBLANK(Character!I108)," ",Character!I108)</f>
        <v xml:space="preserve"> </v>
      </c>
      <c r="J1670" t="str">
        <f>IF(ISBLANK(Character!J108)," ",Character!J108)</f>
        <v xml:space="preserve"> </v>
      </c>
      <c r="K1670" t="str">
        <f>IF(ISBLANK(Character!K108)," ",Character!K108)</f>
        <v xml:space="preserve"> </v>
      </c>
      <c r="L1670" t="str">
        <f>IF(ISBLANK(Character!L108)," ",Character!L108)</f>
        <v xml:space="preserve"> </v>
      </c>
      <c r="M1670" t="str">
        <f>IF(ISBLANK(Character!M108)," ",Character!M108)</f>
        <v xml:space="preserve"> </v>
      </c>
      <c r="N1670" t="str">
        <f>IF(ISBLANK(Character!N108)," ",Character!N108)</f>
        <v xml:space="preserve"> </v>
      </c>
      <c r="O1670" t="str">
        <f>IF(ISBLANK(Character!O108)," ",Character!O108)</f>
        <v xml:space="preserve"> </v>
      </c>
      <c r="P1670" t="str">
        <f>IF(ISBLANK(Character!P108)," ",Character!P108)</f>
        <v xml:space="preserve"> </v>
      </c>
    </row>
    <row r="1671" spans="1:16" x14ac:dyDescent="0.2">
      <c r="A1671" s="460" t="str">
        <f>CONCATENATE(Posessions!A47,"|",Posessions!B47,"|",Posessions!C47,"|",Posessions!D47)</f>
        <v>|||</v>
      </c>
      <c r="B1671" t="str">
        <f>IF(ISBLANK(Character!B109)," ",Character!B109)</f>
        <v xml:space="preserve"> </v>
      </c>
      <c r="C1671" t="str">
        <f>IF(ISBLANK(Character!C109)," ",Character!C109)</f>
        <v xml:space="preserve"> </v>
      </c>
      <c r="D1671" t="str">
        <f>IF(ISBLANK(Character!D109)," ",Character!D109)</f>
        <v xml:space="preserve"> </v>
      </c>
      <c r="E1671" t="str">
        <f>IF(ISBLANK(Character!E109)," ",Character!E109)</f>
        <v xml:space="preserve"> </v>
      </c>
      <c r="F1671" t="str">
        <f>IF(ISBLANK(Character!F109)," ",Character!F109)</f>
        <v xml:space="preserve"> </v>
      </c>
      <c r="G1671" t="str">
        <f>IF(ISBLANK(Character!G109)," ",Character!G109)</f>
        <v xml:space="preserve"> </v>
      </c>
      <c r="H1671" t="str">
        <f>IF(ISBLANK(Character!H109)," ",Character!H109)</f>
        <v xml:space="preserve"> </v>
      </c>
      <c r="I1671" t="str">
        <f>IF(ISBLANK(Character!I109)," ",Character!I109)</f>
        <v xml:space="preserve"> </v>
      </c>
      <c r="J1671" t="str">
        <f>IF(ISBLANK(Character!J109)," ",Character!J109)</f>
        <v xml:space="preserve"> </v>
      </c>
      <c r="K1671" t="str">
        <f>IF(ISBLANK(Character!K109)," ",Character!K109)</f>
        <v xml:space="preserve"> </v>
      </c>
      <c r="L1671" t="str">
        <f>IF(ISBLANK(Character!L109)," ",Character!L109)</f>
        <v xml:space="preserve"> </v>
      </c>
      <c r="M1671" t="str">
        <f>IF(ISBLANK(Character!M109)," ",Character!M109)</f>
        <v xml:space="preserve"> </v>
      </c>
      <c r="N1671" t="str">
        <f>IF(ISBLANK(Character!N109)," ",Character!N109)</f>
        <v xml:space="preserve"> </v>
      </c>
      <c r="O1671" t="str">
        <f>IF(ISBLANK(Character!O109)," ",Character!O109)</f>
        <v xml:space="preserve"> </v>
      </c>
      <c r="P1671" t="str">
        <f>IF(ISBLANK(Character!P109)," ",Character!P109)</f>
        <v xml:space="preserve"> </v>
      </c>
    </row>
    <row r="1672" spans="1:16" x14ac:dyDescent="0.2">
      <c r="A1672" s="460" t="str">
        <f>CONCATENATE(Posessions!A48,"|",Posessions!B48,"|",Posessions!C48,"|",Posessions!D48)</f>
        <v>|||</v>
      </c>
      <c r="B1672" t="str">
        <f>IF(ISBLANK(Character!B110)," ",Character!B110)</f>
        <v xml:space="preserve"> </v>
      </c>
      <c r="C1672" t="str">
        <f>IF(ISBLANK(Character!C110)," ",Character!C110)</f>
        <v xml:space="preserve"> </v>
      </c>
      <c r="D1672" t="str">
        <f>IF(ISBLANK(Character!D110)," ",Character!D110)</f>
        <v xml:space="preserve"> </v>
      </c>
      <c r="E1672" t="str">
        <f>IF(ISBLANK(Character!E110)," ",Character!E110)</f>
        <v xml:space="preserve"> </v>
      </c>
      <c r="F1672" t="str">
        <f>IF(ISBLANK(Character!F110)," ",Character!F110)</f>
        <v xml:space="preserve"> </v>
      </c>
      <c r="G1672" t="str">
        <f>IF(ISBLANK(Character!G110)," ",Character!G110)</f>
        <v xml:space="preserve"> </v>
      </c>
      <c r="H1672" t="str">
        <f>IF(ISBLANK(Character!H110)," ",Character!H110)</f>
        <v xml:space="preserve"> </v>
      </c>
      <c r="I1672" t="str">
        <f>IF(ISBLANK(Character!I110)," ",Character!I110)</f>
        <v xml:space="preserve"> </v>
      </c>
      <c r="J1672" t="str">
        <f>IF(ISBLANK(Character!J110)," ",Character!J110)</f>
        <v xml:space="preserve"> </v>
      </c>
      <c r="K1672" t="str">
        <f>IF(ISBLANK(Character!K110)," ",Character!K110)</f>
        <v xml:space="preserve"> </v>
      </c>
      <c r="L1672" t="str">
        <f>IF(ISBLANK(Character!L110)," ",Character!L110)</f>
        <v xml:space="preserve"> </v>
      </c>
      <c r="M1672" t="str">
        <f>IF(ISBLANK(Character!M110)," ",Character!M110)</f>
        <v xml:space="preserve"> </v>
      </c>
      <c r="N1672" t="str">
        <f>IF(ISBLANK(Character!N110)," ",Character!N110)</f>
        <v xml:space="preserve"> </v>
      </c>
      <c r="O1672" t="str">
        <f>IF(ISBLANK(Character!O110)," ",Character!O110)</f>
        <v xml:space="preserve"> </v>
      </c>
      <c r="P1672" t="str">
        <f>IF(ISBLANK(Character!P110)," ",Character!P110)</f>
        <v xml:space="preserve"> </v>
      </c>
    </row>
    <row r="1673" spans="1:16" x14ac:dyDescent="0.2">
      <c r="A1673" s="460" t="str">
        <f>CONCATENATE(Posessions!A49,"|",Posessions!B49,"|",Posessions!C49,"|",Posessions!D49)</f>
        <v>|||</v>
      </c>
      <c r="B1673" t="str">
        <f>IF(ISBLANK(Character!B111)," ",Character!B111)</f>
        <v xml:space="preserve"> </v>
      </c>
      <c r="C1673" t="str">
        <f>IF(ISBLANK(Character!C111)," ",Character!C111)</f>
        <v xml:space="preserve"> </v>
      </c>
      <c r="D1673" t="str">
        <f>IF(ISBLANK(Character!D111)," ",Character!D111)</f>
        <v xml:space="preserve"> </v>
      </c>
      <c r="E1673" t="str">
        <f>IF(ISBLANK(Character!E111)," ",Character!E111)</f>
        <v xml:space="preserve"> </v>
      </c>
      <c r="F1673" t="str">
        <f>IF(ISBLANK(Character!F111)," ",Character!F111)</f>
        <v xml:space="preserve"> </v>
      </c>
      <c r="G1673" t="str">
        <f>IF(ISBLANK(Character!G111)," ",Character!G111)</f>
        <v xml:space="preserve"> </v>
      </c>
      <c r="H1673" t="str">
        <f>IF(ISBLANK(Character!H111)," ",Character!H111)</f>
        <v xml:space="preserve"> </v>
      </c>
      <c r="I1673" t="str">
        <f>IF(ISBLANK(Character!I111)," ",Character!I111)</f>
        <v xml:space="preserve"> </v>
      </c>
      <c r="J1673" t="str">
        <f>IF(ISBLANK(Character!J111)," ",Character!J111)</f>
        <v xml:space="preserve"> </v>
      </c>
      <c r="K1673" t="str">
        <f>IF(ISBLANK(Character!K111)," ",Character!K111)</f>
        <v xml:space="preserve"> </v>
      </c>
      <c r="L1673" t="str">
        <f>IF(ISBLANK(Character!L111)," ",Character!L111)</f>
        <v xml:space="preserve"> </v>
      </c>
      <c r="M1673" t="str">
        <f>IF(ISBLANK(Character!M111)," ",Character!M111)</f>
        <v xml:space="preserve"> </v>
      </c>
      <c r="N1673" t="str">
        <f>IF(ISBLANK(Character!N111)," ",Character!N111)</f>
        <v xml:space="preserve"> </v>
      </c>
      <c r="O1673" t="str">
        <f>IF(ISBLANK(Character!O111)," ",Character!O111)</f>
        <v xml:space="preserve"> </v>
      </c>
      <c r="P1673" t="str">
        <f>IF(ISBLANK(Character!P111)," ",Character!P111)</f>
        <v xml:space="preserve"> </v>
      </c>
    </row>
    <row r="1674" spans="1:16" x14ac:dyDescent="0.2">
      <c r="A1674" s="460" t="str">
        <f>CONCATENATE(Posessions!A50,"|",Posessions!B50,"|",Posessions!C50,"|",Posessions!D50)</f>
        <v>|||</v>
      </c>
      <c r="B1674" t="str">
        <f>IF(ISBLANK(Character!B112)," ",Character!B112)</f>
        <v xml:space="preserve"> </v>
      </c>
      <c r="C1674" t="str">
        <f>IF(ISBLANK(Character!C112)," ",Character!C112)</f>
        <v xml:space="preserve"> </v>
      </c>
      <c r="D1674" t="str">
        <f>IF(ISBLANK(Character!D112)," ",Character!D112)</f>
        <v xml:space="preserve"> </v>
      </c>
      <c r="E1674" t="str">
        <f>IF(ISBLANK(Character!E112)," ",Character!E112)</f>
        <v xml:space="preserve"> </v>
      </c>
      <c r="F1674" t="str">
        <f>IF(ISBLANK(Character!F112)," ",Character!F112)</f>
        <v xml:space="preserve"> </v>
      </c>
      <c r="G1674" t="str">
        <f>IF(ISBLANK(Character!G112)," ",Character!G112)</f>
        <v xml:space="preserve"> </v>
      </c>
      <c r="H1674" t="str">
        <f>IF(ISBLANK(Character!H112)," ",Character!H112)</f>
        <v xml:space="preserve"> </v>
      </c>
      <c r="I1674" t="str">
        <f>IF(ISBLANK(Character!I112)," ",Character!I112)</f>
        <v xml:space="preserve"> </v>
      </c>
      <c r="J1674" t="str">
        <f>IF(ISBLANK(Character!J112)," ",Character!J112)</f>
        <v xml:space="preserve"> </v>
      </c>
      <c r="K1674" t="str">
        <f>IF(ISBLANK(Character!K112)," ",Character!K112)</f>
        <v xml:space="preserve"> </v>
      </c>
      <c r="L1674" t="str">
        <f>IF(ISBLANK(Character!L112)," ",Character!L112)</f>
        <v xml:space="preserve"> </v>
      </c>
      <c r="M1674" t="str">
        <f>IF(ISBLANK(Character!M112)," ",Character!M112)</f>
        <v xml:space="preserve"> </v>
      </c>
      <c r="N1674" t="str">
        <f>IF(ISBLANK(Character!N112)," ",Character!N112)</f>
        <v xml:space="preserve"> </v>
      </c>
      <c r="O1674" t="str">
        <f>IF(ISBLANK(Character!O112)," ",Character!O112)</f>
        <v xml:space="preserve"> </v>
      </c>
      <c r="P1674" t="str">
        <f>IF(ISBLANK(Character!P112)," ",Character!P112)</f>
        <v xml:space="preserve"> </v>
      </c>
    </row>
    <row r="1675" spans="1:16" x14ac:dyDescent="0.2">
      <c r="A1675" s="460" t="str">
        <f>CONCATENATE(Posessions!A51,"|",Posessions!B51,"|",Posessions!C51,"|",Posessions!D51)</f>
        <v>|||</v>
      </c>
      <c r="B1675" t="str">
        <f>IF(ISBLANK(Character!B113)," ",Character!B113)</f>
        <v xml:space="preserve"> </v>
      </c>
      <c r="C1675" t="str">
        <f>IF(ISBLANK(Character!C113)," ",Character!C113)</f>
        <v xml:space="preserve"> </v>
      </c>
      <c r="D1675" t="str">
        <f>IF(ISBLANK(Character!D113)," ",Character!D113)</f>
        <v xml:space="preserve"> </v>
      </c>
      <c r="E1675" t="str">
        <f>IF(ISBLANK(Character!E113)," ",Character!E113)</f>
        <v xml:space="preserve"> </v>
      </c>
      <c r="F1675" t="str">
        <f>IF(ISBLANK(Character!F113)," ",Character!F113)</f>
        <v xml:space="preserve"> </v>
      </c>
      <c r="G1675" t="str">
        <f>IF(ISBLANK(Character!G113)," ",Character!G113)</f>
        <v xml:space="preserve"> </v>
      </c>
      <c r="H1675" t="str">
        <f>IF(ISBLANK(Character!H113)," ",Character!H113)</f>
        <v xml:space="preserve"> </v>
      </c>
      <c r="I1675" t="str">
        <f>IF(ISBLANK(Character!I113)," ",Character!I113)</f>
        <v xml:space="preserve"> </v>
      </c>
      <c r="J1675" t="str">
        <f>IF(ISBLANK(Character!J113)," ",Character!J113)</f>
        <v xml:space="preserve"> </v>
      </c>
      <c r="K1675" t="str">
        <f>IF(ISBLANK(Character!K113)," ",Character!K113)</f>
        <v xml:space="preserve"> </v>
      </c>
      <c r="L1675" t="str">
        <f>IF(ISBLANK(Character!L113)," ",Character!L113)</f>
        <v xml:space="preserve"> </v>
      </c>
      <c r="M1675" t="str">
        <f>IF(ISBLANK(Character!M113)," ",Character!M113)</f>
        <v xml:space="preserve"> </v>
      </c>
      <c r="N1675" t="str">
        <f>IF(ISBLANK(Character!N113)," ",Character!N113)</f>
        <v xml:space="preserve"> </v>
      </c>
      <c r="O1675" t="str">
        <f>IF(ISBLANK(Character!O113)," ",Character!O113)</f>
        <v xml:space="preserve"> </v>
      </c>
      <c r="P1675" t="str">
        <f>IF(ISBLANK(Character!P113)," ",Character!P113)</f>
        <v xml:space="preserve"> </v>
      </c>
    </row>
    <row r="1676" spans="1:16" x14ac:dyDescent="0.2">
      <c r="A1676" s="460" t="str">
        <f>CONCATENATE(Posessions!A52,"|",Posessions!B52,"|",Posessions!C52,"|",Posessions!D52)</f>
        <v>|||</v>
      </c>
      <c r="B1676" t="str">
        <f>IF(ISBLANK(Character!B114)," ",Character!B114)</f>
        <v xml:space="preserve"> </v>
      </c>
      <c r="C1676" t="str">
        <f>IF(ISBLANK(Character!C114)," ",Character!C114)</f>
        <v xml:space="preserve"> </v>
      </c>
      <c r="D1676" t="str">
        <f>IF(ISBLANK(Character!D114)," ",Character!D114)</f>
        <v xml:space="preserve"> </v>
      </c>
      <c r="E1676" t="str">
        <f>IF(ISBLANK(Character!E114)," ",Character!E114)</f>
        <v xml:space="preserve"> </v>
      </c>
      <c r="F1676" t="str">
        <f>IF(ISBLANK(Character!F114)," ",Character!F114)</f>
        <v xml:space="preserve"> </v>
      </c>
      <c r="G1676" t="str">
        <f>IF(ISBLANK(Character!G114)," ",Character!G114)</f>
        <v xml:space="preserve"> </v>
      </c>
      <c r="H1676" t="str">
        <f>IF(ISBLANK(Character!H114)," ",Character!H114)</f>
        <v xml:space="preserve"> </v>
      </c>
      <c r="I1676" t="str">
        <f>IF(ISBLANK(Character!I114)," ",Character!I114)</f>
        <v xml:space="preserve"> </v>
      </c>
      <c r="J1676" t="str">
        <f>IF(ISBLANK(Character!J114)," ",Character!J114)</f>
        <v xml:space="preserve"> </v>
      </c>
      <c r="K1676" t="str">
        <f>IF(ISBLANK(Character!K114)," ",Character!K114)</f>
        <v xml:space="preserve"> </v>
      </c>
      <c r="L1676" t="str">
        <f>IF(ISBLANK(Character!L114)," ",Character!L114)</f>
        <v xml:space="preserve"> </v>
      </c>
      <c r="M1676" t="str">
        <f>IF(ISBLANK(Character!M114)," ",Character!M114)</f>
        <v xml:space="preserve"> </v>
      </c>
      <c r="N1676" t="str">
        <f>IF(ISBLANK(Character!N114)," ",Character!N114)</f>
        <v xml:space="preserve"> </v>
      </c>
      <c r="O1676" t="str">
        <f>IF(ISBLANK(Character!O114)," ",Character!O114)</f>
        <v xml:space="preserve"> </v>
      </c>
      <c r="P1676" t="str">
        <f>IF(ISBLANK(Character!P114)," ",Character!P114)</f>
        <v xml:space="preserve"> </v>
      </c>
    </row>
    <row r="1677" spans="1:16" x14ac:dyDescent="0.2">
      <c r="A1677" s="460" t="str">
        <f>CONCATENATE(Posessions!A53,"|",Posessions!B53,"|",Posessions!C53,"|",Posessions!D53)</f>
        <v>|||</v>
      </c>
      <c r="B1677" t="str">
        <f>IF(ISBLANK(Character!B115)," ",Character!B115)</f>
        <v xml:space="preserve"> </v>
      </c>
      <c r="C1677" t="str">
        <f>IF(ISBLANK(Character!C115)," ",Character!C115)</f>
        <v xml:space="preserve"> </v>
      </c>
      <c r="D1677" t="str">
        <f>IF(ISBLANK(Character!D115)," ",Character!D115)</f>
        <v xml:space="preserve"> </v>
      </c>
      <c r="E1677" t="str">
        <f>IF(ISBLANK(Character!E115)," ",Character!E115)</f>
        <v xml:space="preserve"> </v>
      </c>
      <c r="F1677" t="str">
        <f>IF(ISBLANK(Character!F115)," ",Character!F115)</f>
        <v xml:space="preserve"> </v>
      </c>
      <c r="G1677" t="str">
        <f>IF(ISBLANK(Character!G115)," ",Character!G115)</f>
        <v xml:space="preserve"> </v>
      </c>
      <c r="H1677" t="str">
        <f>IF(ISBLANK(Character!H115)," ",Character!H115)</f>
        <v xml:space="preserve"> </v>
      </c>
      <c r="I1677" t="str">
        <f>IF(ISBLANK(Character!I115)," ",Character!I115)</f>
        <v xml:space="preserve"> </v>
      </c>
      <c r="J1677" t="str">
        <f>IF(ISBLANK(Character!J115)," ",Character!J115)</f>
        <v xml:space="preserve"> </v>
      </c>
      <c r="K1677" t="str">
        <f>IF(ISBLANK(Character!K115)," ",Character!K115)</f>
        <v xml:space="preserve"> </v>
      </c>
      <c r="L1677" t="str">
        <f>IF(ISBLANK(Character!L115)," ",Character!L115)</f>
        <v xml:space="preserve"> </v>
      </c>
      <c r="M1677" t="str">
        <f>IF(ISBLANK(Character!M115)," ",Character!M115)</f>
        <v xml:space="preserve"> </v>
      </c>
      <c r="N1677" t="str">
        <f>IF(ISBLANK(Character!N115)," ",Character!N115)</f>
        <v xml:space="preserve"> </v>
      </c>
      <c r="O1677" t="str">
        <f>IF(ISBLANK(Character!O115)," ",Character!O115)</f>
        <v xml:space="preserve"> </v>
      </c>
      <c r="P1677" t="str">
        <f>IF(ISBLANK(Character!P115)," ",Character!P115)</f>
        <v xml:space="preserve"> </v>
      </c>
    </row>
    <row r="1678" spans="1:16" x14ac:dyDescent="0.2">
      <c r="A1678" s="460" t="str">
        <f>CONCATENATE(Posessions!A54,"|",Posessions!B54,"|",Posessions!C54,"|",Posessions!D54)</f>
        <v>|||</v>
      </c>
      <c r="B1678" t="str">
        <f>IF(ISBLANK(Character!B116)," ",Character!B116)</f>
        <v xml:space="preserve"> </v>
      </c>
      <c r="C1678" t="str">
        <f>IF(ISBLANK(Character!C116)," ",Character!C116)</f>
        <v xml:space="preserve"> </v>
      </c>
      <c r="D1678" t="str">
        <f>IF(ISBLANK(Character!D116)," ",Character!D116)</f>
        <v xml:space="preserve"> </v>
      </c>
      <c r="E1678" t="str">
        <f>IF(ISBLANK(Character!E116)," ",Character!E116)</f>
        <v xml:space="preserve"> </v>
      </c>
      <c r="F1678" t="str">
        <f>IF(ISBLANK(Character!F116)," ",Character!F116)</f>
        <v xml:space="preserve"> </v>
      </c>
      <c r="G1678" t="str">
        <f>IF(ISBLANK(Character!G116)," ",Character!G116)</f>
        <v xml:space="preserve"> </v>
      </c>
      <c r="H1678" t="str">
        <f>IF(ISBLANK(Character!H116)," ",Character!H116)</f>
        <v xml:space="preserve"> </v>
      </c>
      <c r="I1678" t="str">
        <f>IF(ISBLANK(Character!I116)," ",Character!I116)</f>
        <v xml:space="preserve"> </v>
      </c>
      <c r="J1678" t="str">
        <f>IF(ISBLANK(Character!J116)," ",Character!J116)</f>
        <v xml:space="preserve"> </v>
      </c>
      <c r="K1678" t="str">
        <f>IF(ISBLANK(Character!K116)," ",Character!K116)</f>
        <v xml:space="preserve"> </v>
      </c>
      <c r="L1678" t="str">
        <f>IF(ISBLANK(Character!L116)," ",Character!L116)</f>
        <v xml:space="preserve"> </v>
      </c>
      <c r="M1678" t="str">
        <f>IF(ISBLANK(Character!M116)," ",Character!M116)</f>
        <v xml:space="preserve"> </v>
      </c>
      <c r="N1678" t="str">
        <f>IF(ISBLANK(Character!N116)," ",Character!N116)</f>
        <v xml:space="preserve"> </v>
      </c>
      <c r="O1678" t="str">
        <f>IF(ISBLANK(Character!O116)," ",Character!O116)</f>
        <v xml:space="preserve"> </v>
      </c>
      <c r="P1678" t="str">
        <f>IF(ISBLANK(Character!P116)," ",Character!P116)</f>
        <v xml:space="preserve"> </v>
      </c>
    </row>
    <row r="1679" spans="1:16" x14ac:dyDescent="0.2">
      <c r="A1679" s="460" t="str">
        <f>CONCATENATE(Posessions!A55,"|",Posessions!B55,"|",Posessions!C55,"|",Posessions!D55)</f>
        <v>|||</v>
      </c>
      <c r="B1679" t="str">
        <f>IF(ISBLANK(Character!B117)," ",Character!B117)</f>
        <v xml:space="preserve"> </v>
      </c>
      <c r="C1679" t="str">
        <f>IF(ISBLANK(Character!C117)," ",Character!C117)</f>
        <v xml:space="preserve"> </v>
      </c>
      <c r="D1679" t="str">
        <f>IF(ISBLANK(Character!D117)," ",Character!D117)</f>
        <v xml:space="preserve"> </v>
      </c>
      <c r="E1679" t="str">
        <f>IF(ISBLANK(Character!E117)," ",Character!E117)</f>
        <v xml:space="preserve"> </v>
      </c>
      <c r="F1679" t="str">
        <f>IF(ISBLANK(Character!F117)," ",Character!F117)</f>
        <v xml:space="preserve"> </v>
      </c>
      <c r="G1679" t="str">
        <f>IF(ISBLANK(Character!G117)," ",Character!G117)</f>
        <v xml:space="preserve"> </v>
      </c>
      <c r="H1679" t="str">
        <f>IF(ISBLANK(Character!H117)," ",Character!H117)</f>
        <v xml:space="preserve"> </v>
      </c>
      <c r="I1679" t="str">
        <f>IF(ISBLANK(Character!I117)," ",Character!I117)</f>
        <v xml:space="preserve"> </v>
      </c>
      <c r="J1679" t="str">
        <f>IF(ISBLANK(Character!J117)," ",Character!J117)</f>
        <v xml:space="preserve"> </v>
      </c>
      <c r="K1679" t="str">
        <f>IF(ISBLANK(Character!K117)," ",Character!K117)</f>
        <v xml:space="preserve"> </v>
      </c>
      <c r="L1679" t="str">
        <f>IF(ISBLANK(Character!L117)," ",Character!L117)</f>
        <v xml:space="preserve"> </v>
      </c>
      <c r="M1679" t="str">
        <f>IF(ISBLANK(Character!M117)," ",Character!M117)</f>
        <v xml:space="preserve"> </v>
      </c>
      <c r="N1679" t="str">
        <f>IF(ISBLANK(Character!N117)," ",Character!N117)</f>
        <v xml:space="preserve"> </v>
      </c>
      <c r="O1679" t="str">
        <f>IF(ISBLANK(Character!O117)," ",Character!O117)</f>
        <v xml:space="preserve"> </v>
      </c>
      <c r="P1679" t="str">
        <f>IF(ISBLANK(Character!P117)," ",Character!P117)</f>
        <v xml:space="preserve"> </v>
      </c>
    </row>
    <row r="1680" spans="1:16" x14ac:dyDescent="0.2">
      <c r="A1680" s="460" t="str">
        <f>CONCATENATE(Posessions!A56,"|",Posessions!B56,"|",Posessions!C56,"|",Posessions!D56)</f>
        <v>|||</v>
      </c>
      <c r="B1680" t="str">
        <f>IF(ISBLANK(Character!B118)," ",Character!B118)</f>
        <v xml:space="preserve"> </v>
      </c>
      <c r="C1680" t="str">
        <f>IF(ISBLANK(Character!C118)," ",Character!C118)</f>
        <v xml:space="preserve"> </v>
      </c>
      <c r="D1680" t="str">
        <f>IF(ISBLANK(Character!D118)," ",Character!D118)</f>
        <v xml:space="preserve"> </v>
      </c>
      <c r="E1680" t="str">
        <f>IF(ISBLANK(Character!E118)," ",Character!E118)</f>
        <v xml:space="preserve"> </v>
      </c>
      <c r="F1680" t="str">
        <f>IF(ISBLANK(Character!F118)," ",Character!F118)</f>
        <v xml:space="preserve"> </v>
      </c>
      <c r="G1680" t="str">
        <f>IF(ISBLANK(Character!G118)," ",Character!G118)</f>
        <v xml:space="preserve"> </v>
      </c>
      <c r="H1680" t="str">
        <f>IF(ISBLANK(Character!H118)," ",Character!H118)</f>
        <v xml:space="preserve"> </v>
      </c>
      <c r="I1680" t="str">
        <f>IF(ISBLANK(Character!I118)," ",Character!I118)</f>
        <v xml:space="preserve"> </v>
      </c>
      <c r="J1680" t="str">
        <f>IF(ISBLANK(Character!J118)," ",Character!J118)</f>
        <v xml:space="preserve"> </v>
      </c>
      <c r="K1680" t="str">
        <f>IF(ISBLANK(Character!K118)," ",Character!K118)</f>
        <v xml:space="preserve"> </v>
      </c>
      <c r="L1680" t="str">
        <f>IF(ISBLANK(Character!L118)," ",Character!L118)</f>
        <v xml:space="preserve"> </v>
      </c>
      <c r="M1680" t="str">
        <f>IF(ISBLANK(Character!M118)," ",Character!M118)</f>
        <v xml:space="preserve"> </v>
      </c>
      <c r="N1680" t="str">
        <f>IF(ISBLANK(Character!N118)," ",Character!N118)</f>
        <v xml:space="preserve"> </v>
      </c>
      <c r="O1680" t="str">
        <f>IF(ISBLANK(Character!O118)," ",Character!O118)</f>
        <v xml:space="preserve"> </v>
      </c>
      <c r="P1680" t="str">
        <f>IF(ISBLANK(Character!P118)," ",Character!P118)</f>
        <v xml:space="preserve"> </v>
      </c>
    </row>
    <row r="1681" spans="1:16" x14ac:dyDescent="0.2">
      <c r="A1681" s="460" t="str">
        <f>CONCATENATE(Posessions!A57,"|",Posessions!B57,"|",Posessions!C57,"|",Posessions!D57)</f>
        <v>|||</v>
      </c>
      <c r="B1681" t="str">
        <f>IF(ISBLANK(Character!B119)," ",Character!B119)</f>
        <v xml:space="preserve"> </v>
      </c>
      <c r="C1681" t="str">
        <f>IF(ISBLANK(Character!C119)," ",Character!C119)</f>
        <v xml:space="preserve"> </v>
      </c>
      <c r="D1681" t="str">
        <f>IF(ISBLANK(Character!D119)," ",Character!D119)</f>
        <v xml:space="preserve"> </v>
      </c>
      <c r="E1681" t="str">
        <f>IF(ISBLANK(Character!E119)," ",Character!E119)</f>
        <v xml:space="preserve"> </v>
      </c>
      <c r="F1681" t="str">
        <f>IF(ISBLANK(Character!F119)," ",Character!F119)</f>
        <v xml:space="preserve"> </v>
      </c>
      <c r="G1681" t="str">
        <f>IF(ISBLANK(Character!G119)," ",Character!G119)</f>
        <v xml:space="preserve"> </v>
      </c>
      <c r="H1681" t="str">
        <f>IF(ISBLANK(Character!H119)," ",Character!H119)</f>
        <v xml:space="preserve"> </v>
      </c>
      <c r="I1681" t="str">
        <f>IF(ISBLANK(Character!I119)," ",Character!I119)</f>
        <v xml:space="preserve"> </v>
      </c>
      <c r="J1681" t="str">
        <f>IF(ISBLANK(Character!J119)," ",Character!J119)</f>
        <v xml:space="preserve"> </v>
      </c>
      <c r="K1681" t="str">
        <f>IF(ISBLANK(Character!K119)," ",Character!K119)</f>
        <v xml:space="preserve"> </v>
      </c>
      <c r="L1681" t="str">
        <f>IF(ISBLANK(Character!L119)," ",Character!L119)</f>
        <v xml:space="preserve"> </v>
      </c>
      <c r="M1681" t="str">
        <f>IF(ISBLANK(Character!M119)," ",Character!M119)</f>
        <v xml:space="preserve"> </v>
      </c>
      <c r="N1681" t="str">
        <f>IF(ISBLANK(Character!N119)," ",Character!N119)</f>
        <v xml:space="preserve"> </v>
      </c>
      <c r="O1681" t="str">
        <f>IF(ISBLANK(Character!O119)," ",Character!O119)</f>
        <v xml:space="preserve"> </v>
      </c>
      <c r="P1681" t="str">
        <f>IF(ISBLANK(Character!P119)," ",Character!P119)</f>
        <v xml:space="preserve"> </v>
      </c>
    </row>
    <row r="1682" spans="1:16" x14ac:dyDescent="0.2">
      <c r="A1682" s="460" t="str">
        <f>CONCATENATE(Posessions!A58,"|",Posessions!B58,"|",Posessions!C58,"|",Posessions!D58)</f>
        <v>|||</v>
      </c>
      <c r="B1682" t="str">
        <f>IF(ISBLANK(Character!B120)," ",Character!B120)</f>
        <v xml:space="preserve"> </v>
      </c>
      <c r="C1682" t="str">
        <f>IF(ISBLANK(Character!C120)," ",Character!C120)</f>
        <v xml:space="preserve"> </v>
      </c>
      <c r="D1682" t="str">
        <f>IF(ISBLANK(Character!D120)," ",Character!D120)</f>
        <v xml:space="preserve"> </v>
      </c>
      <c r="E1682" t="str">
        <f>IF(ISBLANK(Character!E120)," ",Character!E120)</f>
        <v xml:space="preserve"> </v>
      </c>
      <c r="F1682" t="str">
        <f>IF(ISBLANK(Character!F120)," ",Character!F120)</f>
        <v xml:space="preserve"> </v>
      </c>
      <c r="G1682" t="str">
        <f>IF(ISBLANK(Character!G120)," ",Character!G120)</f>
        <v xml:space="preserve"> </v>
      </c>
      <c r="H1682" t="str">
        <f>IF(ISBLANK(Character!H120)," ",Character!H120)</f>
        <v xml:space="preserve"> </v>
      </c>
      <c r="I1682" t="str">
        <f>IF(ISBLANK(Character!I120)," ",Character!I120)</f>
        <v xml:space="preserve"> </v>
      </c>
      <c r="J1682" t="str">
        <f>IF(ISBLANK(Character!J120)," ",Character!J120)</f>
        <v xml:space="preserve"> </v>
      </c>
      <c r="K1682" t="str">
        <f>IF(ISBLANK(Character!K120)," ",Character!K120)</f>
        <v xml:space="preserve"> </v>
      </c>
      <c r="L1682" t="str">
        <f>IF(ISBLANK(Character!L120)," ",Character!L120)</f>
        <v xml:space="preserve"> </v>
      </c>
      <c r="M1682" t="str">
        <f>IF(ISBLANK(Character!M120)," ",Character!M120)</f>
        <v xml:space="preserve"> </v>
      </c>
      <c r="N1682" t="str">
        <f>IF(ISBLANK(Character!N120)," ",Character!N120)</f>
        <v xml:space="preserve"> </v>
      </c>
      <c r="O1682" t="str">
        <f>IF(ISBLANK(Character!O120)," ",Character!O120)</f>
        <v xml:space="preserve"> </v>
      </c>
      <c r="P1682" t="str">
        <f>IF(ISBLANK(Character!P120)," ",Character!P120)</f>
        <v xml:space="preserve"> </v>
      </c>
    </row>
    <row r="1683" spans="1:16" x14ac:dyDescent="0.2">
      <c r="A1683" s="460" t="str">
        <f>CONCATENATE(Posessions!A59,"|",Posessions!B59,"|",Posessions!C59,"|",Posessions!D59)</f>
        <v>|||</v>
      </c>
      <c r="B1683" t="str">
        <f>IF(ISBLANK(Character!B121)," ",Character!B121)</f>
        <v xml:space="preserve"> </v>
      </c>
      <c r="C1683" t="str">
        <f>IF(ISBLANK(Character!C121)," ",Character!C121)</f>
        <v xml:space="preserve"> </v>
      </c>
      <c r="D1683" t="str">
        <f>IF(ISBLANK(Character!D121)," ",Character!D121)</f>
        <v xml:space="preserve"> </v>
      </c>
      <c r="E1683" t="str">
        <f>IF(ISBLANK(Character!E121)," ",Character!E121)</f>
        <v xml:space="preserve"> </v>
      </c>
      <c r="F1683" t="str">
        <f>IF(ISBLANK(Character!F121)," ",Character!F121)</f>
        <v xml:space="preserve"> </v>
      </c>
      <c r="G1683" t="str">
        <f>IF(ISBLANK(Character!G121)," ",Character!G121)</f>
        <v xml:space="preserve"> </v>
      </c>
      <c r="H1683" t="str">
        <f>IF(ISBLANK(Character!H121)," ",Character!H121)</f>
        <v xml:space="preserve"> </v>
      </c>
      <c r="I1683" t="str">
        <f>IF(ISBLANK(Character!I121)," ",Character!I121)</f>
        <v xml:space="preserve"> </v>
      </c>
      <c r="J1683" t="str">
        <f>IF(ISBLANK(Character!J121)," ",Character!J121)</f>
        <v xml:space="preserve"> </v>
      </c>
      <c r="K1683" t="str">
        <f>IF(ISBLANK(Character!K121)," ",Character!K121)</f>
        <v xml:space="preserve"> </v>
      </c>
      <c r="L1683" t="str">
        <f>IF(ISBLANK(Character!L121)," ",Character!L121)</f>
        <v xml:space="preserve"> </v>
      </c>
      <c r="M1683" t="str">
        <f>IF(ISBLANK(Character!M121)," ",Character!M121)</f>
        <v xml:space="preserve"> </v>
      </c>
      <c r="N1683" t="str">
        <f>IF(ISBLANK(Character!N121)," ",Character!N121)</f>
        <v xml:space="preserve"> </v>
      </c>
      <c r="O1683" t="str">
        <f>IF(ISBLANK(Character!O121)," ",Character!O121)</f>
        <v xml:space="preserve"> </v>
      </c>
      <c r="P1683" t="str">
        <f>IF(ISBLANK(Character!P121)," ",Character!P121)</f>
        <v xml:space="preserve"> </v>
      </c>
    </row>
    <row r="1684" spans="1:16" x14ac:dyDescent="0.2">
      <c r="A1684" s="460" t="str">
        <f>CONCATENATE(Posessions!A60,"|",Posessions!B60,"|",Posessions!C60,"|",Posessions!D60)</f>
        <v>|||</v>
      </c>
      <c r="B1684" t="str">
        <f>IF(ISBLANK(Character!B122)," ",Character!B122)</f>
        <v xml:space="preserve"> </v>
      </c>
      <c r="C1684" t="str">
        <f>IF(ISBLANK(Character!C122)," ",Character!C122)</f>
        <v xml:space="preserve"> </v>
      </c>
      <c r="D1684" t="str">
        <f>IF(ISBLANK(Character!D122)," ",Character!D122)</f>
        <v xml:space="preserve"> </v>
      </c>
      <c r="E1684" t="str">
        <f>IF(ISBLANK(Character!E122)," ",Character!E122)</f>
        <v xml:space="preserve"> </v>
      </c>
      <c r="F1684" t="str">
        <f>IF(ISBLANK(Character!F122)," ",Character!F122)</f>
        <v xml:space="preserve"> </v>
      </c>
      <c r="G1684" t="str">
        <f>IF(ISBLANK(Character!G122)," ",Character!G122)</f>
        <v xml:space="preserve"> </v>
      </c>
      <c r="H1684" t="str">
        <f>IF(ISBLANK(Character!H122)," ",Character!H122)</f>
        <v xml:space="preserve"> </v>
      </c>
      <c r="I1684" t="str">
        <f>IF(ISBLANK(Character!I122)," ",Character!I122)</f>
        <v xml:space="preserve"> </v>
      </c>
      <c r="J1684" t="str">
        <f>IF(ISBLANK(Character!J122)," ",Character!J122)</f>
        <v xml:space="preserve"> </v>
      </c>
      <c r="K1684" t="str">
        <f>IF(ISBLANK(Character!K122)," ",Character!K122)</f>
        <v xml:space="preserve"> </v>
      </c>
      <c r="L1684" t="str">
        <f>IF(ISBLANK(Character!L122)," ",Character!L122)</f>
        <v xml:space="preserve"> </v>
      </c>
      <c r="M1684" t="str">
        <f>IF(ISBLANK(Character!M122)," ",Character!M122)</f>
        <v xml:space="preserve"> </v>
      </c>
      <c r="N1684" t="str">
        <f>IF(ISBLANK(Character!N122)," ",Character!N122)</f>
        <v xml:space="preserve"> </v>
      </c>
      <c r="O1684" t="str">
        <f>IF(ISBLANK(Character!O122)," ",Character!O122)</f>
        <v xml:space="preserve"> </v>
      </c>
      <c r="P1684" t="str">
        <f>IF(ISBLANK(Character!P122)," ",Character!P122)</f>
        <v xml:space="preserve"> </v>
      </c>
    </row>
    <row r="1685" spans="1:16" x14ac:dyDescent="0.2">
      <c r="A1685" s="460" t="str">
        <f>CONCATENATE(Posessions!A61,"|",Posessions!B61,"|",Posessions!C61,"|",Posessions!D61)</f>
        <v>|||</v>
      </c>
      <c r="B1685" t="str">
        <f>IF(ISBLANK(Character!B123)," ",Character!B123)</f>
        <v xml:space="preserve"> </v>
      </c>
      <c r="C1685" t="str">
        <f>IF(ISBLANK(Character!C123)," ",Character!C123)</f>
        <v xml:space="preserve"> </v>
      </c>
      <c r="D1685" t="str">
        <f>IF(ISBLANK(Character!D123)," ",Character!D123)</f>
        <v xml:space="preserve"> </v>
      </c>
      <c r="E1685" t="str">
        <f>IF(ISBLANK(Character!E123)," ",Character!E123)</f>
        <v xml:space="preserve"> </v>
      </c>
      <c r="F1685" t="str">
        <f>IF(ISBLANK(Character!F123)," ",Character!F123)</f>
        <v xml:space="preserve"> </v>
      </c>
      <c r="G1685" t="str">
        <f>IF(ISBLANK(Character!G123)," ",Character!G123)</f>
        <v xml:space="preserve"> </v>
      </c>
      <c r="H1685" t="str">
        <f>IF(ISBLANK(Character!H123)," ",Character!H123)</f>
        <v xml:space="preserve"> </v>
      </c>
      <c r="I1685" t="str">
        <f>IF(ISBLANK(Character!I123)," ",Character!I123)</f>
        <v xml:space="preserve"> </v>
      </c>
      <c r="J1685" t="str">
        <f>IF(ISBLANK(Character!J123)," ",Character!J123)</f>
        <v xml:space="preserve"> </v>
      </c>
      <c r="K1685" t="str">
        <f>IF(ISBLANK(Character!K123)," ",Character!K123)</f>
        <v xml:space="preserve"> </v>
      </c>
      <c r="L1685" t="str">
        <f>IF(ISBLANK(Character!L123)," ",Character!L123)</f>
        <v xml:space="preserve"> </v>
      </c>
      <c r="M1685" t="str">
        <f>IF(ISBLANK(Character!M123)," ",Character!M123)</f>
        <v xml:space="preserve"> </v>
      </c>
      <c r="N1685" t="str">
        <f>IF(ISBLANK(Character!N123)," ",Character!N123)</f>
        <v xml:space="preserve"> </v>
      </c>
      <c r="O1685" t="str">
        <f>IF(ISBLANK(Character!O123)," ",Character!O123)</f>
        <v xml:space="preserve"> </v>
      </c>
      <c r="P1685" t="str">
        <f>IF(ISBLANK(Character!P123)," ",Character!P123)</f>
        <v xml:space="preserve"> </v>
      </c>
    </row>
    <row r="1686" spans="1:16" x14ac:dyDescent="0.2">
      <c r="A1686" s="460" t="str">
        <f>CONCATENATE(Posessions!A62,"|",Posessions!B62,"|",Posessions!C62,"|",Posessions!D62)</f>
        <v>|||</v>
      </c>
      <c r="B1686" t="str">
        <f>IF(ISBLANK(Character!B124)," ",Character!B124)</f>
        <v xml:space="preserve"> </v>
      </c>
      <c r="C1686" t="str">
        <f>IF(ISBLANK(Character!C124)," ",Character!C124)</f>
        <v xml:space="preserve"> </v>
      </c>
      <c r="D1686" t="str">
        <f>IF(ISBLANK(Character!D124)," ",Character!D124)</f>
        <v xml:space="preserve"> </v>
      </c>
      <c r="E1686" t="str">
        <f>IF(ISBLANK(Character!E124)," ",Character!E124)</f>
        <v xml:space="preserve"> </v>
      </c>
      <c r="F1686" t="str">
        <f>IF(ISBLANK(Character!F124)," ",Character!F124)</f>
        <v xml:space="preserve"> </v>
      </c>
      <c r="G1686" t="str">
        <f>IF(ISBLANK(Character!G124)," ",Character!G124)</f>
        <v xml:space="preserve"> </v>
      </c>
      <c r="H1686" t="str">
        <f>IF(ISBLANK(Character!H124)," ",Character!H124)</f>
        <v xml:space="preserve"> </v>
      </c>
      <c r="I1686" t="str">
        <f>IF(ISBLANK(Character!I124)," ",Character!I124)</f>
        <v xml:space="preserve"> </v>
      </c>
      <c r="J1686" t="str">
        <f>IF(ISBLANK(Character!J124)," ",Character!J124)</f>
        <v xml:space="preserve"> </v>
      </c>
      <c r="K1686" t="str">
        <f>IF(ISBLANK(Character!K124)," ",Character!K124)</f>
        <v xml:space="preserve"> </v>
      </c>
      <c r="L1686" t="str">
        <f>IF(ISBLANK(Character!L124)," ",Character!L124)</f>
        <v xml:space="preserve"> </v>
      </c>
      <c r="M1686" t="str">
        <f>IF(ISBLANK(Character!M124)," ",Character!M124)</f>
        <v xml:space="preserve"> </v>
      </c>
      <c r="N1686" t="str">
        <f>IF(ISBLANK(Character!N124)," ",Character!N124)</f>
        <v xml:space="preserve"> </v>
      </c>
      <c r="O1686" t="str">
        <f>IF(ISBLANK(Character!O124)," ",Character!O124)</f>
        <v xml:space="preserve"> </v>
      </c>
      <c r="P1686" t="str">
        <f>IF(ISBLANK(Character!P124)," ",Character!P124)</f>
        <v xml:space="preserve"> </v>
      </c>
    </row>
    <row r="1687" spans="1:16" x14ac:dyDescent="0.2">
      <c r="A1687" s="460" t="str">
        <f>CONCATENATE(Posessions!A63,"|",Posessions!B63,"|",Posessions!C63,"|",Posessions!D63)</f>
        <v>|||</v>
      </c>
      <c r="B1687" t="str">
        <f>IF(ISBLANK(Character!B125)," ",Character!B125)</f>
        <v xml:space="preserve"> </v>
      </c>
      <c r="C1687" t="str">
        <f>IF(ISBLANK(Character!C125)," ",Character!C125)</f>
        <v xml:space="preserve"> </v>
      </c>
      <c r="D1687" t="str">
        <f>IF(ISBLANK(Character!D125)," ",Character!D125)</f>
        <v xml:space="preserve"> </v>
      </c>
      <c r="E1687" t="str">
        <f>IF(ISBLANK(Character!E125)," ",Character!E125)</f>
        <v xml:space="preserve"> </v>
      </c>
      <c r="F1687" t="str">
        <f>IF(ISBLANK(Character!F125)," ",Character!F125)</f>
        <v xml:space="preserve"> </v>
      </c>
      <c r="G1687" t="str">
        <f>IF(ISBLANK(Character!G125)," ",Character!G125)</f>
        <v xml:space="preserve"> </v>
      </c>
      <c r="H1687" t="str">
        <f>IF(ISBLANK(Character!H125)," ",Character!H125)</f>
        <v xml:space="preserve"> </v>
      </c>
      <c r="I1687" t="str">
        <f>IF(ISBLANK(Character!I125)," ",Character!I125)</f>
        <v xml:space="preserve"> </v>
      </c>
      <c r="J1687" t="str">
        <f>IF(ISBLANK(Character!J125)," ",Character!J125)</f>
        <v xml:space="preserve"> </v>
      </c>
      <c r="K1687" t="str">
        <f>IF(ISBLANK(Character!K125)," ",Character!K125)</f>
        <v xml:space="preserve"> </v>
      </c>
      <c r="L1687" t="str">
        <f>IF(ISBLANK(Character!L125)," ",Character!L125)</f>
        <v xml:space="preserve"> </v>
      </c>
      <c r="M1687" t="str">
        <f>IF(ISBLANK(Character!M125)," ",Character!M125)</f>
        <v xml:space="preserve"> </v>
      </c>
      <c r="N1687" t="str">
        <f>IF(ISBLANK(Character!N125)," ",Character!N125)</f>
        <v xml:space="preserve"> </v>
      </c>
      <c r="O1687" t="str">
        <f>IF(ISBLANK(Character!O125)," ",Character!O125)</f>
        <v xml:space="preserve"> </v>
      </c>
      <c r="P1687" t="str">
        <f>IF(ISBLANK(Character!P125)," ",Character!P125)</f>
        <v xml:space="preserve"> </v>
      </c>
    </row>
    <row r="1688" spans="1:16" x14ac:dyDescent="0.2">
      <c r="A1688" s="460" t="str">
        <f>CONCATENATE(Posessions!A64,"|",Posessions!B64,"|",Posessions!C64,"|",Posessions!D64)</f>
        <v>|||</v>
      </c>
      <c r="B1688" t="str">
        <f>IF(ISBLANK(Character!B126)," ",Character!B126)</f>
        <v xml:space="preserve"> </v>
      </c>
      <c r="C1688" t="str">
        <f>IF(ISBLANK(Character!C126)," ",Character!C126)</f>
        <v xml:space="preserve"> </v>
      </c>
      <c r="D1688" t="str">
        <f>IF(ISBLANK(Character!D126)," ",Character!D126)</f>
        <v xml:space="preserve"> </v>
      </c>
      <c r="E1688" t="str">
        <f>IF(ISBLANK(Character!E126)," ",Character!E126)</f>
        <v xml:space="preserve"> </v>
      </c>
      <c r="F1688" t="str">
        <f>IF(ISBLANK(Character!F126)," ",Character!F126)</f>
        <v xml:space="preserve"> </v>
      </c>
      <c r="G1688" t="str">
        <f>IF(ISBLANK(Character!G126)," ",Character!G126)</f>
        <v xml:space="preserve"> </v>
      </c>
      <c r="H1688" t="str">
        <f>IF(ISBLANK(Character!H126)," ",Character!H126)</f>
        <v xml:space="preserve"> </v>
      </c>
      <c r="I1688" t="str">
        <f>IF(ISBLANK(Character!I126)," ",Character!I126)</f>
        <v xml:space="preserve"> </v>
      </c>
      <c r="J1688" t="str">
        <f>IF(ISBLANK(Character!J126)," ",Character!J126)</f>
        <v xml:space="preserve"> </v>
      </c>
      <c r="K1688" t="str">
        <f>IF(ISBLANK(Character!K126)," ",Character!K126)</f>
        <v xml:space="preserve"> </v>
      </c>
      <c r="L1688" t="str">
        <f>IF(ISBLANK(Character!L126)," ",Character!L126)</f>
        <v xml:space="preserve"> </v>
      </c>
      <c r="M1688" t="str">
        <f>IF(ISBLANK(Character!M126)," ",Character!M126)</f>
        <v xml:space="preserve"> </v>
      </c>
      <c r="N1688" t="str">
        <f>IF(ISBLANK(Character!N126)," ",Character!N126)</f>
        <v xml:space="preserve"> </v>
      </c>
      <c r="O1688" t="str">
        <f>IF(ISBLANK(Character!O126)," ",Character!O126)</f>
        <v xml:space="preserve"> </v>
      </c>
      <c r="P1688" t="str">
        <f>IF(ISBLANK(Character!P126)," ",Character!P126)</f>
        <v xml:space="preserve"> </v>
      </c>
    </row>
    <row r="1689" spans="1:16" x14ac:dyDescent="0.2">
      <c r="A1689" s="460" t="str">
        <f>CONCATENATE(Posessions!A65,"|",Posessions!B65,"|",Posessions!C65,"|",Posessions!D65)</f>
        <v>|||</v>
      </c>
      <c r="B1689" t="str">
        <f>IF(ISBLANK(Character!B127)," ",Character!B127)</f>
        <v xml:space="preserve"> </v>
      </c>
      <c r="C1689" t="str">
        <f>IF(ISBLANK(Character!C127)," ",Character!C127)</f>
        <v xml:space="preserve"> </v>
      </c>
      <c r="D1689" t="str">
        <f>IF(ISBLANK(Character!D127)," ",Character!D127)</f>
        <v xml:space="preserve"> </v>
      </c>
      <c r="E1689" t="str">
        <f>IF(ISBLANK(Character!E127)," ",Character!E127)</f>
        <v xml:space="preserve"> </v>
      </c>
      <c r="F1689" t="str">
        <f>IF(ISBLANK(Character!F127)," ",Character!F127)</f>
        <v xml:space="preserve"> </v>
      </c>
      <c r="G1689" t="str">
        <f>IF(ISBLANK(Character!G127)," ",Character!G127)</f>
        <v xml:space="preserve"> </v>
      </c>
      <c r="H1689" t="str">
        <f>IF(ISBLANK(Character!H127)," ",Character!H127)</f>
        <v xml:space="preserve"> </v>
      </c>
      <c r="I1689" t="str">
        <f>IF(ISBLANK(Character!I127)," ",Character!I127)</f>
        <v xml:space="preserve"> </v>
      </c>
      <c r="J1689" t="str">
        <f>IF(ISBLANK(Character!J127)," ",Character!J127)</f>
        <v xml:space="preserve"> </v>
      </c>
      <c r="K1689" t="str">
        <f>IF(ISBLANK(Character!K127)," ",Character!K127)</f>
        <v xml:space="preserve"> </v>
      </c>
      <c r="L1689" t="str">
        <f>IF(ISBLANK(Character!L127)," ",Character!L127)</f>
        <v xml:space="preserve"> </v>
      </c>
      <c r="M1689" t="str">
        <f>IF(ISBLANK(Character!M127)," ",Character!M127)</f>
        <v xml:space="preserve"> </v>
      </c>
      <c r="N1689" t="str">
        <f>IF(ISBLANK(Character!N127)," ",Character!N127)</f>
        <v xml:space="preserve"> </v>
      </c>
      <c r="O1689" t="str">
        <f>IF(ISBLANK(Character!O127)," ",Character!O127)</f>
        <v xml:space="preserve"> </v>
      </c>
      <c r="P1689" t="str">
        <f>IF(ISBLANK(Character!P127)," ",Character!P127)</f>
        <v xml:space="preserve"> </v>
      </c>
    </row>
    <row r="1690" spans="1:16" x14ac:dyDescent="0.2">
      <c r="A1690" s="460" t="str">
        <f>CONCATENATE(Posessions!A66,"|",Posessions!B66,"|",Posessions!C66,"|",Posessions!D66)</f>
        <v>|||</v>
      </c>
      <c r="B1690" t="str">
        <f>IF(ISBLANK(Character!B128)," ",Character!B128)</f>
        <v xml:space="preserve"> </v>
      </c>
      <c r="C1690" t="str">
        <f>IF(ISBLANK(Character!C128)," ",Character!C128)</f>
        <v xml:space="preserve"> </v>
      </c>
      <c r="D1690" t="str">
        <f>IF(ISBLANK(Character!D128)," ",Character!D128)</f>
        <v xml:space="preserve"> </v>
      </c>
      <c r="E1690" t="str">
        <f>IF(ISBLANK(Character!E128)," ",Character!E128)</f>
        <v xml:space="preserve"> </v>
      </c>
      <c r="F1690" t="str">
        <f>IF(ISBLANK(Character!F128)," ",Character!F128)</f>
        <v xml:space="preserve"> </v>
      </c>
      <c r="G1690" t="str">
        <f>IF(ISBLANK(Character!G128)," ",Character!G128)</f>
        <v xml:space="preserve"> </v>
      </c>
      <c r="H1690" t="str">
        <f>IF(ISBLANK(Character!H128)," ",Character!H128)</f>
        <v xml:space="preserve"> </v>
      </c>
      <c r="I1690" t="str">
        <f>IF(ISBLANK(Character!I128)," ",Character!I128)</f>
        <v xml:space="preserve"> </v>
      </c>
      <c r="J1690" t="str">
        <f>IF(ISBLANK(Character!J128)," ",Character!J128)</f>
        <v xml:space="preserve"> </v>
      </c>
      <c r="K1690" t="str">
        <f>IF(ISBLANK(Character!K128)," ",Character!K128)</f>
        <v xml:space="preserve"> </v>
      </c>
      <c r="L1690" t="str">
        <f>IF(ISBLANK(Character!L128)," ",Character!L128)</f>
        <v xml:space="preserve"> </v>
      </c>
      <c r="M1690" t="str">
        <f>IF(ISBLANK(Character!M128)," ",Character!M128)</f>
        <v xml:space="preserve"> </v>
      </c>
      <c r="N1690" t="str">
        <f>IF(ISBLANK(Character!N128)," ",Character!N128)</f>
        <v xml:space="preserve"> </v>
      </c>
      <c r="O1690" t="str">
        <f>IF(ISBLANK(Character!O128)," ",Character!O128)</f>
        <v xml:space="preserve"> </v>
      </c>
      <c r="P1690" t="str">
        <f>IF(ISBLANK(Character!P128)," ",Character!P128)</f>
        <v xml:space="preserve"> </v>
      </c>
    </row>
    <row r="1691" spans="1:16" x14ac:dyDescent="0.2">
      <c r="A1691" s="460" t="str">
        <f>CONCATENATE(Posessions!A67,"|",Posessions!B67,"|",Posessions!C67,"|",Posessions!D67)</f>
        <v>|||</v>
      </c>
      <c r="B1691" t="str">
        <f>IF(ISBLANK(Character!B129)," ",Character!B129)</f>
        <v xml:space="preserve"> </v>
      </c>
      <c r="C1691" t="str">
        <f>IF(ISBLANK(Character!C129)," ",Character!C129)</f>
        <v xml:space="preserve"> </v>
      </c>
      <c r="D1691" t="str">
        <f>IF(ISBLANK(Character!D129)," ",Character!D129)</f>
        <v xml:space="preserve"> </v>
      </c>
      <c r="E1691" t="str">
        <f>IF(ISBLANK(Character!E129)," ",Character!E129)</f>
        <v xml:space="preserve"> </v>
      </c>
      <c r="F1691" t="str">
        <f>IF(ISBLANK(Character!F129)," ",Character!F129)</f>
        <v xml:space="preserve"> </v>
      </c>
      <c r="G1691" t="str">
        <f>IF(ISBLANK(Character!G129)," ",Character!G129)</f>
        <v xml:space="preserve"> </v>
      </c>
      <c r="H1691" t="str">
        <f>IF(ISBLANK(Character!H129)," ",Character!H129)</f>
        <v xml:space="preserve"> </v>
      </c>
      <c r="I1691" t="str">
        <f>IF(ISBLANK(Character!I129)," ",Character!I129)</f>
        <v xml:space="preserve"> </v>
      </c>
      <c r="J1691" t="str">
        <f>IF(ISBLANK(Character!J129)," ",Character!J129)</f>
        <v xml:space="preserve"> </v>
      </c>
      <c r="K1691" t="str">
        <f>IF(ISBLANK(Character!K129)," ",Character!K129)</f>
        <v xml:space="preserve"> </v>
      </c>
      <c r="L1691" t="str">
        <f>IF(ISBLANK(Character!L129)," ",Character!L129)</f>
        <v xml:space="preserve"> </v>
      </c>
      <c r="M1691" t="str">
        <f>IF(ISBLANK(Character!M129)," ",Character!M129)</f>
        <v xml:space="preserve"> </v>
      </c>
      <c r="N1691" t="str">
        <f>IF(ISBLANK(Character!N129)," ",Character!N129)</f>
        <v xml:space="preserve"> </v>
      </c>
      <c r="O1691" t="str">
        <f>IF(ISBLANK(Character!O129)," ",Character!O129)</f>
        <v xml:space="preserve"> </v>
      </c>
      <c r="P1691" t="str">
        <f>IF(ISBLANK(Character!P129)," ",Character!P129)</f>
        <v xml:space="preserve"> </v>
      </c>
    </row>
    <row r="1692" spans="1:16" x14ac:dyDescent="0.2">
      <c r="A1692" s="460" t="str">
        <f>CONCATENATE(Posessions!A68,"|",Posessions!B68,"|",Posessions!C68,"|",Posessions!D68)</f>
        <v>|||</v>
      </c>
      <c r="B1692" t="str">
        <f>IF(ISBLANK(Character!B130)," ",Character!B130)</f>
        <v xml:space="preserve"> </v>
      </c>
      <c r="C1692" t="str">
        <f>IF(ISBLANK(Character!C130)," ",Character!C130)</f>
        <v xml:space="preserve"> </v>
      </c>
      <c r="D1692" t="str">
        <f>IF(ISBLANK(Character!D130)," ",Character!D130)</f>
        <v xml:space="preserve"> </v>
      </c>
      <c r="E1692" t="str">
        <f>IF(ISBLANK(Character!E130)," ",Character!E130)</f>
        <v xml:space="preserve"> </v>
      </c>
      <c r="F1692" t="str">
        <f>IF(ISBLANK(Character!F130)," ",Character!F130)</f>
        <v xml:space="preserve"> </v>
      </c>
      <c r="G1692" t="str">
        <f>IF(ISBLANK(Character!G130)," ",Character!G130)</f>
        <v xml:space="preserve"> </v>
      </c>
      <c r="H1692" t="str">
        <f>IF(ISBLANK(Character!H130)," ",Character!H130)</f>
        <v xml:space="preserve"> </v>
      </c>
      <c r="I1692" t="str">
        <f>IF(ISBLANK(Character!I130)," ",Character!I130)</f>
        <v xml:space="preserve"> </v>
      </c>
      <c r="J1692" t="str">
        <f>IF(ISBLANK(Character!J130)," ",Character!J130)</f>
        <v xml:space="preserve"> </v>
      </c>
      <c r="K1692" t="str">
        <f>IF(ISBLANK(Character!K130)," ",Character!K130)</f>
        <v xml:space="preserve"> </v>
      </c>
      <c r="L1692" t="str">
        <f>IF(ISBLANK(Character!L130)," ",Character!L130)</f>
        <v xml:space="preserve"> </v>
      </c>
      <c r="M1692" t="str">
        <f>IF(ISBLANK(Character!M130)," ",Character!M130)</f>
        <v xml:space="preserve"> </v>
      </c>
      <c r="N1692" t="str">
        <f>IF(ISBLANK(Character!N130)," ",Character!N130)</f>
        <v xml:space="preserve"> </v>
      </c>
      <c r="O1692" t="str">
        <f>IF(ISBLANK(Character!O130)," ",Character!O130)</f>
        <v xml:space="preserve"> </v>
      </c>
      <c r="P1692" t="str">
        <f>IF(ISBLANK(Character!P130)," ",Character!P130)</f>
        <v xml:space="preserve"> </v>
      </c>
    </row>
    <row r="1693" spans="1:16" x14ac:dyDescent="0.2">
      <c r="A1693" s="460" t="str">
        <f>CONCATENATE(Posessions!A69,"|",Posessions!B69,"|",Posessions!C69,"|",Posessions!D69)</f>
        <v>|||</v>
      </c>
      <c r="B1693" t="str">
        <f>IF(ISBLANK(Character!B131)," ",Character!B131)</f>
        <v xml:space="preserve"> </v>
      </c>
      <c r="C1693" t="str">
        <f>IF(ISBLANK(Character!C131)," ",Character!C131)</f>
        <v xml:space="preserve"> </v>
      </c>
      <c r="D1693" t="str">
        <f>IF(ISBLANK(Character!D131)," ",Character!D131)</f>
        <v xml:space="preserve"> </v>
      </c>
      <c r="E1693" t="str">
        <f>IF(ISBLANK(Character!E131)," ",Character!E131)</f>
        <v xml:space="preserve"> </v>
      </c>
      <c r="F1693" t="str">
        <f>IF(ISBLANK(Character!F131)," ",Character!F131)</f>
        <v xml:space="preserve"> </v>
      </c>
      <c r="G1693" t="str">
        <f>IF(ISBLANK(Character!G131)," ",Character!G131)</f>
        <v xml:space="preserve"> </v>
      </c>
      <c r="H1693" t="str">
        <f>IF(ISBLANK(Character!H131)," ",Character!H131)</f>
        <v xml:space="preserve"> </v>
      </c>
      <c r="I1693" t="str">
        <f>IF(ISBLANK(Character!I131)," ",Character!I131)</f>
        <v xml:space="preserve"> </v>
      </c>
      <c r="J1693" t="str">
        <f>IF(ISBLANK(Character!J131)," ",Character!J131)</f>
        <v xml:space="preserve"> </v>
      </c>
      <c r="K1693" t="str">
        <f>IF(ISBLANK(Character!K131)," ",Character!K131)</f>
        <v xml:space="preserve"> </v>
      </c>
      <c r="L1693" t="str">
        <f>IF(ISBLANK(Character!L131)," ",Character!L131)</f>
        <v xml:space="preserve"> </v>
      </c>
      <c r="M1693" t="str">
        <f>IF(ISBLANK(Character!M131)," ",Character!M131)</f>
        <v xml:space="preserve"> </v>
      </c>
      <c r="N1693" t="str">
        <f>IF(ISBLANK(Character!N131)," ",Character!N131)</f>
        <v xml:space="preserve"> </v>
      </c>
      <c r="O1693" t="str">
        <f>IF(ISBLANK(Character!O131)," ",Character!O131)</f>
        <v xml:space="preserve"> </v>
      </c>
      <c r="P1693" t="str">
        <f>IF(ISBLANK(Character!P131)," ",Character!P131)</f>
        <v xml:space="preserve"> </v>
      </c>
    </row>
    <row r="1694" spans="1:16" x14ac:dyDescent="0.2">
      <c r="A1694" s="460" t="str">
        <f>CONCATENATE(Posessions!A70,"|",Posessions!B70,"|",Posessions!C70,"|",Posessions!D70)</f>
        <v>|||</v>
      </c>
      <c r="B1694" t="str">
        <f>IF(ISBLANK(Character!B132)," ",Character!B132)</f>
        <v xml:space="preserve"> </v>
      </c>
      <c r="C1694" t="str">
        <f>IF(ISBLANK(Character!C132)," ",Character!C132)</f>
        <v xml:space="preserve"> </v>
      </c>
      <c r="D1694" t="str">
        <f>IF(ISBLANK(Character!D132)," ",Character!D132)</f>
        <v xml:space="preserve"> </v>
      </c>
      <c r="E1694" t="str">
        <f>IF(ISBLANK(Character!E132)," ",Character!E132)</f>
        <v xml:space="preserve"> </v>
      </c>
      <c r="F1694" t="str">
        <f>IF(ISBLANK(Character!F132)," ",Character!F132)</f>
        <v xml:space="preserve"> </v>
      </c>
      <c r="G1694" t="str">
        <f>IF(ISBLANK(Character!G132)," ",Character!G132)</f>
        <v xml:space="preserve"> </v>
      </c>
      <c r="H1694" t="str">
        <f>IF(ISBLANK(Character!H132)," ",Character!H132)</f>
        <v xml:space="preserve"> </v>
      </c>
      <c r="I1694" t="str">
        <f>IF(ISBLANK(Character!I132)," ",Character!I132)</f>
        <v xml:space="preserve"> </v>
      </c>
      <c r="J1694" t="str">
        <f>IF(ISBLANK(Character!J132)," ",Character!J132)</f>
        <v xml:space="preserve"> </v>
      </c>
      <c r="K1694" t="str">
        <f>IF(ISBLANK(Character!K132)," ",Character!K132)</f>
        <v xml:space="preserve"> </v>
      </c>
      <c r="L1694" t="str">
        <f>IF(ISBLANK(Character!L132)," ",Character!L132)</f>
        <v xml:space="preserve"> </v>
      </c>
      <c r="M1694" t="str">
        <f>IF(ISBLANK(Character!M132)," ",Character!M132)</f>
        <v xml:space="preserve"> </v>
      </c>
      <c r="N1694" t="str">
        <f>IF(ISBLANK(Character!N132)," ",Character!N132)</f>
        <v xml:space="preserve"> </v>
      </c>
      <c r="O1694" t="str">
        <f>IF(ISBLANK(Character!O132)," ",Character!O132)</f>
        <v xml:space="preserve"> </v>
      </c>
      <c r="P1694" t="str">
        <f>IF(ISBLANK(Character!P132)," ",Character!P132)</f>
        <v xml:space="preserve"> </v>
      </c>
    </row>
    <row r="1695" spans="1:16" x14ac:dyDescent="0.2">
      <c r="A1695" s="460" t="str">
        <f>CONCATENATE(Posessions!A71,"|",Posessions!B71,"|",Posessions!C71,"|",Posessions!D71)</f>
        <v>|||</v>
      </c>
      <c r="B1695" t="str">
        <f>IF(ISBLANK(Character!B133)," ",Character!B133)</f>
        <v xml:space="preserve"> </v>
      </c>
      <c r="C1695" t="str">
        <f>IF(ISBLANK(Character!C133)," ",Character!C133)</f>
        <v xml:space="preserve"> </v>
      </c>
      <c r="D1695" t="str">
        <f>IF(ISBLANK(Character!D133)," ",Character!D133)</f>
        <v xml:space="preserve"> </v>
      </c>
      <c r="E1695" t="str">
        <f>IF(ISBLANK(Character!E133)," ",Character!E133)</f>
        <v xml:space="preserve"> </v>
      </c>
      <c r="F1695" t="str">
        <f>IF(ISBLANK(Character!F133)," ",Character!F133)</f>
        <v xml:space="preserve"> </v>
      </c>
      <c r="G1695" t="str">
        <f>IF(ISBLANK(Character!G133)," ",Character!G133)</f>
        <v xml:space="preserve"> </v>
      </c>
      <c r="H1695" t="str">
        <f>IF(ISBLANK(Character!H133)," ",Character!H133)</f>
        <v xml:space="preserve"> </v>
      </c>
      <c r="I1695" t="str">
        <f>IF(ISBLANK(Character!I133)," ",Character!I133)</f>
        <v xml:space="preserve"> </v>
      </c>
      <c r="J1695" t="str">
        <f>IF(ISBLANK(Character!J133)," ",Character!J133)</f>
        <v xml:space="preserve"> </v>
      </c>
      <c r="K1695" t="str">
        <f>IF(ISBLANK(Character!K133)," ",Character!K133)</f>
        <v xml:space="preserve"> </v>
      </c>
      <c r="L1695" t="str">
        <f>IF(ISBLANK(Character!L133)," ",Character!L133)</f>
        <v xml:space="preserve"> </v>
      </c>
      <c r="M1695" t="str">
        <f>IF(ISBLANK(Character!M133)," ",Character!M133)</f>
        <v xml:space="preserve"> </v>
      </c>
      <c r="N1695" t="str">
        <f>IF(ISBLANK(Character!N133)," ",Character!N133)</f>
        <v xml:space="preserve"> </v>
      </c>
      <c r="O1695" t="str">
        <f>IF(ISBLANK(Character!O133)," ",Character!O133)</f>
        <v xml:space="preserve"> </v>
      </c>
      <c r="P1695" t="str">
        <f>IF(ISBLANK(Character!P133)," ",Character!P133)</f>
        <v xml:space="preserve"> </v>
      </c>
    </row>
    <row r="1696" spans="1:16" x14ac:dyDescent="0.2">
      <c r="A1696" s="460" t="str">
        <f>CONCATENATE(Posessions!A72,"|",Posessions!B72,"|",Posessions!C72,"|",Posessions!D72)</f>
        <v>|||</v>
      </c>
      <c r="B1696" t="str">
        <f>IF(ISBLANK(Character!B134)," ",Character!B134)</f>
        <v xml:space="preserve"> </v>
      </c>
      <c r="C1696" t="str">
        <f>IF(ISBLANK(Character!C134)," ",Character!C134)</f>
        <v xml:space="preserve"> </v>
      </c>
      <c r="D1696" t="str">
        <f>IF(ISBLANK(Character!D134)," ",Character!D134)</f>
        <v xml:space="preserve"> </v>
      </c>
      <c r="E1696" t="str">
        <f>IF(ISBLANK(Character!E134)," ",Character!E134)</f>
        <v xml:space="preserve"> </v>
      </c>
      <c r="F1696" t="str">
        <f>IF(ISBLANK(Character!F134)," ",Character!F134)</f>
        <v xml:space="preserve"> </v>
      </c>
      <c r="G1696" t="str">
        <f>IF(ISBLANK(Character!G134)," ",Character!G134)</f>
        <v xml:space="preserve"> </v>
      </c>
      <c r="H1696" t="str">
        <f>IF(ISBLANK(Character!H134)," ",Character!H134)</f>
        <v xml:space="preserve"> </v>
      </c>
      <c r="I1696" t="str">
        <f>IF(ISBLANK(Character!I134)," ",Character!I134)</f>
        <v xml:space="preserve"> </v>
      </c>
      <c r="J1696" t="str">
        <f>IF(ISBLANK(Character!J134)," ",Character!J134)</f>
        <v xml:space="preserve"> </v>
      </c>
      <c r="K1696" t="str">
        <f>IF(ISBLANK(Character!K134)," ",Character!K134)</f>
        <v xml:space="preserve"> </v>
      </c>
      <c r="L1696" t="str">
        <f>IF(ISBLANK(Character!L134)," ",Character!L134)</f>
        <v xml:space="preserve"> </v>
      </c>
      <c r="M1696" t="str">
        <f>IF(ISBLANK(Character!M134)," ",Character!M134)</f>
        <v xml:space="preserve"> </v>
      </c>
      <c r="N1696" t="str">
        <f>IF(ISBLANK(Character!N134)," ",Character!N134)</f>
        <v xml:space="preserve"> </v>
      </c>
      <c r="O1696" t="str">
        <f>IF(ISBLANK(Character!O134)," ",Character!O134)</f>
        <v xml:space="preserve"> </v>
      </c>
      <c r="P1696" t="str">
        <f>IF(ISBLANK(Character!P134)," ",Character!P134)</f>
        <v xml:space="preserve"> </v>
      </c>
    </row>
    <row r="1697" spans="1:16" x14ac:dyDescent="0.2">
      <c r="A1697" s="460" t="str">
        <f>CONCATENATE(Posessions!A73,"|",Posessions!B73,"|",Posessions!C73,"|",Posessions!D73)</f>
        <v>|||</v>
      </c>
      <c r="B1697" t="str">
        <f>IF(ISBLANK(Character!B135)," ",Character!B135)</f>
        <v xml:space="preserve"> </v>
      </c>
      <c r="C1697" t="str">
        <f>IF(ISBLANK(Character!C135)," ",Character!C135)</f>
        <v xml:space="preserve"> </v>
      </c>
      <c r="D1697" t="str">
        <f>IF(ISBLANK(Character!D135)," ",Character!D135)</f>
        <v xml:space="preserve"> </v>
      </c>
      <c r="E1697" t="str">
        <f>IF(ISBLANK(Character!E135)," ",Character!E135)</f>
        <v xml:space="preserve"> </v>
      </c>
      <c r="F1697" t="str">
        <f>IF(ISBLANK(Character!F135)," ",Character!F135)</f>
        <v xml:space="preserve"> </v>
      </c>
      <c r="G1697" t="str">
        <f>IF(ISBLANK(Character!G135)," ",Character!G135)</f>
        <v xml:space="preserve"> </v>
      </c>
      <c r="H1697" t="str">
        <f>IF(ISBLANK(Character!H135)," ",Character!H135)</f>
        <v xml:space="preserve"> </v>
      </c>
      <c r="I1697" t="str">
        <f>IF(ISBLANK(Character!I135)," ",Character!I135)</f>
        <v xml:space="preserve"> </v>
      </c>
      <c r="J1697" t="str">
        <f>IF(ISBLANK(Character!J135)," ",Character!J135)</f>
        <v xml:space="preserve"> </v>
      </c>
      <c r="K1697" t="str">
        <f>IF(ISBLANK(Character!K135)," ",Character!K135)</f>
        <v xml:space="preserve"> </v>
      </c>
      <c r="L1697" t="str">
        <f>IF(ISBLANK(Character!L135)," ",Character!L135)</f>
        <v xml:space="preserve"> </v>
      </c>
      <c r="M1697" t="str">
        <f>IF(ISBLANK(Character!M135)," ",Character!M135)</f>
        <v xml:space="preserve"> </v>
      </c>
      <c r="N1697" t="str">
        <f>IF(ISBLANK(Character!N135)," ",Character!N135)</f>
        <v xml:space="preserve"> </v>
      </c>
      <c r="O1697" t="str">
        <f>IF(ISBLANK(Character!O135)," ",Character!O135)</f>
        <v xml:space="preserve"> </v>
      </c>
      <c r="P1697" t="str">
        <f>IF(ISBLANK(Character!P135)," ",Character!P135)</f>
        <v xml:space="preserve"> </v>
      </c>
    </row>
    <row r="1698" spans="1:16" x14ac:dyDescent="0.2">
      <c r="A1698" s="460" t="str">
        <f>CONCATENATE(Posessions!A74,"|",Posessions!B74,"|",Posessions!C74,"|",Posessions!D74)</f>
        <v>|||</v>
      </c>
      <c r="B1698" t="str">
        <f>IF(ISBLANK(Character!B136)," ",Character!B136)</f>
        <v xml:space="preserve"> </v>
      </c>
      <c r="C1698" t="str">
        <f>IF(ISBLANK(Character!C136)," ",Character!C136)</f>
        <v xml:space="preserve"> </v>
      </c>
      <c r="D1698" t="str">
        <f>IF(ISBLANK(Character!D136)," ",Character!D136)</f>
        <v xml:space="preserve"> </v>
      </c>
      <c r="E1698" t="str">
        <f>IF(ISBLANK(Character!E136)," ",Character!E136)</f>
        <v xml:space="preserve"> </v>
      </c>
      <c r="F1698" t="str">
        <f>IF(ISBLANK(Character!F136)," ",Character!F136)</f>
        <v xml:space="preserve"> </v>
      </c>
      <c r="G1698" t="str">
        <f>IF(ISBLANK(Character!G136)," ",Character!G136)</f>
        <v xml:space="preserve"> </v>
      </c>
      <c r="H1698" t="str">
        <f>IF(ISBLANK(Character!H136)," ",Character!H136)</f>
        <v xml:space="preserve"> </v>
      </c>
      <c r="I1698" t="str">
        <f>IF(ISBLANK(Character!I136)," ",Character!I136)</f>
        <v xml:space="preserve"> </v>
      </c>
      <c r="J1698" t="str">
        <f>IF(ISBLANK(Character!J136)," ",Character!J136)</f>
        <v xml:space="preserve"> </v>
      </c>
      <c r="K1698" t="str">
        <f>IF(ISBLANK(Character!K136)," ",Character!K136)</f>
        <v xml:space="preserve"> </v>
      </c>
      <c r="L1698" t="str">
        <f>IF(ISBLANK(Character!L136)," ",Character!L136)</f>
        <v xml:space="preserve"> </v>
      </c>
      <c r="M1698" t="str">
        <f>IF(ISBLANK(Character!M136)," ",Character!M136)</f>
        <v xml:space="preserve"> </v>
      </c>
      <c r="N1698" t="str">
        <f>IF(ISBLANK(Character!N136)," ",Character!N136)</f>
        <v xml:space="preserve"> </v>
      </c>
      <c r="O1698" t="str">
        <f>IF(ISBLANK(Character!O136)," ",Character!O136)</f>
        <v xml:space="preserve"> </v>
      </c>
      <c r="P1698" t="str">
        <f>IF(ISBLANK(Character!P136)," ",Character!P136)</f>
        <v xml:space="preserve"> </v>
      </c>
    </row>
    <row r="1699" spans="1:16" x14ac:dyDescent="0.2">
      <c r="A1699" s="460" t="str">
        <f>CONCATENATE(Posessions!A75,"|",Posessions!B75,"|",Posessions!C75,"|",Posessions!D75)</f>
        <v>|||</v>
      </c>
      <c r="B1699" t="str">
        <f>IF(ISBLANK(Character!B137)," ",Character!B137)</f>
        <v xml:space="preserve"> </v>
      </c>
      <c r="C1699" t="str">
        <f>IF(ISBLANK(Character!C137)," ",Character!C137)</f>
        <v xml:space="preserve"> </v>
      </c>
      <c r="D1699" t="str">
        <f>IF(ISBLANK(Character!D137)," ",Character!D137)</f>
        <v xml:space="preserve"> </v>
      </c>
      <c r="E1699" t="str">
        <f>IF(ISBLANK(Character!E137)," ",Character!E137)</f>
        <v xml:space="preserve"> </v>
      </c>
      <c r="F1699" t="str">
        <f>IF(ISBLANK(Character!F137)," ",Character!F137)</f>
        <v xml:space="preserve"> </v>
      </c>
      <c r="G1699" t="str">
        <f>IF(ISBLANK(Character!G137)," ",Character!G137)</f>
        <v xml:space="preserve"> </v>
      </c>
      <c r="H1699" t="str">
        <f>IF(ISBLANK(Character!H137)," ",Character!H137)</f>
        <v xml:space="preserve"> </v>
      </c>
      <c r="I1699" t="str">
        <f>IF(ISBLANK(Character!I137)," ",Character!I137)</f>
        <v xml:space="preserve"> </v>
      </c>
      <c r="J1699" t="str">
        <f>IF(ISBLANK(Character!J137)," ",Character!J137)</f>
        <v xml:space="preserve"> </v>
      </c>
      <c r="K1699" t="str">
        <f>IF(ISBLANK(Character!K137)," ",Character!K137)</f>
        <v xml:space="preserve"> </v>
      </c>
      <c r="L1699" t="str">
        <f>IF(ISBLANK(Character!L137)," ",Character!L137)</f>
        <v xml:space="preserve"> </v>
      </c>
      <c r="M1699" t="str">
        <f>IF(ISBLANK(Character!M137)," ",Character!M137)</f>
        <v xml:space="preserve"> </v>
      </c>
      <c r="N1699" t="str">
        <f>IF(ISBLANK(Character!N137)," ",Character!N137)</f>
        <v xml:space="preserve"> </v>
      </c>
      <c r="O1699" t="str">
        <f>IF(ISBLANK(Character!O137)," ",Character!O137)</f>
        <v xml:space="preserve"> </v>
      </c>
      <c r="P1699" t="str">
        <f>IF(ISBLANK(Character!P137)," ",Character!P137)</f>
        <v xml:space="preserve"> </v>
      </c>
    </row>
    <row r="1700" spans="1:16" x14ac:dyDescent="0.2">
      <c r="A1700" s="460" t="str">
        <f>CONCATENATE(Posessions!A76,"|",Posessions!B76,"|",Posessions!C76,"|",Posessions!D76)</f>
        <v>|||</v>
      </c>
      <c r="B1700" t="str">
        <f>IF(ISBLANK(Character!B138)," ",Character!B138)</f>
        <v xml:space="preserve"> </v>
      </c>
      <c r="C1700" t="str">
        <f>IF(ISBLANK(Character!C138)," ",Character!C138)</f>
        <v xml:space="preserve"> </v>
      </c>
      <c r="D1700" t="str">
        <f>IF(ISBLANK(Character!D138)," ",Character!D138)</f>
        <v xml:space="preserve"> </v>
      </c>
      <c r="E1700" t="str">
        <f>IF(ISBLANK(Character!E138)," ",Character!E138)</f>
        <v xml:space="preserve"> </v>
      </c>
      <c r="F1700" t="str">
        <f>IF(ISBLANK(Character!F138)," ",Character!F138)</f>
        <v xml:space="preserve"> </v>
      </c>
      <c r="G1700" t="str">
        <f>IF(ISBLANK(Character!G138)," ",Character!G138)</f>
        <v xml:space="preserve"> </v>
      </c>
      <c r="H1700" t="str">
        <f>IF(ISBLANK(Character!H138)," ",Character!H138)</f>
        <v xml:space="preserve"> </v>
      </c>
      <c r="I1700" t="str">
        <f>IF(ISBLANK(Character!I138)," ",Character!I138)</f>
        <v xml:space="preserve"> </v>
      </c>
      <c r="J1700" t="str">
        <f>IF(ISBLANK(Character!J138)," ",Character!J138)</f>
        <v xml:space="preserve"> </v>
      </c>
      <c r="K1700" t="str">
        <f>IF(ISBLANK(Character!K138)," ",Character!K138)</f>
        <v xml:space="preserve"> </v>
      </c>
      <c r="L1700" t="str">
        <f>IF(ISBLANK(Character!L138)," ",Character!L138)</f>
        <v xml:space="preserve"> </v>
      </c>
      <c r="M1700" t="str">
        <f>IF(ISBLANK(Character!M138)," ",Character!M138)</f>
        <v xml:space="preserve"> </v>
      </c>
      <c r="N1700" t="str">
        <f>IF(ISBLANK(Character!N138)," ",Character!N138)</f>
        <v xml:space="preserve"> </v>
      </c>
      <c r="O1700" t="str">
        <f>IF(ISBLANK(Character!O138)," ",Character!O138)</f>
        <v xml:space="preserve"> </v>
      </c>
      <c r="P1700" t="str">
        <f>IF(ISBLANK(Character!P138)," ",Character!P138)</f>
        <v xml:space="preserve"> </v>
      </c>
    </row>
    <row r="1701" spans="1:16" x14ac:dyDescent="0.2">
      <c r="A1701" s="460" t="str">
        <f>CONCATENATE(Posessions!A77,"|",Posessions!B77,"|",Posessions!C77,"|",Posessions!D77)</f>
        <v>|||</v>
      </c>
      <c r="B1701" t="str">
        <f>IF(ISBLANK(Character!B139)," ",Character!B139)</f>
        <v xml:space="preserve"> </v>
      </c>
      <c r="C1701" t="str">
        <f>IF(ISBLANK(Character!C139)," ",Character!C139)</f>
        <v xml:space="preserve"> </v>
      </c>
      <c r="D1701" t="str">
        <f>IF(ISBLANK(Character!D139)," ",Character!D139)</f>
        <v xml:space="preserve"> </v>
      </c>
      <c r="E1701" t="str">
        <f>IF(ISBLANK(Character!E139)," ",Character!E139)</f>
        <v xml:space="preserve"> </v>
      </c>
      <c r="F1701" t="str">
        <f>IF(ISBLANK(Character!F139)," ",Character!F139)</f>
        <v xml:space="preserve"> </v>
      </c>
      <c r="G1701" t="str">
        <f>IF(ISBLANK(Character!G139)," ",Character!G139)</f>
        <v xml:space="preserve"> </v>
      </c>
      <c r="H1701" t="str">
        <f>IF(ISBLANK(Character!H139)," ",Character!H139)</f>
        <v xml:space="preserve"> </v>
      </c>
      <c r="I1701" t="str">
        <f>IF(ISBLANK(Character!I139)," ",Character!I139)</f>
        <v xml:space="preserve"> </v>
      </c>
      <c r="J1701" t="str">
        <f>IF(ISBLANK(Character!J139)," ",Character!J139)</f>
        <v xml:space="preserve"> </v>
      </c>
      <c r="K1701" t="str">
        <f>IF(ISBLANK(Character!K139)," ",Character!K139)</f>
        <v xml:space="preserve"> </v>
      </c>
      <c r="L1701" t="str">
        <f>IF(ISBLANK(Character!L139)," ",Character!L139)</f>
        <v xml:space="preserve"> </v>
      </c>
      <c r="M1701" t="str">
        <f>IF(ISBLANK(Character!M139)," ",Character!M139)</f>
        <v xml:space="preserve"> </v>
      </c>
      <c r="N1701" t="str">
        <f>IF(ISBLANK(Character!N139)," ",Character!N139)</f>
        <v xml:space="preserve"> </v>
      </c>
      <c r="O1701" t="str">
        <f>IF(ISBLANK(Character!O139)," ",Character!O139)</f>
        <v xml:space="preserve"> </v>
      </c>
      <c r="P1701" t="str">
        <f>IF(ISBLANK(Character!P139)," ",Character!P139)</f>
        <v xml:space="preserve"> </v>
      </c>
    </row>
    <row r="1702" spans="1:16" x14ac:dyDescent="0.2">
      <c r="A1702" s="460" t="str">
        <f>CONCATENATE(Posessions!A78,"|",Posessions!B78,"|",Posessions!C78,"|",Posessions!D78)</f>
        <v>|||</v>
      </c>
      <c r="B1702" t="str">
        <f>IF(ISBLANK(Character!B140)," ",Character!B140)</f>
        <v xml:space="preserve"> </v>
      </c>
      <c r="C1702" t="str">
        <f>IF(ISBLANK(Character!C140)," ",Character!C140)</f>
        <v xml:space="preserve"> </v>
      </c>
      <c r="D1702" t="str">
        <f>IF(ISBLANK(Character!D140)," ",Character!D140)</f>
        <v xml:space="preserve"> </v>
      </c>
      <c r="E1702" t="str">
        <f>IF(ISBLANK(Character!E140)," ",Character!E140)</f>
        <v xml:space="preserve"> </v>
      </c>
      <c r="F1702" t="str">
        <f>IF(ISBLANK(Character!F140)," ",Character!F140)</f>
        <v xml:space="preserve"> </v>
      </c>
      <c r="G1702" t="str">
        <f>IF(ISBLANK(Character!G140)," ",Character!G140)</f>
        <v xml:space="preserve"> </v>
      </c>
      <c r="H1702" t="str">
        <f>IF(ISBLANK(Character!H140)," ",Character!H140)</f>
        <v xml:space="preserve"> </v>
      </c>
      <c r="I1702" t="str">
        <f>IF(ISBLANK(Character!I140)," ",Character!I140)</f>
        <v xml:space="preserve"> </v>
      </c>
      <c r="J1702" t="str">
        <f>IF(ISBLANK(Character!J140)," ",Character!J140)</f>
        <v xml:space="preserve"> </v>
      </c>
      <c r="K1702" t="str">
        <f>IF(ISBLANK(Character!K140)," ",Character!K140)</f>
        <v xml:space="preserve"> </v>
      </c>
      <c r="L1702" t="str">
        <f>IF(ISBLANK(Character!L140)," ",Character!L140)</f>
        <v xml:space="preserve"> </v>
      </c>
      <c r="M1702" t="str">
        <f>IF(ISBLANK(Character!M140)," ",Character!M140)</f>
        <v xml:space="preserve"> </v>
      </c>
      <c r="N1702" t="str">
        <f>IF(ISBLANK(Character!N140)," ",Character!N140)</f>
        <v xml:space="preserve"> </v>
      </c>
      <c r="O1702" t="str">
        <f>IF(ISBLANK(Character!O140)," ",Character!O140)</f>
        <v xml:space="preserve"> </v>
      </c>
      <c r="P1702" t="str">
        <f>IF(ISBLANK(Character!P140)," ",Character!P140)</f>
        <v xml:space="preserve"> </v>
      </c>
    </row>
    <row r="1703" spans="1:16" x14ac:dyDescent="0.2">
      <c r="A1703" s="460" t="str">
        <f>CONCATENATE(Posessions!A79,"|",Posessions!B79,"|",Posessions!C79,"|",Posessions!D79)</f>
        <v>|||</v>
      </c>
      <c r="B1703" t="str">
        <f>IF(ISBLANK(Character!B141)," ",Character!B141)</f>
        <v xml:space="preserve"> </v>
      </c>
      <c r="C1703" t="str">
        <f>IF(ISBLANK(Character!C141)," ",Character!C141)</f>
        <v xml:space="preserve"> </v>
      </c>
      <c r="D1703" t="str">
        <f>IF(ISBLANK(Character!D141)," ",Character!D141)</f>
        <v xml:space="preserve"> </v>
      </c>
      <c r="E1703" t="str">
        <f>IF(ISBLANK(Character!E141)," ",Character!E141)</f>
        <v xml:space="preserve"> </v>
      </c>
      <c r="F1703" t="str">
        <f>IF(ISBLANK(Character!F141)," ",Character!F141)</f>
        <v xml:space="preserve"> </v>
      </c>
      <c r="G1703" t="str">
        <f>IF(ISBLANK(Character!G141)," ",Character!G141)</f>
        <v xml:space="preserve"> </v>
      </c>
      <c r="H1703" t="str">
        <f>IF(ISBLANK(Character!H141)," ",Character!H141)</f>
        <v xml:space="preserve"> </v>
      </c>
      <c r="I1703" t="str">
        <f>IF(ISBLANK(Character!I141)," ",Character!I141)</f>
        <v xml:space="preserve"> </v>
      </c>
      <c r="J1703" t="str">
        <f>IF(ISBLANK(Character!J141)," ",Character!J141)</f>
        <v xml:space="preserve"> </v>
      </c>
      <c r="K1703" t="str">
        <f>IF(ISBLANK(Character!K141)," ",Character!K141)</f>
        <v xml:space="preserve"> </v>
      </c>
      <c r="L1703" t="str">
        <f>IF(ISBLANK(Character!L141)," ",Character!L141)</f>
        <v xml:space="preserve"> </v>
      </c>
      <c r="M1703" t="str">
        <f>IF(ISBLANK(Character!M141)," ",Character!M141)</f>
        <v xml:space="preserve"> </v>
      </c>
      <c r="N1703" t="str">
        <f>IF(ISBLANK(Character!N141)," ",Character!N141)</f>
        <v xml:space="preserve"> </v>
      </c>
      <c r="O1703" t="str">
        <f>IF(ISBLANK(Character!O141)," ",Character!O141)</f>
        <v xml:space="preserve"> </v>
      </c>
      <c r="P1703" t="str">
        <f>IF(ISBLANK(Character!P141)," ",Character!P141)</f>
        <v xml:space="preserve"> </v>
      </c>
    </row>
    <row r="1704" spans="1:16" x14ac:dyDescent="0.2">
      <c r="A1704" s="460" t="str">
        <f>CONCATENATE(Posessions!A80,"|",Posessions!B80,"|",Posessions!C80,"|",Posessions!D80)</f>
        <v>|||</v>
      </c>
      <c r="B1704" t="str">
        <f>IF(ISBLANK(Character!B142)," ",Character!B142)</f>
        <v xml:space="preserve"> </v>
      </c>
      <c r="C1704" t="str">
        <f>IF(ISBLANK(Character!C142)," ",Character!C142)</f>
        <v xml:space="preserve"> </v>
      </c>
      <c r="D1704" t="str">
        <f>IF(ISBLANK(Character!D142)," ",Character!D142)</f>
        <v xml:space="preserve"> </v>
      </c>
      <c r="E1704" t="str">
        <f>IF(ISBLANK(Character!E142)," ",Character!E142)</f>
        <v xml:space="preserve"> </v>
      </c>
      <c r="F1704" t="str">
        <f>IF(ISBLANK(Character!F142)," ",Character!F142)</f>
        <v xml:space="preserve"> </v>
      </c>
      <c r="G1704" t="str">
        <f>IF(ISBLANK(Character!G142)," ",Character!G142)</f>
        <v xml:space="preserve"> </v>
      </c>
      <c r="H1704" t="str">
        <f>IF(ISBLANK(Character!H142)," ",Character!H142)</f>
        <v xml:space="preserve"> </v>
      </c>
      <c r="I1704" t="str">
        <f>IF(ISBLANK(Character!I142)," ",Character!I142)</f>
        <v xml:space="preserve"> </v>
      </c>
      <c r="J1704" t="str">
        <f>IF(ISBLANK(Character!J142)," ",Character!J142)</f>
        <v xml:space="preserve"> </v>
      </c>
      <c r="K1704" t="str">
        <f>IF(ISBLANK(Character!K142)," ",Character!K142)</f>
        <v xml:space="preserve"> </v>
      </c>
      <c r="L1704" t="str">
        <f>IF(ISBLANK(Character!L142)," ",Character!L142)</f>
        <v xml:space="preserve"> </v>
      </c>
      <c r="M1704" t="str">
        <f>IF(ISBLANK(Character!M142)," ",Character!M142)</f>
        <v xml:space="preserve"> </v>
      </c>
      <c r="N1704" t="str">
        <f>IF(ISBLANK(Character!N142)," ",Character!N142)</f>
        <v xml:space="preserve"> </v>
      </c>
      <c r="O1704" t="str">
        <f>IF(ISBLANK(Character!O142)," ",Character!O142)</f>
        <v xml:space="preserve"> </v>
      </c>
      <c r="P1704" t="str">
        <f>IF(ISBLANK(Character!P142)," ",Character!P142)</f>
        <v xml:space="preserve"> </v>
      </c>
    </row>
    <row r="1705" spans="1:16" x14ac:dyDescent="0.2">
      <c r="A1705" s="460" t="str">
        <f>CONCATENATE(Posessions!A81,"|",Posessions!B81,"|",Posessions!C81,"|",Posessions!D81)</f>
        <v>|||</v>
      </c>
      <c r="B1705" t="str">
        <f>IF(ISBLANK(Character!B143)," ",Character!B143)</f>
        <v xml:space="preserve"> </v>
      </c>
      <c r="C1705" t="str">
        <f>IF(ISBLANK(Character!C143)," ",Character!C143)</f>
        <v xml:space="preserve"> </v>
      </c>
      <c r="D1705" t="str">
        <f>IF(ISBLANK(Character!D143)," ",Character!D143)</f>
        <v xml:space="preserve"> </v>
      </c>
      <c r="E1705" t="str">
        <f>IF(ISBLANK(Character!E143)," ",Character!E143)</f>
        <v xml:space="preserve"> </v>
      </c>
      <c r="F1705" t="str">
        <f>IF(ISBLANK(Character!F143)," ",Character!F143)</f>
        <v xml:space="preserve"> </v>
      </c>
      <c r="G1705" t="str">
        <f>IF(ISBLANK(Character!G143)," ",Character!G143)</f>
        <v xml:space="preserve"> </v>
      </c>
      <c r="H1705" t="str">
        <f>IF(ISBLANK(Character!H143)," ",Character!H143)</f>
        <v xml:space="preserve"> </v>
      </c>
      <c r="I1705" t="str">
        <f>IF(ISBLANK(Character!I143)," ",Character!I143)</f>
        <v xml:space="preserve"> </v>
      </c>
      <c r="J1705" t="str">
        <f>IF(ISBLANK(Character!J143)," ",Character!J143)</f>
        <v xml:space="preserve"> </v>
      </c>
      <c r="K1705" t="str">
        <f>IF(ISBLANK(Character!K143)," ",Character!K143)</f>
        <v xml:space="preserve"> </v>
      </c>
      <c r="L1705" t="str">
        <f>IF(ISBLANK(Character!L143)," ",Character!L143)</f>
        <v xml:space="preserve"> </v>
      </c>
      <c r="M1705" t="str">
        <f>IF(ISBLANK(Character!M143)," ",Character!M143)</f>
        <v xml:space="preserve"> </v>
      </c>
      <c r="N1705" t="str">
        <f>IF(ISBLANK(Character!N143)," ",Character!N143)</f>
        <v xml:space="preserve"> </v>
      </c>
      <c r="O1705" t="str">
        <f>IF(ISBLANK(Character!O143)," ",Character!O143)</f>
        <v xml:space="preserve"> </v>
      </c>
      <c r="P1705" t="str">
        <f>IF(ISBLANK(Character!P143)," ",Character!P143)</f>
        <v xml:space="preserve"> </v>
      </c>
    </row>
    <row r="1706" spans="1:16" x14ac:dyDescent="0.2">
      <c r="A1706" s="460" t="str">
        <f>CONCATENATE(Posessions!A82,"|",Posessions!B82,"|",Posessions!C82,"|",Posessions!D82)</f>
        <v>|||</v>
      </c>
      <c r="B1706" t="str">
        <f>IF(ISBLANK(Character!B144)," ",Character!B144)</f>
        <v xml:space="preserve"> </v>
      </c>
      <c r="C1706" t="str">
        <f>IF(ISBLANK(Character!C144)," ",Character!C144)</f>
        <v xml:space="preserve"> </v>
      </c>
      <c r="D1706" t="str">
        <f>IF(ISBLANK(Character!D144)," ",Character!D144)</f>
        <v xml:space="preserve"> </v>
      </c>
      <c r="E1706" t="str">
        <f>IF(ISBLANK(Character!E144)," ",Character!E144)</f>
        <v xml:space="preserve"> </v>
      </c>
      <c r="F1706" t="str">
        <f>IF(ISBLANK(Character!F144)," ",Character!F144)</f>
        <v xml:space="preserve"> </v>
      </c>
      <c r="G1706" t="str">
        <f>IF(ISBLANK(Character!G144)," ",Character!G144)</f>
        <v xml:space="preserve"> </v>
      </c>
      <c r="H1706" t="str">
        <f>IF(ISBLANK(Character!H144)," ",Character!H144)</f>
        <v xml:space="preserve"> </v>
      </c>
      <c r="I1706" t="str">
        <f>IF(ISBLANK(Character!I144)," ",Character!I144)</f>
        <v xml:space="preserve"> </v>
      </c>
      <c r="J1706" t="str">
        <f>IF(ISBLANK(Character!J144)," ",Character!J144)</f>
        <v xml:space="preserve"> </v>
      </c>
      <c r="K1706" t="str">
        <f>IF(ISBLANK(Character!K144)," ",Character!K144)</f>
        <v xml:space="preserve"> </v>
      </c>
      <c r="L1706" t="str">
        <f>IF(ISBLANK(Character!L144)," ",Character!L144)</f>
        <v xml:space="preserve"> </v>
      </c>
      <c r="M1706" t="str">
        <f>IF(ISBLANK(Character!M144)," ",Character!M144)</f>
        <v xml:space="preserve"> </v>
      </c>
      <c r="N1706" t="str">
        <f>IF(ISBLANK(Character!N144)," ",Character!N144)</f>
        <v xml:space="preserve"> </v>
      </c>
      <c r="O1706" t="str">
        <f>IF(ISBLANK(Character!O144)," ",Character!O144)</f>
        <v xml:space="preserve"> </v>
      </c>
      <c r="P1706" t="str">
        <f>IF(ISBLANK(Character!P144)," ",Character!P144)</f>
        <v xml:space="preserve"> </v>
      </c>
    </row>
    <row r="1707" spans="1:16" x14ac:dyDescent="0.2">
      <c r="A1707" s="460" t="str">
        <f>CONCATENATE(Posessions!A83,"|",Posessions!B83,"|",Posessions!C83,"|",Posessions!D83)</f>
        <v>|||</v>
      </c>
      <c r="B1707" t="str">
        <f>IF(ISBLANK(Character!B145)," ",Character!B145)</f>
        <v xml:space="preserve"> </v>
      </c>
      <c r="C1707" t="str">
        <f>IF(ISBLANK(Character!C145)," ",Character!C145)</f>
        <v xml:space="preserve"> </v>
      </c>
      <c r="D1707" t="str">
        <f>IF(ISBLANK(Character!D145)," ",Character!D145)</f>
        <v xml:space="preserve"> </v>
      </c>
      <c r="E1707" t="str">
        <f>IF(ISBLANK(Character!E145)," ",Character!E145)</f>
        <v xml:space="preserve"> </v>
      </c>
      <c r="F1707" t="str">
        <f>IF(ISBLANK(Character!F145)," ",Character!F145)</f>
        <v xml:space="preserve"> </v>
      </c>
      <c r="G1707" t="str">
        <f>IF(ISBLANK(Character!G145)," ",Character!G145)</f>
        <v xml:space="preserve"> </v>
      </c>
      <c r="H1707" t="str">
        <f>IF(ISBLANK(Character!H145)," ",Character!H145)</f>
        <v xml:space="preserve"> </v>
      </c>
      <c r="I1707" t="str">
        <f>IF(ISBLANK(Character!I145)," ",Character!I145)</f>
        <v xml:space="preserve"> </v>
      </c>
      <c r="J1707" t="str">
        <f>IF(ISBLANK(Character!J145)," ",Character!J145)</f>
        <v xml:space="preserve"> </v>
      </c>
      <c r="K1707" t="str">
        <f>IF(ISBLANK(Character!K145)," ",Character!K145)</f>
        <v xml:space="preserve"> </v>
      </c>
      <c r="L1707" t="str">
        <f>IF(ISBLANK(Character!L145)," ",Character!L145)</f>
        <v xml:space="preserve"> </v>
      </c>
      <c r="M1707" t="str">
        <f>IF(ISBLANK(Character!M145)," ",Character!M145)</f>
        <v xml:space="preserve"> </v>
      </c>
      <c r="N1707" t="str">
        <f>IF(ISBLANK(Character!N145)," ",Character!N145)</f>
        <v xml:space="preserve"> </v>
      </c>
      <c r="O1707" t="str">
        <f>IF(ISBLANK(Character!O145)," ",Character!O145)</f>
        <v xml:space="preserve"> </v>
      </c>
      <c r="P1707" t="str">
        <f>IF(ISBLANK(Character!P145)," ",Character!P145)</f>
        <v xml:space="preserve"> </v>
      </c>
    </row>
    <row r="1708" spans="1:16" x14ac:dyDescent="0.2">
      <c r="A1708" s="460" t="str">
        <f>CONCATENATE(Posessions!A84,"|",Posessions!B84,"|",Posessions!C84,"|",Posessions!D84)</f>
        <v>|||</v>
      </c>
      <c r="B1708" t="str">
        <f>IF(ISBLANK(Character!B146)," ",Character!B146)</f>
        <v xml:space="preserve"> </v>
      </c>
      <c r="C1708" t="str">
        <f>IF(ISBLANK(Character!C146)," ",Character!C146)</f>
        <v xml:space="preserve"> </v>
      </c>
      <c r="D1708" t="str">
        <f>IF(ISBLANK(Character!D146)," ",Character!D146)</f>
        <v xml:space="preserve"> </v>
      </c>
      <c r="E1708" t="str">
        <f>IF(ISBLANK(Character!E146)," ",Character!E146)</f>
        <v xml:space="preserve"> </v>
      </c>
      <c r="F1708" t="str">
        <f>IF(ISBLANK(Character!F146)," ",Character!F146)</f>
        <v xml:space="preserve"> </v>
      </c>
      <c r="G1708" t="str">
        <f>IF(ISBLANK(Character!G146)," ",Character!G146)</f>
        <v xml:space="preserve"> </v>
      </c>
      <c r="H1708" t="str">
        <f>IF(ISBLANK(Character!H146)," ",Character!H146)</f>
        <v xml:space="preserve"> </v>
      </c>
      <c r="I1708" t="str">
        <f>IF(ISBLANK(Character!I146)," ",Character!I146)</f>
        <v xml:space="preserve"> </v>
      </c>
      <c r="J1708" t="str">
        <f>IF(ISBLANK(Character!J146)," ",Character!J146)</f>
        <v xml:space="preserve"> </v>
      </c>
      <c r="K1708" t="str">
        <f>IF(ISBLANK(Character!K146)," ",Character!K146)</f>
        <v xml:space="preserve"> </v>
      </c>
      <c r="L1708" t="str">
        <f>IF(ISBLANK(Character!L146)," ",Character!L146)</f>
        <v xml:space="preserve"> </v>
      </c>
      <c r="M1708" t="str">
        <f>IF(ISBLANK(Character!M146)," ",Character!M146)</f>
        <v xml:space="preserve"> </v>
      </c>
      <c r="N1708" t="str">
        <f>IF(ISBLANK(Character!N146)," ",Character!N146)</f>
        <v xml:space="preserve"> </v>
      </c>
      <c r="O1708" t="str">
        <f>IF(ISBLANK(Character!O146)," ",Character!O146)</f>
        <v xml:space="preserve"> </v>
      </c>
      <c r="P1708" t="str">
        <f>IF(ISBLANK(Character!P146)," ",Character!P146)</f>
        <v xml:space="preserve"> </v>
      </c>
    </row>
    <row r="1709" spans="1:16" x14ac:dyDescent="0.2">
      <c r="A1709" s="460" t="str">
        <f>CONCATENATE(Posessions!A85,"|",Posessions!B85,"|",Posessions!C85,"|",Posessions!D85)</f>
        <v>|||</v>
      </c>
      <c r="B1709" t="str">
        <f>IF(ISBLANK(Character!B147)," ",Character!B147)</f>
        <v xml:space="preserve"> </v>
      </c>
      <c r="C1709" t="str">
        <f>IF(ISBLANK(Character!C147)," ",Character!C147)</f>
        <v xml:space="preserve"> </v>
      </c>
      <c r="D1709" t="str">
        <f>IF(ISBLANK(Character!D147)," ",Character!D147)</f>
        <v xml:space="preserve"> </v>
      </c>
      <c r="E1709" t="str">
        <f>IF(ISBLANK(Character!E147)," ",Character!E147)</f>
        <v xml:space="preserve"> </v>
      </c>
      <c r="F1709" t="str">
        <f>IF(ISBLANK(Character!F147)," ",Character!F147)</f>
        <v xml:space="preserve"> </v>
      </c>
      <c r="G1709" t="str">
        <f>IF(ISBLANK(Character!G147)," ",Character!G147)</f>
        <v xml:space="preserve"> </v>
      </c>
      <c r="H1709" t="str">
        <f>IF(ISBLANK(Character!H147)," ",Character!H147)</f>
        <v xml:space="preserve"> </v>
      </c>
      <c r="I1709" t="str">
        <f>IF(ISBLANK(Character!I147)," ",Character!I147)</f>
        <v xml:space="preserve"> </v>
      </c>
      <c r="J1709" t="str">
        <f>IF(ISBLANK(Character!J147)," ",Character!J147)</f>
        <v xml:space="preserve"> </v>
      </c>
      <c r="K1709" t="str">
        <f>IF(ISBLANK(Character!K147)," ",Character!K147)</f>
        <v xml:space="preserve"> </v>
      </c>
      <c r="L1709" t="str">
        <f>IF(ISBLANK(Character!L147)," ",Character!L147)</f>
        <v xml:space="preserve"> </v>
      </c>
      <c r="M1709" t="str">
        <f>IF(ISBLANK(Character!M147)," ",Character!M147)</f>
        <v xml:space="preserve"> </v>
      </c>
      <c r="N1709" t="str">
        <f>IF(ISBLANK(Character!N147)," ",Character!N147)</f>
        <v xml:space="preserve"> </v>
      </c>
      <c r="O1709" t="str">
        <f>IF(ISBLANK(Character!O147)," ",Character!O147)</f>
        <v xml:space="preserve"> </v>
      </c>
      <c r="P1709" t="str">
        <f>IF(ISBLANK(Character!P147)," ",Character!P147)</f>
        <v xml:space="preserve"> </v>
      </c>
    </row>
    <row r="1710" spans="1:16" x14ac:dyDescent="0.2">
      <c r="A1710" s="460" t="str">
        <f>CONCATENATE(Posessions!A86,"|",Posessions!B86,"|",Posessions!C86,"|",Posessions!D86)</f>
        <v>|||</v>
      </c>
      <c r="B1710" t="str">
        <f>IF(ISBLANK(Character!B148)," ",Character!B148)</f>
        <v xml:space="preserve"> </v>
      </c>
      <c r="C1710" t="str">
        <f>IF(ISBLANK(Character!C148)," ",Character!C148)</f>
        <v xml:space="preserve"> </v>
      </c>
      <c r="D1710" t="str">
        <f>IF(ISBLANK(Character!D148)," ",Character!D148)</f>
        <v xml:space="preserve"> </v>
      </c>
      <c r="E1710" t="str">
        <f>IF(ISBLANK(Character!E148)," ",Character!E148)</f>
        <v xml:space="preserve"> </v>
      </c>
      <c r="F1710" t="str">
        <f>IF(ISBLANK(Character!F148)," ",Character!F148)</f>
        <v xml:space="preserve"> </v>
      </c>
      <c r="G1710" t="str">
        <f>IF(ISBLANK(Character!G148)," ",Character!G148)</f>
        <v xml:space="preserve"> </v>
      </c>
      <c r="H1710" t="str">
        <f>IF(ISBLANK(Character!H148)," ",Character!H148)</f>
        <v xml:space="preserve"> </v>
      </c>
      <c r="I1710" t="str">
        <f>IF(ISBLANK(Character!I148)," ",Character!I148)</f>
        <v xml:space="preserve"> </v>
      </c>
      <c r="J1710" t="str">
        <f>IF(ISBLANK(Character!J148)," ",Character!J148)</f>
        <v xml:space="preserve"> </v>
      </c>
      <c r="K1710" t="str">
        <f>IF(ISBLANK(Character!K148)," ",Character!K148)</f>
        <v xml:space="preserve"> </v>
      </c>
      <c r="L1710" t="str">
        <f>IF(ISBLANK(Character!L148)," ",Character!L148)</f>
        <v xml:space="preserve"> </v>
      </c>
      <c r="M1710" t="str">
        <f>IF(ISBLANK(Character!M148)," ",Character!M148)</f>
        <v xml:space="preserve"> </v>
      </c>
      <c r="N1710" t="str">
        <f>IF(ISBLANK(Character!N148)," ",Character!N148)</f>
        <v xml:space="preserve"> </v>
      </c>
      <c r="O1710" t="str">
        <f>IF(ISBLANK(Character!O148)," ",Character!O148)</f>
        <v xml:space="preserve"> </v>
      </c>
      <c r="P1710" t="str">
        <f>IF(ISBLANK(Character!P148)," ",Character!P148)</f>
        <v xml:space="preserve"> </v>
      </c>
    </row>
    <row r="1711" spans="1:16" x14ac:dyDescent="0.2">
      <c r="A1711" s="460" t="str">
        <f>CONCATENATE(Posessions!A87,"|",Posessions!B87,"|",Posessions!C87,"|",Posessions!D87)</f>
        <v>|||</v>
      </c>
      <c r="B1711" t="str">
        <f>IF(ISBLANK(Character!B149)," ",Character!B149)</f>
        <v xml:space="preserve"> </v>
      </c>
      <c r="C1711" t="str">
        <f>IF(ISBLANK(Character!C149)," ",Character!C149)</f>
        <v xml:space="preserve"> </v>
      </c>
      <c r="D1711" t="str">
        <f>IF(ISBLANK(Character!D149)," ",Character!D149)</f>
        <v xml:space="preserve"> </v>
      </c>
      <c r="E1711" t="str">
        <f>IF(ISBLANK(Character!E149)," ",Character!E149)</f>
        <v xml:space="preserve"> </v>
      </c>
      <c r="F1711" t="str">
        <f>IF(ISBLANK(Character!F149)," ",Character!F149)</f>
        <v xml:space="preserve"> </v>
      </c>
      <c r="G1711" t="str">
        <f>IF(ISBLANK(Character!G149)," ",Character!G149)</f>
        <v xml:space="preserve"> </v>
      </c>
      <c r="H1711" t="str">
        <f>IF(ISBLANK(Character!H149)," ",Character!H149)</f>
        <v xml:space="preserve"> </v>
      </c>
      <c r="I1711" t="str">
        <f>IF(ISBLANK(Character!I149)," ",Character!I149)</f>
        <v xml:space="preserve"> </v>
      </c>
      <c r="J1711" t="str">
        <f>IF(ISBLANK(Character!J149)," ",Character!J149)</f>
        <v xml:space="preserve"> </v>
      </c>
      <c r="K1711" t="str">
        <f>IF(ISBLANK(Character!K149)," ",Character!K149)</f>
        <v xml:space="preserve"> </v>
      </c>
      <c r="L1711" t="str">
        <f>IF(ISBLANK(Character!L149)," ",Character!L149)</f>
        <v xml:space="preserve"> </v>
      </c>
      <c r="M1711" t="str">
        <f>IF(ISBLANK(Character!M149)," ",Character!M149)</f>
        <v xml:space="preserve"> </v>
      </c>
      <c r="N1711" t="str">
        <f>IF(ISBLANK(Character!N149)," ",Character!N149)</f>
        <v xml:space="preserve"> </v>
      </c>
      <c r="O1711" t="str">
        <f>IF(ISBLANK(Character!O149)," ",Character!O149)</f>
        <v xml:space="preserve"> </v>
      </c>
      <c r="P1711" t="str">
        <f>IF(ISBLANK(Character!P149)," ",Character!P149)</f>
        <v xml:space="preserve"> </v>
      </c>
    </row>
    <row r="1712" spans="1:16" x14ac:dyDescent="0.2">
      <c r="A1712" s="460" t="str">
        <f>CONCATENATE(Posessions!A88,"|",Posessions!B88,"|",Posessions!C88,"|",Posessions!D88)</f>
        <v>|||</v>
      </c>
      <c r="B1712" t="str">
        <f>IF(ISBLANK(Character!B150)," ",Character!B150)</f>
        <v xml:space="preserve"> </v>
      </c>
      <c r="C1712" t="str">
        <f>IF(ISBLANK(Character!C150)," ",Character!C150)</f>
        <v xml:space="preserve"> </v>
      </c>
      <c r="D1712" t="str">
        <f>IF(ISBLANK(Character!D150)," ",Character!D150)</f>
        <v xml:space="preserve"> </v>
      </c>
      <c r="E1712" t="str">
        <f>IF(ISBLANK(Character!E150)," ",Character!E150)</f>
        <v xml:space="preserve"> </v>
      </c>
      <c r="F1712" t="str">
        <f>IF(ISBLANK(Character!F150)," ",Character!F150)</f>
        <v xml:space="preserve"> </v>
      </c>
      <c r="G1712" t="str">
        <f>IF(ISBLANK(Character!G150)," ",Character!G150)</f>
        <v xml:space="preserve"> </v>
      </c>
      <c r="H1712" t="str">
        <f>IF(ISBLANK(Character!H150)," ",Character!H150)</f>
        <v xml:space="preserve"> </v>
      </c>
      <c r="I1712" t="str">
        <f>IF(ISBLANK(Character!I150)," ",Character!I150)</f>
        <v xml:space="preserve"> </v>
      </c>
      <c r="J1712" t="str">
        <f>IF(ISBLANK(Character!J150)," ",Character!J150)</f>
        <v xml:space="preserve"> </v>
      </c>
      <c r="K1712" t="str">
        <f>IF(ISBLANK(Character!K150)," ",Character!K150)</f>
        <v xml:space="preserve"> </v>
      </c>
      <c r="L1712" t="str">
        <f>IF(ISBLANK(Character!L150)," ",Character!L150)</f>
        <v xml:space="preserve"> </v>
      </c>
      <c r="M1712" t="str">
        <f>IF(ISBLANK(Character!M150)," ",Character!M150)</f>
        <v xml:space="preserve"> </v>
      </c>
      <c r="N1712" t="str">
        <f>IF(ISBLANK(Character!N150)," ",Character!N150)</f>
        <v xml:space="preserve"> </v>
      </c>
      <c r="O1712" t="str">
        <f>IF(ISBLANK(Character!O150)," ",Character!O150)</f>
        <v xml:space="preserve"> </v>
      </c>
      <c r="P1712" t="str">
        <f>IF(ISBLANK(Character!P150)," ",Character!P150)</f>
        <v xml:space="preserve"> </v>
      </c>
    </row>
    <row r="1713" spans="1:16" x14ac:dyDescent="0.2">
      <c r="A1713" s="460" t="str">
        <f>CONCATENATE(Posessions!A89,"|",Posessions!B89,"|",Posessions!C89,"|",Posessions!D89)</f>
        <v>|||</v>
      </c>
      <c r="B1713" t="str">
        <f>IF(ISBLANK(Character!B151)," ",Character!B151)</f>
        <v xml:space="preserve"> </v>
      </c>
      <c r="C1713" t="str">
        <f>IF(ISBLANK(Character!C151)," ",Character!C151)</f>
        <v xml:space="preserve"> </v>
      </c>
      <c r="D1713" t="str">
        <f>IF(ISBLANK(Character!D151)," ",Character!D151)</f>
        <v xml:space="preserve"> </v>
      </c>
      <c r="E1713" t="str">
        <f>IF(ISBLANK(Character!E151)," ",Character!E151)</f>
        <v xml:space="preserve"> </v>
      </c>
      <c r="F1713" t="str">
        <f>IF(ISBLANK(Character!F151)," ",Character!F151)</f>
        <v xml:space="preserve"> </v>
      </c>
      <c r="G1713" t="str">
        <f>IF(ISBLANK(Character!G151)," ",Character!G151)</f>
        <v xml:space="preserve"> </v>
      </c>
      <c r="H1713" t="str">
        <f>IF(ISBLANK(Character!H151)," ",Character!H151)</f>
        <v xml:space="preserve"> </v>
      </c>
      <c r="I1713" t="str">
        <f>IF(ISBLANK(Character!I151)," ",Character!I151)</f>
        <v xml:space="preserve"> </v>
      </c>
      <c r="J1713" t="str">
        <f>IF(ISBLANK(Character!J151)," ",Character!J151)</f>
        <v xml:space="preserve"> </v>
      </c>
      <c r="K1713" t="str">
        <f>IF(ISBLANK(Character!K151)," ",Character!K151)</f>
        <v xml:space="preserve"> </v>
      </c>
      <c r="L1713" t="str">
        <f>IF(ISBLANK(Character!L151)," ",Character!L151)</f>
        <v xml:space="preserve"> </v>
      </c>
      <c r="M1713" t="str">
        <f>IF(ISBLANK(Character!M151)," ",Character!M151)</f>
        <v xml:space="preserve"> </v>
      </c>
      <c r="N1713" t="str">
        <f>IF(ISBLANK(Character!N151)," ",Character!N151)</f>
        <v xml:space="preserve"> </v>
      </c>
      <c r="O1713" t="str">
        <f>IF(ISBLANK(Character!O151)," ",Character!O151)</f>
        <v xml:space="preserve"> </v>
      </c>
      <c r="P1713" t="str">
        <f>IF(ISBLANK(Character!P151)," ",Character!P151)</f>
        <v xml:space="preserve"> </v>
      </c>
    </row>
    <row r="1714" spans="1:16" x14ac:dyDescent="0.2">
      <c r="A1714" s="460" t="str">
        <f>CONCATENATE(Posessions!A90,"|",Posessions!B90,"|",Posessions!C90,"|",Posessions!D90)</f>
        <v>|||</v>
      </c>
      <c r="B1714" t="str">
        <f>IF(ISBLANK(Character!B152)," ",Character!B152)</f>
        <v xml:space="preserve"> </v>
      </c>
      <c r="C1714" t="str">
        <f>IF(ISBLANK(Character!C152)," ",Character!C152)</f>
        <v xml:space="preserve"> </v>
      </c>
      <c r="D1714" t="str">
        <f>IF(ISBLANK(Character!D152)," ",Character!D152)</f>
        <v xml:space="preserve"> </v>
      </c>
      <c r="E1714" t="str">
        <f>IF(ISBLANK(Character!E152)," ",Character!E152)</f>
        <v xml:space="preserve"> </v>
      </c>
      <c r="F1714" t="str">
        <f>IF(ISBLANK(Character!F152)," ",Character!F152)</f>
        <v xml:space="preserve"> </v>
      </c>
      <c r="G1714" t="str">
        <f>IF(ISBLANK(Character!G152)," ",Character!G152)</f>
        <v xml:space="preserve"> </v>
      </c>
      <c r="H1714" t="str">
        <f>IF(ISBLANK(Character!H152)," ",Character!H152)</f>
        <v xml:space="preserve"> </v>
      </c>
      <c r="I1714" t="str">
        <f>IF(ISBLANK(Character!I152)," ",Character!I152)</f>
        <v xml:space="preserve"> </v>
      </c>
      <c r="J1714" t="str">
        <f>IF(ISBLANK(Character!J152)," ",Character!J152)</f>
        <v xml:space="preserve"> </v>
      </c>
      <c r="K1714" t="str">
        <f>IF(ISBLANK(Character!K152)," ",Character!K152)</f>
        <v xml:space="preserve"> </v>
      </c>
      <c r="L1714" t="str">
        <f>IF(ISBLANK(Character!L152)," ",Character!L152)</f>
        <v xml:space="preserve"> </v>
      </c>
      <c r="M1714" t="str">
        <f>IF(ISBLANK(Character!M152)," ",Character!M152)</f>
        <v xml:space="preserve"> </v>
      </c>
      <c r="N1714" t="str">
        <f>IF(ISBLANK(Character!N152)," ",Character!N152)</f>
        <v xml:space="preserve"> </v>
      </c>
      <c r="O1714" t="str">
        <f>IF(ISBLANK(Character!O152)," ",Character!O152)</f>
        <v xml:space="preserve"> </v>
      </c>
      <c r="P1714" t="str">
        <f>IF(ISBLANK(Character!P152)," ",Character!P152)</f>
        <v xml:space="preserve"> </v>
      </c>
    </row>
    <row r="1715" spans="1:16" x14ac:dyDescent="0.2">
      <c r="A1715" s="460" t="str">
        <f>CONCATENATE(Posessions!A91,"|",Posessions!B91,"|",Posessions!C91,"|",Posessions!D91)</f>
        <v>|||</v>
      </c>
      <c r="B1715" t="str">
        <f>IF(ISBLANK(Character!B153)," ",Character!B153)</f>
        <v xml:space="preserve"> </v>
      </c>
      <c r="C1715" t="str">
        <f>IF(ISBLANK(Character!C153)," ",Character!C153)</f>
        <v xml:space="preserve"> </v>
      </c>
      <c r="D1715" t="str">
        <f>IF(ISBLANK(Character!D153)," ",Character!D153)</f>
        <v xml:space="preserve"> </v>
      </c>
      <c r="E1715" t="str">
        <f>IF(ISBLANK(Character!E153)," ",Character!E153)</f>
        <v xml:space="preserve"> </v>
      </c>
      <c r="F1715" t="str">
        <f>IF(ISBLANK(Character!F153)," ",Character!F153)</f>
        <v xml:space="preserve"> </v>
      </c>
      <c r="G1715" t="str">
        <f>IF(ISBLANK(Character!G153)," ",Character!G153)</f>
        <v xml:space="preserve"> </v>
      </c>
      <c r="H1715" t="str">
        <f>IF(ISBLANK(Character!H153)," ",Character!H153)</f>
        <v xml:space="preserve"> </v>
      </c>
      <c r="I1715" t="str">
        <f>IF(ISBLANK(Character!I153)," ",Character!I153)</f>
        <v xml:space="preserve"> </v>
      </c>
      <c r="J1715" t="str">
        <f>IF(ISBLANK(Character!J153)," ",Character!J153)</f>
        <v xml:space="preserve"> </v>
      </c>
      <c r="K1715" t="str">
        <f>IF(ISBLANK(Character!K153)," ",Character!K153)</f>
        <v xml:space="preserve"> </v>
      </c>
      <c r="L1715" t="str">
        <f>IF(ISBLANK(Character!L153)," ",Character!L153)</f>
        <v xml:space="preserve"> </v>
      </c>
      <c r="M1715" t="str">
        <f>IF(ISBLANK(Character!M153)," ",Character!M153)</f>
        <v xml:space="preserve"> </v>
      </c>
      <c r="N1715" t="str">
        <f>IF(ISBLANK(Character!N153)," ",Character!N153)</f>
        <v xml:space="preserve"> </v>
      </c>
      <c r="O1715" t="str">
        <f>IF(ISBLANK(Character!O153)," ",Character!O153)</f>
        <v xml:space="preserve"> </v>
      </c>
      <c r="P1715" t="str">
        <f>IF(ISBLANK(Character!P153)," ",Character!P153)</f>
        <v xml:space="preserve"> </v>
      </c>
    </row>
    <row r="1716" spans="1:16" x14ac:dyDescent="0.2">
      <c r="A1716" s="460" t="str">
        <f>CONCATENATE(Posessions!A92,"|",Posessions!B92,"|",Posessions!C92,"|",Posessions!D92)</f>
        <v>|||</v>
      </c>
      <c r="B1716" t="str">
        <f>IF(ISBLANK(Character!B154)," ",Character!B154)</f>
        <v xml:space="preserve"> </v>
      </c>
      <c r="C1716" t="str">
        <f>IF(ISBLANK(Character!C154)," ",Character!C154)</f>
        <v xml:space="preserve"> </v>
      </c>
      <c r="D1716" t="str">
        <f>IF(ISBLANK(Character!D154)," ",Character!D154)</f>
        <v xml:space="preserve"> </v>
      </c>
      <c r="E1716" t="str">
        <f>IF(ISBLANK(Character!E154)," ",Character!E154)</f>
        <v xml:space="preserve"> </v>
      </c>
      <c r="F1716" t="str">
        <f>IF(ISBLANK(Character!F154)," ",Character!F154)</f>
        <v xml:space="preserve"> </v>
      </c>
      <c r="G1716" t="str">
        <f>IF(ISBLANK(Character!G154)," ",Character!G154)</f>
        <v xml:space="preserve"> </v>
      </c>
      <c r="H1716" t="str">
        <f>IF(ISBLANK(Character!H154)," ",Character!H154)</f>
        <v xml:space="preserve"> </v>
      </c>
      <c r="I1716" t="str">
        <f>IF(ISBLANK(Character!I154)," ",Character!I154)</f>
        <v xml:space="preserve"> </v>
      </c>
      <c r="J1716" t="str">
        <f>IF(ISBLANK(Character!J154)," ",Character!J154)</f>
        <v xml:space="preserve"> </v>
      </c>
      <c r="K1716" t="str">
        <f>IF(ISBLANK(Character!K154)," ",Character!K154)</f>
        <v xml:space="preserve"> </v>
      </c>
      <c r="L1716" t="str">
        <f>IF(ISBLANK(Character!L154)," ",Character!L154)</f>
        <v xml:space="preserve"> </v>
      </c>
      <c r="M1716" t="str">
        <f>IF(ISBLANK(Character!M154)," ",Character!M154)</f>
        <v xml:space="preserve"> </v>
      </c>
      <c r="N1716" t="str">
        <f>IF(ISBLANK(Character!N154)," ",Character!N154)</f>
        <v xml:space="preserve"> </v>
      </c>
      <c r="O1716" t="str">
        <f>IF(ISBLANK(Character!O154)," ",Character!O154)</f>
        <v xml:space="preserve"> </v>
      </c>
      <c r="P1716" t="str">
        <f>IF(ISBLANK(Character!P154)," ",Character!P154)</f>
        <v xml:space="preserve"> </v>
      </c>
    </row>
    <row r="1717" spans="1:16" x14ac:dyDescent="0.2">
      <c r="A1717" s="460" t="str">
        <f>CONCATENATE(Posessions!A93,"|",Posessions!B93,"|",Posessions!C93,"|",Posessions!D93)</f>
        <v>|||</v>
      </c>
      <c r="B1717" t="str">
        <f>IF(ISBLANK(Character!B155)," ",Character!B155)</f>
        <v xml:space="preserve"> </v>
      </c>
      <c r="C1717" t="str">
        <f>IF(ISBLANK(Character!C155)," ",Character!C155)</f>
        <v xml:space="preserve"> </v>
      </c>
      <c r="D1717" t="str">
        <f>IF(ISBLANK(Character!D155)," ",Character!D155)</f>
        <v xml:space="preserve"> </v>
      </c>
      <c r="E1717" t="str">
        <f>IF(ISBLANK(Character!E155)," ",Character!E155)</f>
        <v xml:space="preserve"> </v>
      </c>
      <c r="F1717" t="str">
        <f>IF(ISBLANK(Character!F155)," ",Character!F155)</f>
        <v xml:space="preserve"> </v>
      </c>
      <c r="G1717" t="str">
        <f>IF(ISBLANK(Character!G155)," ",Character!G155)</f>
        <v xml:space="preserve"> </v>
      </c>
      <c r="H1717" t="str">
        <f>IF(ISBLANK(Character!H155)," ",Character!H155)</f>
        <v xml:space="preserve"> </v>
      </c>
      <c r="I1717" t="str">
        <f>IF(ISBLANK(Character!I155)," ",Character!I155)</f>
        <v xml:space="preserve"> </v>
      </c>
      <c r="J1717" t="str">
        <f>IF(ISBLANK(Character!J155)," ",Character!J155)</f>
        <v xml:space="preserve"> </v>
      </c>
      <c r="K1717" t="str">
        <f>IF(ISBLANK(Character!K155)," ",Character!K155)</f>
        <v xml:space="preserve"> </v>
      </c>
      <c r="L1717" t="str">
        <f>IF(ISBLANK(Character!L155)," ",Character!L155)</f>
        <v xml:space="preserve"> </v>
      </c>
      <c r="M1717" t="str">
        <f>IF(ISBLANK(Character!M155)," ",Character!M155)</f>
        <v xml:space="preserve"> </v>
      </c>
      <c r="N1717" t="str">
        <f>IF(ISBLANK(Character!N155)," ",Character!N155)</f>
        <v xml:space="preserve"> </v>
      </c>
      <c r="O1717" t="str">
        <f>IF(ISBLANK(Character!O155)," ",Character!O155)</f>
        <v xml:space="preserve"> </v>
      </c>
      <c r="P1717" t="str">
        <f>IF(ISBLANK(Character!P155)," ",Character!P155)</f>
        <v xml:space="preserve"> </v>
      </c>
    </row>
    <row r="1718" spans="1:16" x14ac:dyDescent="0.2">
      <c r="A1718" s="460" t="str">
        <f>CONCATENATE(Posessions!A94,"|",Posessions!B94,"|",Posessions!C94,"|",Posessions!D94)</f>
        <v>|||</v>
      </c>
      <c r="B1718" t="str">
        <f>IF(ISBLANK(Character!B156)," ",Character!B156)</f>
        <v xml:space="preserve"> </v>
      </c>
      <c r="C1718" t="str">
        <f>IF(ISBLANK(Character!C156)," ",Character!C156)</f>
        <v xml:space="preserve"> </v>
      </c>
      <c r="D1718" t="str">
        <f>IF(ISBLANK(Character!D156)," ",Character!D156)</f>
        <v xml:space="preserve"> </v>
      </c>
      <c r="E1718" t="str">
        <f>IF(ISBLANK(Character!E156)," ",Character!E156)</f>
        <v xml:space="preserve"> </v>
      </c>
      <c r="F1718" t="str">
        <f>IF(ISBLANK(Character!F156)," ",Character!F156)</f>
        <v xml:space="preserve"> </v>
      </c>
      <c r="G1718" t="str">
        <f>IF(ISBLANK(Character!G156)," ",Character!G156)</f>
        <v xml:space="preserve"> </v>
      </c>
      <c r="H1718" t="str">
        <f>IF(ISBLANK(Character!H156)," ",Character!H156)</f>
        <v xml:space="preserve"> </v>
      </c>
      <c r="I1718" t="str">
        <f>IF(ISBLANK(Character!I156)," ",Character!I156)</f>
        <v xml:space="preserve"> </v>
      </c>
      <c r="J1718" t="str">
        <f>IF(ISBLANK(Character!J156)," ",Character!J156)</f>
        <v xml:space="preserve"> </v>
      </c>
      <c r="K1718" t="str">
        <f>IF(ISBLANK(Character!K156)," ",Character!K156)</f>
        <v xml:space="preserve"> </v>
      </c>
      <c r="L1718" t="str">
        <f>IF(ISBLANK(Character!L156)," ",Character!L156)</f>
        <v xml:space="preserve"> </v>
      </c>
      <c r="M1718" t="str">
        <f>IF(ISBLANK(Character!M156)," ",Character!M156)</f>
        <v xml:space="preserve"> </v>
      </c>
      <c r="N1718" t="str">
        <f>IF(ISBLANK(Character!N156)," ",Character!N156)</f>
        <v xml:space="preserve"> </v>
      </c>
      <c r="O1718" t="str">
        <f>IF(ISBLANK(Character!O156)," ",Character!O156)</f>
        <v xml:space="preserve"> </v>
      </c>
      <c r="P1718" t="str">
        <f>IF(ISBLANK(Character!P156)," ",Character!P156)</f>
        <v xml:space="preserve"> </v>
      </c>
    </row>
    <row r="1719" spans="1:16" x14ac:dyDescent="0.2">
      <c r="A1719" s="460" t="str">
        <f>CONCATENATE(Posessions!A95,"|",Posessions!B95,"|",Posessions!C95,"|",Posessions!D95)</f>
        <v>|||</v>
      </c>
      <c r="B1719" t="str">
        <f>IF(ISBLANK(Character!B157)," ",Character!B157)</f>
        <v xml:space="preserve"> </v>
      </c>
      <c r="C1719" t="str">
        <f>IF(ISBLANK(Character!C157)," ",Character!C157)</f>
        <v xml:space="preserve"> </v>
      </c>
      <c r="D1719" t="str">
        <f>IF(ISBLANK(Character!D157)," ",Character!D157)</f>
        <v xml:space="preserve"> </v>
      </c>
      <c r="E1719" t="str">
        <f>IF(ISBLANK(Character!E157)," ",Character!E157)</f>
        <v xml:space="preserve"> </v>
      </c>
      <c r="F1719" t="str">
        <f>IF(ISBLANK(Character!F157)," ",Character!F157)</f>
        <v xml:space="preserve"> </v>
      </c>
      <c r="G1719" t="str">
        <f>IF(ISBLANK(Character!G157)," ",Character!G157)</f>
        <v xml:space="preserve"> </v>
      </c>
      <c r="H1719" t="str">
        <f>IF(ISBLANK(Character!H157)," ",Character!H157)</f>
        <v xml:space="preserve"> </v>
      </c>
      <c r="I1719" t="str">
        <f>IF(ISBLANK(Character!I157)," ",Character!I157)</f>
        <v xml:space="preserve"> </v>
      </c>
      <c r="J1719" t="str">
        <f>IF(ISBLANK(Character!J157)," ",Character!J157)</f>
        <v xml:space="preserve"> </v>
      </c>
      <c r="K1719" t="str">
        <f>IF(ISBLANK(Character!K157)," ",Character!K157)</f>
        <v xml:space="preserve"> </v>
      </c>
      <c r="L1719" t="str">
        <f>IF(ISBLANK(Character!L157)," ",Character!L157)</f>
        <v xml:space="preserve"> </v>
      </c>
      <c r="M1719" t="str">
        <f>IF(ISBLANK(Character!M157)," ",Character!M157)</f>
        <v xml:space="preserve"> </v>
      </c>
      <c r="N1719" t="str">
        <f>IF(ISBLANK(Character!N157)," ",Character!N157)</f>
        <v xml:space="preserve"> </v>
      </c>
      <c r="O1719" t="str">
        <f>IF(ISBLANK(Character!O157)," ",Character!O157)</f>
        <v xml:space="preserve"> </v>
      </c>
      <c r="P1719" t="str">
        <f>IF(ISBLANK(Character!P157)," ",Character!P157)</f>
        <v xml:space="preserve"> </v>
      </c>
    </row>
    <row r="1720" spans="1:16" x14ac:dyDescent="0.2">
      <c r="A1720" s="460" t="str">
        <f>CONCATENATE(Posessions!A96,"|",Posessions!B96,"|",Posessions!C96,"|",Posessions!D96)</f>
        <v>|||</v>
      </c>
      <c r="B1720" t="str">
        <f>IF(ISBLANK(Character!B158)," ",Character!B158)</f>
        <v xml:space="preserve"> </v>
      </c>
      <c r="C1720" t="str">
        <f>IF(ISBLANK(Character!C158)," ",Character!C158)</f>
        <v xml:space="preserve"> </v>
      </c>
      <c r="D1720" t="str">
        <f>IF(ISBLANK(Character!D158)," ",Character!D158)</f>
        <v xml:space="preserve"> </v>
      </c>
      <c r="E1720" t="str">
        <f>IF(ISBLANK(Character!E158)," ",Character!E158)</f>
        <v xml:space="preserve"> </v>
      </c>
      <c r="F1720" t="str">
        <f>IF(ISBLANK(Character!F158)," ",Character!F158)</f>
        <v xml:space="preserve"> </v>
      </c>
      <c r="G1720" t="str">
        <f>IF(ISBLANK(Character!G158)," ",Character!G158)</f>
        <v xml:space="preserve"> </v>
      </c>
      <c r="H1720" t="str">
        <f>IF(ISBLANK(Character!H158)," ",Character!H158)</f>
        <v xml:space="preserve"> </v>
      </c>
      <c r="I1720" t="str">
        <f>IF(ISBLANK(Character!I158)," ",Character!I158)</f>
        <v xml:space="preserve"> </v>
      </c>
      <c r="J1720" t="str">
        <f>IF(ISBLANK(Character!J158)," ",Character!J158)</f>
        <v xml:space="preserve"> </v>
      </c>
      <c r="K1720" t="str">
        <f>IF(ISBLANK(Character!K158)," ",Character!K158)</f>
        <v xml:space="preserve"> </v>
      </c>
      <c r="L1720" t="str">
        <f>IF(ISBLANK(Character!L158)," ",Character!L158)</f>
        <v xml:space="preserve"> </v>
      </c>
      <c r="M1720" t="str">
        <f>IF(ISBLANK(Character!M158)," ",Character!M158)</f>
        <v xml:space="preserve"> </v>
      </c>
      <c r="N1720" t="str">
        <f>IF(ISBLANK(Character!N158)," ",Character!N158)</f>
        <v xml:space="preserve"> </v>
      </c>
      <c r="O1720" t="str">
        <f>IF(ISBLANK(Character!O158)," ",Character!O158)</f>
        <v xml:space="preserve"> </v>
      </c>
      <c r="P1720" t="str">
        <f>IF(ISBLANK(Character!P158)," ",Character!P158)</f>
        <v xml:space="preserve"> </v>
      </c>
    </row>
    <row r="1721" spans="1:16" x14ac:dyDescent="0.2">
      <c r="A1721" s="460" t="str">
        <f>CONCATENATE(Posessions!A97,"|",Posessions!B97,"|",Posessions!C97,"|",Posessions!D97)</f>
        <v>|||</v>
      </c>
      <c r="B1721" t="str">
        <f>IF(ISBLANK(Character!B159)," ",Character!B159)</f>
        <v xml:space="preserve"> </v>
      </c>
      <c r="C1721" t="str">
        <f>IF(ISBLANK(Character!C159)," ",Character!C159)</f>
        <v xml:space="preserve"> </v>
      </c>
      <c r="D1721" t="str">
        <f>IF(ISBLANK(Character!D159)," ",Character!D159)</f>
        <v xml:space="preserve"> </v>
      </c>
      <c r="E1721" t="str">
        <f>IF(ISBLANK(Character!E159)," ",Character!E159)</f>
        <v xml:space="preserve"> </v>
      </c>
      <c r="F1721" t="str">
        <f>IF(ISBLANK(Character!F159)," ",Character!F159)</f>
        <v xml:space="preserve"> </v>
      </c>
      <c r="G1721" t="str">
        <f>IF(ISBLANK(Character!G159)," ",Character!G159)</f>
        <v xml:space="preserve"> </v>
      </c>
      <c r="H1721" t="str">
        <f>IF(ISBLANK(Character!H159)," ",Character!H159)</f>
        <v xml:space="preserve"> </v>
      </c>
      <c r="I1721" t="str">
        <f>IF(ISBLANK(Character!I159)," ",Character!I159)</f>
        <v xml:space="preserve"> </v>
      </c>
      <c r="J1721" t="str">
        <f>IF(ISBLANK(Character!J159)," ",Character!J159)</f>
        <v xml:space="preserve"> </v>
      </c>
      <c r="K1721" t="str">
        <f>IF(ISBLANK(Character!K159)," ",Character!K159)</f>
        <v xml:space="preserve"> </v>
      </c>
      <c r="L1721" t="str">
        <f>IF(ISBLANK(Character!L159)," ",Character!L159)</f>
        <v xml:space="preserve"> </v>
      </c>
      <c r="M1721" t="str">
        <f>IF(ISBLANK(Character!M159)," ",Character!M159)</f>
        <v xml:space="preserve"> </v>
      </c>
      <c r="N1721" t="str">
        <f>IF(ISBLANK(Character!N159)," ",Character!N159)</f>
        <v xml:space="preserve"> </v>
      </c>
      <c r="O1721" t="str">
        <f>IF(ISBLANK(Character!O159)," ",Character!O159)</f>
        <v xml:space="preserve"> </v>
      </c>
      <c r="P1721" t="str">
        <f>IF(ISBLANK(Character!P159)," ",Character!P159)</f>
        <v xml:space="preserve"> </v>
      </c>
    </row>
    <row r="1722" spans="1:16" x14ac:dyDescent="0.2">
      <c r="A1722" s="460" t="str">
        <f>CONCATENATE(Posessions!A98,"|",Posessions!B98,"|",Posessions!C98,"|",Posessions!D98)</f>
        <v>|||</v>
      </c>
      <c r="B1722" t="str">
        <f>IF(ISBLANK(Character!B160)," ",Character!B160)</f>
        <v xml:space="preserve"> </v>
      </c>
      <c r="C1722" t="str">
        <f>IF(ISBLANK(Character!C160)," ",Character!C160)</f>
        <v xml:space="preserve"> </v>
      </c>
      <c r="D1722" t="str">
        <f>IF(ISBLANK(Character!D160)," ",Character!D160)</f>
        <v xml:space="preserve"> </v>
      </c>
      <c r="E1722" t="str">
        <f>IF(ISBLANK(Character!E160)," ",Character!E160)</f>
        <v xml:space="preserve"> </v>
      </c>
      <c r="F1722" t="str">
        <f>IF(ISBLANK(Character!F160)," ",Character!F160)</f>
        <v xml:space="preserve"> </v>
      </c>
      <c r="G1722" t="str">
        <f>IF(ISBLANK(Character!G160)," ",Character!G160)</f>
        <v xml:space="preserve"> </v>
      </c>
      <c r="H1722" t="str">
        <f>IF(ISBLANK(Character!H160)," ",Character!H160)</f>
        <v xml:space="preserve"> </v>
      </c>
      <c r="I1722" t="str">
        <f>IF(ISBLANK(Character!I160)," ",Character!I160)</f>
        <v xml:space="preserve"> </v>
      </c>
      <c r="J1722" t="str">
        <f>IF(ISBLANK(Character!J160)," ",Character!J160)</f>
        <v xml:space="preserve"> </v>
      </c>
      <c r="K1722" t="str">
        <f>IF(ISBLANK(Character!K160)," ",Character!K160)</f>
        <v xml:space="preserve"> </v>
      </c>
      <c r="L1722" t="str">
        <f>IF(ISBLANK(Character!L160)," ",Character!L160)</f>
        <v xml:space="preserve"> </v>
      </c>
      <c r="M1722" t="str">
        <f>IF(ISBLANK(Character!M160)," ",Character!M160)</f>
        <v xml:space="preserve"> </v>
      </c>
      <c r="N1722" t="str">
        <f>IF(ISBLANK(Character!N160)," ",Character!N160)</f>
        <v xml:space="preserve"> </v>
      </c>
      <c r="O1722" t="str">
        <f>IF(ISBLANK(Character!O160)," ",Character!O160)</f>
        <v xml:space="preserve"> </v>
      </c>
      <c r="P1722" t="str">
        <f>IF(ISBLANK(Character!P160)," ",Character!P160)</f>
        <v xml:space="preserve"> </v>
      </c>
    </row>
    <row r="1723" spans="1:16" x14ac:dyDescent="0.2">
      <c r="A1723" s="460" t="str">
        <f>CONCATENATE(Posessions!A99,"|",Posessions!B99,"|",Posessions!C99,"|",Posessions!D99)</f>
        <v>|||</v>
      </c>
      <c r="B1723" t="str">
        <f>IF(ISBLANK(Character!B161)," ",Character!B161)</f>
        <v xml:space="preserve"> </v>
      </c>
      <c r="C1723" t="str">
        <f>IF(ISBLANK(Character!C161)," ",Character!C161)</f>
        <v xml:space="preserve"> </v>
      </c>
      <c r="D1723" t="str">
        <f>IF(ISBLANK(Character!D161)," ",Character!D161)</f>
        <v xml:space="preserve"> </v>
      </c>
      <c r="E1723" t="str">
        <f>IF(ISBLANK(Character!E161)," ",Character!E161)</f>
        <v xml:space="preserve"> </v>
      </c>
      <c r="F1723" t="str">
        <f>IF(ISBLANK(Character!F161)," ",Character!F161)</f>
        <v xml:space="preserve"> </v>
      </c>
      <c r="G1723" t="str">
        <f>IF(ISBLANK(Character!G161)," ",Character!G161)</f>
        <v xml:space="preserve"> </v>
      </c>
      <c r="H1723" t="str">
        <f>IF(ISBLANK(Character!H161)," ",Character!H161)</f>
        <v xml:space="preserve"> </v>
      </c>
      <c r="I1723" t="str">
        <f>IF(ISBLANK(Character!I161)," ",Character!I161)</f>
        <v xml:space="preserve"> </v>
      </c>
      <c r="J1723" t="str">
        <f>IF(ISBLANK(Character!J161)," ",Character!J161)</f>
        <v xml:space="preserve"> </v>
      </c>
      <c r="K1723" t="str">
        <f>IF(ISBLANK(Character!K161)," ",Character!K161)</f>
        <v xml:space="preserve"> </v>
      </c>
      <c r="L1723" t="str">
        <f>IF(ISBLANK(Character!L161)," ",Character!L161)</f>
        <v xml:space="preserve"> </v>
      </c>
      <c r="M1723" t="str">
        <f>IF(ISBLANK(Character!M161)," ",Character!M161)</f>
        <v xml:space="preserve"> </v>
      </c>
      <c r="N1723" t="str">
        <f>IF(ISBLANK(Character!N161)," ",Character!N161)</f>
        <v xml:space="preserve"> </v>
      </c>
      <c r="O1723" t="str">
        <f>IF(ISBLANK(Character!O161)," ",Character!O161)</f>
        <v xml:space="preserve"> </v>
      </c>
      <c r="P1723" t="str">
        <f>IF(ISBLANK(Character!P161)," ",Character!P161)</f>
        <v xml:space="preserve"> </v>
      </c>
    </row>
    <row r="1724" spans="1:16" x14ac:dyDescent="0.2">
      <c r="A1724" s="460" t="str">
        <f>CONCATENATE(Posessions!A100,"|",Posessions!B100,"|",Posessions!C100,"|",Posessions!D100)</f>
        <v>|||</v>
      </c>
      <c r="B1724" t="str">
        <f>IF(ISBLANK(Character!B162)," ",Character!B162)</f>
        <v xml:space="preserve"> </v>
      </c>
      <c r="C1724" t="str">
        <f>IF(ISBLANK(Character!C162)," ",Character!C162)</f>
        <v xml:space="preserve"> </v>
      </c>
      <c r="D1724" t="str">
        <f>IF(ISBLANK(Character!D162)," ",Character!D162)</f>
        <v xml:space="preserve"> </v>
      </c>
      <c r="E1724" t="str">
        <f>IF(ISBLANK(Character!E162)," ",Character!E162)</f>
        <v xml:space="preserve"> </v>
      </c>
      <c r="F1724" t="str">
        <f>IF(ISBLANK(Character!F162)," ",Character!F162)</f>
        <v xml:space="preserve"> </v>
      </c>
      <c r="G1724" t="str">
        <f>IF(ISBLANK(Character!G162)," ",Character!G162)</f>
        <v xml:space="preserve"> </v>
      </c>
      <c r="H1724" t="str">
        <f>IF(ISBLANK(Character!H162)," ",Character!H162)</f>
        <v xml:space="preserve"> </v>
      </c>
      <c r="I1724" t="str">
        <f>IF(ISBLANK(Character!I162)," ",Character!I162)</f>
        <v xml:space="preserve"> </v>
      </c>
      <c r="J1724" t="str">
        <f>IF(ISBLANK(Character!J162)," ",Character!J162)</f>
        <v xml:space="preserve"> </v>
      </c>
      <c r="K1724" t="str">
        <f>IF(ISBLANK(Character!K162)," ",Character!K162)</f>
        <v xml:space="preserve"> </v>
      </c>
      <c r="L1724" t="str">
        <f>IF(ISBLANK(Character!L162)," ",Character!L162)</f>
        <v xml:space="preserve"> </v>
      </c>
      <c r="M1724" t="str">
        <f>IF(ISBLANK(Character!M162)," ",Character!M162)</f>
        <v xml:space="preserve"> </v>
      </c>
      <c r="N1724" t="str">
        <f>IF(ISBLANK(Character!N162)," ",Character!N162)</f>
        <v xml:space="preserve"> </v>
      </c>
      <c r="O1724" t="str">
        <f>IF(ISBLANK(Character!O162)," ",Character!O162)</f>
        <v xml:space="preserve"> </v>
      </c>
      <c r="P1724" t="str">
        <f>IF(ISBLANK(Character!P162)," ",Character!P162)</f>
        <v xml:space="preserve"> </v>
      </c>
    </row>
    <row r="1725" spans="1:16" x14ac:dyDescent="0.2">
      <c r="A1725" s="460" t="str">
        <f>CONCATENATE(Posessions!A101,"|",Posessions!B101,"|",Posessions!C101,"|",Posessions!D101)</f>
        <v>|||</v>
      </c>
      <c r="B1725" t="str">
        <f>IF(ISBLANK(Character!B163)," ",Character!B163)</f>
        <v xml:space="preserve"> </v>
      </c>
      <c r="C1725" t="str">
        <f>IF(ISBLANK(Character!C163)," ",Character!C163)</f>
        <v xml:space="preserve"> </v>
      </c>
      <c r="D1725" t="str">
        <f>IF(ISBLANK(Character!D163)," ",Character!D163)</f>
        <v xml:space="preserve"> </v>
      </c>
      <c r="E1725" t="str">
        <f>IF(ISBLANK(Character!E163)," ",Character!E163)</f>
        <v xml:space="preserve"> </v>
      </c>
      <c r="F1725" t="str">
        <f>IF(ISBLANK(Character!F163)," ",Character!F163)</f>
        <v xml:space="preserve"> </v>
      </c>
      <c r="G1725" t="str">
        <f>IF(ISBLANK(Character!G163)," ",Character!G163)</f>
        <v xml:space="preserve"> </v>
      </c>
      <c r="H1725" t="str">
        <f>IF(ISBLANK(Character!H163)," ",Character!H163)</f>
        <v xml:space="preserve"> </v>
      </c>
      <c r="I1725" t="str">
        <f>IF(ISBLANK(Character!I163)," ",Character!I163)</f>
        <v xml:space="preserve"> </v>
      </c>
      <c r="J1725" t="str">
        <f>IF(ISBLANK(Character!J163)," ",Character!J163)</f>
        <v xml:space="preserve"> </v>
      </c>
      <c r="K1725" t="str">
        <f>IF(ISBLANK(Character!K163)," ",Character!K163)</f>
        <v xml:space="preserve"> </v>
      </c>
      <c r="L1725" t="str">
        <f>IF(ISBLANK(Character!L163)," ",Character!L163)</f>
        <v xml:space="preserve"> </v>
      </c>
      <c r="M1725" t="str">
        <f>IF(ISBLANK(Character!M163)," ",Character!M163)</f>
        <v xml:space="preserve"> </v>
      </c>
      <c r="N1725" t="str">
        <f>IF(ISBLANK(Character!N163)," ",Character!N163)</f>
        <v xml:space="preserve"> </v>
      </c>
      <c r="O1725" t="str">
        <f>IF(ISBLANK(Character!O163)," ",Character!O163)</f>
        <v xml:space="preserve"> </v>
      </c>
      <c r="P1725" t="str">
        <f>IF(ISBLANK(Character!P163)," ",Character!P163)</f>
        <v xml:space="preserve"> </v>
      </c>
    </row>
    <row r="1726" spans="1:16" x14ac:dyDescent="0.2">
      <c r="A1726" s="460" t="str">
        <f>CONCATENATE(Posessions!A102,"|",Posessions!B102,"|",Posessions!C102,"|",Posessions!D102)</f>
        <v>|||</v>
      </c>
      <c r="B1726" t="str">
        <f>IF(ISBLANK(Character!B164)," ",Character!B164)</f>
        <v xml:space="preserve"> </v>
      </c>
      <c r="C1726" t="str">
        <f>IF(ISBLANK(Character!C164)," ",Character!C164)</f>
        <v xml:space="preserve"> </v>
      </c>
      <c r="D1726" t="str">
        <f>IF(ISBLANK(Character!D164)," ",Character!D164)</f>
        <v xml:space="preserve"> </v>
      </c>
      <c r="E1726" t="str">
        <f>IF(ISBLANK(Character!E164)," ",Character!E164)</f>
        <v xml:space="preserve"> </v>
      </c>
      <c r="F1726" t="str">
        <f>IF(ISBLANK(Character!F164)," ",Character!F164)</f>
        <v xml:space="preserve"> </v>
      </c>
      <c r="G1726" t="str">
        <f>IF(ISBLANK(Character!G164)," ",Character!G164)</f>
        <v xml:space="preserve"> </v>
      </c>
      <c r="H1726" t="str">
        <f>IF(ISBLANK(Character!H164)," ",Character!H164)</f>
        <v xml:space="preserve"> </v>
      </c>
      <c r="I1726" t="str">
        <f>IF(ISBLANK(Character!I164)," ",Character!I164)</f>
        <v xml:space="preserve"> </v>
      </c>
      <c r="J1726" t="str">
        <f>IF(ISBLANK(Character!J164)," ",Character!J164)</f>
        <v xml:space="preserve"> </v>
      </c>
      <c r="K1726" t="str">
        <f>IF(ISBLANK(Character!K164)," ",Character!K164)</f>
        <v xml:space="preserve"> </v>
      </c>
      <c r="L1726" t="str">
        <f>IF(ISBLANK(Character!L164)," ",Character!L164)</f>
        <v xml:space="preserve"> </v>
      </c>
      <c r="M1726" t="str">
        <f>IF(ISBLANK(Character!M164)," ",Character!M164)</f>
        <v xml:space="preserve"> </v>
      </c>
      <c r="N1726" t="str">
        <f>IF(ISBLANK(Character!N164)," ",Character!N164)</f>
        <v xml:space="preserve"> </v>
      </c>
      <c r="O1726" t="str">
        <f>IF(ISBLANK(Character!O164)," ",Character!O164)</f>
        <v xml:space="preserve"> </v>
      </c>
      <c r="P1726" t="str">
        <f>IF(ISBLANK(Character!P164)," ",Character!P164)</f>
        <v xml:space="preserve"> </v>
      </c>
    </row>
    <row r="1727" spans="1:16" x14ac:dyDescent="0.2">
      <c r="A1727" s="460" t="str">
        <f>CONCATENATE(Posessions!A103,"|",Posessions!B103,"|",Posessions!C103,"|",Posessions!D103)</f>
        <v>|||</v>
      </c>
      <c r="B1727" t="str">
        <f>IF(ISBLANK(Character!B165)," ",Character!B165)</f>
        <v xml:space="preserve"> </v>
      </c>
      <c r="C1727" t="str">
        <f>IF(ISBLANK(Character!C165)," ",Character!C165)</f>
        <v xml:space="preserve"> </v>
      </c>
      <c r="D1727" t="str">
        <f>IF(ISBLANK(Character!D165)," ",Character!D165)</f>
        <v xml:space="preserve"> </v>
      </c>
      <c r="E1727" t="str">
        <f>IF(ISBLANK(Character!E165)," ",Character!E165)</f>
        <v xml:space="preserve"> </v>
      </c>
      <c r="F1727" t="str">
        <f>IF(ISBLANK(Character!F165)," ",Character!F165)</f>
        <v xml:space="preserve"> </v>
      </c>
      <c r="G1727" t="str">
        <f>IF(ISBLANK(Character!G165)," ",Character!G165)</f>
        <v xml:space="preserve"> </v>
      </c>
      <c r="H1727" t="str">
        <f>IF(ISBLANK(Character!H165)," ",Character!H165)</f>
        <v xml:space="preserve"> </v>
      </c>
      <c r="I1727" t="str">
        <f>IF(ISBLANK(Character!I165)," ",Character!I165)</f>
        <v xml:space="preserve"> </v>
      </c>
      <c r="J1727" t="str">
        <f>IF(ISBLANK(Character!J165)," ",Character!J165)</f>
        <v xml:space="preserve"> </v>
      </c>
      <c r="K1727" t="str">
        <f>IF(ISBLANK(Character!K165)," ",Character!K165)</f>
        <v xml:space="preserve"> </v>
      </c>
      <c r="L1727" t="str">
        <f>IF(ISBLANK(Character!L165)," ",Character!L165)</f>
        <v xml:space="preserve"> </v>
      </c>
      <c r="M1727" t="str">
        <f>IF(ISBLANK(Character!M165)," ",Character!M165)</f>
        <v xml:space="preserve"> </v>
      </c>
      <c r="N1727" t="str">
        <f>IF(ISBLANK(Character!N165)," ",Character!N165)</f>
        <v xml:space="preserve"> </v>
      </c>
      <c r="O1727" t="str">
        <f>IF(ISBLANK(Character!O165)," ",Character!O165)</f>
        <v xml:space="preserve"> </v>
      </c>
      <c r="P1727" t="str">
        <f>IF(ISBLANK(Character!P165)," ",Character!P165)</f>
        <v xml:space="preserve"> </v>
      </c>
    </row>
    <row r="1728" spans="1:16" x14ac:dyDescent="0.2">
      <c r="A1728" s="460" t="str">
        <f>CONCATENATE(Posessions!A104,"|",Posessions!B104,"|",Posessions!C104,"|",Posessions!D104)</f>
        <v>|||</v>
      </c>
      <c r="B1728" t="str">
        <f>IF(ISBLANK(Character!B166)," ",Character!B166)</f>
        <v xml:space="preserve"> </v>
      </c>
      <c r="C1728" t="str">
        <f>IF(ISBLANK(Character!C166)," ",Character!C166)</f>
        <v xml:space="preserve"> </v>
      </c>
      <c r="D1728" t="str">
        <f>IF(ISBLANK(Character!D166)," ",Character!D166)</f>
        <v xml:space="preserve"> </v>
      </c>
      <c r="E1728" t="str">
        <f>IF(ISBLANK(Character!E166)," ",Character!E166)</f>
        <v xml:space="preserve"> </v>
      </c>
      <c r="F1728" t="str">
        <f>IF(ISBLANK(Character!F166)," ",Character!F166)</f>
        <v xml:space="preserve"> </v>
      </c>
      <c r="G1728" t="str">
        <f>IF(ISBLANK(Character!G166)," ",Character!G166)</f>
        <v xml:space="preserve"> </v>
      </c>
      <c r="H1728" t="str">
        <f>IF(ISBLANK(Character!H166)," ",Character!H166)</f>
        <v xml:space="preserve"> </v>
      </c>
      <c r="I1728" t="str">
        <f>IF(ISBLANK(Character!I166)," ",Character!I166)</f>
        <v xml:space="preserve"> </v>
      </c>
      <c r="J1728" t="str">
        <f>IF(ISBLANK(Character!J166)," ",Character!J166)</f>
        <v xml:space="preserve"> </v>
      </c>
      <c r="K1728" t="str">
        <f>IF(ISBLANK(Character!K166)," ",Character!K166)</f>
        <v xml:space="preserve"> </v>
      </c>
      <c r="L1728" t="str">
        <f>IF(ISBLANK(Character!L166)," ",Character!L166)</f>
        <v xml:space="preserve"> </v>
      </c>
      <c r="M1728" t="str">
        <f>IF(ISBLANK(Character!M166)," ",Character!M166)</f>
        <v xml:space="preserve"> </v>
      </c>
      <c r="N1728" t="str">
        <f>IF(ISBLANK(Character!N166)," ",Character!N166)</f>
        <v xml:space="preserve"> </v>
      </c>
      <c r="O1728" t="str">
        <f>IF(ISBLANK(Character!O166)," ",Character!O166)</f>
        <v xml:space="preserve"> </v>
      </c>
      <c r="P1728" t="str">
        <f>IF(ISBLANK(Character!P166)," ",Character!P166)</f>
        <v xml:space="preserve"> </v>
      </c>
    </row>
    <row r="1729" spans="1:16" x14ac:dyDescent="0.2">
      <c r="A1729" s="460" t="str">
        <f>CONCATENATE(Posessions!A105,"|",Posessions!B105,"|",Posessions!C105,"|",Posessions!D105)</f>
        <v>|||</v>
      </c>
      <c r="B1729" t="str">
        <f>IF(ISBLANK(Character!B167)," ",Character!B167)</f>
        <v xml:space="preserve"> </v>
      </c>
      <c r="C1729" t="str">
        <f>IF(ISBLANK(Character!C167)," ",Character!C167)</f>
        <v xml:space="preserve"> </v>
      </c>
      <c r="D1729" t="str">
        <f>IF(ISBLANK(Character!D167)," ",Character!D167)</f>
        <v xml:space="preserve"> </v>
      </c>
      <c r="E1729" t="str">
        <f>IF(ISBLANK(Character!E167)," ",Character!E167)</f>
        <v xml:space="preserve"> </v>
      </c>
      <c r="F1729" t="str">
        <f>IF(ISBLANK(Character!F167)," ",Character!F167)</f>
        <v xml:space="preserve"> </v>
      </c>
      <c r="G1729" t="str">
        <f>IF(ISBLANK(Character!G167)," ",Character!G167)</f>
        <v xml:space="preserve"> </v>
      </c>
      <c r="H1729" t="str">
        <f>IF(ISBLANK(Character!H167)," ",Character!H167)</f>
        <v xml:space="preserve"> </v>
      </c>
      <c r="I1729" t="str">
        <f>IF(ISBLANK(Character!I167)," ",Character!I167)</f>
        <v xml:space="preserve"> </v>
      </c>
      <c r="J1729" t="str">
        <f>IF(ISBLANK(Character!J167)," ",Character!J167)</f>
        <v xml:space="preserve"> </v>
      </c>
      <c r="K1729" t="str">
        <f>IF(ISBLANK(Character!K167)," ",Character!K167)</f>
        <v xml:space="preserve"> </v>
      </c>
      <c r="L1729" t="str">
        <f>IF(ISBLANK(Character!L167)," ",Character!L167)</f>
        <v xml:space="preserve"> </v>
      </c>
      <c r="M1729" t="str">
        <f>IF(ISBLANK(Character!M167)," ",Character!M167)</f>
        <v xml:space="preserve"> </v>
      </c>
      <c r="N1729" t="str">
        <f>IF(ISBLANK(Character!N167)," ",Character!N167)</f>
        <v xml:space="preserve"> </v>
      </c>
      <c r="O1729" t="str">
        <f>IF(ISBLANK(Character!O167)," ",Character!O167)</f>
        <v xml:space="preserve"> </v>
      </c>
      <c r="P1729" t="str">
        <f>IF(ISBLANK(Character!P167)," ",Character!P167)</f>
        <v xml:space="preserve"> </v>
      </c>
    </row>
    <row r="1730" spans="1:16" x14ac:dyDescent="0.2">
      <c r="A1730" s="460" t="str">
        <f>CONCATENATE(Posessions!A106,"|",Posessions!B106,"|",Posessions!C106,"|",Posessions!D106)</f>
        <v>|||</v>
      </c>
      <c r="B1730" t="str">
        <f>IF(ISBLANK(Character!B168)," ",Character!B168)</f>
        <v xml:space="preserve"> </v>
      </c>
      <c r="C1730" t="str">
        <f>IF(ISBLANK(Character!C168)," ",Character!C168)</f>
        <v xml:space="preserve"> </v>
      </c>
      <c r="D1730" t="str">
        <f>IF(ISBLANK(Character!D168)," ",Character!D168)</f>
        <v xml:space="preserve"> </v>
      </c>
      <c r="E1730" t="str">
        <f>IF(ISBLANK(Character!E168)," ",Character!E168)</f>
        <v xml:space="preserve"> </v>
      </c>
      <c r="F1730" t="str">
        <f>IF(ISBLANK(Character!F168)," ",Character!F168)</f>
        <v xml:space="preserve"> </v>
      </c>
      <c r="G1730" t="str">
        <f>IF(ISBLANK(Character!G168)," ",Character!G168)</f>
        <v xml:space="preserve"> </v>
      </c>
      <c r="H1730" t="str">
        <f>IF(ISBLANK(Character!H168)," ",Character!H168)</f>
        <v xml:space="preserve"> </v>
      </c>
      <c r="I1730" t="str">
        <f>IF(ISBLANK(Character!I168)," ",Character!I168)</f>
        <v xml:space="preserve"> </v>
      </c>
      <c r="J1730" t="str">
        <f>IF(ISBLANK(Character!J168)," ",Character!J168)</f>
        <v xml:space="preserve"> </v>
      </c>
      <c r="K1730" t="str">
        <f>IF(ISBLANK(Character!K168)," ",Character!K168)</f>
        <v xml:space="preserve"> </v>
      </c>
      <c r="L1730" t="str">
        <f>IF(ISBLANK(Character!L168)," ",Character!L168)</f>
        <v xml:space="preserve"> </v>
      </c>
      <c r="M1730" t="str">
        <f>IF(ISBLANK(Character!M168)," ",Character!M168)</f>
        <v xml:space="preserve"> </v>
      </c>
      <c r="N1730" t="str">
        <f>IF(ISBLANK(Character!N168)," ",Character!N168)</f>
        <v xml:space="preserve"> </v>
      </c>
      <c r="O1730" t="str">
        <f>IF(ISBLANK(Character!O168)," ",Character!O168)</f>
        <v xml:space="preserve"> </v>
      </c>
      <c r="P1730" t="str">
        <f>IF(ISBLANK(Character!P168)," ",Character!P168)</f>
        <v xml:space="preserve"> </v>
      </c>
    </row>
    <row r="1731" spans="1:16" x14ac:dyDescent="0.2">
      <c r="A1731" s="460" t="str">
        <f>CONCATENATE(Posessions!A107,"|",Posessions!B107,"|",Posessions!C107,"|",Posessions!D107)</f>
        <v>|||</v>
      </c>
      <c r="B1731" t="str">
        <f>IF(ISBLANK(Character!B169)," ",Character!B169)</f>
        <v xml:space="preserve"> </v>
      </c>
      <c r="C1731" t="str">
        <f>IF(ISBLANK(Character!C169)," ",Character!C169)</f>
        <v xml:space="preserve"> </v>
      </c>
      <c r="D1731" t="str">
        <f>IF(ISBLANK(Character!D169)," ",Character!D169)</f>
        <v xml:space="preserve"> </v>
      </c>
      <c r="E1731" t="str">
        <f>IF(ISBLANK(Character!E169)," ",Character!E169)</f>
        <v xml:space="preserve"> </v>
      </c>
      <c r="F1731" t="str">
        <f>IF(ISBLANK(Character!F169)," ",Character!F169)</f>
        <v xml:space="preserve"> </v>
      </c>
      <c r="G1731" t="str">
        <f>IF(ISBLANK(Character!G169)," ",Character!G169)</f>
        <v xml:space="preserve"> </v>
      </c>
      <c r="H1731" t="str">
        <f>IF(ISBLANK(Character!H169)," ",Character!H169)</f>
        <v xml:space="preserve"> </v>
      </c>
      <c r="I1731" t="str">
        <f>IF(ISBLANK(Character!I169)," ",Character!I169)</f>
        <v xml:space="preserve"> </v>
      </c>
      <c r="J1731" t="str">
        <f>IF(ISBLANK(Character!J169)," ",Character!J169)</f>
        <v xml:space="preserve"> </v>
      </c>
      <c r="K1731" t="str">
        <f>IF(ISBLANK(Character!K169)," ",Character!K169)</f>
        <v xml:space="preserve"> </v>
      </c>
      <c r="L1731" t="str">
        <f>IF(ISBLANK(Character!L169)," ",Character!L169)</f>
        <v xml:space="preserve"> </v>
      </c>
      <c r="M1731" t="str">
        <f>IF(ISBLANK(Character!M169)," ",Character!M169)</f>
        <v xml:space="preserve"> </v>
      </c>
      <c r="N1731" t="str">
        <f>IF(ISBLANK(Character!N169)," ",Character!N169)</f>
        <v xml:space="preserve"> </v>
      </c>
      <c r="O1731" t="str">
        <f>IF(ISBLANK(Character!O169)," ",Character!O169)</f>
        <v xml:space="preserve"> </v>
      </c>
      <c r="P1731" t="str">
        <f>IF(ISBLANK(Character!P169)," ",Character!P169)</f>
        <v xml:space="preserve"> </v>
      </c>
    </row>
    <row r="1732" spans="1:16" x14ac:dyDescent="0.2">
      <c r="A1732" s="460" t="str">
        <f>CONCATENATE(Posessions!A108,"|",Posessions!B108,"|",Posessions!C108,"|",Posessions!D108)</f>
        <v>|||</v>
      </c>
      <c r="B1732" t="str">
        <f>IF(ISBLANK(Character!B170)," ",Character!B170)</f>
        <v xml:space="preserve"> </v>
      </c>
      <c r="C1732" t="str">
        <f>IF(ISBLANK(Character!C170)," ",Character!C170)</f>
        <v xml:space="preserve"> </v>
      </c>
      <c r="D1732" t="str">
        <f>IF(ISBLANK(Character!D170)," ",Character!D170)</f>
        <v xml:space="preserve"> </v>
      </c>
      <c r="E1732" t="str">
        <f>IF(ISBLANK(Character!E170)," ",Character!E170)</f>
        <v xml:space="preserve"> </v>
      </c>
      <c r="F1732" t="str">
        <f>IF(ISBLANK(Character!F170)," ",Character!F170)</f>
        <v xml:space="preserve"> </v>
      </c>
      <c r="G1732" t="str">
        <f>IF(ISBLANK(Character!G170)," ",Character!G170)</f>
        <v xml:space="preserve"> </v>
      </c>
      <c r="H1732" t="str">
        <f>IF(ISBLANK(Character!H170)," ",Character!H170)</f>
        <v xml:space="preserve"> </v>
      </c>
      <c r="I1732" t="str">
        <f>IF(ISBLANK(Character!I170)," ",Character!I170)</f>
        <v xml:space="preserve"> </v>
      </c>
      <c r="J1732" t="str">
        <f>IF(ISBLANK(Character!J170)," ",Character!J170)</f>
        <v xml:space="preserve"> </v>
      </c>
      <c r="K1732" t="str">
        <f>IF(ISBLANK(Character!K170)," ",Character!K170)</f>
        <v xml:space="preserve"> </v>
      </c>
      <c r="L1732" t="str">
        <f>IF(ISBLANK(Character!L170)," ",Character!L170)</f>
        <v xml:space="preserve"> </v>
      </c>
      <c r="M1732" t="str">
        <f>IF(ISBLANK(Character!M170)," ",Character!M170)</f>
        <v xml:space="preserve"> </v>
      </c>
      <c r="N1732" t="str">
        <f>IF(ISBLANK(Character!N170)," ",Character!N170)</f>
        <v xml:space="preserve"> </v>
      </c>
      <c r="O1732" t="str">
        <f>IF(ISBLANK(Character!O170)," ",Character!O170)</f>
        <v xml:space="preserve"> </v>
      </c>
      <c r="P1732" t="str">
        <f>IF(ISBLANK(Character!P170)," ",Character!P170)</f>
        <v xml:space="preserve"> </v>
      </c>
    </row>
    <row r="1733" spans="1:16" x14ac:dyDescent="0.2">
      <c r="A1733" s="460" t="str">
        <f>CONCATENATE(Posessions!A109,"|",Posessions!B109,"|",Posessions!C109,"|",Posessions!D109)</f>
        <v>|||</v>
      </c>
      <c r="B1733" t="str">
        <f>IF(ISBLANK(Character!B171)," ",Character!B171)</f>
        <v xml:space="preserve"> </v>
      </c>
      <c r="C1733" t="str">
        <f>IF(ISBLANK(Character!C171)," ",Character!C171)</f>
        <v xml:space="preserve"> </v>
      </c>
      <c r="D1733" t="str">
        <f>IF(ISBLANK(Character!D171)," ",Character!D171)</f>
        <v xml:space="preserve"> </v>
      </c>
      <c r="E1733" t="str">
        <f>IF(ISBLANK(Character!E171)," ",Character!E171)</f>
        <v xml:space="preserve"> </v>
      </c>
      <c r="F1733" t="str">
        <f>IF(ISBLANK(Character!F171)," ",Character!F171)</f>
        <v xml:space="preserve"> </v>
      </c>
      <c r="G1733" t="str">
        <f>IF(ISBLANK(Character!G171)," ",Character!G171)</f>
        <v xml:space="preserve"> </v>
      </c>
      <c r="H1733" t="str">
        <f>IF(ISBLANK(Character!H171)," ",Character!H171)</f>
        <v xml:space="preserve"> </v>
      </c>
      <c r="I1733" t="str">
        <f>IF(ISBLANK(Character!I171)," ",Character!I171)</f>
        <v xml:space="preserve"> </v>
      </c>
      <c r="J1733" t="str">
        <f>IF(ISBLANK(Character!J171)," ",Character!J171)</f>
        <v xml:space="preserve"> </v>
      </c>
      <c r="K1733" t="str">
        <f>IF(ISBLANK(Character!K171)," ",Character!K171)</f>
        <v xml:space="preserve"> </v>
      </c>
      <c r="L1733" t="str">
        <f>IF(ISBLANK(Character!L171)," ",Character!L171)</f>
        <v xml:space="preserve"> </v>
      </c>
      <c r="M1733" t="str">
        <f>IF(ISBLANK(Character!M171)," ",Character!M171)</f>
        <v xml:space="preserve"> </v>
      </c>
      <c r="N1733" t="str">
        <f>IF(ISBLANK(Character!N171)," ",Character!N171)</f>
        <v xml:space="preserve"> </v>
      </c>
      <c r="O1733" t="str">
        <f>IF(ISBLANK(Character!O171)," ",Character!O171)</f>
        <v xml:space="preserve"> </v>
      </c>
      <c r="P1733" t="str">
        <f>IF(ISBLANK(Character!P171)," ",Character!P171)</f>
        <v xml:space="preserve"> </v>
      </c>
    </row>
    <row r="1734" spans="1:16" x14ac:dyDescent="0.2">
      <c r="A1734" s="460" t="str">
        <f>CONCATENATE(Posessions!A110,"|",Posessions!B110,"|",Posessions!C110,"|",Posessions!D110)</f>
        <v>|||</v>
      </c>
      <c r="B1734" t="str">
        <f>IF(ISBLANK(Character!B172)," ",Character!B172)</f>
        <v xml:space="preserve"> </v>
      </c>
      <c r="C1734" t="str">
        <f>IF(ISBLANK(Character!C172)," ",Character!C172)</f>
        <v xml:space="preserve"> </v>
      </c>
      <c r="D1734" t="str">
        <f>IF(ISBLANK(Character!D172)," ",Character!D172)</f>
        <v xml:space="preserve"> </v>
      </c>
      <c r="E1734" t="str">
        <f>IF(ISBLANK(Character!E172)," ",Character!E172)</f>
        <v xml:space="preserve"> </v>
      </c>
      <c r="F1734" t="str">
        <f>IF(ISBLANK(Character!F172)," ",Character!F172)</f>
        <v xml:space="preserve"> </v>
      </c>
      <c r="G1734" t="str">
        <f>IF(ISBLANK(Character!G172)," ",Character!G172)</f>
        <v xml:space="preserve"> </v>
      </c>
      <c r="H1734" t="str">
        <f>IF(ISBLANK(Character!H172)," ",Character!H172)</f>
        <v xml:space="preserve"> </v>
      </c>
      <c r="I1734" t="str">
        <f>IF(ISBLANK(Character!I172)," ",Character!I172)</f>
        <v xml:space="preserve"> </v>
      </c>
      <c r="J1734" t="str">
        <f>IF(ISBLANK(Character!J172)," ",Character!J172)</f>
        <v xml:space="preserve"> </v>
      </c>
      <c r="K1734" t="str">
        <f>IF(ISBLANK(Character!K172)," ",Character!K172)</f>
        <v xml:space="preserve"> </v>
      </c>
      <c r="L1734" t="str">
        <f>IF(ISBLANK(Character!L172)," ",Character!L172)</f>
        <v xml:space="preserve"> </v>
      </c>
      <c r="M1734" t="str">
        <f>IF(ISBLANK(Character!M172)," ",Character!M172)</f>
        <v xml:space="preserve"> </v>
      </c>
      <c r="N1734" t="str">
        <f>IF(ISBLANK(Character!N172)," ",Character!N172)</f>
        <v xml:space="preserve"> </v>
      </c>
      <c r="O1734" t="str">
        <f>IF(ISBLANK(Character!O172)," ",Character!O172)</f>
        <v xml:space="preserve"> </v>
      </c>
      <c r="P1734" t="str">
        <f>IF(ISBLANK(Character!P172)," ",Character!P172)</f>
        <v xml:space="preserve"> </v>
      </c>
    </row>
    <row r="1735" spans="1:16" x14ac:dyDescent="0.2">
      <c r="A1735" s="460" t="str">
        <f>CONCATENATE(Posessions!A111,"|",Posessions!B111,"|",Posessions!C111,"|",Posessions!D111)</f>
        <v>|||</v>
      </c>
      <c r="B1735" t="str">
        <f>IF(ISBLANK(Character!B173)," ",Character!B173)</f>
        <v xml:space="preserve"> </v>
      </c>
      <c r="C1735" t="str">
        <f>IF(ISBLANK(Character!C173)," ",Character!C173)</f>
        <v xml:space="preserve"> </v>
      </c>
      <c r="D1735" t="str">
        <f>IF(ISBLANK(Character!D173)," ",Character!D173)</f>
        <v xml:space="preserve"> </v>
      </c>
      <c r="E1735" t="str">
        <f>IF(ISBLANK(Character!E173)," ",Character!E173)</f>
        <v xml:space="preserve"> </v>
      </c>
      <c r="F1735" t="str">
        <f>IF(ISBLANK(Character!F173)," ",Character!F173)</f>
        <v xml:space="preserve"> </v>
      </c>
      <c r="G1735" t="str">
        <f>IF(ISBLANK(Character!G173)," ",Character!G173)</f>
        <v xml:space="preserve"> </v>
      </c>
      <c r="H1735" t="str">
        <f>IF(ISBLANK(Character!H173)," ",Character!H173)</f>
        <v xml:space="preserve"> </v>
      </c>
      <c r="I1735" t="str">
        <f>IF(ISBLANK(Character!I173)," ",Character!I173)</f>
        <v xml:space="preserve"> </v>
      </c>
      <c r="J1735" t="str">
        <f>IF(ISBLANK(Character!J173)," ",Character!J173)</f>
        <v xml:space="preserve"> </v>
      </c>
      <c r="K1735" t="str">
        <f>IF(ISBLANK(Character!K173)," ",Character!K173)</f>
        <v xml:space="preserve"> </v>
      </c>
      <c r="L1735" t="str">
        <f>IF(ISBLANK(Character!L173)," ",Character!L173)</f>
        <v xml:space="preserve"> </v>
      </c>
      <c r="M1735" t="str">
        <f>IF(ISBLANK(Character!M173)," ",Character!M173)</f>
        <v xml:space="preserve"> </v>
      </c>
      <c r="N1735" t="str">
        <f>IF(ISBLANK(Character!N173)," ",Character!N173)</f>
        <v xml:space="preserve"> </v>
      </c>
      <c r="O1735" t="str">
        <f>IF(ISBLANK(Character!O173)," ",Character!O173)</f>
        <v xml:space="preserve"> </v>
      </c>
      <c r="P1735" t="str">
        <f>IF(ISBLANK(Character!P173)," ",Character!P173)</f>
        <v xml:space="preserve"> </v>
      </c>
    </row>
    <row r="1736" spans="1:16" x14ac:dyDescent="0.2">
      <c r="A1736" s="460" t="str">
        <f>CONCATENATE(Posessions!A112,"|",Posessions!B112,"|",Posessions!C112,"|",Posessions!D112)</f>
        <v>|||</v>
      </c>
      <c r="B1736" t="str">
        <f>IF(ISBLANK(Character!B174)," ",Character!B174)</f>
        <v xml:space="preserve"> </v>
      </c>
      <c r="C1736" t="str">
        <f>IF(ISBLANK(Character!C174)," ",Character!C174)</f>
        <v xml:space="preserve"> </v>
      </c>
      <c r="D1736" t="str">
        <f>IF(ISBLANK(Character!D174)," ",Character!D174)</f>
        <v xml:space="preserve"> </v>
      </c>
      <c r="E1736" t="str">
        <f>IF(ISBLANK(Character!E174)," ",Character!E174)</f>
        <v xml:space="preserve"> </v>
      </c>
      <c r="F1736" t="str">
        <f>IF(ISBLANK(Character!F174)," ",Character!F174)</f>
        <v xml:space="preserve"> </v>
      </c>
      <c r="G1736" t="str">
        <f>IF(ISBLANK(Character!G174)," ",Character!G174)</f>
        <v xml:space="preserve"> </v>
      </c>
      <c r="H1736" t="str">
        <f>IF(ISBLANK(Character!H174)," ",Character!H174)</f>
        <v xml:space="preserve"> </v>
      </c>
      <c r="I1736" t="str">
        <f>IF(ISBLANK(Character!I174)," ",Character!I174)</f>
        <v xml:space="preserve"> </v>
      </c>
      <c r="J1736" t="str">
        <f>IF(ISBLANK(Character!J174)," ",Character!J174)</f>
        <v xml:space="preserve"> </v>
      </c>
      <c r="K1736" t="str">
        <f>IF(ISBLANK(Character!K174)," ",Character!K174)</f>
        <v xml:space="preserve"> </v>
      </c>
      <c r="L1736" t="str">
        <f>IF(ISBLANK(Character!L174)," ",Character!L174)</f>
        <v xml:space="preserve"> </v>
      </c>
      <c r="M1736" t="str">
        <f>IF(ISBLANK(Character!M174)," ",Character!M174)</f>
        <v xml:space="preserve"> </v>
      </c>
      <c r="N1736" t="str">
        <f>IF(ISBLANK(Character!N174)," ",Character!N174)</f>
        <v xml:space="preserve"> </v>
      </c>
      <c r="O1736" t="str">
        <f>IF(ISBLANK(Character!O174)," ",Character!O174)</f>
        <v xml:space="preserve"> </v>
      </c>
      <c r="P1736" t="str">
        <f>IF(ISBLANK(Character!P174)," ",Character!P174)</f>
        <v xml:space="preserve"> </v>
      </c>
    </row>
    <row r="1737" spans="1:16" x14ac:dyDescent="0.2">
      <c r="A1737" s="460" t="str">
        <f>CONCATENATE(Posessions!A113,"|",Posessions!B113,"|",Posessions!C113,"|",Posessions!D113)</f>
        <v>|||</v>
      </c>
      <c r="B1737" t="str">
        <f>IF(ISBLANK(Character!B175)," ",Character!B175)</f>
        <v xml:space="preserve"> </v>
      </c>
      <c r="C1737" t="str">
        <f>IF(ISBLANK(Character!C175)," ",Character!C175)</f>
        <v xml:space="preserve"> </v>
      </c>
      <c r="D1737" t="str">
        <f>IF(ISBLANK(Character!D175)," ",Character!D175)</f>
        <v xml:space="preserve"> </v>
      </c>
      <c r="E1737" t="str">
        <f>IF(ISBLANK(Character!E175)," ",Character!E175)</f>
        <v xml:space="preserve"> </v>
      </c>
      <c r="F1737" t="str">
        <f>IF(ISBLANK(Character!F175)," ",Character!F175)</f>
        <v xml:space="preserve"> </v>
      </c>
      <c r="G1737" t="str">
        <f>IF(ISBLANK(Character!G175)," ",Character!G175)</f>
        <v xml:space="preserve"> </v>
      </c>
      <c r="H1737" t="str">
        <f>IF(ISBLANK(Character!H175)," ",Character!H175)</f>
        <v xml:space="preserve"> </v>
      </c>
      <c r="I1737" t="str">
        <f>IF(ISBLANK(Character!I175)," ",Character!I175)</f>
        <v xml:space="preserve"> </v>
      </c>
      <c r="J1737" t="str">
        <f>IF(ISBLANK(Character!J175)," ",Character!J175)</f>
        <v xml:space="preserve"> </v>
      </c>
      <c r="K1737" t="str">
        <f>IF(ISBLANK(Character!K175)," ",Character!K175)</f>
        <v xml:space="preserve"> </v>
      </c>
      <c r="L1737" t="str">
        <f>IF(ISBLANK(Character!L175)," ",Character!L175)</f>
        <v xml:space="preserve"> </v>
      </c>
      <c r="M1737" t="str">
        <f>IF(ISBLANK(Character!M175)," ",Character!M175)</f>
        <v xml:space="preserve"> </v>
      </c>
      <c r="N1737" t="str">
        <f>IF(ISBLANK(Character!N175)," ",Character!N175)</f>
        <v xml:space="preserve"> </v>
      </c>
      <c r="O1737" t="str">
        <f>IF(ISBLANK(Character!O175)," ",Character!O175)</f>
        <v xml:space="preserve"> </v>
      </c>
      <c r="P1737" t="str">
        <f>IF(ISBLANK(Character!P175)," ",Character!P175)</f>
        <v xml:space="preserve"> </v>
      </c>
    </row>
    <row r="1738" spans="1:16" x14ac:dyDescent="0.2">
      <c r="A1738" s="460" t="str">
        <f>CONCATENATE(Posessions!A114,"|",Posessions!B114,"|",Posessions!C114,"|",Posessions!D114)</f>
        <v>|||</v>
      </c>
      <c r="B1738" t="str">
        <f>IF(ISBLANK(Character!B176)," ",Character!B176)</f>
        <v xml:space="preserve"> </v>
      </c>
      <c r="C1738" t="str">
        <f>IF(ISBLANK(Character!C176)," ",Character!C176)</f>
        <v xml:space="preserve"> </v>
      </c>
      <c r="D1738" t="str">
        <f>IF(ISBLANK(Character!D176)," ",Character!D176)</f>
        <v xml:space="preserve"> </v>
      </c>
      <c r="E1738" t="str">
        <f>IF(ISBLANK(Character!E176)," ",Character!E176)</f>
        <v xml:space="preserve"> </v>
      </c>
      <c r="F1738" t="str">
        <f>IF(ISBLANK(Character!F176)," ",Character!F176)</f>
        <v xml:space="preserve"> </v>
      </c>
      <c r="G1738" t="str">
        <f>IF(ISBLANK(Character!G176)," ",Character!G176)</f>
        <v xml:space="preserve"> </v>
      </c>
      <c r="H1738" t="str">
        <f>IF(ISBLANK(Character!H176)," ",Character!H176)</f>
        <v xml:space="preserve"> </v>
      </c>
      <c r="I1738" t="str">
        <f>IF(ISBLANK(Character!I176)," ",Character!I176)</f>
        <v xml:space="preserve"> </v>
      </c>
      <c r="J1738" t="str">
        <f>IF(ISBLANK(Character!J176)," ",Character!J176)</f>
        <v xml:space="preserve"> </v>
      </c>
      <c r="K1738" t="str">
        <f>IF(ISBLANK(Character!K176)," ",Character!K176)</f>
        <v xml:space="preserve"> </v>
      </c>
      <c r="L1738" t="str">
        <f>IF(ISBLANK(Character!L176)," ",Character!L176)</f>
        <v xml:space="preserve"> </v>
      </c>
      <c r="M1738" t="str">
        <f>IF(ISBLANK(Character!M176)," ",Character!M176)</f>
        <v xml:space="preserve"> </v>
      </c>
      <c r="N1738" t="str">
        <f>IF(ISBLANK(Character!N176)," ",Character!N176)</f>
        <v xml:space="preserve"> </v>
      </c>
      <c r="O1738" t="str">
        <f>IF(ISBLANK(Character!O176)," ",Character!O176)</f>
        <v xml:space="preserve"> </v>
      </c>
      <c r="P1738" t="str">
        <f>IF(ISBLANK(Character!P176)," ",Character!P176)</f>
        <v xml:space="preserve"> </v>
      </c>
    </row>
    <row r="1739" spans="1:16" x14ac:dyDescent="0.2">
      <c r="A1739" s="460" t="str">
        <f>CONCATENATE(Posessions!A115,"|",Posessions!B115,"|",Posessions!C115,"|",Posessions!D115)</f>
        <v>|||</v>
      </c>
      <c r="B1739" t="str">
        <f>IF(ISBLANK(Character!B177)," ",Character!B177)</f>
        <v xml:space="preserve"> </v>
      </c>
      <c r="C1739" t="str">
        <f>IF(ISBLANK(Character!C177)," ",Character!C177)</f>
        <v xml:space="preserve"> </v>
      </c>
      <c r="D1739" t="str">
        <f>IF(ISBLANK(Character!D177)," ",Character!D177)</f>
        <v xml:space="preserve"> </v>
      </c>
      <c r="E1739" t="str">
        <f>IF(ISBLANK(Character!E177)," ",Character!E177)</f>
        <v xml:space="preserve"> </v>
      </c>
      <c r="F1739" t="str">
        <f>IF(ISBLANK(Character!F177)," ",Character!F177)</f>
        <v xml:space="preserve"> </v>
      </c>
      <c r="G1739" t="str">
        <f>IF(ISBLANK(Character!G177)," ",Character!G177)</f>
        <v xml:space="preserve"> </v>
      </c>
      <c r="H1739" t="str">
        <f>IF(ISBLANK(Character!H177)," ",Character!H177)</f>
        <v xml:space="preserve"> </v>
      </c>
      <c r="I1739" t="str">
        <f>IF(ISBLANK(Character!I177)," ",Character!I177)</f>
        <v xml:space="preserve"> </v>
      </c>
      <c r="J1739" t="str">
        <f>IF(ISBLANK(Character!J177)," ",Character!J177)</f>
        <v xml:space="preserve"> </v>
      </c>
      <c r="K1739" t="str">
        <f>IF(ISBLANK(Character!K177)," ",Character!K177)</f>
        <v xml:space="preserve"> </v>
      </c>
      <c r="L1739" t="str">
        <f>IF(ISBLANK(Character!L177)," ",Character!L177)</f>
        <v xml:space="preserve"> </v>
      </c>
      <c r="M1739" t="str">
        <f>IF(ISBLANK(Character!M177)," ",Character!M177)</f>
        <v xml:space="preserve"> </v>
      </c>
      <c r="N1739" t="str">
        <f>IF(ISBLANK(Character!N177)," ",Character!N177)</f>
        <v xml:space="preserve"> </v>
      </c>
      <c r="O1739" t="str">
        <f>IF(ISBLANK(Character!O177)," ",Character!O177)</f>
        <v xml:space="preserve"> </v>
      </c>
      <c r="P1739" t="str">
        <f>IF(ISBLANK(Character!P177)," ",Character!P177)</f>
        <v xml:space="preserve"> </v>
      </c>
    </row>
    <row r="1740" spans="1:16" x14ac:dyDescent="0.2">
      <c r="A1740" s="460" t="str">
        <f>CONCATENATE(Posessions!A116,"|",Posessions!B116,"|",Posessions!C116,"|",Posessions!D116)</f>
        <v>|||</v>
      </c>
      <c r="B1740" t="str">
        <f>IF(ISBLANK(Character!B178)," ",Character!B178)</f>
        <v xml:space="preserve"> </v>
      </c>
      <c r="C1740" t="str">
        <f>IF(ISBLANK(Character!C178)," ",Character!C178)</f>
        <v xml:space="preserve"> </v>
      </c>
      <c r="D1740" t="str">
        <f>IF(ISBLANK(Character!D178)," ",Character!D178)</f>
        <v xml:space="preserve"> </v>
      </c>
      <c r="E1740" t="str">
        <f>IF(ISBLANK(Character!E178)," ",Character!E178)</f>
        <v xml:space="preserve"> </v>
      </c>
      <c r="F1740" t="str">
        <f>IF(ISBLANK(Character!F178)," ",Character!F178)</f>
        <v xml:space="preserve"> </v>
      </c>
      <c r="G1740" t="str">
        <f>IF(ISBLANK(Character!G178)," ",Character!G178)</f>
        <v xml:space="preserve"> </v>
      </c>
      <c r="H1740" t="str">
        <f>IF(ISBLANK(Character!H178)," ",Character!H178)</f>
        <v xml:space="preserve"> </v>
      </c>
      <c r="I1740" t="str">
        <f>IF(ISBLANK(Character!I178)," ",Character!I178)</f>
        <v xml:space="preserve"> </v>
      </c>
      <c r="J1740" t="str">
        <f>IF(ISBLANK(Character!J178)," ",Character!J178)</f>
        <v xml:space="preserve"> </v>
      </c>
      <c r="K1740" t="str">
        <f>IF(ISBLANK(Character!K178)," ",Character!K178)</f>
        <v xml:space="preserve"> </v>
      </c>
      <c r="L1740" t="str">
        <f>IF(ISBLANK(Character!L178)," ",Character!L178)</f>
        <v xml:space="preserve"> </v>
      </c>
      <c r="M1740" t="str">
        <f>IF(ISBLANK(Character!M178)," ",Character!M178)</f>
        <v xml:space="preserve"> </v>
      </c>
      <c r="N1740" t="str">
        <f>IF(ISBLANK(Character!N178)," ",Character!N178)</f>
        <v xml:space="preserve"> </v>
      </c>
      <c r="O1740" t="str">
        <f>IF(ISBLANK(Character!O178)," ",Character!O178)</f>
        <v xml:space="preserve"> </v>
      </c>
      <c r="P1740" t="str">
        <f>IF(ISBLANK(Character!P178)," ",Character!P178)</f>
        <v xml:space="preserve"> </v>
      </c>
    </row>
    <row r="1741" spans="1:16" x14ac:dyDescent="0.2">
      <c r="A1741" s="460" t="str">
        <f>CONCATENATE(Posessions!A117,"|",Posessions!B117,"|",Posessions!C117,"|",Posessions!D117)</f>
        <v>|||</v>
      </c>
      <c r="B1741" t="str">
        <f>IF(ISBLANK(Character!B179)," ",Character!B179)</f>
        <v xml:space="preserve"> </v>
      </c>
      <c r="C1741" t="str">
        <f>IF(ISBLANK(Character!C179)," ",Character!C179)</f>
        <v xml:space="preserve"> </v>
      </c>
      <c r="D1741" t="str">
        <f>IF(ISBLANK(Character!D179)," ",Character!D179)</f>
        <v xml:space="preserve"> </v>
      </c>
      <c r="E1741" t="str">
        <f>IF(ISBLANK(Character!E179)," ",Character!E179)</f>
        <v xml:space="preserve"> </v>
      </c>
      <c r="F1741" t="str">
        <f>IF(ISBLANK(Character!F179)," ",Character!F179)</f>
        <v xml:space="preserve"> </v>
      </c>
      <c r="G1741" t="str">
        <f>IF(ISBLANK(Character!G179)," ",Character!G179)</f>
        <v xml:space="preserve"> </v>
      </c>
      <c r="H1741" t="str">
        <f>IF(ISBLANK(Character!H179)," ",Character!H179)</f>
        <v xml:space="preserve"> </v>
      </c>
      <c r="I1741" t="str">
        <f>IF(ISBLANK(Character!I179)," ",Character!I179)</f>
        <v xml:space="preserve"> </v>
      </c>
      <c r="J1741" t="str">
        <f>IF(ISBLANK(Character!J179)," ",Character!J179)</f>
        <v xml:space="preserve"> </v>
      </c>
      <c r="K1741" t="str">
        <f>IF(ISBLANK(Character!K179)," ",Character!K179)</f>
        <v xml:space="preserve"> </v>
      </c>
      <c r="L1741" t="str">
        <f>IF(ISBLANK(Character!L179)," ",Character!L179)</f>
        <v xml:space="preserve"> </v>
      </c>
      <c r="M1741" t="str">
        <f>IF(ISBLANK(Character!M179)," ",Character!M179)</f>
        <v xml:space="preserve"> </v>
      </c>
      <c r="N1741" t="str">
        <f>IF(ISBLANK(Character!N179)," ",Character!N179)</f>
        <v xml:space="preserve"> </v>
      </c>
      <c r="O1741" t="str">
        <f>IF(ISBLANK(Character!O179)," ",Character!O179)</f>
        <v xml:space="preserve"> </v>
      </c>
      <c r="P1741" t="str">
        <f>IF(ISBLANK(Character!P179)," ",Character!P179)</f>
        <v xml:space="preserve"> </v>
      </c>
    </row>
    <row r="1742" spans="1:16" x14ac:dyDescent="0.2">
      <c r="A1742" s="460" t="str">
        <f>CONCATENATE(Posessions!A118,"|",Posessions!B118,"|",Posessions!C118,"|",Posessions!D118)</f>
        <v>|||</v>
      </c>
      <c r="B1742" t="str">
        <f>IF(ISBLANK(Character!B180)," ",Character!B180)</f>
        <v xml:space="preserve"> </v>
      </c>
      <c r="C1742" t="str">
        <f>IF(ISBLANK(Character!C180)," ",Character!C180)</f>
        <v xml:space="preserve"> </v>
      </c>
      <c r="D1742" t="str">
        <f>IF(ISBLANK(Character!D180)," ",Character!D180)</f>
        <v xml:space="preserve"> </v>
      </c>
      <c r="E1742" t="str">
        <f>IF(ISBLANK(Character!E180)," ",Character!E180)</f>
        <v xml:space="preserve"> </v>
      </c>
      <c r="F1742" t="str">
        <f>IF(ISBLANK(Character!F180)," ",Character!F180)</f>
        <v xml:space="preserve"> </v>
      </c>
      <c r="G1742" t="str">
        <f>IF(ISBLANK(Character!G180)," ",Character!G180)</f>
        <v xml:space="preserve"> </v>
      </c>
      <c r="H1742" t="str">
        <f>IF(ISBLANK(Character!H180)," ",Character!H180)</f>
        <v xml:space="preserve"> </v>
      </c>
      <c r="I1742" t="str">
        <f>IF(ISBLANK(Character!I180)," ",Character!I180)</f>
        <v xml:space="preserve"> </v>
      </c>
      <c r="J1742" t="str">
        <f>IF(ISBLANK(Character!J180)," ",Character!J180)</f>
        <v xml:space="preserve"> </v>
      </c>
      <c r="K1742" t="str">
        <f>IF(ISBLANK(Character!K180)," ",Character!K180)</f>
        <v xml:space="preserve"> </v>
      </c>
      <c r="L1742" t="str">
        <f>IF(ISBLANK(Character!L180)," ",Character!L180)</f>
        <v xml:space="preserve"> </v>
      </c>
      <c r="M1742" t="str">
        <f>IF(ISBLANK(Character!M180)," ",Character!M180)</f>
        <v xml:space="preserve"> </v>
      </c>
      <c r="N1742" t="str">
        <f>IF(ISBLANK(Character!N180)," ",Character!N180)</f>
        <v xml:space="preserve"> </v>
      </c>
      <c r="O1742" t="str">
        <f>IF(ISBLANK(Character!O180)," ",Character!O180)</f>
        <v xml:space="preserve"> </v>
      </c>
      <c r="P1742" t="str">
        <f>IF(ISBLANK(Character!P180)," ",Character!P180)</f>
        <v xml:space="preserve"> </v>
      </c>
    </row>
    <row r="1743" spans="1:16" x14ac:dyDescent="0.2">
      <c r="A1743" s="460" t="str">
        <f>CONCATENATE(Posessions!A119,"|",Posessions!B119,"|",Posessions!C119,"|",Posessions!D119)</f>
        <v>|||</v>
      </c>
      <c r="B1743" t="str">
        <f>IF(ISBLANK(Character!B181)," ",Character!B181)</f>
        <v xml:space="preserve"> </v>
      </c>
      <c r="C1743" t="str">
        <f>IF(ISBLANK(Character!C181)," ",Character!C181)</f>
        <v xml:space="preserve"> </v>
      </c>
      <c r="D1743" t="str">
        <f>IF(ISBLANK(Character!D181)," ",Character!D181)</f>
        <v xml:space="preserve"> </v>
      </c>
      <c r="E1743" t="str">
        <f>IF(ISBLANK(Character!E181)," ",Character!E181)</f>
        <v xml:space="preserve"> </v>
      </c>
      <c r="F1743" t="str">
        <f>IF(ISBLANK(Character!F181)," ",Character!F181)</f>
        <v xml:space="preserve"> </v>
      </c>
      <c r="G1743" t="str">
        <f>IF(ISBLANK(Character!G181)," ",Character!G181)</f>
        <v xml:space="preserve"> </v>
      </c>
      <c r="H1743" t="str">
        <f>IF(ISBLANK(Character!H181)," ",Character!H181)</f>
        <v xml:space="preserve"> </v>
      </c>
      <c r="I1743" t="str">
        <f>IF(ISBLANK(Character!I181)," ",Character!I181)</f>
        <v xml:space="preserve"> </v>
      </c>
      <c r="J1743" t="str">
        <f>IF(ISBLANK(Character!J181)," ",Character!J181)</f>
        <v xml:space="preserve"> </v>
      </c>
      <c r="K1743" t="str">
        <f>IF(ISBLANK(Character!K181)," ",Character!K181)</f>
        <v xml:space="preserve"> </v>
      </c>
      <c r="L1743" t="str">
        <f>IF(ISBLANK(Character!L181)," ",Character!L181)</f>
        <v xml:space="preserve"> </v>
      </c>
      <c r="M1743" t="str">
        <f>IF(ISBLANK(Character!M181)," ",Character!M181)</f>
        <v xml:space="preserve"> </v>
      </c>
      <c r="N1743" t="str">
        <f>IF(ISBLANK(Character!N181)," ",Character!N181)</f>
        <v xml:space="preserve"> </v>
      </c>
      <c r="O1743" t="str">
        <f>IF(ISBLANK(Character!O181)," ",Character!O181)</f>
        <v xml:space="preserve"> </v>
      </c>
      <c r="P1743" t="str">
        <f>IF(ISBLANK(Character!P181)," ",Character!P181)</f>
        <v xml:space="preserve"> </v>
      </c>
    </row>
    <row r="1744" spans="1:16" x14ac:dyDescent="0.2">
      <c r="A1744" s="460" t="str">
        <f>CONCATENATE(Posessions!A120,"|",Posessions!B120,"|",Posessions!C120,"|",Posessions!D120)</f>
        <v>|||</v>
      </c>
      <c r="B1744" t="str">
        <f>IF(ISBLANK(Character!B182)," ",Character!B182)</f>
        <v xml:space="preserve"> </v>
      </c>
      <c r="C1744" t="str">
        <f>IF(ISBLANK(Character!C182)," ",Character!C182)</f>
        <v xml:space="preserve"> </v>
      </c>
      <c r="D1744" t="str">
        <f>IF(ISBLANK(Character!D182)," ",Character!D182)</f>
        <v xml:space="preserve"> </v>
      </c>
      <c r="E1744" t="str">
        <f>IF(ISBLANK(Character!E182)," ",Character!E182)</f>
        <v xml:space="preserve"> </v>
      </c>
      <c r="F1744" t="str">
        <f>IF(ISBLANK(Character!F182)," ",Character!F182)</f>
        <v xml:space="preserve"> </v>
      </c>
      <c r="G1744" t="str">
        <f>IF(ISBLANK(Character!G182)," ",Character!G182)</f>
        <v xml:space="preserve"> </v>
      </c>
      <c r="H1744" t="str">
        <f>IF(ISBLANK(Character!H182)," ",Character!H182)</f>
        <v xml:space="preserve"> </v>
      </c>
      <c r="I1744" t="str">
        <f>IF(ISBLANK(Character!I182)," ",Character!I182)</f>
        <v xml:space="preserve"> </v>
      </c>
      <c r="J1744" t="str">
        <f>IF(ISBLANK(Character!J182)," ",Character!J182)</f>
        <v xml:space="preserve"> </v>
      </c>
      <c r="K1744" t="str">
        <f>IF(ISBLANK(Character!K182)," ",Character!K182)</f>
        <v xml:space="preserve"> </v>
      </c>
      <c r="L1744" t="str">
        <f>IF(ISBLANK(Character!L182)," ",Character!L182)</f>
        <v xml:space="preserve"> </v>
      </c>
      <c r="M1744" t="str">
        <f>IF(ISBLANK(Character!M182)," ",Character!M182)</f>
        <v xml:space="preserve"> </v>
      </c>
      <c r="N1744" t="str">
        <f>IF(ISBLANK(Character!N182)," ",Character!N182)</f>
        <v xml:space="preserve"> </v>
      </c>
      <c r="O1744" t="str">
        <f>IF(ISBLANK(Character!O182)," ",Character!O182)</f>
        <v xml:space="preserve"> </v>
      </c>
      <c r="P1744" t="str">
        <f>IF(ISBLANK(Character!P182)," ",Character!P182)</f>
        <v xml:space="preserve"> </v>
      </c>
    </row>
    <row r="1745" spans="1:16" x14ac:dyDescent="0.2">
      <c r="A1745" s="460" t="str">
        <f>CONCATENATE(Posessions!A121,"|",Posessions!B121,"|",Posessions!C121,"|",Posessions!D121)</f>
        <v>|||</v>
      </c>
      <c r="B1745" t="str">
        <f>IF(ISBLANK(Character!B183)," ",Character!B183)</f>
        <v xml:space="preserve"> </v>
      </c>
      <c r="C1745" t="str">
        <f>IF(ISBLANK(Character!C183)," ",Character!C183)</f>
        <v xml:space="preserve"> </v>
      </c>
      <c r="D1745" t="str">
        <f>IF(ISBLANK(Character!D183)," ",Character!D183)</f>
        <v xml:space="preserve"> </v>
      </c>
      <c r="E1745" t="str">
        <f>IF(ISBLANK(Character!E183)," ",Character!E183)</f>
        <v xml:space="preserve"> </v>
      </c>
      <c r="F1745" t="str">
        <f>IF(ISBLANK(Character!F183)," ",Character!F183)</f>
        <v xml:space="preserve"> </v>
      </c>
      <c r="G1745" t="str">
        <f>IF(ISBLANK(Character!G183)," ",Character!G183)</f>
        <v xml:space="preserve"> </v>
      </c>
      <c r="H1745" t="str">
        <f>IF(ISBLANK(Character!H183)," ",Character!H183)</f>
        <v xml:space="preserve"> </v>
      </c>
      <c r="I1745" t="str">
        <f>IF(ISBLANK(Character!I183)," ",Character!I183)</f>
        <v xml:space="preserve"> </v>
      </c>
      <c r="J1745" t="str">
        <f>IF(ISBLANK(Character!J183)," ",Character!J183)</f>
        <v xml:space="preserve"> </v>
      </c>
      <c r="K1745" t="str">
        <f>IF(ISBLANK(Character!K183)," ",Character!K183)</f>
        <v xml:space="preserve"> </v>
      </c>
      <c r="L1745" t="str">
        <f>IF(ISBLANK(Character!L183)," ",Character!L183)</f>
        <v xml:space="preserve"> </v>
      </c>
      <c r="M1745" t="str">
        <f>IF(ISBLANK(Character!M183)," ",Character!M183)</f>
        <v xml:space="preserve"> </v>
      </c>
      <c r="N1745" t="str">
        <f>IF(ISBLANK(Character!N183)," ",Character!N183)</f>
        <v xml:space="preserve"> </v>
      </c>
      <c r="O1745" t="str">
        <f>IF(ISBLANK(Character!O183)," ",Character!O183)</f>
        <v xml:space="preserve"> </v>
      </c>
      <c r="P1745" t="str">
        <f>IF(ISBLANK(Character!P183)," ",Character!P183)</f>
        <v xml:space="preserve"> </v>
      </c>
    </row>
    <row r="1746" spans="1:16" x14ac:dyDescent="0.2">
      <c r="A1746" s="460" t="str">
        <f>CONCATENATE(Posessions!A122,"|",Posessions!B122,"|",Posessions!C122,"|",Posessions!D122)</f>
        <v>|||</v>
      </c>
      <c r="B1746" t="str">
        <f>IF(ISBLANK(Character!B184)," ",Character!B184)</f>
        <v xml:space="preserve"> </v>
      </c>
      <c r="C1746" t="str">
        <f>IF(ISBLANK(Character!C184)," ",Character!C184)</f>
        <v xml:space="preserve"> </v>
      </c>
      <c r="D1746" t="str">
        <f>IF(ISBLANK(Character!D184)," ",Character!D184)</f>
        <v xml:space="preserve"> </v>
      </c>
      <c r="E1746" t="str">
        <f>IF(ISBLANK(Character!E184)," ",Character!E184)</f>
        <v xml:space="preserve"> </v>
      </c>
      <c r="F1746" t="str">
        <f>IF(ISBLANK(Character!F184)," ",Character!F184)</f>
        <v xml:space="preserve"> </v>
      </c>
      <c r="G1746" t="str">
        <f>IF(ISBLANK(Character!G184)," ",Character!G184)</f>
        <v xml:space="preserve"> </v>
      </c>
      <c r="H1746" t="str">
        <f>IF(ISBLANK(Character!H184)," ",Character!H184)</f>
        <v xml:space="preserve"> </v>
      </c>
      <c r="I1746" t="str">
        <f>IF(ISBLANK(Character!I184)," ",Character!I184)</f>
        <v xml:space="preserve"> </v>
      </c>
      <c r="J1746" t="str">
        <f>IF(ISBLANK(Character!J184)," ",Character!J184)</f>
        <v xml:space="preserve"> </v>
      </c>
      <c r="K1746" t="str">
        <f>IF(ISBLANK(Character!K184)," ",Character!K184)</f>
        <v xml:space="preserve"> </v>
      </c>
      <c r="L1746" t="str">
        <f>IF(ISBLANK(Character!L184)," ",Character!L184)</f>
        <v xml:space="preserve"> </v>
      </c>
      <c r="M1746" t="str">
        <f>IF(ISBLANK(Character!M184)," ",Character!M184)</f>
        <v xml:space="preserve"> </v>
      </c>
      <c r="N1746" t="str">
        <f>IF(ISBLANK(Character!N184)," ",Character!N184)</f>
        <v xml:space="preserve"> </v>
      </c>
      <c r="O1746" t="str">
        <f>IF(ISBLANK(Character!O184)," ",Character!O184)</f>
        <v xml:space="preserve"> </v>
      </c>
      <c r="P1746" t="str">
        <f>IF(ISBLANK(Character!P184)," ",Character!P184)</f>
        <v xml:space="preserve"> </v>
      </c>
    </row>
    <row r="1747" spans="1:16" x14ac:dyDescent="0.2">
      <c r="A1747" s="460" t="str">
        <f>CONCATENATE(Posessions!A123,"|",Posessions!B123,"|",Posessions!C123,"|",Posessions!D123)</f>
        <v>|||</v>
      </c>
      <c r="B1747" t="str">
        <f>IF(ISBLANK(Character!B185)," ",Character!B185)</f>
        <v xml:space="preserve"> </v>
      </c>
      <c r="C1747" t="str">
        <f>IF(ISBLANK(Character!C185)," ",Character!C185)</f>
        <v xml:space="preserve"> </v>
      </c>
      <c r="D1747" t="str">
        <f>IF(ISBLANK(Character!D185)," ",Character!D185)</f>
        <v xml:space="preserve"> </v>
      </c>
      <c r="E1747" t="str">
        <f>IF(ISBLANK(Character!E185)," ",Character!E185)</f>
        <v xml:space="preserve"> </v>
      </c>
      <c r="F1747" t="str">
        <f>IF(ISBLANK(Character!F185)," ",Character!F185)</f>
        <v xml:space="preserve"> </v>
      </c>
      <c r="G1747" t="str">
        <f>IF(ISBLANK(Character!G185)," ",Character!G185)</f>
        <v xml:space="preserve"> </v>
      </c>
      <c r="H1747" t="str">
        <f>IF(ISBLANK(Character!H185)," ",Character!H185)</f>
        <v xml:space="preserve"> </v>
      </c>
      <c r="I1747" t="str">
        <f>IF(ISBLANK(Character!I185)," ",Character!I185)</f>
        <v xml:space="preserve"> </v>
      </c>
      <c r="J1747" t="str">
        <f>IF(ISBLANK(Character!J185)," ",Character!J185)</f>
        <v xml:space="preserve"> </v>
      </c>
      <c r="K1747" t="str">
        <f>IF(ISBLANK(Character!K185)," ",Character!K185)</f>
        <v xml:space="preserve"> </v>
      </c>
      <c r="L1747" t="str">
        <f>IF(ISBLANK(Character!L185)," ",Character!L185)</f>
        <v xml:space="preserve"> </v>
      </c>
      <c r="M1747" t="str">
        <f>IF(ISBLANK(Character!M185)," ",Character!M185)</f>
        <v xml:space="preserve"> </v>
      </c>
      <c r="N1747" t="str">
        <f>IF(ISBLANK(Character!N185)," ",Character!N185)</f>
        <v xml:space="preserve"> </v>
      </c>
      <c r="O1747" t="str">
        <f>IF(ISBLANK(Character!O185)," ",Character!O185)</f>
        <v xml:space="preserve"> </v>
      </c>
      <c r="P1747" t="str">
        <f>IF(ISBLANK(Character!P185)," ",Character!P185)</f>
        <v xml:space="preserve"> </v>
      </c>
    </row>
    <row r="1748" spans="1:16" x14ac:dyDescent="0.2">
      <c r="A1748" s="460" t="str">
        <f>CONCATENATE(Posessions!A124,"|",Posessions!B124,"|",Posessions!C124,"|",Posessions!D124)</f>
        <v>|||</v>
      </c>
      <c r="B1748" t="str">
        <f>IF(ISBLANK(Character!B186)," ",Character!B186)</f>
        <v xml:space="preserve"> </v>
      </c>
      <c r="C1748" t="str">
        <f>IF(ISBLANK(Character!C186)," ",Character!C186)</f>
        <v xml:space="preserve"> </v>
      </c>
      <c r="D1748" t="str">
        <f>IF(ISBLANK(Character!D186)," ",Character!D186)</f>
        <v xml:space="preserve"> </v>
      </c>
      <c r="E1748" t="str">
        <f>IF(ISBLANK(Character!E186)," ",Character!E186)</f>
        <v xml:space="preserve"> </v>
      </c>
      <c r="F1748" t="str">
        <f>IF(ISBLANK(Character!F186)," ",Character!F186)</f>
        <v xml:space="preserve"> </v>
      </c>
      <c r="G1748" t="str">
        <f>IF(ISBLANK(Character!G186)," ",Character!G186)</f>
        <v xml:space="preserve"> </v>
      </c>
      <c r="H1748" t="str">
        <f>IF(ISBLANK(Character!H186)," ",Character!H186)</f>
        <v xml:space="preserve"> </v>
      </c>
      <c r="I1748" t="str">
        <f>IF(ISBLANK(Character!I186)," ",Character!I186)</f>
        <v xml:space="preserve"> </v>
      </c>
      <c r="J1748" t="str">
        <f>IF(ISBLANK(Character!J186)," ",Character!J186)</f>
        <v xml:space="preserve"> </v>
      </c>
      <c r="K1748" t="str">
        <f>IF(ISBLANK(Character!K186)," ",Character!K186)</f>
        <v xml:space="preserve"> </v>
      </c>
      <c r="L1748" t="str">
        <f>IF(ISBLANK(Character!L186)," ",Character!L186)</f>
        <v xml:space="preserve"> </v>
      </c>
      <c r="M1748" t="str">
        <f>IF(ISBLANK(Character!M186)," ",Character!M186)</f>
        <v xml:space="preserve"> </v>
      </c>
      <c r="N1748" t="str">
        <f>IF(ISBLANK(Character!N186)," ",Character!N186)</f>
        <v xml:space="preserve"> </v>
      </c>
      <c r="O1748" t="str">
        <f>IF(ISBLANK(Character!O186)," ",Character!O186)</f>
        <v xml:space="preserve"> </v>
      </c>
      <c r="P1748" t="str">
        <f>IF(ISBLANK(Character!P186)," ",Character!P186)</f>
        <v xml:space="preserve"> </v>
      </c>
    </row>
    <row r="1749" spans="1:16" x14ac:dyDescent="0.2">
      <c r="A1749" s="460" t="str">
        <f>CONCATENATE(Posessions!A125,"|",Posessions!B125,"|",Posessions!C125,"|",Posessions!D125)</f>
        <v>|||</v>
      </c>
      <c r="B1749" t="str">
        <f>IF(ISBLANK(Character!B187)," ",Character!B187)</f>
        <v xml:space="preserve"> </v>
      </c>
      <c r="C1749" t="str">
        <f>IF(ISBLANK(Character!C187)," ",Character!C187)</f>
        <v xml:space="preserve"> </v>
      </c>
      <c r="D1749" t="str">
        <f>IF(ISBLANK(Character!D187)," ",Character!D187)</f>
        <v xml:space="preserve"> </v>
      </c>
      <c r="E1749" t="str">
        <f>IF(ISBLANK(Character!E187)," ",Character!E187)</f>
        <v xml:space="preserve"> </v>
      </c>
      <c r="F1749" t="str">
        <f>IF(ISBLANK(Character!F187)," ",Character!F187)</f>
        <v xml:space="preserve"> </v>
      </c>
      <c r="G1749" t="str">
        <f>IF(ISBLANK(Character!G187)," ",Character!G187)</f>
        <v xml:space="preserve"> </v>
      </c>
      <c r="H1749" t="str">
        <f>IF(ISBLANK(Character!H187)," ",Character!H187)</f>
        <v xml:space="preserve"> </v>
      </c>
      <c r="I1749" t="str">
        <f>IF(ISBLANK(Character!I187)," ",Character!I187)</f>
        <v xml:space="preserve"> </v>
      </c>
      <c r="J1749" t="str">
        <f>IF(ISBLANK(Character!J187)," ",Character!J187)</f>
        <v xml:space="preserve"> </v>
      </c>
      <c r="K1749" t="str">
        <f>IF(ISBLANK(Character!K187)," ",Character!K187)</f>
        <v xml:space="preserve"> </v>
      </c>
      <c r="L1749" t="str">
        <f>IF(ISBLANK(Character!L187)," ",Character!L187)</f>
        <v xml:space="preserve"> </v>
      </c>
      <c r="M1749" t="str">
        <f>IF(ISBLANK(Character!M187)," ",Character!M187)</f>
        <v xml:space="preserve"> </v>
      </c>
      <c r="N1749" t="str">
        <f>IF(ISBLANK(Character!N187)," ",Character!N187)</f>
        <v xml:space="preserve"> </v>
      </c>
      <c r="O1749" t="str">
        <f>IF(ISBLANK(Character!O187)," ",Character!O187)</f>
        <v xml:space="preserve"> </v>
      </c>
      <c r="P1749" t="str">
        <f>IF(ISBLANK(Character!P187)," ",Character!P187)</f>
        <v xml:space="preserve"> </v>
      </c>
    </row>
    <row r="1750" spans="1:16" x14ac:dyDescent="0.2">
      <c r="A1750" s="460" t="str">
        <f>CONCATENATE(Posessions!A126,"|",Posessions!B126,"|",Posessions!C126,"|",Posessions!D126)</f>
        <v>|||</v>
      </c>
      <c r="B1750" t="str">
        <f>IF(ISBLANK(Character!B188)," ",Character!B188)</f>
        <v xml:space="preserve"> </v>
      </c>
      <c r="C1750" t="str">
        <f>IF(ISBLANK(Character!C188)," ",Character!C188)</f>
        <v xml:space="preserve"> </v>
      </c>
      <c r="D1750" t="str">
        <f>IF(ISBLANK(Character!D188)," ",Character!D188)</f>
        <v xml:space="preserve"> </v>
      </c>
      <c r="E1750" t="str">
        <f>IF(ISBLANK(Character!E188)," ",Character!E188)</f>
        <v xml:space="preserve"> </v>
      </c>
      <c r="F1750" t="str">
        <f>IF(ISBLANK(Character!F188)," ",Character!F188)</f>
        <v xml:space="preserve"> </v>
      </c>
      <c r="G1750" t="str">
        <f>IF(ISBLANK(Character!G188)," ",Character!G188)</f>
        <v xml:space="preserve"> </v>
      </c>
      <c r="H1750" t="str">
        <f>IF(ISBLANK(Character!H188)," ",Character!H188)</f>
        <v xml:space="preserve"> </v>
      </c>
      <c r="I1750" t="str">
        <f>IF(ISBLANK(Character!I188)," ",Character!I188)</f>
        <v xml:space="preserve"> </v>
      </c>
      <c r="J1750" t="str">
        <f>IF(ISBLANK(Character!J188)," ",Character!J188)</f>
        <v xml:space="preserve"> </v>
      </c>
      <c r="K1750" t="str">
        <f>IF(ISBLANK(Character!K188)," ",Character!K188)</f>
        <v xml:space="preserve"> </v>
      </c>
      <c r="L1750" t="str">
        <f>IF(ISBLANK(Character!L188)," ",Character!L188)</f>
        <v xml:space="preserve"> </v>
      </c>
      <c r="M1750" t="str">
        <f>IF(ISBLANK(Character!M188)," ",Character!M188)</f>
        <v xml:space="preserve"> </v>
      </c>
      <c r="N1750" t="str">
        <f>IF(ISBLANK(Character!N188)," ",Character!N188)</f>
        <v xml:space="preserve"> </v>
      </c>
      <c r="O1750" t="str">
        <f>IF(ISBLANK(Character!O188)," ",Character!O188)</f>
        <v xml:space="preserve"> </v>
      </c>
      <c r="P1750" t="str">
        <f>IF(ISBLANK(Character!P188)," ",Character!P188)</f>
        <v xml:space="preserve"> </v>
      </c>
    </row>
    <row r="1751" spans="1:16" x14ac:dyDescent="0.2">
      <c r="A1751" s="460" t="str">
        <f>CONCATENATE(Posessions!A127,"|",Posessions!B127,"|",Posessions!C127,"|",Posessions!D127)</f>
        <v>|||</v>
      </c>
      <c r="B1751" t="str">
        <f>IF(ISBLANK(Character!B189)," ",Character!B189)</f>
        <v xml:space="preserve"> </v>
      </c>
      <c r="C1751" t="str">
        <f>IF(ISBLANK(Character!C189)," ",Character!C189)</f>
        <v xml:space="preserve"> </v>
      </c>
      <c r="D1751" t="str">
        <f>IF(ISBLANK(Character!D189)," ",Character!D189)</f>
        <v xml:space="preserve"> </v>
      </c>
      <c r="E1751" t="str">
        <f>IF(ISBLANK(Character!E189)," ",Character!E189)</f>
        <v xml:space="preserve"> </v>
      </c>
      <c r="F1751" t="str">
        <f>IF(ISBLANK(Character!F189)," ",Character!F189)</f>
        <v xml:space="preserve"> </v>
      </c>
      <c r="G1751" t="str">
        <f>IF(ISBLANK(Character!G189)," ",Character!G189)</f>
        <v xml:space="preserve"> </v>
      </c>
      <c r="H1751" t="str">
        <f>IF(ISBLANK(Character!H189)," ",Character!H189)</f>
        <v xml:space="preserve"> </v>
      </c>
      <c r="I1751" t="str">
        <f>IF(ISBLANK(Character!I189)," ",Character!I189)</f>
        <v xml:space="preserve"> </v>
      </c>
      <c r="J1751" t="str">
        <f>IF(ISBLANK(Character!J189)," ",Character!J189)</f>
        <v xml:space="preserve"> </v>
      </c>
      <c r="K1751" t="str">
        <f>IF(ISBLANK(Character!K189)," ",Character!K189)</f>
        <v xml:space="preserve"> </v>
      </c>
      <c r="L1751" t="str">
        <f>IF(ISBLANK(Character!L189)," ",Character!L189)</f>
        <v xml:space="preserve"> </v>
      </c>
      <c r="M1751" t="str">
        <f>IF(ISBLANK(Character!M189)," ",Character!M189)</f>
        <v xml:space="preserve"> </v>
      </c>
      <c r="N1751" t="str">
        <f>IF(ISBLANK(Character!N189)," ",Character!N189)</f>
        <v xml:space="preserve"> </v>
      </c>
      <c r="O1751" t="str">
        <f>IF(ISBLANK(Character!O189)," ",Character!O189)</f>
        <v xml:space="preserve"> </v>
      </c>
      <c r="P1751" t="str">
        <f>IF(ISBLANK(Character!P189)," ",Character!P189)</f>
        <v xml:space="preserve"> </v>
      </c>
    </row>
    <row r="1752" spans="1:16" x14ac:dyDescent="0.2">
      <c r="A1752" s="460" t="str">
        <f>CONCATENATE(Posessions!A128,"|",Posessions!B128,"|",Posessions!C128,"|",Posessions!D128)</f>
        <v>|||</v>
      </c>
      <c r="B1752" t="str">
        <f>IF(ISBLANK(Character!B190)," ",Character!B190)</f>
        <v xml:space="preserve"> </v>
      </c>
      <c r="C1752" t="str">
        <f>IF(ISBLANK(Character!C190)," ",Character!C190)</f>
        <v xml:space="preserve"> </v>
      </c>
      <c r="D1752" t="str">
        <f>IF(ISBLANK(Character!D190)," ",Character!D190)</f>
        <v xml:space="preserve"> </v>
      </c>
      <c r="E1752" t="str">
        <f>IF(ISBLANK(Character!E190)," ",Character!E190)</f>
        <v xml:space="preserve"> </v>
      </c>
      <c r="F1752" t="str">
        <f>IF(ISBLANK(Character!F190)," ",Character!F190)</f>
        <v xml:space="preserve"> </v>
      </c>
      <c r="G1752" t="str">
        <f>IF(ISBLANK(Character!G190)," ",Character!G190)</f>
        <v xml:space="preserve"> </v>
      </c>
      <c r="H1752" t="str">
        <f>IF(ISBLANK(Character!H190)," ",Character!H190)</f>
        <v xml:space="preserve"> </v>
      </c>
      <c r="I1752" t="str">
        <f>IF(ISBLANK(Character!I190)," ",Character!I190)</f>
        <v xml:space="preserve"> </v>
      </c>
      <c r="J1752" t="str">
        <f>IF(ISBLANK(Character!J190)," ",Character!J190)</f>
        <v xml:space="preserve"> </v>
      </c>
      <c r="K1752" t="str">
        <f>IF(ISBLANK(Character!K190)," ",Character!K190)</f>
        <v xml:space="preserve"> </v>
      </c>
      <c r="L1752" t="str">
        <f>IF(ISBLANK(Character!L190)," ",Character!L190)</f>
        <v xml:space="preserve"> </v>
      </c>
      <c r="M1752" t="str">
        <f>IF(ISBLANK(Character!M190)," ",Character!M190)</f>
        <v xml:space="preserve"> </v>
      </c>
      <c r="N1752" t="str">
        <f>IF(ISBLANK(Character!N190)," ",Character!N190)</f>
        <v xml:space="preserve"> </v>
      </c>
      <c r="O1752" t="str">
        <f>IF(ISBLANK(Character!O190)," ",Character!O190)</f>
        <v xml:space="preserve"> </v>
      </c>
      <c r="P1752" t="str">
        <f>IF(ISBLANK(Character!P190)," ",Character!P190)</f>
        <v xml:space="preserve"> </v>
      </c>
    </row>
    <row r="1753" spans="1:16" x14ac:dyDescent="0.2">
      <c r="A1753" s="460" t="str">
        <f>CONCATENATE(Posessions!A129,"|",Posessions!B129,"|",Posessions!C129,"|",Posessions!D129)</f>
        <v>|||</v>
      </c>
      <c r="B1753" t="str">
        <f>IF(ISBLANK(Character!B191)," ",Character!B191)</f>
        <v xml:space="preserve"> </v>
      </c>
      <c r="C1753" t="str">
        <f>IF(ISBLANK(Character!C191)," ",Character!C191)</f>
        <v xml:space="preserve"> </v>
      </c>
      <c r="D1753" t="str">
        <f>IF(ISBLANK(Character!D191)," ",Character!D191)</f>
        <v xml:space="preserve"> </v>
      </c>
      <c r="E1753" t="str">
        <f>IF(ISBLANK(Character!E191)," ",Character!E191)</f>
        <v xml:space="preserve"> </v>
      </c>
      <c r="F1753" t="str">
        <f>IF(ISBLANK(Character!F191)," ",Character!F191)</f>
        <v xml:space="preserve"> </v>
      </c>
      <c r="G1753" t="str">
        <f>IF(ISBLANK(Character!G191)," ",Character!G191)</f>
        <v xml:space="preserve"> </v>
      </c>
      <c r="H1753" t="str">
        <f>IF(ISBLANK(Character!H191)," ",Character!H191)</f>
        <v xml:space="preserve"> </v>
      </c>
      <c r="I1753" t="str">
        <f>IF(ISBLANK(Character!I191)," ",Character!I191)</f>
        <v xml:space="preserve"> </v>
      </c>
      <c r="J1753" t="str">
        <f>IF(ISBLANK(Character!J191)," ",Character!J191)</f>
        <v xml:space="preserve"> </v>
      </c>
      <c r="K1753" t="str">
        <f>IF(ISBLANK(Character!K191)," ",Character!K191)</f>
        <v xml:space="preserve"> </v>
      </c>
      <c r="L1753" t="str">
        <f>IF(ISBLANK(Character!L191)," ",Character!L191)</f>
        <v xml:space="preserve"> </v>
      </c>
      <c r="M1753" t="str">
        <f>IF(ISBLANK(Character!M191)," ",Character!M191)</f>
        <v xml:space="preserve"> </v>
      </c>
      <c r="N1753" t="str">
        <f>IF(ISBLANK(Character!N191)," ",Character!N191)</f>
        <v xml:space="preserve"> </v>
      </c>
      <c r="O1753" t="str">
        <f>IF(ISBLANK(Character!O191)," ",Character!O191)</f>
        <v xml:space="preserve"> </v>
      </c>
      <c r="P1753" t="str">
        <f>IF(ISBLANK(Character!P191)," ",Character!P191)</f>
        <v xml:space="preserve"> </v>
      </c>
    </row>
    <row r="1754" spans="1:16" x14ac:dyDescent="0.2">
      <c r="A1754" s="460" t="str">
        <f>CONCATENATE(Posessions!A130,"|",Posessions!B130,"|",Posessions!C130,"|",Posessions!D130)</f>
        <v>|||</v>
      </c>
      <c r="B1754" t="str">
        <f>IF(ISBLANK(Character!B192)," ",Character!B192)</f>
        <v xml:space="preserve"> </v>
      </c>
      <c r="C1754" t="str">
        <f>IF(ISBLANK(Character!C192)," ",Character!C192)</f>
        <v xml:space="preserve"> </v>
      </c>
      <c r="D1754" t="str">
        <f>IF(ISBLANK(Character!D192)," ",Character!D192)</f>
        <v xml:space="preserve"> </v>
      </c>
      <c r="E1754" t="str">
        <f>IF(ISBLANK(Character!E192)," ",Character!E192)</f>
        <v xml:space="preserve"> </v>
      </c>
      <c r="F1754" t="str">
        <f>IF(ISBLANK(Character!F192)," ",Character!F192)</f>
        <v xml:space="preserve"> </v>
      </c>
      <c r="G1754" t="str">
        <f>IF(ISBLANK(Character!G192)," ",Character!G192)</f>
        <v xml:space="preserve"> </v>
      </c>
      <c r="H1754" t="str">
        <f>IF(ISBLANK(Character!H192)," ",Character!H192)</f>
        <v xml:space="preserve"> </v>
      </c>
      <c r="I1754" t="str">
        <f>IF(ISBLANK(Character!I192)," ",Character!I192)</f>
        <v xml:space="preserve"> </v>
      </c>
      <c r="J1754" t="str">
        <f>IF(ISBLANK(Character!J192)," ",Character!J192)</f>
        <v xml:space="preserve"> </v>
      </c>
      <c r="K1754" t="str">
        <f>IF(ISBLANK(Character!K192)," ",Character!K192)</f>
        <v xml:space="preserve"> </v>
      </c>
      <c r="L1754" t="str">
        <f>IF(ISBLANK(Character!L192)," ",Character!L192)</f>
        <v xml:space="preserve"> </v>
      </c>
      <c r="M1754" t="str">
        <f>IF(ISBLANK(Character!M192)," ",Character!M192)</f>
        <v xml:space="preserve"> </v>
      </c>
      <c r="N1754" t="str">
        <f>IF(ISBLANK(Character!N192)," ",Character!N192)</f>
        <v xml:space="preserve"> </v>
      </c>
      <c r="O1754" t="str">
        <f>IF(ISBLANK(Character!O192)," ",Character!O192)</f>
        <v xml:space="preserve"> </v>
      </c>
      <c r="P1754" t="str">
        <f>IF(ISBLANK(Character!P192)," ",Character!P192)</f>
        <v xml:space="preserve"> </v>
      </c>
    </row>
    <row r="1755" spans="1:16" x14ac:dyDescent="0.2">
      <c r="A1755" s="460" t="str">
        <f>CONCATENATE(Posessions!A131,"|",Posessions!B131,"|",Posessions!C131,"|",Posessions!D131)</f>
        <v>|||</v>
      </c>
      <c r="B1755" t="str">
        <f>IF(ISBLANK(Character!B193)," ",Character!B193)</f>
        <v xml:space="preserve"> </v>
      </c>
      <c r="C1755" t="str">
        <f>IF(ISBLANK(Character!C193)," ",Character!C193)</f>
        <v xml:space="preserve"> </v>
      </c>
      <c r="D1755" t="str">
        <f>IF(ISBLANK(Character!D193)," ",Character!D193)</f>
        <v xml:space="preserve"> </v>
      </c>
      <c r="E1755" t="str">
        <f>IF(ISBLANK(Character!E193)," ",Character!E193)</f>
        <v xml:space="preserve"> </v>
      </c>
      <c r="F1755" t="str">
        <f>IF(ISBLANK(Character!F193)," ",Character!F193)</f>
        <v xml:space="preserve"> </v>
      </c>
      <c r="G1755" t="str">
        <f>IF(ISBLANK(Character!G193)," ",Character!G193)</f>
        <v xml:space="preserve"> </v>
      </c>
      <c r="H1755" t="str">
        <f>IF(ISBLANK(Character!H193)," ",Character!H193)</f>
        <v xml:space="preserve"> </v>
      </c>
      <c r="I1755" t="str">
        <f>IF(ISBLANK(Character!I193)," ",Character!I193)</f>
        <v xml:space="preserve"> </v>
      </c>
      <c r="J1755" t="str">
        <f>IF(ISBLANK(Character!J193)," ",Character!J193)</f>
        <v xml:space="preserve"> </v>
      </c>
      <c r="K1755" t="str">
        <f>IF(ISBLANK(Character!K193)," ",Character!K193)</f>
        <v xml:space="preserve"> </v>
      </c>
      <c r="L1755" t="str">
        <f>IF(ISBLANK(Character!L193)," ",Character!L193)</f>
        <v xml:space="preserve"> </v>
      </c>
      <c r="M1755" t="str">
        <f>IF(ISBLANK(Character!M193)," ",Character!M193)</f>
        <v xml:space="preserve"> </v>
      </c>
      <c r="N1755" t="str">
        <f>IF(ISBLANK(Character!N193)," ",Character!N193)</f>
        <v xml:space="preserve"> </v>
      </c>
      <c r="O1755" t="str">
        <f>IF(ISBLANK(Character!O193)," ",Character!O193)</f>
        <v xml:space="preserve"> </v>
      </c>
      <c r="P1755" t="str">
        <f>IF(ISBLANK(Character!P193)," ",Character!P193)</f>
        <v xml:space="preserve"> </v>
      </c>
    </row>
    <row r="1756" spans="1:16" x14ac:dyDescent="0.2">
      <c r="A1756" s="460" t="str">
        <f>CONCATENATE(Posessions!A132,"|",Posessions!B132,"|",Posessions!C132,"|",Posessions!D132)</f>
        <v>|||</v>
      </c>
      <c r="B1756" t="str">
        <f>IF(ISBLANK(Character!B194)," ",Character!B194)</f>
        <v xml:space="preserve"> </v>
      </c>
      <c r="C1756" t="str">
        <f>IF(ISBLANK(Character!C194)," ",Character!C194)</f>
        <v xml:space="preserve"> </v>
      </c>
      <c r="D1756" t="str">
        <f>IF(ISBLANK(Character!D194)," ",Character!D194)</f>
        <v xml:space="preserve"> </v>
      </c>
      <c r="E1756" t="str">
        <f>IF(ISBLANK(Character!E194)," ",Character!E194)</f>
        <v xml:space="preserve"> </v>
      </c>
      <c r="F1756" t="str">
        <f>IF(ISBLANK(Character!F194)," ",Character!F194)</f>
        <v xml:space="preserve"> </v>
      </c>
      <c r="G1756" t="str">
        <f>IF(ISBLANK(Character!G194)," ",Character!G194)</f>
        <v xml:space="preserve"> </v>
      </c>
      <c r="H1756" t="str">
        <f>IF(ISBLANK(Character!H194)," ",Character!H194)</f>
        <v xml:space="preserve"> </v>
      </c>
      <c r="I1756" t="str">
        <f>IF(ISBLANK(Character!I194)," ",Character!I194)</f>
        <v xml:space="preserve"> </v>
      </c>
      <c r="J1756" t="str">
        <f>IF(ISBLANK(Character!J194)," ",Character!J194)</f>
        <v xml:space="preserve"> </v>
      </c>
      <c r="K1756" t="str">
        <f>IF(ISBLANK(Character!K194)," ",Character!K194)</f>
        <v xml:space="preserve"> </v>
      </c>
      <c r="L1756" t="str">
        <f>IF(ISBLANK(Character!L194)," ",Character!L194)</f>
        <v xml:space="preserve"> </v>
      </c>
      <c r="M1756" t="str">
        <f>IF(ISBLANK(Character!M194)," ",Character!M194)</f>
        <v xml:space="preserve"> </v>
      </c>
      <c r="N1756" t="str">
        <f>IF(ISBLANK(Character!N194)," ",Character!N194)</f>
        <v xml:space="preserve"> </v>
      </c>
      <c r="O1756" t="str">
        <f>IF(ISBLANK(Character!O194)," ",Character!O194)</f>
        <v xml:space="preserve"> </v>
      </c>
      <c r="P1756" t="str">
        <f>IF(ISBLANK(Character!P194)," ",Character!P194)</f>
        <v xml:space="preserve"> </v>
      </c>
    </row>
    <row r="1757" spans="1:16" x14ac:dyDescent="0.2">
      <c r="A1757" s="460" t="str">
        <f>CONCATENATE(Posessions!A133,"|",Posessions!B133,"|",Posessions!C133,"|",Posessions!D133)</f>
        <v>|||</v>
      </c>
      <c r="B1757" t="str">
        <f>IF(ISBLANK(Character!B195)," ",Character!B195)</f>
        <v xml:space="preserve"> </v>
      </c>
      <c r="C1757" t="str">
        <f>IF(ISBLANK(Character!C195)," ",Character!C195)</f>
        <v xml:space="preserve"> </v>
      </c>
      <c r="D1757" t="str">
        <f>IF(ISBLANK(Character!D195)," ",Character!D195)</f>
        <v xml:space="preserve"> </v>
      </c>
      <c r="E1757" t="str">
        <f>IF(ISBLANK(Character!E195)," ",Character!E195)</f>
        <v xml:space="preserve"> </v>
      </c>
      <c r="F1757" t="str">
        <f>IF(ISBLANK(Character!F195)," ",Character!F195)</f>
        <v xml:space="preserve"> </v>
      </c>
      <c r="G1757" t="str">
        <f>IF(ISBLANK(Character!G195)," ",Character!G195)</f>
        <v xml:space="preserve"> </v>
      </c>
      <c r="H1757" t="str">
        <f>IF(ISBLANK(Character!H195)," ",Character!H195)</f>
        <v xml:space="preserve"> </v>
      </c>
      <c r="I1757" t="str">
        <f>IF(ISBLANK(Character!I195)," ",Character!I195)</f>
        <v xml:space="preserve"> </v>
      </c>
      <c r="J1757" t="str">
        <f>IF(ISBLANK(Character!J195)," ",Character!J195)</f>
        <v xml:space="preserve"> </v>
      </c>
      <c r="K1757" t="str">
        <f>IF(ISBLANK(Character!K195)," ",Character!K195)</f>
        <v xml:space="preserve"> </v>
      </c>
      <c r="L1757" t="str">
        <f>IF(ISBLANK(Character!L195)," ",Character!L195)</f>
        <v xml:space="preserve"> </v>
      </c>
      <c r="M1757" t="str">
        <f>IF(ISBLANK(Character!M195)," ",Character!M195)</f>
        <v xml:space="preserve"> </v>
      </c>
      <c r="N1757" t="str">
        <f>IF(ISBLANK(Character!N195)," ",Character!N195)</f>
        <v xml:space="preserve"> </v>
      </c>
      <c r="O1757" t="str">
        <f>IF(ISBLANK(Character!O195)," ",Character!O195)</f>
        <v xml:space="preserve"> </v>
      </c>
      <c r="P1757" t="str">
        <f>IF(ISBLANK(Character!P195)," ",Character!P195)</f>
        <v xml:space="preserve"> </v>
      </c>
    </row>
    <row r="1758" spans="1:16" x14ac:dyDescent="0.2">
      <c r="A1758" s="460" t="str">
        <f>CONCATENATE(Posessions!A134,"|",Posessions!B134,"|",Posessions!C134,"|",Posessions!D134)</f>
        <v>|||</v>
      </c>
      <c r="B1758" t="str">
        <f>IF(ISBLANK(Character!B196)," ",Character!B196)</f>
        <v xml:space="preserve"> </v>
      </c>
      <c r="C1758" t="str">
        <f>IF(ISBLANK(Character!C196)," ",Character!C196)</f>
        <v xml:space="preserve"> </v>
      </c>
      <c r="D1758" t="str">
        <f>IF(ISBLANK(Character!D196)," ",Character!D196)</f>
        <v xml:space="preserve"> </v>
      </c>
      <c r="E1758" t="str">
        <f>IF(ISBLANK(Character!E196)," ",Character!E196)</f>
        <v xml:space="preserve"> </v>
      </c>
      <c r="F1758" t="str">
        <f>IF(ISBLANK(Character!F196)," ",Character!F196)</f>
        <v xml:space="preserve"> </v>
      </c>
      <c r="G1758" t="str">
        <f>IF(ISBLANK(Character!G196)," ",Character!G196)</f>
        <v xml:space="preserve"> </v>
      </c>
      <c r="H1758" t="str">
        <f>IF(ISBLANK(Character!H196)," ",Character!H196)</f>
        <v xml:space="preserve"> </v>
      </c>
      <c r="I1758" t="str">
        <f>IF(ISBLANK(Character!I196)," ",Character!I196)</f>
        <v xml:space="preserve"> </v>
      </c>
      <c r="J1758" t="str">
        <f>IF(ISBLANK(Character!J196)," ",Character!J196)</f>
        <v xml:space="preserve"> </v>
      </c>
      <c r="K1758" t="str">
        <f>IF(ISBLANK(Character!K196)," ",Character!K196)</f>
        <v xml:space="preserve"> </v>
      </c>
      <c r="L1758" t="str">
        <f>IF(ISBLANK(Character!L196)," ",Character!L196)</f>
        <v xml:space="preserve"> </v>
      </c>
      <c r="M1758" t="str">
        <f>IF(ISBLANK(Character!M196)," ",Character!M196)</f>
        <v xml:space="preserve"> </v>
      </c>
      <c r="N1758" t="str">
        <f>IF(ISBLANK(Character!N196)," ",Character!N196)</f>
        <v xml:space="preserve"> </v>
      </c>
      <c r="O1758" t="str">
        <f>IF(ISBLANK(Character!O196)," ",Character!O196)</f>
        <v xml:space="preserve"> </v>
      </c>
      <c r="P1758" t="str">
        <f>IF(ISBLANK(Character!P196)," ",Character!P196)</f>
        <v xml:space="preserve"> </v>
      </c>
    </row>
    <row r="1759" spans="1:16" x14ac:dyDescent="0.2">
      <c r="A1759" s="460" t="str">
        <f>CONCATENATE(Posessions!A135,"|",Posessions!B135,"|",Posessions!C135,"|",Posessions!D135)</f>
        <v>|||</v>
      </c>
      <c r="B1759" t="str">
        <f>IF(ISBLANK(Character!B197)," ",Character!B197)</f>
        <v xml:space="preserve"> </v>
      </c>
      <c r="C1759" t="str">
        <f>IF(ISBLANK(Character!C197)," ",Character!C197)</f>
        <v xml:space="preserve"> </v>
      </c>
      <c r="D1759" t="str">
        <f>IF(ISBLANK(Character!D197)," ",Character!D197)</f>
        <v xml:space="preserve"> </v>
      </c>
      <c r="E1759" t="str">
        <f>IF(ISBLANK(Character!E197)," ",Character!E197)</f>
        <v xml:space="preserve"> </v>
      </c>
      <c r="F1759" t="str">
        <f>IF(ISBLANK(Character!F197)," ",Character!F197)</f>
        <v xml:space="preserve"> </v>
      </c>
      <c r="G1759" t="str">
        <f>IF(ISBLANK(Character!G197)," ",Character!G197)</f>
        <v xml:space="preserve"> </v>
      </c>
      <c r="H1759" t="str">
        <f>IF(ISBLANK(Character!H197)," ",Character!H197)</f>
        <v xml:space="preserve"> </v>
      </c>
      <c r="I1759" t="str">
        <f>IF(ISBLANK(Character!I197)," ",Character!I197)</f>
        <v xml:space="preserve"> </v>
      </c>
      <c r="J1759" t="str">
        <f>IF(ISBLANK(Character!J197)," ",Character!J197)</f>
        <v xml:space="preserve"> </v>
      </c>
      <c r="K1759" t="str">
        <f>IF(ISBLANK(Character!K197)," ",Character!K197)</f>
        <v xml:space="preserve"> </v>
      </c>
      <c r="L1759" t="str">
        <f>IF(ISBLANK(Character!L197)," ",Character!L197)</f>
        <v xml:space="preserve"> </v>
      </c>
      <c r="M1759" t="str">
        <f>IF(ISBLANK(Character!M197)," ",Character!M197)</f>
        <v xml:space="preserve"> </v>
      </c>
      <c r="N1759" t="str">
        <f>IF(ISBLANK(Character!N197)," ",Character!N197)</f>
        <v xml:space="preserve"> </v>
      </c>
      <c r="O1759" t="str">
        <f>IF(ISBLANK(Character!O197)," ",Character!O197)</f>
        <v xml:space="preserve"> </v>
      </c>
      <c r="P1759" t="str">
        <f>IF(ISBLANK(Character!P197)," ",Character!P197)</f>
        <v xml:space="preserve"> </v>
      </c>
    </row>
    <row r="1760" spans="1:16" x14ac:dyDescent="0.2">
      <c r="A1760" s="460" t="str">
        <f>CONCATENATE(Posessions!A136,"|",Posessions!B136,"|",Posessions!C136,"|",Posessions!D136)</f>
        <v>|||</v>
      </c>
      <c r="B1760" t="str">
        <f>IF(ISBLANK(Character!B198)," ",Character!B198)</f>
        <v xml:space="preserve"> </v>
      </c>
      <c r="C1760" t="str">
        <f>IF(ISBLANK(Character!C198)," ",Character!C198)</f>
        <v xml:space="preserve"> </v>
      </c>
      <c r="D1760" t="str">
        <f>IF(ISBLANK(Character!D198)," ",Character!D198)</f>
        <v xml:space="preserve"> </v>
      </c>
      <c r="E1760" t="str">
        <f>IF(ISBLANK(Character!E198)," ",Character!E198)</f>
        <v xml:space="preserve"> </v>
      </c>
      <c r="F1760" t="str">
        <f>IF(ISBLANK(Character!F198)," ",Character!F198)</f>
        <v xml:space="preserve"> </v>
      </c>
      <c r="G1760" t="str">
        <f>IF(ISBLANK(Character!G198)," ",Character!G198)</f>
        <v xml:space="preserve"> </v>
      </c>
      <c r="H1760" t="str">
        <f>IF(ISBLANK(Character!H198)," ",Character!H198)</f>
        <v xml:space="preserve"> </v>
      </c>
      <c r="I1760" t="str">
        <f>IF(ISBLANK(Character!I198)," ",Character!I198)</f>
        <v xml:space="preserve"> </v>
      </c>
      <c r="J1760" t="str">
        <f>IF(ISBLANK(Character!J198)," ",Character!J198)</f>
        <v xml:space="preserve"> </v>
      </c>
      <c r="K1760" t="str">
        <f>IF(ISBLANK(Character!K198)," ",Character!K198)</f>
        <v xml:space="preserve"> </v>
      </c>
      <c r="L1760" t="str">
        <f>IF(ISBLANK(Character!L198)," ",Character!L198)</f>
        <v xml:space="preserve"> </v>
      </c>
      <c r="M1760" t="str">
        <f>IF(ISBLANK(Character!M198)," ",Character!M198)</f>
        <v xml:space="preserve"> </v>
      </c>
      <c r="N1760" t="str">
        <f>IF(ISBLANK(Character!N198)," ",Character!N198)</f>
        <v xml:space="preserve"> </v>
      </c>
      <c r="O1760" t="str">
        <f>IF(ISBLANK(Character!O198)," ",Character!O198)</f>
        <v xml:space="preserve"> </v>
      </c>
      <c r="P1760" t="str">
        <f>IF(ISBLANK(Character!P198)," ",Character!P198)</f>
        <v xml:space="preserve"> </v>
      </c>
    </row>
    <row r="1761" spans="1:16" x14ac:dyDescent="0.2">
      <c r="A1761" s="460" t="str">
        <f>CONCATENATE(Posessions!A137,"|",Posessions!B137,"|",Posessions!C137,"|",Posessions!D137)</f>
        <v>|||</v>
      </c>
      <c r="B1761" t="str">
        <f>IF(ISBLANK(Character!B199)," ",Character!B199)</f>
        <v xml:space="preserve"> </v>
      </c>
      <c r="C1761" t="str">
        <f>IF(ISBLANK(Character!C199)," ",Character!C199)</f>
        <v xml:space="preserve"> </v>
      </c>
      <c r="D1761" t="str">
        <f>IF(ISBLANK(Character!D199)," ",Character!D199)</f>
        <v xml:space="preserve"> </v>
      </c>
      <c r="E1761" t="str">
        <f>IF(ISBLANK(Character!E199)," ",Character!E199)</f>
        <v xml:space="preserve"> </v>
      </c>
      <c r="F1761" t="str">
        <f>IF(ISBLANK(Character!F199)," ",Character!F199)</f>
        <v xml:space="preserve"> </v>
      </c>
      <c r="G1761" t="str">
        <f>IF(ISBLANK(Character!G199)," ",Character!G199)</f>
        <v xml:space="preserve"> </v>
      </c>
      <c r="H1761" t="str">
        <f>IF(ISBLANK(Character!H199)," ",Character!H199)</f>
        <v xml:space="preserve"> </v>
      </c>
      <c r="I1761" t="str">
        <f>IF(ISBLANK(Character!I199)," ",Character!I199)</f>
        <v xml:space="preserve"> </v>
      </c>
      <c r="J1761" t="str">
        <f>IF(ISBLANK(Character!J199)," ",Character!J199)</f>
        <v xml:space="preserve"> </v>
      </c>
      <c r="K1761" t="str">
        <f>IF(ISBLANK(Character!K199)," ",Character!K199)</f>
        <v xml:space="preserve"> </v>
      </c>
      <c r="L1761" t="str">
        <f>IF(ISBLANK(Character!L199)," ",Character!L199)</f>
        <v xml:space="preserve"> </v>
      </c>
      <c r="M1761" t="str">
        <f>IF(ISBLANK(Character!M199)," ",Character!M199)</f>
        <v xml:space="preserve"> </v>
      </c>
      <c r="N1761" t="str">
        <f>IF(ISBLANK(Character!N199)," ",Character!N199)</f>
        <v xml:space="preserve"> </v>
      </c>
      <c r="O1761" t="str">
        <f>IF(ISBLANK(Character!O199)," ",Character!O199)</f>
        <v xml:space="preserve"> </v>
      </c>
      <c r="P1761" t="str">
        <f>IF(ISBLANK(Character!P199)," ",Character!P199)</f>
        <v xml:space="preserve"> </v>
      </c>
    </row>
    <row r="1762" spans="1:16" x14ac:dyDescent="0.2">
      <c r="A1762" s="460" t="str">
        <f>CONCATENATE(Posessions!A138,"|",Posessions!B138,"|",Posessions!C138,"|",Posessions!D138)</f>
        <v>|||</v>
      </c>
      <c r="B1762" t="str">
        <f>IF(ISBLANK(Character!B200)," ",Character!B200)</f>
        <v xml:space="preserve"> </v>
      </c>
      <c r="C1762" t="str">
        <f>IF(ISBLANK(Character!C200)," ",Character!C200)</f>
        <v xml:space="preserve"> </v>
      </c>
      <c r="D1762" t="str">
        <f>IF(ISBLANK(Character!D200)," ",Character!D200)</f>
        <v xml:space="preserve"> </v>
      </c>
      <c r="E1762" t="str">
        <f>IF(ISBLANK(Character!E200)," ",Character!E200)</f>
        <v xml:space="preserve"> </v>
      </c>
      <c r="F1762" t="str">
        <f>IF(ISBLANK(Character!F200)," ",Character!F200)</f>
        <v xml:space="preserve"> </v>
      </c>
      <c r="G1762" t="str">
        <f>IF(ISBLANK(Character!G200)," ",Character!G200)</f>
        <v xml:space="preserve"> </v>
      </c>
      <c r="H1762" t="str">
        <f>IF(ISBLANK(Character!H200)," ",Character!H200)</f>
        <v xml:space="preserve"> </v>
      </c>
      <c r="I1762" t="str">
        <f>IF(ISBLANK(Character!I200)," ",Character!I200)</f>
        <v xml:space="preserve"> </v>
      </c>
      <c r="J1762" t="str">
        <f>IF(ISBLANK(Character!J200)," ",Character!J200)</f>
        <v xml:space="preserve"> </v>
      </c>
      <c r="K1762" t="str">
        <f>IF(ISBLANK(Character!K200)," ",Character!K200)</f>
        <v xml:space="preserve"> </v>
      </c>
      <c r="L1762" t="str">
        <f>IF(ISBLANK(Character!L200)," ",Character!L200)</f>
        <v xml:space="preserve"> </v>
      </c>
      <c r="M1762" t="str">
        <f>IF(ISBLANK(Character!M200)," ",Character!M200)</f>
        <v xml:space="preserve"> </v>
      </c>
      <c r="N1762" t="str">
        <f>IF(ISBLANK(Character!N200)," ",Character!N200)</f>
        <v xml:space="preserve"> </v>
      </c>
      <c r="O1762" t="str">
        <f>IF(ISBLANK(Character!O200)," ",Character!O200)</f>
        <v xml:space="preserve"> </v>
      </c>
      <c r="P1762" t="str">
        <f>IF(ISBLANK(Character!P200)," ",Character!P200)</f>
        <v xml:space="preserve"> </v>
      </c>
    </row>
    <row r="1763" spans="1:16" x14ac:dyDescent="0.2">
      <c r="A1763" s="460" t="str">
        <f>CONCATENATE(Posessions!A139,"|",Posessions!B139,"|",Posessions!C139,"|",Posessions!D139)</f>
        <v>|||</v>
      </c>
      <c r="B1763" t="str">
        <f>IF(ISBLANK(Character!B201)," ",Character!B201)</f>
        <v xml:space="preserve"> </v>
      </c>
      <c r="C1763" t="str">
        <f>IF(ISBLANK(Character!C201)," ",Character!C201)</f>
        <v xml:space="preserve"> </v>
      </c>
      <c r="D1763" t="str">
        <f>IF(ISBLANK(Character!D201)," ",Character!D201)</f>
        <v xml:space="preserve"> </v>
      </c>
      <c r="E1763" t="str">
        <f>IF(ISBLANK(Character!E201)," ",Character!E201)</f>
        <v xml:space="preserve"> </v>
      </c>
      <c r="F1763" t="str">
        <f>IF(ISBLANK(Character!F201)," ",Character!F201)</f>
        <v xml:space="preserve"> </v>
      </c>
      <c r="G1763" t="str">
        <f>IF(ISBLANK(Character!G201)," ",Character!G201)</f>
        <v xml:space="preserve"> </v>
      </c>
      <c r="H1763" t="str">
        <f>IF(ISBLANK(Character!H201)," ",Character!H201)</f>
        <v xml:space="preserve"> </v>
      </c>
      <c r="I1763" t="str">
        <f>IF(ISBLANK(Character!I201)," ",Character!I201)</f>
        <v xml:space="preserve"> </v>
      </c>
      <c r="J1763" t="str">
        <f>IF(ISBLANK(Character!J201)," ",Character!J201)</f>
        <v xml:space="preserve"> </v>
      </c>
      <c r="K1763" t="str">
        <f>IF(ISBLANK(Character!K201)," ",Character!K201)</f>
        <v xml:space="preserve"> </v>
      </c>
      <c r="L1763" t="str">
        <f>IF(ISBLANK(Character!L201)," ",Character!L201)</f>
        <v xml:space="preserve"> </v>
      </c>
      <c r="M1763" t="str">
        <f>IF(ISBLANK(Character!M201)," ",Character!M201)</f>
        <v xml:space="preserve"> </v>
      </c>
      <c r="N1763" t="str">
        <f>IF(ISBLANK(Character!N201)," ",Character!N201)</f>
        <v xml:space="preserve"> </v>
      </c>
      <c r="O1763" t="str">
        <f>IF(ISBLANK(Character!O201)," ",Character!O201)</f>
        <v xml:space="preserve"> </v>
      </c>
      <c r="P1763" t="str">
        <f>IF(ISBLANK(Character!P201)," ",Character!P201)</f>
        <v xml:space="preserve"> </v>
      </c>
    </row>
    <row r="1764" spans="1:16" x14ac:dyDescent="0.2">
      <c r="A1764" s="460" t="str">
        <f>CONCATENATE(Posessions!A140,"|",Posessions!B140,"|",Posessions!C140,"|",Posessions!D140)</f>
        <v>|||</v>
      </c>
      <c r="B1764" t="str">
        <f>IF(ISBLANK(Character!B202)," ",Character!B202)</f>
        <v xml:space="preserve"> </v>
      </c>
      <c r="C1764" t="str">
        <f>IF(ISBLANK(Character!C202)," ",Character!C202)</f>
        <v xml:space="preserve"> </v>
      </c>
      <c r="D1764" t="str">
        <f>IF(ISBLANK(Character!D202)," ",Character!D202)</f>
        <v xml:space="preserve"> </v>
      </c>
      <c r="E1764" t="str">
        <f>IF(ISBLANK(Character!E202)," ",Character!E202)</f>
        <v xml:space="preserve"> </v>
      </c>
      <c r="F1764" t="str">
        <f>IF(ISBLANK(Character!F202)," ",Character!F202)</f>
        <v xml:space="preserve"> </v>
      </c>
      <c r="G1764" t="str">
        <f>IF(ISBLANK(Character!G202)," ",Character!G202)</f>
        <v xml:space="preserve"> </v>
      </c>
      <c r="H1764" t="str">
        <f>IF(ISBLANK(Character!H202)," ",Character!H202)</f>
        <v xml:space="preserve"> </v>
      </c>
      <c r="I1764" t="str">
        <f>IF(ISBLANK(Character!I202)," ",Character!I202)</f>
        <v xml:space="preserve"> </v>
      </c>
      <c r="J1764" t="str">
        <f>IF(ISBLANK(Character!J202)," ",Character!J202)</f>
        <v xml:space="preserve"> </v>
      </c>
      <c r="K1764" t="str">
        <f>IF(ISBLANK(Character!K202)," ",Character!K202)</f>
        <v xml:space="preserve"> </v>
      </c>
      <c r="L1764" t="str">
        <f>IF(ISBLANK(Character!L202)," ",Character!L202)</f>
        <v xml:space="preserve"> </v>
      </c>
      <c r="M1764" t="str">
        <f>IF(ISBLANK(Character!M202)," ",Character!M202)</f>
        <v xml:space="preserve"> </v>
      </c>
      <c r="N1764" t="str">
        <f>IF(ISBLANK(Character!N202)," ",Character!N202)</f>
        <v xml:space="preserve"> </v>
      </c>
      <c r="O1764" t="str">
        <f>IF(ISBLANK(Character!O202)," ",Character!O202)</f>
        <v xml:space="preserve"> </v>
      </c>
      <c r="P1764" t="str">
        <f>IF(ISBLANK(Character!P202)," ",Character!P202)</f>
        <v xml:space="preserve"> </v>
      </c>
    </row>
    <row r="1765" spans="1:16" x14ac:dyDescent="0.2">
      <c r="A1765" s="460" t="str">
        <f>CONCATENATE(Posessions!A141,"|",Posessions!B141,"|",Posessions!C141,"|",Posessions!D141)</f>
        <v>|||</v>
      </c>
      <c r="B1765" t="str">
        <f>IF(ISBLANK(Character!B203)," ",Character!B203)</f>
        <v xml:space="preserve"> </v>
      </c>
      <c r="C1765" t="str">
        <f>IF(ISBLANK(Character!C203)," ",Character!C203)</f>
        <v xml:space="preserve"> </v>
      </c>
      <c r="D1765" t="str">
        <f>IF(ISBLANK(Character!D203)," ",Character!D203)</f>
        <v xml:space="preserve"> </v>
      </c>
      <c r="E1765" t="str">
        <f>IF(ISBLANK(Character!E203)," ",Character!E203)</f>
        <v xml:space="preserve"> </v>
      </c>
      <c r="F1765" t="str">
        <f>IF(ISBLANK(Character!F203)," ",Character!F203)</f>
        <v xml:space="preserve"> </v>
      </c>
      <c r="G1765" t="str">
        <f>IF(ISBLANK(Character!G203)," ",Character!G203)</f>
        <v xml:space="preserve"> </v>
      </c>
      <c r="H1765" t="str">
        <f>IF(ISBLANK(Character!H203)," ",Character!H203)</f>
        <v xml:space="preserve"> </v>
      </c>
      <c r="I1765" t="str">
        <f>IF(ISBLANK(Character!I203)," ",Character!I203)</f>
        <v xml:space="preserve"> </v>
      </c>
      <c r="J1765" t="str">
        <f>IF(ISBLANK(Character!J203)," ",Character!J203)</f>
        <v xml:space="preserve"> </v>
      </c>
      <c r="K1765" t="str">
        <f>IF(ISBLANK(Character!K203)," ",Character!K203)</f>
        <v xml:space="preserve"> </v>
      </c>
      <c r="L1765" t="str">
        <f>IF(ISBLANK(Character!L203)," ",Character!L203)</f>
        <v xml:space="preserve"> </v>
      </c>
      <c r="M1765" t="str">
        <f>IF(ISBLANK(Character!M203)," ",Character!M203)</f>
        <v xml:space="preserve"> </v>
      </c>
      <c r="N1765" t="str">
        <f>IF(ISBLANK(Character!N203)," ",Character!N203)</f>
        <v xml:space="preserve"> </v>
      </c>
      <c r="O1765" t="str">
        <f>IF(ISBLANK(Character!O203)," ",Character!O203)</f>
        <v xml:space="preserve"> </v>
      </c>
      <c r="P1765" t="str">
        <f>IF(ISBLANK(Character!P203)," ",Character!P203)</f>
        <v xml:space="preserve"> </v>
      </c>
    </row>
    <row r="1766" spans="1:16" x14ac:dyDescent="0.2">
      <c r="A1766" s="460" t="str">
        <f>CONCATENATE(Posessions!A142,"|",Posessions!B142,"|",Posessions!C142,"|",Posessions!D142)</f>
        <v>|||</v>
      </c>
      <c r="B1766" t="str">
        <f>IF(ISBLANK(Character!B204)," ",Character!B204)</f>
        <v xml:space="preserve"> </v>
      </c>
      <c r="C1766" t="str">
        <f>IF(ISBLANK(Character!C204)," ",Character!C204)</f>
        <v xml:space="preserve"> </v>
      </c>
      <c r="D1766" t="str">
        <f>IF(ISBLANK(Character!D204)," ",Character!D204)</f>
        <v xml:space="preserve"> </v>
      </c>
      <c r="E1766" t="str">
        <f>IF(ISBLANK(Character!E204)," ",Character!E204)</f>
        <v xml:space="preserve"> </v>
      </c>
      <c r="F1766" t="str">
        <f>IF(ISBLANK(Character!F204)," ",Character!F204)</f>
        <v xml:space="preserve"> </v>
      </c>
      <c r="G1766" t="str">
        <f>IF(ISBLANK(Character!G204)," ",Character!G204)</f>
        <v xml:space="preserve"> </v>
      </c>
      <c r="H1766" t="str">
        <f>IF(ISBLANK(Character!H204)," ",Character!H204)</f>
        <v xml:space="preserve"> </v>
      </c>
      <c r="I1766" t="str">
        <f>IF(ISBLANK(Character!I204)," ",Character!I204)</f>
        <v xml:space="preserve"> </v>
      </c>
      <c r="J1766" t="str">
        <f>IF(ISBLANK(Character!J204)," ",Character!J204)</f>
        <v xml:space="preserve"> </v>
      </c>
      <c r="K1766" t="str">
        <f>IF(ISBLANK(Character!K204)," ",Character!K204)</f>
        <v xml:space="preserve"> </v>
      </c>
      <c r="L1766" t="str">
        <f>IF(ISBLANK(Character!L204)," ",Character!L204)</f>
        <v xml:space="preserve"> </v>
      </c>
      <c r="M1766" t="str">
        <f>IF(ISBLANK(Character!M204)," ",Character!M204)</f>
        <v xml:space="preserve"> </v>
      </c>
      <c r="N1766" t="str">
        <f>IF(ISBLANK(Character!N204)," ",Character!N204)</f>
        <v xml:space="preserve"> </v>
      </c>
      <c r="O1766" t="str">
        <f>IF(ISBLANK(Character!O204)," ",Character!O204)</f>
        <v xml:space="preserve"> </v>
      </c>
      <c r="P1766" t="str">
        <f>IF(ISBLANK(Character!P204)," ",Character!P204)</f>
        <v xml:space="preserve"> </v>
      </c>
    </row>
    <row r="1767" spans="1:16" x14ac:dyDescent="0.2">
      <c r="A1767" s="460" t="str">
        <f>CONCATENATE(Posessions!A143,"|",Posessions!B143,"|",Posessions!C143,"|",Posessions!D143)</f>
        <v>|||</v>
      </c>
      <c r="B1767" t="str">
        <f>IF(ISBLANK(Character!B205)," ",Character!B205)</f>
        <v xml:space="preserve"> </v>
      </c>
      <c r="C1767" t="str">
        <f>IF(ISBLANK(Character!C205)," ",Character!C205)</f>
        <v xml:space="preserve"> </v>
      </c>
      <c r="D1767" t="str">
        <f>IF(ISBLANK(Character!D205)," ",Character!D205)</f>
        <v xml:space="preserve"> </v>
      </c>
      <c r="E1767" t="str">
        <f>IF(ISBLANK(Character!E205)," ",Character!E205)</f>
        <v xml:space="preserve"> </v>
      </c>
      <c r="F1767" t="str">
        <f>IF(ISBLANK(Character!F205)," ",Character!F205)</f>
        <v xml:space="preserve"> </v>
      </c>
      <c r="G1767" t="str">
        <f>IF(ISBLANK(Character!G205)," ",Character!G205)</f>
        <v xml:space="preserve"> </v>
      </c>
      <c r="H1767" t="str">
        <f>IF(ISBLANK(Character!H205)," ",Character!H205)</f>
        <v xml:space="preserve"> </v>
      </c>
      <c r="I1767" t="str">
        <f>IF(ISBLANK(Character!I205)," ",Character!I205)</f>
        <v xml:space="preserve"> </v>
      </c>
      <c r="J1767" t="str">
        <f>IF(ISBLANK(Character!J205)," ",Character!J205)</f>
        <v xml:space="preserve"> </v>
      </c>
      <c r="K1767" t="str">
        <f>IF(ISBLANK(Character!K205)," ",Character!K205)</f>
        <v xml:space="preserve"> </v>
      </c>
      <c r="L1767" t="str">
        <f>IF(ISBLANK(Character!L205)," ",Character!L205)</f>
        <v xml:space="preserve"> </v>
      </c>
      <c r="M1767" t="str">
        <f>IF(ISBLANK(Character!M205)," ",Character!M205)</f>
        <v xml:space="preserve"> </v>
      </c>
      <c r="N1767" t="str">
        <f>IF(ISBLANK(Character!N205)," ",Character!N205)</f>
        <v xml:space="preserve"> </v>
      </c>
      <c r="O1767" t="str">
        <f>IF(ISBLANK(Character!O205)," ",Character!O205)</f>
        <v xml:space="preserve"> </v>
      </c>
      <c r="P1767" t="str">
        <f>IF(ISBLANK(Character!P205)," ",Character!P205)</f>
        <v xml:space="preserve"> </v>
      </c>
    </row>
    <row r="1768" spans="1:16" x14ac:dyDescent="0.2">
      <c r="A1768" s="460" t="str">
        <f>CONCATENATE(Posessions!A144,"|",Posessions!B144,"|",Posessions!C144,"|",Posessions!D144)</f>
        <v>|||</v>
      </c>
      <c r="B1768" t="str">
        <f>IF(ISBLANK(Character!B206)," ",Character!B206)</f>
        <v xml:space="preserve"> </v>
      </c>
      <c r="C1768" t="str">
        <f>IF(ISBLANK(Character!C206)," ",Character!C206)</f>
        <v xml:space="preserve"> </v>
      </c>
      <c r="D1768" t="str">
        <f>IF(ISBLANK(Character!D206)," ",Character!D206)</f>
        <v xml:space="preserve"> </v>
      </c>
      <c r="E1768" t="str">
        <f>IF(ISBLANK(Character!E206)," ",Character!E206)</f>
        <v xml:space="preserve"> </v>
      </c>
      <c r="F1768" t="str">
        <f>IF(ISBLANK(Character!F206)," ",Character!F206)</f>
        <v xml:space="preserve"> </v>
      </c>
      <c r="G1768" t="str">
        <f>IF(ISBLANK(Character!G206)," ",Character!G206)</f>
        <v xml:space="preserve"> </v>
      </c>
      <c r="H1768" t="str">
        <f>IF(ISBLANK(Character!H206)," ",Character!H206)</f>
        <v xml:space="preserve"> </v>
      </c>
      <c r="I1768" t="str">
        <f>IF(ISBLANK(Character!I206)," ",Character!I206)</f>
        <v xml:space="preserve"> </v>
      </c>
      <c r="J1768" t="str">
        <f>IF(ISBLANK(Character!J206)," ",Character!J206)</f>
        <v xml:space="preserve"> </v>
      </c>
      <c r="K1768" t="str">
        <f>IF(ISBLANK(Character!K206)," ",Character!K206)</f>
        <v xml:space="preserve"> </v>
      </c>
      <c r="L1768" t="str">
        <f>IF(ISBLANK(Character!L206)," ",Character!L206)</f>
        <v xml:space="preserve"> </v>
      </c>
      <c r="M1768" t="str">
        <f>IF(ISBLANK(Character!M206)," ",Character!M206)</f>
        <v xml:space="preserve"> </v>
      </c>
      <c r="N1768" t="str">
        <f>IF(ISBLANK(Character!N206)," ",Character!N206)</f>
        <v xml:space="preserve"> </v>
      </c>
      <c r="O1768" t="str">
        <f>IF(ISBLANK(Character!O206)," ",Character!O206)</f>
        <v xml:space="preserve"> </v>
      </c>
      <c r="P1768" t="str">
        <f>IF(ISBLANK(Character!P206)," ",Character!P206)</f>
        <v xml:space="preserve"> </v>
      </c>
    </row>
    <row r="1769" spans="1:16" x14ac:dyDescent="0.2">
      <c r="A1769" s="460" t="str">
        <f>CONCATENATE(Posessions!A145,"|",Posessions!B145,"|",Posessions!C145,"|",Posessions!D145)</f>
        <v>|||</v>
      </c>
      <c r="B1769" t="str">
        <f>IF(ISBLANK(Character!B207)," ",Character!B207)</f>
        <v xml:space="preserve"> </v>
      </c>
      <c r="C1769" t="str">
        <f>IF(ISBLANK(Character!C207)," ",Character!C207)</f>
        <v xml:space="preserve"> </v>
      </c>
      <c r="D1769" t="str">
        <f>IF(ISBLANK(Character!D207)," ",Character!D207)</f>
        <v xml:space="preserve"> </v>
      </c>
      <c r="E1769" t="str">
        <f>IF(ISBLANK(Character!E207)," ",Character!E207)</f>
        <v xml:space="preserve"> </v>
      </c>
      <c r="F1769" t="str">
        <f>IF(ISBLANK(Character!F207)," ",Character!F207)</f>
        <v xml:space="preserve"> </v>
      </c>
      <c r="G1769" t="str">
        <f>IF(ISBLANK(Character!G207)," ",Character!G207)</f>
        <v xml:space="preserve"> </v>
      </c>
      <c r="H1769" t="str">
        <f>IF(ISBLANK(Character!H207)," ",Character!H207)</f>
        <v xml:space="preserve"> </v>
      </c>
      <c r="I1769" t="str">
        <f>IF(ISBLANK(Character!I207)," ",Character!I207)</f>
        <v xml:space="preserve"> </v>
      </c>
      <c r="J1769" t="str">
        <f>IF(ISBLANK(Character!J207)," ",Character!J207)</f>
        <v xml:space="preserve"> </v>
      </c>
      <c r="K1769" t="str">
        <f>IF(ISBLANK(Character!K207)," ",Character!K207)</f>
        <v xml:space="preserve"> </v>
      </c>
      <c r="L1769" t="str">
        <f>IF(ISBLANK(Character!L207)," ",Character!L207)</f>
        <v xml:space="preserve"> </v>
      </c>
      <c r="M1769" t="str">
        <f>IF(ISBLANK(Character!M207)," ",Character!M207)</f>
        <v xml:space="preserve"> </v>
      </c>
      <c r="N1769" t="str">
        <f>IF(ISBLANK(Character!N207)," ",Character!N207)</f>
        <v xml:space="preserve"> </v>
      </c>
      <c r="O1769" t="str">
        <f>IF(ISBLANK(Character!O207)," ",Character!O207)</f>
        <v xml:space="preserve"> </v>
      </c>
      <c r="P1769" t="str">
        <f>IF(ISBLANK(Character!P207)," ",Character!P207)</f>
        <v xml:space="preserve"> </v>
      </c>
    </row>
    <row r="1770" spans="1:16" x14ac:dyDescent="0.2">
      <c r="A1770" s="460" t="str">
        <f>CONCATENATE(Posessions!A146,"|",Posessions!B146,"|",Posessions!C146,"|",Posessions!D146)</f>
        <v>|||</v>
      </c>
      <c r="B1770" t="str">
        <f>IF(ISBLANK(Character!B208)," ",Character!B208)</f>
        <v xml:space="preserve"> </v>
      </c>
      <c r="C1770" t="str">
        <f>IF(ISBLANK(Character!C208)," ",Character!C208)</f>
        <v xml:space="preserve"> </v>
      </c>
      <c r="D1770" t="str">
        <f>IF(ISBLANK(Character!D208)," ",Character!D208)</f>
        <v xml:space="preserve"> </v>
      </c>
      <c r="E1770" t="str">
        <f>IF(ISBLANK(Character!E208)," ",Character!E208)</f>
        <v xml:space="preserve"> </v>
      </c>
      <c r="F1770" t="str">
        <f>IF(ISBLANK(Character!F208)," ",Character!F208)</f>
        <v xml:space="preserve"> </v>
      </c>
      <c r="G1770" t="str">
        <f>IF(ISBLANK(Character!G208)," ",Character!G208)</f>
        <v xml:space="preserve"> </v>
      </c>
      <c r="H1770" t="str">
        <f>IF(ISBLANK(Character!H208)," ",Character!H208)</f>
        <v xml:space="preserve"> </v>
      </c>
      <c r="I1770" t="str">
        <f>IF(ISBLANK(Character!I208)," ",Character!I208)</f>
        <v xml:space="preserve"> </v>
      </c>
      <c r="J1770" t="str">
        <f>IF(ISBLANK(Character!J208)," ",Character!J208)</f>
        <v xml:space="preserve"> </v>
      </c>
      <c r="K1770" t="str">
        <f>IF(ISBLANK(Character!K208)," ",Character!K208)</f>
        <v xml:space="preserve"> </v>
      </c>
      <c r="L1770" t="str">
        <f>IF(ISBLANK(Character!L208)," ",Character!L208)</f>
        <v xml:space="preserve"> </v>
      </c>
      <c r="M1770" t="str">
        <f>IF(ISBLANK(Character!M208)," ",Character!M208)</f>
        <v xml:space="preserve"> </v>
      </c>
      <c r="N1770" t="str">
        <f>IF(ISBLANK(Character!N208)," ",Character!N208)</f>
        <v xml:space="preserve"> </v>
      </c>
      <c r="O1770" t="str">
        <f>IF(ISBLANK(Character!O208)," ",Character!O208)</f>
        <v xml:space="preserve"> </v>
      </c>
      <c r="P1770" t="str">
        <f>IF(ISBLANK(Character!P208)," ",Character!P208)</f>
        <v xml:space="preserve"> </v>
      </c>
    </row>
    <row r="1771" spans="1:16" x14ac:dyDescent="0.2">
      <c r="A1771" s="460" t="str">
        <f>CONCATENATE(Posessions!A147,"|",Posessions!B147,"|",Posessions!C147,"|",Posessions!D147)</f>
        <v>|||</v>
      </c>
      <c r="B1771" t="str">
        <f>IF(ISBLANK(Character!B209)," ",Character!B209)</f>
        <v xml:space="preserve"> </v>
      </c>
      <c r="C1771" t="str">
        <f>IF(ISBLANK(Character!C209)," ",Character!C209)</f>
        <v xml:space="preserve"> </v>
      </c>
      <c r="D1771" t="str">
        <f>IF(ISBLANK(Character!D209)," ",Character!D209)</f>
        <v xml:space="preserve"> </v>
      </c>
      <c r="E1771" t="str">
        <f>IF(ISBLANK(Character!E209)," ",Character!E209)</f>
        <v xml:space="preserve"> </v>
      </c>
      <c r="F1771" t="str">
        <f>IF(ISBLANK(Character!F209)," ",Character!F209)</f>
        <v xml:space="preserve"> </v>
      </c>
      <c r="G1771" t="str">
        <f>IF(ISBLANK(Character!G209)," ",Character!G209)</f>
        <v xml:space="preserve"> </v>
      </c>
      <c r="H1771" t="str">
        <f>IF(ISBLANK(Character!H209)," ",Character!H209)</f>
        <v xml:space="preserve"> </v>
      </c>
      <c r="I1771" t="str">
        <f>IF(ISBLANK(Character!I209)," ",Character!I209)</f>
        <v xml:space="preserve"> </v>
      </c>
      <c r="J1771" t="str">
        <f>IF(ISBLANK(Character!J209)," ",Character!J209)</f>
        <v xml:space="preserve"> </v>
      </c>
      <c r="K1771" t="str">
        <f>IF(ISBLANK(Character!K209)," ",Character!K209)</f>
        <v xml:space="preserve"> </v>
      </c>
      <c r="L1771" t="str">
        <f>IF(ISBLANK(Character!L209)," ",Character!L209)</f>
        <v xml:space="preserve"> </v>
      </c>
      <c r="M1771" t="str">
        <f>IF(ISBLANK(Character!M209)," ",Character!M209)</f>
        <v xml:space="preserve"> </v>
      </c>
      <c r="N1771" t="str">
        <f>IF(ISBLANK(Character!N209)," ",Character!N209)</f>
        <v xml:space="preserve"> </v>
      </c>
      <c r="O1771" t="str">
        <f>IF(ISBLANK(Character!O209)," ",Character!O209)</f>
        <v xml:space="preserve"> </v>
      </c>
      <c r="P1771" t="str">
        <f>IF(ISBLANK(Character!P209)," ",Character!P209)</f>
        <v xml:space="preserve"> </v>
      </c>
    </row>
    <row r="1772" spans="1:16" x14ac:dyDescent="0.2">
      <c r="A1772" s="460" t="str">
        <f>CONCATENATE(Posessions!A148,"|",Posessions!B148,"|",Posessions!C148,"|",Posessions!D148)</f>
        <v>|||</v>
      </c>
      <c r="B1772" t="str">
        <f>IF(ISBLANK(Character!B210)," ",Character!B210)</f>
        <v xml:space="preserve"> </v>
      </c>
      <c r="C1772" t="str">
        <f>IF(ISBLANK(Character!C210)," ",Character!C210)</f>
        <v xml:space="preserve"> </v>
      </c>
      <c r="D1772" t="str">
        <f>IF(ISBLANK(Character!D210)," ",Character!D210)</f>
        <v xml:space="preserve"> </v>
      </c>
      <c r="E1772" t="str">
        <f>IF(ISBLANK(Character!E210)," ",Character!E210)</f>
        <v xml:space="preserve"> </v>
      </c>
      <c r="F1772" t="str">
        <f>IF(ISBLANK(Character!F210)," ",Character!F210)</f>
        <v xml:space="preserve"> </v>
      </c>
      <c r="G1772" t="str">
        <f>IF(ISBLANK(Character!G210)," ",Character!G210)</f>
        <v xml:space="preserve"> </v>
      </c>
      <c r="H1772" t="str">
        <f>IF(ISBLANK(Character!H210)," ",Character!H210)</f>
        <v xml:space="preserve"> </v>
      </c>
      <c r="I1772" t="str">
        <f>IF(ISBLANK(Character!I210)," ",Character!I210)</f>
        <v xml:space="preserve"> </v>
      </c>
      <c r="J1772" t="str">
        <f>IF(ISBLANK(Character!J210)," ",Character!J210)</f>
        <v xml:space="preserve"> </v>
      </c>
      <c r="K1772" t="str">
        <f>IF(ISBLANK(Character!K210)," ",Character!K210)</f>
        <v xml:space="preserve"> </v>
      </c>
      <c r="L1772" t="str">
        <f>IF(ISBLANK(Character!L210)," ",Character!L210)</f>
        <v xml:space="preserve"> </v>
      </c>
      <c r="M1772" t="str">
        <f>IF(ISBLANK(Character!M210)," ",Character!M210)</f>
        <v xml:space="preserve"> </v>
      </c>
      <c r="N1772" t="str">
        <f>IF(ISBLANK(Character!N210)," ",Character!N210)</f>
        <v xml:space="preserve"> </v>
      </c>
      <c r="O1772" t="str">
        <f>IF(ISBLANK(Character!O210)," ",Character!O210)</f>
        <v xml:space="preserve"> </v>
      </c>
      <c r="P1772" t="str">
        <f>IF(ISBLANK(Character!P210)," ",Character!P210)</f>
        <v xml:space="preserve"> </v>
      </c>
    </row>
    <row r="1773" spans="1:16" x14ac:dyDescent="0.2">
      <c r="A1773" s="460" t="str">
        <f>CONCATENATE(Posessions!A149,"|",Posessions!B149,"|",Posessions!C149,"|",Posessions!D149)</f>
        <v>|||</v>
      </c>
      <c r="B1773" t="str">
        <f>IF(ISBLANK(Character!B211)," ",Character!B211)</f>
        <v xml:space="preserve"> </v>
      </c>
      <c r="C1773" t="str">
        <f>IF(ISBLANK(Character!C211)," ",Character!C211)</f>
        <v xml:space="preserve"> </v>
      </c>
      <c r="D1773" t="str">
        <f>IF(ISBLANK(Character!D211)," ",Character!D211)</f>
        <v xml:space="preserve"> </v>
      </c>
      <c r="E1773" t="str">
        <f>IF(ISBLANK(Character!E211)," ",Character!E211)</f>
        <v xml:space="preserve"> </v>
      </c>
      <c r="F1773" t="str">
        <f>IF(ISBLANK(Character!F211)," ",Character!F211)</f>
        <v xml:space="preserve"> </v>
      </c>
      <c r="G1773" t="str">
        <f>IF(ISBLANK(Character!G211)," ",Character!G211)</f>
        <v xml:space="preserve"> </v>
      </c>
      <c r="H1773" t="str">
        <f>IF(ISBLANK(Character!H211)," ",Character!H211)</f>
        <v xml:space="preserve"> </v>
      </c>
      <c r="I1773" t="str">
        <f>IF(ISBLANK(Character!I211)," ",Character!I211)</f>
        <v xml:space="preserve"> </v>
      </c>
      <c r="J1773" t="str">
        <f>IF(ISBLANK(Character!J211)," ",Character!J211)</f>
        <v xml:space="preserve"> </v>
      </c>
      <c r="K1773" t="str">
        <f>IF(ISBLANK(Character!K211)," ",Character!K211)</f>
        <v xml:space="preserve"> </v>
      </c>
      <c r="L1773" t="str">
        <f>IF(ISBLANK(Character!L211)," ",Character!L211)</f>
        <v xml:space="preserve"> </v>
      </c>
      <c r="M1773" t="str">
        <f>IF(ISBLANK(Character!M211)," ",Character!M211)</f>
        <v xml:space="preserve"> </v>
      </c>
      <c r="N1773" t="str">
        <f>IF(ISBLANK(Character!N211)," ",Character!N211)</f>
        <v xml:space="preserve"> </v>
      </c>
      <c r="O1773" t="str">
        <f>IF(ISBLANK(Character!O211)," ",Character!O211)</f>
        <v xml:space="preserve"> </v>
      </c>
      <c r="P1773" t="str">
        <f>IF(ISBLANK(Character!P211)," ",Character!P211)</f>
        <v xml:space="preserve"> </v>
      </c>
    </row>
    <row r="1774" spans="1:16" x14ac:dyDescent="0.2">
      <c r="A1774" s="460" t="str">
        <f>CONCATENATE(Posessions!A150,"|",Posessions!B150,"|",Posessions!C150,"|",Posessions!D150)</f>
        <v>|||</v>
      </c>
      <c r="B1774" t="str">
        <f>IF(ISBLANK(Character!B212)," ",Character!B212)</f>
        <v xml:space="preserve"> </v>
      </c>
      <c r="C1774" t="str">
        <f>IF(ISBLANK(Character!C212)," ",Character!C212)</f>
        <v xml:space="preserve"> </v>
      </c>
      <c r="D1774" t="str">
        <f>IF(ISBLANK(Character!D212)," ",Character!D212)</f>
        <v xml:space="preserve"> </v>
      </c>
      <c r="E1774" t="str">
        <f>IF(ISBLANK(Character!E212)," ",Character!E212)</f>
        <v xml:space="preserve"> </v>
      </c>
      <c r="F1774" t="str">
        <f>IF(ISBLANK(Character!F212)," ",Character!F212)</f>
        <v xml:space="preserve"> </v>
      </c>
      <c r="G1774" t="str">
        <f>IF(ISBLANK(Character!G212)," ",Character!G212)</f>
        <v xml:space="preserve"> </v>
      </c>
      <c r="H1774" t="str">
        <f>IF(ISBLANK(Character!H212)," ",Character!H212)</f>
        <v xml:space="preserve"> </v>
      </c>
      <c r="I1774" t="str">
        <f>IF(ISBLANK(Character!I212)," ",Character!I212)</f>
        <v xml:space="preserve"> </v>
      </c>
      <c r="J1774" t="str">
        <f>IF(ISBLANK(Character!J212)," ",Character!J212)</f>
        <v xml:space="preserve"> </v>
      </c>
      <c r="K1774" t="str">
        <f>IF(ISBLANK(Character!K212)," ",Character!K212)</f>
        <v xml:space="preserve"> </v>
      </c>
      <c r="L1774" t="str">
        <f>IF(ISBLANK(Character!L212)," ",Character!L212)</f>
        <v xml:space="preserve"> </v>
      </c>
      <c r="M1774" t="str">
        <f>IF(ISBLANK(Character!M212)," ",Character!M212)</f>
        <v xml:space="preserve"> </v>
      </c>
      <c r="N1774" t="str">
        <f>IF(ISBLANK(Character!N212)," ",Character!N212)</f>
        <v xml:space="preserve"> </v>
      </c>
      <c r="O1774" t="str">
        <f>IF(ISBLANK(Character!O212)," ",Character!O212)</f>
        <v xml:space="preserve"> </v>
      </c>
      <c r="P1774" t="str">
        <f>IF(ISBLANK(Character!P212)," ",Character!P212)</f>
        <v xml:space="preserve"> </v>
      </c>
    </row>
    <row r="1775" spans="1:16" x14ac:dyDescent="0.2">
      <c r="A1775" s="460" t="str">
        <f>CONCATENATE(Posessions!A151,"|",Posessions!B151,"|",Posessions!C151,"|",Posessions!D151)</f>
        <v>|||</v>
      </c>
      <c r="B1775" t="str">
        <f>IF(ISBLANK(Character!B213)," ",Character!B213)</f>
        <v xml:space="preserve"> </v>
      </c>
      <c r="C1775" t="str">
        <f>IF(ISBLANK(Character!C213)," ",Character!C213)</f>
        <v xml:space="preserve"> </v>
      </c>
      <c r="D1775" t="str">
        <f>IF(ISBLANK(Character!D213)," ",Character!D213)</f>
        <v xml:space="preserve"> </v>
      </c>
      <c r="E1775" t="str">
        <f>IF(ISBLANK(Character!E213)," ",Character!E213)</f>
        <v xml:space="preserve"> </v>
      </c>
      <c r="F1775" t="str">
        <f>IF(ISBLANK(Character!F213)," ",Character!F213)</f>
        <v xml:space="preserve"> </v>
      </c>
      <c r="G1775" t="str">
        <f>IF(ISBLANK(Character!G213)," ",Character!G213)</f>
        <v xml:space="preserve"> </v>
      </c>
      <c r="H1775" t="str">
        <f>IF(ISBLANK(Character!H213)," ",Character!H213)</f>
        <v xml:space="preserve"> </v>
      </c>
      <c r="I1775" t="str">
        <f>IF(ISBLANK(Character!I213)," ",Character!I213)</f>
        <v xml:space="preserve"> </v>
      </c>
      <c r="J1775" t="str">
        <f>IF(ISBLANK(Character!J213)," ",Character!J213)</f>
        <v xml:space="preserve"> </v>
      </c>
      <c r="K1775" t="str">
        <f>IF(ISBLANK(Character!K213)," ",Character!K213)</f>
        <v xml:space="preserve"> </v>
      </c>
      <c r="L1775" t="str">
        <f>IF(ISBLANK(Character!L213)," ",Character!L213)</f>
        <v xml:space="preserve"> </v>
      </c>
      <c r="M1775" t="str">
        <f>IF(ISBLANK(Character!M213)," ",Character!M213)</f>
        <v xml:space="preserve"> </v>
      </c>
      <c r="N1775" t="str">
        <f>IF(ISBLANK(Character!N213)," ",Character!N213)</f>
        <v xml:space="preserve"> </v>
      </c>
      <c r="O1775" t="str">
        <f>IF(ISBLANK(Character!O213)," ",Character!O213)</f>
        <v xml:space="preserve"> </v>
      </c>
      <c r="P1775" t="str">
        <f>IF(ISBLANK(Character!P213)," ",Character!P213)</f>
        <v xml:space="preserve"> </v>
      </c>
    </row>
    <row r="1776" spans="1:16" x14ac:dyDescent="0.2">
      <c r="A1776" s="460" t="str">
        <f>CONCATENATE(Posessions!A152,"|",Posessions!B152,"|",Posessions!C152,"|",Posessions!D152)</f>
        <v>|||</v>
      </c>
      <c r="B1776" t="str">
        <f>IF(ISBLANK(Character!B214)," ",Character!B214)</f>
        <v xml:space="preserve"> </v>
      </c>
      <c r="C1776" t="str">
        <f>IF(ISBLANK(Character!C214)," ",Character!C214)</f>
        <v xml:space="preserve"> </v>
      </c>
      <c r="D1776" t="str">
        <f>IF(ISBLANK(Character!D214)," ",Character!D214)</f>
        <v xml:space="preserve"> </v>
      </c>
      <c r="E1776" t="str">
        <f>IF(ISBLANK(Character!E214)," ",Character!E214)</f>
        <v xml:space="preserve"> </v>
      </c>
      <c r="F1776" t="str">
        <f>IF(ISBLANK(Character!F214)," ",Character!F214)</f>
        <v xml:space="preserve"> </v>
      </c>
      <c r="G1776" t="str">
        <f>IF(ISBLANK(Character!G214)," ",Character!G214)</f>
        <v xml:space="preserve"> </v>
      </c>
      <c r="H1776" t="str">
        <f>IF(ISBLANK(Character!H214)," ",Character!H214)</f>
        <v xml:space="preserve"> </v>
      </c>
      <c r="I1776" t="str">
        <f>IF(ISBLANK(Character!I214)," ",Character!I214)</f>
        <v xml:space="preserve"> </v>
      </c>
      <c r="J1776" t="str">
        <f>IF(ISBLANK(Character!J214)," ",Character!J214)</f>
        <v xml:space="preserve"> </v>
      </c>
      <c r="K1776" t="str">
        <f>IF(ISBLANK(Character!K214)," ",Character!K214)</f>
        <v xml:space="preserve"> </v>
      </c>
      <c r="L1776" t="str">
        <f>IF(ISBLANK(Character!L214)," ",Character!L214)</f>
        <v xml:space="preserve"> </v>
      </c>
      <c r="M1776" t="str">
        <f>IF(ISBLANK(Character!M214)," ",Character!M214)</f>
        <v xml:space="preserve"> </v>
      </c>
      <c r="N1776" t="str">
        <f>IF(ISBLANK(Character!N214)," ",Character!N214)</f>
        <v xml:space="preserve"> </v>
      </c>
      <c r="O1776" t="str">
        <f>IF(ISBLANK(Character!O214)," ",Character!O214)</f>
        <v xml:space="preserve"> </v>
      </c>
      <c r="P1776" t="str">
        <f>IF(ISBLANK(Character!P214)," ",Character!P214)</f>
        <v xml:space="preserve"> </v>
      </c>
    </row>
    <row r="1777" spans="1:16" x14ac:dyDescent="0.2">
      <c r="A1777" s="460" t="str">
        <f>CONCATENATE(Posessions!A153,"|",Posessions!B153,"|",Posessions!C153,"|",Posessions!D153)</f>
        <v>|||</v>
      </c>
      <c r="B1777" t="str">
        <f>IF(ISBLANK(Character!B215)," ",Character!B215)</f>
        <v xml:space="preserve"> </v>
      </c>
      <c r="C1777" t="str">
        <f>IF(ISBLANK(Character!C215)," ",Character!C215)</f>
        <v xml:space="preserve"> </v>
      </c>
      <c r="D1777" t="str">
        <f>IF(ISBLANK(Character!D215)," ",Character!D215)</f>
        <v xml:space="preserve"> </v>
      </c>
      <c r="E1777" t="str">
        <f>IF(ISBLANK(Character!E215)," ",Character!E215)</f>
        <v xml:space="preserve"> </v>
      </c>
      <c r="F1777" t="str">
        <f>IF(ISBLANK(Character!F215)," ",Character!F215)</f>
        <v xml:space="preserve"> </v>
      </c>
      <c r="G1777" t="str">
        <f>IF(ISBLANK(Character!G215)," ",Character!G215)</f>
        <v xml:space="preserve"> </v>
      </c>
      <c r="H1777" t="str">
        <f>IF(ISBLANK(Character!H215)," ",Character!H215)</f>
        <v xml:space="preserve"> </v>
      </c>
      <c r="I1777" t="str">
        <f>IF(ISBLANK(Character!I215)," ",Character!I215)</f>
        <v xml:space="preserve"> </v>
      </c>
      <c r="J1777" t="str">
        <f>IF(ISBLANK(Character!J215)," ",Character!J215)</f>
        <v xml:space="preserve"> </v>
      </c>
      <c r="K1777" t="str">
        <f>IF(ISBLANK(Character!K215)," ",Character!K215)</f>
        <v xml:space="preserve"> </v>
      </c>
      <c r="L1777" t="str">
        <f>IF(ISBLANK(Character!L215)," ",Character!L215)</f>
        <v xml:space="preserve"> </v>
      </c>
      <c r="M1777" t="str">
        <f>IF(ISBLANK(Character!M215)," ",Character!M215)</f>
        <v xml:space="preserve"> </v>
      </c>
      <c r="N1777" t="str">
        <f>IF(ISBLANK(Character!N215)," ",Character!N215)</f>
        <v xml:space="preserve"> </v>
      </c>
      <c r="O1777" t="str">
        <f>IF(ISBLANK(Character!O215)," ",Character!O215)</f>
        <v xml:space="preserve"> </v>
      </c>
      <c r="P1777" t="str">
        <f>IF(ISBLANK(Character!P215)," ",Character!P215)</f>
        <v xml:space="preserve"> </v>
      </c>
    </row>
    <row r="1778" spans="1:16" x14ac:dyDescent="0.2">
      <c r="A1778" s="460" t="str">
        <f>CONCATENATE(Posessions!A154,"|",Posessions!B154,"|",Posessions!C154,"|",Posessions!D154)</f>
        <v>|||</v>
      </c>
      <c r="B1778" t="str">
        <f>IF(ISBLANK(Character!B216)," ",Character!B216)</f>
        <v xml:space="preserve"> </v>
      </c>
      <c r="C1778" t="str">
        <f>IF(ISBLANK(Character!C216)," ",Character!C216)</f>
        <v xml:space="preserve"> </v>
      </c>
      <c r="D1778" t="str">
        <f>IF(ISBLANK(Character!D216)," ",Character!D216)</f>
        <v xml:space="preserve"> </v>
      </c>
      <c r="E1778" t="str">
        <f>IF(ISBLANK(Character!E216)," ",Character!E216)</f>
        <v xml:space="preserve"> </v>
      </c>
      <c r="F1778" t="str">
        <f>IF(ISBLANK(Character!F216)," ",Character!F216)</f>
        <v xml:space="preserve"> </v>
      </c>
      <c r="G1778" t="str">
        <f>IF(ISBLANK(Character!G216)," ",Character!G216)</f>
        <v xml:space="preserve"> </v>
      </c>
      <c r="H1778" t="str">
        <f>IF(ISBLANK(Character!H216)," ",Character!H216)</f>
        <v xml:space="preserve"> </v>
      </c>
      <c r="I1778" t="str">
        <f>IF(ISBLANK(Character!I216)," ",Character!I216)</f>
        <v xml:space="preserve"> </v>
      </c>
      <c r="J1778" t="str">
        <f>IF(ISBLANK(Character!J216)," ",Character!J216)</f>
        <v xml:space="preserve"> </v>
      </c>
      <c r="K1778" t="str">
        <f>IF(ISBLANK(Character!K216)," ",Character!K216)</f>
        <v xml:space="preserve"> </v>
      </c>
      <c r="L1778" t="str">
        <f>IF(ISBLANK(Character!L216)," ",Character!L216)</f>
        <v xml:space="preserve"> </v>
      </c>
      <c r="M1778" t="str">
        <f>IF(ISBLANK(Character!M216)," ",Character!M216)</f>
        <v xml:space="preserve"> </v>
      </c>
      <c r="N1778" t="str">
        <f>IF(ISBLANK(Character!N216)," ",Character!N216)</f>
        <v xml:space="preserve"> </v>
      </c>
      <c r="O1778" t="str">
        <f>IF(ISBLANK(Character!O216)," ",Character!O216)</f>
        <v xml:space="preserve"> </v>
      </c>
      <c r="P1778" t="str">
        <f>IF(ISBLANK(Character!P216)," ",Character!P216)</f>
        <v xml:space="preserve"> </v>
      </c>
    </row>
    <row r="1779" spans="1:16" x14ac:dyDescent="0.2">
      <c r="A1779" s="460" t="str">
        <f>CONCATENATE(Posessions!A155,"|",Posessions!B155,"|",Posessions!C155,"|",Posessions!D155)</f>
        <v>|||</v>
      </c>
      <c r="B1779" t="str">
        <f>IF(ISBLANK(Character!B217)," ",Character!B217)</f>
        <v xml:space="preserve"> </v>
      </c>
      <c r="C1779" t="str">
        <f>IF(ISBLANK(Character!C217)," ",Character!C217)</f>
        <v xml:space="preserve"> </v>
      </c>
      <c r="D1779" t="str">
        <f>IF(ISBLANK(Character!D217)," ",Character!D217)</f>
        <v xml:space="preserve"> </v>
      </c>
      <c r="E1779" t="str">
        <f>IF(ISBLANK(Character!E217)," ",Character!E217)</f>
        <v xml:space="preserve"> </v>
      </c>
      <c r="F1779" t="str">
        <f>IF(ISBLANK(Character!F217)," ",Character!F217)</f>
        <v xml:space="preserve"> </v>
      </c>
      <c r="G1779" t="str">
        <f>IF(ISBLANK(Character!G217)," ",Character!G217)</f>
        <v xml:space="preserve"> </v>
      </c>
      <c r="H1779" t="str">
        <f>IF(ISBLANK(Character!H217)," ",Character!H217)</f>
        <v xml:space="preserve"> </v>
      </c>
      <c r="I1779" t="str">
        <f>IF(ISBLANK(Character!I217)," ",Character!I217)</f>
        <v xml:space="preserve"> </v>
      </c>
      <c r="J1779" t="str">
        <f>IF(ISBLANK(Character!J217)," ",Character!J217)</f>
        <v xml:space="preserve"> </v>
      </c>
      <c r="K1779" t="str">
        <f>IF(ISBLANK(Character!K217)," ",Character!K217)</f>
        <v xml:space="preserve"> </v>
      </c>
      <c r="L1779" t="str">
        <f>IF(ISBLANK(Character!L217)," ",Character!L217)</f>
        <v xml:space="preserve"> </v>
      </c>
      <c r="M1779" t="str">
        <f>IF(ISBLANK(Character!M217)," ",Character!M217)</f>
        <v xml:space="preserve"> </v>
      </c>
      <c r="N1779" t="str">
        <f>IF(ISBLANK(Character!N217)," ",Character!N217)</f>
        <v xml:space="preserve"> </v>
      </c>
      <c r="O1779" t="str">
        <f>IF(ISBLANK(Character!O217)," ",Character!O217)</f>
        <v xml:space="preserve"> </v>
      </c>
      <c r="P1779" t="str">
        <f>IF(ISBLANK(Character!P217)," ",Character!P217)</f>
        <v xml:space="preserve"> </v>
      </c>
    </row>
    <row r="1780" spans="1:16" x14ac:dyDescent="0.2">
      <c r="A1780" s="460" t="str">
        <f>CONCATENATE(Posessions!A156,"|",Posessions!B156,"|",Posessions!C156,"|",Posessions!D156)</f>
        <v>|||</v>
      </c>
      <c r="B1780" t="str">
        <f>IF(ISBLANK(Character!B218)," ",Character!B218)</f>
        <v xml:space="preserve"> </v>
      </c>
      <c r="C1780" t="str">
        <f>IF(ISBLANK(Character!C218)," ",Character!C218)</f>
        <v xml:space="preserve"> </v>
      </c>
      <c r="D1780" t="str">
        <f>IF(ISBLANK(Character!D218)," ",Character!D218)</f>
        <v xml:space="preserve"> </v>
      </c>
      <c r="E1780" t="str">
        <f>IF(ISBLANK(Character!E218)," ",Character!E218)</f>
        <v xml:space="preserve"> </v>
      </c>
      <c r="F1780" t="str">
        <f>IF(ISBLANK(Character!F218)," ",Character!F218)</f>
        <v xml:space="preserve"> </v>
      </c>
      <c r="G1780" t="str">
        <f>IF(ISBLANK(Character!G218)," ",Character!G218)</f>
        <v xml:space="preserve"> </v>
      </c>
      <c r="H1780" t="str">
        <f>IF(ISBLANK(Character!H218)," ",Character!H218)</f>
        <v xml:space="preserve"> </v>
      </c>
      <c r="I1780" t="str">
        <f>IF(ISBLANK(Character!I218)," ",Character!I218)</f>
        <v xml:space="preserve"> </v>
      </c>
      <c r="J1780" t="str">
        <f>IF(ISBLANK(Character!J218)," ",Character!J218)</f>
        <v xml:space="preserve"> </v>
      </c>
      <c r="K1780" t="str">
        <f>IF(ISBLANK(Character!K218)," ",Character!K218)</f>
        <v xml:space="preserve"> </v>
      </c>
      <c r="L1780" t="str">
        <f>IF(ISBLANK(Character!L218)," ",Character!L218)</f>
        <v xml:space="preserve"> </v>
      </c>
      <c r="M1780" t="str">
        <f>IF(ISBLANK(Character!M218)," ",Character!M218)</f>
        <v xml:space="preserve"> </v>
      </c>
      <c r="N1780" t="str">
        <f>IF(ISBLANK(Character!N218)," ",Character!N218)</f>
        <v xml:space="preserve"> </v>
      </c>
      <c r="O1780" t="str">
        <f>IF(ISBLANK(Character!O218)," ",Character!O218)</f>
        <v xml:space="preserve"> </v>
      </c>
      <c r="P1780" t="str">
        <f>IF(ISBLANK(Character!P218)," ",Character!P218)</f>
        <v xml:space="preserve"> </v>
      </c>
    </row>
    <row r="1781" spans="1:16" x14ac:dyDescent="0.2">
      <c r="A1781" s="460" t="str">
        <f>CONCATENATE(Posessions!A157,"|",Posessions!B157,"|",Posessions!C157,"|",Posessions!D157)</f>
        <v>|||</v>
      </c>
      <c r="B1781" t="str">
        <f>IF(ISBLANK(Character!B219)," ",Character!B219)</f>
        <v xml:space="preserve"> </v>
      </c>
      <c r="C1781" t="str">
        <f>IF(ISBLANK(Character!C219)," ",Character!C219)</f>
        <v xml:space="preserve"> </v>
      </c>
      <c r="D1781" t="str">
        <f>IF(ISBLANK(Character!D219)," ",Character!D219)</f>
        <v xml:space="preserve"> </v>
      </c>
      <c r="E1781" t="str">
        <f>IF(ISBLANK(Character!E219)," ",Character!E219)</f>
        <v xml:space="preserve"> </v>
      </c>
      <c r="F1781" t="str">
        <f>IF(ISBLANK(Character!F219)," ",Character!F219)</f>
        <v xml:space="preserve"> </v>
      </c>
      <c r="G1781" t="str">
        <f>IF(ISBLANK(Character!G219)," ",Character!G219)</f>
        <v xml:space="preserve"> </v>
      </c>
      <c r="H1781" t="str">
        <f>IF(ISBLANK(Character!H219)," ",Character!H219)</f>
        <v xml:space="preserve"> </v>
      </c>
      <c r="I1781" t="str">
        <f>IF(ISBLANK(Character!I219)," ",Character!I219)</f>
        <v xml:space="preserve"> </v>
      </c>
      <c r="J1781" t="str">
        <f>IF(ISBLANK(Character!J219)," ",Character!J219)</f>
        <v xml:space="preserve"> </v>
      </c>
      <c r="K1781" t="str">
        <f>IF(ISBLANK(Character!K219)," ",Character!K219)</f>
        <v xml:space="preserve"> </v>
      </c>
      <c r="L1781" t="str">
        <f>IF(ISBLANK(Character!L219)," ",Character!L219)</f>
        <v xml:space="preserve"> </v>
      </c>
      <c r="M1781" t="str">
        <f>IF(ISBLANK(Character!M219)," ",Character!M219)</f>
        <v xml:space="preserve"> </v>
      </c>
      <c r="N1781" t="str">
        <f>IF(ISBLANK(Character!N219)," ",Character!N219)</f>
        <v xml:space="preserve"> </v>
      </c>
      <c r="O1781" t="str">
        <f>IF(ISBLANK(Character!O219)," ",Character!O219)</f>
        <v xml:space="preserve"> </v>
      </c>
      <c r="P1781" t="str">
        <f>IF(ISBLANK(Character!P219)," ",Character!P219)</f>
        <v xml:space="preserve"> </v>
      </c>
    </row>
    <row r="1782" spans="1:16" x14ac:dyDescent="0.2">
      <c r="A1782" s="460" t="str">
        <f>CONCATENATE(Posessions!A158,"|",Posessions!B158,"|",Posessions!C158,"|",Posessions!D158)</f>
        <v>|||</v>
      </c>
      <c r="B1782" t="str">
        <f>IF(ISBLANK(Character!B220)," ",Character!B220)</f>
        <v xml:space="preserve"> </v>
      </c>
      <c r="C1782" t="str">
        <f>IF(ISBLANK(Character!C220)," ",Character!C220)</f>
        <v xml:space="preserve"> </v>
      </c>
      <c r="D1782" t="str">
        <f>IF(ISBLANK(Character!D220)," ",Character!D220)</f>
        <v xml:space="preserve"> </v>
      </c>
      <c r="E1782" t="str">
        <f>IF(ISBLANK(Character!E220)," ",Character!E220)</f>
        <v xml:space="preserve"> </v>
      </c>
      <c r="F1782" t="str">
        <f>IF(ISBLANK(Character!F220)," ",Character!F220)</f>
        <v xml:space="preserve"> </v>
      </c>
      <c r="G1782" t="str">
        <f>IF(ISBLANK(Character!G220)," ",Character!G220)</f>
        <v xml:space="preserve"> </v>
      </c>
      <c r="H1782" t="str">
        <f>IF(ISBLANK(Character!H220)," ",Character!H220)</f>
        <v xml:space="preserve"> </v>
      </c>
      <c r="I1782" t="str">
        <f>IF(ISBLANK(Character!I220)," ",Character!I220)</f>
        <v xml:space="preserve"> </v>
      </c>
      <c r="J1782" t="str">
        <f>IF(ISBLANK(Character!J220)," ",Character!J220)</f>
        <v xml:space="preserve"> </v>
      </c>
      <c r="K1782" t="str">
        <f>IF(ISBLANK(Character!K220)," ",Character!K220)</f>
        <v xml:space="preserve"> </v>
      </c>
      <c r="L1782" t="str">
        <f>IF(ISBLANK(Character!L220)," ",Character!L220)</f>
        <v xml:space="preserve"> </v>
      </c>
      <c r="M1782" t="str">
        <f>IF(ISBLANK(Character!M220)," ",Character!M220)</f>
        <v xml:space="preserve"> </v>
      </c>
      <c r="N1782" t="str">
        <f>IF(ISBLANK(Character!N220)," ",Character!N220)</f>
        <v xml:space="preserve"> </v>
      </c>
      <c r="O1782" t="str">
        <f>IF(ISBLANK(Character!O220)," ",Character!O220)</f>
        <v xml:space="preserve"> </v>
      </c>
      <c r="P1782" t="str">
        <f>IF(ISBLANK(Character!P220)," ",Character!P220)</f>
        <v xml:space="preserve"> </v>
      </c>
    </row>
    <row r="1783" spans="1:16" x14ac:dyDescent="0.2">
      <c r="A1783" s="460" t="str">
        <f>CONCATENATE(Posessions!A159,"|",Posessions!B159,"|",Posessions!C159,"|",Posessions!D159)</f>
        <v>|||</v>
      </c>
      <c r="B1783" t="str">
        <f>IF(ISBLANK(Character!B221)," ",Character!B221)</f>
        <v xml:space="preserve"> </v>
      </c>
      <c r="C1783" t="str">
        <f>IF(ISBLANK(Character!C221)," ",Character!C221)</f>
        <v xml:space="preserve"> </v>
      </c>
      <c r="D1783" t="str">
        <f>IF(ISBLANK(Character!D221)," ",Character!D221)</f>
        <v xml:space="preserve"> </v>
      </c>
      <c r="E1783" t="str">
        <f>IF(ISBLANK(Character!E221)," ",Character!E221)</f>
        <v xml:space="preserve"> </v>
      </c>
      <c r="F1783" t="str">
        <f>IF(ISBLANK(Character!F221)," ",Character!F221)</f>
        <v xml:space="preserve"> </v>
      </c>
      <c r="G1783" t="str">
        <f>IF(ISBLANK(Character!G221)," ",Character!G221)</f>
        <v xml:space="preserve"> </v>
      </c>
      <c r="H1783" t="str">
        <f>IF(ISBLANK(Character!H221)," ",Character!H221)</f>
        <v xml:space="preserve"> </v>
      </c>
      <c r="I1783" t="str">
        <f>IF(ISBLANK(Character!I221)," ",Character!I221)</f>
        <v xml:space="preserve"> </v>
      </c>
      <c r="J1783" t="str">
        <f>IF(ISBLANK(Character!J221)," ",Character!J221)</f>
        <v xml:space="preserve"> </v>
      </c>
      <c r="K1783" t="str">
        <f>IF(ISBLANK(Character!K221)," ",Character!K221)</f>
        <v xml:space="preserve"> </v>
      </c>
      <c r="L1783" t="str">
        <f>IF(ISBLANK(Character!L221)," ",Character!L221)</f>
        <v xml:space="preserve"> </v>
      </c>
      <c r="M1783" t="str">
        <f>IF(ISBLANK(Character!M221)," ",Character!M221)</f>
        <v xml:space="preserve"> </v>
      </c>
      <c r="N1783" t="str">
        <f>IF(ISBLANK(Character!N221)," ",Character!N221)</f>
        <v xml:space="preserve"> </v>
      </c>
      <c r="O1783" t="str">
        <f>IF(ISBLANK(Character!O221)," ",Character!O221)</f>
        <v xml:space="preserve"> </v>
      </c>
      <c r="P1783" t="str">
        <f>IF(ISBLANK(Character!P221)," ",Character!P221)</f>
        <v xml:space="preserve"> </v>
      </c>
    </row>
    <row r="1784" spans="1:16" x14ac:dyDescent="0.2">
      <c r="A1784" s="460" t="str">
        <f>CONCATENATE(Posessions!A160,"|",Posessions!B160,"|",Posessions!C160,"|",Posessions!D160)</f>
        <v>|||</v>
      </c>
      <c r="B1784" t="str">
        <f>IF(ISBLANK(Character!B222)," ",Character!B222)</f>
        <v xml:space="preserve"> </v>
      </c>
      <c r="C1784" t="str">
        <f>IF(ISBLANK(Character!C222)," ",Character!C222)</f>
        <v xml:space="preserve"> </v>
      </c>
      <c r="D1784" t="str">
        <f>IF(ISBLANK(Character!D222)," ",Character!D222)</f>
        <v xml:space="preserve"> </v>
      </c>
      <c r="E1784" t="str">
        <f>IF(ISBLANK(Character!E222)," ",Character!E222)</f>
        <v xml:space="preserve"> </v>
      </c>
      <c r="F1784" t="str">
        <f>IF(ISBLANK(Character!F222)," ",Character!F222)</f>
        <v xml:space="preserve"> </v>
      </c>
      <c r="G1784" t="str">
        <f>IF(ISBLANK(Character!G222)," ",Character!G222)</f>
        <v xml:space="preserve"> </v>
      </c>
      <c r="H1784" t="str">
        <f>IF(ISBLANK(Character!H222)," ",Character!H222)</f>
        <v xml:space="preserve"> </v>
      </c>
      <c r="I1784" t="str">
        <f>IF(ISBLANK(Character!I222)," ",Character!I222)</f>
        <v xml:space="preserve"> </v>
      </c>
      <c r="J1784" t="str">
        <f>IF(ISBLANK(Character!J222)," ",Character!J222)</f>
        <v xml:space="preserve"> </v>
      </c>
      <c r="K1784" t="str">
        <f>IF(ISBLANK(Character!K222)," ",Character!K222)</f>
        <v xml:space="preserve"> </v>
      </c>
      <c r="L1784" t="str">
        <f>IF(ISBLANK(Character!L222)," ",Character!L222)</f>
        <v xml:space="preserve"> </v>
      </c>
      <c r="M1784" t="str">
        <f>IF(ISBLANK(Character!M222)," ",Character!M222)</f>
        <v xml:space="preserve"> </v>
      </c>
      <c r="N1784" t="str">
        <f>IF(ISBLANK(Character!N222)," ",Character!N222)</f>
        <v xml:space="preserve"> </v>
      </c>
      <c r="O1784" t="str">
        <f>IF(ISBLANK(Character!O222)," ",Character!O222)</f>
        <v xml:space="preserve"> </v>
      </c>
      <c r="P1784" t="str">
        <f>IF(ISBLANK(Character!P222)," ",Character!P222)</f>
        <v xml:space="preserve"> </v>
      </c>
    </row>
    <row r="1785" spans="1:16" x14ac:dyDescent="0.2">
      <c r="A1785" s="460" t="str">
        <f>CONCATENATE(Posessions!A161,"|",Posessions!B161,"|",Posessions!C161,"|",Posessions!D161)</f>
        <v>|||</v>
      </c>
      <c r="B1785" t="str">
        <f>IF(ISBLANK(Character!B223)," ",Character!B223)</f>
        <v xml:space="preserve"> </v>
      </c>
      <c r="C1785" t="str">
        <f>IF(ISBLANK(Character!C223)," ",Character!C223)</f>
        <v xml:space="preserve"> </v>
      </c>
      <c r="D1785" t="str">
        <f>IF(ISBLANK(Character!D223)," ",Character!D223)</f>
        <v xml:space="preserve"> </v>
      </c>
      <c r="E1785" t="str">
        <f>IF(ISBLANK(Character!E223)," ",Character!E223)</f>
        <v xml:space="preserve"> </v>
      </c>
      <c r="F1785" t="str">
        <f>IF(ISBLANK(Character!F223)," ",Character!F223)</f>
        <v xml:space="preserve"> </v>
      </c>
      <c r="G1785" t="str">
        <f>IF(ISBLANK(Character!G223)," ",Character!G223)</f>
        <v xml:space="preserve"> </v>
      </c>
      <c r="H1785" t="str">
        <f>IF(ISBLANK(Character!H223)," ",Character!H223)</f>
        <v xml:space="preserve"> </v>
      </c>
      <c r="I1785" t="str">
        <f>IF(ISBLANK(Character!I223)," ",Character!I223)</f>
        <v xml:space="preserve"> </v>
      </c>
      <c r="J1785" t="str">
        <f>IF(ISBLANK(Character!J223)," ",Character!J223)</f>
        <v xml:space="preserve"> </v>
      </c>
      <c r="K1785" t="str">
        <f>IF(ISBLANK(Character!K223)," ",Character!K223)</f>
        <v xml:space="preserve"> </v>
      </c>
      <c r="L1785" t="str">
        <f>IF(ISBLANK(Character!L223)," ",Character!L223)</f>
        <v xml:space="preserve"> </v>
      </c>
      <c r="M1785" t="str">
        <f>IF(ISBLANK(Character!M223)," ",Character!M223)</f>
        <v xml:space="preserve"> </v>
      </c>
      <c r="N1785" t="str">
        <f>IF(ISBLANK(Character!N223)," ",Character!N223)</f>
        <v xml:space="preserve"> </v>
      </c>
      <c r="O1785" t="str">
        <f>IF(ISBLANK(Character!O223)," ",Character!O223)</f>
        <v xml:space="preserve"> </v>
      </c>
      <c r="P1785" t="str">
        <f>IF(ISBLANK(Character!P223)," ",Character!P223)</f>
        <v xml:space="preserve"> </v>
      </c>
    </row>
    <row r="1786" spans="1:16" x14ac:dyDescent="0.2">
      <c r="A1786" s="460" t="str">
        <f>CONCATENATE(Posessions!A162,"|",Posessions!B162,"|",Posessions!C162,"|",Posessions!D162)</f>
        <v>|||</v>
      </c>
      <c r="B1786" t="str">
        <f>IF(ISBLANK(Character!B224)," ",Character!B224)</f>
        <v xml:space="preserve"> </v>
      </c>
      <c r="C1786" t="str">
        <f>IF(ISBLANK(Character!C224)," ",Character!C224)</f>
        <v xml:space="preserve"> </v>
      </c>
      <c r="D1786" t="str">
        <f>IF(ISBLANK(Character!D224)," ",Character!D224)</f>
        <v xml:space="preserve"> </v>
      </c>
      <c r="E1786" t="str">
        <f>IF(ISBLANK(Character!E224)," ",Character!E224)</f>
        <v xml:space="preserve"> </v>
      </c>
      <c r="F1786" t="str">
        <f>IF(ISBLANK(Character!F224)," ",Character!F224)</f>
        <v xml:space="preserve"> </v>
      </c>
      <c r="G1786" t="str">
        <f>IF(ISBLANK(Character!G224)," ",Character!G224)</f>
        <v xml:space="preserve"> </v>
      </c>
      <c r="H1786" t="str">
        <f>IF(ISBLANK(Character!H224)," ",Character!H224)</f>
        <v xml:space="preserve"> </v>
      </c>
      <c r="I1786" t="str">
        <f>IF(ISBLANK(Character!I224)," ",Character!I224)</f>
        <v xml:space="preserve"> </v>
      </c>
      <c r="J1786" t="str">
        <f>IF(ISBLANK(Character!J224)," ",Character!J224)</f>
        <v xml:space="preserve"> </v>
      </c>
      <c r="K1786" t="str">
        <f>IF(ISBLANK(Character!K224)," ",Character!K224)</f>
        <v xml:space="preserve"> </v>
      </c>
      <c r="L1786" t="str">
        <f>IF(ISBLANK(Character!L224)," ",Character!L224)</f>
        <v xml:space="preserve"> </v>
      </c>
      <c r="M1786" t="str">
        <f>IF(ISBLANK(Character!M224)," ",Character!M224)</f>
        <v xml:space="preserve"> </v>
      </c>
      <c r="N1786" t="str">
        <f>IF(ISBLANK(Character!N224)," ",Character!N224)</f>
        <v xml:space="preserve"> </v>
      </c>
      <c r="O1786" t="str">
        <f>IF(ISBLANK(Character!O224)," ",Character!O224)</f>
        <v xml:space="preserve"> </v>
      </c>
      <c r="P1786" t="str">
        <f>IF(ISBLANK(Character!P224)," ",Character!P224)</f>
        <v xml:space="preserve"> </v>
      </c>
    </row>
    <row r="1787" spans="1:16" x14ac:dyDescent="0.2">
      <c r="A1787" s="460" t="str">
        <f>CONCATENATE(Posessions!A163,"|",Posessions!B163,"|",Posessions!C163,"|",Posessions!D163)</f>
        <v>|||</v>
      </c>
      <c r="B1787" t="str">
        <f>IF(ISBLANK(Character!B225)," ",Character!B225)</f>
        <v xml:space="preserve"> </v>
      </c>
      <c r="C1787" t="str">
        <f>IF(ISBLANK(Character!C225)," ",Character!C225)</f>
        <v xml:space="preserve"> </v>
      </c>
      <c r="D1787" t="str">
        <f>IF(ISBLANK(Character!D225)," ",Character!D225)</f>
        <v xml:space="preserve"> </v>
      </c>
      <c r="E1787" t="str">
        <f>IF(ISBLANK(Character!E225)," ",Character!E225)</f>
        <v xml:space="preserve"> </v>
      </c>
      <c r="F1787" t="str">
        <f>IF(ISBLANK(Character!F225)," ",Character!F225)</f>
        <v xml:space="preserve"> </v>
      </c>
      <c r="G1787" t="str">
        <f>IF(ISBLANK(Character!G225)," ",Character!G225)</f>
        <v xml:space="preserve"> </v>
      </c>
      <c r="H1787" t="str">
        <f>IF(ISBLANK(Character!H225)," ",Character!H225)</f>
        <v xml:space="preserve"> </v>
      </c>
      <c r="I1787" t="str">
        <f>IF(ISBLANK(Character!I225)," ",Character!I225)</f>
        <v xml:space="preserve"> </v>
      </c>
      <c r="J1787" t="str">
        <f>IF(ISBLANK(Character!J225)," ",Character!J225)</f>
        <v xml:space="preserve"> </v>
      </c>
      <c r="K1787" t="str">
        <f>IF(ISBLANK(Character!K225)," ",Character!K225)</f>
        <v xml:space="preserve"> </v>
      </c>
      <c r="L1787" t="str">
        <f>IF(ISBLANK(Character!L225)," ",Character!L225)</f>
        <v xml:space="preserve"> </v>
      </c>
      <c r="M1787" t="str">
        <f>IF(ISBLANK(Character!M225)," ",Character!M225)</f>
        <v xml:space="preserve"> </v>
      </c>
      <c r="N1787" t="str">
        <f>IF(ISBLANK(Character!N225)," ",Character!N225)</f>
        <v xml:space="preserve"> </v>
      </c>
      <c r="O1787" t="str">
        <f>IF(ISBLANK(Character!O225)," ",Character!O225)</f>
        <v xml:space="preserve"> </v>
      </c>
      <c r="P1787" t="str">
        <f>IF(ISBLANK(Character!P225)," ",Character!P225)</f>
        <v xml:space="preserve"> </v>
      </c>
    </row>
    <row r="1788" spans="1:16" x14ac:dyDescent="0.2">
      <c r="A1788" s="460" t="str">
        <f>CONCATENATE(Posessions!A164,"|",Posessions!B164,"|",Posessions!C164,"|",Posessions!D164)</f>
        <v>|||</v>
      </c>
      <c r="B1788" t="str">
        <f>IF(ISBLANK(Character!B226)," ",Character!B226)</f>
        <v xml:space="preserve"> </v>
      </c>
      <c r="C1788" t="str">
        <f>IF(ISBLANK(Character!C226)," ",Character!C226)</f>
        <v xml:space="preserve"> </v>
      </c>
      <c r="D1788" t="str">
        <f>IF(ISBLANK(Character!D226)," ",Character!D226)</f>
        <v xml:space="preserve"> </v>
      </c>
      <c r="E1788" t="str">
        <f>IF(ISBLANK(Character!E226)," ",Character!E226)</f>
        <v xml:space="preserve"> </v>
      </c>
      <c r="F1788" t="str">
        <f>IF(ISBLANK(Character!F226)," ",Character!F226)</f>
        <v xml:space="preserve"> </v>
      </c>
      <c r="G1788" t="str">
        <f>IF(ISBLANK(Character!G226)," ",Character!G226)</f>
        <v xml:space="preserve"> </v>
      </c>
      <c r="H1788" t="str">
        <f>IF(ISBLANK(Character!H226)," ",Character!H226)</f>
        <v xml:space="preserve"> </v>
      </c>
      <c r="I1788" t="str">
        <f>IF(ISBLANK(Character!I226)," ",Character!I226)</f>
        <v xml:space="preserve"> </v>
      </c>
      <c r="J1788" t="str">
        <f>IF(ISBLANK(Character!J226)," ",Character!J226)</f>
        <v xml:space="preserve"> </v>
      </c>
      <c r="K1788" t="str">
        <f>IF(ISBLANK(Character!K226)," ",Character!K226)</f>
        <v xml:space="preserve"> </v>
      </c>
      <c r="L1788" t="str">
        <f>IF(ISBLANK(Character!L226)," ",Character!L226)</f>
        <v xml:space="preserve"> </v>
      </c>
      <c r="M1788" t="str">
        <f>IF(ISBLANK(Character!M226)," ",Character!M226)</f>
        <v xml:space="preserve"> </v>
      </c>
      <c r="N1788" t="str">
        <f>IF(ISBLANK(Character!N226)," ",Character!N226)</f>
        <v xml:space="preserve"> </v>
      </c>
      <c r="O1788" t="str">
        <f>IF(ISBLANK(Character!O226)," ",Character!O226)</f>
        <v xml:space="preserve"> </v>
      </c>
      <c r="P1788" t="str">
        <f>IF(ISBLANK(Character!P226)," ",Character!P226)</f>
        <v xml:space="preserve"> </v>
      </c>
    </row>
    <row r="1789" spans="1:16" x14ac:dyDescent="0.2">
      <c r="A1789" s="460" t="str">
        <f>CONCATENATE(Posessions!A165,"|",Posessions!B165,"|",Posessions!C165,"|",Posessions!D165)</f>
        <v>|||</v>
      </c>
      <c r="B1789" t="str">
        <f>IF(ISBLANK(Character!B227)," ",Character!B227)</f>
        <v xml:space="preserve"> </v>
      </c>
      <c r="C1789" t="str">
        <f>IF(ISBLANK(Character!C227)," ",Character!C227)</f>
        <v xml:space="preserve"> </v>
      </c>
      <c r="D1789" t="str">
        <f>IF(ISBLANK(Character!D227)," ",Character!D227)</f>
        <v xml:space="preserve"> </v>
      </c>
      <c r="E1789" t="str">
        <f>IF(ISBLANK(Character!E227)," ",Character!E227)</f>
        <v xml:space="preserve"> </v>
      </c>
      <c r="F1789" t="str">
        <f>IF(ISBLANK(Character!F227)," ",Character!F227)</f>
        <v xml:space="preserve"> </v>
      </c>
      <c r="G1789" t="str">
        <f>IF(ISBLANK(Character!G227)," ",Character!G227)</f>
        <v xml:space="preserve"> </v>
      </c>
      <c r="H1789" t="str">
        <f>IF(ISBLANK(Character!H227)," ",Character!H227)</f>
        <v xml:space="preserve"> </v>
      </c>
      <c r="I1789" t="str">
        <f>IF(ISBLANK(Character!I227)," ",Character!I227)</f>
        <v xml:space="preserve"> </v>
      </c>
      <c r="J1789" t="str">
        <f>IF(ISBLANK(Character!J227)," ",Character!J227)</f>
        <v xml:space="preserve"> </v>
      </c>
      <c r="K1789" t="str">
        <f>IF(ISBLANK(Character!K227)," ",Character!K227)</f>
        <v xml:space="preserve"> </v>
      </c>
      <c r="L1789" t="str">
        <f>IF(ISBLANK(Character!L227)," ",Character!L227)</f>
        <v xml:space="preserve"> </v>
      </c>
      <c r="M1789" t="str">
        <f>IF(ISBLANK(Character!M227)," ",Character!M227)</f>
        <v xml:space="preserve"> </v>
      </c>
      <c r="N1789" t="str">
        <f>IF(ISBLANK(Character!N227)," ",Character!N227)</f>
        <v xml:space="preserve"> </v>
      </c>
      <c r="O1789" t="str">
        <f>IF(ISBLANK(Character!O227)," ",Character!O227)</f>
        <v xml:space="preserve"> </v>
      </c>
      <c r="P1789" t="str">
        <f>IF(ISBLANK(Character!P227)," ",Character!P227)</f>
        <v xml:space="preserve"> </v>
      </c>
    </row>
    <row r="1790" spans="1:16" x14ac:dyDescent="0.2">
      <c r="A1790" s="460" t="str">
        <f>CONCATENATE(Posessions!A166,"|",Posessions!B166,"|",Posessions!C166,"|",Posessions!D166)</f>
        <v>|||</v>
      </c>
      <c r="B1790" t="str">
        <f>IF(ISBLANK(Character!B228)," ",Character!B228)</f>
        <v xml:space="preserve"> </v>
      </c>
      <c r="C1790" t="str">
        <f>IF(ISBLANK(Character!C228)," ",Character!C228)</f>
        <v xml:space="preserve"> </v>
      </c>
      <c r="D1790" t="str">
        <f>IF(ISBLANK(Character!D228)," ",Character!D228)</f>
        <v xml:space="preserve"> </v>
      </c>
      <c r="E1790" t="str">
        <f>IF(ISBLANK(Character!E228)," ",Character!E228)</f>
        <v xml:space="preserve"> </v>
      </c>
      <c r="F1790" t="str">
        <f>IF(ISBLANK(Character!F228)," ",Character!F228)</f>
        <v xml:space="preserve"> </v>
      </c>
      <c r="G1790" t="str">
        <f>IF(ISBLANK(Character!G228)," ",Character!G228)</f>
        <v xml:space="preserve"> </v>
      </c>
      <c r="H1790" t="str">
        <f>IF(ISBLANK(Character!H228)," ",Character!H228)</f>
        <v xml:space="preserve"> </v>
      </c>
      <c r="I1790" t="str">
        <f>IF(ISBLANK(Character!I228)," ",Character!I228)</f>
        <v xml:space="preserve"> </v>
      </c>
      <c r="J1790" t="str">
        <f>IF(ISBLANK(Character!J228)," ",Character!J228)</f>
        <v xml:space="preserve"> </v>
      </c>
      <c r="K1790" t="str">
        <f>IF(ISBLANK(Character!K228)," ",Character!K228)</f>
        <v xml:space="preserve"> </v>
      </c>
      <c r="L1790" t="str">
        <f>IF(ISBLANK(Character!L228)," ",Character!L228)</f>
        <v xml:space="preserve"> </v>
      </c>
      <c r="M1790" t="str">
        <f>IF(ISBLANK(Character!M228)," ",Character!M228)</f>
        <v xml:space="preserve"> </v>
      </c>
      <c r="N1790" t="str">
        <f>IF(ISBLANK(Character!N228)," ",Character!N228)</f>
        <v xml:space="preserve"> </v>
      </c>
      <c r="O1790" t="str">
        <f>IF(ISBLANK(Character!O228)," ",Character!O228)</f>
        <v xml:space="preserve"> </v>
      </c>
      <c r="P1790" t="str">
        <f>IF(ISBLANK(Character!P228)," ",Character!P228)</f>
        <v xml:space="preserve"> </v>
      </c>
    </row>
    <row r="1791" spans="1:16" x14ac:dyDescent="0.2">
      <c r="A1791" s="460" t="str">
        <f>CONCATENATE(Posessions!A167,"|",Posessions!B167,"|",Posessions!C167,"|",Posessions!D167)</f>
        <v>|||</v>
      </c>
      <c r="B1791" t="str">
        <f>IF(ISBLANK(Character!B229)," ",Character!B229)</f>
        <v xml:space="preserve"> </v>
      </c>
      <c r="C1791" t="str">
        <f>IF(ISBLANK(Character!C229)," ",Character!C229)</f>
        <v xml:space="preserve"> </v>
      </c>
      <c r="D1791" t="str">
        <f>IF(ISBLANK(Character!D229)," ",Character!D229)</f>
        <v xml:space="preserve"> </v>
      </c>
      <c r="E1791" t="str">
        <f>IF(ISBLANK(Character!E229)," ",Character!E229)</f>
        <v xml:space="preserve"> </v>
      </c>
      <c r="F1791" t="str">
        <f>IF(ISBLANK(Character!F229)," ",Character!F229)</f>
        <v xml:space="preserve"> </v>
      </c>
      <c r="G1791" t="str">
        <f>IF(ISBLANK(Character!G229)," ",Character!G229)</f>
        <v xml:space="preserve"> </v>
      </c>
      <c r="H1791" t="str">
        <f>IF(ISBLANK(Character!H229)," ",Character!H229)</f>
        <v xml:space="preserve"> </v>
      </c>
      <c r="I1791" t="str">
        <f>IF(ISBLANK(Character!I229)," ",Character!I229)</f>
        <v xml:space="preserve"> </v>
      </c>
      <c r="J1791" t="str">
        <f>IF(ISBLANK(Character!J229)," ",Character!J229)</f>
        <v xml:space="preserve"> </v>
      </c>
      <c r="K1791" t="str">
        <f>IF(ISBLANK(Character!K229)," ",Character!K229)</f>
        <v xml:space="preserve"> </v>
      </c>
      <c r="L1791" t="str">
        <f>IF(ISBLANK(Character!L229)," ",Character!L229)</f>
        <v xml:space="preserve"> </v>
      </c>
      <c r="M1791" t="str">
        <f>IF(ISBLANK(Character!M229)," ",Character!M229)</f>
        <v xml:space="preserve"> </v>
      </c>
      <c r="N1791" t="str">
        <f>IF(ISBLANK(Character!N229)," ",Character!N229)</f>
        <v xml:space="preserve"> </v>
      </c>
      <c r="O1791" t="str">
        <f>IF(ISBLANK(Character!O229)," ",Character!O229)</f>
        <v xml:space="preserve"> </v>
      </c>
      <c r="P1791" t="str">
        <f>IF(ISBLANK(Character!P229)," ",Character!P229)</f>
        <v xml:space="preserve"> </v>
      </c>
    </row>
    <row r="1792" spans="1:16" x14ac:dyDescent="0.2">
      <c r="A1792" s="460" t="str">
        <f>CONCATENATE(Posessions!A168,"|",Posessions!B168,"|",Posessions!C168,"|",Posessions!D168)</f>
        <v>|||</v>
      </c>
      <c r="B1792" t="str">
        <f>IF(ISBLANK(Character!B230)," ",Character!B230)</f>
        <v xml:space="preserve"> </v>
      </c>
      <c r="C1792" t="str">
        <f>IF(ISBLANK(Character!C230)," ",Character!C230)</f>
        <v xml:space="preserve"> </v>
      </c>
      <c r="D1792" t="str">
        <f>IF(ISBLANK(Character!D230)," ",Character!D230)</f>
        <v xml:space="preserve"> </v>
      </c>
      <c r="E1792" t="str">
        <f>IF(ISBLANK(Character!E230)," ",Character!E230)</f>
        <v xml:space="preserve"> </v>
      </c>
      <c r="F1792" t="str">
        <f>IF(ISBLANK(Character!F230)," ",Character!F230)</f>
        <v xml:space="preserve"> </v>
      </c>
      <c r="G1792" t="str">
        <f>IF(ISBLANK(Character!G230)," ",Character!G230)</f>
        <v xml:space="preserve"> </v>
      </c>
      <c r="H1792" t="str">
        <f>IF(ISBLANK(Character!H230)," ",Character!H230)</f>
        <v xml:space="preserve"> </v>
      </c>
      <c r="I1792" t="str">
        <f>IF(ISBLANK(Character!I230)," ",Character!I230)</f>
        <v xml:space="preserve"> </v>
      </c>
      <c r="J1792" t="str">
        <f>IF(ISBLANK(Character!J230)," ",Character!J230)</f>
        <v xml:space="preserve"> </v>
      </c>
      <c r="K1792" t="str">
        <f>IF(ISBLANK(Character!K230)," ",Character!K230)</f>
        <v xml:space="preserve"> </v>
      </c>
      <c r="L1792" t="str">
        <f>IF(ISBLANK(Character!L230)," ",Character!L230)</f>
        <v xml:space="preserve"> </v>
      </c>
      <c r="M1792" t="str">
        <f>IF(ISBLANK(Character!M230)," ",Character!M230)</f>
        <v xml:space="preserve"> </v>
      </c>
      <c r="N1792" t="str">
        <f>IF(ISBLANK(Character!N230)," ",Character!N230)</f>
        <v xml:space="preserve"> </v>
      </c>
      <c r="O1792" t="str">
        <f>IF(ISBLANK(Character!O230)," ",Character!O230)</f>
        <v xml:space="preserve"> </v>
      </c>
      <c r="P1792" t="str">
        <f>IF(ISBLANK(Character!P230)," ",Character!P230)</f>
        <v xml:space="preserve"> </v>
      </c>
    </row>
    <row r="1793" spans="1:16" x14ac:dyDescent="0.2">
      <c r="A1793" s="460" t="str">
        <f>CONCATENATE(Posessions!A169,"|",Posessions!B169,"|",Posessions!C169,"|",Posessions!D169)</f>
        <v>|||</v>
      </c>
      <c r="B1793" t="str">
        <f>IF(ISBLANK(Character!B231)," ",Character!B231)</f>
        <v xml:space="preserve"> </v>
      </c>
      <c r="C1793" t="str">
        <f>IF(ISBLANK(Character!C231)," ",Character!C231)</f>
        <v xml:space="preserve"> </v>
      </c>
      <c r="D1793" t="str">
        <f>IF(ISBLANK(Character!D231)," ",Character!D231)</f>
        <v xml:space="preserve"> </v>
      </c>
      <c r="E1793" t="str">
        <f>IF(ISBLANK(Character!E231)," ",Character!E231)</f>
        <v xml:space="preserve"> </v>
      </c>
      <c r="F1793" t="str">
        <f>IF(ISBLANK(Character!F231)," ",Character!F231)</f>
        <v xml:space="preserve"> </v>
      </c>
      <c r="G1793" t="str">
        <f>IF(ISBLANK(Character!G231)," ",Character!G231)</f>
        <v xml:space="preserve"> </v>
      </c>
      <c r="H1793" t="str">
        <f>IF(ISBLANK(Character!H231)," ",Character!H231)</f>
        <v xml:space="preserve"> </v>
      </c>
      <c r="I1793" t="str">
        <f>IF(ISBLANK(Character!I231)," ",Character!I231)</f>
        <v xml:space="preserve"> </v>
      </c>
      <c r="J1793" t="str">
        <f>IF(ISBLANK(Character!J231)," ",Character!J231)</f>
        <v xml:space="preserve"> </v>
      </c>
      <c r="K1793" t="str">
        <f>IF(ISBLANK(Character!K231)," ",Character!K231)</f>
        <v xml:space="preserve"> </v>
      </c>
      <c r="L1793" t="str">
        <f>IF(ISBLANK(Character!L231)," ",Character!L231)</f>
        <v xml:space="preserve"> </v>
      </c>
      <c r="M1793" t="str">
        <f>IF(ISBLANK(Character!M231)," ",Character!M231)</f>
        <v xml:space="preserve"> </v>
      </c>
      <c r="N1793" t="str">
        <f>IF(ISBLANK(Character!N231)," ",Character!N231)</f>
        <v xml:space="preserve"> </v>
      </c>
      <c r="O1793" t="str">
        <f>IF(ISBLANK(Character!O231)," ",Character!O231)</f>
        <v xml:space="preserve"> </v>
      </c>
      <c r="P1793" t="str">
        <f>IF(ISBLANK(Character!P231)," ",Character!P231)</f>
        <v xml:space="preserve"> </v>
      </c>
    </row>
    <row r="1794" spans="1:16" x14ac:dyDescent="0.2">
      <c r="A1794" s="460" t="str">
        <f>CONCATENATE(Posessions!A170,"|",Posessions!B170,"|",Posessions!C170,"|",Posessions!D170)</f>
        <v>|||</v>
      </c>
      <c r="B1794" t="str">
        <f>IF(ISBLANK(Character!B232)," ",Character!B232)</f>
        <v xml:space="preserve"> </v>
      </c>
      <c r="C1794" t="str">
        <f>IF(ISBLANK(Character!C232)," ",Character!C232)</f>
        <v xml:space="preserve"> </v>
      </c>
      <c r="D1794" t="str">
        <f>IF(ISBLANK(Character!D232)," ",Character!D232)</f>
        <v xml:space="preserve"> </v>
      </c>
      <c r="E1794" t="str">
        <f>IF(ISBLANK(Character!E232)," ",Character!E232)</f>
        <v xml:space="preserve"> </v>
      </c>
      <c r="F1794" t="str">
        <f>IF(ISBLANK(Character!F232)," ",Character!F232)</f>
        <v xml:space="preserve"> </v>
      </c>
      <c r="G1794" t="str">
        <f>IF(ISBLANK(Character!G232)," ",Character!G232)</f>
        <v xml:space="preserve"> </v>
      </c>
      <c r="H1794" t="str">
        <f>IF(ISBLANK(Character!H232)," ",Character!H232)</f>
        <v xml:space="preserve"> </v>
      </c>
      <c r="I1794" t="str">
        <f>IF(ISBLANK(Character!I232)," ",Character!I232)</f>
        <v xml:space="preserve"> </v>
      </c>
      <c r="J1794" t="str">
        <f>IF(ISBLANK(Character!J232)," ",Character!J232)</f>
        <v xml:space="preserve"> </v>
      </c>
      <c r="K1794" t="str">
        <f>IF(ISBLANK(Character!K232)," ",Character!K232)</f>
        <v xml:space="preserve"> </v>
      </c>
      <c r="L1794" t="str">
        <f>IF(ISBLANK(Character!L232)," ",Character!L232)</f>
        <v xml:space="preserve"> </v>
      </c>
      <c r="M1794" t="str">
        <f>IF(ISBLANK(Character!M232)," ",Character!M232)</f>
        <v xml:space="preserve"> </v>
      </c>
      <c r="N1794" t="str">
        <f>IF(ISBLANK(Character!N232)," ",Character!N232)</f>
        <v xml:space="preserve"> </v>
      </c>
      <c r="O1794" t="str">
        <f>IF(ISBLANK(Character!O232)," ",Character!O232)</f>
        <v xml:space="preserve"> </v>
      </c>
      <c r="P1794" t="str">
        <f>IF(ISBLANK(Character!P232)," ",Character!P232)</f>
        <v xml:space="preserve"> </v>
      </c>
    </row>
    <row r="1795" spans="1:16" x14ac:dyDescent="0.2">
      <c r="A1795" s="460" t="str">
        <f>CONCATENATE(Posessions!A171,"|",Posessions!B171,"|",Posessions!C171,"|",Posessions!D171)</f>
        <v>|||</v>
      </c>
      <c r="B1795" t="str">
        <f>IF(ISBLANK(Character!B233)," ",Character!B233)</f>
        <v xml:space="preserve"> </v>
      </c>
      <c r="C1795" t="str">
        <f>IF(ISBLANK(Character!C233)," ",Character!C233)</f>
        <v xml:space="preserve"> </v>
      </c>
      <c r="D1795" t="str">
        <f>IF(ISBLANK(Character!D233)," ",Character!D233)</f>
        <v xml:space="preserve"> </v>
      </c>
      <c r="E1795" t="str">
        <f>IF(ISBLANK(Character!E233)," ",Character!E233)</f>
        <v xml:space="preserve"> </v>
      </c>
      <c r="F1795" t="str">
        <f>IF(ISBLANK(Character!F233)," ",Character!F233)</f>
        <v xml:space="preserve"> </v>
      </c>
      <c r="G1795" t="str">
        <f>IF(ISBLANK(Character!G233)," ",Character!G233)</f>
        <v xml:space="preserve"> </v>
      </c>
      <c r="H1795" t="str">
        <f>IF(ISBLANK(Character!H233)," ",Character!H233)</f>
        <v xml:space="preserve"> </v>
      </c>
      <c r="I1795" t="str">
        <f>IF(ISBLANK(Character!I233)," ",Character!I233)</f>
        <v xml:space="preserve"> </v>
      </c>
      <c r="J1795" t="str">
        <f>IF(ISBLANK(Character!J233)," ",Character!J233)</f>
        <v xml:space="preserve"> </v>
      </c>
      <c r="K1795" t="str">
        <f>IF(ISBLANK(Character!K233)," ",Character!K233)</f>
        <v xml:space="preserve"> </v>
      </c>
      <c r="L1795" t="str">
        <f>IF(ISBLANK(Character!L233)," ",Character!L233)</f>
        <v xml:space="preserve"> </v>
      </c>
      <c r="M1795" t="str">
        <f>IF(ISBLANK(Character!M233)," ",Character!M233)</f>
        <v xml:space="preserve"> </v>
      </c>
      <c r="N1795" t="str">
        <f>IF(ISBLANK(Character!N233)," ",Character!N233)</f>
        <v xml:space="preserve"> </v>
      </c>
      <c r="O1795" t="str">
        <f>IF(ISBLANK(Character!O233)," ",Character!O233)</f>
        <v xml:space="preserve"> </v>
      </c>
      <c r="P1795" t="str">
        <f>IF(ISBLANK(Character!P233)," ",Character!P233)</f>
        <v xml:space="preserve"> </v>
      </c>
    </row>
    <row r="1796" spans="1:16" x14ac:dyDescent="0.2">
      <c r="A1796" s="460" t="str">
        <f>CONCATENATE(Posessions!A172,"|",Posessions!B172,"|",Posessions!C172,"|",Posessions!D172)</f>
        <v>|||</v>
      </c>
      <c r="B1796" t="str">
        <f>IF(ISBLANK(Character!B234)," ",Character!B234)</f>
        <v xml:space="preserve"> </v>
      </c>
      <c r="C1796" t="str">
        <f>IF(ISBLANK(Character!C234)," ",Character!C234)</f>
        <v xml:space="preserve"> </v>
      </c>
      <c r="D1796" t="str">
        <f>IF(ISBLANK(Character!D234)," ",Character!D234)</f>
        <v xml:space="preserve"> </v>
      </c>
      <c r="E1796" t="str">
        <f>IF(ISBLANK(Character!E234)," ",Character!E234)</f>
        <v xml:space="preserve"> </v>
      </c>
      <c r="F1796" t="str">
        <f>IF(ISBLANK(Character!F234)," ",Character!F234)</f>
        <v xml:space="preserve"> </v>
      </c>
      <c r="G1796" t="str">
        <f>IF(ISBLANK(Character!G234)," ",Character!G234)</f>
        <v xml:space="preserve"> </v>
      </c>
      <c r="H1796" t="str">
        <f>IF(ISBLANK(Character!H234)," ",Character!H234)</f>
        <v xml:space="preserve"> </v>
      </c>
      <c r="I1796" t="str">
        <f>IF(ISBLANK(Character!I234)," ",Character!I234)</f>
        <v xml:space="preserve"> </v>
      </c>
      <c r="J1796" t="str">
        <f>IF(ISBLANK(Character!J234)," ",Character!J234)</f>
        <v xml:space="preserve"> </v>
      </c>
      <c r="K1796" t="str">
        <f>IF(ISBLANK(Character!K234)," ",Character!K234)</f>
        <v xml:space="preserve"> </v>
      </c>
      <c r="L1796" t="str">
        <f>IF(ISBLANK(Character!L234)," ",Character!L234)</f>
        <v xml:space="preserve"> </v>
      </c>
      <c r="M1796" t="str">
        <f>IF(ISBLANK(Character!M234)," ",Character!M234)</f>
        <v xml:space="preserve"> </v>
      </c>
      <c r="N1796" t="str">
        <f>IF(ISBLANK(Character!N234)," ",Character!N234)</f>
        <v xml:space="preserve"> </v>
      </c>
      <c r="O1796" t="str">
        <f>IF(ISBLANK(Character!O234)," ",Character!O234)</f>
        <v xml:space="preserve"> </v>
      </c>
      <c r="P1796" t="str">
        <f>IF(ISBLANK(Character!P234)," ",Character!P234)</f>
        <v xml:space="preserve"> </v>
      </c>
    </row>
    <row r="1797" spans="1:16" x14ac:dyDescent="0.2">
      <c r="A1797" s="460" t="str">
        <f>CONCATENATE(Posessions!A173,"|",Posessions!B173,"|",Posessions!C173,"|",Posessions!D173)</f>
        <v>|||</v>
      </c>
      <c r="B1797" t="str">
        <f>IF(ISBLANK(Character!B235)," ",Character!B235)</f>
        <v xml:space="preserve"> </v>
      </c>
      <c r="C1797" t="str">
        <f>IF(ISBLANK(Character!C235)," ",Character!C235)</f>
        <v xml:space="preserve"> </v>
      </c>
      <c r="D1797" t="str">
        <f>IF(ISBLANK(Character!D235)," ",Character!D235)</f>
        <v xml:space="preserve"> </v>
      </c>
      <c r="E1797" t="str">
        <f>IF(ISBLANK(Character!E235)," ",Character!E235)</f>
        <v xml:space="preserve"> </v>
      </c>
      <c r="F1797" t="str">
        <f>IF(ISBLANK(Character!F235)," ",Character!F235)</f>
        <v xml:space="preserve"> </v>
      </c>
      <c r="G1797" t="str">
        <f>IF(ISBLANK(Character!G235)," ",Character!G235)</f>
        <v xml:space="preserve"> </v>
      </c>
      <c r="H1797" t="str">
        <f>IF(ISBLANK(Character!H235)," ",Character!H235)</f>
        <v xml:space="preserve"> </v>
      </c>
      <c r="I1797" t="str">
        <f>IF(ISBLANK(Character!I235)," ",Character!I235)</f>
        <v xml:space="preserve"> </v>
      </c>
      <c r="J1797" t="str">
        <f>IF(ISBLANK(Character!J235)," ",Character!J235)</f>
        <v xml:space="preserve"> </v>
      </c>
      <c r="K1797" t="str">
        <f>IF(ISBLANK(Character!K235)," ",Character!K235)</f>
        <v xml:space="preserve"> </v>
      </c>
      <c r="L1797" t="str">
        <f>IF(ISBLANK(Character!L235)," ",Character!L235)</f>
        <v xml:space="preserve"> </v>
      </c>
      <c r="M1797" t="str">
        <f>IF(ISBLANK(Character!M235)," ",Character!M235)</f>
        <v xml:space="preserve"> </v>
      </c>
      <c r="N1797" t="str">
        <f>IF(ISBLANK(Character!N235)," ",Character!N235)</f>
        <v xml:space="preserve"> </v>
      </c>
      <c r="O1797" t="str">
        <f>IF(ISBLANK(Character!O235)," ",Character!O235)</f>
        <v xml:space="preserve"> </v>
      </c>
      <c r="P1797" t="str">
        <f>IF(ISBLANK(Character!P235)," ",Character!P235)</f>
        <v xml:space="preserve"> </v>
      </c>
    </row>
    <row r="1798" spans="1:16" x14ac:dyDescent="0.2">
      <c r="A1798" s="460" t="str">
        <f>CONCATENATE(Posessions!A174,"|",Posessions!B174,"|",Posessions!C174,"|",Posessions!D174)</f>
        <v>|||</v>
      </c>
      <c r="B1798" t="str">
        <f>IF(ISBLANK(Character!B236)," ",Character!B236)</f>
        <v xml:space="preserve"> </v>
      </c>
      <c r="C1798" t="str">
        <f>IF(ISBLANK(Character!C236)," ",Character!C236)</f>
        <v xml:space="preserve"> </v>
      </c>
      <c r="D1798" t="str">
        <f>IF(ISBLANK(Character!D236)," ",Character!D236)</f>
        <v xml:space="preserve"> </v>
      </c>
      <c r="E1798" t="str">
        <f>IF(ISBLANK(Character!E236)," ",Character!E236)</f>
        <v xml:space="preserve"> </v>
      </c>
      <c r="F1798" t="str">
        <f>IF(ISBLANK(Character!F236)," ",Character!F236)</f>
        <v xml:space="preserve"> </v>
      </c>
      <c r="G1798" t="str">
        <f>IF(ISBLANK(Character!G236)," ",Character!G236)</f>
        <v xml:space="preserve"> </v>
      </c>
      <c r="H1798" t="str">
        <f>IF(ISBLANK(Character!H236)," ",Character!H236)</f>
        <v xml:space="preserve"> </v>
      </c>
      <c r="I1798" t="str">
        <f>IF(ISBLANK(Character!I236)," ",Character!I236)</f>
        <v xml:space="preserve"> </v>
      </c>
      <c r="J1798" t="str">
        <f>IF(ISBLANK(Character!J236)," ",Character!J236)</f>
        <v xml:space="preserve"> </v>
      </c>
      <c r="K1798" t="str">
        <f>IF(ISBLANK(Character!K236)," ",Character!K236)</f>
        <v xml:space="preserve"> </v>
      </c>
      <c r="L1798" t="str">
        <f>IF(ISBLANK(Character!L236)," ",Character!L236)</f>
        <v xml:space="preserve"> </v>
      </c>
      <c r="M1798" t="str">
        <f>IF(ISBLANK(Character!M236)," ",Character!M236)</f>
        <v xml:space="preserve"> </v>
      </c>
      <c r="N1798" t="str">
        <f>IF(ISBLANK(Character!N236)," ",Character!N236)</f>
        <v xml:space="preserve"> </v>
      </c>
      <c r="O1798" t="str">
        <f>IF(ISBLANK(Character!O236)," ",Character!O236)</f>
        <v xml:space="preserve"> </v>
      </c>
      <c r="P1798" t="str">
        <f>IF(ISBLANK(Character!P236)," ",Character!P236)</f>
        <v xml:space="preserve"> </v>
      </c>
    </row>
    <row r="1799" spans="1:16" x14ac:dyDescent="0.2">
      <c r="A1799" s="460" t="str">
        <f>CONCATENATE(Posessions!A175,"|",Posessions!B175,"|",Posessions!C175,"|",Posessions!D175)</f>
        <v>|||</v>
      </c>
      <c r="B1799" t="str">
        <f>IF(ISBLANK(Character!B237)," ",Character!B237)</f>
        <v xml:space="preserve"> </v>
      </c>
      <c r="C1799" t="str">
        <f>IF(ISBLANK(Character!C237)," ",Character!C237)</f>
        <v xml:space="preserve"> </v>
      </c>
      <c r="D1799" t="str">
        <f>IF(ISBLANK(Character!D237)," ",Character!D237)</f>
        <v xml:space="preserve"> </v>
      </c>
      <c r="E1799" t="str">
        <f>IF(ISBLANK(Character!E237)," ",Character!E237)</f>
        <v xml:space="preserve"> </v>
      </c>
      <c r="F1799" t="str">
        <f>IF(ISBLANK(Character!F237)," ",Character!F237)</f>
        <v xml:space="preserve"> </v>
      </c>
      <c r="G1799" t="str">
        <f>IF(ISBLANK(Character!G237)," ",Character!G237)</f>
        <v xml:space="preserve"> </v>
      </c>
      <c r="H1799" t="str">
        <f>IF(ISBLANK(Character!H237)," ",Character!H237)</f>
        <v xml:space="preserve"> </v>
      </c>
      <c r="I1799" t="str">
        <f>IF(ISBLANK(Character!I237)," ",Character!I237)</f>
        <v xml:space="preserve"> </v>
      </c>
      <c r="J1799" t="str">
        <f>IF(ISBLANK(Character!J237)," ",Character!J237)</f>
        <v xml:space="preserve"> </v>
      </c>
      <c r="K1799" t="str">
        <f>IF(ISBLANK(Character!K237)," ",Character!K237)</f>
        <v xml:space="preserve"> </v>
      </c>
      <c r="L1799" t="str">
        <f>IF(ISBLANK(Character!L237)," ",Character!L237)</f>
        <v xml:space="preserve"> </v>
      </c>
      <c r="M1799" t="str">
        <f>IF(ISBLANK(Character!M237)," ",Character!M237)</f>
        <v xml:space="preserve"> </v>
      </c>
      <c r="N1799" t="str">
        <f>IF(ISBLANK(Character!N237)," ",Character!N237)</f>
        <v xml:space="preserve"> </v>
      </c>
      <c r="O1799" t="str">
        <f>IF(ISBLANK(Character!O237)," ",Character!O237)</f>
        <v xml:space="preserve"> </v>
      </c>
      <c r="P1799" t="str">
        <f>IF(ISBLANK(Character!P237)," ",Character!P237)</f>
        <v xml:space="preserve"> </v>
      </c>
    </row>
    <row r="1800" spans="1:16" x14ac:dyDescent="0.2">
      <c r="A1800" s="460" t="str">
        <f>CONCATENATE(Posessions!A176,"|",Posessions!B176,"|",Posessions!C176,"|",Posessions!D176)</f>
        <v>|||</v>
      </c>
      <c r="B1800" t="str">
        <f>IF(ISBLANK(Character!B238)," ",Character!B238)</f>
        <v xml:space="preserve"> </v>
      </c>
      <c r="C1800" t="str">
        <f>IF(ISBLANK(Character!C238)," ",Character!C238)</f>
        <v xml:space="preserve"> </v>
      </c>
      <c r="D1800" t="str">
        <f>IF(ISBLANK(Character!D238)," ",Character!D238)</f>
        <v xml:space="preserve"> </v>
      </c>
      <c r="E1800" t="str">
        <f>IF(ISBLANK(Character!E238)," ",Character!E238)</f>
        <v xml:space="preserve"> </v>
      </c>
      <c r="F1800" t="str">
        <f>IF(ISBLANK(Character!F238)," ",Character!F238)</f>
        <v xml:space="preserve"> </v>
      </c>
      <c r="G1800" t="str">
        <f>IF(ISBLANK(Character!G238)," ",Character!G238)</f>
        <v xml:space="preserve"> </v>
      </c>
      <c r="H1800" t="str">
        <f>IF(ISBLANK(Character!H238)," ",Character!H238)</f>
        <v xml:space="preserve"> </v>
      </c>
      <c r="I1800" t="str">
        <f>IF(ISBLANK(Character!I238)," ",Character!I238)</f>
        <v xml:space="preserve"> </v>
      </c>
      <c r="J1800" t="str">
        <f>IF(ISBLANK(Character!J238)," ",Character!J238)</f>
        <v xml:space="preserve"> </v>
      </c>
      <c r="K1800" t="str">
        <f>IF(ISBLANK(Character!K238)," ",Character!K238)</f>
        <v xml:space="preserve"> </v>
      </c>
      <c r="L1800" t="str">
        <f>IF(ISBLANK(Character!L238)," ",Character!L238)</f>
        <v xml:space="preserve"> </v>
      </c>
      <c r="M1800" t="str">
        <f>IF(ISBLANK(Character!M238)," ",Character!M238)</f>
        <v xml:space="preserve"> </v>
      </c>
      <c r="N1800" t="str">
        <f>IF(ISBLANK(Character!N238)," ",Character!N238)</f>
        <v xml:space="preserve"> </v>
      </c>
      <c r="O1800" t="str">
        <f>IF(ISBLANK(Character!O238)," ",Character!O238)</f>
        <v xml:space="preserve"> </v>
      </c>
      <c r="P1800" t="str">
        <f>IF(ISBLANK(Character!P238)," ",Character!P238)</f>
        <v xml:space="preserve"> </v>
      </c>
    </row>
    <row r="1801" spans="1:16" x14ac:dyDescent="0.2">
      <c r="A1801" s="460" t="str">
        <f>CONCATENATE(Posessions!A177,"|",Posessions!B177,"|",Posessions!C177,"|",Posessions!D177)</f>
        <v>|||</v>
      </c>
      <c r="B1801" t="str">
        <f>IF(ISBLANK(Character!B239)," ",Character!B239)</f>
        <v xml:space="preserve"> </v>
      </c>
      <c r="C1801" t="str">
        <f>IF(ISBLANK(Character!C239)," ",Character!C239)</f>
        <v xml:space="preserve"> </v>
      </c>
      <c r="D1801" t="str">
        <f>IF(ISBLANK(Character!D239)," ",Character!D239)</f>
        <v xml:space="preserve"> </v>
      </c>
      <c r="E1801" t="str">
        <f>IF(ISBLANK(Character!E239)," ",Character!E239)</f>
        <v xml:space="preserve"> </v>
      </c>
      <c r="F1801" t="str">
        <f>IF(ISBLANK(Character!F239)," ",Character!F239)</f>
        <v xml:space="preserve"> </v>
      </c>
      <c r="G1801" t="str">
        <f>IF(ISBLANK(Character!G239)," ",Character!G239)</f>
        <v xml:space="preserve"> </v>
      </c>
      <c r="H1801" t="str">
        <f>IF(ISBLANK(Character!H239)," ",Character!H239)</f>
        <v xml:space="preserve"> </v>
      </c>
      <c r="I1801" t="str">
        <f>IF(ISBLANK(Character!I239)," ",Character!I239)</f>
        <v xml:space="preserve"> </v>
      </c>
      <c r="J1801" t="str">
        <f>IF(ISBLANK(Character!J239)," ",Character!J239)</f>
        <v xml:space="preserve"> </v>
      </c>
      <c r="K1801" t="str">
        <f>IF(ISBLANK(Character!K239)," ",Character!K239)</f>
        <v xml:space="preserve"> </v>
      </c>
      <c r="L1801" t="str">
        <f>IF(ISBLANK(Character!L239)," ",Character!L239)</f>
        <v xml:space="preserve"> </v>
      </c>
      <c r="M1801" t="str">
        <f>IF(ISBLANK(Character!M239)," ",Character!M239)</f>
        <v xml:space="preserve"> </v>
      </c>
      <c r="N1801" t="str">
        <f>IF(ISBLANK(Character!N239)," ",Character!N239)</f>
        <v xml:space="preserve"> </v>
      </c>
      <c r="O1801" t="str">
        <f>IF(ISBLANK(Character!O239)," ",Character!O239)</f>
        <v xml:space="preserve"> </v>
      </c>
      <c r="P1801" t="str">
        <f>IF(ISBLANK(Character!P239)," ",Character!P239)</f>
        <v xml:space="preserve"> </v>
      </c>
    </row>
    <row r="1802" spans="1:16" x14ac:dyDescent="0.2">
      <c r="A1802" s="460" t="str">
        <f>CONCATENATE(Posessions!A178,"|",Posessions!B178,"|",Posessions!C178,"|",Posessions!D178)</f>
        <v>|||</v>
      </c>
      <c r="B1802" t="str">
        <f>IF(ISBLANK(Character!B240)," ",Character!B240)</f>
        <v xml:space="preserve"> </v>
      </c>
      <c r="C1802" t="str">
        <f>IF(ISBLANK(Character!C240)," ",Character!C240)</f>
        <v xml:space="preserve"> </v>
      </c>
      <c r="D1802" t="str">
        <f>IF(ISBLANK(Character!D240)," ",Character!D240)</f>
        <v xml:space="preserve"> </v>
      </c>
      <c r="E1802" t="str">
        <f>IF(ISBLANK(Character!E240)," ",Character!E240)</f>
        <v xml:space="preserve"> </v>
      </c>
      <c r="F1802" t="str">
        <f>IF(ISBLANK(Character!F240)," ",Character!F240)</f>
        <v xml:space="preserve"> </v>
      </c>
      <c r="G1802" t="str">
        <f>IF(ISBLANK(Character!G240)," ",Character!G240)</f>
        <v xml:space="preserve"> </v>
      </c>
      <c r="H1802" t="str">
        <f>IF(ISBLANK(Character!H240)," ",Character!H240)</f>
        <v xml:space="preserve"> </v>
      </c>
      <c r="I1802" t="str">
        <f>IF(ISBLANK(Character!I240)," ",Character!I240)</f>
        <v xml:space="preserve"> </v>
      </c>
      <c r="J1802" t="str">
        <f>IF(ISBLANK(Character!J240)," ",Character!J240)</f>
        <v xml:space="preserve"> </v>
      </c>
      <c r="K1802" t="str">
        <f>IF(ISBLANK(Character!K240)," ",Character!K240)</f>
        <v xml:space="preserve"> </v>
      </c>
      <c r="L1802" t="str">
        <f>IF(ISBLANK(Character!L240)," ",Character!L240)</f>
        <v xml:space="preserve"> </v>
      </c>
      <c r="M1802" t="str">
        <f>IF(ISBLANK(Character!M240)," ",Character!M240)</f>
        <v xml:space="preserve"> </v>
      </c>
      <c r="N1802" t="str">
        <f>IF(ISBLANK(Character!N240)," ",Character!N240)</f>
        <v xml:space="preserve"> </v>
      </c>
      <c r="O1802" t="str">
        <f>IF(ISBLANK(Character!O240)," ",Character!O240)</f>
        <v xml:space="preserve"> </v>
      </c>
      <c r="P1802" t="str">
        <f>IF(ISBLANK(Character!P240)," ",Character!P240)</f>
        <v xml:space="preserve"> </v>
      </c>
    </row>
    <row r="1803" spans="1:16" x14ac:dyDescent="0.2">
      <c r="A1803" s="460" t="str">
        <f>CONCATENATE(Posessions!A179,"|",Posessions!B179,"|",Posessions!C179,"|",Posessions!D179)</f>
        <v>|||</v>
      </c>
      <c r="B1803" t="str">
        <f>IF(ISBLANK(Character!B241)," ",Character!B241)</f>
        <v xml:space="preserve"> </v>
      </c>
      <c r="C1803" t="str">
        <f>IF(ISBLANK(Character!C241)," ",Character!C241)</f>
        <v xml:space="preserve"> </v>
      </c>
      <c r="D1803" t="str">
        <f>IF(ISBLANK(Character!D241)," ",Character!D241)</f>
        <v xml:space="preserve"> </v>
      </c>
      <c r="E1803" t="str">
        <f>IF(ISBLANK(Character!E241)," ",Character!E241)</f>
        <v xml:space="preserve"> </v>
      </c>
      <c r="F1803" t="str">
        <f>IF(ISBLANK(Character!F241)," ",Character!F241)</f>
        <v xml:space="preserve"> </v>
      </c>
      <c r="G1803" t="str">
        <f>IF(ISBLANK(Character!G241)," ",Character!G241)</f>
        <v xml:space="preserve"> </v>
      </c>
      <c r="H1803" t="str">
        <f>IF(ISBLANK(Character!H241)," ",Character!H241)</f>
        <v xml:space="preserve"> </v>
      </c>
      <c r="I1803" t="str">
        <f>IF(ISBLANK(Character!I241)," ",Character!I241)</f>
        <v xml:space="preserve"> </v>
      </c>
      <c r="J1803" t="str">
        <f>IF(ISBLANK(Character!J241)," ",Character!J241)</f>
        <v xml:space="preserve"> </v>
      </c>
      <c r="K1803" t="str">
        <f>IF(ISBLANK(Character!K241)," ",Character!K241)</f>
        <v xml:space="preserve"> </v>
      </c>
      <c r="L1803" t="str">
        <f>IF(ISBLANK(Character!L241)," ",Character!L241)</f>
        <v xml:space="preserve"> </v>
      </c>
      <c r="M1803" t="str">
        <f>IF(ISBLANK(Character!M241)," ",Character!M241)</f>
        <v xml:space="preserve"> </v>
      </c>
      <c r="N1803" t="str">
        <f>IF(ISBLANK(Character!N241)," ",Character!N241)</f>
        <v xml:space="preserve"> </v>
      </c>
      <c r="O1803" t="str">
        <f>IF(ISBLANK(Character!O241)," ",Character!O241)</f>
        <v xml:space="preserve"> </v>
      </c>
      <c r="P1803" t="str">
        <f>IF(ISBLANK(Character!P241)," ",Character!P241)</f>
        <v xml:space="preserve"> </v>
      </c>
    </row>
    <row r="1804" spans="1:16" x14ac:dyDescent="0.2">
      <c r="A1804" s="460" t="str">
        <f>CONCATENATE(Posessions!A180,"|",Posessions!B180,"|",Posessions!C180,"|",Posessions!D180)</f>
        <v>|||</v>
      </c>
      <c r="B1804" t="str">
        <f>IF(ISBLANK(Character!B242)," ",Character!B242)</f>
        <v xml:space="preserve"> </v>
      </c>
      <c r="C1804" t="str">
        <f>IF(ISBLANK(Character!C242)," ",Character!C242)</f>
        <v xml:space="preserve"> </v>
      </c>
      <c r="D1804" t="str">
        <f>IF(ISBLANK(Character!D242)," ",Character!D242)</f>
        <v xml:space="preserve"> </v>
      </c>
      <c r="E1804" t="str">
        <f>IF(ISBLANK(Character!E242)," ",Character!E242)</f>
        <v xml:space="preserve"> </v>
      </c>
      <c r="F1804" t="str">
        <f>IF(ISBLANK(Character!F242)," ",Character!F242)</f>
        <v xml:space="preserve"> </v>
      </c>
      <c r="G1804" t="str">
        <f>IF(ISBLANK(Character!G242)," ",Character!G242)</f>
        <v xml:space="preserve"> </v>
      </c>
      <c r="H1804" t="str">
        <f>IF(ISBLANK(Character!H242)," ",Character!H242)</f>
        <v xml:space="preserve"> </v>
      </c>
      <c r="I1804" t="str">
        <f>IF(ISBLANK(Character!I242)," ",Character!I242)</f>
        <v xml:space="preserve"> </v>
      </c>
      <c r="J1804" t="str">
        <f>IF(ISBLANK(Character!J242)," ",Character!J242)</f>
        <v xml:space="preserve"> </v>
      </c>
      <c r="K1804" t="str">
        <f>IF(ISBLANK(Character!K242)," ",Character!K242)</f>
        <v xml:space="preserve"> </v>
      </c>
      <c r="L1804" t="str">
        <f>IF(ISBLANK(Character!L242)," ",Character!L242)</f>
        <v xml:space="preserve"> </v>
      </c>
      <c r="M1804" t="str">
        <f>IF(ISBLANK(Character!M242)," ",Character!M242)</f>
        <v xml:space="preserve"> </v>
      </c>
      <c r="N1804" t="str">
        <f>IF(ISBLANK(Character!N242)," ",Character!N242)</f>
        <v xml:space="preserve"> </v>
      </c>
      <c r="O1804" t="str">
        <f>IF(ISBLANK(Character!O242)," ",Character!O242)</f>
        <v xml:space="preserve"> </v>
      </c>
      <c r="P1804" t="str">
        <f>IF(ISBLANK(Character!P242)," ",Character!P242)</f>
        <v xml:space="preserve"> </v>
      </c>
    </row>
    <row r="1805" spans="1:16" x14ac:dyDescent="0.2">
      <c r="A1805" s="460" t="str">
        <f>CONCATENATE(Posessions!A181,"|",Posessions!B181,"|",Posessions!C181,"|",Posessions!D181)</f>
        <v>|||</v>
      </c>
      <c r="B1805" t="str">
        <f>IF(ISBLANK(Character!B243)," ",Character!B243)</f>
        <v xml:space="preserve"> </v>
      </c>
      <c r="C1805" t="str">
        <f>IF(ISBLANK(Character!C243)," ",Character!C243)</f>
        <v xml:space="preserve"> </v>
      </c>
      <c r="D1805" t="str">
        <f>IF(ISBLANK(Character!D243)," ",Character!D243)</f>
        <v xml:space="preserve"> </v>
      </c>
      <c r="E1805" t="str">
        <f>IF(ISBLANK(Character!E243)," ",Character!E243)</f>
        <v xml:space="preserve"> </v>
      </c>
      <c r="F1805" t="str">
        <f>IF(ISBLANK(Character!F243)," ",Character!F243)</f>
        <v xml:space="preserve"> </v>
      </c>
      <c r="G1805" t="str">
        <f>IF(ISBLANK(Character!G243)," ",Character!G243)</f>
        <v xml:space="preserve"> </v>
      </c>
      <c r="H1805" t="str">
        <f>IF(ISBLANK(Character!H243)," ",Character!H243)</f>
        <v xml:space="preserve"> </v>
      </c>
      <c r="I1805" t="str">
        <f>IF(ISBLANK(Character!I243)," ",Character!I243)</f>
        <v xml:space="preserve"> </v>
      </c>
      <c r="J1805" t="str">
        <f>IF(ISBLANK(Character!J243)," ",Character!J243)</f>
        <v xml:space="preserve"> </v>
      </c>
      <c r="K1805" t="str">
        <f>IF(ISBLANK(Character!K243)," ",Character!K243)</f>
        <v xml:space="preserve"> </v>
      </c>
      <c r="L1805" t="str">
        <f>IF(ISBLANK(Character!L243)," ",Character!L243)</f>
        <v xml:space="preserve"> </v>
      </c>
      <c r="M1805" t="str">
        <f>IF(ISBLANK(Character!M243)," ",Character!M243)</f>
        <v xml:space="preserve"> </v>
      </c>
      <c r="N1805" t="str">
        <f>IF(ISBLANK(Character!N243)," ",Character!N243)</f>
        <v xml:space="preserve"> </v>
      </c>
      <c r="O1805" t="str">
        <f>IF(ISBLANK(Character!O243)," ",Character!O243)</f>
        <v xml:space="preserve"> </v>
      </c>
      <c r="P1805" t="str">
        <f>IF(ISBLANK(Character!P243)," ",Character!P243)</f>
        <v xml:space="preserve"> </v>
      </c>
    </row>
    <row r="1806" spans="1:16" x14ac:dyDescent="0.2">
      <c r="A1806" s="460" t="str">
        <f>CONCATENATE(Posessions!A182,"|",Posessions!B182,"|",Posessions!C182,"|",Posessions!D182)</f>
        <v>|||</v>
      </c>
      <c r="B1806" t="str">
        <f>IF(ISBLANK(Character!B244)," ",Character!B244)</f>
        <v xml:space="preserve"> </v>
      </c>
      <c r="C1806" t="str">
        <f>IF(ISBLANK(Character!C244)," ",Character!C244)</f>
        <v xml:space="preserve"> </v>
      </c>
      <c r="D1806" t="str">
        <f>IF(ISBLANK(Character!D244)," ",Character!D244)</f>
        <v xml:space="preserve"> </v>
      </c>
      <c r="E1806" t="str">
        <f>IF(ISBLANK(Character!E244)," ",Character!E244)</f>
        <v xml:space="preserve"> </v>
      </c>
      <c r="F1806" t="str">
        <f>IF(ISBLANK(Character!F244)," ",Character!F244)</f>
        <v xml:space="preserve"> </v>
      </c>
      <c r="G1806" t="str">
        <f>IF(ISBLANK(Character!G244)," ",Character!G244)</f>
        <v xml:space="preserve"> </v>
      </c>
      <c r="H1806" t="str">
        <f>IF(ISBLANK(Character!H244)," ",Character!H244)</f>
        <v xml:space="preserve"> </v>
      </c>
      <c r="I1806" t="str">
        <f>IF(ISBLANK(Character!I244)," ",Character!I244)</f>
        <v xml:space="preserve"> </v>
      </c>
      <c r="J1806" t="str">
        <f>IF(ISBLANK(Character!J244)," ",Character!J244)</f>
        <v xml:space="preserve"> </v>
      </c>
      <c r="K1806" t="str">
        <f>IF(ISBLANK(Character!K244)," ",Character!K244)</f>
        <v xml:space="preserve"> </v>
      </c>
      <c r="L1806" t="str">
        <f>IF(ISBLANK(Character!L244)," ",Character!L244)</f>
        <v xml:space="preserve"> </v>
      </c>
      <c r="M1806" t="str">
        <f>IF(ISBLANK(Character!M244)," ",Character!M244)</f>
        <v xml:space="preserve"> </v>
      </c>
      <c r="N1806" t="str">
        <f>IF(ISBLANK(Character!N244)," ",Character!N244)</f>
        <v xml:space="preserve"> </v>
      </c>
      <c r="O1806" t="str">
        <f>IF(ISBLANK(Character!O244)," ",Character!O244)</f>
        <v xml:space="preserve"> </v>
      </c>
      <c r="P1806" t="str">
        <f>IF(ISBLANK(Character!P244)," ",Character!P244)</f>
        <v xml:space="preserve"> </v>
      </c>
    </row>
    <row r="1807" spans="1:16" x14ac:dyDescent="0.2">
      <c r="A1807" s="460" t="str">
        <f>CONCATENATE(Posessions!A183,"|",Posessions!B183,"|",Posessions!C183,"|",Posessions!D183)</f>
        <v>|||</v>
      </c>
      <c r="B1807" t="str">
        <f>IF(ISBLANK(Character!B245)," ",Character!B245)</f>
        <v xml:space="preserve"> </v>
      </c>
      <c r="C1807" t="str">
        <f>IF(ISBLANK(Character!C245)," ",Character!C245)</f>
        <v xml:space="preserve"> </v>
      </c>
      <c r="D1807" t="str">
        <f>IF(ISBLANK(Character!D245)," ",Character!D245)</f>
        <v xml:space="preserve"> </v>
      </c>
      <c r="E1807" t="str">
        <f>IF(ISBLANK(Character!E245)," ",Character!E245)</f>
        <v xml:space="preserve"> </v>
      </c>
      <c r="F1807" t="str">
        <f>IF(ISBLANK(Character!F245)," ",Character!F245)</f>
        <v xml:space="preserve"> </v>
      </c>
      <c r="G1807" t="str">
        <f>IF(ISBLANK(Character!G245)," ",Character!G245)</f>
        <v xml:space="preserve"> </v>
      </c>
      <c r="H1807" t="str">
        <f>IF(ISBLANK(Character!H245)," ",Character!H245)</f>
        <v xml:space="preserve"> </v>
      </c>
      <c r="I1807" t="str">
        <f>IF(ISBLANK(Character!I245)," ",Character!I245)</f>
        <v xml:space="preserve"> </v>
      </c>
      <c r="J1807" t="str">
        <f>IF(ISBLANK(Character!J245)," ",Character!J245)</f>
        <v xml:space="preserve"> </v>
      </c>
      <c r="K1807" t="str">
        <f>IF(ISBLANK(Character!K245)," ",Character!K245)</f>
        <v xml:space="preserve"> </v>
      </c>
      <c r="L1807" t="str">
        <f>IF(ISBLANK(Character!L245)," ",Character!L245)</f>
        <v xml:space="preserve"> </v>
      </c>
      <c r="M1807" t="str">
        <f>IF(ISBLANK(Character!M245)," ",Character!M245)</f>
        <v xml:space="preserve"> </v>
      </c>
      <c r="N1807" t="str">
        <f>IF(ISBLANK(Character!N245)," ",Character!N245)</f>
        <v xml:space="preserve"> </v>
      </c>
      <c r="O1807" t="str">
        <f>IF(ISBLANK(Character!O245)," ",Character!O245)</f>
        <v xml:space="preserve"> </v>
      </c>
      <c r="P1807" t="str">
        <f>IF(ISBLANK(Character!P245)," ",Character!P245)</f>
        <v xml:space="preserve"> </v>
      </c>
    </row>
    <row r="1808" spans="1:16" x14ac:dyDescent="0.2">
      <c r="A1808" s="460" t="str">
        <f>CONCATENATE(Posessions!A184,"|",Posessions!B184,"|",Posessions!C184,"|",Posessions!D184)</f>
        <v>|||</v>
      </c>
      <c r="B1808" t="str">
        <f>IF(ISBLANK(Character!B246)," ",Character!B246)</f>
        <v xml:space="preserve"> </v>
      </c>
      <c r="C1808" t="str">
        <f>IF(ISBLANK(Character!C246)," ",Character!C246)</f>
        <v xml:space="preserve"> </v>
      </c>
      <c r="D1808" t="str">
        <f>IF(ISBLANK(Character!D246)," ",Character!D246)</f>
        <v xml:space="preserve"> </v>
      </c>
      <c r="E1808" t="str">
        <f>IF(ISBLANK(Character!E246)," ",Character!E246)</f>
        <v xml:space="preserve"> </v>
      </c>
      <c r="F1808" t="str">
        <f>IF(ISBLANK(Character!F246)," ",Character!F246)</f>
        <v xml:space="preserve"> </v>
      </c>
      <c r="G1808" t="str">
        <f>IF(ISBLANK(Character!G246)," ",Character!G246)</f>
        <v xml:space="preserve"> </v>
      </c>
      <c r="H1808" t="str">
        <f>IF(ISBLANK(Character!H246)," ",Character!H246)</f>
        <v xml:space="preserve"> </v>
      </c>
      <c r="I1808" t="str">
        <f>IF(ISBLANK(Character!I246)," ",Character!I246)</f>
        <v xml:space="preserve"> </v>
      </c>
      <c r="J1808" t="str">
        <f>IF(ISBLANK(Character!J246)," ",Character!J246)</f>
        <v xml:space="preserve"> </v>
      </c>
      <c r="K1808" t="str">
        <f>IF(ISBLANK(Character!K246)," ",Character!K246)</f>
        <v xml:space="preserve"> </v>
      </c>
      <c r="L1808" t="str">
        <f>IF(ISBLANK(Character!L246)," ",Character!L246)</f>
        <v xml:space="preserve"> </v>
      </c>
      <c r="M1808" t="str">
        <f>IF(ISBLANK(Character!M246)," ",Character!M246)</f>
        <v xml:space="preserve"> </v>
      </c>
      <c r="N1808" t="str">
        <f>IF(ISBLANK(Character!N246)," ",Character!N246)</f>
        <v xml:space="preserve"> </v>
      </c>
      <c r="O1808" t="str">
        <f>IF(ISBLANK(Character!O246)," ",Character!O246)</f>
        <v xml:space="preserve"> </v>
      </c>
      <c r="P1808" t="str">
        <f>IF(ISBLANK(Character!P246)," ",Character!P246)</f>
        <v xml:space="preserve"> </v>
      </c>
    </row>
    <row r="1809" spans="1:16" x14ac:dyDescent="0.2">
      <c r="A1809" s="460" t="str">
        <f>CONCATENATE(Posessions!A185,"|",Posessions!B185,"|",Posessions!C185,"|",Posessions!D185)</f>
        <v>|||</v>
      </c>
      <c r="B1809" t="str">
        <f>IF(ISBLANK(Character!B247)," ",Character!B247)</f>
        <v xml:space="preserve"> </v>
      </c>
      <c r="C1809" t="str">
        <f>IF(ISBLANK(Character!C247)," ",Character!C247)</f>
        <v xml:space="preserve"> </v>
      </c>
      <c r="D1809" t="str">
        <f>IF(ISBLANK(Character!D247)," ",Character!D247)</f>
        <v xml:space="preserve"> </v>
      </c>
      <c r="E1809" t="str">
        <f>IF(ISBLANK(Character!E247)," ",Character!E247)</f>
        <v xml:space="preserve"> </v>
      </c>
      <c r="F1809" t="str">
        <f>IF(ISBLANK(Character!F247)," ",Character!F247)</f>
        <v xml:space="preserve"> </v>
      </c>
      <c r="G1809" t="str">
        <f>IF(ISBLANK(Character!G247)," ",Character!G247)</f>
        <v xml:space="preserve"> </v>
      </c>
      <c r="H1809" t="str">
        <f>IF(ISBLANK(Character!H247)," ",Character!H247)</f>
        <v xml:space="preserve"> </v>
      </c>
      <c r="I1809" t="str">
        <f>IF(ISBLANK(Character!I247)," ",Character!I247)</f>
        <v xml:space="preserve"> </v>
      </c>
      <c r="J1809" t="str">
        <f>IF(ISBLANK(Character!J247)," ",Character!J247)</f>
        <v xml:space="preserve"> </v>
      </c>
      <c r="K1809" t="str">
        <f>IF(ISBLANK(Character!K247)," ",Character!K247)</f>
        <v xml:space="preserve"> </v>
      </c>
      <c r="L1809" t="str">
        <f>IF(ISBLANK(Character!L247)," ",Character!L247)</f>
        <v xml:space="preserve"> </v>
      </c>
      <c r="M1809" t="str">
        <f>IF(ISBLANK(Character!M247)," ",Character!M247)</f>
        <v xml:space="preserve"> </v>
      </c>
      <c r="N1809" t="str">
        <f>IF(ISBLANK(Character!N247)," ",Character!N247)</f>
        <v xml:space="preserve"> </v>
      </c>
      <c r="O1809" t="str">
        <f>IF(ISBLANK(Character!O247)," ",Character!O247)</f>
        <v xml:space="preserve"> </v>
      </c>
      <c r="P1809" t="str">
        <f>IF(ISBLANK(Character!P247)," ",Character!P247)</f>
        <v xml:space="preserve"> </v>
      </c>
    </row>
    <row r="1810" spans="1:16" x14ac:dyDescent="0.2">
      <c r="A1810" s="460" t="str">
        <f>CONCATENATE(Posessions!A186,"|",Posessions!B186,"|",Posessions!C186,"|",Posessions!D186)</f>
        <v>|||</v>
      </c>
      <c r="B1810" t="str">
        <f>IF(ISBLANK(Character!B248)," ",Character!B248)</f>
        <v xml:space="preserve"> </v>
      </c>
      <c r="C1810" t="str">
        <f>IF(ISBLANK(Character!C248)," ",Character!C248)</f>
        <v xml:space="preserve"> </v>
      </c>
      <c r="D1810" t="str">
        <f>IF(ISBLANK(Character!D248)," ",Character!D248)</f>
        <v xml:space="preserve"> </v>
      </c>
      <c r="E1810" t="str">
        <f>IF(ISBLANK(Character!E248)," ",Character!E248)</f>
        <v xml:space="preserve"> </v>
      </c>
      <c r="F1810" t="str">
        <f>IF(ISBLANK(Character!F248)," ",Character!F248)</f>
        <v xml:space="preserve"> </v>
      </c>
      <c r="G1810" t="str">
        <f>IF(ISBLANK(Character!G248)," ",Character!G248)</f>
        <v xml:space="preserve"> </v>
      </c>
      <c r="H1810" t="str">
        <f>IF(ISBLANK(Character!H248)," ",Character!H248)</f>
        <v xml:space="preserve"> </v>
      </c>
      <c r="I1810" t="str">
        <f>IF(ISBLANK(Character!I248)," ",Character!I248)</f>
        <v xml:space="preserve"> </v>
      </c>
      <c r="J1810" t="str">
        <f>IF(ISBLANK(Character!J248)," ",Character!J248)</f>
        <v xml:space="preserve"> </v>
      </c>
      <c r="K1810" t="str">
        <f>IF(ISBLANK(Character!K248)," ",Character!K248)</f>
        <v xml:space="preserve"> </v>
      </c>
      <c r="L1810" t="str">
        <f>IF(ISBLANK(Character!L248)," ",Character!L248)</f>
        <v xml:space="preserve"> </v>
      </c>
      <c r="M1810" t="str">
        <f>IF(ISBLANK(Character!M248)," ",Character!M248)</f>
        <v xml:space="preserve"> </v>
      </c>
      <c r="N1810" t="str">
        <f>IF(ISBLANK(Character!N248)," ",Character!N248)</f>
        <v xml:space="preserve"> </v>
      </c>
      <c r="O1810" t="str">
        <f>IF(ISBLANK(Character!O248)," ",Character!O248)</f>
        <v xml:space="preserve"> </v>
      </c>
      <c r="P1810" t="str">
        <f>IF(ISBLANK(Character!P248)," ",Character!P248)</f>
        <v xml:space="preserve"> </v>
      </c>
    </row>
    <row r="1811" spans="1:16" x14ac:dyDescent="0.2">
      <c r="A1811" s="460" t="str">
        <f>CONCATENATE(Posessions!A187,"|",Posessions!B187,"|",Posessions!C187,"|",Posessions!D187)</f>
        <v>|||</v>
      </c>
      <c r="B1811" t="str">
        <f>IF(ISBLANK(Character!B249)," ",Character!B249)</f>
        <v xml:space="preserve"> </v>
      </c>
      <c r="C1811" t="str">
        <f>IF(ISBLANK(Character!C249)," ",Character!C249)</f>
        <v xml:space="preserve"> </v>
      </c>
      <c r="D1811" t="str">
        <f>IF(ISBLANK(Character!D249)," ",Character!D249)</f>
        <v xml:space="preserve"> </v>
      </c>
      <c r="E1811" t="str">
        <f>IF(ISBLANK(Character!E249)," ",Character!E249)</f>
        <v xml:space="preserve"> </v>
      </c>
      <c r="F1811" t="str">
        <f>IF(ISBLANK(Character!F249)," ",Character!F249)</f>
        <v xml:space="preserve"> </v>
      </c>
      <c r="G1811" t="str">
        <f>IF(ISBLANK(Character!G249)," ",Character!G249)</f>
        <v xml:space="preserve"> </v>
      </c>
      <c r="H1811" t="str">
        <f>IF(ISBLANK(Character!H249)," ",Character!H249)</f>
        <v xml:space="preserve"> </v>
      </c>
      <c r="I1811" t="str">
        <f>IF(ISBLANK(Character!I249)," ",Character!I249)</f>
        <v xml:space="preserve"> </v>
      </c>
      <c r="J1811" t="str">
        <f>IF(ISBLANK(Character!J249)," ",Character!J249)</f>
        <v xml:space="preserve"> </v>
      </c>
      <c r="K1811" t="str">
        <f>IF(ISBLANK(Character!K249)," ",Character!K249)</f>
        <v xml:space="preserve"> </v>
      </c>
      <c r="L1811" t="str">
        <f>IF(ISBLANK(Character!L249)," ",Character!L249)</f>
        <v xml:space="preserve"> </v>
      </c>
      <c r="M1811" t="str">
        <f>IF(ISBLANK(Character!M249)," ",Character!M249)</f>
        <v xml:space="preserve"> </v>
      </c>
      <c r="N1811" t="str">
        <f>IF(ISBLANK(Character!N249)," ",Character!N249)</f>
        <v xml:space="preserve"> </v>
      </c>
      <c r="O1811" t="str">
        <f>IF(ISBLANK(Character!O249)," ",Character!O249)</f>
        <v xml:space="preserve"> </v>
      </c>
      <c r="P1811" t="str">
        <f>IF(ISBLANK(Character!P249)," ",Character!P249)</f>
        <v xml:space="preserve"> </v>
      </c>
    </row>
    <row r="1812" spans="1:16" x14ac:dyDescent="0.2">
      <c r="A1812" s="460" t="str">
        <f>CONCATENATE(Posessions!A188,"|",Posessions!B188,"|",Posessions!C188,"|",Posessions!D188)</f>
        <v>|||</v>
      </c>
      <c r="B1812" t="str">
        <f>IF(ISBLANK(Character!B250)," ",Character!B250)</f>
        <v xml:space="preserve"> </v>
      </c>
      <c r="C1812" t="str">
        <f>IF(ISBLANK(Character!C250)," ",Character!C250)</f>
        <v xml:space="preserve"> </v>
      </c>
      <c r="D1812" t="str">
        <f>IF(ISBLANK(Character!D250)," ",Character!D250)</f>
        <v xml:space="preserve"> </v>
      </c>
      <c r="E1812" t="str">
        <f>IF(ISBLANK(Character!E250)," ",Character!E250)</f>
        <v xml:space="preserve"> </v>
      </c>
      <c r="F1812" t="str">
        <f>IF(ISBLANK(Character!F250)," ",Character!F250)</f>
        <v xml:space="preserve"> </v>
      </c>
      <c r="G1812" t="str">
        <f>IF(ISBLANK(Character!G250)," ",Character!G250)</f>
        <v xml:space="preserve"> </v>
      </c>
      <c r="H1812" t="str">
        <f>IF(ISBLANK(Character!H250)," ",Character!H250)</f>
        <v xml:space="preserve"> </v>
      </c>
      <c r="I1812" t="str">
        <f>IF(ISBLANK(Character!I250)," ",Character!I250)</f>
        <v xml:space="preserve"> </v>
      </c>
      <c r="J1812" t="str">
        <f>IF(ISBLANK(Character!J250)," ",Character!J250)</f>
        <v xml:space="preserve"> </v>
      </c>
      <c r="K1812" t="str">
        <f>IF(ISBLANK(Character!K250)," ",Character!K250)</f>
        <v xml:space="preserve"> </v>
      </c>
      <c r="L1812" t="str">
        <f>IF(ISBLANK(Character!L250)," ",Character!L250)</f>
        <v xml:space="preserve"> </v>
      </c>
      <c r="M1812" t="str">
        <f>IF(ISBLANK(Character!M250)," ",Character!M250)</f>
        <v xml:space="preserve"> </v>
      </c>
      <c r="N1812" t="str">
        <f>IF(ISBLANK(Character!N250)," ",Character!N250)</f>
        <v xml:space="preserve"> </v>
      </c>
      <c r="O1812" t="str">
        <f>IF(ISBLANK(Character!O250)," ",Character!O250)</f>
        <v xml:space="preserve"> </v>
      </c>
      <c r="P1812" t="str">
        <f>IF(ISBLANK(Character!P250)," ",Character!P250)</f>
        <v xml:space="preserve"> </v>
      </c>
    </row>
    <row r="1813" spans="1:16" x14ac:dyDescent="0.2">
      <c r="A1813" s="460" t="str">
        <f>CONCATENATE(Posessions!A189,"|",Posessions!B189,"|",Posessions!C189,"|",Posessions!D189)</f>
        <v>|||</v>
      </c>
      <c r="B1813" t="str">
        <f>IF(ISBLANK(Character!B251)," ",Character!B251)</f>
        <v xml:space="preserve"> </v>
      </c>
      <c r="C1813" t="str">
        <f>IF(ISBLANK(Character!C251)," ",Character!C251)</f>
        <v xml:space="preserve"> </v>
      </c>
      <c r="D1813" t="str">
        <f>IF(ISBLANK(Character!D251)," ",Character!D251)</f>
        <v xml:space="preserve"> </v>
      </c>
      <c r="E1813" t="str">
        <f>IF(ISBLANK(Character!E251)," ",Character!E251)</f>
        <v xml:space="preserve"> </v>
      </c>
      <c r="F1813" t="str">
        <f>IF(ISBLANK(Character!F251)," ",Character!F251)</f>
        <v xml:space="preserve"> </v>
      </c>
      <c r="G1813" t="str">
        <f>IF(ISBLANK(Character!G251)," ",Character!G251)</f>
        <v xml:space="preserve"> </v>
      </c>
      <c r="H1813" t="str">
        <f>IF(ISBLANK(Character!H251)," ",Character!H251)</f>
        <v xml:space="preserve"> </v>
      </c>
      <c r="I1813" t="str">
        <f>IF(ISBLANK(Character!I251)," ",Character!I251)</f>
        <v xml:space="preserve"> </v>
      </c>
      <c r="J1813" t="str">
        <f>IF(ISBLANK(Character!J251)," ",Character!J251)</f>
        <v xml:space="preserve"> </v>
      </c>
      <c r="K1813" t="str">
        <f>IF(ISBLANK(Character!K251)," ",Character!K251)</f>
        <v xml:space="preserve"> </v>
      </c>
      <c r="L1813" t="str">
        <f>IF(ISBLANK(Character!L251)," ",Character!L251)</f>
        <v xml:space="preserve"> </v>
      </c>
      <c r="M1813" t="str">
        <f>IF(ISBLANK(Character!M251)," ",Character!M251)</f>
        <v xml:space="preserve"> </v>
      </c>
      <c r="N1813" t="str">
        <f>IF(ISBLANK(Character!N251)," ",Character!N251)</f>
        <v xml:space="preserve"> </v>
      </c>
      <c r="O1813" t="str">
        <f>IF(ISBLANK(Character!O251)," ",Character!O251)</f>
        <v xml:space="preserve"> </v>
      </c>
      <c r="P1813" t="str">
        <f>IF(ISBLANK(Character!P251)," ",Character!P251)</f>
        <v xml:space="preserve"> </v>
      </c>
    </row>
    <row r="1814" spans="1:16" x14ac:dyDescent="0.2">
      <c r="A1814" s="460" t="str">
        <f>CONCATENATE(Posessions!A190,"|",Posessions!B190,"|",Posessions!C190,"|",Posessions!D190)</f>
        <v>|||</v>
      </c>
      <c r="B1814" t="str">
        <f>IF(ISBLANK(Character!B252)," ",Character!B252)</f>
        <v xml:space="preserve"> </v>
      </c>
      <c r="C1814" t="str">
        <f>IF(ISBLANK(Character!C252)," ",Character!C252)</f>
        <v xml:space="preserve"> </v>
      </c>
      <c r="D1814" t="str">
        <f>IF(ISBLANK(Character!D252)," ",Character!D252)</f>
        <v xml:space="preserve"> </v>
      </c>
      <c r="E1814" t="str">
        <f>IF(ISBLANK(Character!E252)," ",Character!E252)</f>
        <v xml:space="preserve"> </v>
      </c>
      <c r="F1814" t="str">
        <f>IF(ISBLANK(Character!F252)," ",Character!F252)</f>
        <v xml:space="preserve"> </v>
      </c>
      <c r="G1814" t="str">
        <f>IF(ISBLANK(Character!G252)," ",Character!G252)</f>
        <v xml:space="preserve"> </v>
      </c>
      <c r="H1814" t="str">
        <f>IF(ISBLANK(Character!H252)," ",Character!H252)</f>
        <v xml:space="preserve"> </v>
      </c>
      <c r="I1814" t="str">
        <f>IF(ISBLANK(Character!I252)," ",Character!I252)</f>
        <v xml:space="preserve"> </v>
      </c>
      <c r="J1814" t="str">
        <f>IF(ISBLANK(Character!J252)," ",Character!J252)</f>
        <v xml:space="preserve"> </v>
      </c>
      <c r="K1814" t="str">
        <f>IF(ISBLANK(Character!K252)," ",Character!K252)</f>
        <v xml:space="preserve"> </v>
      </c>
      <c r="L1814" t="str">
        <f>IF(ISBLANK(Character!L252)," ",Character!L252)</f>
        <v xml:space="preserve"> </v>
      </c>
      <c r="M1814" t="str">
        <f>IF(ISBLANK(Character!M252)," ",Character!M252)</f>
        <v xml:space="preserve"> </v>
      </c>
      <c r="N1814" t="str">
        <f>IF(ISBLANK(Character!N252)," ",Character!N252)</f>
        <v xml:space="preserve"> </v>
      </c>
      <c r="O1814" t="str">
        <f>IF(ISBLANK(Character!O252)," ",Character!O252)</f>
        <v xml:space="preserve"> </v>
      </c>
      <c r="P1814" t="str">
        <f>IF(ISBLANK(Character!P252)," ",Character!P252)</f>
        <v xml:space="preserve"> </v>
      </c>
    </row>
    <row r="1815" spans="1:16" x14ac:dyDescent="0.2">
      <c r="A1815" s="460" t="str">
        <f>CONCATENATE(Posessions!A191,"|",Posessions!B191,"|",Posessions!C191,"|",Posessions!D191)</f>
        <v>|||</v>
      </c>
      <c r="B1815" t="str">
        <f>IF(ISBLANK(Character!B253)," ",Character!B253)</f>
        <v xml:space="preserve"> </v>
      </c>
      <c r="C1815" t="str">
        <f>IF(ISBLANK(Character!C253)," ",Character!C253)</f>
        <v xml:space="preserve"> </v>
      </c>
      <c r="D1815" t="str">
        <f>IF(ISBLANK(Character!D253)," ",Character!D253)</f>
        <v xml:space="preserve"> </v>
      </c>
      <c r="E1815" t="str">
        <f>IF(ISBLANK(Character!E253)," ",Character!E253)</f>
        <v xml:space="preserve"> </v>
      </c>
      <c r="F1815" t="str">
        <f>IF(ISBLANK(Character!F253)," ",Character!F253)</f>
        <v xml:space="preserve"> </v>
      </c>
      <c r="G1815" t="str">
        <f>IF(ISBLANK(Character!G253)," ",Character!G253)</f>
        <v xml:space="preserve"> </v>
      </c>
      <c r="H1815" t="str">
        <f>IF(ISBLANK(Character!H253)," ",Character!H253)</f>
        <v xml:space="preserve"> </v>
      </c>
      <c r="I1815" t="str">
        <f>IF(ISBLANK(Character!I253)," ",Character!I253)</f>
        <v xml:space="preserve"> </v>
      </c>
      <c r="J1815" t="str">
        <f>IF(ISBLANK(Character!J253)," ",Character!J253)</f>
        <v xml:space="preserve"> </v>
      </c>
      <c r="K1815" t="str">
        <f>IF(ISBLANK(Character!K253)," ",Character!K253)</f>
        <v xml:space="preserve"> </v>
      </c>
      <c r="L1815" t="str">
        <f>IF(ISBLANK(Character!L253)," ",Character!L253)</f>
        <v xml:space="preserve"> </v>
      </c>
      <c r="M1815" t="str">
        <f>IF(ISBLANK(Character!M253)," ",Character!M253)</f>
        <v xml:space="preserve"> </v>
      </c>
      <c r="N1815" t="str">
        <f>IF(ISBLANK(Character!N253)," ",Character!N253)</f>
        <v xml:space="preserve"> </v>
      </c>
      <c r="O1815" t="str">
        <f>IF(ISBLANK(Character!O253)," ",Character!O253)</f>
        <v xml:space="preserve"> </v>
      </c>
      <c r="P1815" t="str">
        <f>IF(ISBLANK(Character!P253)," ",Character!P253)</f>
        <v xml:space="preserve"> </v>
      </c>
    </row>
    <row r="1816" spans="1:16" x14ac:dyDescent="0.2">
      <c r="A1816" s="460" t="str">
        <f>CONCATENATE(Posessions!A192,"|",Posessions!B192,"|",Posessions!C192,"|",Posessions!D192)</f>
        <v>|||</v>
      </c>
      <c r="B1816" t="str">
        <f>IF(ISBLANK(Character!B254)," ",Character!B254)</f>
        <v xml:space="preserve"> </v>
      </c>
      <c r="C1816" t="str">
        <f>IF(ISBLANK(Character!C254)," ",Character!C254)</f>
        <v xml:space="preserve"> </v>
      </c>
      <c r="D1816" t="str">
        <f>IF(ISBLANK(Character!D254)," ",Character!D254)</f>
        <v xml:space="preserve"> </v>
      </c>
      <c r="E1816" t="str">
        <f>IF(ISBLANK(Character!E254)," ",Character!E254)</f>
        <v xml:space="preserve"> </v>
      </c>
      <c r="F1816" t="str">
        <f>IF(ISBLANK(Character!F254)," ",Character!F254)</f>
        <v xml:space="preserve"> </v>
      </c>
      <c r="G1816" t="str">
        <f>IF(ISBLANK(Character!G254)," ",Character!G254)</f>
        <v xml:space="preserve"> </v>
      </c>
      <c r="H1816" t="str">
        <f>IF(ISBLANK(Character!H254)," ",Character!H254)</f>
        <v xml:space="preserve"> </v>
      </c>
      <c r="I1816" t="str">
        <f>IF(ISBLANK(Character!I254)," ",Character!I254)</f>
        <v xml:space="preserve"> </v>
      </c>
      <c r="J1816" t="str">
        <f>IF(ISBLANK(Character!J254)," ",Character!J254)</f>
        <v xml:space="preserve"> </v>
      </c>
      <c r="K1816" t="str">
        <f>IF(ISBLANK(Character!K254)," ",Character!K254)</f>
        <v xml:space="preserve"> </v>
      </c>
      <c r="L1816" t="str">
        <f>IF(ISBLANK(Character!L254)," ",Character!L254)</f>
        <v xml:space="preserve"> </v>
      </c>
      <c r="M1816" t="str">
        <f>IF(ISBLANK(Character!M254)," ",Character!M254)</f>
        <v xml:space="preserve"> </v>
      </c>
      <c r="N1816" t="str">
        <f>IF(ISBLANK(Character!N254)," ",Character!N254)</f>
        <v xml:space="preserve"> </v>
      </c>
      <c r="O1816" t="str">
        <f>IF(ISBLANK(Character!O254)," ",Character!O254)</f>
        <v xml:space="preserve"> </v>
      </c>
      <c r="P1816" t="str">
        <f>IF(ISBLANK(Character!P254)," ",Character!P254)</f>
        <v xml:space="preserve"> </v>
      </c>
    </row>
    <row r="1817" spans="1:16" x14ac:dyDescent="0.2">
      <c r="A1817" s="460" t="str">
        <f>CONCATENATE(Posessions!A193,"|",Posessions!B193,"|",Posessions!C193,"|",Posessions!D193)</f>
        <v>|||</v>
      </c>
      <c r="B1817" t="str">
        <f>IF(ISBLANK(Character!B255)," ",Character!B255)</f>
        <v xml:space="preserve"> </v>
      </c>
      <c r="C1817" t="str">
        <f>IF(ISBLANK(Character!C255)," ",Character!C255)</f>
        <v xml:space="preserve"> </v>
      </c>
      <c r="D1817" t="str">
        <f>IF(ISBLANK(Character!D255)," ",Character!D255)</f>
        <v xml:space="preserve"> </v>
      </c>
      <c r="E1817" t="str">
        <f>IF(ISBLANK(Character!E255)," ",Character!E255)</f>
        <v xml:space="preserve"> </v>
      </c>
      <c r="F1817" t="str">
        <f>IF(ISBLANK(Character!F255)," ",Character!F255)</f>
        <v xml:space="preserve"> </v>
      </c>
      <c r="G1817" t="str">
        <f>IF(ISBLANK(Character!G255)," ",Character!G255)</f>
        <v xml:space="preserve"> </v>
      </c>
      <c r="H1817" t="str">
        <f>IF(ISBLANK(Character!H255)," ",Character!H255)</f>
        <v xml:space="preserve"> </v>
      </c>
      <c r="I1817" t="str">
        <f>IF(ISBLANK(Character!I255)," ",Character!I255)</f>
        <v xml:space="preserve"> </v>
      </c>
      <c r="J1817" t="str">
        <f>IF(ISBLANK(Character!J255)," ",Character!J255)</f>
        <v xml:space="preserve"> </v>
      </c>
      <c r="K1817" t="str">
        <f>IF(ISBLANK(Character!K255)," ",Character!K255)</f>
        <v xml:space="preserve"> </v>
      </c>
      <c r="L1817" t="str">
        <f>IF(ISBLANK(Character!L255)," ",Character!L255)</f>
        <v xml:space="preserve"> </v>
      </c>
      <c r="M1817" t="str">
        <f>IF(ISBLANK(Character!M255)," ",Character!M255)</f>
        <v xml:space="preserve"> </v>
      </c>
      <c r="N1817" t="str">
        <f>IF(ISBLANK(Character!N255)," ",Character!N255)</f>
        <v xml:space="preserve"> </v>
      </c>
      <c r="O1817" t="str">
        <f>IF(ISBLANK(Character!O255)," ",Character!O255)</f>
        <v xml:space="preserve"> </v>
      </c>
      <c r="P1817" t="str">
        <f>IF(ISBLANK(Character!P255)," ",Character!P255)</f>
        <v xml:space="preserve"> </v>
      </c>
    </row>
    <row r="1818" spans="1:16" x14ac:dyDescent="0.2">
      <c r="A1818" s="460" t="str">
        <f>CONCATENATE(Posessions!A194,"|",Posessions!B194,"|",Posessions!C194,"|",Posessions!D194)</f>
        <v>|||</v>
      </c>
      <c r="B1818" t="str">
        <f>IF(ISBLANK(Character!B256)," ",Character!B256)</f>
        <v xml:space="preserve"> </v>
      </c>
      <c r="C1818" t="str">
        <f>IF(ISBLANK(Character!C256)," ",Character!C256)</f>
        <v xml:space="preserve"> </v>
      </c>
      <c r="D1818" t="str">
        <f>IF(ISBLANK(Character!D256)," ",Character!D256)</f>
        <v xml:space="preserve"> </v>
      </c>
      <c r="E1818" t="str">
        <f>IF(ISBLANK(Character!E256)," ",Character!E256)</f>
        <v xml:space="preserve"> </v>
      </c>
      <c r="F1818" t="str">
        <f>IF(ISBLANK(Character!F256)," ",Character!F256)</f>
        <v xml:space="preserve"> </v>
      </c>
      <c r="G1818" t="str">
        <f>IF(ISBLANK(Character!G256)," ",Character!G256)</f>
        <v xml:space="preserve"> </v>
      </c>
      <c r="H1818" t="str">
        <f>IF(ISBLANK(Character!H256)," ",Character!H256)</f>
        <v xml:space="preserve"> </v>
      </c>
      <c r="I1818" t="str">
        <f>IF(ISBLANK(Character!I256)," ",Character!I256)</f>
        <v xml:space="preserve"> </v>
      </c>
      <c r="J1818" t="str">
        <f>IF(ISBLANK(Character!J256)," ",Character!J256)</f>
        <v xml:space="preserve"> </v>
      </c>
      <c r="K1818" t="str">
        <f>IF(ISBLANK(Character!K256)," ",Character!K256)</f>
        <v xml:space="preserve"> </v>
      </c>
      <c r="L1818" t="str">
        <f>IF(ISBLANK(Character!L256)," ",Character!L256)</f>
        <v xml:space="preserve"> </v>
      </c>
      <c r="M1818" t="str">
        <f>IF(ISBLANK(Character!M256)," ",Character!M256)</f>
        <v xml:space="preserve"> </v>
      </c>
      <c r="N1818" t="str">
        <f>IF(ISBLANK(Character!N256)," ",Character!N256)</f>
        <v xml:space="preserve"> </v>
      </c>
      <c r="O1818" t="str">
        <f>IF(ISBLANK(Character!O256)," ",Character!O256)</f>
        <v xml:space="preserve"> </v>
      </c>
      <c r="P1818" t="str">
        <f>IF(ISBLANK(Character!P256)," ",Character!P256)</f>
        <v xml:space="preserve"> </v>
      </c>
    </row>
    <row r="1819" spans="1:16" x14ac:dyDescent="0.2">
      <c r="A1819" s="460" t="str">
        <f>CONCATENATE(Posessions!A195,"|",Posessions!B195,"|",Posessions!C195,"|",Posessions!D195)</f>
        <v>|||</v>
      </c>
      <c r="B1819" t="str">
        <f>IF(ISBLANK(Character!B257)," ",Character!B257)</f>
        <v xml:space="preserve"> </v>
      </c>
      <c r="C1819" t="str">
        <f>IF(ISBLANK(Character!C257)," ",Character!C257)</f>
        <v xml:space="preserve"> </v>
      </c>
      <c r="D1819" t="str">
        <f>IF(ISBLANK(Character!D257)," ",Character!D257)</f>
        <v xml:space="preserve"> </v>
      </c>
      <c r="E1819" t="str">
        <f>IF(ISBLANK(Character!E257)," ",Character!E257)</f>
        <v xml:space="preserve"> </v>
      </c>
      <c r="F1819" t="str">
        <f>IF(ISBLANK(Character!F257)," ",Character!F257)</f>
        <v xml:space="preserve"> </v>
      </c>
      <c r="G1819" t="str">
        <f>IF(ISBLANK(Character!G257)," ",Character!G257)</f>
        <v xml:space="preserve"> </v>
      </c>
      <c r="H1819" t="str">
        <f>IF(ISBLANK(Character!H257)," ",Character!H257)</f>
        <v xml:space="preserve"> </v>
      </c>
      <c r="I1819" t="str">
        <f>IF(ISBLANK(Character!I257)," ",Character!I257)</f>
        <v xml:space="preserve"> </v>
      </c>
      <c r="J1819" t="str">
        <f>IF(ISBLANK(Character!J257)," ",Character!J257)</f>
        <v xml:space="preserve"> </v>
      </c>
      <c r="K1819" t="str">
        <f>IF(ISBLANK(Character!K257)," ",Character!K257)</f>
        <v xml:space="preserve"> </v>
      </c>
      <c r="L1819" t="str">
        <f>IF(ISBLANK(Character!L257)," ",Character!L257)</f>
        <v xml:space="preserve"> </v>
      </c>
      <c r="M1819" t="str">
        <f>IF(ISBLANK(Character!M257)," ",Character!M257)</f>
        <v xml:space="preserve"> </v>
      </c>
      <c r="N1819" t="str">
        <f>IF(ISBLANK(Character!N257)," ",Character!N257)</f>
        <v xml:space="preserve"> </v>
      </c>
      <c r="O1819" t="str">
        <f>IF(ISBLANK(Character!O257)," ",Character!O257)</f>
        <v xml:space="preserve"> </v>
      </c>
      <c r="P1819" t="str">
        <f>IF(ISBLANK(Character!P257)," ",Character!P257)</f>
        <v xml:space="preserve"> </v>
      </c>
    </row>
    <row r="1820" spans="1:16" x14ac:dyDescent="0.2">
      <c r="A1820" s="460" t="str">
        <f>CONCATENATE(Posessions!A196,"|",Posessions!B196,"|",Posessions!C196,"|",Posessions!D196)</f>
        <v>|||</v>
      </c>
      <c r="B1820" t="str">
        <f>IF(ISBLANK(Character!B258)," ",Character!B258)</f>
        <v xml:space="preserve"> </v>
      </c>
      <c r="C1820" t="str">
        <f>IF(ISBLANK(Character!C258)," ",Character!C258)</f>
        <v xml:space="preserve"> </v>
      </c>
      <c r="D1820" t="str">
        <f>IF(ISBLANK(Character!D258)," ",Character!D258)</f>
        <v xml:space="preserve"> </v>
      </c>
      <c r="E1820" t="str">
        <f>IF(ISBLANK(Character!E258)," ",Character!E258)</f>
        <v xml:space="preserve"> </v>
      </c>
      <c r="F1820" t="str">
        <f>IF(ISBLANK(Character!F258)," ",Character!F258)</f>
        <v xml:space="preserve"> </v>
      </c>
      <c r="G1820" t="str">
        <f>IF(ISBLANK(Character!G258)," ",Character!G258)</f>
        <v xml:space="preserve"> </v>
      </c>
      <c r="H1820" t="str">
        <f>IF(ISBLANK(Character!H258)," ",Character!H258)</f>
        <v xml:space="preserve"> </v>
      </c>
      <c r="I1820" t="str">
        <f>IF(ISBLANK(Character!I258)," ",Character!I258)</f>
        <v xml:space="preserve"> </v>
      </c>
      <c r="J1820" t="str">
        <f>IF(ISBLANK(Character!J258)," ",Character!J258)</f>
        <v xml:space="preserve"> </v>
      </c>
      <c r="K1820" t="str">
        <f>IF(ISBLANK(Character!K258)," ",Character!K258)</f>
        <v xml:space="preserve"> </v>
      </c>
      <c r="L1820" t="str">
        <f>IF(ISBLANK(Character!L258)," ",Character!L258)</f>
        <v xml:space="preserve"> </v>
      </c>
      <c r="M1820" t="str">
        <f>IF(ISBLANK(Character!M258)," ",Character!M258)</f>
        <v xml:space="preserve"> </v>
      </c>
      <c r="N1820" t="str">
        <f>IF(ISBLANK(Character!N258)," ",Character!N258)</f>
        <v xml:space="preserve"> </v>
      </c>
      <c r="O1820" t="str">
        <f>IF(ISBLANK(Character!O258)," ",Character!O258)</f>
        <v xml:space="preserve"> </v>
      </c>
      <c r="P1820" t="str">
        <f>IF(ISBLANK(Character!P258)," ",Character!P258)</f>
        <v xml:space="preserve"> </v>
      </c>
    </row>
    <row r="1821" spans="1:16" x14ac:dyDescent="0.2">
      <c r="A1821" s="460" t="str">
        <f>CONCATENATE(Posessions!A197,"|",Posessions!B197,"|",Posessions!C197,"|",Posessions!D197)</f>
        <v>|||</v>
      </c>
      <c r="B1821" t="str">
        <f>IF(ISBLANK(Character!B259)," ",Character!B259)</f>
        <v xml:space="preserve"> </v>
      </c>
      <c r="C1821" t="str">
        <f>IF(ISBLANK(Character!C259)," ",Character!C259)</f>
        <v xml:space="preserve"> </v>
      </c>
      <c r="D1821" t="str">
        <f>IF(ISBLANK(Character!D259)," ",Character!D259)</f>
        <v xml:space="preserve"> </v>
      </c>
      <c r="E1821" t="str">
        <f>IF(ISBLANK(Character!E259)," ",Character!E259)</f>
        <v xml:space="preserve"> </v>
      </c>
      <c r="F1821" t="str">
        <f>IF(ISBLANK(Character!F259)," ",Character!F259)</f>
        <v xml:space="preserve"> </v>
      </c>
      <c r="G1821" t="str">
        <f>IF(ISBLANK(Character!G259)," ",Character!G259)</f>
        <v xml:space="preserve"> </v>
      </c>
      <c r="H1821" t="str">
        <f>IF(ISBLANK(Character!H259)," ",Character!H259)</f>
        <v xml:space="preserve"> </v>
      </c>
      <c r="I1821" t="str">
        <f>IF(ISBLANK(Character!I259)," ",Character!I259)</f>
        <v xml:space="preserve"> </v>
      </c>
      <c r="J1821" t="str">
        <f>IF(ISBLANK(Character!J259)," ",Character!J259)</f>
        <v xml:space="preserve"> </v>
      </c>
      <c r="K1821" t="str">
        <f>IF(ISBLANK(Character!K259)," ",Character!K259)</f>
        <v xml:space="preserve"> </v>
      </c>
      <c r="L1821" t="str">
        <f>IF(ISBLANK(Character!L259)," ",Character!L259)</f>
        <v xml:space="preserve"> </v>
      </c>
      <c r="M1821" t="str">
        <f>IF(ISBLANK(Character!M259)," ",Character!M259)</f>
        <v xml:space="preserve"> </v>
      </c>
      <c r="N1821" t="str">
        <f>IF(ISBLANK(Character!N259)," ",Character!N259)</f>
        <v xml:space="preserve"> </v>
      </c>
      <c r="O1821" t="str">
        <f>IF(ISBLANK(Character!O259)," ",Character!O259)</f>
        <v xml:space="preserve"> </v>
      </c>
      <c r="P1821" t="str">
        <f>IF(ISBLANK(Character!P259)," ",Character!P259)</f>
        <v xml:space="preserve"> </v>
      </c>
    </row>
    <row r="1822" spans="1:16" x14ac:dyDescent="0.2">
      <c r="A1822" s="460" t="str">
        <f>CONCATENATE(Posessions!A198,"|",Posessions!B198,"|",Posessions!C198,"|",Posessions!D198)</f>
        <v>|||</v>
      </c>
      <c r="B1822" t="str">
        <f>IF(ISBLANK(Character!B260)," ",Character!B260)</f>
        <v xml:space="preserve"> </v>
      </c>
      <c r="C1822" t="str">
        <f>IF(ISBLANK(Character!C260)," ",Character!C260)</f>
        <v xml:space="preserve"> </v>
      </c>
      <c r="D1822" t="str">
        <f>IF(ISBLANK(Character!D260)," ",Character!D260)</f>
        <v xml:space="preserve"> </v>
      </c>
      <c r="E1822" t="str">
        <f>IF(ISBLANK(Character!E260)," ",Character!E260)</f>
        <v xml:space="preserve"> </v>
      </c>
      <c r="F1822" t="str">
        <f>IF(ISBLANK(Character!F260)," ",Character!F260)</f>
        <v xml:space="preserve"> </v>
      </c>
      <c r="G1822" t="str">
        <f>IF(ISBLANK(Character!G260)," ",Character!G260)</f>
        <v xml:space="preserve"> </v>
      </c>
      <c r="H1822" t="str">
        <f>IF(ISBLANK(Character!H260)," ",Character!H260)</f>
        <v xml:space="preserve"> </v>
      </c>
      <c r="I1822" t="str">
        <f>IF(ISBLANK(Character!I260)," ",Character!I260)</f>
        <v xml:space="preserve"> </v>
      </c>
      <c r="J1822" t="str">
        <f>IF(ISBLANK(Character!J260)," ",Character!J260)</f>
        <v xml:space="preserve"> </v>
      </c>
      <c r="K1822" t="str">
        <f>IF(ISBLANK(Character!K260)," ",Character!K260)</f>
        <v xml:space="preserve"> </v>
      </c>
      <c r="L1822" t="str">
        <f>IF(ISBLANK(Character!L260)," ",Character!L260)</f>
        <v xml:space="preserve"> </v>
      </c>
      <c r="M1822" t="str">
        <f>IF(ISBLANK(Character!M260)," ",Character!M260)</f>
        <v xml:space="preserve"> </v>
      </c>
      <c r="N1822" t="str">
        <f>IF(ISBLANK(Character!N260)," ",Character!N260)</f>
        <v xml:space="preserve"> </v>
      </c>
      <c r="O1822" t="str">
        <f>IF(ISBLANK(Character!O260)," ",Character!O260)</f>
        <v xml:space="preserve"> </v>
      </c>
      <c r="P1822" t="str">
        <f>IF(ISBLANK(Character!P260)," ",Character!P260)</f>
        <v xml:space="preserve"> </v>
      </c>
    </row>
    <row r="1823" spans="1:16" x14ac:dyDescent="0.2">
      <c r="A1823" s="460" t="str">
        <f>CONCATENATE(Posessions!A199,"|",Posessions!B199,"|",Posessions!C199,"|",Posessions!D199)</f>
        <v>|||</v>
      </c>
      <c r="B1823" t="str">
        <f>IF(ISBLANK(Character!B261)," ",Character!B261)</f>
        <v xml:space="preserve"> </v>
      </c>
      <c r="C1823" t="str">
        <f>IF(ISBLANK(Character!C261)," ",Character!C261)</f>
        <v xml:space="preserve"> </v>
      </c>
      <c r="D1823" t="str">
        <f>IF(ISBLANK(Character!D261)," ",Character!D261)</f>
        <v xml:space="preserve"> </v>
      </c>
      <c r="E1823" t="str">
        <f>IF(ISBLANK(Character!E261)," ",Character!E261)</f>
        <v xml:space="preserve"> </v>
      </c>
      <c r="F1823" t="str">
        <f>IF(ISBLANK(Character!F261)," ",Character!F261)</f>
        <v xml:space="preserve"> </v>
      </c>
      <c r="G1823" t="str">
        <f>IF(ISBLANK(Character!G261)," ",Character!G261)</f>
        <v xml:space="preserve"> </v>
      </c>
      <c r="H1823" t="str">
        <f>IF(ISBLANK(Character!H261)," ",Character!H261)</f>
        <v xml:space="preserve"> </v>
      </c>
      <c r="I1823" t="str">
        <f>IF(ISBLANK(Character!I261)," ",Character!I261)</f>
        <v xml:space="preserve"> </v>
      </c>
      <c r="J1823" t="str">
        <f>IF(ISBLANK(Character!J261)," ",Character!J261)</f>
        <v xml:space="preserve"> </v>
      </c>
      <c r="K1823" t="str">
        <f>IF(ISBLANK(Character!K261)," ",Character!K261)</f>
        <v xml:space="preserve"> </v>
      </c>
      <c r="L1823" t="str">
        <f>IF(ISBLANK(Character!L261)," ",Character!L261)</f>
        <v xml:space="preserve"> </v>
      </c>
      <c r="M1823" t="str">
        <f>IF(ISBLANK(Character!M261)," ",Character!M261)</f>
        <v xml:space="preserve"> </v>
      </c>
      <c r="N1823" t="str">
        <f>IF(ISBLANK(Character!N261)," ",Character!N261)</f>
        <v xml:space="preserve"> </v>
      </c>
      <c r="O1823" t="str">
        <f>IF(ISBLANK(Character!O261)," ",Character!O261)</f>
        <v xml:space="preserve"> </v>
      </c>
      <c r="P1823" t="str">
        <f>IF(ISBLANK(Character!P261)," ",Character!P261)</f>
        <v xml:space="preserve"> </v>
      </c>
    </row>
    <row r="1824" spans="1:16" x14ac:dyDescent="0.2">
      <c r="A1824" s="460" t="str">
        <f>CONCATENATE(Posessions!A200,"|",Posessions!B200,"|",Posessions!C200,"|",Posessions!D200)</f>
        <v>|||</v>
      </c>
      <c r="B1824" t="str">
        <f>IF(ISBLANK(Character!B262)," ",Character!B262)</f>
        <v xml:space="preserve"> </v>
      </c>
      <c r="C1824" t="str">
        <f>IF(ISBLANK(Character!C262)," ",Character!C262)</f>
        <v xml:space="preserve"> </v>
      </c>
      <c r="D1824" t="str">
        <f>IF(ISBLANK(Character!D262)," ",Character!D262)</f>
        <v xml:space="preserve"> </v>
      </c>
      <c r="E1824" t="str">
        <f>IF(ISBLANK(Character!E262)," ",Character!E262)</f>
        <v xml:space="preserve"> </v>
      </c>
      <c r="F1824" t="str">
        <f>IF(ISBLANK(Character!F262)," ",Character!F262)</f>
        <v xml:space="preserve"> </v>
      </c>
      <c r="G1824" t="str">
        <f>IF(ISBLANK(Character!G262)," ",Character!G262)</f>
        <v xml:space="preserve"> </v>
      </c>
      <c r="H1824" t="str">
        <f>IF(ISBLANK(Character!H262)," ",Character!H262)</f>
        <v xml:space="preserve"> </v>
      </c>
      <c r="I1824" t="str">
        <f>IF(ISBLANK(Character!I262)," ",Character!I262)</f>
        <v xml:space="preserve"> </v>
      </c>
      <c r="J1824" t="str">
        <f>IF(ISBLANK(Character!J262)," ",Character!J262)</f>
        <v xml:space="preserve"> </v>
      </c>
      <c r="K1824" t="str">
        <f>IF(ISBLANK(Character!K262)," ",Character!K262)</f>
        <v xml:space="preserve"> </v>
      </c>
      <c r="L1824" t="str">
        <f>IF(ISBLANK(Character!L262)," ",Character!L262)</f>
        <v xml:space="preserve"> </v>
      </c>
      <c r="M1824" t="str">
        <f>IF(ISBLANK(Character!M262)," ",Character!M262)</f>
        <v xml:space="preserve"> </v>
      </c>
      <c r="N1824" t="str">
        <f>IF(ISBLANK(Character!N262)," ",Character!N262)</f>
        <v xml:space="preserve"> </v>
      </c>
      <c r="O1824" t="str">
        <f>IF(ISBLANK(Character!O262)," ",Character!O262)</f>
        <v xml:space="preserve"> </v>
      </c>
      <c r="P1824" t="str">
        <f>IF(ISBLANK(Character!P262)," ",Character!P262)</f>
        <v xml:space="preserve"> </v>
      </c>
    </row>
    <row r="1825" spans="1:16" x14ac:dyDescent="0.2">
      <c r="A1825" s="460" t="str">
        <f>CONCATENATE(Posessions!A201,"|",Posessions!B201,"|",Posessions!C201,"|",Posessions!D201)</f>
        <v>|||</v>
      </c>
      <c r="B1825" t="str">
        <f>IF(ISBLANK(Character!B263)," ",Character!B263)</f>
        <v xml:space="preserve"> </v>
      </c>
      <c r="C1825" t="str">
        <f>IF(ISBLANK(Character!C263)," ",Character!C263)</f>
        <v xml:space="preserve"> </v>
      </c>
      <c r="D1825" t="str">
        <f>IF(ISBLANK(Character!D263)," ",Character!D263)</f>
        <v xml:space="preserve"> </v>
      </c>
      <c r="E1825" t="str">
        <f>IF(ISBLANK(Character!E263)," ",Character!E263)</f>
        <v xml:space="preserve"> </v>
      </c>
      <c r="F1825" t="str">
        <f>IF(ISBLANK(Character!F263)," ",Character!F263)</f>
        <v xml:space="preserve"> </v>
      </c>
      <c r="G1825" t="str">
        <f>IF(ISBLANK(Character!G263)," ",Character!G263)</f>
        <v xml:space="preserve"> </v>
      </c>
      <c r="H1825" t="str">
        <f>IF(ISBLANK(Character!H263)," ",Character!H263)</f>
        <v xml:space="preserve"> </v>
      </c>
      <c r="I1825" t="str">
        <f>IF(ISBLANK(Character!I263)," ",Character!I263)</f>
        <v xml:space="preserve"> </v>
      </c>
      <c r="J1825" t="str">
        <f>IF(ISBLANK(Character!J263)," ",Character!J263)</f>
        <v xml:space="preserve"> </v>
      </c>
      <c r="K1825" t="str">
        <f>IF(ISBLANK(Character!K263)," ",Character!K263)</f>
        <v xml:space="preserve"> </v>
      </c>
      <c r="L1825" t="str">
        <f>IF(ISBLANK(Character!L263)," ",Character!L263)</f>
        <v xml:space="preserve"> </v>
      </c>
      <c r="M1825" t="str">
        <f>IF(ISBLANK(Character!M263)," ",Character!M263)</f>
        <v xml:space="preserve"> </v>
      </c>
      <c r="N1825" t="str">
        <f>IF(ISBLANK(Character!N263)," ",Character!N263)</f>
        <v xml:space="preserve"> </v>
      </c>
      <c r="O1825" t="str">
        <f>IF(ISBLANK(Character!O263)," ",Character!O263)</f>
        <v xml:space="preserve"> </v>
      </c>
      <c r="P1825" t="str">
        <f>IF(ISBLANK(Character!P263)," ",Character!P263)</f>
        <v xml:space="preserve"> </v>
      </c>
    </row>
    <row r="1826" spans="1:16" x14ac:dyDescent="0.2">
      <c r="A1826" s="460" t="str">
        <f>CONCATENATE(Posessions!A202,"|",Posessions!B202,"|",Posessions!C202,"|",Posessions!D202)</f>
        <v>|||</v>
      </c>
      <c r="B1826" t="str">
        <f>IF(ISBLANK(Character!B264)," ",Character!B264)</f>
        <v xml:space="preserve"> </v>
      </c>
      <c r="C1826" t="str">
        <f>IF(ISBLANK(Character!C264)," ",Character!C264)</f>
        <v xml:space="preserve"> </v>
      </c>
      <c r="D1826" t="str">
        <f>IF(ISBLANK(Character!D264)," ",Character!D264)</f>
        <v xml:space="preserve"> </v>
      </c>
      <c r="E1826" t="str">
        <f>IF(ISBLANK(Character!E264)," ",Character!E264)</f>
        <v xml:space="preserve"> </v>
      </c>
      <c r="F1826" t="str">
        <f>IF(ISBLANK(Character!F264)," ",Character!F264)</f>
        <v xml:space="preserve"> </v>
      </c>
      <c r="G1826" t="str">
        <f>IF(ISBLANK(Character!G264)," ",Character!G264)</f>
        <v xml:space="preserve"> </v>
      </c>
      <c r="H1826" t="str">
        <f>IF(ISBLANK(Character!H264)," ",Character!H264)</f>
        <v xml:space="preserve"> </v>
      </c>
      <c r="I1826" t="str">
        <f>IF(ISBLANK(Character!I264)," ",Character!I264)</f>
        <v xml:space="preserve"> </v>
      </c>
      <c r="J1826" t="str">
        <f>IF(ISBLANK(Character!J264)," ",Character!J264)</f>
        <v xml:space="preserve"> </v>
      </c>
      <c r="K1826" t="str">
        <f>IF(ISBLANK(Character!K264)," ",Character!K264)</f>
        <v xml:space="preserve"> </v>
      </c>
      <c r="L1826" t="str">
        <f>IF(ISBLANK(Character!L264)," ",Character!L264)</f>
        <v xml:space="preserve"> </v>
      </c>
      <c r="M1826" t="str">
        <f>IF(ISBLANK(Character!M264)," ",Character!M264)</f>
        <v xml:space="preserve"> </v>
      </c>
      <c r="N1826" t="str">
        <f>IF(ISBLANK(Character!N264)," ",Character!N264)</f>
        <v xml:space="preserve"> </v>
      </c>
      <c r="O1826" t="str">
        <f>IF(ISBLANK(Character!O264)," ",Character!O264)</f>
        <v xml:space="preserve"> </v>
      </c>
      <c r="P1826" t="str">
        <f>IF(ISBLANK(Character!P264)," ",Character!P264)</f>
        <v xml:space="preserve"> </v>
      </c>
    </row>
    <row r="1827" spans="1:16" x14ac:dyDescent="0.2">
      <c r="A1827" s="460" t="str">
        <f>CONCATENATE(Posessions!A203,"|",Posessions!B203,"|",Posessions!C203,"|",Posessions!D203)</f>
        <v>|||</v>
      </c>
      <c r="B1827" t="str">
        <f>IF(ISBLANK(Character!B265)," ",Character!B265)</f>
        <v xml:space="preserve"> </v>
      </c>
      <c r="C1827" t="str">
        <f>IF(ISBLANK(Character!C265)," ",Character!C265)</f>
        <v xml:space="preserve"> </v>
      </c>
      <c r="D1827" t="str">
        <f>IF(ISBLANK(Character!D265)," ",Character!D265)</f>
        <v xml:space="preserve"> </v>
      </c>
      <c r="E1827" t="str">
        <f>IF(ISBLANK(Character!E265)," ",Character!E265)</f>
        <v xml:space="preserve"> </v>
      </c>
      <c r="F1827" t="str">
        <f>IF(ISBLANK(Character!F265)," ",Character!F265)</f>
        <v xml:space="preserve"> </v>
      </c>
      <c r="G1827" t="str">
        <f>IF(ISBLANK(Character!G265)," ",Character!G265)</f>
        <v xml:space="preserve"> </v>
      </c>
      <c r="H1827" t="str">
        <f>IF(ISBLANK(Character!H265)," ",Character!H265)</f>
        <v xml:space="preserve"> </v>
      </c>
      <c r="I1827" t="str">
        <f>IF(ISBLANK(Character!I265)," ",Character!I265)</f>
        <v xml:space="preserve"> </v>
      </c>
      <c r="J1827" t="str">
        <f>IF(ISBLANK(Character!J265)," ",Character!J265)</f>
        <v xml:space="preserve"> </v>
      </c>
      <c r="K1827" t="str">
        <f>IF(ISBLANK(Character!K265)," ",Character!K265)</f>
        <v xml:space="preserve"> </v>
      </c>
      <c r="L1827" t="str">
        <f>IF(ISBLANK(Character!L265)," ",Character!L265)</f>
        <v xml:space="preserve"> </v>
      </c>
      <c r="M1827" t="str">
        <f>IF(ISBLANK(Character!M265)," ",Character!M265)</f>
        <v xml:space="preserve"> </v>
      </c>
      <c r="N1827" t="str">
        <f>IF(ISBLANK(Character!N265)," ",Character!N265)</f>
        <v xml:space="preserve"> </v>
      </c>
      <c r="O1827" t="str">
        <f>IF(ISBLANK(Character!O265)," ",Character!O265)</f>
        <v xml:space="preserve"> </v>
      </c>
      <c r="P1827" t="str">
        <f>IF(ISBLANK(Character!P265)," ",Character!P265)</f>
        <v xml:space="preserve"> </v>
      </c>
    </row>
    <row r="1828" spans="1:16" x14ac:dyDescent="0.2">
      <c r="A1828" s="460" t="str">
        <f>CONCATENATE(Posessions!A204,"|",Posessions!B204,"|",Posessions!C204,"|",Posessions!D204)</f>
        <v>|||</v>
      </c>
      <c r="B1828" t="str">
        <f>IF(ISBLANK(Character!B266)," ",Character!B266)</f>
        <v xml:space="preserve"> </v>
      </c>
      <c r="C1828" t="str">
        <f>IF(ISBLANK(Character!C266)," ",Character!C266)</f>
        <v xml:space="preserve"> </v>
      </c>
      <c r="D1828" t="str">
        <f>IF(ISBLANK(Character!D266)," ",Character!D266)</f>
        <v xml:space="preserve"> </v>
      </c>
      <c r="E1828" t="str">
        <f>IF(ISBLANK(Character!E266)," ",Character!E266)</f>
        <v xml:space="preserve"> </v>
      </c>
      <c r="F1828" t="str">
        <f>IF(ISBLANK(Character!F266)," ",Character!F266)</f>
        <v xml:space="preserve"> </v>
      </c>
      <c r="G1828" t="str">
        <f>IF(ISBLANK(Character!G266)," ",Character!G266)</f>
        <v xml:space="preserve"> </v>
      </c>
      <c r="H1828" t="str">
        <f>IF(ISBLANK(Character!H266)," ",Character!H266)</f>
        <v xml:space="preserve"> </v>
      </c>
      <c r="I1828" t="str">
        <f>IF(ISBLANK(Character!I266)," ",Character!I266)</f>
        <v xml:space="preserve"> </v>
      </c>
      <c r="J1828" t="str">
        <f>IF(ISBLANK(Character!J266)," ",Character!J266)</f>
        <v xml:space="preserve"> </v>
      </c>
      <c r="K1828" t="str">
        <f>IF(ISBLANK(Character!K266)," ",Character!K266)</f>
        <v xml:space="preserve"> </v>
      </c>
      <c r="L1828" t="str">
        <f>IF(ISBLANK(Character!L266)," ",Character!L266)</f>
        <v xml:space="preserve"> </v>
      </c>
      <c r="M1828" t="str">
        <f>IF(ISBLANK(Character!M266)," ",Character!M266)</f>
        <v xml:space="preserve"> </v>
      </c>
      <c r="N1828" t="str">
        <f>IF(ISBLANK(Character!N266)," ",Character!N266)</f>
        <v xml:space="preserve"> </v>
      </c>
      <c r="O1828" t="str">
        <f>IF(ISBLANK(Character!O266)," ",Character!O266)</f>
        <v xml:space="preserve"> </v>
      </c>
      <c r="P1828" t="str">
        <f>IF(ISBLANK(Character!P266)," ",Character!P266)</f>
        <v xml:space="preserve"> </v>
      </c>
    </row>
    <row r="1829" spans="1:16" x14ac:dyDescent="0.2">
      <c r="A1829" s="460" t="str">
        <f>CONCATENATE(Posessions!A205,"|",Posessions!B205,"|",Posessions!C205,"|",Posessions!D205)</f>
        <v>|||</v>
      </c>
      <c r="B1829" t="str">
        <f>IF(ISBLANK(Character!B267)," ",Character!B267)</f>
        <v xml:space="preserve"> </v>
      </c>
      <c r="C1829" t="str">
        <f>IF(ISBLANK(Character!C267)," ",Character!C267)</f>
        <v xml:space="preserve"> </v>
      </c>
      <c r="D1829" t="str">
        <f>IF(ISBLANK(Character!D267)," ",Character!D267)</f>
        <v xml:space="preserve"> </v>
      </c>
      <c r="E1829" t="str">
        <f>IF(ISBLANK(Character!E267)," ",Character!E267)</f>
        <v xml:space="preserve"> </v>
      </c>
      <c r="F1829" t="str">
        <f>IF(ISBLANK(Character!F267)," ",Character!F267)</f>
        <v xml:space="preserve"> </v>
      </c>
      <c r="G1829" t="str">
        <f>IF(ISBLANK(Character!G267)," ",Character!G267)</f>
        <v xml:space="preserve"> </v>
      </c>
      <c r="H1829" t="str">
        <f>IF(ISBLANK(Character!H267)," ",Character!H267)</f>
        <v xml:space="preserve"> </v>
      </c>
      <c r="I1829" t="str">
        <f>IF(ISBLANK(Character!I267)," ",Character!I267)</f>
        <v xml:space="preserve"> </v>
      </c>
      <c r="J1829" t="str">
        <f>IF(ISBLANK(Character!J267)," ",Character!J267)</f>
        <v xml:space="preserve"> </v>
      </c>
      <c r="K1829" t="str">
        <f>IF(ISBLANK(Character!K267)," ",Character!K267)</f>
        <v xml:space="preserve"> </v>
      </c>
      <c r="L1829" t="str">
        <f>IF(ISBLANK(Character!L267)," ",Character!L267)</f>
        <v xml:space="preserve"> </v>
      </c>
      <c r="M1829" t="str">
        <f>IF(ISBLANK(Character!M267)," ",Character!M267)</f>
        <v xml:space="preserve"> </v>
      </c>
      <c r="N1829" t="str">
        <f>IF(ISBLANK(Character!N267)," ",Character!N267)</f>
        <v xml:space="preserve"> </v>
      </c>
      <c r="O1829" t="str">
        <f>IF(ISBLANK(Character!O267)," ",Character!O267)</f>
        <v xml:space="preserve"> </v>
      </c>
      <c r="P1829" t="str">
        <f>IF(ISBLANK(Character!P267)," ",Character!P267)</f>
        <v xml:space="preserve"> </v>
      </c>
    </row>
    <row r="1830" spans="1:16" x14ac:dyDescent="0.2">
      <c r="A1830" s="460" t="str">
        <f>CONCATENATE(Posessions!A206,"|",Posessions!B206,"|",Posessions!C206,"|",Posessions!D206)</f>
        <v>|||</v>
      </c>
      <c r="B1830" t="str">
        <f>IF(ISBLANK(Character!B268)," ",Character!B268)</f>
        <v xml:space="preserve"> </v>
      </c>
      <c r="C1830" t="str">
        <f>IF(ISBLANK(Character!C268)," ",Character!C268)</f>
        <v xml:space="preserve"> </v>
      </c>
      <c r="D1830" t="str">
        <f>IF(ISBLANK(Character!D268)," ",Character!D268)</f>
        <v xml:space="preserve"> </v>
      </c>
      <c r="E1830" t="str">
        <f>IF(ISBLANK(Character!E268)," ",Character!E268)</f>
        <v xml:space="preserve"> </v>
      </c>
      <c r="F1830" t="str">
        <f>IF(ISBLANK(Character!F268)," ",Character!F268)</f>
        <v xml:space="preserve"> </v>
      </c>
      <c r="G1830" t="str">
        <f>IF(ISBLANK(Character!G268)," ",Character!G268)</f>
        <v xml:space="preserve"> </v>
      </c>
      <c r="H1830" t="str">
        <f>IF(ISBLANK(Character!H268)," ",Character!H268)</f>
        <v xml:space="preserve"> </v>
      </c>
      <c r="I1830" t="str">
        <f>IF(ISBLANK(Character!I268)," ",Character!I268)</f>
        <v xml:space="preserve"> </v>
      </c>
      <c r="J1830" t="str">
        <f>IF(ISBLANK(Character!J268)," ",Character!J268)</f>
        <v xml:space="preserve"> </v>
      </c>
      <c r="K1830" t="str">
        <f>IF(ISBLANK(Character!K268)," ",Character!K268)</f>
        <v xml:space="preserve"> </v>
      </c>
      <c r="L1830" t="str">
        <f>IF(ISBLANK(Character!L268)," ",Character!L268)</f>
        <v xml:space="preserve"> </v>
      </c>
      <c r="M1830" t="str">
        <f>IF(ISBLANK(Character!M268)," ",Character!M268)</f>
        <v xml:space="preserve"> </v>
      </c>
      <c r="N1830" t="str">
        <f>IF(ISBLANK(Character!N268)," ",Character!N268)</f>
        <v xml:space="preserve"> </v>
      </c>
      <c r="O1830" t="str">
        <f>IF(ISBLANK(Character!O268)," ",Character!O268)</f>
        <v xml:space="preserve"> </v>
      </c>
      <c r="P1830" t="str">
        <f>IF(ISBLANK(Character!P268)," ",Character!P268)</f>
        <v xml:space="preserve"> </v>
      </c>
    </row>
    <row r="1831" spans="1:16" x14ac:dyDescent="0.2">
      <c r="A1831" s="460" t="str">
        <f>CONCATENATE(Posessions!A207,"|",Posessions!B207,"|",Posessions!C207,"|",Posessions!D207)</f>
        <v>|||</v>
      </c>
      <c r="B1831" t="str">
        <f>IF(ISBLANK(Character!B269)," ",Character!B269)</f>
        <v xml:space="preserve"> </v>
      </c>
      <c r="C1831" t="str">
        <f>IF(ISBLANK(Character!C269)," ",Character!C269)</f>
        <v xml:space="preserve"> </v>
      </c>
      <c r="D1831" t="str">
        <f>IF(ISBLANK(Character!D269)," ",Character!D269)</f>
        <v xml:space="preserve"> </v>
      </c>
      <c r="E1831" t="str">
        <f>IF(ISBLANK(Character!E269)," ",Character!E269)</f>
        <v xml:space="preserve"> </v>
      </c>
      <c r="F1831" t="str">
        <f>IF(ISBLANK(Character!F269)," ",Character!F269)</f>
        <v xml:space="preserve"> </v>
      </c>
      <c r="G1831" t="str">
        <f>IF(ISBLANK(Character!G269)," ",Character!G269)</f>
        <v xml:space="preserve"> </v>
      </c>
      <c r="H1831" t="str">
        <f>IF(ISBLANK(Character!H269)," ",Character!H269)</f>
        <v xml:space="preserve"> </v>
      </c>
      <c r="I1831" t="str">
        <f>IF(ISBLANK(Character!I269)," ",Character!I269)</f>
        <v xml:space="preserve"> </v>
      </c>
      <c r="J1831" t="str">
        <f>IF(ISBLANK(Character!J269)," ",Character!J269)</f>
        <v xml:space="preserve"> </v>
      </c>
      <c r="K1831" t="str">
        <f>IF(ISBLANK(Character!K269)," ",Character!K269)</f>
        <v xml:space="preserve"> </v>
      </c>
      <c r="L1831" t="str">
        <f>IF(ISBLANK(Character!L269)," ",Character!L269)</f>
        <v xml:space="preserve"> </v>
      </c>
      <c r="M1831" t="str">
        <f>IF(ISBLANK(Character!M269)," ",Character!M269)</f>
        <v xml:space="preserve"> </v>
      </c>
      <c r="N1831" t="str">
        <f>IF(ISBLANK(Character!N269)," ",Character!N269)</f>
        <v xml:space="preserve"> </v>
      </c>
      <c r="O1831" t="str">
        <f>IF(ISBLANK(Character!O269)," ",Character!O269)</f>
        <v xml:space="preserve"> </v>
      </c>
      <c r="P1831" t="str">
        <f>IF(ISBLANK(Character!P269)," ",Character!P269)</f>
        <v xml:space="preserve"> </v>
      </c>
    </row>
    <row r="1832" spans="1:16" x14ac:dyDescent="0.2">
      <c r="A1832" s="460" t="str">
        <f>CONCATENATE(Posessions!A208,"|",Posessions!B208,"|",Posessions!C208,"|",Posessions!D208)</f>
        <v>|||</v>
      </c>
      <c r="B1832" t="str">
        <f>IF(ISBLANK(Character!B270)," ",Character!B270)</f>
        <v xml:space="preserve"> </v>
      </c>
      <c r="C1832" t="str">
        <f>IF(ISBLANK(Character!C270)," ",Character!C270)</f>
        <v xml:space="preserve"> </v>
      </c>
      <c r="D1832" t="str">
        <f>IF(ISBLANK(Character!D270)," ",Character!D270)</f>
        <v xml:space="preserve"> </v>
      </c>
      <c r="E1832" t="str">
        <f>IF(ISBLANK(Character!E270)," ",Character!E270)</f>
        <v xml:space="preserve"> </v>
      </c>
      <c r="F1832" t="str">
        <f>IF(ISBLANK(Character!F270)," ",Character!F270)</f>
        <v xml:space="preserve"> </v>
      </c>
      <c r="G1832" t="str">
        <f>IF(ISBLANK(Character!G270)," ",Character!G270)</f>
        <v xml:space="preserve"> </v>
      </c>
      <c r="H1832" t="str">
        <f>IF(ISBLANK(Character!H270)," ",Character!H270)</f>
        <v xml:space="preserve"> </v>
      </c>
      <c r="I1832" t="str">
        <f>IF(ISBLANK(Character!I270)," ",Character!I270)</f>
        <v xml:space="preserve"> </v>
      </c>
      <c r="J1832" t="str">
        <f>IF(ISBLANK(Character!J270)," ",Character!J270)</f>
        <v xml:space="preserve"> </v>
      </c>
      <c r="K1832" t="str">
        <f>IF(ISBLANK(Character!K270)," ",Character!K270)</f>
        <v xml:space="preserve"> </v>
      </c>
      <c r="L1832" t="str">
        <f>IF(ISBLANK(Character!L270)," ",Character!L270)</f>
        <v xml:space="preserve"> </v>
      </c>
      <c r="M1832" t="str">
        <f>IF(ISBLANK(Character!M270)," ",Character!M270)</f>
        <v xml:space="preserve"> </v>
      </c>
      <c r="N1832" t="str">
        <f>IF(ISBLANK(Character!N270)," ",Character!N270)</f>
        <v xml:space="preserve"> </v>
      </c>
      <c r="O1832" t="str">
        <f>IF(ISBLANK(Character!O270)," ",Character!O270)</f>
        <v xml:space="preserve"> </v>
      </c>
      <c r="P1832" t="str">
        <f>IF(ISBLANK(Character!P270)," ",Character!P270)</f>
        <v xml:space="preserve"> </v>
      </c>
    </row>
    <row r="1833" spans="1:16" x14ac:dyDescent="0.2">
      <c r="A1833" s="460" t="str">
        <f>CONCATENATE(Posessions!A209,"|",Posessions!B209,"|",Posessions!C209,"|",Posessions!D209)</f>
        <v>|||</v>
      </c>
      <c r="B1833" t="str">
        <f>IF(ISBLANK(Character!B271)," ",Character!B271)</f>
        <v xml:space="preserve"> </v>
      </c>
      <c r="C1833" t="str">
        <f>IF(ISBLANK(Character!C271)," ",Character!C271)</f>
        <v xml:space="preserve"> </v>
      </c>
      <c r="D1833" t="str">
        <f>IF(ISBLANK(Character!D271)," ",Character!D271)</f>
        <v xml:space="preserve"> </v>
      </c>
      <c r="E1833" t="str">
        <f>IF(ISBLANK(Character!E271)," ",Character!E271)</f>
        <v xml:space="preserve"> </v>
      </c>
      <c r="F1833" t="str">
        <f>IF(ISBLANK(Character!F271)," ",Character!F271)</f>
        <v xml:space="preserve"> </v>
      </c>
      <c r="G1833" t="str">
        <f>IF(ISBLANK(Character!G271)," ",Character!G271)</f>
        <v xml:space="preserve"> </v>
      </c>
      <c r="H1833" t="str">
        <f>IF(ISBLANK(Character!H271)," ",Character!H271)</f>
        <v xml:space="preserve"> </v>
      </c>
      <c r="I1833" t="str">
        <f>IF(ISBLANK(Character!I271)," ",Character!I271)</f>
        <v xml:space="preserve"> </v>
      </c>
      <c r="J1833" t="str">
        <f>IF(ISBLANK(Character!J271)," ",Character!J271)</f>
        <v xml:space="preserve"> </v>
      </c>
      <c r="K1833" t="str">
        <f>IF(ISBLANK(Character!K271)," ",Character!K271)</f>
        <v xml:space="preserve"> </v>
      </c>
      <c r="L1833" t="str">
        <f>IF(ISBLANK(Character!L271)," ",Character!L271)</f>
        <v xml:space="preserve"> </v>
      </c>
      <c r="M1833" t="str">
        <f>IF(ISBLANK(Character!M271)," ",Character!M271)</f>
        <v xml:space="preserve"> </v>
      </c>
      <c r="N1833" t="str">
        <f>IF(ISBLANK(Character!N271)," ",Character!N271)</f>
        <v xml:space="preserve"> </v>
      </c>
      <c r="O1833" t="str">
        <f>IF(ISBLANK(Character!O271)," ",Character!O271)</f>
        <v xml:space="preserve"> </v>
      </c>
      <c r="P1833" t="str">
        <f>IF(ISBLANK(Character!P271)," ",Character!P271)</f>
        <v xml:space="preserve"> </v>
      </c>
    </row>
    <row r="1834" spans="1:16" x14ac:dyDescent="0.2">
      <c r="A1834" s="460" t="str">
        <f>CONCATENATE(Posessions!A210,"|",Posessions!B210,"|",Posessions!C210,"|",Posessions!D210)</f>
        <v>|||</v>
      </c>
      <c r="B1834" t="str">
        <f>IF(ISBLANK(Character!B272)," ",Character!B272)</f>
        <v xml:space="preserve"> </v>
      </c>
      <c r="C1834" t="str">
        <f>IF(ISBLANK(Character!C272)," ",Character!C272)</f>
        <v xml:space="preserve"> </v>
      </c>
      <c r="D1834" t="str">
        <f>IF(ISBLANK(Character!D272)," ",Character!D272)</f>
        <v xml:space="preserve"> </v>
      </c>
      <c r="E1834" t="str">
        <f>IF(ISBLANK(Character!E272)," ",Character!E272)</f>
        <v xml:space="preserve"> </v>
      </c>
      <c r="F1834" t="str">
        <f>IF(ISBLANK(Character!F272)," ",Character!F272)</f>
        <v xml:space="preserve"> </v>
      </c>
      <c r="G1834" t="str">
        <f>IF(ISBLANK(Character!G272)," ",Character!G272)</f>
        <v xml:space="preserve"> </v>
      </c>
      <c r="H1834" t="str">
        <f>IF(ISBLANK(Character!H272)," ",Character!H272)</f>
        <v xml:space="preserve"> </v>
      </c>
      <c r="I1834" t="str">
        <f>IF(ISBLANK(Character!I272)," ",Character!I272)</f>
        <v xml:space="preserve"> </v>
      </c>
      <c r="J1834" t="str">
        <f>IF(ISBLANK(Character!J272)," ",Character!J272)</f>
        <v xml:space="preserve"> </v>
      </c>
      <c r="K1834" t="str">
        <f>IF(ISBLANK(Character!K272)," ",Character!K272)</f>
        <v xml:space="preserve"> </v>
      </c>
      <c r="L1834" t="str">
        <f>IF(ISBLANK(Character!L272)," ",Character!L272)</f>
        <v xml:space="preserve"> </v>
      </c>
      <c r="M1834" t="str">
        <f>IF(ISBLANK(Character!M272)," ",Character!M272)</f>
        <v xml:space="preserve"> </v>
      </c>
      <c r="N1834" t="str">
        <f>IF(ISBLANK(Character!N272)," ",Character!N272)</f>
        <v xml:space="preserve"> </v>
      </c>
      <c r="O1834" t="str">
        <f>IF(ISBLANK(Character!O272)," ",Character!O272)</f>
        <v xml:space="preserve"> </v>
      </c>
      <c r="P1834" t="str">
        <f>IF(ISBLANK(Character!P272)," ",Character!P272)</f>
        <v xml:space="preserve"> </v>
      </c>
    </row>
    <row r="1835" spans="1:16" x14ac:dyDescent="0.2">
      <c r="A1835" s="460" t="str">
        <f>CONCATENATE(Posessions!A211,"|",Posessions!B211,"|",Posessions!C211,"|",Posessions!D211)</f>
        <v>|||</v>
      </c>
      <c r="B1835" t="str">
        <f>IF(ISBLANK(Character!B273)," ",Character!B273)</f>
        <v xml:space="preserve"> </v>
      </c>
      <c r="C1835" t="str">
        <f>IF(ISBLANK(Character!C273)," ",Character!C273)</f>
        <v xml:space="preserve"> </v>
      </c>
      <c r="D1835" t="str">
        <f>IF(ISBLANK(Character!D273)," ",Character!D273)</f>
        <v xml:space="preserve"> </v>
      </c>
      <c r="E1835" t="str">
        <f>IF(ISBLANK(Character!E273)," ",Character!E273)</f>
        <v xml:space="preserve"> </v>
      </c>
      <c r="F1835" t="str">
        <f>IF(ISBLANK(Character!F273)," ",Character!F273)</f>
        <v xml:space="preserve"> </v>
      </c>
      <c r="G1835" t="str">
        <f>IF(ISBLANK(Character!G273)," ",Character!G273)</f>
        <v xml:space="preserve"> </v>
      </c>
      <c r="H1835" t="str">
        <f>IF(ISBLANK(Character!H273)," ",Character!H273)</f>
        <v xml:space="preserve"> </v>
      </c>
      <c r="I1835" t="str">
        <f>IF(ISBLANK(Character!I273)," ",Character!I273)</f>
        <v xml:space="preserve"> </v>
      </c>
      <c r="J1835" t="str">
        <f>IF(ISBLANK(Character!J273)," ",Character!J273)</f>
        <v xml:space="preserve"> </v>
      </c>
      <c r="K1835" t="str">
        <f>IF(ISBLANK(Character!K273)," ",Character!K273)</f>
        <v xml:space="preserve"> </v>
      </c>
      <c r="L1835" t="str">
        <f>IF(ISBLANK(Character!L273)," ",Character!L273)</f>
        <v xml:space="preserve"> </v>
      </c>
      <c r="M1835" t="str">
        <f>IF(ISBLANK(Character!M273)," ",Character!M273)</f>
        <v xml:space="preserve"> </v>
      </c>
      <c r="N1835" t="str">
        <f>IF(ISBLANK(Character!N273)," ",Character!N273)</f>
        <v xml:space="preserve"> </v>
      </c>
      <c r="O1835" t="str">
        <f>IF(ISBLANK(Character!O273)," ",Character!O273)</f>
        <v xml:space="preserve"> </v>
      </c>
      <c r="P1835" t="str">
        <f>IF(ISBLANK(Character!P273)," ",Character!P273)</f>
        <v xml:space="preserve"> </v>
      </c>
    </row>
    <row r="1836" spans="1:16" x14ac:dyDescent="0.2">
      <c r="A1836" s="460" t="str">
        <f>CONCATENATE(Posessions!A212,"|",Posessions!B212,"|",Posessions!C212,"|",Posessions!D212)</f>
        <v>|||</v>
      </c>
      <c r="B1836" t="str">
        <f>IF(ISBLANK(Character!B274)," ",Character!B274)</f>
        <v xml:space="preserve"> </v>
      </c>
      <c r="C1836" t="str">
        <f>IF(ISBLANK(Character!C274)," ",Character!C274)</f>
        <v xml:space="preserve"> </v>
      </c>
      <c r="D1836" t="str">
        <f>IF(ISBLANK(Character!D274)," ",Character!D274)</f>
        <v xml:space="preserve"> </v>
      </c>
      <c r="E1836" t="str">
        <f>IF(ISBLANK(Character!E274)," ",Character!E274)</f>
        <v xml:space="preserve"> </v>
      </c>
      <c r="F1836" t="str">
        <f>IF(ISBLANK(Character!F274)," ",Character!F274)</f>
        <v xml:space="preserve"> </v>
      </c>
      <c r="G1836" t="str">
        <f>IF(ISBLANK(Character!G274)," ",Character!G274)</f>
        <v xml:space="preserve"> </v>
      </c>
      <c r="H1836" t="str">
        <f>IF(ISBLANK(Character!H274)," ",Character!H274)</f>
        <v xml:space="preserve"> </v>
      </c>
      <c r="I1836" t="str">
        <f>IF(ISBLANK(Character!I274)," ",Character!I274)</f>
        <v xml:space="preserve"> </v>
      </c>
      <c r="J1836" t="str">
        <f>IF(ISBLANK(Character!J274)," ",Character!J274)</f>
        <v xml:space="preserve"> </v>
      </c>
      <c r="K1836" t="str">
        <f>IF(ISBLANK(Character!K274)," ",Character!K274)</f>
        <v xml:space="preserve"> </v>
      </c>
      <c r="L1836" t="str">
        <f>IF(ISBLANK(Character!L274)," ",Character!L274)</f>
        <v xml:space="preserve"> </v>
      </c>
      <c r="M1836" t="str">
        <f>IF(ISBLANK(Character!M274)," ",Character!M274)</f>
        <v xml:space="preserve"> </v>
      </c>
      <c r="N1836" t="str">
        <f>IF(ISBLANK(Character!N274)," ",Character!N274)</f>
        <v xml:space="preserve"> </v>
      </c>
      <c r="O1836" t="str">
        <f>IF(ISBLANK(Character!O274)," ",Character!O274)</f>
        <v xml:space="preserve"> </v>
      </c>
      <c r="P1836" t="str">
        <f>IF(ISBLANK(Character!P274)," ",Character!P274)</f>
        <v xml:space="preserve"> </v>
      </c>
    </row>
    <row r="1837" spans="1:16" x14ac:dyDescent="0.2">
      <c r="A1837" s="460" t="str">
        <f>CONCATENATE(Posessions!A213,"|",Posessions!B213,"|",Posessions!C213,"|",Posessions!D213)</f>
        <v>|||</v>
      </c>
      <c r="B1837" t="str">
        <f>IF(ISBLANK(Character!B275)," ",Character!B275)</f>
        <v xml:space="preserve"> </v>
      </c>
      <c r="C1837" t="str">
        <f>IF(ISBLANK(Character!C275)," ",Character!C275)</f>
        <v xml:space="preserve"> </v>
      </c>
      <c r="D1837" t="str">
        <f>IF(ISBLANK(Character!D275)," ",Character!D275)</f>
        <v xml:space="preserve"> </v>
      </c>
      <c r="E1837" t="str">
        <f>IF(ISBLANK(Character!E275)," ",Character!E275)</f>
        <v xml:space="preserve"> </v>
      </c>
      <c r="F1837" t="str">
        <f>IF(ISBLANK(Character!F275)," ",Character!F275)</f>
        <v xml:space="preserve"> </v>
      </c>
      <c r="G1837" t="str">
        <f>IF(ISBLANK(Character!G275)," ",Character!G275)</f>
        <v xml:space="preserve"> </v>
      </c>
      <c r="H1837" t="str">
        <f>IF(ISBLANK(Character!H275)," ",Character!H275)</f>
        <v xml:space="preserve"> </v>
      </c>
      <c r="I1837" t="str">
        <f>IF(ISBLANK(Character!I275)," ",Character!I275)</f>
        <v xml:space="preserve"> </v>
      </c>
      <c r="J1837" t="str">
        <f>IF(ISBLANK(Character!J275)," ",Character!J275)</f>
        <v xml:space="preserve"> </v>
      </c>
      <c r="K1837" t="str">
        <f>IF(ISBLANK(Character!K275)," ",Character!K275)</f>
        <v xml:space="preserve"> </v>
      </c>
      <c r="L1837" t="str">
        <f>IF(ISBLANK(Character!L275)," ",Character!L275)</f>
        <v xml:space="preserve"> </v>
      </c>
      <c r="M1837" t="str">
        <f>IF(ISBLANK(Character!M275)," ",Character!M275)</f>
        <v xml:space="preserve"> </v>
      </c>
      <c r="N1837" t="str">
        <f>IF(ISBLANK(Character!N275)," ",Character!N275)</f>
        <v xml:space="preserve"> </v>
      </c>
      <c r="O1837" t="str">
        <f>IF(ISBLANK(Character!O275)," ",Character!O275)</f>
        <v xml:space="preserve"> </v>
      </c>
      <c r="P1837" t="str">
        <f>IF(ISBLANK(Character!P275)," ",Character!P275)</f>
        <v xml:space="preserve"> </v>
      </c>
    </row>
    <row r="1838" spans="1:16" x14ac:dyDescent="0.2">
      <c r="A1838" s="460" t="str">
        <f>CONCATENATE(Posessions!A214,"|",Posessions!B214,"|",Posessions!C214,"|",Posessions!D214)</f>
        <v>|||</v>
      </c>
      <c r="B1838" t="str">
        <f>IF(ISBLANK(Character!B276)," ",Character!B276)</f>
        <v xml:space="preserve"> </v>
      </c>
      <c r="C1838" t="str">
        <f>IF(ISBLANK(Character!C276)," ",Character!C276)</f>
        <v xml:space="preserve"> </v>
      </c>
      <c r="D1838" t="str">
        <f>IF(ISBLANK(Character!D276)," ",Character!D276)</f>
        <v xml:space="preserve"> </v>
      </c>
      <c r="E1838" t="str">
        <f>IF(ISBLANK(Character!E276)," ",Character!E276)</f>
        <v xml:space="preserve"> </v>
      </c>
      <c r="F1838" t="str">
        <f>IF(ISBLANK(Character!F276)," ",Character!F276)</f>
        <v xml:space="preserve"> </v>
      </c>
      <c r="G1838" t="str">
        <f>IF(ISBLANK(Character!G276)," ",Character!G276)</f>
        <v xml:space="preserve"> </v>
      </c>
      <c r="H1838" t="str">
        <f>IF(ISBLANK(Character!H276)," ",Character!H276)</f>
        <v xml:space="preserve"> </v>
      </c>
      <c r="I1838" t="str">
        <f>IF(ISBLANK(Character!I276)," ",Character!I276)</f>
        <v xml:space="preserve"> </v>
      </c>
      <c r="J1838" t="str">
        <f>IF(ISBLANK(Character!J276)," ",Character!J276)</f>
        <v xml:space="preserve"> </v>
      </c>
      <c r="K1838" t="str">
        <f>IF(ISBLANK(Character!K276)," ",Character!K276)</f>
        <v xml:space="preserve"> </v>
      </c>
      <c r="L1838" t="str">
        <f>IF(ISBLANK(Character!L276)," ",Character!L276)</f>
        <v xml:space="preserve"> </v>
      </c>
      <c r="M1838" t="str">
        <f>IF(ISBLANK(Character!M276)," ",Character!M276)</f>
        <v xml:space="preserve"> </v>
      </c>
      <c r="N1838" t="str">
        <f>IF(ISBLANK(Character!N276)," ",Character!N276)</f>
        <v xml:space="preserve"> </v>
      </c>
      <c r="O1838" t="str">
        <f>IF(ISBLANK(Character!O276)," ",Character!O276)</f>
        <v xml:space="preserve"> </v>
      </c>
      <c r="P1838" t="str">
        <f>IF(ISBLANK(Character!P276)," ",Character!P276)</f>
        <v xml:space="preserve"> </v>
      </c>
    </row>
    <row r="1839" spans="1:16" x14ac:dyDescent="0.2">
      <c r="A1839" s="460" t="str">
        <f>CONCATENATE(Posessions!A215,"|",Posessions!B215,"|",Posessions!C215,"|",Posessions!D215)</f>
        <v>|||</v>
      </c>
      <c r="B1839" t="str">
        <f>IF(ISBLANK(Character!B277)," ",Character!B277)</f>
        <v xml:space="preserve"> </v>
      </c>
      <c r="C1839" t="str">
        <f>IF(ISBLANK(Character!C277)," ",Character!C277)</f>
        <v xml:space="preserve"> </v>
      </c>
      <c r="D1839" t="str">
        <f>IF(ISBLANK(Character!D277)," ",Character!D277)</f>
        <v xml:space="preserve"> </v>
      </c>
      <c r="E1839" t="str">
        <f>IF(ISBLANK(Character!E277)," ",Character!E277)</f>
        <v xml:space="preserve"> </v>
      </c>
      <c r="F1839" t="str">
        <f>IF(ISBLANK(Character!F277)," ",Character!F277)</f>
        <v xml:space="preserve"> </v>
      </c>
      <c r="G1839" t="str">
        <f>IF(ISBLANK(Character!G277)," ",Character!G277)</f>
        <v xml:space="preserve"> </v>
      </c>
      <c r="H1839" t="str">
        <f>IF(ISBLANK(Character!H277)," ",Character!H277)</f>
        <v xml:space="preserve"> </v>
      </c>
      <c r="I1839" t="str">
        <f>IF(ISBLANK(Character!I277)," ",Character!I277)</f>
        <v xml:space="preserve"> </v>
      </c>
      <c r="J1839" t="str">
        <f>IF(ISBLANK(Character!J277)," ",Character!J277)</f>
        <v xml:space="preserve"> </v>
      </c>
      <c r="K1839" t="str">
        <f>IF(ISBLANK(Character!K277)," ",Character!K277)</f>
        <v xml:space="preserve"> </v>
      </c>
      <c r="L1839" t="str">
        <f>IF(ISBLANK(Character!L277)," ",Character!L277)</f>
        <v xml:space="preserve"> </v>
      </c>
      <c r="M1839" t="str">
        <f>IF(ISBLANK(Character!M277)," ",Character!M277)</f>
        <v xml:space="preserve"> </v>
      </c>
      <c r="N1839" t="str">
        <f>IF(ISBLANK(Character!N277)," ",Character!N277)</f>
        <v xml:space="preserve"> </v>
      </c>
      <c r="O1839" t="str">
        <f>IF(ISBLANK(Character!O277)," ",Character!O277)</f>
        <v xml:space="preserve"> </v>
      </c>
      <c r="P1839" t="str">
        <f>IF(ISBLANK(Character!P277)," ",Character!P277)</f>
        <v xml:space="preserve"> </v>
      </c>
    </row>
    <row r="1840" spans="1:16" x14ac:dyDescent="0.2">
      <c r="A1840" s="460" t="str">
        <f>CONCATENATE(Posessions!A216,"|",Posessions!B216,"|",Posessions!C216,"|",Posessions!D216)</f>
        <v>|||</v>
      </c>
      <c r="B1840" t="str">
        <f>IF(ISBLANK(Character!B278)," ",Character!B278)</f>
        <v xml:space="preserve"> </v>
      </c>
      <c r="C1840" t="str">
        <f>IF(ISBLANK(Character!C278)," ",Character!C278)</f>
        <v xml:space="preserve"> </v>
      </c>
      <c r="D1840" t="str">
        <f>IF(ISBLANK(Character!D278)," ",Character!D278)</f>
        <v xml:space="preserve"> </v>
      </c>
      <c r="E1840" t="str">
        <f>IF(ISBLANK(Character!E278)," ",Character!E278)</f>
        <v xml:space="preserve"> </v>
      </c>
      <c r="F1840" t="str">
        <f>IF(ISBLANK(Character!F278)," ",Character!F278)</f>
        <v xml:space="preserve"> </v>
      </c>
      <c r="G1840" t="str">
        <f>IF(ISBLANK(Character!G278)," ",Character!G278)</f>
        <v xml:space="preserve"> </v>
      </c>
      <c r="H1840" t="str">
        <f>IF(ISBLANK(Character!H278)," ",Character!H278)</f>
        <v xml:space="preserve"> </v>
      </c>
      <c r="I1840" t="str">
        <f>IF(ISBLANK(Character!I278)," ",Character!I278)</f>
        <v xml:space="preserve"> </v>
      </c>
      <c r="J1840" t="str">
        <f>IF(ISBLANK(Character!J278)," ",Character!J278)</f>
        <v xml:space="preserve"> </v>
      </c>
      <c r="K1840" t="str">
        <f>IF(ISBLANK(Character!K278)," ",Character!K278)</f>
        <v xml:space="preserve"> </v>
      </c>
      <c r="L1840" t="str">
        <f>IF(ISBLANK(Character!L278)," ",Character!L278)</f>
        <v xml:space="preserve"> </v>
      </c>
      <c r="M1840" t="str">
        <f>IF(ISBLANK(Character!M278)," ",Character!M278)</f>
        <v xml:space="preserve"> </v>
      </c>
      <c r="N1840" t="str">
        <f>IF(ISBLANK(Character!N278)," ",Character!N278)</f>
        <v xml:space="preserve"> </v>
      </c>
      <c r="O1840" t="str">
        <f>IF(ISBLANK(Character!O278)," ",Character!O278)</f>
        <v xml:space="preserve"> </v>
      </c>
      <c r="P1840" t="str">
        <f>IF(ISBLANK(Character!P278)," ",Character!P278)</f>
        <v xml:space="preserve"> </v>
      </c>
    </row>
    <row r="1841" spans="1:16" x14ac:dyDescent="0.2">
      <c r="A1841" s="460" t="str">
        <f>CONCATENATE(Posessions!A217,"|",Posessions!B217,"|",Posessions!C217,"|",Posessions!D217)</f>
        <v>|||</v>
      </c>
      <c r="B1841" t="str">
        <f>IF(ISBLANK(Character!B279)," ",Character!B279)</f>
        <v xml:space="preserve"> </v>
      </c>
      <c r="C1841" t="str">
        <f>IF(ISBLANK(Character!C279)," ",Character!C279)</f>
        <v xml:space="preserve"> </v>
      </c>
      <c r="D1841" t="str">
        <f>IF(ISBLANK(Character!D279)," ",Character!D279)</f>
        <v xml:space="preserve"> </v>
      </c>
      <c r="E1841" t="str">
        <f>IF(ISBLANK(Character!E279)," ",Character!E279)</f>
        <v xml:space="preserve"> </v>
      </c>
      <c r="F1841" t="str">
        <f>IF(ISBLANK(Character!F279)," ",Character!F279)</f>
        <v xml:space="preserve"> </v>
      </c>
      <c r="G1841" t="str">
        <f>IF(ISBLANK(Character!G279)," ",Character!G279)</f>
        <v xml:space="preserve"> </v>
      </c>
      <c r="H1841" t="str">
        <f>IF(ISBLANK(Character!H279)," ",Character!H279)</f>
        <v xml:space="preserve"> </v>
      </c>
      <c r="I1841" t="str">
        <f>IF(ISBLANK(Character!I279)," ",Character!I279)</f>
        <v xml:space="preserve"> </v>
      </c>
      <c r="J1841" t="str">
        <f>IF(ISBLANK(Character!J279)," ",Character!J279)</f>
        <v xml:space="preserve"> </v>
      </c>
      <c r="K1841" t="str">
        <f>IF(ISBLANK(Character!K279)," ",Character!K279)</f>
        <v xml:space="preserve"> </v>
      </c>
      <c r="L1841" t="str">
        <f>IF(ISBLANK(Character!L279)," ",Character!L279)</f>
        <v xml:space="preserve"> </v>
      </c>
      <c r="M1841" t="str">
        <f>IF(ISBLANK(Character!M279)," ",Character!M279)</f>
        <v xml:space="preserve"> </v>
      </c>
      <c r="N1841" t="str">
        <f>IF(ISBLANK(Character!N279)," ",Character!N279)</f>
        <v xml:space="preserve"> </v>
      </c>
      <c r="O1841" t="str">
        <f>IF(ISBLANK(Character!O279)," ",Character!O279)</f>
        <v xml:space="preserve"> </v>
      </c>
      <c r="P1841" t="str">
        <f>IF(ISBLANK(Character!P279)," ",Character!P279)</f>
        <v xml:space="preserve"> </v>
      </c>
    </row>
    <row r="1842" spans="1:16" x14ac:dyDescent="0.2">
      <c r="A1842" s="460" t="str">
        <f>CONCATENATE(Posessions!A218,"|",Posessions!B218,"|",Posessions!C218,"|",Posessions!D218)</f>
        <v>|||</v>
      </c>
      <c r="B1842" t="str">
        <f>IF(ISBLANK(Character!B280)," ",Character!B280)</f>
        <v xml:space="preserve"> </v>
      </c>
      <c r="C1842" t="str">
        <f>IF(ISBLANK(Character!C280)," ",Character!C280)</f>
        <v xml:space="preserve"> </v>
      </c>
      <c r="D1842" t="str">
        <f>IF(ISBLANK(Character!D280)," ",Character!D280)</f>
        <v xml:space="preserve"> </v>
      </c>
      <c r="E1842" t="str">
        <f>IF(ISBLANK(Character!E280)," ",Character!E280)</f>
        <v xml:space="preserve"> </v>
      </c>
      <c r="F1842" t="str">
        <f>IF(ISBLANK(Character!F280)," ",Character!F280)</f>
        <v xml:space="preserve"> </v>
      </c>
      <c r="G1842" t="str">
        <f>IF(ISBLANK(Character!G280)," ",Character!G280)</f>
        <v xml:space="preserve"> </v>
      </c>
      <c r="H1842" t="str">
        <f>IF(ISBLANK(Character!H280)," ",Character!H280)</f>
        <v xml:space="preserve"> </v>
      </c>
      <c r="I1842" t="str">
        <f>IF(ISBLANK(Character!I280)," ",Character!I280)</f>
        <v xml:space="preserve"> </v>
      </c>
      <c r="J1842" t="str">
        <f>IF(ISBLANK(Character!J280)," ",Character!J280)</f>
        <v xml:space="preserve"> </v>
      </c>
      <c r="K1842" t="str">
        <f>IF(ISBLANK(Character!K280)," ",Character!K280)</f>
        <v xml:space="preserve"> </v>
      </c>
      <c r="L1842" t="str">
        <f>IF(ISBLANK(Character!L280)," ",Character!L280)</f>
        <v xml:space="preserve"> </v>
      </c>
      <c r="M1842" t="str">
        <f>IF(ISBLANK(Character!M280)," ",Character!M280)</f>
        <v xml:space="preserve"> </v>
      </c>
      <c r="N1842" t="str">
        <f>IF(ISBLANK(Character!N280)," ",Character!N280)</f>
        <v xml:space="preserve"> </v>
      </c>
      <c r="O1842" t="str">
        <f>IF(ISBLANK(Character!O280)," ",Character!O280)</f>
        <v xml:space="preserve"> </v>
      </c>
      <c r="P1842" t="str">
        <f>IF(ISBLANK(Character!P280)," ",Character!P280)</f>
        <v xml:space="preserve"> </v>
      </c>
    </row>
    <row r="1843" spans="1:16" x14ac:dyDescent="0.2">
      <c r="A1843" s="460" t="str">
        <f>CONCATENATE(Posessions!A219,"|",Posessions!B219,"|",Posessions!C219,"|",Posessions!D219)</f>
        <v>|||</v>
      </c>
      <c r="B1843" t="str">
        <f>IF(ISBLANK(Character!B281)," ",Character!B281)</f>
        <v xml:space="preserve"> </v>
      </c>
      <c r="C1843" t="str">
        <f>IF(ISBLANK(Character!C281)," ",Character!C281)</f>
        <v xml:space="preserve"> </v>
      </c>
      <c r="D1843" t="str">
        <f>IF(ISBLANK(Character!D281)," ",Character!D281)</f>
        <v xml:space="preserve"> </v>
      </c>
      <c r="E1843" t="str">
        <f>IF(ISBLANK(Character!E281)," ",Character!E281)</f>
        <v xml:space="preserve"> </v>
      </c>
      <c r="F1843" t="str">
        <f>IF(ISBLANK(Character!F281)," ",Character!F281)</f>
        <v xml:space="preserve"> </v>
      </c>
      <c r="G1843" t="str">
        <f>IF(ISBLANK(Character!G281)," ",Character!G281)</f>
        <v xml:space="preserve"> </v>
      </c>
      <c r="H1843" t="str">
        <f>IF(ISBLANK(Character!H281)," ",Character!H281)</f>
        <v xml:space="preserve"> </v>
      </c>
      <c r="I1843" t="str">
        <f>IF(ISBLANK(Character!I281)," ",Character!I281)</f>
        <v xml:space="preserve"> </v>
      </c>
      <c r="J1843" t="str">
        <f>IF(ISBLANK(Character!J281)," ",Character!J281)</f>
        <v xml:space="preserve"> </v>
      </c>
      <c r="K1843" t="str">
        <f>IF(ISBLANK(Character!K281)," ",Character!K281)</f>
        <v xml:space="preserve"> </v>
      </c>
      <c r="L1843" t="str">
        <f>IF(ISBLANK(Character!L281)," ",Character!L281)</f>
        <v xml:space="preserve"> </v>
      </c>
      <c r="M1843" t="str">
        <f>IF(ISBLANK(Character!M281)," ",Character!M281)</f>
        <v xml:space="preserve"> </v>
      </c>
      <c r="N1843" t="str">
        <f>IF(ISBLANK(Character!N281)," ",Character!N281)</f>
        <v xml:space="preserve"> </v>
      </c>
      <c r="O1843" t="str">
        <f>IF(ISBLANK(Character!O281)," ",Character!O281)</f>
        <v xml:space="preserve"> </v>
      </c>
      <c r="P1843" t="str">
        <f>IF(ISBLANK(Character!P281)," ",Character!P281)</f>
        <v xml:space="preserve"> </v>
      </c>
    </row>
    <row r="1844" spans="1:16" x14ac:dyDescent="0.2">
      <c r="A1844" s="460" t="str">
        <f>CONCATENATE(Posessions!A220,"|",Posessions!B220,"|",Posessions!C220,"|",Posessions!D220)</f>
        <v>|||</v>
      </c>
      <c r="B1844" t="str">
        <f>IF(ISBLANK(Character!B282)," ",Character!B282)</f>
        <v xml:space="preserve"> </v>
      </c>
      <c r="C1844" t="str">
        <f>IF(ISBLANK(Character!C282)," ",Character!C282)</f>
        <v xml:space="preserve"> </v>
      </c>
      <c r="D1844" t="str">
        <f>IF(ISBLANK(Character!D282)," ",Character!D282)</f>
        <v xml:space="preserve"> </v>
      </c>
      <c r="E1844" t="str">
        <f>IF(ISBLANK(Character!E282)," ",Character!E282)</f>
        <v xml:space="preserve"> </v>
      </c>
      <c r="F1844" t="str">
        <f>IF(ISBLANK(Character!F282)," ",Character!F282)</f>
        <v xml:space="preserve"> </v>
      </c>
      <c r="G1844" t="str">
        <f>IF(ISBLANK(Character!G282)," ",Character!G282)</f>
        <v xml:space="preserve"> </v>
      </c>
      <c r="H1844" t="str">
        <f>IF(ISBLANK(Character!H282)," ",Character!H282)</f>
        <v xml:space="preserve"> </v>
      </c>
      <c r="I1844" t="str">
        <f>IF(ISBLANK(Character!I282)," ",Character!I282)</f>
        <v xml:space="preserve"> </v>
      </c>
      <c r="J1844" t="str">
        <f>IF(ISBLANK(Character!J282)," ",Character!J282)</f>
        <v xml:space="preserve"> </v>
      </c>
      <c r="K1844" t="str">
        <f>IF(ISBLANK(Character!K282)," ",Character!K282)</f>
        <v xml:space="preserve"> </v>
      </c>
      <c r="L1844" t="str">
        <f>IF(ISBLANK(Character!L282)," ",Character!L282)</f>
        <v xml:space="preserve"> </v>
      </c>
      <c r="M1844" t="str">
        <f>IF(ISBLANK(Character!M282)," ",Character!M282)</f>
        <v xml:space="preserve"> </v>
      </c>
      <c r="N1844" t="str">
        <f>IF(ISBLANK(Character!N282)," ",Character!N282)</f>
        <v xml:space="preserve"> </v>
      </c>
      <c r="O1844" t="str">
        <f>IF(ISBLANK(Character!O282)," ",Character!O282)</f>
        <v xml:space="preserve"> </v>
      </c>
      <c r="P1844" t="str">
        <f>IF(ISBLANK(Character!P282)," ",Character!P282)</f>
        <v xml:space="preserve"> </v>
      </c>
    </row>
    <row r="1845" spans="1:16" x14ac:dyDescent="0.2">
      <c r="A1845" s="460" t="str">
        <f>CONCATENATE(Posessions!A221,"|",Posessions!B221,"|",Posessions!C221,"|",Posessions!D221)</f>
        <v>|||</v>
      </c>
      <c r="B1845" t="str">
        <f>IF(ISBLANK(Character!B283)," ",Character!B283)</f>
        <v xml:space="preserve"> </v>
      </c>
      <c r="C1845" t="str">
        <f>IF(ISBLANK(Character!C283)," ",Character!C283)</f>
        <v xml:space="preserve"> </v>
      </c>
      <c r="D1845" t="str">
        <f>IF(ISBLANK(Character!D283)," ",Character!D283)</f>
        <v xml:space="preserve"> </v>
      </c>
      <c r="E1845" t="str">
        <f>IF(ISBLANK(Character!E283)," ",Character!E283)</f>
        <v xml:space="preserve"> </v>
      </c>
      <c r="F1845" t="str">
        <f>IF(ISBLANK(Character!F283)," ",Character!F283)</f>
        <v xml:space="preserve"> </v>
      </c>
      <c r="G1845" t="str">
        <f>IF(ISBLANK(Character!G283)," ",Character!G283)</f>
        <v xml:space="preserve"> </v>
      </c>
      <c r="H1845" t="str">
        <f>IF(ISBLANK(Character!H283)," ",Character!H283)</f>
        <v xml:space="preserve"> </v>
      </c>
      <c r="I1845" t="str">
        <f>IF(ISBLANK(Character!I283)," ",Character!I283)</f>
        <v xml:space="preserve"> </v>
      </c>
      <c r="J1845" t="str">
        <f>IF(ISBLANK(Character!J283)," ",Character!J283)</f>
        <v xml:space="preserve"> </v>
      </c>
      <c r="K1845" t="str">
        <f>IF(ISBLANK(Character!K283)," ",Character!K283)</f>
        <v xml:space="preserve"> </v>
      </c>
      <c r="L1845" t="str">
        <f>IF(ISBLANK(Character!L283)," ",Character!L283)</f>
        <v xml:space="preserve"> </v>
      </c>
      <c r="M1845" t="str">
        <f>IF(ISBLANK(Character!M283)," ",Character!M283)</f>
        <v xml:space="preserve"> </v>
      </c>
      <c r="N1845" t="str">
        <f>IF(ISBLANK(Character!N283)," ",Character!N283)</f>
        <v xml:space="preserve"> </v>
      </c>
      <c r="O1845" t="str">
        <f>IF(ISBLANK(Character!O283)," ",Character!O283)</f>
        <v xml:space="preserve"> </v>
      </c>
      <c r="P1845" t="str">
        <f>IF(ISBLANK(Character!P283)," ",Character!P283)</f>
        <v xml:space="preserve"> </v>
      </c>
    </row>
    <row r="1846" spans="1:16" x14ac:dyDescent="0.2">
      <c r="A1846" s="460" t="str">
        <f>CONCATENATE(Posessions!A222,"|",Posessions!B222,"|",Posessions!C222,"|",Posessions!D222)</f>
        <v>|||</v>
      </c>
      <c r="B1846" t="str">
        <f>IF(ISBLANK(Character!B284)," ",Character!B284)</f>
        <v xml:space="preserve"> </v>
      </c>
      <c r="C1846" t="str">
        <f>IF(ISBLANK(Character!C284)," ",Character!C284)</f>
        <v xml:space="preserve"> </v>
      </c>
      <c r="D1846" t="str">
        <f>IF(ISBLANK(Character!D284)," ",Character!D284)</f>
        <v xml:space="preserve"> </v>
      </c>
      <c r="E1846" t="str">
        <f>IF(ISBLANK(Character!E284)," ",Character!E284)</f>
        <v xml:space="preserve"> </v>
      </c>
      <c r="F1846" t="str">
        <f>IF(ISBLANK(Character!F284)," ",Character!F284)</f>
        <v xml:space="preserve"> </v>
      </c>
      <c r="G1846" t="str">
        <f>IF(ISBLANK(Character!G284)," ",Character!G284)</f>
        <v xml:space="preserve"> </v>
      </c>
      <c r="H1846" t="str">
        <f>IF(ISBLANK(Character!H284)," ",Character!H284)</f>
        <v xml:space="preserve"> </v>
      </c>
      <c r="I1846" t="str">
        <f>IF(ISBLANK(Character!I284)," ",Character!I284)</f>
        <v xml:space="preserve"> </v>
      </c>
      <c r="J1846" t="str">
        <f>IF(ISBLANK(Character!J284)," ",Character!J284)</f>
        <v xml:space="preserve"> </v>
      </c>
      <c r="K1846" t="str">
        <f>IF(ISBLANK(Character!K284)," ",Character!K284)</f>
        <v xml:space="preserve"> </v>
      </c>
      <c r="L1846" t="str">
        <f>IF(ISBLANK(Character!L284)," ",Character!L284)</f>
        <v xml:space="preserve"> </v>
      </c>
      <c r="M1846" t="str">
        <f>IF(ISBLANK(Character!M284)," ",Character!M284)</f>
        <v xml:space="preserve"> </v>
      </c>
      <c r="N1846" t="str">
        <f>IF(ISBLANK(Character!N284)," ",Character!N284)</f>
        <v xml:space="preserve"> </v>
      </c>
      <c r="O1846" t="str">
        <f>IF(ISBLANK(Character!O284)," ",Character!O284)</f>
        <v xml:space="preserve"> </v>
      </c>
      <c r="P1846" t="str">
        <f>IF(ISBLANK(Character!P284)," ",Character!P284)</f>
        <v xml:space="preserve"> </v>
      </c>
    </row>
    <row r="1847" spans="1:16" x14ac:dyDescent="0.2">
      <c r="A1847" s="460" t="str">
        <f>CONCATENATE(Posessions!A223,"|",Posessions!B223,"|",Posessions!C223,"|",Posessions!D223)</f>
        <v>|||</v>
      </c>
      <c r="B1847" t="str">
        <f>IF(ISBLANK(Character!B285)," ",Character!B285)</f>
        <v xml:space="preserve"> </v>
      </c>
      <c r="C1847" t="str">
        <f>IF(ISBLANK(Character!C285)," ",Character!C285)</f>
        <v xml:space="preserve"> </v>
      </c>
      <c r="D1847" t="str">
        <f>IF(ISBLANK(Character!D285)," ",Character!D285)</f>
        <v xml:space="preserve"> </v>
      </c>
      <c r="E1847" t="str">
        <f>IF(ISBLANK(Character!E285)," ",Character!E285)</f>
        <v xml:space="preserve"> </v>
      </c>
      <c r="F1847" t="str">
        <f>IF(ISBLANK(Character!F285)," ",Character!F285)</f>
        <v xml:space="preserve"> </v>
      </c>
      <c r="G1847" t="str">
        <f>IF(ISBLANK(Character!G285)," ",Character!G285)</f>
        <v xml:space="preserve"> </v>
      </c>
      <c r="H1847" t="str">
        <f>IF(ISBLANK(Character!H285)," ",Character!H285)</f>
        <v xml:space="preserve"> </v>
      </c>
      <c r="I1847" t="str">
        <f>IF(ISBLANK(Character!I285)," ",Character!I285)</f>
        <v xml:space="preserve"> </v>
      </c>
      <c r="J1847" t="str">
        <f>IF(ISBLANK(Character!J285)," ",Character!J285)</f>
        <v xml:space="preserve"> </v>
      </c>
      <c r="K1847" t="str">
        <f>IF(ISBLANK(Character!K285)," ",Character!K285)</f>
        <v xml:space="preserve"> </v>
      </c>
      <c r="L1847" t="str">
        <f>IF(ISBLANK(Character!L285)," ",Character!L285)</f>
        <v xml:space="preserve"> </v>
      </c>
      <c r="M1847" t="str">
        <f>IF(ISBLANK(Character!M285)," ",Character!M285)</f>
        <v xml:space="preserve"> </v>
      </c>
      <c r="N1847" t="str">
        <f>IF(ISBLANK(Character!N285)," ",Character!N285)</f>
        <v xml:space="preserve"> </v>
      </c>
      <c r="O1847" t="str">
        <f>IF(ISBLANK(Character!O285)," ",Character!O285)</f>
        <v xml:space="preserve"> </v>
      </c>
      <c r="P1847" t="str">
        <f>IF(ISBLANK(Character!P285)," ",Character!P285)</f>
        <v xml:space="preserve"> </v>
      </c>
    </row>
    <row r="1848" spans="1:16" x14ac:dyDescent="0.2">
      <c r="A1848" s="460" t="str">
        <f>CONCATENATE(Posessions!A224,"|",Posessions!B224,"|",Posessions!C224,"|",Posessions!D224)</f>
        <v>|||</v>
      </c>
      <c r="B1848" t="str">
        <f>IF(ISBLANK(Character!B286)," ",Character!B286)</f>
        <v xml:space="preserve"> </v>
      </c>
      <c r="C1848" t="str">
        <f>IF(ISBLANK(Character!C286)," ",Character!C286)</f>
        <v xml:space="preserve"> </v>
      </c>
      <c r="D1848" t="str">
        <f>IF(ISBLANK(Character!D286)," ",Character!D286)</f>
        <v xml:space="preserve"> </v>
      </c>
      <c r="E1848" t="str">
        <f>IF(ISBLANK(Character!E286)," ",Character!E286)</f>
        <v xml:space="preserve"> </v>
      </c>
      <c r="F1848" t="str">
        <f>IF(ISBLANK(Character!F286)," ",Character!F286)</f>
        <v xml:space="preserve"> </v>
      </c>
      <c r="G1848" t="str">
        <f>IF(ISBLANK(Character!G286)," ",Character!G286)</f>
        <v xml:space="preserve"> </v>
      </c>
      <c r="H1848" t="str">
        <f>IF(ISBLANK(Character!H286)," ",Character!H286)</f>
        <v xml:space="preserve"> </v>
      </c>
      <c r="I1848" t="str">
        <f>IF(ISBLANK(Character!I286)," ",Character!I286)</f>
        <v xml:space="preserve"> </v>
      </c>
      <c r="J1848" t="str">
        <f>IF(ISBLANK(Character!J286)," ",Character!J286)</f>
        <v xml:space="preserve"> </v>
      </c>
      <c r="K1848" t="str">
        <f>IF(ISBLANK(Character!K286)," ",Character!K286)</f>
        <v xml:space="preserve"> </v>
      </c>
      <c r="L1848" t="str">
        <f>IF(ISBLANK(Character!L286)," ",Character!L286)</f>
        <v xml:space="preserve"> </v>
      </c>
      <c r="M1848" t="str">
        <f>IF(ISBLANK(Character!M286)," ",Character!M286)</f>
        <v xml:space="preserve"> </v>
      </c>
      <c r="N1848" t="str">
        <f>IF(ISBLANK(Character!N286)," ",Character!N286)</f>
        <v xml:space="preserve"> </v>
      </c>
      <c r="O1848" t="str">
        <f>IF(ISBLANK(Character!O286)," ",Character!O286)</f>
        <v xml:space="preserve"> </v>
      </c>
      <c r="P1848" t="str">
        <f>IF(ISBLANK(Character!P286)," ",Character!P286)</f>
        <v xml:space="preserve"> </v>
      </c>
    </row>
    <row r="1849" spans="1:16" x14ac:dyDescent="0.2">
      <c r="A1849" s="460" t="str">
        <f>CONCATENATE(Posessions!A225,"|",Posessions!B225,"|",Posessions!C225,"|",Posessions!D225)</f>
        <v>|||</v>
      </c>
      <c r="B1849" t="str">
        <f>IF(ISBLANK(Character!B287)," ",Character!B287)</f>
        <v xml:space="preserve"> </v>
      </c>
      <c r="C1849" t="str">
        <f>IF(ISBLANK(Character!C287)," ",Character!C287)</f>
        <v xml:space="preserve"> </v>
      </c>
      <c r="D1849" t="str">
        <f>IF(ISBLANK(Character!D287)," ",Character!D287)</f>
        <v xml:space="preserve"> </v>
      </c>
      <c r="E1849" t="str">
        <f>IF(ISBLANK(Character!E287)," ",Character!E287)</f>
        <v xml:space="preserve"> </v>
      </c>
      <c r="F1849" t="str">
        <f>IF(ISBLANK(Character!F287)," ",Character!F287)</f>
        <v xml:space="preserve"> </v>
      </c>
      <c r="G1849" t="str">
        <f>IF(ISBLANK(Character!G287)," ",Character!G287)</f>
        <v xml:space="preserve"> </v>
      </c>
      <c r="H1849" t="str">
        <f>IF(ISBLANK(Character!H287)," ",Character!H287)</f>
        <v xml:space="preserve"> </v>
      </c>
      <c r="I1849" t="str">
        <f>IF(ISBLANK(Character!I287)," ",Character!I287)</f>
        <v xml:space="preserve"> </v>
      </c>
      <c r="J1849" t="str">
        <f>IF(ISBLANK(Character!J287)," ",Character!J287)</f>
        <v xml:space="preserve"> </v>
      </c>
      <c r="K1849" t="str">
        <f>IF(ISBLANK(Character!K287)," ",Character!K287)</f>
        <v xml:space="preserve"> </v>
      </c>
      <c r="L1849" t="str">
        <f>IF(ISBLANK(Character!L287)," ",Character!L287)</f>
        <v xml:space="preserve"> </v>
      </c>
      <c r="M1849" t="str">
        <f>IF(ISBLANK(Character!M287)," ",Character!M287)</f>
        <v xml:space="preserve"> </v>
      </c>
      <c r="N1849" t="str">
        <f>IF(ISBLANK(Character!N287)," ",Character!N287)</f>
        <v xml:space="preserve"> </v>
      </c>
      <c r="O1849" t="str">
        <f>IF(ISBLANK(Character!O287)," ",Character!O287)</f>
        <v xml:space="preserve"> </v>
      </c>
      <c r="P1849" t="str">
        <f>IF(ISBLANK(Character!P287)," ",Character!P287)</f>
        <v xml:space="preserve"> </v>
      </c>
    </row>
    <row r="1850" spans="1:16" x14ac:dyDescent="0.2">
      <c r="A1850" s="460" t="str">
        <f>CONCATENATE(Posessions!A226,"|",Posessions!B226,"|",Posessions!C226,"|",Posessions!D226)</f>
        <v>|||</v>
      </c>
      <c r="B1850" t="str">
        <f>IF(ISBLANK(Character!B288)," ",Character!B288)</f>
        <v xml:space="preserve"> </v>
      </c>
      <c r="C1850" t="str">
        <f>IF(ISBLANK(Character!C288)," ",Character!C288)</f>
        <v xml:space="preserve"> </v>
      </c>
      <c r="D1850" t="str">
        <f>IF(ISBLANK(Character!D288)," ",Character!D288)</f>
        <v xml:space="preserve"> </v>
      </c>
      <c r="E1850" t="str">
        <f>IF(ISBLANK(Character!E288)," ",Character!E288)</f>
        <v xml:space="preserve"> </v>
      </c>
      <c r="F1850" t="str">
        <f>IF(ISBLANK(Character!F288)," ",Character!F288)</f>
        <v xml:space="preserve"> </v>
      </c>
      <c r="G1850" t="str">
        <f>IF(ISBLANK(Character!G288)," ",Character!G288)</f>
        <v xml:space="preserve"> </v>
      </c>
      <c r="H1850" t="str">
        <f>IF(ISBLANK(Character!H288)," ",Character!H288)</f>
        <v xml:space="preserve"> </v>
      </c>
      <c r="I1850" t="str">
        <f>IF(ISBLANK(Character!I288)," ",Character!I288)</f>
        <v xml:space="preserve"> </v>
      </c>
      <c r="J1850" t="str">
        <f>IF(ISBLANK(Character!J288)," ",Character!J288)</f>
        <v xml:space="preserve"> </v>
      </c>
      <c r="K1850" t="str">
        <f>IF(ISBLANK(Character!K288)," ",Character!K288)</f>
        <v xml:space="preserve"> </v>
      </c>
      <c r="L1850" t="str">
        <f>IF(ISBLANK(Character!L288)," ",Character!L288)</f>
        <v xml:space="preserve"> </v>
      </c>
      <c r="M1850" t="str">
        <f>IF(ISBLANK(Character!M288)," ",Character!M288)</f>
        <v xml:space="preserve"> </v>
      </c>
      <c r="N1850" t="str">
        <f>IF(ISBLANK(Character!N288)," ",Character!N288)</f>
        <v xml:space="preserve"> </v>
      </c>
      <c r="O1850" t="str">
        <f>IF(ISBLANK(Character!O288)," ",Character!O288)</f>
        <v xml:space="preserve"> </v>
      </c>
      <c r="P1850" t="str">
        <f>IF(ISBLANK(Character!P288)," ",Character!P288)</f>
        <v xml:space="preserve"> </v>
      </c>
    </row>
    <row r="1851" spans="1:16" x14ac:dyDescent="0.2">
      <c r="A1851" s="460" t="str">
        <f>CONCATENATE(Posessions!A227,"|",Posessions!B227,"|",Posessions!C227,"|",Posessions!D227)</f>
        <v>|||</v>
      </c>
      <c r="B1851" t="str">
        <f>IF(ISBLANK(Character!B289)," ",Character!B289)</f>
        <v xml:space="preserve"> </v>
      </c>
      <c r="C1851" t="str">
        <f>IF(ISBLANK(Character!C289)," ",Character!C289)</f>
        <v xml:space="preserve"> </v>
      </c>
      <c r="D1851" t="str">
        <f>IF(ISBLANK(Character!D289)," ",Character!D289)</f>
        <v xml:space="preserve"> </v>
      </c>
      <c r="E1851" t="str">
        <f>IF(ISBLANK(Character!E289)," ",Character!E289)</f>
        <v xml:space="preserve"> </v>
      </c>
      <c r="F1851" t="str">
        <f>IF(ISBLANK(Character!F289)," ",Character!F289)</f>
        <v xml:space="preserve"> </v>
      </c>
      <c r="G1851" t="str">
        <f>IF(ISBLANK(Character!G289)," ",Character!G289)</f>
        <v xml:space="preserve"> </v>
      </c>
      <c r="H1851" t="str">
        <f>IF(ISBLANK(Character!H289)," ",Character!H289)</f>
        <v xml:space="preserve"> </v>
      </c>
      <c r="I1851" t="str">
        <f>IF(ISBLANK(Character!I289)," ",Character!I289)</f>
        <v xml:space="preserve"> </v>
      </c>
      <c r="J1851" t="str">
        <f>IF(ISBLANK(Character!J289)," ",Character!J289)</f>
        <v xml:space="preserve"> </v>
      </c>
      <c r="K1851" t="str">
        <f>IF(ISBLANK(Character!K289)," ",Character!K289)</f>
        <v xml:space="preserve"> </v>
      </c>
      <c r="L1851" t="str">
        <f>IF(ISBLANK(Character!L289)," ",Character!L289)</f>
        <v xml:space="preserve"> </v>
      </c>
      <c r="M1851" t="str">
        <f>IF(ISBLANK(Character!M289)," ",Character!M289)</f>
        <v xml:space="preserve"> </v>
      </c>
      <c r="N1851" t="str">
        <f>IF(ISBLANK(Character!N289)," ",Character!N289)</f>
        <v xml:space="preserve"> </v>
      </c>
      <c r="O1851" t="str">
        <f>IF(ISBLANK(Character!O289)," ",Character!O289)</f>
        <v xml:space="preserve"> </v>
      </c>
      <c r="P1851" t="str">
        <f>IF(ISBLANK(Character!P289)," ",Character!P289)</f>
        <v xml:space="preserve"> </v>
      </c>
    </row>
    <row r="1852" spans="1:16" x14ac:dyDescent="0.2">
      <c r="A1852" s="460" t="str">
        <f>CONCATENATE(Posessions!A228,"|",Posessions!B228,"|",Posessions!C228,"|",Posessions!D228)</f>
        <v>|||</v>
      </c>
      <c r="B1852" t="str">
        <f>IF(ISBLANK(Character!B290)," ",Character!B290)</f>
        <v xml:space="preserve"> </v>
      </c>
      <c r="C1852" t="str">
        <f>IF(ISBLANK(Character!C290)," ",Character!C290)</f>
        <v xml:space="preserve"> </v>
      </c>
      <c r="D1852" t="str">
        <f>IF(ISBLANK(Character!D290)," ",Character!D290)</f>
        <v xml:space="preserve"> </v>
      </c>
      <c r="E1852" t="str">
        <f>IF(ISBLANK(Character!E290)," ",Character!E290)</f>
        <v xml:space="preserve"> </v>
      </c>
      <c r="F1852" t="str">
        <f>IF(ISBLANK(Character!F290)," ",Character!F290)</f>
        <v xml:space="preserve"> </v>
      </c>
      <c r="G1852" t="str">
        <f>IF(ISBLANK(Character!G290)," ",Character!G290)</f>
        <v xml:space="preserve"> </v>
      </c>
      <c r="H1852" t="str">
        <f>IF(ISBLANK(Character!H290)," ",Character!H290)</f>
        <v xml:space="preserve"> </v>
      </c>
      <c r="I1852" t="str">
        <f>IF(ISBLANK(Character!I290)," ",Character!I290)</f>
        <v xml:space="preserve"> </v>
      </c>
      <c r="J1852" t="str">
        <f>IF(ISBLANK(Character!J290)," ",Character!J290)</f>
        <v xml:space="preserve"> </v>
      </c>
      <c r="K1852" t="str">
        <f>IF(ISBLANK(Character!K290)," ",Character!K290)</f>
        <v xml:space="preserve"> </v>
      </c>
      <c r="L1852" t="str">
        <f>IF(ISBLANK(Character!L290)," ",Character!L290)</f>
        <v xml:space="preserve"> </v>
      </c>
      <c r="M1852" t="str">
        <f>IF(ISBLANK(Character!M290)," ",Character!M290)</f>
        <v xml:space="preserve"> </v>
      </c>
      <c r="N1852" t="str">
        <f>IF(ISBLANK(Character!N290)," ",Character!N290)</f>
        <v xml:space="preserve"> </v>
      </c>
      <c r="O1852" t="str">
        <f>IF(ISBLANK(Character!O290)," ",Character!O290)</f>
        <v xml:space="preserve"> </v>
      </c>
      <c r="P1852" t="str">
        <f>IF(ISBLANK(Character!P290)," ",Character!P290)</f>
        <v xml:space="preserve"> </v>
      </c>
    </row>
    <row r="1853" spans="1:16" x14ac:dyDescent="0.2">
      <c r="A1853" s="460" t="str">
        <f>CONCATENATE(Posessions!A229,"|",Posessions!B229,"|",Posessions!C229,"|",Posessions!D229)</f>
        <v>|||</v>
      </c>
      <c r="B1853" t="str">
        <f>IF(ISBLANK(Character!B291)," ",Character!B291)</f>
        <v xml:space="preserve"> </v>
      </c>
      <c r="C1853" t="str">
        <f>IF(ISBLANK(Character!C291)," ",Character!C291)</f>
        <v xml:space="preserve"> </v>
      </c>
      <c r="D1853" t="str">
        <f>IF(ISBLANK(Character!D291)," ",Character!D291)</f>
        <v xml:space="preserve"> </v>
      </c>
      <c r="E1853" t="str">
        <f>IF(ISBLANK(Character!E291)," ",Character!E291)</f>
        <v xml:space="preserve"> </v>
      </c>
      <c r="F1853" t="str">
        <f>IF(ISBLANK(Character!F291)," ",Character!F291)</f>
        <v xml:space="preserve"> </v>
      </c>
      <c r="G1853" t="str">
        <f>IF(ISBLANK(Character!G291)," ",Character!G291)</f>
        <v xml:space="preserve"> </v>
      </c>
      <c r="H1853" t="str">
        <f>IF(ISBLANK(Character!H291)," ",Character!H291)</f>
        <v xml:space="preserve"> </v>
      </c>
      <c r="I1853" t="str">
        <f>IF(ISBLANK(Character!I291)," ",Character!I291)</f>
        <v xml:space="preserve"> </v>
      </c>
      <c r="J1853" t="str">
        <f>IF(ISBLANK(Character!J291)," ",Character!J291)</f>
        <v xml:space="preserve"> </v>
      </c>
      <c r="K1853" t="str">
        <f>IF(ISBLANK(Character!K291)," ",Character!K291)</f>
        <v xml:space="preserve"> </v>
      </c>
      <c r="L1853" t="str">
        <f>IF(ISBLANK(Character!L291)," ",Character!L291)</f>
        <v xml:space="preserve"> </v>
      </c>
      <c r="M1853" t="str">
        <f>IF(ISBLANK(Character!M291)," ",Character!M291)</f>
        <v xml:space="preserve"> </v>
      </c>
      <c r="N1853" t="str">
        <f>IF(ISBLANK(Character!N291)," ",Character!N291)</f>
        <v xml:space="preserve"> </v>
      </c>
      <c r="O1853" t="str">
        <f>IF(ISBLANK(Character!O291)," ",Character!O291)</f>
        <v xml:space="preserve"> </v>
      </c>
      <c r="P1853" t="str">
        <f>IF(ISBLANK(Character!P291)," ",Character!P291)</f>
        <v xml:space="preserve"> </v>
      </c>
    </row>
    <row r="1854" spans="1:16" x14ac:dyDescent="0.2">
      <c r="A1854" s="460" t="str">
        <f>CONCATENATE(Posessions!A230,"|",Posessions!B230,"|",Posessions!C230,"|",Posessions!D230)</f>
        <v>|||</v>
      </c>
      <c r="B1854" t="str">
        <f>IF(ISBLANK(Character!B292)," ",Character!B292)</f>
        <v xml:space="preserve"> </v>
      </c>
      <c r="C1854" t="str">
        <f>IF(ISBLANK(Character!C292)," ",Character!C292)</f>
        <v xml:space="preserve"> </v>
      </c>
      <c r="D1854" t="str">
        <f>IF(ISBLANK(Character!D292)," ",Character!D292)</f>
        <v xml:space="preserve"> </v>
      </c>
      <c r="E1854" t="str">
        <f>IF(ISBLANK(Character!E292)," ",Character!E292)</f>
        <v xml:space="preserve"> </v>
      </c>
      <c r="F1854" t="str">
        <f>IF(ISBLANK(Character!F292)," ",Character!F292)</f>
        <v xml:space="preserve"> </v>
      </c>
      <c r="G1854" t="str">
        <f>IF(ISBLANK(Character!G292)," ",Character!G292)</f>
        <v xml:space="preserve"> </v>
      </c>
      <c r="H1854" t="str">
        <f>IF(ISBLANK(Character!H292)," ",Character!H292)</f>
        <v xml:space="preserve"> </v>
      </c>
      <c r="I1854" t="str">
        <f>IF(ISBLANK(Character!I292)," ",Character!I292)</f>
        <v xml:space="preserve"> </v>
      </c>
      <c r="J1854" t="str">
        <f>IF(ISBLANK(Character!J292)," ",Character!J292)</f>
        <v xml:space="preserve"> </v>
      </c>
      <c r="K1854" t="str">
        <f>IF(ISBLANK(Character!K292)," ",Character!K292)</f>
        <v xml:space="preserve"> </v>
      </c>
      <c r="L1854" t="str">
        <f>IF(ISBLANK(Character!L292)," ",Character!L292)</f>
        <v xml:space="preserve"> </v>
      </c>
      <c r="M1854" t="str">
        <f>IF(ISBLANK(Character!M292)," ",Character!M292)</f>
        <v xml:space="preserve"> </v>
      </c>
      <c r="N1854" t="str">
        <f>IF(ISBLANK(Character!N292)," ",Character!N292)</f>
        <v xml:space="preserve"> </v>
      </c>
      <c r="O1854" t="str">
        <f>IF(ISBLANK(Character!O292)," ",Character!O292)</f>
        <v xml:space="preserve"> </v>
      </c>
      <c r="P1854" t="str">
        <f>IF(ISBLANK(Character!P292)," ",Character!P292)</f>
        <v xml:space="preserve"> </v>
      </c>
    </row>
    <row r="1855" spans="1:16" x14ac:dyDescent="0.2">
      <c r="A1855" s="460" t="str">
        <f>CONCATENATE(Posessions!A231,"|",Posessions!B231,"|",Posessions!C231,"|",Posessions!D231)</f>
        <v>|||</v>
      </c>
      <c r="B1855" t="str">
        <f>IF(ISBLANK(Character!B293)," ",Character!B293)</f>
        <v xml:space="preserve"> </v>
      </c>
      <c r="C1855" t="str">
        <f>IF(ISBLANK(Character!C293)," ",Character!C293)</f>
        <v xml:space="preserve"> </v>
      </c>
      <c r="D1855" t="str">
        <f>IF(ISBLANK(Character!D293)," ",Character!D293)</f>
        <v xml:space="preserve"> </v>
      </c>
      <c r="E1855" t="str">
        <f>IF(ISBLANK(Character!E293)," ",Character!E293)</f>
        <v xml:space="preserve"> </v>
      </c>
      <c r="F1855" t="str">
        <f>IF(ISBLANK(Character!F293)," ",Character!F293)</f>
        <v xml:space="preserve"> </v>
      </c>
      <c r="G1855" t="str">
        <f>IF(ISBLANK(Character!G293)," ",Character!G293)</f>
        <v xml:space="preserve"> </v>
      </c>
      <c r="H1855" t="str">
        <f>IF(ISBLANK(Character!H293)," ",Character!H293)</f>
        <v xml:space="preserve"> </v>
      </c>
      <c r="I1855" t="str">
        <f>IF(ISBLANK(Character!I293)," ",Character!I293)</f>
        <v xml:space="preserve"> </v>
      </c>
      <c r="J1855" t="str">
        <f>IF(ISBLANK(Character!J293)," ",Character!J293)</f>
        <v xml:space="preserve"> </v>
      </c>
      <c r="K1855" t="str">
        <f>IF(ISBLANK(Character!K293)," ",Character!K293)</f>
        <v xml:space="preserve"> </v>
      </c>
      <c r="L1855" t="str">
        <f>IF(ISBLANK(Character!L293)," ",Character!L293)</f>
        <v xml:space="preserve"> </v>
      </c>
      <c r="M1855" t="str">
        <f>IF(ISBLANK(Character!M293)," ",Character!M293)</f>
        <v xml:space="preserve"> </v>
      </c>
      <c r="N1855" t="str">
        <f>IF(ISBLANK(Character!N293)," ",Character!N293)</f>
        <v xml:space="preserve"> </v>
      </c>
      <c r="O1855" t="str">
        <f>IF(ISBLANK(Character!O293)," ",Character!O293)</f>
        <v xml:space="preserve"> </v>
      </c>
      <c r="P1855" t="str">
        <f>IF(ISBLANK(Character!P293)," ",Character!P293)</f>
        <v xml:space="preserve"> </v>
      </c>
    </row>
    <row r="1856" spans="1:16" x14ac:dyDescent="0.2">
      <c r="A1856" s="460" t="str">
        <f>CONCATENATE(Posessions!A232,"|",Posessions!B232,"|",Posessions!C232,"|",Posessions!D232)</f>
        <v>|||</v>
      </c>
      <c r="B1856" t="str">
        <f>IF(ISBLANK(Character!B294)," ",Character!B294)</f>
        <v xml:space="preserve"> </v>
      </c>
      <c r="C1856" t="str">
        <f>IF(ISBLANK(Character!C294)," ",Character!C294)</f>
        <v xml:space="preserve"> </v>
      </c>
      <c r="D1856" t="str">
        <f>IF(ISBLANK(Character!D294)," ",Character!D294)</f>
        <v xml:space="preserve"> </v>
      </c>
      <c r="E1856" t="str">
        <f>IF(ISBLANK(Character!E294)," ",Character!E294)</f>
        <v xml:space="preserve"> </v>
      </c>
      <c r="F1856" t="str">
        <f>IF(ISBLANK(Character!F294)," ",Character!F294)</f>
        <v xml:space="preserve"> </v>
      </c>
      <c r="G1856" t="str">
        <f>IF(ISBLANK(Character!G294)," ",Character!G294)</f>
        <v xml:space="preserve"> </v>
      </c>
      <c r="H1856" t="str">
        <f>IF(ISBLANK(Character!H294)," ",Character!H294)</f>
        <v xml:space="preserve"> </v>
      </c>
      <c r="I1856" t="str">
        <f>IF(ISBLANK(Character!I294)," ",Character!I294)</f>
        <v xml:space="preserve"> </v>
      </c>
      <c r="J1856" t="str">
        <f>IF(ISBLANK(Character!J294)," ",Character!J294)</f>
        <v xml:space="preserve"> </v>
      </c>
      <c r="K1856" t="str">
        <f>IF(ISBLANK(Character!K294)," ",Character!K294)</f>
        <v xml:space="preserve"> </v>
      </c>
      <c r="L1856" t="str">
        <f>IF(ISBLANK(Character!L294)," ",Character!L294)</f>
        <v xml:space="preserve"> </v>
      </c>
      <c r="M1856" t="str">
        <f>IF(ISBLANK(Character!M294)," ",Character!M294)</f>
        <v xml:space="preserve"> </v>
      </c>
      <c r="N1856" t="str">
        <f>IF(ISBLANK(Character!N294)," ",Character!N294)</f>
        <v xml:space="preserve"> </v>
      </c>
      <c r="O1856" t="str">
        <f>IF(ISBLANK(Character!O294)," ",Character!O294)</f>
        <v xml:space="preserve"> </v>
      </c>
      <c r="P1856" t="str">
        <f>IF(ISBLANK(Character!P294)," ",Character!P294)</f>
        <v xml:space="preserve"> </v>
      </c>
    </row>
    <row r="1857" spans="1:16" x14ac:dyDescent="0.2">
      <c r="A1857" s="460" t="str">
        <f>CONCATENATE(Posessions!A233,"|",Posessions!B233,"|",Posessions!C233,"|",Posessions!D233)</f>
        <v>|||</v>
      </c>
      <c r="B1857" t="str">
        <f>IF(ISBLANK(Character!B295)," ",Character!B295)</f>
        <v xml:space="preserve"> </v>
      </c>
      <c r="C1857" t="str">
        <f>IF(ISBLANK(Character!C295)," ",Character!C295)</f>
        <v xml:space="preserve"> </v>
      </c>
      <c r="D1857" t="str">
        <f>IF(ISBLANK(Character!D295)," ",Character!D295)</f>
        <v xml:space="preserve"> </v>
      </c>
      <c r="E1857" t="str">
        <f>IF(ISBLANK(Character!E295)," ",Character!E295)</f>
        <v xml:space="preserve"> </v>
      </c>
      <c r="F1857" t="str">
        <f>IF(ISBLANK(Character!F295)," ",Character!F295)</f>
        <v xml:space="preserve"> </v>
      </c>
      <c r="G1857" t="str">
        <f>IF(ISBLANK(Character!G295)," ",Character!G295)</f>
        <v xml:space="preserve"> </v>
      </c>
      <c r="H1857" t="str">
        <f>IF(ISBLANK(Character!H295)," ",Character!H295)</f>
        <v xml:space="preserve"> </v>
      </c>
      <c r="I1857" t="str">
        <f>IF(ISBLANK(Character!I295)," ",Character!I295)</f>
        <v xml:space="preserve"> </v>
      </c>
      <c r="J1857" t="str">
        <f>IF(ISBLANK(Character!J295)," ",Character!J295)</f>
        <v xml:space="preserve"> </v>
      </c>
      <c r="K1857" t="str">
        <f>IF(ISBLANK(Character!K295)," ",Character!K295)</f>
        <v xml:space="preserve"> </v>
      </c>
      <c r="L1857" t="str">
        <f>IF(ISBLANK(Character!L295)," ",Character!L295)</f>
        <v xml:space="preserve"> </v>
      </c>
      <c r="M1857" t="str">
        <f>IF(ISBLANK(Character!M295)," ",Character!M295)</f>
        <v xml:space="preserve"> </v>
      </c>
      <c r="N1857" t="str">
        <f>IF(ISBLANK(Character!N295)," ",Character!N295)</f>
        <v xml:space="preserve"> </v>
      </c>
      <c r="O1857" t="str">
        <f>IF(ISBLANK(Character!O295)," ",Character!O295)</f>
        <v xml:space="preserve"> </v>
      </c>
      <c r="P1857" t="str">
        <f>IF(ISBLANK(Character!P295)," ",Character!P295)</f>
        <v xml:space="preserve"> </v>
      </c>
    </row>
    <row r="1858" spans="1:16" x14ac:dyDescent="0.2">
      <c r="A1858" s="460" t="str">
        <f>CONCATENATE(Posessions!A234,"|",Posessions!B234,"|",Posessions!C234,"|",Posessions!D234)</f>
        <v>|||</v>
      </c>
      <c r="B1858" t="str">
        <f>IF(ISBLANK(Character!B296)," ",Character!B296)</f>
        <v xml:space="preserve"> </v>
      </c>
      <c r="C1858" t="str">
        <f>IF(ISBLANK(Character!C296)," ",Character!C296)</f>
        <v xml:space="preserve"> </v>
      </c>
      <c r="D1858" t="str">
        <f>IF(ISBLANK(Character!D296)," ",Character!D296)</f>
        <v xml:space="preserve"> </v>
      </c>
      <c r="E1858" t="str">
        <f>IF(ISBLANK(Character!E296)," ",Character!E296)</f>
        <v xml:space="preserve"> </v>
      </c>
      <c r="F1858" t="str">
        <f>IF(ISBLANK(Character!F296)," ",Character!F296)</f>
        <v xml:space="preserve"> </v>
      </c>
      <c r="G1858" t="str">
        <f>IF(ISBLANK(Character!G296)," ",Character!G296)</f>
        <v xml:space="preserve"> </v>
      </c>
      <c r="H1858" t="str">
        <f>IF(ISBLANK(Character!H296)," ",Character!H296)</f>
        <v xml:space="preserve"> </v>
      </c>
      <c r="I1858" t="str">
        <f>IF(ISBLANK(Character!I296)," ",Character!I296)</f>
        <v xml:space="preserve"> </v>
      </c>
      <c r="J1858" t="str">
        <f>IF(ISBLANK(Character!J296)," ",Character!J296)</f>
        <v xml:space="preserve"> </v>
      </c>
      <c r="K1858" t="str">
        <f>IF(ISBLANK(Character!K296)," ",Character!K296)</f>
        <v xml:space="preserve"> </v>
      </c>
      <c r="L1858" t="str">
        <f>IF(ISBLANK(Character!L296)," ",Character!L296)</f>
        <v xml:space="preserve"> </v>
      </c>
      <c r="M1858" t="str">
        <f>IF(ISBLANK(Character!M296)," ",Character!M296)</f>
        <v xml:space="preserve"> </v>
      </c>
      <c r="N1858" t="str">
        <f>IF(ISBLANK(Character!N296)," ",Character!N296)</f>
        <v xml:space="preserve"> </v>
      </c>
      <c r="O1858" t="str">
        <f>IF(ISBLANK(Character!O296)," ",Character!O296)</f>
        <v xml:space="preserve"> </v>
      </c>
      <c r="P1858" t="str">
        <f>IF(ISBLANK(Character!P296)," ",Character!P296)</f>
        <v xml:space="preserve"> </v>
      </c>
    </row>
    <row r="1859" spans="1:16" x14ac:dyDescent="0.2">
      <c r="A1859" s="460" t="str">
        <f>CONCATENATE(Posessions!A235,"|",Posessions!B235,"|",Posessions!C235,"|",Posessions!D235)</f>
        <v>|||</v>
      </c>
      <c r="B1859" t="str">
        <f>IF(ISBLANK(Character!B297)," ",Character!B297)</f>
        <v xml:space="preserve"> </v>
      </c>
      <c r="C1859" t="str">
        <f>IF(ISBLANK(Character!C297)," ",Character!C297)</f>
        <v xml:space="preserve"> </v>
      </c>
      <c r="D1859" t="str">
        <f>IF(ISBLANK(Character!D297)," ",Character!D297)</f>
        <v xml:space="preserve"> </v>
      </c>
      <c r="E1859" t="str">
        <f>IF(ISBLANK(Character!E297)," ",Character!E297)</f>
        <v xml:space="preserve"> </v>
      </c>
      <c r="F1859" t="str">
        <f>IF(ISBLANK(Character!F297)," ",Character!F297)</f>
        <v xml:space="preserve"> </v>
      </c>
      <c r="G1859" t="str">
        <f>IF(ISBLANK(Character!G297)," ",Character!G297)</f>
        <v xml:space="preserve"> </v>
      </c>
      <c r="H1859" t="str">
        <f>IF(ISBLANK(Character!H297)," ",Character!H297)</f>
        <v xml:space="preserve"> </v>
      </c>
      <c r="I1859" t="str">
        <f>IF(ISBLANK(Character!I297)," ",Character!I297)</f>
        <v xml:space="preserve"> </v>
      </c>
      <c r="J1859" t="str">
        <f>IF(ISBLANK(Character!J297)," ",Character!J297)</f>
        <v xml:space="preserve"> </v>
      </c>
      <c r="K1859" t="str">
        <f>IF(ISBLANK(Character!K297)," ",Character!K297)</f>
        <v xml:space="preserve"> </v>
      </c>
      <c r="L1859" t="str">
        <f>IF(ISBLANK(Character!L297)," ",Character!L297)</f>
        <v xml:space="preserve"> </v>
      </c>
      <c r="M1859" t="str">
        <f>IF(ISBLANK(Character!M297)," ",Character!M297)</f>
        <v xml:space="preserve"> </v>
      </c>
      <c r="N1859" t="str">
        <f>IF(ISBLANK(Character!N297)," ",Character!N297)</f>
        <v xml:space="preserve"> </v>
      </c>
      <c r="O1859" t="str">
        <f>IF(ISBLANK(Character!O297)," ",Character!O297)</f>
        <v xml:space="preserve"> </v>
      </c>
      <c r="P1859" t="str">
        <f>IF(ISBLANK(Character!P297)," ",Character!P297)</f>
        <v xml:space="preserve"> </v>
      </c>
    </row>
    <row r="1860" spans="1:16" x14ac:dyDescent="0.2">
      <c r="A1860" s="460" t="str">
        <f>CONCATENATE(Posessions!A236,"|",Posessions!B236,"|",Posessions!C236,"|",Posessions!D236)</f>
        <v>|||</v>
      </c>
      <c r="B1860" t="str">
        <f>IF(ISBLANK(Character!B298)," ",Character!B298)</f>
        <v xml:space="preserve"> </v>
      </c>
      <c r="C1860" t="str">
        <f>IF(ISBLANK(Character!C298)," ",Character!C298)</f>
        <v xml:space="preserve"> </v>
      </c>
      <c r="D1860" t="str">
        <f>IF(ISBLANK(Character!D298)," ",Character!D298)</f>
        <v xml:space="preserve"> </v>
      </c>
      <c r="E1860" t="str">
        <f>IF(ISBLANK(Character!E298)," ",Character!E298)</f>
        <v xml:space="preserve"> </v>
      </c>
      <c r="F1860" t="str">
        <f>IF(ISBLANK(Character!F298)," ",Character!F298)</f>
        <v xml:space="preserve"> </v>
      </c>
      <c r="G1860" t="str">
        <f>IF(ISBLANK(Character!G298)," ",Character!G298)</f>
        <v xml:space="preserve"> </v>
      </c>
      <c r="H1860" t="str">
        <f>IF(ISBLANK(Character!H298)," ",Character!H298)</f>
        <v xml:space="preserve"> </v>
      </c>
      <c r="I1860" t="str">
        <f>IF(ISBLANK(Character!I298)," ",Character!I298)</f>
        <v xml:space="preserve"> </v>
      </c>
      <c r="J1860" t="str">
        <f>IF(ISBLANK(Character!J298)," ",Character!J298)</f>
        <v xml:space="preserve"> </v>
      </c>
      <c r="K1860" t="str">
        <f>IF(ISBLANK(Character!K298)," ",Character!K298)</f>
        <v xml:space="preserve"> </v>
      </c>
      <c r="L1860" t="str">
        <f>IF(ISBLANK(Character!L298)," ",Character!L298)</f>
        <v xml:space="preserve"> </v>
      </c>
      <c r="M1860" t="str">
        <f>IF(ISBLANK(Character!M298)," ",Character!M298)</f>
        <v xml:space="preserve"> </v>
      </c>
      <c r="N1860" t="str">
        <f>IF(ISBLANK(Character!N298)," ",Character!N298)</f>
        <v xml:space="preserve"> </v>
      </c>
      <c r="O1860" t="str">
        <f>IF(ISBLANK(Character!O298)," ",Character!O298)</f>
        <v xml:space="preserve"> </v>
      </c>
      <c r="P1860" t="str">
        <f>IF(ISBLANK(Character!P298)," ",Character!P298)</f>
        <v xml:space="preserve"> </v>
      </c>
    </row>
    <row r="1861" spans="1:16" x14ac:dyDescent="0.2">
      <c r="A1861" s="460" t="str">
        <f>CONCATENATE(Posessions!A237,"|",Posessions!B237,"|",Posessions!C237,"|",Posessions!D237)</f>
        <v>|||</v>
      </c>
      <c r="B1861" t="str">
        <f>IF(ISBLANK(Character!B299)," ",Character!B299)</f>
        <v xml:space="preserve"> </v>
      </c>
      <c r="C1861" t="str">
        <f>IF(ISBLANK(Character!C299)," ",Character!C299)</f>
        <v xml:space="preserve"> </v>
      </c>
      <c r="D1861" t="str">
        <f>IF(ISBLANK(Character!D299)," ",Character!D299)</f>
        <v xml:space="preserve"> </v>
      </c>
      <c r="E1861" t="str">
        <f>IF(ISBLANK(Character!E299)," ",Character!E299)</f>
        <v xml:space="preserve"> </v>
      </c>
      <c r="F1861" t="str">
        <f>IF(ISBLANK(Character!F299)," ",Character!F299)</f>
        <v xml:space="preserve"> </v>
      </c>
      <c r="G1861" t="str">
        <f>IF(ISBLANK(Character!G299)," ",Character!G299)</f>
        <v xml:space="preserve"> </v>
      </c>
      <c r="H1861" t="str">
        <f>IF(ISBLANK(Character!H299)," ",Character!H299)</f>
        <v xml:space="preserve"> </v>
      </c>
      <c r="I1861" t="str">
        <f>IF(ISBLANK(Character!I299)," ",Character!I299)</f>
        <v xml:space="preserve"> </v>
      </c>
      <c r="J1861" t="str">
        <f>IF(ISBLANK(Character!J299)," ",Character!J299)</f>
        <v xml:space="preserve"> </v>
      </c>
      <c r="K1861" t="str">
        <f>IF(ISBLANK(Character!K299)," ",Character!K299)</f>
        <v xml:space="preserve"> </v>
      </c>
      <c r="L1861" t="str">
        <f>IF(ISBLANK(Character!L299)," ",Character!L299)</f>
        <v xml:space="preserve"> </v>
      </c>
      <c r="M1861" t="str">
        <f>IF(ISBLANK(Character!M299)," ",Character!M299)</f>
        <v xml:space="preserve"> </v>
      </c>
      <c r="N1861" t="str">
        <f>IF(ISBLANK(Character!N299)," ",Character!N299)</f>
        <v xml:space="preserve"> </v>
      </c>
      <c r="O1861" t="str">
        <f>IF(ISBLANK(Character!O299)," ",Character!O299)</f>
        <v xml:space="preserve"> </v>
      </c>
      <c r="P1861" t="str">
        <f>IF(ISBLANK(Character!P299)," ",Character!P299)</f>
        <v xml:space="preserve"> </v>
      </c>
    </row>
    <row r="1862" spans="1:16" x14ac:dyDescent="0.2">
      <c r="A1862" s="460" t="str">
        <f>CONCATENATE(Posessions!A238,"|",Posessions!B238,"|",Posessions!C238,"|",Posessions!D238)</f>
        <v>|||</v>
      </c>
      <c r="B1862" t="str">
        <f>IF(ISBLANK(Character!B300)," ",Character!B300)</f>
        <v xml:space="preserve"> </v>
      </c>
      <c r="C1862" t="str">
        <f>IF(ISBLANK(Character!C300)," ",Character!C300)</f>
        <v xml:space="preserve"> </v>
      </c>
      <c r="D1862" t="str">
        <f>IF(ISBLANK(Character!D300)," ",Character!D300)</f>
        <v xml:space="preserve"> </v>
      </c>
      <c r="E1862" t="str">
        <f>IF(ISBLANK(Character!E300)," ",Character!E300)</f>
        <v xml:space="preserve"> </v>
      </c>
      <c r="F1862" t="str">
        <f>IF(ISBLANK(Character!F300)," ",Character!F300)</f>
        <v xml:space="preserve"> </v>
      </c>
      <c r="G1862" t="str">
        <f>IF(ISBLANK(Character!G300)," ",Character!G300)</f>
        <v xml:space="preserve"> </v>
      </c>
      <c r="H1862" t="str">
        <f>IF(ISBLANK(Character!H300)," ",Character!H300)</f>
        <v xml:space="preserve"> </v>
      </c>
      <c r="I1862" t="str">
        <f>IF(ISBLANK(Character!I300)," ",Character!I300)</f>
        <v xml:space="preserve"> </v>
      </c>
      <c r="J1862" t="str">
        <f>IF(ISBLANK(Character!J300)," ",Character!J300)</f>
        <v xml:space="preserve"> </v>
      </c>
      <c r="K1862" t="str">
        <f>IF(ISBLANK(Character!K300)," ",Character!K300)</f>
        <v xml:space="preserve"> </v>
      </c>
      <c r="L1862" t="str">
        <f>IF(ISBLANK(Character!L300)," ",Character!L300)</f>
        <v xml:space="preserve"> </v>
      </c>
      <c r="M1862" t="str">
        <f>IF(ISBLANK(Character!M300)," ",Character!M300)</f>
        <v xml:space="preserve"> </v>
      </c>
      <c r="N1862" t="str">
        <f>IF(ISBLANK(Character!N300)," ",Character!N300)</f>
        <v xml:space="preserve"> </v>
      </c>
      <c r="O1862" t="str">
        <f>IF(ISBLANK(Character!O300)," ",Character!O300)</f>
        <v xml:space="preserve"> </v>
      </c>
      <c r="P1862" t="str">
        <f>IF(ISBLANK(Character!P300)," ",Character!P300)</f>
        <v xml:space="preserve"> </v>
      </c>
    </row>
    <row r="1863" spans="1:16" x14ac:dyDescent="0.2">
      <c r="A1863" s="460" t="str">
        <f>CONCATENATE(Posessions!A239,"|",Posessions!B239,"|",Posessions!C239,"|",Posessions!D239)</f>
        <v>|||</v>
      </c>
      <c r="B1863" t="str">
        <f>IF(ISBLANK(Character!B301)," ",Character!B301)</f>
        <v xml:space="preserve"> </v>
      </c>
      <c r="C1863" t="str">
        <f>IF(ISBLANK(Character!C301)," ",Character!C301)</f>
        <v xml:space="preserve"> </v>
      </c>
      <c r="D1863" t="str">
        <f>IF(ISBLANK(Character!D301)," ",Character!D301)</f>
        <v xml:space="preserve"> </v>
      </c>
      <c r="E1863" t="str">
        <f>IF(ISBLANK(Character!E301)," ",Character!E301)</f>
        <v xml:space="preserve"> </v>
      </c>
      <c r="F1863" t="str">
        <f>IF(ISBLANK(Character!F301)," ",Character!F301)</f>
        <v xml:space="preserve"> </v>
      </c>
      <c r="G1863" t="str">
        <f>IF(ISBLANK(Character!G301)," ",Character!G301)</f>
        <v xml:space="preserve"> </v>
      </c>
      <c r="H1863" t="str">
        <f>IF(ISBLANK(Character!H301)," ",Character!H301)</f>
        <v xml:space="preserve"> </v>
      </c>
      <c r="I1863" t="str">
        <f>IF(ISBLANK(Character!I301)," ",Character!I301)</f>
        <v xml:space="preserve"> </v>
      </c>
      <c r="J1863" t="str">
        <f>IF(ISBLANK(Character!J301)," ",Character!J301)</f>
        <v xml:space="preserve"> </v>
      </c>
      <c r="K1863" t="str">
        <f>IF(ISBLANK(Character!K301)," ",Character!K301)</f>
        <v xml:space="preserve"> </v>
      </c>
      <c r="L1863" t="str">
        <f>IF(ISBLANK(Character!L301)," ",Character!L301)</f>
        <v xml:space="preserve"> </v>
      </c>
      <c r="M1863" t="str">
        <f>IF(ISBLANK(Character!M301)," ",Character!M301)</f>
        <v xml:space="preserve"> </v>
      </c>
      <c r="N1863" t="str">
        <f>IF(ISBLANK(Character!N301)," ",Character!N301)</f>
        <v xml:space="preserve"> </v>
      </c>
      <c r="O1863" t="str">
        <f>IF(ISBLANK(Character!O301)," ",Character!O301)</f>
        <v xml:space="preserve"> </v>
      </c>
      <c r="P1863" t="str">
        <f>IF(ISBLANK(Character!P301)," ",Character!P301)</f>
        <v xml:space="preserve"> </v>
      </c>
    </row>
    <row r="1864" spans="1:16" x14ac:dyDescent="0.2">
      <c r="A1864" s="460" t="str">
        <f>CONCATENATE(Posessions!A240,"|",Posessions!B240,"|",Posessions!C240,"|",Posessions!D240)</f>
        <v>|||</v>
      </c>
      <c r="B1864" t="str">
        <f>IF(ISBLANK(Character!B302)," ",Character!B302)</f>
        <v xml:space="preserve"> </v>
      </c>
      <c r="C1864" t="str">
        <f>IF(ISBLANK(Character!C302)," ",Character!C302)</f>
        <v xml:space="preserve"> </v>
      </c>
      <c r="D1864" t="str">
        <f>IF(ISBLANK(Character!D302)," ",Character!D302)</f>
        <v xml:space="preserve"> </v>
      </c>
      <c r="E1864" t="str">
        <f>IF(ISBLANK(Character!E302)," ",Character!E302)</f>
        <v xml:space="preserve"> </v>
      </c>
      <c r="F1864" t="str">
        <f>IF(ISBLANK(Character!F302)," ",Character!F302)</f>
        <v xml:space="preserve"> </v>
      </c>
      <c r="G1864" t="str">
        <f>IF(ISBLANK(Character!G302)," ",Character!G302)</f>
        <v xml:space="preserve"> </v>
      </c>
      <c r="H1864" t="str">
        <f>IF(ISBLANK(Character!H302)," ",Character!H302)</f>
        <v xml:space="preserve"> </v>
      </c>
      <c r="I1864" t="str">
        <f>IF(ISBLANK(Character!I302)," ",Character!I302)</f>
        <v xml:space="preserve"> </v>
      </c>
      <c r="J1864" t="str">
        <f>IF(ISBLANK(Character!J302)," ",Character!J302)</f>
        <v xml:space="preserve"> </v>
      </c>
      <c r="K1864" t="str">
        <f>IF(ISBLANK(Character!K302)," ",Character!K302)</f>
        <v xml:space="preserve"> </v>
      </c>
      <c r="L1864" t="str">
        <f>IF(ISBLANK(Character!L302)," ",Character!L302)</f>
        <v xml:space="preserve"> </v>
      </c>
      <c r="M1864" t="str">
        <f>IF(ISBLANK(Character!M302)," ",Character!M302)</f>
        <v xml:space="preserve"> </v>
      </c>
      <c r="N1864" t="str">
        <f>IF(ISBLANK(Character!N302)," ",Character!N302)</f>
        <v xml:space="preserve"> </v>
      </c>
      <c r="O1864" t="str">
        <f>IF(ISBLANK(Character!O302)," ",Character!O302)</f>
        <v xml:space="preserve"> </v>
      </c>
      <c r="P1864" t="str">
        <f>IF(ISBLANK(Character!P302)," ",Character!P302)</f>
        <v xml:space="preserve"> </v>
      </c>
    </row>
    <row r="1865" spans="1:16" x14ac:dyDescent="0.2">
      <c r="A1865" s="460" t="str">
        <f>CONCATENATE(Posessions!A241,"|",Posessions!B241,"|",Posessions!C241,"|",Posessions!D241)</f>
        <v>|||</v>
      </c>
      <c r="B1865" t="str">
        <f>IF(ISBLANK(Character!B303)," ",Character!B303)</f>
        <v xml:space="preserve"> </v>
      </c>
      <c r="C1865" t="str">
        <f>IF(ISBLANK(Character!C303)," ",Character!C303)</f>
        <v xml:space="preserve"> </v>
      </c>
      <c r="D1865" t="str">
        <f>IF(ISBLANK(Character!D303)," ",Character!D303)</f>
        <v xml:space="preserve"> </v>
      </c>
      <c r="E1865" t="str">
        <f>IF(ISBLANK(Character!E303)," ",Character!E303)</f>
        <v xml:space="preserve"> </v>
      </c>
      <c r="F1865" t="str">
        <f>IF(ISBLANK(Character!F303)," ",Character!F303)</f>
        <v xml:space="preserve"> </v>
      </c>
      <c r="G1865" t="str">
        <f>IF(ISBLANK(Character!G303)," ",Character!G303)</f>
        <v xml:space="preserve"> </v>
      </c>
      <c r="H1865" t="str">
        <f>IF(ISBLANK(Character!H303)," ",Character!H303)</f>
        <v xml:space="preserve"> </v>
      </c>
      <c r="I1865" t="str">
        <f>IF(ISBLANK(Character!I303)," ",Character!I303)</f>
        <v xml:space="preserve"> </v>
      </c>
      <c r="J1865" t="str">
        <f>IF(ISBLANK(Character!J303)," ",Character!J303)</f>
        <v xml:space="preserve"> </v>
      </c>
      <c r="K1865" t="str">
        <f>IF(ISBLANK(Character!K303)," ",Character!K303)</f>
        <v xml:space="preserve"> </v>
      </c>
      <c r="L1865" t="str">
        <f>IF(ISBLANK(Character!L303)," ",Character!L303)</f>
        <v xml:space="preserve"> </v>
      </c>
      <c r="M1865" t="str">
        <f>IF(ISBLANK(Character!M303)," ",Character!M303)</f>
        <v xml:space="preserve"> </v>
      </c>
      <c r="N1865" t="str">
        <f>IF(ISBLANK(Character!N303)," ",Character!N303)</f>
        <v xml:space="preserve"> </v>
      </c>
      <c r="O1865" t="str">
        <f>IF(ISBLANK(Character!O303)," ",Character!O303)</f>
        <v xml:space="preserve"> </v>
      </c>
      <c r="P1865" t="str">
        <f>IF(ISBLANK(Character!P303)," ",Character!P303)</f>
        <v xml:space="preserve"> </v>
      </c>
    </row>
    <row r="1866" spans="1:16" x14ac:dyDescent="0.2">
      <c r="A1866" s="460" t="str">
        <f>CONCATENATE(Posessions!A242,"|",Posessions!B242,"|",Posessions!C242,"|",Posessions!D242)</f>
        <v>|||</v>
      </c>
      <c r="B1866" t="str">
        <f>IF(ISBLANK(Character!B304)," ",Character!B304)</f>
        <v xml:space="preserve"> </v>
      </c>
      <c r="C1866" t="str">
        <f>IF(ISBLANK(Character!C304)," ",Character!C304)</f>
        <v xml:space="preserve"> </v>
      </c>
      <c r="D1866" t="str">
        <f>IF(ISBLANK(Character!D304)," ",Character!D304)</f>
        <v xml:space="preserve"> </v>
      </c>
      <c r="E1866" t="str">
        <f>IF(ISBLANK(Character!E304)," ",Character!E304)</f>
        <v xml:space="preserve"> </v>
      </c>
      <c r="F1866" t="str">
        <f>IF(ISBLANK(Character!F304)," ",Character!F304)</f>
        <v xml:space="preserve"> </v>
      </c>
      <c r="G1866" t="str">
        <f>IF(ISBLANK(Character!G304)," ",Character!G304)</f>
        <v xml:space="preserve"> </v>
      </c>
      <c r="H1866" t="str">
        <f>IF(ISBLANK(Character!H304)," ",Character!H304)</f>
        <v xml:space="preserve"> </v>
      </c>
      <c r="I1866" t="str">
        <f>IF(ISBLANK(Character!I304)," ",Character!I304)</f>
        <v xml:space="preserve"> </v>
      </c>
      <c r="J1866" t="str">
        <f>IF(ISBLANK(Character!J304)," ",Character!J304)</f>
        <v xml:space="preserve"> </v>
      </c>
      <c r="K1866" t="str">
        <f>IF(ISBLANK(Character!K304)," ",Character!K304)</f>
        <v xml:space="preserve"> </v>
      </c>
      <c r="L1866" t="str">
        <f>IF(ISBLANK(Character!L304)," ",Character!L304)</f>
        <v xml:space="preserve"> </v>
      </c>
      <c r="M1866" t="str">
        <f>IF(ISBLANK(Character!M304)," ",Character!M304)</f>
        <v xml:space="preserve"> </v>
      </c>
      <c r="N1866" t="str">
        <f>IF(ISBLANK(Character!N304)," ",Character!N304)</f>
        <v xml:space="preserve"> </v>
      </c>
      <c r="O1866" t="str">
        <f>IF(ISBLANK(Character!O304)," ",Character!O304)</f>
        <v xml:space="preserve"> </v>
      </c>
      <c r="P1866" t="str">
        <f>IF(ISBLANK(Character!P304)," ",Character!P304)</f>
        <v xml:space="preserve"> </v>
      </c>
    </row>
    <row r="1867" spans="1:16" x14ac:dyDescent="0.2">
      <c r="A1867" s="460" t="str">
        <f>CONCATENATE(Posessions!A243,"|",Posessions!B243,"|",Posessions!C243,"|",Posessions!D243)</f>
        <v>|||</v>
      </c>
      <c r="B1867" t="str">
        <f>IF(ISBLANK(Character!B305)," ",Character!B305)</f>
        <v xml:space="preserve"> </v>
      </c>
      <c r="C1867" t="str">
        <f>IF(ISBLANK(Character!C305)," ",Character!C305)</f>
        <v xml:space="preserve"> </v>
      </c>
      <c r="D1867" t="str">
        <f>IF(ISBLANK(Character!D305)," ",Character!D305)</f>
        <v xml:space="preserve"> </v>
      </c>
      <c r="E1867" t="str">
        <f>IF(ISBLANK(Character!E305)," ",Character!E305)</f>
        <v xml:space="preserve"> </v>
      </c>
      <c r="F1867" t="str">
        <f>IF(ISBLANK(Character!F305)," ",Character!F305)</f>
        <v xml:space="preserve"> </v>
      </c>
      <c r="G1867" t="str">
        <f>IF(ISBLANK(Character!G305)," ",Character!G305)</f>
        <v xml:space="preserve"> </v>
      </c>
      <c r="H1867" t="str">
        <f>IF(ISBLANK(Character!H305)," ",Character!H305)</f>
        <v xml:space="preserve"> </v>
      </c>
      <c r="I1867" t="str">
        <f>IF(ISBLANK(Character!I305)," ",Character!I305)</f>
        <v xml:space="preserve"> </v>
      </c>
      <c r="J1867" t="str">
        <f>IF(ISBLANK(Character!J305)," ",Character!J305)</f>
        <v xml:space="preserve"> </v>
      </c>
      <c r="K1867" t="str">
        <f>IF(ISBLANK(Character!K305)," ",Character!K305)</f>
        <v xml:space="preserve"> </v>
      </c>
      <c r="L1867" t="str">
        <f>IF(ISBLANK(Character!L305)," ",Character!L305)</f>
        <v xml:space="preserve"> </v>
      </c>
      <c r="M1867" t="str">
        <f>IF(ISBLANK(Character!M305)," ",Character!M305)</f>
        <v xml:space="preserve"> </v>
      </c>
      <c r="N1867" t="str">
        <f>IF(ISBLANK(Character!N305)," ",Character!N305)</f>
        <v xml:space="preserve"> </v>
      </c>
      <c r="O1867" t="str">
        <f>IF(ISBLANK(Character!O305)," ",Character!O305)</f>
        <v xml:space="preserve"> </v>
      </c>
      <c r="P1867" t="str">
        <f>IF(ISBLANK(Character!P305)," ",Character!P305)</f>
        <v xml:space="preserve"> </v>
      </c>
    </row>
    <row r="1868" spans="1:16" x14ac:dyDescent="0.2">
      <c r="A1868" s="460" t="str">
        <f>CONCATENATE(Posessions!A244,"|",Posessions!B244,"|",Posessions!C244,"|",Posessions!D244)</f>
        <v>|||</v>
      </c>
      <c r="B1868" t="str">
        <f>IF(ISBLANK(Character!B306)," ",Character!B306)</f>
        <v xml:space="preserve"> </v>
      </c>
      <c r="C1868" t="str">
        <f>IF(ISBLANK(Character!C306)," ",Character!C306)</f>
        <v xml:space="preserve"> </v>
      </c>
      <c r="D1868" t="str">
        <f>IF(ISBLANK(Character!D306)," ",Character!D306)</f>
        <v xml:space="preserve"> </v>
      </c>
      <c r="E1868" t="str">
        <f>IF(ISBLANK(Character!E306)," ",Character!E306)</f>
        <v xml:space="preserve"> </v>
      </c>
      <c r="F1868" t="str">
        <f>IF(ISBLANK(Character!F306)," ",Character!F306)</f>
        <v xml:space="preserve"> </v>
      </c>
      <c r="G1868" t="str">
        <f>IF(ISBLANK(Character!G306)," ",Character!G306)</f>
        <v xml:space="preserve"> </v>
      </c>
      <c r="H1868" t="str">
        <f>IF(ISBLANK(Character!H306)," ",Character!H306)</f>
        <v xml:space="preserve"> </v>
      </c>
      <c r="I1868" t="str">
        <f>IF(ISBLANK(Character!I306)," ",Character!I306)</f>
        <v xml:space="preserve"> </v>
      </c>
      <c r="J1868" t="str">
        <f>IF(ISBLANK(Character!J306)," ",Character!J306)</f>
        <v xml:space="preserve"> </v>
      </c>
      <c r="K1868" t="str">
        <f>IF(ISBLANK(Character!K306)," ",Character!K306)</f>
        <v xml:space="preserve"> </v>
      </c>
      <c r="L1868" t="str">
        <f>IF(ISBLANK(Character!L306)," ",Character!L306)</f>
        <v xml:space="preserve"> </v>
      </c>
      <c r="M1868" t="str">
        <f>IF(ISBLANK(Character!M306)," ",Character!M306)</f>
        <v xml:space="preserve"> </v>
      </c>
      <c r="N1868" t="str">
        <f>IF(ISBLANK(Character!N306)," ",Character!N306)</f>
        <v xml:space="preserve"> </v>
      </c>
      <c r="O1868" t="str">
        <f>IF(ISBLANK(Character!O306)," ",Character!O306)</f>
        <v xml:space="preserve"> </v>
      </c>
      <c r="P1868" t="str">
        <f>IF(ISBLANK(Character!P306)," ",Character!P306)</f>
        <v xml:space="preserve"> </v>
      </c>
    </row>
    <row r="1869" spans="1:16" x14ac:dyDescent="0.2">
      <c r="A1869" s="460" t="str">
        <f>CONCATENATE(Posessions!A245,"|",Posessions!B245,"|",Posessions!C245,"|",Posessions!D245)</f>
        <v>|||</v>
      </c>
      <c r="B1869" t="str">
        <f>IF(ISBLANK(Character!B307)," ",Character!B307)</f>
        <v xml:space="preserve"> </v>
      </c>
      <c r="C1869" t="str">
        <f>IF(ISBLANK(Character!C307)," ",Character!C307)</f>
        <v xml:space="preserve"> </v>
      </c>
      <c r="D1869" t="str">
        <f>IF(ISBLANK(Character!D307)," ",Character!D307)</f>
        <v xml:space="preserve"> </v>
      </c>
      <c r="E1869" t="str">
        <f>IF(ISBLANK(Character!E307)," ",Character!E307)</f>
        <v xml:space="preserve"> </v>
      </c>
      <c r="F1869" t="str">
        <f>IF(ISBLANK(Character!F307)," ",Character!F307)</f>
        <v xml:space="preserve"> </v>
      </c>
      <c r="G1869" t="str">
        <f>IF(ISBLANK(Character!G307)," ",Character!G307)</f>
        <v xml:space="preserve"> </v>
      </c>
      <c r="H1869" t="str">
        <f>IF(ISBLANK(Character!H307)," ",Character!H307)</f>
        <v xml:space="preserve"> </v>
      </c>
      <c r="I1869" t="str">
        <f>IF(ISBLANK(Character!I307)," ",Character!I307)</f>
        <v xml:space="preserve"> </v>
      </c>
      <c r="J1869" t="str">
        <f>IF(ISBLANK(Character!J307)," ",Character!J307)</f>
        <v xml:space="preserve"> </v>
      </c>
      <c r="K1869" t="str">
        <f>IF(ISBLANK(Character!K307)," ",Character!K307)</f>
        <v xml:space="preserve"> </v>
      </c>
      <c r="L1869" t="str">
        <f>IF(ISBLANK(Character!L307)," ",Character!L307)</f>
        <v xml:space="preserve"> </v>
      </c>
      <c r="M1869" t="str">
        <f>IF(ISBLANK(Character!M307)," ",Character!M307)</f>
        <v xml:space="preserve"> </v>
      </c>
      <c r="N1869" t="str">
        <f>IF(ISBLANK(Character!N307)," ",Character!N307)</f>
        <v xml:space="preserve"> </v>
      </c>
      <c r="O1869" t="str">
        <f>IF(ISBLANK(Character!O307)," ",Character!O307)</f>
        <v xml:space="preserve"> </v>
      </c>
      <c r="P1869" t="str">
        <f>IF(ISBLANK(Character!P307)," ",Character!P307)</f>
        <v xml:space="preserve"> </v>
      </c>
    </row>
    <row r="1870" spans="1:16" x14ac:dyDescent="0.2">
      <c r="A1870" s="460" t="str">
        <f>CONCATENATE(Posessions!A246,"|",Posessions!B246,"|",Posessions!C246,"|",Posessions!D246)</f>
        <v>|||</v>
      </c>
      <c r="B1870" t="str">
        <f>IF(ISBLANK(Character!B308)," ",Character!B308)</f>
        <v xml:space="preserve"> </v>
      </c>
      <c r="C1870" t="str">
        <f>IF(ISBLANK(Character!C308)," ",Character!C308)</f>
        <v xml:space="preserve"> </v>
      </c>
      <c r="D1870" t="str">
        <f>IF(ISBLANK(Character!D308)," ",Character!D308)</f>
        <v xml:space="preserve"> </v>
      </c>
      <c r="E1870" t="str">
        <f>IF(ISBLANK(Character!E308)," ",Character!E308)</f>
        <v xml:space="preserve"> </v>
      </c>
      <c r="F1870" t="str">
        <f>IF(ISBLANK(Character!F308)," ",Character!F308)</f>
        <v xml:space="preserve"> </v>
      </c>
      <c r="G1870" t="str">
        <f>IF(ISBLANK(Character!G308)," ",Character!G308)</f>
        <v xml:space="preserve"> </v>
      </c>
      <c r="H1870" t="str">
        <f>IF(ISBLANK(Character!H308)," ",Character!H308)</f>
        <v xml:space="preserve"> </v>
      </c>
      <c r="I1870" t="str">
        <f>IF(ISBLANK(Character!I308)," ",Character!I308)</f>
        <v xml:space="preserve"> </v>
      </c>
      <c r="J1870" t="str">
        <f>IF(ISBLANK(Character!J308)," ",Character!J308)</f>
        <v xml:space="preserve"> </v>
      </c>
      <c r="K1870" t="str">
        <f>IF(ISBLANK(Character!K308)," ",Character!K308)</f>
        <v xml:space="preserve"> </v>
      </c>
      <c r="L1870" t="str">
        <f>IF(ISBLANK(Character!L308)," ",Character!L308)</f>
        <v xml:space="preserve"> </v>
      </c>
      <c r="M1870" t="str">
        <f>IF(ISBLANK(Character!M308)," ",Character!M308)</f>
        <v xml:space="preserve"> </v>
      </c>
      <c r="N1870" t="str">
        <f>IF(ISBLANK(Character!N308)," ",Character!N308)</f>
        <v xml:space="preserve"> </v>
      </c>
      <c r="O1870" t="str">
        <f>IF(ISBLANK(Character!O308)," ",Character!O308)</f>
        <v xml:space="preserve"> </v>
      </c>
      <c r="P1870" t="str">
        <f>IF(ISBLANK(Character!P308)," ",Character!P308)</f>
        <v xml:space="preserve"> </v>
      </c>
    </row>
    <row r="1871" spans="1:16" x14ac:dyDescent="0.2">
      <c r="A1871" s="460" t="str">
        <f>CONCATENATE(Posessions!A247,"|",Posessions!B247,"|",Posessions!C247,"|",Posessions!D247)</f>
        <v>|||</v>
      </c>
      <c r="B1871" t="str">
        <f>IF(ISBLANK(Character!B309)," ",Character!B309)</f>
        <v xml:space="preserve"> </v>
      </c>
      <c r="C1871" t="str">
        <f>IF(ISBLANK(Character!C309)," ",Character!C309)</f>
        <v xml:space="preserve"> </v>
      </c>
      <c r="D1871" t="str">
        <f>IF(ISBLANK(Character!D309)," ",Character!D309)</f>
        <v xml:space="preserve"> </v>
      </c>
      <c r="E1871" t="str">
        <f>IF(ISBLANK(Character!E309)," ",Character!E309)</f>
        <v xml:space="preserve"> </v>
      </c>
      <c r="F1871" t="str">
        <f>IF(ISBLANK(Character!F309)," ",Character!F309)</f>
        <v xml:space="preserve"> </v>
      </c>
      <c r="G1871" t="str">
        <f>IF(ISBLANK(Character!G309)," ",Character!G309)</f>
        <v xml:space="preserve"> </v>
      </c>
      <c r="H1871" t="str">
        <f>IF(ISBLANK(Character!H309)," ",Character!H309)</f>
        <v xml:space="preserve"> </v>
      </c>
      <c r="I1871" t="str">
        <f>IF(ISBLANK(Character!I309)," ",Character!I309)</f>
        <v xml:space="preserve"> </v>
      </c>
      <c r="J1871" t="str">
        <f>IF(ISBLANK(Character!J309)," ",Character!J309)</f>
        <v xml:space="preserve"> </v>
      </c>
      <c r="K1871" t="str">
        <f>IF(ISBLANK(Character!K309)," ",Character!K309)</f>
        <v xml:space="preserve"> </v>
      </c>
      <c r="L1871" t="str">
        <f>IF(ISBLANK(Character!L309)," ",Character!L309)</f>
        <v xml:space="preserve"> </v>
      </c>
      <c r="M1871" t="str">
        <f>IF(ISBLANK(Character!M309)," ",Character!M309)</f>
        <v xml:space="preserve"> </v>
      </c>
      <c r="N1871" t="str">
        <f>IF(ISBLANK(Character!N309)," ",Character!N309)</f>
        <v xml:space="preserve"> </v>
      </c>
      <c r="O1871" t="str">
        <f>IF(ISBLANK(Character!O309)," ",Character!O309)</f>
        <v xml:space="preserve"> </v>
      </c>
      <c r="P1871" t="str">
        <f>IF(ISBLANK(Character!P309)," ",Character!P309)</f>
        <v xml:space="preserve"> </v>
      </c>
    </row>
    <row r="1872" spans="1:16" x14ac:dyDescent="0.2">
      <c r="A1872" s="460" t="str">
        <f>CONCATENATE(Posessions!A248,"|",Posessions!B248,"|",Posessions!C248,"|",Posessions!D248)</f>
        <v>|||</v>
      </c>
      <c r="B1872" t="str">
        <f>IF(ISBLANK(Character!B310)," ",Character!B310)</f>
        <v xml:space="preserve"> </v>
      </c>
      <c r="C1872" t="str">
        <f>IF(ISBLANK(Character!C310)," ",Character!C310)</f>
        <v xml:space="preserve"> </v>
      </c>
      <c r="D1872" t="str">
        <f>IF(ISBLANK(Character!D310)," ",Character!D310)</f>
        <v xml:space="preserve"> </v>
      </c>
      <c r="E1872" t="str">
        <f>IF(ISBLANK(Character!E310)," ",Character!E310)</f>
        <v xml:space="preserve"> </v>
      </c>
      <c r="F1872" t="str">
        <f>IF(ISBLANK(Character!F310)," ",Character!F310)</f>
        <v xml:space="preserve"> </v>
      </c>
      <c r="G1872" t="str">
        <f>IF(ISBLANK(Character!G310)," ",Character!G310)</f>
        <v xml:space="preserve"> </v>
      </c>
      <c r="H1872" t="str">
        <f>IF(ISBLANK(Character!H310)," ",Character!H310)</f>
        <v xml:space="preserve"> </v>
      </c>
      <c r="I1872" t="str">
        <f>IF(ISBLANK(Character!I310)," ",Character!I310)</f>
        <v xml:space="preserve"> </v>
      </c>
      <c r="J1872" t="str">
        <f>IF(ISBLANK(Character!J310)," ",Character!J310)</f>
        <v xml:space="preserve"> </v>
      </c>
      <c r="K1872" t="str">
        <f>IF(ISBLANK(Character!K310)," ",Character!K310)</f>
        <v xml:space="preserve"> </v>
      </c>
      <c r="L1872" t="str">
        <f>IF(ISBLANK(Character!L310)," ",Character!L310)</f>
        <v xml:space="preserve"> </v>
      </c>
      <c r="M1872" t="str">
        <f>IF(ISBLANK(Character!M310)," ",Character!M310)</f>
        <v xml:space="preserve"> </v>
      </c>
      <c r="N1872" t="str">
        <f>IF(ISBLANK(Character!N310)," ",Character!N310)</f>
        <v xml:space="preserve"> </v>
      </c>
      <c r="O1872" t="str">
        <f>IF(ISBLANK(Character!O310)," ",Character!O310)</f>
        <v xml:space="preserve"> </v>
      </c>
      <c r="P1872" t="str">
        <f>IF(ISBLANK(Character!P310)," ",Character!P310)</f>
        <v xml:space="preserve"> </v>
      </c>
    </row>
    <row r="1873" spans="1:16" x14ac:dyDescent="0.2">
      <c r="A1873" s="460" t="str">
        <f>CONCATENATE(Posessions!A249,"|",Posessions!B249,"|",Posessions!C249,"|",Posessions!D249)</f>
        <v>|||</v>
      </c>
      <c r="B1873" t="str">
        <f>IF(ISBLANK(Character!B311)," ",Character!B311)</f>
        <v xml:space="preserve"> </v>
      </c>
      <c r="C1873" t="str">
        <f>IF(ISBLANK(Character!C311)," ",Character!C311)</f>
        <v xml:space="preserve"> </v>
      </c>
      <c r="D1873" t="str">
        <f>IF(ISBLANK(Character!D311)," ",Character!D311)</f>
        <v xml:space="preserve"> </v>
      </c>
      <c r="E1873" t="str">
        <f>IF(ISBLANK(Character!E311)," ",Character!E311)</f>
        <v xml:space="preserve"> </v>
      </c>
      <c r="F1873" t="str">
        <f>IF(ISBLANK(Character!F311)," ",Character!F311)</f>
        <v xml:space="preserve"> </v>
      </c>
      <c r="G1873" t="str">
        <f>IF(ISBLANK(Character!G311)," ",Character!G311)</f>
        <v xml:space="preserve"> </v>
      </c>
      <c r="H1873" t="str">
        <f>IF(ISBLANK(Character!H311)," ",Character!H311)</f>
        <v xml:space="preserve"> </v>
      </c>
      <c r="I1873" t="str">
        <f>IF(ISBLANK(Character!I311)," ",Character!I311)</f>
        <v xml:space="preserve"> </v>
      </c>
      <c r="J1873" t="str">
        <f>IF(ISBLANK(Character!J311)," ",Character!J311)</f>
        <v xml:space="preserve"> </v>
      </c>
      <c r="K1873" t="str">
        <f>IF(ISBLANK(Character!K311)," ",Character!K311)</f>
        <v xml:space="preserve"> </v>
      </c>
      <c r="L1873" t="str">
        <f>IF(ISBLANK(Character!L311)," ",Character!L311)</f>
        <v xml:space="preserve"> </v>
      </c>
      <c r="M1873" t="str">
        <f>IF(ISBLANK(Character!M311)," ",Character!M311)</f>
        <v xml:space="preserve"> </v>
      </c>
      <c r="N1873" t="str">
        <f>IF(ISBLANK(Character!N311)," ",Character!N311)</f>
        <v xml:space="preserve"> </v>
      </c>
      <c r="O1873" t="str">
        <f>IF(ISBLANK(Character!O311)," ",Character!O311)</f>
        <v xml:space="preserve"> </v>
      </c>
      <c r="P1873" t="str">
        <f>IF(ISBLANK(Character!P311)," ",Character!P311)</f>
        <v xml:space="preserve"> </v>
      </c>
    </row>
    <row r="1874" spans="1:16" x14ac:dyDescent="0.2">
      <c r="A1874" s="460" t="str">
        <f>CONCATENATE(Posessions!A250,"|",Posessions!B250,"|",Posessions!C250,"|",Posessions!D250)</f>
        <v>|||</v>
      </c>
      <c r="B1874" t="str">
        <f>IF(ISBLANK(Character!B312)," ",Character!B312)</f>
        <v xml:space="preserve"> </v>
      </c>
      <c r="C1874" t="str">
        <f>IF(ISBLANK(Character!C312)," ",Character!C312)</f>
        <v xml:space="preserve"> </v>
      </c>
      <c r="D1874" t="str">
        <f>IF(ISBLANK(Character!D312)," ",Character!D312)</f>
        <v xml:space="preserve"> </v>
      </c>
      <c r="E1874" t="str">
        <f>IF(ISBLANK(Character!E312)," ",Character!E312)</f>
        <v xml:space="preserve"> </v>
      </c>
      <c r="F1874" t="str">
        <f>IF(ISBLANK(Character!F312)," ",Character!F312)</f>
        <v xml:space="preserve"> </v>
      </c>
      <c r="G1874" t="str">
        <f>IF(ISBLANK(Character!G312)," ",Character!G312)</f>
        <v xml:space="preserve"> </v>
      </c>
      <c r="H1874" t="str">
        <f>IF(ISBLANK(Character!H312)," ",Character!H312)</f>
        <v xml:space="preserve"> </v>
      </c>
      <c r="I1874" t="str">
        <f>IF(ISBLANK(Character!I312)," ",Character!I312)</f>
        <v xml:space="preserve"> </v>
      </c>
      <c r="J1874" t="str">
        <f>IF(ISBLANK(Character!J312)," ",Character!J312)</f>
        <v xml:space="preserve"> </v>
      </c>
      <c r="K1874" t="str">
        <f>IF(ISBLANK(Character!K312)," ",Character!K312)</f>
        <v xml:space="preserve"> </v>
      </c>
      <c r="L1874" t="str">
        <f>IF(ISBLANK(Character!L312)," ",Character!L312)</f>
        <v xml:space="preserve"> </v>
      </c>
      <c r="M1874" t="str">
        <f>IF(ISBLANK(Character!M312)," ",Character!M312)</f>
        <v xml:space="preserve"> </v>
      </c>
      <c r="N1874" t="str">
        <f>IF(ISBLANK(Character!N312)," ",Character!N312)</f>
        <v xml:space="preserve"> </v>
      </c>
      <c r="O1874" t="str">
        <f>IF(ISBLANK(Character!O312)," ",Character!O312)</f>
        <v xml:space="preserve"> </v>
      </c>
      <c r="P1874" t="str">
        <f>IF(ISBLANK(Character!P312)," ",Character!P312)</f>
        <v xml:space="preserve"> </v>
      </c>
    </row>
    <row r="1875" spans="1:16" x14ac:dyDescent="0.2">
      <c r="A1875" s="460" t="str">
        <f>CONCATENATE(Posessions!A251,"|",Posessions!B251,"|",Posessions!C251,"|",Posessions!D251)</f>
        <v>|||</v>
      </c>
      <c r="B1875" t="str">
        <f>IF(ISBLANK(Character!B313)," ",Character!B313)</f>
        <v xml:space="preserve"> </v>
      </c>
      <c r="C1875" t="str">
        <f>IF(ISBLANK(Character!C313)," ",Character!C313)</f>
        <v xml:space="preserve"> </v>
      </c>
      <c r="D1875" t="str">
        <f>IF(ISBLANK(Character!D313)," ",Character!D313)</f>
        <v xml:space="preserve"> </v>
      </c>
      <c r="E1875" t="str">
        <f>IF(ISBLANK(Character!E313)," ",Character!E313)</f>
        <v xml:space="preserve"> </v>
      </c>
      <c r="F1875" t="str">
        <f>IF(ISBLANK(Character!F313)," ",Character!F313)</f>
        <v xml:space="preserve"> </v>
      </c>
      <c r="G1875" t="str">
        <f>IF(ISBLANK(Character!G313)," ",Character!G313)</f>
        <v xml:space="preserve"> </v>
      </c>
      <c r="H1875" t="str">
        <f>IF(ISBLANK(Character!H313)," ",Character!H313)</f>
        <v xml:space="preserve"> </v>
      </c>
      <c r="I1875" t="str">
        <f>IF(ISBLANK(Character!I313)," ",Character!I313)</f>
        <v xml:space="preserve"> </v>
      </c>
      <c r="J1875" t="str">
        <f>IF(ISBLANK(Character!J313)," ",Character!J313)</f>
        <v xml:space="preserve"> </v>
      </c>
      <c r="K1875" t="str">
        <f>IF(ISBLANK(Character!K313)," ",Character!K313)</f>
        <v xml:space="preserve"> </v>
      </c>
      <c r="L1875" t="str">
        <f>IF(ISBLANK(Character!L313)," ",Character!L313)</f>
        <v xml:space="preserve"> </v>
      </c>
      <c r="M1875" t="str">
        <f>IF(ISBLANK(Character!M313)," ",Character!M313)</f>
        <v xml:space="preserve"> </v>
      </c>
      <c r="N1875" t="str">
        <f>IF(ISBLANK(Character!N313)," ",Character!N313)</f>
        <v xml:space="preserve"> </v>
      </c>
      <c r="O1875" t="str">
        <f>IF(ISBLANK(Character!O313)," ",Character!O313)</f>
        <v xml:space="preserve"> </v>
      </c>
      <c r="P1875" t="str">
        <f>IF(ISBLANK(Character!P313)," ",Character!P313)</f>
        <v xml:space="preserve"> </v>
      </c>
    </row>
    <row r="1876" spans="1:16" x14ac:dyDescent="0.2">
      <c r="A1876" s="460" t="str">
        <f>CONCATENATE(Posessions!A252,"|",Posessions!B252,"|",Posessions!C252,"|",Posessions!D252)</f>
        <v>|||</v>
      </c>
      <c r="B1876" t="str">
        <f>IF(ISBLANK(Character!B314)," ",Character!B314)</f>
        <v xml:space="preserve"> </v>
      </c>
      <c r="C1876" t="str">
        <f>IF(ISBLANK(Character!C314)," ",Character!C314)</f>
        <v xml:space="preserve"> </v>
      </c>
      <c r="D1876" t="str">
        <f>IF(ISBLANK(Character!D314)," ",Character!D314)</f>
        <v xml:space="preserve"> </v>
      </c>
      <c r="E1876" t="str">
        <f>IF(ISBLANK(Character!E314)," ",Character!E314)</f>
        <v xml:space="preserve"> </v>
      </c>
      <c r="F1876" t="str">
        <f>IF(ISBLANK(Character!F314)," ",Character!F314)</f>
        <v xml:space="preserve"> </v>
      </c>
      <c r="G1876" t="str">
        <f>IF(ISBLANK(Character!G314)," ",Character!G314)</f>
        <v xml:space="preserve"> </v>
      </c>
      <c r="H1876" t="str">
        <f>IF(ISBLANK(Character!H314)," ",Character!H314)</f>
        <v xml:space="preserve"> </v>
      </c>
      <c r="I1876" t="str">
        <f>IF(ISBLANK(Character!I314)," ",Character!I314)</f>
        <v xml:space="preserve"> </v>
      </c>
      <c r="J1876" t="str">
        <f>IF(ISBLANK(Character!J314)," ",Character!J314)</f>
        <v xml:space="preserve"> </v>
      </c>
      <c r="K1876" t="str">
        <f>IF(ISBLANK(Character!K314)," ",Character!K314)</f>
        <v xml:space="preserve"> </v>
      </c>
      <c r="L1876" t="str">
        <f>IF(ISBLANK(Character!L314)," ",Character!L314)</f>
        <v xml:space="preserve"> </v>
      </c>
      <c r="M1876" t="str">
        <f>IF(ISBLANK(Character!M314)," ",Character!M314)</f>
        <v xml:space="preserve"> </v>
      </c>
      <c r="N1876" t="str">
        <f>IF(ISBLANK(Character!N314)," ",Character!N314)</f>
        <v xml:space="preserve"> </v>
      </c>
      <c r="O1876" t="str">
        <f>IF(ISBLANK(Character!O314)," ",Character!O314)</f>
        <v xml:space="preserve"> </v>
      </c>
      <c r="P1876" t="str">
        <f>IF(ISBLANK(Character!P314)," ",Character!P314)</f>
        <v xml:space="preserve"> </v>
      </c>
    </row>
    <row r="1877" spans="1:16" x14ac:dyDescent="0.2">
      <c r="A1877" s="460" t="str">
        <f>CONCATENATE(Posessions!A253,"|",Posessions!B253,"|",Posessions!C253,"|",Posessions!D253)</f>
        <v>|||</v>
      </c>
      <c r="B1877" t="str">
        <f>IF(ISBLANK(Character!B315)," ",Character!B315)</f>
        <v xml:space="preserve"> </v>
      </c>
      <c r="C1877" t="str">
        <f>IF(ISBLANK(Character!C315)," ",Character!C315)</f>
        <v xml:space="preserve"> </v>
      </c>
      <c r="D1877" t="str">
        <f>IF(ISBLANK(Character!D315)," ",Character!D315)</f>
        <v xml:space="preserve"> </v>
      </c>
      <c r="E1877" t="str">
        <f>IF(ISBLANK(Character!E315)," ",Character!E315)</f>
        <v xml:space="preserve"> </v>
      </c>
      <c r="F1877" t="str">
        <f>IF(ISBLANK(Character!F315)," ",Character!F315)</f>
        <v xml:space="preserve"> </v>
      </c>
      <c r="G1877" t="str">
        <f>IF(ISBLANK(Character!G315)," ",Character!G315)</f>
        <v xml:space="preserve"> </v>
      </c>
      <c r="H1877" t="str">
        <f>IF(ISBLANK(Character!H315)," ",Character!H315)</f>
        <v xml:space="preserve"> </v>
      </c>
      <c r="I1877" t="str">
        <f>IF(ISBLANK(Character!I315)," ",Character!I315)</f>
        <v xml:space="preserve"> </v>
      </c>
      <c r="J1877" t="str">
        <f>IF(ISBLANK(Character!J315)," ",Character!J315)</f>
        <v xml:space="preserve"> </v>
      </c>
      <c r="K1877" t="str">
        <f>IF(ISBLANK(Character!K315)," ",Character!K315)</f>
        <v xml:space="preserve"> </v>
      </c>
      <c r="L1877" t="str">
        <f>IF(ISBLANK(Character!L315)," ",Character!L315)</f>
        <v xml:space="preserve"> </v>
      </c>
      <c r="M1877" t="str">
        <f>IF(ISBLANK(Character!M315)," ",Character!M315)</f>
        <v xml:space="preserve"> </v>
      </c>
      <c r="N1877" t="str">
        <f>IF(ISBLANK(Character!N315)," ",Character!N315)</f>
        <v xml:space="preserve"> </v>
      </c>
      <c r="O1877" t="str">
        <f>IF(ISBLANK(Character!O315)," ",Character!O315)</f>
        <v xml:space="preserve"> </v>
      </c>
      <c r="P1877" t="str">
        <f>IF(ISBLANK(Character!P315)," ",Character!P315)</f>
        <v xml:space="preserve"> </v>
      </c>
    </row>
    <row r="1878" spans="1:16" x14ac:dyDescent="0.2">
      <c r="A1878" s="460" t="str">
        <f>CONCATENATE(Posessions!A254,"|",Posessions!B254,"|",Posessions!C254,"|",Posessions!D254)</f>
        <v>|||</v>
      </c>
      <c r="B1878" t="str">
        <f>IF(ISBLANK(Character!B316)," ",Character!B316)</f>
        <v xml:space="preserve"> </v>
      </c>
      <c r="C1878" t="str">
        <f>IF(ISBLANK(Character!C316)," ",Character!C316)</f>
        <v xml:space="preserve"> </v>
      </c>
      <c r="D1878" t="str">
        <f>IF(ISBLANK(Character!D316)," ",Character!D316)</f>
        <v xml:space="preserve"> </v>
      </c>
      <c r="E1878" t="str">
        <f>IF(ISBLANK(Character!E316)," ",Character!E316)</f>
        <v xml:space="preserve"> </v>
      </c>
      <c r="F1878" t="str">
        <f>IF(ISBLANK(Character!F316)," ",Character!F316)</f>
        <v xml:space="preserve"> </v>
      </c>
      <c r="G1878" t="str">
        <f>IF(ISBLANK(Character!G316)," ",Character!G316)</f>
        <v xml:space="preserve"> </v>
      </c>
      <c r="H1878" t="str">
        <f>IF(ISBLANK(Character!H316)," ",Character!H316)</f>
        <v xml:space="preserve"> </v>
      </c>
      <c r="I1878" t="str">
        <f>IF(ISBLANK(Character!I316)," ",Character!I316)</f>
        <v xml:space="preserve"> </v>
      </c>
      <c r="J1878" t="str">
        <f>IF(ISBLANK(Character!J316)," ",Character!J316)</f>
        <v xml:space="preserve"> </v>
      </c>
      <c r="K1878" t="str">
        <f>IF(ISBLANK(Character!K316)," ",Character!K316)</f>
        <v xml:space="preserve"> </v>
      </c>
      <c r="L1878" t="str">
        <f>IF(ISBLANK(Character!L316)," ",Character!L316)</f>
        <v xml:space="preserve"> </v>
      </c>
      <c r="M1878" t="str">
        <f>IF(ISBLANK(Character!M316)," ",Character!M316)</f>
        <v xml:space="preserve"> </v>
      </c>
      <c r="N1878" t="str">
        <f>IF(ISBLANK(Character!N316)," ",Character!N316)</f>
        <v xml:space="preserve"> </v>
      </c>
      <c r="O1878" t="str">
        <f>IF(ISBLANK(Character!O316)," ",Character!O316)</f>
        <v xml:space="preserve"> </v>
      </c>
      <c r="P1878" t="str">
        <f>IF(ISBLANK(Character!P316)," ",Character!P316)</f>
        <v xml:space="preserve"> </v>
      </c>
    </row>
    <row r="1879" spans="1:16" x14ac:dyDescent="0.2">
      <c r="A1879" s="460" t="str">
        <f>CONCATENATE(Posessions!A255,"|",Posessions!B255,"|",Posessions!C255,"|",Posessions!D255)</f>
        <v>|||</v>
      </c>
      <c r="B1879" t="str">
        <f>IF(ISBLANK(Character!B317)," ",Character!B317)</f>
        <v xml:space="preserve"> </v>
      </c>
      <c r="C1879" t="str">
        <f>IF(ISBLANK(Character!C317)," ",Character!C317)</f>
        <v xml:space="preserve"> </v>
      </c>
      <c r="D1879" t="str">
        <f>IF(ISBLANK(Character!D317)," ",Character!D317)</f>
        <v xml:space="preserve"> </v>
      </c>
      <c r="E1879" t="str">
        <f>IF(ISBLANK(Character!E317)," ",Character!E317)</f>
        <v xml:space="preserve"> </v>
      </c>
      <c r="F1879" t="str">
        <f>IF(ISBLANK(Character!F317)," ",Character!F317)</f>
        <v xml:space="preserve"> </v>
      </c>
      <c r="G1879" t="str">
        <f>IF(ISBLANK(Character!G317)," ",Character!G317)</f>
        <v xml:space="preserve"> </v>
      </c>
      <c r="H1879" t="str">
        <f>IF(ISBLANK(Character!H317)," ",Character!H317)</f>
        <v xml:space="preserve"> </v>
      </c>
      <c r="I1879" t="str">
        <f>IF(ISBLANK(Character!I317)," ",Character!I317)</f>
        <v xml:space="preserve"> </v>
      </c>
      <c r="J1879" t="str">
        <f>IF(ISBLANK(Character!J317)," ",Character!J317)</f>
        <v xml:space="preserve"> </v>
      </c>
      <c r="K1879" t="str">
        <f>IF(ISBLANK(Character!K317)," ",Character!K317)</f>
        <v xml:space="preserve"> </v>
      </c>
      <c r="L1879" t="str">
        <f>IF(ISBLANK(Character!L317)," ",Character!L317)</f>
        <v xml:space="preserve"> </v>
      </c>
      <c r="M1879" t="str">
        <f>IF(ISBLANK(Character!M317)," ",Character!M317)</f>
        <v xml:space="preserve"> </v>
      </c>
      <c r="N1879" t="str">
        <f>IF(ISBLANK(Character!N317)," ",Character!N317)</f>
        <v xml:space="preserve"> </v>
      </c>
      <c r="O1879" t="str">
        <f>IF(ISBLANK(Character!O317)," ",Character!O317)</f>
        <v xml:space="preserve"> </v>
      </c>
      <c r="P1879" t="str">
        <f>IF(ISBLANK(Character!P317)," ",Character!P317)</f>
        <v xml:space="preserve"> </v>
      </c>
    </row>
    <row r="1880" spans="1:16" x14ac:dyDescent="0.2">
      <c r="A1880" s="460" t="str">
        <f>CONCATENATE(Posessions!A256,"|",Posessions!B256,"|",Posessions!C256,"|",Posessions!D256)</f>
        <v>|||</v>
      </c>
      <c r="B1880" t="str">
        <f>IF(ISBLANK(Character!B318)," ",Character!B318)</f>
        <v xml:space="preserve"> </v>
      </c>
      <c r="C1880" t="str">
        <f>IF(ISBLANK(Character!C318)," ",Character!C318)</f>
        <v xml:space="preserve"> </v>
      </c>
      <c r="D1880" t="str">
        <f>IF(ISBLANK(Character!D318)," ",Character!D318)</f>
        <v xml:space="preserve"> </v>
      </c>
      <c r="E1880" t="str">
        <f>IF(ISBLANK(Character!E318)," ",Character!E318)</f>
        <v xml:space="preserve"> </v>
      </c>
      <c r="F1880" t="str">
        <f>IF(ISBLANK(Character!F318)," ",Character!F318)</f>
        <v xml:space="preserve"> </v>
      </c>
      <c r="G1880" t="str">
        <f>IF(ISBLANK(Character!G318)," ",Character!G318)</f>
        <v xml:space="preserve"> </v>
      </c>
      <c r="H1880" t="str">
        <f>IF(ISBLANK(Character!H318)," ",Character!H318)</f>
        <v xml:space="preserve"> </v>
      </c>
      <c r="I1880" t="str">
        <f>IF(ISBLANK(Character!I318)," ",Character!I318)</f>
        <v xml:space="preserve"> </v>
      </c>
      <c r="J1880" t="str">
        <f>IF(ISBLANK(Character!J318)," ",Character!J318)</f>
        <v xml:space="preserve"> </v>
      </c>
      <c r="K1880" t="str">
        <f>IF(ISBLANK(Character!K318)," ",Character!K318)</f>
        <v xml:space="preserve"> </v>
      </c>
      <c r="L1880" t="str">
        <f>IF(ISBLANK(Character!L318)," ",Character!L318)</f>
        <v xml:space="preserve"> </v>
      </c>
      <c r="M1880" t="str">
        <f>IF(ISBLANK(Character!M318)," ",Character!M318)</f>
        <v xml:space="preserve"> </v>
      </c>
      <c r="N1880" t="str">
        <f>IF(ISBLANK(Character!N318)," ",Character!N318)</f>
        <v xml:space="preserve"> </v>
      </c>
      <c r="O1880" t="str">
        <f>IF(ISBLANK(Character!O318)," ",Character!O318)</f>
        <v xml:space="preserve"> </v>
      </c>
      <c r="P1880" t="str">
        <f>IF(ISBLANK(Character!P318)," ",Character!P318)</f>
        <v xml:space="preserve"> </v>
      </c>
    </row>
    <row r="1881" spans="1:16" x14ac:dyDescent="0.2">
      <c r="A1881" s="460" t="str">
        <f>CONCATENATE(Posessions!A257,"|",Posessions!B257,"|",Posessions!C257,"|",Posessions!D257)</f>
        <v>|||</v>
      </c>
      <c r="B1881" t="str">
        <f>IF(ISBLANK(Character!B319)," ",Character!B319)</f>
        <v xml:space="preserve"> </v>
      </c>
      <c r="C1881" t="str">
        <f>IF(ISBLANK(Character!C319)," ",Character!C319)</f>
        <v xml:space="preserve"> </v>
      </c>
      <c r="D1881" t="str">
        <f>IF(ISBLANK(Character!D319)," ",Character!D319)</f>
        <v xml:space="preserve"> </v>
      </c>
      <c r="E1881" t="str">
        <f>IF(ISBLANK(Character!E319)," ",Character!E319)</f>
        <v xml:space="preserve"> </v>
      </c>
      <c r="F1881" t="str">
        <f>IF(ISBLANK(Character!F319)," ",Character!F319)</f>
        <v xml:space="preserve"> </v>
      </c>
      <c r="G1881" t="str">
        <f>IF(ISBLANK(Character!G319)," ",Character!G319)</f>
        <v xml:space="preserve"> </v>
      </c>
      <c r="H1881" t="str">
        <f>IF(ISBLANK(Character!H319)," ",Character!H319)</f>
        <v xml:space="preserve"> </v>
      </c>
      <c r="I1881" t="str">
        <f>IF(ISBLANK(Character!I319)," ",Character!I319)</f>
        <v xml:space="preserve"> </v>
      </c>
      <c r="J1881" t="str">
        <f>IF(ISBLANK(Character!J319)," ",Character!J319)</f>
        <v xml:space="preserve"> </v>
      </c>
      <c r="K1881" t="str">
        <f>IF(ISBLANK(Character!K319)," ",Character!K319)</f>
        <v xml:space="preserve"> </v>
      </c>
      <c r="L1881" t="str">
        <f>IF(ISBLANK(Character!L319)," ",Character!L319)</f>
        <v xml:space="preserve"> </v>
      </c>
      <c r="M1881" t="str">
        <f>IF(ISBLANK(Character!M319)," ",Character!M319)</f>
        <v xml:space="preserve"> </v>
      </c>
      <c r="N1881" t="str">
        <f>IF(ISBLANK(Character!N319)," ",Character!N319)</f>
        <v xml:space="preserve"> </v>
      </c>
      <c r="O1881" t="str">
        <f>IF(ISBLANK(Character!O319)," ",Character!O319)</f>
        <v xml:space="preserve"> </v>
      </c>
      <c r="P1881" t="str">
        <f>IF(ISBLANK(Character!P319)," ",Character!P319)</f>
        <v xml:space="preserve"> </v>
      </c>
    </row>
    <row r="1882" spans="1:16" x14ac:dyDescent="0.2">
      <c r="A1882" s="460" t="str">
        <f>CONCATENATE(Posessions!A258,"|",Posessions!B258,"|",Posessions!C258,"|",Posessions!D258)</f>
        <v>|||</v>
      </c>
      <c r="B1882" t="str">
        <f>IF(ISBLANK(Character!B320)," ",Character!B320)</f>
        <v xml:space="preserve"> </v>
      </c>
      <c r="C1882" t="str">
        <f>IF(ISBLANK(Character!C320)," ",Character!C320)</f>
        <v xml:space="preserve"> </v>
      </c>
      <c r="D1882" t="str">
        <f>IF(ISBLANK(Character!D320)," ",Character!D320)</f>
        <v xml:space="preserve"> </v>
      </c>
      <c r="E1882" t="str">
        <f>IF(ISBLANK(Character!E320)," ",Character!E320)</f>
        <v xml:space="preserve"> </v>
      </c>
      <c r="F1882" t="str">
        <f>IF(ISBLANK(Character!F320)," ",Character!F320)</f>
        <v xml:space="preserve"> </v>
      </c>
      <c r="G1882" t="str">
        <f>IF(ISBLANK(Character!G320)," ",Character!G320)</f>
        <v xml:space="preserve"> </v>
      </c>
      <c r="H1882" t="str">
        <f>IF(ISBLANK(Character!H320)," ",Character!H320)</f>
        <v xml:space="preserve"> </v>
      </c>
      <c r="I1882" t="str">
        <f>IF(ISBLANK(Character!I320)," ",Character!I320)</f>
        <v xml:space="preserve"> </v>
      </c>
      <c r="J1882" t="str">
        <f>IF(ISBLANK(Character!J320)," ",Character!J320)</f>
        <v xml:space="preserve"> </v>
      </c>
      <c r="K1882" t="str">
        <f>IF(ISBLANK(Character!K320)," ",Character!K320)</f>
        <v xml:space="preserve"> </v>
      </c>
      <c r="L1882" t="str">
        <f>IF(ISBLANK(Character!L320)," ",Character!L320)</f>
        <v xml:space="preserve"> </v>
      </c>
      <c r="M1882" t="str">
        <f>IF(ISBLANK(Character!M320)," ",Character!M320)</f>
        <v xml:space="preserve"> </v>
      </c>
      <c r="N1882" t="str">
        <f>IF(ISBLANK(Character!N320)," ",Character!N320)</f>
        <v xml:space="preserve"> </v>
      </c>
      <c r="O1882" t="str">
        <f>IF(ISBLANK(Character!O320)," ",Character!O320)</f>
        <v xml:space="preserve"> </v>
      </c>
      <c r="P1882" t="str">
        <f>IF(ISBLANK(Character!P320)," ",Character!P320)</f>
        <v xml:space="preserve"> </v>
      </c>
    </row>
    <row r="1883" spans="1:16" x14ac:dyDescent="0.2">
      <c r="A1883" s="460" t="str">
        <f>CONCATENATE(Posessions!A259,"|",Posessions!B259,"|",Posessions!C259,"|",Posessions!D259)</f>
        <v>|||</v>
      </c>
      <c r="B1883" t="str">
        <f>IF(ISBLANK(Character!B321)," ",Character!B321)</f>
        <v xml:space="preserve"> </v>
      </c>
      <c r="C1883" t="str">
        <f>IF(ISBLANK(Character!C321)," ",Character!C321)</f>
        <v xml:space="preserve"> </v>
      </c>
      <c r="D1883" t="str">
        <f>IF(ISBLANK(Character!D321)," ",Character!D321)</f>
        <v xml:space="preserve"> </v>
      </c>
      <c r="E1883" t="str">
        <f>IF(ISBLANK(Character!E321)," ",Character!E321)</f>
        <v xml:space="preserve"> </v>
      </c>
      <c r="F1883" t="str">
        <f>IF(ISBLANK(Character!F321)," ",Character!F321)</f>
        <v xml:space="preserve"> </v>
      </c>
      <c r="G1883" t="str">
        <f>IF(ISBLANK(Character!G321)," ",Character!G321)</f>
        <v xml:space="preserve"> </v>
      </c>
      <c r="H1883" t="str">
        <f>IF(ISBLANK(Character!H321)," ",Character!H321)</f>
        <v xml:space="preserve"> </v>
      </c>
      <c r="I1883" t="str">
        <f>IF(ISBLANK(Character!I321)," ",Character!I321)</f>
        <v xml:space="preserve"> </v>
      </c>
      <c r="J1883" t="str">
        <f>IF(ISBLANK(Character!J321)," ",Character!J321)</f>
        <v xml:space="preserve"> </v>
      </c>
      <c r="K1883" t="str">
        <f>IF(ISBLANK(Character!K321)," ",Character!K321)</f>
        <v xml:space="preserve"> </v>
      </c>
      <c r="L1883" t="str">
        <f>IF(ISBLANK(Character!L321)," ",Character!L321)</f>
        <v xml:space="preserve"> </v>
      </c>
      <c r="M1883" t="str">
        <f>IF(ISBLANK(Character!M321)," ",Character!M321)</f>
        <v xml:space="preserve"> </v>
      </c>
      <c r="N1883" t="str">
        <f>IF(ISBLANK(Character!N321)," ",Character!N321)</f>
        <v xml:space="preserve"> </v>
      </c>
      <c r="O1883" t="str">
        <f>IF(ISBLANK(Character!O321)," ",Character!O321)</f>
        <v xml:space="preserve"> </v>
      </c>
      <c r="P1883" t="str">
        <f>IF(ISBLANK(Character!P321)," ",Character!P321)</f>
        <v xml:space="preserve"> </v>
      </c>
    </row>
    <row r="1884" spans="1:16" x14ac:dyDescent="0.2">
      <c r="A1884" s="460" t="str">
        <f>CONCATENATE(Posessions!A260,"|",Posessions!B260,"|",Posessions!C260,"|",Posessions!D260)</f>
        <v>|||</v>
      </c>
      <c r="B1884" t="str">
        <f>IF(ISBLANK(Character!B322)," ",Character!B322)</f>
        <v xml:space="preserve"> </v>
      </c>
      <c r="C1884" t="str">
        <f>IF(ISBLANK(Character!C322)," ",Character!C322)</f>
        <v xml:space="preserve"> </v>
      </c>
      <c r="D1884" t="str">
        <f>IF(ISBLANK(Character!D322)," ",Character!D322)</f>
        <v xml:space="preserve"> </v>
      </c>
      <c r="E1884" t="str">
        <f>IF(ISBLANK(Character!E322)," ",Character!E322)</f>
        <v xml:space="preserve"> </v>
      </c>
      <c r="F1884" t="str">
        <f>IF(ISBLANK(Character!F322)," ",Character!F322)</f>
        <v xml:space="preserve"> </v>
      </c>
      <c r="G1884" t="str">
        <f>IF(ISBLANK(Character!G322)," ",Character!G322)</f>
        <v xml:space="preserve"> </v>
      </c>
      <c r="H1884" t="str">
        <f>IF(ISBLANK(Character!H322)," ",Character!H322)</f>
        <v xml:space="preserve"> </v>
      </c>
      <c r="I1884" t="str">
        <f>IF(ISBLANK(Character!I322)," ",Character!I322)</f>
        <v xml:space="preserve"> </v>
      </c>
      <c r="J1884" t="str">
        <f>IF(ISBLANK(Character!J322)," ",Character!J322)</f>
        <v xml:space="preserve"> </v>
      </c>
      <c r="K1884" t="str">
        <f>IF(ISBLANK(Character!K322)," ",Character!K322)</f>
        <v xml:space="preserve"> </v>
      </c>
      <c r="L1884" t="str">
        <f>IF(ISBLANK(Character!L322)," ",Character!L322)</f>
        <v xml:space="preserve"> </v>
      </c>
      <c r="M1884" t="str">
        <f>IF(ISBLANK(Character!M322)," ",Character!M322)</f>
        <v xml:space="preserve"> </v>
      </c>
      <c r="N1884" t="str">
        <f>IF(ISBLANK(Character!N322)," ",Character!N322)</f>
        <v xml:space="preserve"> </v>
      </c>
      <c r="O1884" t="str">
        <f>IF(ISBLANK(Character!O322)," ",Character!O322)</f>
        <v xml:space="preserve"> </v>
      </c>
      <c r="P1884" t="str">
        <f>IF(ISBLANK(Character!P322)," ",Character!P322)</f>
        <v xml:space="preserve"> </v>
      </c>
    </row>
    <row r="1885" spans="1:16" x14ac:dyDescent="0.2">
      <c r="A1885" s="460" t="str">
        <f>CONCATENATE(Posessions!A261,"|",Posessions!B261,"|",Posessions!C261,"|",Posessions!D261)</f>
        <v>|||</v>
      </c>
      <c r="B1885" t="str">
        <f>IF(ISBLANK(Character!B323)," ",Character!B323)</f>
        <v xml:space="preserve"> </v>
      </c>
      <c r="C1885" t="str">
        <f>IF(ISBLANK(Character!C323)," ",Character!C323)</f>
        <v xml:space="preserve"> </v>
      </c>
      <c r="D1885" t="str">
        <f>IF(ISBLANK(Character!D323)," ",Character!D323)</f>
        <v xml:space="preserve"> </v>
      </c>
      <c r="E1885" t="str">
        <f>IF(ISBLANK(Character!E323)," ",Character!E323)</f>
        <v xml:space="preserve"> </v>
      </c>
      <c r="F1885" t="str">
        <f>IF(ISBLANK(Character!F323)," ",Character!F323)</f>
        <v xml:space="preserve"> </v>
      </c>
      <c r="G1885" t="str">
        <f>IF(ISBLANK(Character!G323)," ",Character!G323)</f>
        <v xml:space="preserve"> </v>
      </c>
      <c r="H1885" t="str">
        <f>IF(ISBLANK(Character!H323)," ",Character!H323)</f>
        <v xml:space="preserve"> </v>
      </c>
      <c r="I1885" t="str">
        <f>IF(ISBLANK(Character!I323)," ",Character!I323)</f>
        <v xml:space="preserve"> </v>
      </c>
      <c r="J1885" t="str">
        <f>IF(ISBLANK(Character!J323)," ",Character!J323)</f>
        <v xml:space="preserve"> </v>
      </c>
      <c r="K1885" t="str">
        <f>IF(ISBLANK(Character!K323)," ",Character!K323)</f>
        <v xml:space="preserve"> </v>
      </c>
      <c r="L1885" t="str">
        <f>IF(ISBLANK(Character!L323)," ",Character!L323)</f>
        <v xml:space="preserve"> </v>
      </c>
      <c r="M1885" t="str">
        <f>IF(ISBLANK(Character!M323)," ",Character!M323)</f>
        <v xml:space="preserve"> </v>
      </c>
      <c r="N1885" t="str">
        <f>IF(ISBLANK(Character!N323)," ",Character!N323)</f>
        <v xml:space="preserve"> </v>
      </c>
      <c r="O1885" t="str">
        <f>IF(ISBLANK(Character!O323)," ",Character!O323)</f>
        <v xml:space="preserve"> </v>
      </c>
      <c r="P1885" t="str">
        <f>IF(ISBLANK(Character!P323)," ",Character!P323)</f>
        <v xml:space="preserve"> </v>
      </c>
    </row>
    <row r="1886" spans="1:16" x14ac:dyDescent="0.2">
      <c r="A1886" s="460" t="str">
        <f>CONCATENATE(Posessions!A262,"|",Posessions!B262,"|",Posessions!C262,"|",Posessions!D262)</f>
        <v>|||</v>
      </c>
      <c r="B1886" t="str">
        <f>IF(ISBLANK(Character!B324)," ",Character!B324)</f>
        <v xml:space="preserve"> </v>
      </c>
      <c r="C1886" t="str">
        <f>IF(ISBLANK(Character!C324)," ",Character!C324)</f>
        <v xml:space="preserve"> </v>
      </c>
      <c r="D1886" t="str">
        <f>IF(ISBLANK(Character!D324)," ",Character!D324)</f>
        <v xml:space="preserve"> </v>
      </c>
      <c r="E1886" t="str">
        <f>IF(ISBLANK(Character!E324)," ",Character!E324)</f>
        <v xml:space="preserve"> </v>
      </c>
      <c r="F1886" t="str">
        <f>IF(ISBLANK(Character!F324)," ",Character!F324)</f>
        <v xml:space="preserve"> </v>
      </c>
      <c r="G1886" t="str">
        <f>IF(ISBLANK(Character!G324)," ",Character!G324)</f>
        <v xml:space="preserve"> </v>
      </c>
      <c r="H1886" t="str">
        <f>IF(ISBLANK(Character!H324)," ",Character!H324)</f>
        <v xml:space="preserve"> </v>
      </c>
      <c r="I1886" t="str">
        <f>IF(ISBLANK(Character!I324)," ",Character!I324)</f>
        <v xml:space="preserve"> </v>
      </c>
      <c r="J1886" t="str">
        <f>IF(ISBLANK(Character!J324)," ",Character!J324)</f>
        <v xml:space="preserve"> </v>
      </c>
      <c r="K1886" t="str">
        <f>IF(ISBLANK(Character!K324)," ",Character!K324)</f>
        <v xml:space="preserve"> </v>
      </c>
      <c r="L1886" t="str">
        <f>IF(ISBLANK(Character!L324)," ",Character!L324)</f>
        <v xml:space="preserve"> </v>
      </c>
      <c r="M1886" t="str">
        <f>IF(ISBLANK(Character!M324)," ",Character!M324)</f>
        <v xml:space="preserve"> </v>
      </c>
      <c r="N1886" t="str">
        <f>IF(ISBLANK(Character!N324)," ",Character!N324)</f>
        <v xml:space="preserve"> </v>
      </c>
      <c r="O1886" t="str">
        <f>IF(ISBLANK(Character!O324)," ",Character!O324)</f>
        <v xml:space="preserve"> </v>
      </c>
      <c r="P1886" t="str">
        <f>IF(ISBLANK(Character!P324)," ",Character!P324)</f>
        <v xml:space="preserve"> </v>
      </c>
    </row>
    <row r="1887" spans="1:16" x14ac:dyDescent="0.2">
      <c r="A1887" s="460" t="str">
        <f>CONCATENATE(Posessions!A263,"|",Posessions!B263,"|",Posessions!C263,"|",Posessions!D263)</f>
        <v>|||</v>
      </c>
      <c r="B1887" t="str">
        <f>IF(ISBLANK(Character!B325)," ",Character!B325)</f>
        <v xml:space="preserve"> </v>
      </c>
      <c r="C1887" t="str">
        <f>IF(ISBLANK(Character!C325)," ",Character!C325)</f>
        <v xml:space="preserve"> </v>
      </c>
      <c r="D1887" t="str">
        <f>IF(ISBLANK(Character!D325)," ",Character!D325)</f>
        <v xml:space="preserve"> </v>
      </c>
      <c r="E1887" t="str">
        <f>IF(ISBLANK(Character!E325)," ",Character!E325)</f>
        <v xml:space="preserve"> </v>
      </c>
      <c r="F1887" t="str">
        <f>IF(ISBLANK(Character!F325)," ",Character!F325)</f>
        <v xml:space="preserve"> </v>
      </c>
      <c r="G1887" t="str">
        <f>IF(ISBLANK(Character!G325)," ",Character!G325)</f>
        <v xml:space="preserve"> </v>
      </c>
      <c r="H1887" t="str">
        <f>IF(ISBLANK(Character!H325)," ",Character!H325)</f>
        <v xml:space="preserve"> </v>
      </c>
      <c r="I1887" t="str">
        <f>IF(ISBLANK(Character!I325)," ",Character!I325)</f>
        <v xml:space="preserve"> </v>
      </c>
      <c r="J1887" t="str">
        <f>IF(ISBLANK(Character!J325)," ",Character!J325)</f>
        <v xml:space="preserve"> </v>
      </c>
      <c r="K1887" t="str">
        <f>IF(ISBLANK(Character!K325)," ",Character!K325)</f>
        <v xml:space="preserve"> </v>
      </c>
      <c r="L1887" t="str">
        <f>IF(ISBLANK(Character!L325)," ",Character!L325)</f>
        <v xml:space="preserve"> </v>
      </c>
      <c r="M1887" t="str">
        <f>IF(ISBLANK(Character!M325)," ",Character!M325)</f>
        <v xml:space="preserve"> </v>
      </c>
      <c r="N1887" t="str">
        <f>IF(ISBLANK(Character!N325)," ",Character!N325)</f>
        <v xml:space="preserve"> </v>
      </c>
      <c r="O1887" t="str">
        <f>IF(ISBLANK(Character!O325)," ",Character!O325)</f>
        <v xml:space="preserve"> </v>
      </c>
      <c r="P1887" t="str">
        <f>IF(ISBLANK(Character!P325)," ",Character!P325)</f>
        <v xml:space="preserve"> </v>
      </c>
    </row>
    <row r="1888" spans="1:16" x14ac:dyDescent="0.2">
      <c r="A1888" s="460" t="str">
        <f>CONCATENATE(Posessions!A264,"|",Posessions!B264,"|",Posessions!C264,"|",Posessions!D264)</f>
        <v>|||</v>
      </c>
      <c r="B1888" t="str">
        <f>IF(ISBLANK(Character!B326)," ",Character!B326)</f>
        <v xml:space="preserve"> </v>
      </c>
      <c r="C1888" t="str">
        <f>IF(ISBLANK(Character!C326)," ",Character!C326)</f>
        <v xml:space="preserve"> </v>
      </c>
      <c r="D1888" t="str">
        <f>IF(ISBLANK(Character!D326)," ",Character!D326)</f>
        <v xml:space="preserve"> </v>
      </c>
      <c r="E1888" t="str">
        <f>IF(ISBLANK(Character!E326)," ",Character!E326)</f>
        <v xml:space="preserve"> </v>
      </c>
      <c r="F1888" t="str">
        <f>IF(ISBLANK(Character!F326)," ",Character!F326)</f>
        <v xml:space="preserve"> </v>
      </c>
      <c r="G1888" t="str">
        <f>IF(ISBLANK(Character!G326)," ",Character!G326)</f>
        <v xml:space="preserve"> </v>
      </c>
      <c r="H1888" t="str">
        <f>IF(ISBLANK(Character!H326)," ",Character!H326)</f>
        <v xml:space="preserve"> </v>
      </c>
      <c r="I1888" t="str">
        <f>IF(ISBLANK(Character!I326)," ",Character!I326)</f>
        <v xml:space="preserve"> </v>
      </c>
      <c r="J1888" t="str">
        <f>IF(ISBLANK(Character!J326)," ",Character!J326)</f>
        <v xml:space="preserve"> </v>
      </c>
      <c r="K1888" t="str">
        <f>IF(ISBLANK(Character!K326)," ",Character!K326)</f>
        <v xml:space="preserve"> </v>
      </c>
      <c r="L1888" t="str">
        <f>IF(ISBLANK(Character!L326)," ",Character!L326)</f>
        <v xml:space="preserve"> </v>
      </c>
      <c r="M1888" t="str">
        <f>IF(ISBLANK(Character!M326)," ",Character!M326)</f>
        <v xml:space="preserve"> </v>
      </c>
      <c r="N1888" t="str">
        <f>IF(ISBLANK(Character!N326)," ",Character!N326)</f>
        <v xml:space="preserve"> </v>
      </c>
      <c r="O1888" t="str">
        <f>IF(ISBLANK(Character!O326)," ",Character!O326)</f>
        <v xml:space="preserve"> </v>
      </c>
      <c r="P1888" t="str">
        <f>IF(ISBLANK(Character!P326)," ",Character!P326)</f>
        <v xml:space="preserve"> </v>
      </c>
    </row>
    <row r="1889" spans="1:16" x14ac:dyDescent="0.2">
      <c r="A1889" s="460" t="str">
        <f>CONCATENATE(Posessions!A265,"|",Posessions!B265,"|",Posessions!C265,"|",Posessions!D265)</f>
        <v>|||</v>
      </c>
      <c r="B1889" t="str">
        <f>IF(ISBLANK(Character!B327)," ",Character!B327)</f>
        <v xml:space="preserve"> </v>
      </c>
      <c r="C1889" t="str">
        <f>IF(ISBLANK(Character!C327)," ",Character!C327)</f>
        <v xml:space="preserve"> </v>
      </c>
      <c r="D1889" t="str">
        <f>IF(ISBLANK(Character!D327)," ",Character!D327)</f>
        <v xml:space="preserve"> </v>
      </c>
      <c r="E1889" t="str">
        <f>IF(ISBLANK(Character!E327)," ",Character!E327)</f>
        <v xml:space="preserve"> </v>
      </c>
      <c r="F1889" t="str">
        <f>IF(ISBLANK(Character!F327)," ",Character!F327)</f>
        <v xml:space="preserve"> </v>
      </c>
      <c r="G1889" t="str">
        <f>IF(ISBLANK(Character!G327)," ",Character!G327)</f>
        <v xml:space="preserve"> </v>
      </c>
      <c r="H1889" t="str">
        <f>IF(ISBLANK(Character!H327)," ",Character!H327)</f>
        <v xml:space="preserve"> </v>
      </c>
      <c r="I1889" t="str">
        <f>IF(ISBLANK(Character!I327)," ",Character!I327)</f>
        <v xml:space="preserve"> </v>
      </c>
      <c r="J1889" t="str">
        <f>IF(ISBLANK(Character!J327)," ",Character!J327)</f>
        <v xml:space="preserve"> </v>
      </c>
      <c r="K1889" t="str">
        <f>IF(ISBLANK(Character!K327)," ",Character!K327)</f>
        <v xml:space="preserve"> </v>
      </c>
      <c r="L1889" t="str">
        <f>IF(ISBLANK(Character!L327)," ",Character!L327)</f>
        <v xml:space="preserve"> </v>
      </c>
      <c r="M1889" t="str">
        <f>IF(ISBLANK(Character!M327)," ",Character!M327)</f>
        <v xml:space="preserve"> </v>
      </c>
      <c r="N1889" t="str">
        <f>IF(ISBLANK(Character!N327)," ",Character!N327)</f>
        <v xml:space="preserve"> </v>
      </c>
      <c r="O1889" t="str">
        <f>IF(ISBLANK(Character!O327)," ",Character!O327)</f>
        <v xml:space="preserve"> </v>
      </c>
      <c r="P1889" t="str">
        <f>IF(ISBLANK(Character!P327)," ",Character!P327)</f>
        <v xml:space="preserve"> </v>
      </c>
    </row>
    <row r="1890" spans="1:16" x14ac:dyDescent="0.2">
      <c r="A1890" s="460" t="str">
        <f>CONCATENATE(Posessions!A266,"|",Posessions!B266,"|",Posessions!C266,"|",Posessions!D266)</f>
        <v>|||</v>
      </c>
      <c r="B1890" t="str">
        <f>IF(ISBLANK(Character!B328)," ",Character!B328)</f>
        <v xml:space="preserve"> </v>
      </c>
      <c r="C1890" t="str">
        <f>IF(ISBLANK(Character!C328)," ",Character!C328)</f>
        <v xml:space="preserve"> </v>
      </c>
      <c r="D1890" t="str">
        <f>IF(ISBLANK(Character!D328)," ",Character!D328)</f>
        <v xml:space="preserve"> </v>
      </c>
      <c r="E1890" t="str">
        <f>IF(ISBLANK(Character!E328)," ",Character!E328)</f>
        <v xml:space="preserve"> </v>
      </c>
      <c r="F1890" t="str">
        <f>IF(ISBLANK(Character!F328)," ",Character!F328)</f>
        <v xml:space="preserve"> </v>
      </c>
      <c r="G1890" t="str">
        <f>IF(ISBLANK(Character!G328)," ",Character!G328)</f>
        <v xml:space="preserve"> </v>
      </c>
      <c r="H1890" t="str">
        <f>IF(ISBLANK(Character!H328)," ",Character!H328)</f>
        <v xml:space="preserve"> </v>
      </c>
      <c r="I1890" t="str">
        <f>IF(ISBLANK(Character!I328)," ",Character!I328)</f>
        <v xml:space="preserve"> </v>
      </c>
      <c r="J1890" t="str">
        <f>IF(ISBLANK(Character!J328)," ",Character!J328)</f>
        <v xml:space="preserve"> </v>
      </c>
      <c r="K1890" t="str">
        <f>IF(ISBLANK(Character!K328)," ",Character!K328)</f>
        <v xml:space="preserve"> </v>
      </c>
      <c r="L1890" t="str">
        <f>IF(ISBLANK(Character!L328)," ",Character!L328)</f>
        <v xml:space="preserve"> </v>
      </c>
      <c r="M1890" t="str">
        <f>IF(ISBLANK(Character!M328)," ",Character!M328)</f>
        <v xml:space="preserve"> </v>
      </c>
      <c r="N1890" t="str">
        <f>IF(ISBLANK(Character!N328)," ",Character!N328)</f>
        <v xml:space="preserve"> </v>
      </c>
      <c r="O1890" t="str">
        <f>IF(ISBLANK(Character!O328)," ",Character!O328)</f>
        <v xml:space="preserve"> </v>
      </c>
      <c r="P1890" t="str">
        <f>IF(ISBLANK(Character!P328)," ",Character!P328)</f>
        <v xml:space="preserve"> </v>
      </c>
    </row>
    <row r="1891" spans="1:16" x14ac:dyDescent="0.2">
      <c r="A1891" s="460" t="str">
        <f>CONCATENATE(Posessions!A267,"|",Posessions!B267,"|",Posessions!C267,"|",Posessions!D267)</f>
        <v>|||</v>
      </c>
      <c r="B1891" t="str">
        <f>IF(ISBLANK(Character!B329)," ",Character!B329)</f>
        <v xml:space="preserve"> </v>
      </c>
      <c r="C1891" t="str">
        <f>IF(ISBLANK(Character!C329)," ",Character!C329)</f>
        <v xml:space="preserve"> </v>
      </c>
      <c r="D1891" t="str">
        <f>IF(ISBLANK(Character!D329)," ",Character!D329)</f>
        <v xml:space="preserve"> </v>
      </c>
      <c r="E1891" t="str">
        <f>IF(ISBLANK(Character!E329)," ",Character!E329)</f>
        <v xml:space="preserve"> </v>
      </c>
      <c r="F1891" t="str">
        <f>IF(ISBLANK(Character!F329)," ",Character!F329)</f>
        <v xml:space="preserve"> </v>
      </c>
      <c r="G1891" t="str">
        <f>IF(ISBLANK(Character!G329)," ",Character!G329)</f>
        <v xml:space="preserve"> </v>
      </c>
      <c r="H1891" t="str">
        <f>IF(ISBLANK(Character!H329)," ",Character!H329)</f>
        <v xml:space="preserve"> </v>
      </c>
      <c r="I1891" t="str">
        <f>IF(ISBLANK(Character!I329)," ",Character!I329)</f>
        <v xml:space="preserve"> </v>
      </c>
      <c r="J1891" t="str">
        <f>IF(ISBLANK(Character!J329)," ",Character!J329)</f>
        <v xml:space="preserve"> </v>
      </c>
      <c r="K1891" t="str">
        <f>IF(ISBLANK(Character!K329)," ",Character!K329)</f>
        <v xml:space="preserve"> </v>
      </c>
      <c r="L1891" t="str">
        <f>IF(ISBLANK(Character!L329)," ",Character!L329)</f>
        <v xml:space="preserve"> </v>
      </c>
      <c r="M1891" t="str">
        <f>IF(ISBLANK(Character!M329)," ",Character!M329)</f>
        <v xml:space="preserve"> </v>
      </c>
      <c r="N1891" t="str">
        <f>IF(ISBLANK(Character!N329)," ",Character!N329)</f>
        <v xml:space="preserve"> </v>
      </c>
      <c r="O1891" t="str">
        <f>IF(ISBLANK(Character!O329)," ",Character!O329)</f>
        <v xml:space="preserve"> </v>
      </c>
      <c r="P1891" t="str">
        <f>IF(ISBLANK(Character!P329)," ",Character!P329)</f>
        <v xml:space="preserve"> </v>
      </c>
    </row>
    <row r="1892" spans="1:16" x14ac:dyDescent="0.2">
      <c r="A1892" s="460" t="str">
        <f>CONCATENATE(Posessions!A268,"|",Posessions!B268,"|",Posessions!C268,"|",Posessions!D268)</f>
        <v>|||</v>
      </c>
      <c r="B1892" t="str">
        <f>IF(ISBLANK(Character!B330)," ",Character!B330)</f>
        <v xml:space="preserve"> </v>
      </c>
      <c r="C1892" t="str">
        <f>IF(ISBLANK(Character!C330)," ",Character!C330)</f>
        <v xml:space="preserve"> </v>
      </c>
      <c r="D1892" t="str">
        <f>IF(ISBLANK(Character!D330)," ",Character!D330)</f>
        <v xml:space="preserve"> </v>
      </c>
      <c r="E1892" t="str">
        <f>IF(ISBLANK(Character!E330)," ",Character!E330)</f>
        <v xml:space="preserve"> </v>
      </c>
      <c r="F1892" t="str">
        <f>IF(ISBLANK(Character!F330)," ",Character!F330)</f>
        <v xml:space="preserve"> </v>
      </c>
      <c r="G1892" t="str">
        <f>IF(ISBLANK(Character!G330)," ",Character!G330)</f>
        <v xml:space="preserve"> </v>
      </c>
      <c r="H1892" t="str">
        <f>IF(ISBLANK(Character!H330)," ",Character!H330)</f>
        <v xml:space="preserve"> </v>
      </c>
      <c r="I1892" t="str">
        <f>IF(ISBLANK(Character!I330)," ",Character!I330)</f>
        <v xml:space="preserve"> </v>
      </c>
      <c r="J1892" t="str">
        <f>IF(ISBLANK(Character!J330)," ",Character!J330)</f>
        <v xml:space="preserve"> </v>
      </c>
      <c r="K1892" t="str">
        <f>IF(ISBLANK(Character!K330)," ",Character!K330)</f>
        <v xml:space="preserve"> </v>
      </c>
      <c r="L1892" t="str">
        <f>IF(ISBLANK(Character!L330)," ",Character!L330)</f>
        <v xml:space="preserve"> </v>
      </c>
      <c r="M1892" t="str">
        <f>IF(ISBLANK(Character!M330)," ",Character!M330)</f>
        <v xml:space="preserve"> </v>
      </c>
      <c r="N1892" t="str">
        <f>IF(ISBLANK(Character!N330)," ",Character!N330)</f>
        <v xml:space="preserve"> </v>
      </c>
      <c r="O1892" t="str">
        <f>IF(ISBLANK(Character!O330)," ",Character!O330)</f>
        <v xml:space="preserve"> </v>
      </c>
      <c r="P1892" t="str">
        <f>IF(ISBLANK(Character!P330)," ",Character!P330)</f>
        <v xml:space="preserve"> </v>
      </c>
    </row>
    <row r="1893" spans="1:16" x14ac:dyDescent="0.2">
      <c r="A1893" s="460" t="str">
        <f>CONCATENATE(Posessions!A269,"|",Posessions!B269,"|",Posessions!C269,"|",Posessions!D269)</f>
        <v>|||</v>
      </c>
      <c r="B1893" t="str">
        <f>IF(ISBLANK(Character!B331)," ",Character!B331)</f>
        <v xml:space="preserve"> </v>
      </c>
      <c r="C1893" t="str">
        <f>IF(ISBLANK(Character!C331)," ",Character!C331)</f>
        <v xml:space="preserve"> </v>
      </c>
      <c r="D1893" t="str">
        <f>IF(ISBLANK(Character!D331)," ",Character!D331)</f>
        <v xml:space="preserve"> </v>
      </c>
      <c r="E1893" t="str">
        <f>IF(ISBLANK(Character!E331)," ",Character!E331)</f>
        <v xml:space="preserve"> </v>
      </c>
      <c r="F1893" t="str">
        <f>IF(ISBLANK(Character!F331)," ",Character!F331)</f>
        <v xml:space="preserve"> </v>
      </c>
      <c r="G1893" t="str">
        <f>IF(ISBLANK(Character!G331)," ",Character!G331)</f>
        <v xml:space="preserve"> </v>
      </c>
      <c r="H1893" t="str">
        <f>IF(ISBLANK(Character!H331)," ",Character!H331)</f>
        <v xml:space="preserve"> </v>
      </c>
      <c r="I1893" t="str">
        <f>IF(ISBLANK(Character!I331)," ",Character!I331)</f>
        <v xml:space="preserve"> </v>
      </c>
      <c r="J1893" t="str">
        <f>IF(ISBLANK(Character!J331)," ",Character!J331)</f>
        <v xml:space="preserve"> </v>
      </c>
      <c r="K1893" t="str">
        <f>IF(ISBLANK(Character!K331)," ",Character!K331)</f>
        <v xml:space="preserve"> </v>
      </c>
      <c r="L1893" t="str">
        <f>IF(ISBLANK(Character!L331)," ",Character!L331)</f>
        <v xml:space="preserve"> </v>
      </c>
      <c r="M1893" t="str">
        <f>IF(ISBLANK(Character!M331)," ",Character!M331)</f>
        <v xml:space="preserve"> </v>
      </c>
      <c r="N1893" t="str">
        <f>IF(ISBLANK(Character!N331)," ",Character!N331)</f>
        <v xml:space="preserve"> </v>
      </c>
      <c r="O1893" t="str">
        <f>IF(ISBLANK(Character!O331)," ",Character!O331)</f>
        <v xml:space="preserve"> </v>
      </c>
      <c r="P1893" t="str">
        <f>IF(ISBLANK(Character!P331)," ",Character!P331)</f>
        <v xml:space="preserve"> </v>
      </c>
    </row>
    <row r="1894" spans="1:16" x14ac:dyDescent="0.2">
      <c r="A1894" s="460" t="str">
        <f>CONCATENATE(Posessions!A270,"|",Posessions!B270,"|",Posessions!C270,"|",Posessions!D270)</f>
        <v>|||</v>
      </c>
      <c r="B1894" t="str">
        <f>IF(ISBLANK(Character!B332)," ",Character!B332)</f>
        <v xml:space="preserve"> </v>
      </c>
      <c r="C1894" t="str">
        <f>IF(ISBLANK(Character!C332)," ",Character!C332)</f>
        <v xml:space="preserve"> </v>
      </c>
      <c r="D1894" t="str">
        <f>IF(ISBLANK(Character!D332)," ",Character!D332)</f>
        <v xml:space="preserve"> </v>
      </c>
      <c r="E1894" t="str">
        <f>IF(ISBLANK(Character!E332)," ",Character!E332)</f>
        <v xml:space="preserve"> </v>
      </c>
      <c r="F1894" t="str">
        <f>IF(ISBLANK(Character!F332)," ",Character!F332)</f>
        <v xml:space="preserve"> </v>
      </c>
      <c r="G1894" t="str">
        <f>IF(ISBLANK(Character!G332)," ",Character!G332)</f>
        <v xml:space="preserve"> </v>
      </c>
      <c r="H1894" t="str">
        <f>IF(ISBLANK(Character!H332)," ",Character!H332)</f>
        <v xml:space="preserve"> </v>
      </c>
      <c r="I1894" t="str">
        <f>IF(ISBLANK(Character!I332)," ",Character!I332)</f>
        <v xml:space="preserve"> </v>
      </c>
      <c r="J1894" t="str">
        <f>IF(ISBLANK(Character!J332)," ",Character!J332)</f>
        <v xml:space="preserve"> </v>
      </c>
      <c r="K1894" t="str">
        <f>IF(ISBLANK(Character!K332)," ",Character!K332)</f>
        <v xml:space="preserve"> </v>
      </c>
      <c r="L1894" t="str">
        <f>IF(ISBLANK(Character!L332)," ",Character!L332)</f>
        <v xml:space="preserve"> </v>
      </c>
      <c r="M1894" t="str">
        <f>IF(ISBLANK(Character!M332)," ",Character!M332)</f>
        <v xml:space="preserve"> </v>
      </c>
      <c r="N1894" t="str">
        <f>IF(ISBLANK(Character!N332)," ",Character!N332)</f>
        <v xml:space="preserve"> </v>
      </c>
      <c r="O1894" t="str">
        <f>IF(ISBLANK(Character!O332)," ",Character!O332)</f>
        <v xml:space="preserve"> </v>
      </c>
      <c r="P1894" t="str">
        <f>IF(ISBLANK(Character!P332)," ",Character!P332)</f>
        <v xml:space="preserve"> </v>
      </c>
    </row>
    <row r="1895" spans="1:16" x14ac:dyDescent="0.2">
      <c r="A1895" s="460" t="str">
        <f>CONCATENATE(Posessions!A271,"|",Posessions!B271,"|",Posessions!C271,"|",Posessions!D271)</f>
        <v>|||</v>
      </c>
      <c r="B1895" t="str">
        <f>IF(ISBLANK(Character!B333)," ",Character!B333)</f>
        <v xml:space="preserve"> </v>
      </c>
      <c r="C1895" t="str">
        <f>IF(ISBLANK(Character!C333)," ",Character!C333)</f>
        <v xml:space="preserve"> </v>
      </c>
      <c r="D1895" t="str">
        <f>IF(ISBLANK(Character!D333)," ",Character!D333)</f>
        <v xml:space="preserve"> </v>
      </c>
      <c r="E1895" t="str">
        <f>IF(ISBLANK(Character!E333)," ",Character!E333)</f>
        <v xml:space="preserve"> </v>
      </c>
      <c r="F1895" t="str">
        <f>IF(ISBLANK(Character!F333)," ",Character!F333)</f>
        <v xml:space="preserve"> </v>
      </c>
      <c r="G1895" t="str">
        <f>IF(ISBLANK(Character!G333)," ",Character!G333)</f>
        <v xml:space="preserve"> </v>
      </c>
      <c r="H1895" t="str">
        <f>IF(ISBLANK(Character!H333)," ",Character!H333)</f>
        <v xml:space="preserve"> </v>
      </c>
      <c r="I1895" t="str">
        <f>IF(ISBLANK(Character!I333)," ",Character!I333)</f>
        <v xml:space="preserve"> </v>
      </c>
      <c r="J1895" t="str">
        <f>IF(ISBLANK(Character!J333)," ",Character!J333)</f>
        <v xml:space="preserve"> </v>
      </c>
      <c r="K1895" t="str">
        <f>IF(ISBLANK(Character!K333)," ",Character!K333)</f>
        <v xml:space="preserve"> </v>
      </c>
      <c r="L1895" t="str">
        <f>IF(ISBLANK(Character!L333)," ",Character!L333)</f>
        <v xml:space="preserve"> </v>
      </c>
      <c r="M1895" t="str">
        <f>IF(ISBLANK(Character!M333)," ",Character!M333)</f>
        <v xml:space="preserve"> </v>
      </c>
      <c r="N1895" t="str">
        <f>IF(ISBLANK(Character!N333)," ",Character!N333)</f>
        <v xml:space="preserve"> </v>
      </c>
      <c r="O1895" t="str">
        <f>IF(ISBLANK(Character!O333)," ",Character!O333)</f>
        <v xml:space="preserve"> </v>
      </c>
      <c r="P1895" t="str">
        <f>IF(ISBLANK(Character!P333)," ",Character!P333)</f>
        <v xml:space="preserve"> </v>
      </c>
    </row>
    <row r="1896" spans="1:16" x14ac:dyDescent="0.2">
      <c r="A1896" s="460" t="str">
        <f>CONCATENATE(Posessions!A272,"|",Posessions!B272,"|",Posessions!C272,"|",Posessions!D272)</f>
        <v>|||</v>
      </c>
      <c r="B1896" t="str">
        <f>IF(ISBLANK(Character!B334)," ",Character!B334)</f>
        <v xml:space="preserve"> </v>
      </c>
      <c r="C1896" t="str">
        <f>IF(ISBLANK(Character!C334)," ",Character!C334)</f>
        <v xml:space="preserve"> </v>
      </c>
      <c r="D1896" t="str">
        <f>IF(ISBLANK(Character!D334)," ",Character!D334)</f>
        <v xml:space="preserve"> </v>
      </c>
      <c r="E1896" t="str">
        <f>IF(ISBLANK(Character!E334)," ",Character!E334)</f>
        <v xml:space="preserve"> </v>
      </c>
      <c r="F1896" t="str">
        <f>IF(ISBLANK(Character!F334)," ",Character!F334)</f>
        <v xml:space="preserve"> </v>
      </c>
      <c r="G1896" t="str">
        <f>IF(ISBLANK(Character!G334)," ",Character!G334)</f>
        <v xml:space="preserve"> </v>
      </c>
      <c r="H1896" t="str">
        <f>IF(ISBLANK(Character!H334)," ",Character!H334)</f>
        <v xml:space="preserve"> </v>
      </c>
      <c r="I1896" t="str">
        <f>IF(ISBLANK(Character!I334)," ",Character!I334)</f>
        <v xml:space="preserve"> </v>
      </c>
      <c r="J1896" t="str">
        <f>IF(ISBLANK(Character!J334)," ",Character!J334)</f>
        <v xml:space="preserve"> </v>
      </c>
      <c r="K1896" t="str">
        <f>IF(ISBLANK(Character!K334)," ",Character!K334)</f>
        <v xml:space="preserve"> </v>
      </c>
      <c r="L1896" t="str">
        <f>IF(ISBLANK(Character!L334)," ",Character!L334)</f>
        <v xml:space="preserve"> </v>
      </c>
      <c r="M1896" t="str">
        <f>IF(ISBLANK(Character!M334)," ",Character!M334)</f>
        <v xml:space="preserve"> </v>
      </c>
      <c r="N1896" t="str">
        <f>IF(ISBLANK(Character!N334)," ",Character!N334)</f>
        <v xml:space="preserve"> </v>
      </c>
      <c r="O1896" t="str">
        <f>IF(ISBLANK(Character!O334)," ",Character!O334)</f>
        <v xml:space="preserve"> </v>
      </c>
      <c r="P1896" t="str">
        <f>IF(ISBLANK(Character!P334)," ",Character!P334)</f>
        <v xml:space="preserve"> </v>
      </c>
    </row>
    <row r="1897" spans="1:16" x14ac:dyDescent="0.2">
      <c r="A1897" s="460" t="str">
        <f>CONCATENATE(Posessions!A273,"|",Posessions!B273,"|",Posessions!C273,"|",Posessions!D273)</f>
        <v>|||</v>
      </c>
      <c r="B1897" t="str">
        <f>IF(ISBLANK(Character!B335)," ",Character!B335)</f>
        <v xml:space="preserve"> </v>
      </c>
      <c r="C1897" t="str">
        <f>IF(ISBLANK(Character!C335)," ",Character!C335)</f>
        <v xml:space="preserve"> </v>
      </c>
      <c r="D1897" t="str">
        <f>IF(ISBLANK(Character!D335)," ",Character!D335)</f>
        <v xml:space="preserve"> </v>
      </c>
      <c r="E1897" t="str">
        <f>IF(ISBLANK(Character!E335)," ",Character!E335)</f>
        <v xml:space="preserve"> </v>
      </c>
      <c r="F1897" t="str">
        <f>IF(ISBLANK(Character!F335)," ",Character!F335)</f>
        <v xml:space="preserve"> </v>
      </c>
      <c r="G1897" t="str">
        <f>IF(ISBLANK(Character!G335)," ",Character!G335)</f>
        <v xml:space="preserve"> </v>
      </c>
      <c r="H1897" t="str">
        <f>IF(ISBLANK(Character!H335)," ",Character!H335)</f>
        <v xml:space="preserve"> </v>
      </c>
      <c r="I1897" t="str">
        <f>IF(ISBLANK(Character!I335)," ",Character!I335)</f>
        <v xml:space="preserve"> </v>
      </c>
      <c r="J1897" t="str">
        <f>IF(ISBLANK(Character!J335)," ",Character!J335)</f>
        <v xml:space="preserve"> </v>
      </c>
      <c r="K1897" t="str">
        <f>IF(ISBLANK(Character!K335)," ",Character!K335)</f>
        <v xml:space="preserve"> </v>
      </c>
      <c r="L1897" t="str">
        <f>IF(ISBLANK(Character!L335)," ",Character!L335)</f>
        <v xml:space="preserve"> </v>
      </c>
      <c r="M1897" t="str">
        <f>IF(ISBLANK(Character!M335)," ",Character!M335)</f>
        <v xml:space="preserve"> </v>
      </c>
      <c r="N1897" t="str">
        <f>IF(ISBLANK(Character!N335)," ",Character!N335)</f>
        <v xml:space="preserve"> </v>
      </c>
      <c r="O1897" t="str">
        <f>IF(ISBLANK(Character!O335)," ",Character!O335)</f>
        <v xml:space="preserve"> </v>
      </c>
      <c r="P1897" t="str">
        <f>IF(ISBLANK(Character!P335)," ",Character!P335)</f>
        <v xml:space="preserve"> </v>
      </c>
    </row>
    <row r="1898" spans="1:16" x14ac:dyDescent="0.2">
      <c r="A1898" s="460" t="str">
        <f>CONCATENATE(Posessions!A274,"|",Posessions!B274,"|",Posessions!C274,"|",Posessions!D274)</f>
        <v>|||</v>
      </c>
      <c r="B1898" t="str">
        <f>IF(ISBLANK(Character!B336)," ",Character!B336)</f>
        <v xml:space="preserve"> </v>
      </c>
      <c r="C1898" t="str">
        <f>IF(ISBLANK(Character!C336)," ",Character!C336)</f>
        <v xml:space="preserve"> </v>
      </c>
      <c r="D1898" t="str">
        <f>IF(ISBLANK(Character!D336)," ",Character!D336)</f>
        <v xml:space="preserve"> </v>
      </c>
      <c r="E1898" t="str">
        <f>IF(ISBLANK(Character!E336)," ",Character!E336)</f>
        <v xml:space="preserve"> </v>
      </c>
      <c r="F1898" t="str">
        <f>IF(ISBLANK(Character!F336)," ",Character!F336)</f>
        <v xml:space="preserve"> </v>
      </c>
      <c r="G1898" t="str">
        <f>IF(ISBLANK(Character!G336)," ",Character!G336)</f>
        <v xml:space="preserve"> </v>
      </c>
      <c r="H1898" t="str">
        <f>IF(ISBLANK(Character!H336)," ",Character!H336)</f>
        <v xml:space="preserve"> </v>
      </c>
      <c r="I1898" t="str">
        <f>IF(ISBLANK(Character!I336)," ",Character!I336)</f>
        <v xml:space="preserve"> </v>
      </c>
      <c r="J1898" t="str">
        <f>IF(ISBLANK(Character!J336)," ",Character!J336)</f>
        <v xml:space="preserve"> </v>
      </c>
      <c r="K1898" t="str">
        <f>IF(ISBLANK(Character!K336)," ",Character!K336)</f>
        <v xml:space="preserve"> </v>
      </c>
      <c r="L1898" t="str">
        <f>IF(ISBLANK(Character!L336)," ",Character!L336)</f>
        <v xml:space="preserve"> </v>
      </c>
      <c r="M1898" t="str">
        <f>IF(ISBLANK(Character!M336)," ",Character!M336)</f>
        <v xml:space="preserve"> </v>
      </c>
      <c r="N1898" t="str">
        <f>IF(ISBLANK(Character!N336)," ",Character!N336)</f>
        <v xml:space="preserve"> </v>
      </c>
      <c r="O1898" t="str">
        <f>IF(ISBLANK(Character!O336)," ",Character!O336)</f>
        <v xml:space="preserve"> </v>
      </c>
      <c r="P1898" t="str">
        <f>IF(ISBLANK(Character!P336)," ",Character!P336)</f>
        <v xml:space="preserve"> </v>
      </c>
    </row>
    <row r="1899" spans="1:16" x14ac:dyDescent="0.2">
      <c r="A1899" s="460" t="str">
        <f>CONCATENATE(Posessions!A275,"|",Posessions!B275,"|",Posessions!C275,"|",Posessions!D275)</f>
        <v>|||</v>
      </c>
      <c r="B1899" t="str">
        <f>IF(ISBLANK(Character!B337)," ",Character!B337)</f>
        <v xml:space="preserve"> </v>
      </c>
      <c r="C1899" t="str">
        <f>IF(ISBLANK(Character!C337)," ",Character!C337)</f>
        <v xml:space="preserve"> </v>
      </c>
      <c r="D1899" t="str">
        <f>IF(ISBLANK(Character!D337)," ",Character!D337)</f>
        <v xml:space="preserve"> </v>
      </c>
      <c r="E1899" t="str">
        <f>IF(ISBLANK(Character!E337)," ",Character!E337)</f>
        <v xml:space="preserve"> </v>
      </c>
      <c r="F1899" t="str">
        <f>IF(ISBLANK(Character!F337)," ",Character!F337)</f>
        <v xml:space="preserve"> </v>
      </c>
      <c r="G1899" t="str">
        <f>IF(ISBLANK(Character!G337)," ",Character!G337)</f>
        <v xml:space="preserve"> </v>
      </c>
      <c r="H1899" t="str">
        <f>IF(ISBLANK(Character!H337)," ",Character!H337)</f>
        <v xml:space="preserve"> </v>
      </c>
      <c r="I1899" t="str">
        <f>IF(ISBLANK(Character!I337)," ",Character!I337)</f>
        <v xml:space="preserve"> </v>
      </c>
      <c r="J1899" t="str">
        <f>IF(ISBLANK(Character!J337)," ",Character!J337)</f>
        <v xml:space="preserve"> </v>
      </c>
      <c r="K1899" t="str">
        <f>IF(ISBLANK(Character!K337)," ",Character!K337)</f>
        <v xml:space="preserve"> </v>
      </c>
      <c r="L1899" t="str">
        <f>IF(ISBLANK(Character!L337)," ",Character!L337)</f>
        <v xml:space="preserve"> </v>
      </c>
      <c r="M1899" t="str">
        <f>IF(ISBLANK(Character!M337)," ",Character!M337)</f>
        <v xml:space="preserve"> </v>
      </c>
      <c r="N1899" t="str">
        <f>IF(ISBLANK(Character!N337)," ",Character!N337)</f>
        <v xml:space="preserve"> </v>
      </c>
      <c r="O1899" t="str">
        <f>IF(ISBLANK(Character!O337)," ",Character!O337)</f>
        <v xml:space="preserve"> </v>
      </c>
      <c r="P1899" t="str">
        <f>IF(ISBLANK(Character!P337)," ",Character!P337)</f>
        <v xml:space="preserve"> </v>
      </c>
    </row>
    <row r="1900" spans="1:16" x14ac:dyDescent="0.2">
      <c r="A1900" s="460" t="str">
        <f>CONCATENATE(Posessions!A276,"|",Posessions!B276,"|",Posessions!C276,"|",Posessions!D276)</f>
        <v>|||</v>
      </c>
      <c r="B1900" t="str">
        <f>IF(ISBLANK(Character!B338)," ",Character!B338)</f>
        <v xml:space="preserve"> </v>
      </c>
      <c r="C1900" t="str">
        <f>IF(ISBLANK(Character!C338)," ",Character!C338)</f>
        <v xml:space="preserve"> </v>
      </c>
      <c r="D1900" t="str">
        <f>IF(ISBLANK(Character!D338)," ",Character!D338)</f>
        <v xml:space="preserve"> </v>
      </c>
      <c r="E1900" t="str">
        <f>IF(ISBLANK(Character!E338)," ",Character!E338)</f>
        <v xml:space="preserve"> </v>
      </c>
      <c r="F1900" t="str">
        <f>IF(ISBLANK(Character!F338)," ",Character!F338)</f>
        <v xml:space="preserve"> </v>
      </c>
      <c r="G1900" t="str">
        <f>IF(ISBLANK(Character!G338)," ",Character!G338)</f>
        <v xml:space="preserve"> </v>
      </c>
      <c r="H1900" t="str">
        <f>IF(ISBLANK(Character!H338)," ",Character!H338)</f>
        <v xml:space="preserve"> </v>
      </c>
      <c r="I1900" t="str">
        <f>IF(ISBLANK(Character!I338)," ",Character!I338)</f>
        <v xml:space="preserve"> </v>
      </c>
      <c r="J1900" t="str">
        <f>IF(ISBLANK(Character!J338)," ",Character!J338)</f>
        <v xml:space="preserve"> </v>
      </c>
      <c r="K1900" t="str">
        <f>IF(ISBLANK(Character!K338)," ",Character!K338)</f>
        <v xml:space="preserve"> </v>
      </c>
      <c r="L1900" t="str">
        <f>IF(ISBLANK(Character!L338)," ",Character!L338)</f>
        <v xml:space="preserve"> </v>
      </c>
      <c r="M1900" t="str">
        <f>IF(ISBLANK(Character!M338)," ",Character!M338)</f>
        <v xml:space="preserve"> </v>
      </c>
      <c r="N1900" t="str">
        <f>IF(ISBLANK(Character!N338)," ",Character!N338)</f>
        <v xml:space="preserve"> </v>
      </c>
      <c r="O1900" t="str">
        <f>IF(ISBLANK(Character!O338)," ",Character!O338)</f>
        <v xml:space="preserve"> </v>
      </c>
      <c r="P1900" t="str">
        <f>IF(ISBLANK(Character!P338)," ",Character!P338)</f>
        <v xml:space="preserve"> </v>
      </c>
    </row>
    <row r="1901" spans="1:16" x14ac:dyDescent="0.2">
      <c r="A1901" s="460" t="str">
        <f>CONCATENATE(Posessions!A277,"|",Posessions!B277,"|",Posessions!C277,"|",Posessions!D277)</f>
        <v>|||</v>
      </c>
      <c r="B1901" t="str">
        <f>IF(ISBLANK(Character!B339)," ",Character!B339)</f>
        <v xml:space="preserve"> </v>
      </c>
      <c r="C1901" t="str">
        <f>IF(ISBLANK(Character!C339)," ",Character!C339)</f>
        <v xml:space="preserve"> </v>
      </c>
      <c r="D1901" t="str">
        <f>IF(ISBLANK(Character!D339)," ",Character!D339)</f>
        <v xml:space="preserve"> </v>
      </c>
      <c r="E1901" t="str">
        <f>IF(ISBLANK(Character!E339)," ",Character!E339)</f>
        <v xml:space="preserve"> </v>
      </c>
      <c r="F1901" t="str">
        <f>IF(ISBLANK(Character!F339)," ",Character!F339)</f>
        <v xml:space="preserve"> </v>
      </c>
      <c r="G1901" t="str">
        <f>IF(ISBLANK(Character!G339)," ",Character!G339)</f>
        <v xml:space="preserve"> </v>
      </c>
      <c r="H1901" t="str">
        <f>IF(ISBLANK(Character!H339)," ",Character!H339)</f>
        <v xml:space="preserve"> </v>
      </c>
      <c r="I1901" t="str">
        <f>IF(ISBLANK(Character!I339)," ",Character!I339)</f>
        <v xml:space="preserve"> </v>
      </c>
      <c r="J1901" t="str">
        <f>IF(ISBLANK(Character!J339)," ",Character!J339)</f>
        <v xml:space="preserve"> </v>
      </c>
      <c r="K1901" t="str">
        <f>IF(ISBLANK(Character!K339)," ",Character!K339)</f>
        <v xml:space="preserve"> </v>
      </c>
      <c r="L1901" t="str">
        <f>IF(ISBLANK(Character!L339)," ",Character!L339)</f>
        <v xml:space="preserve"> </v>
      </c>
      <c r="M1901" t="str">
        <f>IF(ISBLANK(Character!M339)," ",Character!M339)</f>
        <v xml:space="preserve"> </v>
      </c>
      <c r="N1901" t="str">
        <f>IF(ISBLANK(Character!N339)," ",Character!N339)</f>
        <v xml:space="preserve"> </v>
      </c>
      <c r="O1901" t="str">
        <f>IF(ISBLANK(Character!O339)," ",Character!O339)</f>
        <v xml:space="preserve"> </v>
      </c>
      <c r="P1901" t="str">
        <f>IF(ISBLANK(Character!P339)," ",Character!P339)</f>
        <v xml:space="preserve"> </v>
      </c>
    </row>
    <row r="1902" spans="1:16" x14ac:dyDescent="0.2">
      <c r="A1902" s="460" t="str">
        <f>CONCATENATE(Posessions!A278,"|",Posessions!B278,"|",Posessions!C278,"|",Posessions!D278)</f>
        <v>|||</v>
      </c>
      <c r="B1902" t="str">
        <f>IF(ISBLANK(Character!B340)," ",Character!B340)</f>
        <v xml:space="preserve"> </v>
      </c>
      <c r="C1902" t="str">
        <f>IF(ISBLANK(Character!C340)," ",Character!C340)</f>
        <v xml:space="preserve"> </v>
      </c>
      <c r="D1902" t="str">
        <f>IF(ISBLANK(Character!D340)," ",Character!D340)</f>
        <v xml:space="preserve"> </v>
      </c>
      <c r="E1902" t="str">
        <f>IF(ISBLANK(Character!E340)," ",Character!E340)</f>
        <v xml:space="preserve"> </v>
      </c>
      <c r="F1902" t="str">
        <f>IF(ISBLANK(Character!F340)," ",Character!F340)</f>
        <v xml:space="preserve"> </v>
      </c>
      <c r="G1902" t="str">
        <f>IF(ISBLANK(Character!G340)," ",Character!G340)</f>
        <v xml:space="preserve"> </v>
      </c>
      <c r="H1902" t="str">
        <f>IF(ISBLANK(Character!H340)," ",Character!H340)</f>
        <v xml:space="preserve"> </v>
      </c>
      <c r="I1902" t="str">
        <f>IF(ISBLANK(Character!I340)," ",Character!I340)</f>
        <v xml:space="preserve"> </v>
      </c>
      <c r="J1902" t="str">
        <f>IF(ISBLANK(Character!J340)," ",Character!J340)</f>
        <v xml:space="preserve"> </v>
      </c>
      <c r="K1902" t="str">
        <f>IF(ISBLANK(Character!K340)," ",Character!K340)</f>
        <v xml:space="preserve"> </v>
      </c>
      <c r="L1902" t="str">
        <f>IF(ISBLANK(Character!L340)," ",Character!L340)</f>
        <v xml:space="preserve"> </v>
      </c>
      <c r="M1902" t="str">
        <f>IF(ISBLANK(Character!M340)," ",Character!M340)</f>
        <v xml:space="preserve"> </v>
      </c>
      <c r="N1902" t="str">
        <f>IF(ISBLANK(Character!N340)," ",Character!N340)</f>
        <v xml:space="preserve"> </v>
      </c>
      <c r="O1902" t="str">
        <f>IF(ISBLANK(Character!O340)," ",Character!O340)</f>
        <v xml:space="preserve"> </v>
      </c>
      <c r="P1902" t="str">
        <f>IF(ISBLANK(Character!P340)," ",Character!P340)</f>
        <v xml:space="preserve"> </v>
      </c>
    </row>
    <row r="1903" spans="1:16" x14ac:dyDescent="0.2">
      <c r="A1903" s="460" t="str">
        <f>CONCATENATE(Posessions!A279,"|",Posessions!B279,"|",Posessions!C279,"|",Posessions!D279)</f>
        <v>|||</v>
      </c>
      <c r="B1903" t="str">
        <f>IF(ISBLANK(Character!B341)," ",Character!B341)</f>
        <v xml:space="preserve"> </v>
      </c>
      <c r="C1903" t="str">
        <f>IF(ISBLANK(Character!C341)," ",Character!C341)</f>
        <v xml:space="preserve"> </v>
      </c>
      <c r="D1903" t="str">
        <f>IF(ISBLANK(Character!D341)," ",Character!D341)</f>
        <v xml:space="preserve"> </v>
      </c>
      <c r="E1903" t="str">
        <f>IF(ISBLANK(Character!E341)," ",Character!E341)</f>
        <v xml:space="preserve"> </v>
      </c>
      <c r="F1903" t="str">
        <f>IF(ISBLANK(Character!F341)," ",Character!F341)</f>
        <v xml:space="preserve"> </v>
      </c>
      <c r="G1903" t="str">
        <f>IF(ISBLANK(Character!G341)," ",Character!G341)</f>
        <v xml:space="preserve"> </v>
      </c>
      <c r="H1903" t="str">
        <f>IF(ISBLANK(Character!H341)," ",Character!H341)</f>
        <v xml:space="preserve"> </v>
      </c>
      <c r="I1903" t="str">
        <f>IF(ISBLANK(Character!I341)," ",Character!I341)</f>
        <v xml:space="preserve"> </v>
      </c>
      <c r="J1903" t="str">
        <f>IF(ISBLANK(Character!J341)," ",Character!J341)</f>
        <v xml:space="preserve"> </v>
      </c>
      <c r="K1903" t="str">
        <f>IF(ISBLANK(Character!K341)," ",Character!K341)</f>
        <v xml:space="preserve"> </v>
      </c>
      <c r="L1903" t="str">
        <f>IF(ISBLANK(Character!L341)," ",Character!L341)</f>
        <v xml:space="preserve"> </v>
      </c>
      <c r="M1903" t="str">
        <f>IF(ISBLANK(Character!M341)," ",Character!M341)</f>
        <v xml:space="preserve"> </v>
      </c>
      <c r="N1903" t="str">
        <f>IF(ISBLANK(Character!N341)," ",Character!N341)</f>
        <v xml:space="preserve"> </v>
      </c>
      <c r="O1903" t="str">
        <f>IF(ISBLANK(Character!O341)," ",Character!O341)</f>
        <v xml:space="preserve"> </v>
      </c>
      <c r="P1903" t="str">
        <f>IF(ISBLANK(Character!P341)," ",Character!P341)</f>
        <v xml:space="preserve"> </v>
      </c>
    </row>
    <row r="1904" spans="1:16" x14ac:dyDescent="0.2">
      <c r="A1904" s="460" t="str">
        <f>CONCATENATE(Posessions!A280,"|",Posessions!B280,"|",Posessions!C280,"|",Posessions!D280)</f>
        <v>|||</v>
      </c>
      <c r="B1904" t="str">
        <f>IF(ISBLANK(Character!B342)," ",Character!B342)</f>
        <v xml:space="preserve"> </v>
      </c>
      <c r="C1904" t="str">
        <f>IF(ISBLANK(Character!C342)," ",Character!C342)</f>
        <v xml:space="preserve"> </v>
      </c>
      <c r="D1904" t="str">
        <f>IF(ISBLANK(Character!D342)," ",Character!D342)</f>
        <v xml:space="preserve"> </v>
      </c>
      <c r="E1904" t="str">
        <f>IF(ISBLANK(Character!E342)," ",Character!E342)</f>
        <v xml:space="preserve"> </v>
      </c>
      <c r="F1904" t="str">
        <f>IF(ISBLANK(Character!F342)," ",Character!F342)</f>
        <v xml:space="preserve"> </v>
      </c>
      <c r="G1904" t="str">
        <f>IF(ISBLANK(Character!G342)," ",Character!G342)</f>
        <v xml:space="preserve"> </v>
      </c>
      <c r="H1904" t="str">
        <f>IF(ISBLANK(Character!H342)," ",Character!H342)</f>
        <v xml:space="preserve"> </v>
      </c>
      <c r="I1904" t="str">
        <f>IF(ISBLANK(Character!I342)," ",Character!I342)</f>
        <v xml:space="preserve"> </v>
      </c>
      <c r="J1904" t="str">
        <f>IF(ISBLANK(Character!J342)," ",Character!J342)</f>
        <v xml:space="preserve"> </v>
      </c>
      <c r="K1904" t="str">
        <f>IF(ISBLANK(Character!K342)," ",Character!K342)</f>
        <v xml:space="preserve"> </v>
      </c>
      <c r="L1904" t="str">
        <f>IF(ISBLANK(Character!L342)," ",Character!L342)</f>
        <v xml:space="preserve"> </v>
      </c>
      <c r="M1904" t="str">
        <f>IF(ISBLANK(Character!M342)," ",Character!M342)</f>
        <v xml:space="preserve"> </v>
      </c>
      <c r="N1904" t="str">
        <f>IF(ISBLANK(Character!N342)," ",Character!N342)</f>
        <v xml:space="preserve"> </v>
      </c>
      <c r="O1904" t="str">
        <f>IF(ISBLANK(Character!O342)," ",Character!O342)</f>
        <v xml:space="preserve"> </v>
      </c>
      <c r="P1904" t="str">
        <f>IF(ISBLANK(Character!P342)," ",Character!P342)</f>
        <v xml:space="preserve"> </v>
      </c>
    </row>
    <row r="1905" spans="1:16" x14ac:dyDescent="0.2">
      <c r="A1905" s="460" t="str">
        <f>CONCATENATE(Posessions!A281,"|",Posessions!B281,"|",Posessions!C281,"|",Posessions!D281)</f>
        <v>|||</v>
      </c>
      <c r="B1905" t="str">
        <f>IF(ISBLANK(Character!B343)," ",Character!B343)</f>
        <v xml:space="preserve"> </v>
      </c>
      <c r="C1905" t="str">
        <f>IF(ISBLANK(Character!C343)," ",Character!C343)</f>
        <v xml:space="preserve"> </v>
      </c>
      <c r="D1905" t="str">
        <f>IF(ISBLANK(Character!D343)," ",Character!D343)</f>
        <v xml:space="preserve"> </v>
      </c>
      <c r="E1905" t="str">
        <f>IF(ISBLANK(Character!E343)," ",Character!E343)</f>
        <v xml:space="preserve"> </v>
      </c>
      <c r="F1905" t="str">
        <f>IF(ISBLANK(Character!F343)," ",Character!F343)</f>
        <v xml:space="preserve"> </v>
      </c>
      <c r="G1905" t="str">
        <f>IF(ISBLANK(Character!G343)," ",Character!G343)</f>
        <v xml:space="preserve"> </v>
      </c>
      <c r="H1905" t="str">
        <f>IF(ISBLANK(Character!H343)," ",Character!H343)</f>
        <v xml:space="preserve"> </v>
      </c>
      <c r="I1905" t="str">
        <f>IF(ISBLANK(Character!I343)," ",Character!I343)</f>
        <v xml:space="preserve"> </v>
      </c>
      <c r="J1905" t="str">
        <f>IF(ISBLANK(Character!J343)," ",Character!J343)</f>
        <v xml:space="preserve"> </v>
      </c>
      <c r="K1905" t="str">
        <f>IF(ISBLANK(Character!K343)," ",Character!K343)</f>
        <v xml:space="preserve"> </v>
      </c>
      <c r="L1905" t="str">
        <f>IF(ISBLANK(Character!L343)," ",Character!L343)</f>
        <v xml:space="preserve"> </v>
      </c>
      <c r="M1905" t="str">
        <f>IF(ISBLANK(Character!M343)," ",Character!M343)</f>
        <v xml:space="preserve"> </v>
      </c>
      <c r="N1905" t="str">
        <f>IF(ISBLANK(Character!N343)," ",Character!N343)</f>
        <v xml:space="preserve"> </v>
      </c>
      <c r="O1905" t="str">
        <f>IF(ISBLANK(Character!O343)," ",Character!O343)</f>
        <v xml:space="preserve"> </v>
      </c>
      <c r="P1905" t="str">
        <f>IF(ISBLANK(Character!P343)," ",Character!P343)</f>
        <v xml:space="preserve"> </v>
      </c>
    </row>
    <row r="1906" spans="1:16" x14ac:dyDescent="0.2">
      <c r="A1906" s="460" t="str">
        <f>CONCATENATE(Posessions!A282,"|",Posessions!B282,"|",Posessions!C282,"|",Posessions!D282)</f>
        <v>|||</v>
      </c>
      <c r="B1906" t="str">
        <f>IF(ISBLANK(Character!B344)," ",Character!B344)</f>
        <v xml:space="preserve"> </v>
      </c>
      <c r="C1906" t="str">
        <f>IF(ISBLANK(Character!C344)," ",Character!C344)</f>
        <v xml:space="preserve"> </v>
      </c>
      <c r="D1906" t="str">
        <f>IF(ISBLANK(Character!D344)," ",Character!D344)</f>
        <v xml:space="preserve"> </v>
      </c>
      <c r="E1906" t="str">
        <f>IF(ISBLANK(Character!E344)," ",Character!E344)</f>
        <v xml:space="preserve"> </v>
      </c>
      <c r="F1906" t="str">
        <f>IF(ISBLANK(Character!F344)," ",Character!F344)</f>
        <v xml:space="preserve"> </v>
      </c>
      <c r="G1906" t="str">
        <f>IF(ISBLANK(Character!G344)," ",Character!G344)</f>
        <v xml:space="preserve"> </v>
      </c>
      <c r="H1906" t="str">
        <f>IF(ISBLANK(Character!H344)," ",Character!H344)</f>
        <v xml:space="preserve"> </v>
      </c>
      <c r="I1906" t="str">
        <f>IF(ISBLANK(Character!I344)," ",Character!I344)</f>
        <v xml:space="preserve"> </v>
      </c>
      <c r="J1906" t="str">
        <f>IF(ISBLANK(Character!J344)," ",Character!J344)</f>
        <v xml:space="preserve"> </v>
      </c>
      <c r="K1906" t="str">
        <f>IF(ISBLANK(Character!K344)," ",Character!K344)</f>
        <v xml:space="preserve"> </v>
      </c>
      <c r="L1906" t="str">
        <f>IF(ISBLANK(Character!L344)," ",Character!L344)</f>
        <v xml:space="preserve"> </v>
      </c>
      <c r="M1906" t="str">
        <f>IF(ISBLANK(Character!M344)," ",Character!M344)</f>
        <v xml:space="preserve"> </v>
      </c>
      <c r="N1906" t="str">
        <f>IF(ISBLANK(Character!N344)," ",Character!N344)</f>
        <v xml:space="preserve"> </v>
      </c>
      <c r="O1906" t="str">
        <f>IF(ISBLANK(Character!O344)," ",Character!O344)</f>
        <v xml:space="preserve"> </v>
      </c>
      <c r="P1906" t="str">
        <f>IF(ISBLANK(Character!P344)," ",Character!P344)</f>
        <v xml:space="preserve"> </v>
      </c>
    </row>
    <row r="1907" spans="1:16" x14ac:dyDescent="0.2">
      <c r="A1907" s="460" t="str">
        <f>CONCATENATE(Posessions!A283,"|",Posessions!B283,"|",Posessions!C283,"|",Posessions!D283)</f>
        <v>|||</v>
      </c>
      <c r="B1907" t="str">
        <f>IF(ISBLANK(Character!B345)," ",Character!B345)</f>
        <v xml:space="preserve"> </v>
      </c>
      <c r="C1907" t="str">
        <f>IF(ISBLANK(Character!C345)," ",Character!C345)</f>
        <v xml:space="preserve"> </v>
      </c>
      <c r="D1907" t="str">
        <f>IF(ISBLANK(Character!D345)," ",Character!D345)</f>
        <v xml:space="preserve"> </v>
      </c>
      <c r="E1907" t="str">
        <f>IF(ISBLANK(Character!E345)," ",Character!E345)</f>
        <v xml:space="preserve"> </v>
      </c>
      <c r="F1907" t="str">
        <f>IF(ISBLANK(Character!F345)," ",Character!F345)</f>
        <v xml:space="preserve"> </v>
      </c>
      <c r="G1907" t="str">
        <f>IF(ISBLANK(Character!G345)," ",Character!G345)</f>
        <v xml:space="preserve"> </v>
      </c>
      <c r="H1907" t="str">
        <f>IF(ISBLANK(Character!H345)," ",Character!H345)</f>
        <v xml:space="preserve"> </v>
      </c>
      <c r="I1907" t="str">
        <f>IF(ISBLANK(Character!I345)," ",Character!I345)</f>
        <v xml:space="preserve"> </v>
      </c>
      <c r="J1907" t="str">
        <f>IF(ISBLANK(Character!J345)," ",Character!J345)</f>
        <v xml:space="preserve"> </v>
      </c>
      <c r="K1907" t="str">
        <f>IF(ISBLANK(Character!K345)," ",Character!K345)</f>
        <v xml:space="preserve"> </v>
      </c>
      <c r="L1907" t="str">
        <f>IF(ISBLANK(Character!L345)," ",Character!L345)</f>
        <v xml:space="preserve"> </v>
      </c>
      <c r="M1907" t="str">
        <f>IF(ISBLANK(Character!M345)," ",Character!M345)</f>
        <v xml:space="preserve"> </v>
      </c>
      <c r="N1907" t="str">
        <f>IF(ISBLANK(Character!N345)," ",Character!N345)</f>
        <v xml:space="preserve"> </v>
      </c>
      <c r="O1907" t="str">
        <f>IF(ISBLANK(Character!O345)," ",Character!O345)</f>
        <v xml:space="preserve"> </v>
      </c>
      <c r="P1907" t="str">
        <f>IF(ISBLANK(Character!P345)," ",Character!P345)</f>
        <v xml:space="preserve"> </v>
      </c>
    </row>
    <row r="1908" spans="1:16" x14ac:dyDescent="0.2">
      <c r="A1908" s="460" t="str">
        <f>CONCATENATE(Posessions!A284,"|",Posessions!B284,"|",Posessions!C284,"|",Posessions!D284)</f>
        <v>|||</v>
      </c>
      <c r="B1908" t="str">
        <f>IF(ISBLANK(Character!B346)," ",Character!B346)</f>
        <v xml:space="preserve"> </v>
      </c>
      <c r="C1908" t="str">
        <f>IF(ISBLANK(Character!C346)," ",Character!C346)</f>
        <v xml:space="preserve"> </v>
      </c>
      <c r="D1908" t="str">
        <f>IF(ISBLANK(Character!D346)," ",Character!D346)</f>
        <v xml:space="preserve"> </v>
      </c>
      <c r="E1908" t="str">
        <f>IF(ISBLANK(Character!E346)," ",Character!E346)</f>
        <v xml:space="preserve"> </v>
      </c>
      <c r="F1908" t="str">
        <f>IF(ISBLANK(Character!F346)," ",Character!F346)</f>
        <v xml:space="preserve"> </v>
      </c>
      <c r="G1908" t="str">
        <f>IF(ISBLANK(Character!G346)," ",Character!G346)</f>
        <v xml:space="preserve"> </v>
      </c>
      <c r="H1908" t="str">
        <f>IF(ISBLANK(Character!H346)," ",Character!H346)</f>
        <v xml:space="preserve"> </v>
      </c>
      <c r="I1908" t="str">
        <f>IF(ISBLANK(Character!I346)," ",Character!I346)</f>
        <v xml:space="preserve"> </v>
      </c>
      <c r="J1908" t="str">
        <f>IF(ISBLANK(Character!J346)," ",Character!J346)</f>
        <v xml:space="preserve"> </v>
      </c>
      <c r="K1908" t="str">
        <f>IF(ISBLANK(Character!K346)," ",Character!K346)</f>
        <v xml:space="preserve"> </v>
      </c>
      <c r="L1908" t="str">
        <f>IF(ISBLANK(Character!L346)," ",Character!L346)</f>
        <v xml:space="preserve"> </v>
      </c>
      <c r="M1908" t="str">
        <f>IF(ISBLANK(Character!M346)," ",Character!M346)</f>
        <v xml:space="preserve"> </v>
      </c>
      <c r="N1908" t="str">
        <f>IF(ISBLANK(Character!N346)," ",Character!N346)</f>
        <v xml:space="preserve"> </v>
      </c>
      <c r="O1908" t="str">
        <f>IF(ISBLANK(Character!O346)," ",Character!O346)</f>
        <v xml:space="preserve"> </v>
      </c>
      <c r="P1908" t="str">
        <f>IF(ISBLANK(Character!P346)," ",Character!P346)</f>
        <v xml:space="preserve"> </v>
      </c>
    </row>
    <row r="1909" spans="1:16" x14ac:dyDescent="0.2">
      <c r="A1909" s="460" t="str">
        <f>CONCATENATE(Posessions!A285,"|",Posessions!B285,"|",Posessions!C285,"|",Posessions!D285)</f>
        <v>|||</v>
      </c>
      <c r="B1909" t="str">
        <f>IF(ISBLANK(Character!B347)," ",Character!B347)</f>
        <v xml:space="preserve"> </v>
      </c>
      <c r="C1909" t="str">
        <f>IF(ISBLANK(Character!C347)," ",Character!C347)</f>
        <v xml:space="preserve"> </v>
      </c>
      <c r="D1909" t="str">
        <f>IF(ISBLANK(Character!D347)," ",Character!D347)</f>
        <v xml:space="preserve"> </v>
      </c>
      <c r="E1909" t="str">
        <f>IF(ISBLANK(Character!E347)," ",Character!E347)</f>
        <v xml:space="preserve"> </v>
      </c>
      <c r="F1909" t="str">
        <f>IF(ISBLANK(Character!F347)," ",Character!F347)</f>
        <v xml:space="preserve"> </v>
      </c>
      <c r="G1909" t="str">
        <f>IF(ISBLANK(Character!G347)," ",Character!G347)</f>
        <v xml:space="preserve"> </v>
      </c>
      <c r="H1909" t="str">
        <f>IF(ISBLANK(Character!H347)," ",Character!H347)</f>
        <v xml:space="preserve"> </v>
      </c>
      <c r="I1909" t="str">
        <f>IF(ISBLANK(Character!I347)," ",Character!I347)</f>
        <v xml:space="preserve"> </v>
      </c>
      <c r="J1909" t="str">
        <f>IF(ISBLANK(Character!J347)," ",Character!J347)</f>
        <v xml:space="preserve"> </v>
      </c>
      <c r="K1909" t="str">
        <f>IF(ISBLANK(Character!K347)," ",Character!K347)</f>
        <v xml:space="preserve"> </v>
      </c>
      <c r="L1909" t="str">
        <f>IF(ISBLANK(Character!L347)," ",Character!L347)</f>
        <v xml:space="preserve"> </v>
      </c>
      <c r="M1909" t="str">
        <f>IF(ISBLANK(Character!M347)," ",Character!M347)</f>
        <v xml:space="preserve"> </v>
      </c>
      <c r="N1909" t="str">
        <f>IF(ISBLANK(Character!N347)," ",Character!N347)</f>
        <v xml:space="preserve"> </v>
      </c>
      <c r="O1909" t="str">
        <f>IF(ISBLANK(Character!O347)," ",Character!O347)</f>
        <v xml:space="preserve"> </v>
      </c>
      <c r="P1909" t="str">
        <f>IF(ISBLANK(Character!P347)," ",Character!P347)</f>
        <v xml:space="preserve"> </v>
      </c>
    </row>
    <row r="1910" spans="1:16" x14ac:dyDescent="0.2">
      <c r="A1910" s="460" t="str">
        <f>CONCATENATE(Posessions!A286,"|",Posessions!B286,"|",Posessions!C286,"|",Posessions!D286)</f>
        <v>|||</v>
      </c>
      <c r="B1910" t="str">
        <f>IF(ISBLANK(Character!B348)," ",Character!B348)</f>
        <v xml:space="preserve"> </v>
      </c>
      <c r="C1910" t="str">
        <f>IF(ISBLANK(Character!C348)," ",Character!C348)</f>
        <v xml:space="preserve"> </v>
      </c>
      <c r="D1910" t="str">
        <f>IF(ISBLANK(Character!D348)," ",Character!D348)</f>
        <v xml:space="preserve"> </v>
      </c>
      <c r="E1910" t="str">
        <f>IF(ISBLANK(Character!E348)," ",Character!E348)</f>
        <v xml:space="preserve"> </v>
      </c>
      <c r="F1910" t="str">
        <f>IF(ISBLANK(Character!F348)," ",Character!F348)</f>
        <v xml:space="preserve"> </v>
      </c>
      <c r="G1910" t="str">
        <f>IF(ISBLANK(Character!G348)," ",Character!G348)</f>
        <v xml:space="preserve"> </v>
      </c>
      <c r="H1910" t="str">
        <f>IF(ISBLANK(Character!H348)," ",Character!H348)</f>
        <v xml:space="preserve"> </v>
      </c>
      <c r="I1910" t="str">
        <f>IF(ISBLANK(Character!I348)," ",Character!I348)</f>
        <v xml:space="preserve"> </v>
      </c>
      <c r="J1910" t="str">
        <f>IF(ISBLANK(Character!J348)," ",Character!J348)</f>
        <v xml:space="preserve"> </v>
      </c>
      <c r="K1910" t="str">
        <f>IF(ISBLANK(Character!K348)," ",Character!K348)</f>
        <v xml:space="preserve"> </v>
      </c>
      <c r="L1910" t="str">
        <f>IF(ISBLANK(Character!L348)," ",Character!L348)</f>
        <v xml:space="preserve"> </v>
      </c>
      <c r="M1910" t="str">
        <f>IF(ISBLANK(Character!M348)," ",Character!M348)</f>
        <v xml:space="preserve"> </v>
      </c>
      <c r="N1910" t="str">
        <f>IF(ISBLANK(Character!N348)," ",Character!N348)</f>
        <v xml:space="preserve"> </v>
      </c>
      <c r="O1910" t="str">
        <f>IF(ISBLANK(Character!O348)," ",Character!O348)</f>
        <v xml:space="preserve"> </v>
      </c>
      <c r="P1910" t="str">
        <f>IF(ISBLANK(Character!P348)," ",Character!P348)</f>
        <v xml:space="preserve"> </v>
      </c>
    </row>
    <row r="1911" spans="1:16" x14ac:dyDescent="0.2">
      <c r="A1911" s="460" t="str">
        <f>CONCATENATE(Posessions!A287,"|",Posessions!B287,"|",Posessions!C287,"|",Posessions!D287)</f>
        <v>|||</v>
      </c>
      <c r="B1911" t="str">
        <f>IF(ISBLANK(Character!B349)," ",Character!B349)</f>
        <v xml:space="preserve"> </v>
      </c>
      <c r="C1911" t="str">
        <f>IF(ISBLANK(Character!C349)," ",Character!C349)</f>
        <v xml:space="preserve"> </v>
      </c>
      <c r="D1911" t="str">
        <f>IF(ISBLANK(Character!D349)," ",Character!D349)</f>
        <v xml:space="preserve"> </v>
      </c>
      <c r="E1911" t="str">
        <f>IF(ISBLANK(Character!E349)," ",Character!E349)</f>
        <v xml:space="preserve"> </v>
      </c>
      <c r="F1911" t="str">
        <f>IF(ISBLANK(Character!F349)," ",Character!F349)</f>
        <v xml:space="preserve"> </v>
      </c>
      <c r="G1911" t="str">
        <f>IF(ISBLANK(Character!G349)," ",Character!G349)</f>
        <v xml:space="preserve"> </v>
      </c>
      <c r="H1911" t="str">
        <f>IF(ISBLANK(Character!H349)," ",Character!H349)</f>
        <v xml:space="preserve"> </v>
      </c>
      <c r="I1911" t="str">
        <f>IF(ISBLANK(Character!I349)," ",Character!I349)</f>
        <v xml:space="preserve"> </v>
      </c>
      <c r="J1911" t="str">
        <f>IF(ISBLANK(Character!J349)," ",Character!J349)</f>
        <v xml:space="preserve"> </v>
      </c>
      <c r="K1911" t="str">
        <f>IF(ISBLANK(Character!K349)," ",Character!K349)</f>
        <v xml:space="preserve"> </v>
      </c>
      <c r="L1911" t="str">
        <f>IF(ISBLANK(Character!L349)," ",Character!L349)</f>
        <v xml:space="preserve"> </v>
      </c>
      <c r="M1911" t="str">
        <f>IF(ISBLANK(Character!M349)," ",Character!M349)</f>
        <v xml:space="preserve"> </v>
      </c>
      <c r="N1911" t="str">
        <f>IF(ISBLANK(Character!N349)," ",Character!N349)</f>
        <v xml:space="preserve"> </v>
      </c>
      <c r="O1911" t="str">
        <f>IF(ISBLANK(Character!O349)," ",Character!O349)</f>
        <v xml:space="preserve"> </v>
      </c>
      <c r="P1911" t="str">
        <f>IF(ISBLANK(Character!P349)," ",Character!P349)</f>
        <v xml:space="preserve"> </v>
      </c>
    </row>
    <row r="1912" spans="1:16" x14ac:dyDescent="0.2">
      <c r="A1912" s="460" t="str">
        <f>CONCATENATE(Posessions!A288,"|",Posessions!B288,"|",Posessions!C288,"|",Posessions!D288)</f>
        <v>|||</v>
      </c>
      <c r="B1912" t="str">
        <f>IF(ISBLANK(Character!B350)," ",Character!B350)</f>
        <v xml:space="preserve"> </v>
      </c>
      <c r="C1912" t="str">
        <f>IF(ISBLANK(Character!C350)," ",Character!C350)</f>
        <v xml:space="preserve"> </v>
      </c>
      <c r="D1912" t="str">
        <f>IF(ISBLANK(Character!D350)," ",Character!D350)</f>
        <v xml:space="preserve"> </v>
      </c>
      <c r="E1912" t="str">
        <f>IF(ISBLANK(Character!E350)," ",Character!E350)</f>
        <v xml:space="preserve"> </v>
      </c>
      <c r="F1912" t="str">
        <f>IF(ISBLANK(Character!F350)," ",Character!F350)</f>
        <v xml:space="preserve"> </v>
      </c>
      <c r="G1912" t="str">
        <f>IF(ISBLANK(Character!G350)," ",Character!G350)</f>
        <v xml:space="preserve"> </v>
      </c>
      <c r="H1912" t="str">
        <f>IF(ISBLANK(Character!H350)," ",Character!H350)</f>
        <v xml:space="preserve"> </v>
      </c>
      <c r="I1912" t="str">
        <f>IF(ISBLANK(Character!I350)," ",Character!I350)</f>
        <v xml:space="preserve"> </v>
      </c>
      <c r="J1912" t="str">
        <f>IF(ISBLANK(Character!J350)," ",Character!J350)</f>
        <v xml:space="preserve"> </v>
      </c>
      <c r="K1912" t="str">
        <f>IF(ISBLANK(Character!K350)," ",Character!K350)</f>
        <v xml:space="preserve"> </v>
      </c>
      <c r="L1912" t="str">
        <f>IF(ISBLANK(Character!L350)," ",Character!L350)</f>
        <v xml:space="preserve"> </v>
      </c>
      <c r="M1912" t="str">
        <f>IF(ISBLANK(Character!M350)," ",Character!M350)</f>
        <v xml:space="preserve"> </v>
      </c>
      <c r="N1912" t="str">
        <f>IF(ISBLANK(Character!N350)," ",Character!N350)</f>
        <v xml:space="preserve"> </v>
      </c>
      <c r="O1912" t="str">
        <f>IF(ISBLANK(Character!O350)," ",Character!O350)</f>
        <v xml:space="preserve"> </v>
      </c>
      <c r="P1912" t="str">
        <f>IF(ISBLANK(Character!P350)," ",Character!P350)</f>
        <v xml:space="preserve"> </v>
      </c>
    </row>
    <row r="1913" spans="1:16" x14ac:dyDescent="0.2">
      <c r="A1913" t="s">
        <v>481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1"/>
  <sheetViews>
    <sheetView topLeftCell="A127" workbookViewId="0">
      <selection activeCell="A139" sqref="A139"/>
    </sheetView>
  </sheetViews>
  <sheetFormatPr defaultRowHeight="12.75" x14ac:dyDescent="0.2"/>
  <sheetData>
    <row r="1" spans="1:8" x14ac:dyDescent="0.2">
      <c r="A1" s="462" t="str">
        <f>'Wiki - Main'!A1</f>
        <v>[[!template id=character name=" " house=" " job=" " rank=" " appage=-683 born=/0/0 updated=1216/10/13 covenant=" " parens=" " origin=" " ethnicity=" " religion=" " age=-683 ]]</v>
      </c>
      <c r="B1" s="70"/>
      <c r="C1" s="70"/>
      <c r="D1" s="70"/>
      <c r="E1" s="70"/>
      <c r="F1" s="70"/>
      <c r="G1" s="70"/>
      <c r="H1" s="70"/>
    </row>
    <row r="2" spans="1:8" x14ac:dyDescent="0.2">
      <c r="A2" s="440" t="str">
        <f>'Wiki - Main'!A2</f>
        <v xml:space="preserve">##  </v>
      </c>
    </row>
    <row r="3" spans="1:8" x14ac:dyDescent="0.2">
      <c r="A3" s="440"/>
    </row>
    <row r="4" spans="1:8" x14ac:dyDescent="0.2">
      <c r="A4" s="440" t="str">
        <f>CONCATENATE("----")</f>
        <v>----</v>
      </c>
    </row>
    <row r="5" spans="1:8" x14ac:dyDescent="0.2">
      <c r="A5" s="443" t="str">
        <f>'Wiki - Main'!A5</f>
        <v>[[Main|]] / [[Magic|/Magic]] / [[Skills|/Skills]] / [[Stats|/Stats]] / [[Additional Detail|/AdditionalDetail]]</v>
      </c>
    </row>
    <row r="6" spans="1:8" x14ac:dyDescent="0.2">
      <c r="A6" s="440"/>
    </row>
    <row r="7" spans="1:8" x14ac:dyDescent="0.2">
      <c r="A7" s="440" t="str">
        <f>CONCATENATE("----")</f>
        <v>----</v>
      </c>
    </row>
    <row r="8" spans="1:8" x14ac:dyDescent="0.2">
      <c r="A8" s="440" t="str">
        <f>CONCATENATE("[[Casting Table|",'Start Character'!B2,"/Magic#Casting]]"," | ","[[Casting Table Notes|",'Start Character'!B2,"/Magic#CTNotes]]"," | ","[[Notes|",'Start Character'!B2,"/Magic#Notes]]"," | ","[[Techniques|",'Start Character'!B2,"/Magic#Techniques]]"," | ","[[Forms|",'Start Character'!B2,"/Magic#Forms]]"," | ","[[Spells|",'Start Character'!B2,"/Magic#Spells]]")</f>
        <v>[[Casting Table|/Magic#Casting]] | [[Casting Table Notes|/Magic#CTNotes]] | [[Notes|/Magic#Notes]] | [[Techniques|/Magic#Techniques]] | [[Forms|/Magic#Forms]] | [[Spells|/Magic#Spells]]</v>
      </c>
    </row>
    <row r="9" spans="1:8" x14ac:dyDescent="0.2">
      <c r="A9" s="440"/>
    </row>
    <row r="10" spans="1:8" x14ac:dyDescent="0.2">
      <c r="A10" s="440" t="str">
        <f>CONCATENATE("----")</f>
        <v>----</v>
      </c>
    </row>
    <row r="11" spans="1:8" x14ac:dyDescent="0.2">
      <c r="A11" s="440" t="str">
        <f>CONCATENATE("[[!template id=divbox content=",CHAR(34),CHAR(34),CHAR(34))</f>
        <v>[[!template id=divbox content="""</v>
      </c>
    </row>
    <row r="12" spans="1:8" x14ac:dyDescent="0.2">
      <c r="A12" s="440" t="str">
        <f>CONCATENATE("&lt;a id=","Casting",CHAR(34)," /&gt;")</f>
        <v>&lt;a id=Casting" /&gt;</v>
      </c>
    </row>
    <row r="13" spans="1:8" x14ac:dyDescent="0.2">
      <c r="A13" s="440" t="str">
        <f>CONCATENATE("### ","Casting Table")</f>
        <v>### Casting Table</v>
      </c>
    </row>
    <row r="14" spans="1:8" x14ac:dyDescent="0.2">
      <c r="A14" s="440" t="str">
        <f>CONCATENATE(Magic!E1,"|",Magic!F1,"|",Magic!G1,"|",Magic!H1,"|",Magic!I1,"|",Magic!J1,"|",Magic!K1,"|",Magic!L1,"|",Magic!M1,"|",Magic!N1,"|",Magic!O1,"|",Magic!P1,"|",Magic!Q1)</f>
        <v>Technique|Form|T+F|CS|LT|FC|SC|SS|C(NS)|C(S)|R|P|MR</v>
      </c>
    </row>
    <row r="15" spans="1:8" x14ac:dyDescent="0.2">
      <c r="A15" s="440" t="s">
        <v>461</v>
      </c>
    </row>
    <row r="16" spans="1:8" x14ac:dyDescent="0.2">
      <c r="A16" s="440" t="str">
        <f>CONCATENATE(IF(ISBLANK(Magic!E2)," ",Magic!E2),"|",IF(ISBLANK(Magic!F2)," ",Magic!F2),"|",IF(ISBLANK(Magic!G2)," ",Magic!G2),"|",IF(ISBLANK(Magic!H2)," ",Magic!H2),"|",IF(ISBLANK(Magic!I2)," ",Magic!I2),"|",IF(ISBLANK(Magic!J2)," ",CONCATENATE(Magic!J2,"+die")),"|",IF(ISBLANK(Magic!K2)," ",Magic!K2),"|",IF(ISBLANK(Magic!L2)," ",CONCATENATE(Magic!L2,"+(dStress/2)")),"|",IF(ISBLANK(Magic!M2)," ",Magic!M2),"|",IF((Magic!N2=" ")," ",CONCATENATE(Magic!N2,"+(dStress/2)")),"|",IF(ISBLANK(Magic!O2)," ",CONCATENATE(Magic!O2,"+dStress")),"|",IF(ISBLANK(Magic!P2)," ",Magic!P2),"|",IF(ISBLANK(Magic!Q2)," ",Magic!Q2))</f>
        <v>Creo|Animal|0|0|0|0+die|0|0+(dStress/2)| | |0+dStress| |0</v>
      </c>
    </row>
    <row r="17" spans="1:1" x14ac:dyDescent="0.2">
      <c r="A17" s="440" t="str">
        <f>CONCATENATE(IF(ISBLANK(Magic!E3)," ",Magic!E3),"|",IF(ISBLANK(Magic!F3)," ",Magic!F3),"|",IF(ISBLANK(Magic!G3)," ",Magic!G3),"|",IF(ISBLANK(Magic!H3)," ",Magic!H3),"|",IF(ISBLANK(Magic!I3)," ",Magic!I3),"|",IF(ISBLANK(Magic!J3)," ",CONCATENATE(Magic!J3,"+die")),"|",IF(ISBLANK(Magic!K3)," ",Magic!K3),"|",IF(ISBLANK(Magic!L3)," ",CONCATENATE(Magic!L3,"+(dStress/2)")),"|",IF(ISBLANK(Magic!M3)," ",Magic!M3),"|",IF((Magic!N3=" ")," ",CONCATENATE(Magic!N3,"+(dStress/2)")),"|",IF(ISBLANK(Magic!O3)," ",CONCATENATE(Magic!O3,"+dStress")),"|",IF(ISBLANK(Magic!P3)," ",Magic!P3),"|",IF(ISBLANK(Magic!Q3)," ",Magic!Q3))</f>
        <v xml:space="preserve"> |Aquam|0|0|0|0+die|0|0+(dStress/2)| | |0+dStress| |0</v>
      </c>
    </row>
    <row r="18" spans="1:1" x14ac:dyDescent="0.2">
      <c r="A18" s="440" t="str">
        <f>CONCATENATE(IF(ISBLANK(Magic!E4)," ",Magic!E4),"|",IF(ISBLANK(Magic!F4)," ",Magic!F4),"|",IF(ISBLANK(Magic!G4)," ",Magic!G4),"|",IF(ISBLANK(Magic!H4)," ",Magic!H4),"|",IF(ISBLANK(Magic!I4)," ",Magic!I4),"|",IF(ISBLANK(Magic!J4)," ",CONCATENATE(Magic!J4,"+die")),"|",IF(ISBLANK(Magic!K4)," ",Magic!K4),"|",IF(ISBLANK(Magic!L4)," ",CONCATENATE(Magic!L4,"+(dStress/2)")),"|",IF(ISBLANK(Magic!M4)," ",Magic!M4),"|",IF((Magic!N4=" ")," ",CONCATENATE(Magic!N4,"+(dStress/2)")),"|",IF(ISBLANK(Magic!O4)," ",CONCATENATE(Magic!O4,"+dStress")),"|",IF(ISBLANK(Magic!P4)," ",Magic!P4),"|",IF(ISBLANK(Magic!Q4)," ",Magic!Q4))</f>
        <v xml:space="preserve"> |Auram|0|0|0|0+die|0|0+(dStress/2)| | |0+dStress| |0</v>
      </c>
    </row>
    <row r="19" spans="1:1" x14ac:dyDescent="0.2">
      <c r="A19" s="440" t="str">
        <f>CONCATENATE(IF(ISBLANK(Magic!E5)," ",Magic!E5),"|",IF(ISBLANK(Magic!F5)," ",Magic!F5),"|",IF(ISBLANK(Magic!G5)," ",Magic!G5),"|",IF(ISBLANK(Magic!H5)," ",Magic!H5),"|",IF(ISBLANK(Magic!I5)," ",Magic!I5),"|",IF(ISBLANK(Magic!J5)," ",CONCATENATE(Magic!J5,"+die")),"|",IF(ISBLANK(Magic!K5)," ",Magic!K5),"|",IF(ISBLANK(Magic!L5)," ",CONCATENATE(Magic!L5,"+(dStress/2)")),"|",IF(ISBLANK(Magic!M5)," ",Magic!M5),"|",IF((Magic!N5=" ")," ",CONCATENATE(Magic!N5,"+(dStress/2)")),"|",IF(ISBLANK(Magic!O5)," ",CONCATENATE(Magic!O5,"+dStress")),"|",IF(ISBLANK(Magic!P5)," ",Magic!P5),"|",IF(ISBLANK(Magic!Q5)," ",Magic!Q5))</f>
        <v xml:space="preserve"> |Corpus|0|0|0|0+die|0|0+(dStress/2)| | |0+dStress| |0</v>
      </c>
    </row>
    <row r="20" spans="1:1" x14ac:dyDescent="0.2">
      <c r="A20" s="440" t="str">
        <f>CONCATENATE(IF(ISBLANK(Magic!E6)," ",Magic!E6),"|",IF(ISBLANK(Magic!F6)," ",Magic!F6),"|",IF(ISBLANK(Magic!G6)," ",Magic!G6),"|",IF(ISBLANK(Magic!H6)," ",Magic!H6),"|",IF(ISBLANK(Magic!I6)," ",Magic!I6),"|",IF(ISBLANK(Magic!J6)," ",CONCATENATE(Magic!J6,"+die")),"|",IF(ISBLANK(Magic!K6)," ",Magic!K6),"|",IF(ISBLANK(Magic!L6)," ",CONCATENATE(Magic!L6,"+(dStress/2)")),"|",IF(ISBLANK(Magic!M6)," ",Magic!M6),"|",IF((Magic!N6=" ")," ",CONCATENATE(Magic!N6,"+(dStress/2)")),"|",IF(ISBLANK(Magic!O6)," ",CONCATENATE(Magic!O6,"+dStress")),"|",IF(ISBLANK(Magic!P6)," ",Magic!P6),"|",IF(ISBLANK(Magic!Q6)," ",Magic!Q6))</f>
        <v xml:space="preserve"> |Herbam|0|0|0|0+die|0|0+(dStress/2)| | |0+dStress| |0</v>
      </c>
    </row>
    <row r="21" spans="1:1" x14ac:dyDescent="0.2">
      <c r="A21" s="440" t="str">
        <f>CONCATENATE(IF(ISBLANK(Magic!E7)," ",Magic!E7),"|",IF(ISBLANK(Magic!F7)," ",Magic!F7),"|",IF(ISBLANK(Magic!G7)," ",Magic!G7),"|",IF(ISBLANK(Magic!H7)," ",Magic!H7),"|",IF(ISBLANK(Magic!I7)," ",Magic!I7),"|",IF(ISBLANK(Magic!J7)," ",CONCATENATE(Magic!J7,"+die")),"|",IF(ISBLANK(Magic!K7)," ",Magic!K7),"|",IF(ISBLANK(Magic!L7)," ",CONCATENATE(Magic!L7,"+(dStress/2)")),"|",IF(ISBLANK(Magic!M7)," ",Magic!M7),"|",IF((Magic!N7=" ")," ",CONCATENATE(Magic!N7,"+(dStress/2)")),"|",IF(ISBLANK(Magic!O7)," ",CONCATENATE(Magic!O7,"+dStress")),"|",IF(ISBLANK(Magic!P7)," ",Magic!P7),"|",IF(ISBLANK(Magic!Q7)," ",Magic!Q7))</f>
        <v xml:space="preserve"> |Ignem|0|0|0|0+die|0|0+(dStress/2)| | |0+dStress| |0</v>
      </c>
    </row>
    <row r="22" spans="1:1" x14ac:dyDescent="0.2">
      <c r="A22" s="440" t="str">
        <f>CONCATENATE(IF(ISBLANK(Magic!E8)," ",Magic!E8),"|",IF(ISBLANK(Magic!F8)," ",Magic!F8),"|",IF(ISBLANK(Magic!G8)," ",Magic!G8),"|",IF(ISBLANK(Magic!H8)," ",Magic!H8),"|",IF(ISBLANK(Magic!I8)," ",Magic!I8),"|",IF(ISBLANK(Magic!J8)," ",CONCATENATE(Magic!J8,"+die")),"|",IF(ISBLANK(Magic!K8)," ",Magic!K8),"|",IF(ISBLANK(Magic!L8)," ",CONCATENATE(Magic!L8,"+(dStress/2)")),"|",IF(ISBLANK(Magic!M8)," ",Magic!M8),"|",IF((Magic!N8=" ")," ",CONCATENATE(Magic!N8,"+(dStress/2)")),"|",IF(ISBLANK(Magic!O8)," ",CONCATENATE(Magic!O8,"+dStress")),"|",IF(ISBLANK(Magic!P8)," ",Magic!P8),"|",IF(ISBLANK(Magic!Q8)," ",Magic!Q8))</f>
        <v xml:space="preserve"> |Imaginem|0|0|0|0+die|0|0+(dStress/2)| | |0+dStress| |0</v>
      </c>
    </row>
    <row r="23" spans="1:1" x14ac:dyDescent="0.2">
      <c r="A23" s="440" t="str">
        <f>CONCATENATE(IF(ISBLANK(Magic!E9)," ",Magic!E9),"|",IF(ISBLANK(Magic!F9)," ",Magic!F9),"|",IF(ISBLANK(Magic!G9)," ",Magic!G9),"|",IF(ISBLANK(Magic!H9)," ",Magic!H9),"|",IF(ISBLANK(Magic!I9)," ",Magic!I9),"|",IF(ISBLANK(Magic!J9)," ",CONCATENATE(Magic!J9,"+die")),"|",IF(ISBLANK(Magic!K9)," ",Magic!K9),"|",IF(ISBLANK(Magic!L9)," ",CONCATENATE(Magic!L9,"+(dStress/2)")),"|",IF(ISBLANK(Magic!M9)," ",Magic!M9),"|",IF((Magic!N9=" ")," ",CONCATENATE(Magic!N9,"+(dStress/2)")),"|",IF(ISBLANK(Magic!O9)," ",CONCATENATE(Magic!O9,"+dStress")),"|",IF(ISBLANK(Magic!P9)," ",Magic!P9),"|",IF(ISBLANK(Magic!Q9)," ",Magic!Q9))</f>
        <v xml:space="preserve"> |Mentem|0|0|0|0+die|0|0+(dStress/2)| | |0+dStress| |0</v>
      </c>
    </row>
    <row r="24" spans="1:1" x14ac:dyDescent="0.2">
      <c r="A24" s="440" t="str">
        <f>CONCATENATE(IF(ISBLANK(Magic!E10)," ",Magic!E10),"|",IF(ISBLANK(Magic!F10)," ",Magic!F10),"|",IF(ISBLANK(Magic!G10)," ",Magic!G10),"|",IF(ISBLANK(Magic!H10)," ",Magic!H10),"|",IF(ISBLANK(Magic!I10)," ",Magic!I10),"|",IF(ISBLANK(Magic!J10)," ",CONCATENATE(Magic!J10,"+die")),"|",IF(ISBLANK(Magic!K10)," ",Magic!K10),"|",IF(ISBLANK(Magic!L10)," ",CONCATENATE(Magic!L10,"+(dStress/2)")),"|",IF(ISBLANK(Magic!M10)," ",Magic!M10),"|",IF((Magic!N10=" ")," ",CONCATENATE(Magic!N10,"+(dStress/2)")),"|",IF(ISBLANK(Magic!O10)," ",CONCATENATE(Magic!O10,"+dStress")),"|",IF(ISBLANK(Magic!P10)," ",Magic!P10),"|",IF(ISBLANK(Magic!Q10)," ",Magic!Q10))</f>
        <v xml:space="preserve"> |Terram|0|0|0|0+die|0|0+(dStress/2)| | |0+dStress| |0</v>
      </c>
    </row>
    <row r="25" spans="1:1" x14ac:dyDescent="0.2">
      <c r="A25" s="440" t="str">
        <f>CONCATENATE(IF(ISBLANK(Magic!E11)," ",Magic!E11),"|",IF(ISBLANK(Magic!F11)," ",Magic!F11),"|",IF(ISBLANK(Magic!G11)," ",Magic!G11),"|",IF(ISBLANK(Magic!H11)," ",Magic!H11),"|",IF(ISBLANK(Magic!I11)," ",Magic!I11),"|",IF(ISBLANK(Magic!J11)," ",CONCATENATE(Magic!J11,"+die")),"|",IF(ISBLANK(Magic!K11)," ",Magic!K11),"|",IF(ISBLANK(Magic!L11)," ",CONCATENATE(Magic!L11,"+(dStress/2)")),"|",IF(ISBLANK(Magic!M11)," ",Magic!M11),"|",IF((Magic!N11=" ")," ",CONCATENATE(Magic!N11,"+(dStress/2)")),"|",IF(ISBLANK(Magic!O11)," ",CONCATENATE(Magic!O11,"+dStress")),"|",IF(ISBLANK(Magic!P11)," ",Magic!P11),"|",IF(ISBLANK(Magic!Q11)," ",Magic!Q11))</f>
        <v xml:space="preserve"> |Vim|0|0|0|0+die|0|0+(dStress/2)| | |0+dStress| |0</v>
      </c>
    </row>
    <row r="26" spans="1:1" x14ac:dyDescent="0.2">
      <c r="A26" s="440" t="s">
        <v>483</v>
      </c>
    </row>
    <row r="27" spans="1:1" x14ac:dyDescent="0.2">
      <c r="A27" s="440"/>
    </row>
    <row r="28" spans="1:1" x14ac:dyDescent="0.2">
      <c r="A28" s="440" t="str">
        <f>CONCATENATE(IF(ISBLANK(Magic!E12)," ",Magic!E12),"|",IF(ISBLANK(Magic!F12)," ",Magic!F12),"|",IF(ISBLANK(Magic!G12)," ",Magic!G12),"|",IF(ISBLANK(Magic!H12)," ",Magic!H12),"|",IF(ISBLANK(Magic!I12)," ",Magic!I12),"|",IF(ISBLANK(Magic!J12)," ",CONCATENATE(Magic!J12,"+die")),"|",IF(ISBLANK(Magic!K12)," ",Magic!K12),"|",IF(ISBLANK(Magic!L12)," ",CONCATENATE(Magic!L12,"+(dStress/2)")),"|",IF(ISBLANK(Magic!M12)," ",Magic!M12),"|",IF((Magic!N12=" ")," ",CONCATENATE(Magic!N12,"+(dStress/2)")),"|",IF(ISBLANK(Magic!O12)," ",CONCATENATE(Magic!O12,"+dStress")),"|",IF(ISBLANK(Magic!P12)," ",Magic!P12),"|",IF(ISBLANK(Magic!Q12)," ",Magic!Q12))</f>
        <v>Intellego|Animal|0|0|0|0+die|0|0+(dStress/2)| | |0+dStress| |0</v>
      </c>
    </row>
    <row r="29" spans="1:1" x14ac:dyDescent="0.2">
      <c r="A29" s="440" t="str">
        <f>CONCATENATE(IF(ISBLANK(Magic!E13)," ",Magic!E13),"|",IF(ISBLANK(Magic!F13)," ",Magic!F13),"|",IF(ISBLANK(Magic!G13)," ",Magic!G13),"|",IF(ISBLANK(Magic!H13)," ",Magic!H13),"|",IF(ISBLANK(Magic!I13)," ",Magic!I13),"|",IF(ISBLANK(Magic!J13)," ",CONCATENATE(Magic!J13,"+die")),"|",IF(ISBLANK(Magic!K13)," ",Magic!K13),"|",IF(ISBLANK(Magic!L13)," ",CONCATENATE(Magic!L13,"+(dStress/2)")),"|",IF(ISBLANK(Magic!M13)," ",Magic!M13),"|",IF((Magic!N13=" ")," ",CONCATENATE(Magic!N13,"+(dStress/2)")),"|",IF(ISBLANK(Magic!O13)," ",CONCATENATE(Magic!O13,"+dStress")),"|",IF(ISBLANK(Magic!P13)," ",Magic!P13),"|",IF(ISBLANK(Magic!Q13)," ",Magic!Q13))</f>
        <v xml:space="preserve"> |Aquam|0|0|0|0+die|0|0+(dStress/2)| | |0+dStress| |0</v>
      </c>
    </row>
    <row r="30" spans="1:1" x14ac:dyDescent="0.2">
      <c r="A30" s="440" t="str">
        <f>CONCATENATE(IF(ISBLANK(Magic!E14)," ",Magic!E14),"|",IF(ISBLANK(Magic!F14)," ",Magic!F14),"|",IF(ISBLANK(Magic!G14)," ",Magic!G14),"|",IF(ISBLANK(Magic!H14)," ",Magic!H14),"|",IF(ISBLANK(Magic!I14)," ",Magic!I14),"|",IF(ISBLANK(Magic!J14)," ",CONCATENATE(Magic!J14,"+die")),"|",IF(ISBLANK(Magic!K14)," ",Magic!K14),"|",IF(ISBLANK(Magic!L14)," ",CONCATENATE(Magic!L14,"+(dStress/2)")),"|",IF(ISBLANK(Magic!M14)," ",Magic!M14),"|",IF((Magic!N14=" ")," ",CONCATENATE(Magic!N14,"+(dStress/2)")),"|",IF(ISBLANK(Magic!O14)," ",CONCATENATE(Magic!O14,"+dStress")),"|",IF(ISBLANK(Magic!P14)," ",Magic!P14),"|",IF(ISBLANK(Magic!Q14)," ",Magic!Q14))</f>
        <v xml:space="preserve"> |Auram|0|0|0|0+die|0|0+(dStress/2)| | |0+dStress| |0</v>
      </c>
    </row>
    <row r="31" spans="1:1" x14ac:dyDescent="0.2">
      <c r="A31" s="440" t="str">
        <f>CONCATENATE(IF(ISBLANK(Magic!E15)," ",Magic!E15),"|",IF(ISBLANK(Magic!F15)," ",Magic!F15),"|",IF(ISBLANK(Magic!G15)," ",Magic!G15),"|",IF(ISBLANK(Magic!H15)," ",Magic!H15),"|",IF(ISBLANK(Magic!I15)," ",Magic!I15),"|",IF(ISBLANK(Magic!J15)," ",CONCATENATE(Magic!J15,"+die")),"|",IF(ISBLANK(Magic!K15)," ",Magic!K15),"|",IF(ISBLANK(Magic!L15)," ",CONCATENATE(Magic!L15,"+(dStress/2)")),"|",IF(ISBLANK(Magic!M15)," ",Magic!M15),"|",IF((Magic!N15=" ")," ",CONCATENATE(Magic!N15,"+(dStress/2)")),"|",IF(ISBLANK(Magic!O15)," ",CONCATENATE(Magic!O15,"+dStress")),"|",IF(ISBLANK(Magic!P15)," ",Magic!P15),"|",IF(ISBLANK(Magic!Q15)," ",Magic!Q15))</f>
        <v xml:space="preserve"> |Corpus|0|0|0|0+die|0|0+(dStress/2)| | |0+dStress| |0</v>
      </c>
    </row>
    <row r="32" spans="1:1" x14ac:dyDescent="0.2">
      <c r="A32" s="440" t="str">
        <f>CONCATENATE(IF(ISBLANK(Magic!E16)," ",Magic!E16),"|",IF(ISBLANK(Magic!F16)," ",Magic!F16),"|",IF(ISBLANK(Magic!G16)," ",Magic!G16),"|",IF(ISBLANK(Magic!H16)," ",Magic!H16),"|",IF(ISBLANK(Magic!I16)," ",Magic!I16),"|",IF(ISBLANK(Magic!J16)," ",CONCATENATE(Magic!J16,"+die")),"|",IF(ISBLANK(Magic!K16)," ",Magic!K16),"|",IF(ISBLANK(Magic!L16)," ",CONCATENATE(Magic!L16,"+(dStress/2)")),"|",IF(ISBLANK(Magic!M16)," ",Magic!M16),"|",IF((Magic!N16=" ")," ",CONCATENATE(Magic!N16,"+(dStress/2)")),"|",IF(ISBLANK(Magic!O16)," ",CONCATENATE(Magic!O16,"+dStress")),"|",IF(ISBLANK(Magic!P16)," ",Magic!P16),"|",IF(ISBLANK(Magic!Q16)," ",Magic!Q16))</f>
        <v xml:space="preserve"> |Herbam|0|0|0|0+die|0|0+(dStress/2)| | |0+dStress| |0</v>
      </c>
    </row>
    <row r="33" spans="1:1" x14ac:dyDescent="0.2">
      <c r="A33" s="440" t="str">
        <f>CONCATENATE(IF(ISBLANK(Magic!E17)," ",Magic!E17),"|",IF(ISBLANK(Magic!F17)," ",Magic!F17),"|",IF(ISBLANK(Magic!G17)," ",Magic!G17),"|",IF(ISBLANK(Magic!H17)," ",Magic!H17),"|",IF(ISBLANK(Magic!I17)," ",Magic!I17),"|",IF(ISBLANK(Magic!J17)," ",CONCATENATE(Magic!J17,"+die")),"|",IF(ISBLANK(Magic!K17)," ",Magic!K17),"|",IF(ISBLANK(Magic!L17)," ",CONCATENATE(Magic!L17,"+(dStress/2)")),"|",IF(ISBLANK(Magic!M17)," ",Magic!M17),"|",IF((Magic!N17=" ")," ",CONCATENATE(Magic!N17,"+(dStress/2)")),"|",IF(ISBLANK(Magic!O17)," ",CONCATENATE(Magic!O17,"+dStress")),"|",IF(ISBLANK(Magic!P17)," ",Magic!P17),"|",IF(ISBLANK(Magic!Q17)," ",Magic!Q17))</f>
        <v xml:space="preserve"> |Ignem|0|0|0|0+die|0|0+(dStress/2)| | |0+dStress| |0</v>
      </c>
    </row>
    <row r="34" spans="1:1" x14ac:dyDescent="0.2">
      <c r="A34" s="440" t="str">
        <f>CONCATENATE(IF(ISBLANK(Magic!E18)," ",Magic!E18),"|",IF(ISBLANK(Magic!F18)," ",Magic!F18),"|",IF(ISBLANK(Magic!G18)," ",Magic!G18),"|",IF(ISBLANK(Magic!H18)," ",Magic!H18),"|",IF(ISBLANK(Magic!I18)," ",Magic!I18),"|",IF(ISBLANK(Magic!J18)," ",CONCATENATE(Magic!J18,"+die")),"|",IF(ISBLANK(Magic!K18)," ",Magic!K18),"|",IF(ISBLANK(Magic!L18)," ",CONCATENATE(Magic!L18,"+(dStress/2)")),"|",IF(ISBLANK(Magic!M18)," ",Magic!M18),"|",IF((Magic!N18=" ")," ",CONCATENATE(Magic!N18,"+(dStress/2)")),"|",IF(ISBLANK(Magic!O18)," ",CONCATENATE(Magic!O18,"+dStress")),"|",IF(ISBLANK(Magic!P18)," ",Magic!P18),"|",IF(ISBLANK(Magic!Q18)," ",Magic!Q18))</f>
        <v xml:space="preserve"> |Imaginem|0|0|0|0+die|0|0+(dStress/2)| | |0+dStress| |0</v>
      </c>
    </row>
    <row r="35" spans="1:1" x14ac:dyDescent="0.2">
      <c r="A35" s="440" t="str">
        <f>CONCATENATE(IF(ISBLANK(Magic!E19)," ",Magic!E19),"|",IF(ISBLANK(Magic!F19)," ",Magic!F19),"|",IF(ISBLANK(Magic!G19)," ",Magic!G19),"|",IF(ISBLANK(Magic!H19)," ",Magic!H19),"|",IF(ISBLANK(Magic!I19)," ",Magic!I19),"|",IF(ISBLANK(Magic!J19)," ",CONCATENATE(Magic!J19,"+die")),"|",IF(ISBLANK(Magic!K19)," ",Magic!K19),"|",IF(ISBLANK(Magic!L19)," ",CONCATENATE(Magic!L19,"+(dStress/2)")),"|",IF(ISBLANK(Magic!M19)," ",Magic!M19),"|",IF((Magic!N19=" ")," ",CONCATENATE(Magic!N19,"+(dStress/2)")),"|",IF(ISBLANK(Magic!O19)," ",CONCATENATE(Magic!O19,"+dStress")),"|",IF(ISBLANK(Magic!P19)," ",Magic!P19),"|",IF(ISBLANK(Magic!Q19)," ",Magic!Q19))</f>
        <v xml:space="preserve"> |Mentem|0|0|0|0+die|0|0+(dStress/2)| | |0+dStress| |0</v>
      </c>
    </row>
    <row r="36" spans="1:1" x14ac:dyDescent="0.2">
      <c r="A36" s="440" t="str">
        <f>CONCATENATE(IF(ISBLANK(Magic!E20)," ",Magic!E20),"|",IF(ISBLANK(Magic!F20)," ",Magic!F20),"|",IF(ISBLANK(Magic!G20)," ",Magic!G20),"|",IF(ISBLANK(Magic!H20)," ",Magic!H20),"|",IF(ISBLANK(Magic!I20)," ",Magic!I20),"|",IF(ISBLANK(Magic!J20)," ",CONCATENATE(Magic!J20,"+die")),"|",IF(ISBLANK(Magic!K20)," ",Magic!K20),"|",IF(ISBLANK(Magic!L20)," ",CONCATENATE(Magic!L20,"+(dStress/2)")),"|",IF(ISBLANK(Magic!M20)," ",Magic!M20),"|",IF((Magic!N20=" ")," ",CONCATENATE(Magic!N20,"+(dStress/2)")),"|",IF(ISBLANK(Magic!O20)," ",CONCATENATE(Magic!O20,"+dStress")),"|",IF(ISBLANK(Magic!P20)," ",Magic!P20),"|",IF(ISBLANK(Magic!Q20)," ",Magic!Q20))</f>
        <v xml:space="preserve"> |Terram|0|0|0|0+die|0|0+(dStress/2)| | |0+dStress| |0</v>
      </c>
    </row>
    <row r="37" spans="1:1" x14ac:dyDescent="0.2">
      <c r="A37" s="440" t="str">
        <f>CONCATENATE(IF(ISBLANK(Magic!E21)," ",Magic!E21),"|",IF(ISBLANK(Magic!F21)," ",Magic!F21),"|",IF(ISBLANK(Magic!G21)," ",Magic!G21),"|",IF(ISBLANK(Magic!H21)," ",Magic!H21),"|",IF(ISBLANK(Magic!I21)," ",Magic!I21),"|",IF(ISBLANK(Magic!J21)," ",CONCATENATE(Magic!J21,"+die")),"|",IF(ISBLANK(Magic!K21)," ",Magic!K21),"|",IF(ISBLANK(Magic!L21)," ",CONCATENATE(Magic!L21,"+(dStress/2)")),"|",IF(ISBLANK(Magic!M21)," ",Magic!M21),"|",IF((Magic!N21=" ")," ",CONCATENATE(Magic!N21,"+(dStress/2)")),"|",IF(ISBLANK(Magic!O21)," ",CONCATENATE(Magic!O21,"+dStress")),"|",IF(ISBLANK(Magic!P21)," ",Magic!P21),"|",IF(ISBLANK(Magic!Q21)," ",Magic!Q21))</f>
        <v xml:space="preserve"> |Vim|0|0|0|0+die|0|0+(dStress/2)| | |0+dStress| |0</v>
      </c>
    </row>
    <row r="38" spans="1:1" x14ac:dyDescent="0.2">
      <c r="A38" s="440" t="s">
        <v>483</v>
      </c>
    </row>
    <row r="39" spans="1:1" x14ac:dyDescent="0.2">
      <c r="A39" s="440"/>
    </row>
    <row r="40" spans="1:1" x14ac:dyDescent="0.2">
      <c r="A40" s="440" t="str">
        <f>CONCATENATE(IF(ISBLANK(Magic!E22)," ",Magic!E22),"|",IF(ISBLANK(Magic!F22)," ",Magic!F22),"|",IF(ISBLANK(Magic!G22)," ",Magic!G22),"|",IF(ISBLANK(Magic!H22)," ",Magic!H22),"|",IF(ISBLANK(Magic!I22)," ",Magic!I22),"|",IF(ISBLANK(Magic!J22)," ",CONCATENATE(Magic!J22,"+die")),"|",IF(ISBLANK(Magic!K22)," ",Magic!K22),"|",IF(ISBLANK(Magic!L22)," ",CONCATENATE(Magic!L22,"+(dStress/2)")),"|",IF(ISBLANK(Magic!M22)," ",Magic!M22),"|",IF((Magic!N22=" ")," ",CONCATENATE(Magic!N22,"+(dStress/2)")),"|",IF(ISBLANK(Magic!O22)," ",CONCATENATE(Magic!O22,"+dStress")),"|",IF(ISBLANK(Magic!P22)," ",Magic!P22),"|",IF(ISBLANK(Magic!Q22)," ",Magic!Q22))</f>
        <v>Muto|Animal|0|0|0|0+die|0|0+(dStress/2)| | |0+dStress| |0</v>
      </c>
    </row>
    <row r="41" spans="1:1" x14ac:dyDescent="0.2">
      <c r="A41" s="440" t="str">
        <f>CONCATENATE(IF(ISBLANK(Magic!E23)," ",Magic!E23),"|",IF(ISBLANK(Magic!F23)," ",Magic!F23),"|",IF(ISBLANK(Magic!G23)," ",Magic!G23),"|",IF(ISBLANK(Magic!H23)," ",Magic!H23),"|",IF(ISBLANK(Magic!I23)," ",Magic!I23),"|",IF(ISBLANK(Magic!J23)," ",CONCATENATE(Magic!J23,"+die")),"|",IF(ISBLANK(Magic!K23)," ",Magic!K23),"|",IF(ISBLANK(Magic!L23)," ",CONCATENATE(Magic!L23,"+(dStress/2)")),"|",IF(ISBLANK(Magic!M23)," ",Magic!M23),"|",IF((Magic!N23=" ")," ",CONCATENATE(Magic!N23,"+(dStress/2)")),"|",IF(ISBLANK(Magic!O23)," ",CONCATENATE(Magic!O23,"+dStress")),"|",IF(ISBLANK(Magic!P23)," ",Magic!P23),"|",IF(ISBLANK(Magic!Q23)," ",Magic!Q23))</f>
        <v xml:space="preserve"> |Aquam|0|0|0|0+die|0|0+(dStress/2)| | |0+dStress| |0</v>
      </c>
    </row>
    <row r="42" spans="1:1" x14ac:dyDescent="0.2">
      <c r="A42" s="440" t="str">
        <f>CONCATENATE(IF(ISBLANK(Magic!E24)," ",Magic!E24),"|",IF(ISBLANK(Magic!F24)," ",Magic!F24),"|",IF(ISBLANK(Magic!G24)," ",Magic!G24),"|",IF(ISBLANK(Magic!H24)," ",Magic!H24),"|",IF(ISBLANK(Magic!I24)," ",Magic!I24),"|",IF(ISBLANK(Magic!J24)," ",CONCATENATE(Magic!J24,"+die")),"|",IF(ISBLANK(Magic!K24)," ",Magic!K24),"|",IF(ISBLANK(Magic!L24)," ",CONCATENATE(Magic!L24,"+(dStress/2)")),"|",IF(ISBLANK(Magic!M24)," ",Magic!M24),"|",IF((Magic!N24=" ")," ",CONCATENATE(Magic!N24,"+(dStress/2)")),"|",IF(ISBLANK(Magic!O24)," ",CONCATENATE(Magic!O24,"+dStress")),"|",IF(ISBLANK(Magic!P24)," ",Magic!P24),"|",IF(ISBLANK(Magic!Q24)," ",Magic!Q24))</f>
        <v xml:space="preserve"> |Auram|0|0|0|0+die|0|0+(dStress/2)| | |0+dStress| |0</v>
      </c>
    </row>
    <row r="43" spans="1:1" x14ac:dyDescent="0.2">
      <c r="A43" s="440" t="str">
        <f>CONCATENATE(IF(ISBLANK(Magic!E25)," ",Magic!E25),"|",IF(ISBLANK(Magic!F25)," ",Magic!F25),"|",IF(ISBLANK(Magic!G25)," ",Magic!G25),"|",IF(ISBLANK(Magic!H25)," ",Magic!H25),"|",IF(ISBLANK(Magic!I25)," ",Magic!I25),"|",IF(ISBLANK(Magic!J25)," ",CONCATENATE(Magic!J25,"+die")),"|",IF(ISBLANK(Magic!K25)," ",Magic!K25),"|",IF(ISBLANK(Magic!L25)," ",CONCATENATE(Magic!L25,"+(dStress/2)")),"|",IF(ISBLANK(Magic!M25)," ",Magic!M25),"|",IF((Magic!N25=" ")," ",CONCATENATE(Magic!N25,"+(dStress/2)")),"|",IF(ISBLANK(Magic!O25)," ",CONCATENATE(Magic!O25,"+dStress")),"|",IF(ISBLANK(Magic!P25)," ",Magic!P25),"|",IF(ISBLANK(Magic!Q25)," ",Magic!Q25))</f>
        <v xml:space="preserve"> |Corpus|0|0|0|0+die|0|0+(dStress/2)| | |0+dStress| |0</v>
      </c>
    </row>
    <row r="44" spans="1:1" x14ac:dyDescent="0.2">
      <c r="A44" s="440" t="str">
        <f>CONCATENATE(IF(ISBLANK(Magic!E26)," ",Magic!E26),"|",IF(ISBLANK(Magic!F26)," ",Magic!F26),"|",IF(ISBLANK(Magic!G26)," ",Magic!G26),"|",IF(ISBLANK(Magic!H26)," ",Magic!H26),"|",IF(ISBLANK(Magic!I26)," ",Magic!I26),"|",IF(ISBLANK(Magic!J26)," ",CONCATENATE(Magic!J26,"+die")),"|",IF(ISBLANK(Magic!K26)," ",Magic!K26),"|",IF(ISBLANK(Magic!L26)," ",CONCATENATE(Magic!L26,"+(dStress/2)")),"|",IF(ISBLANK(Magic!M26)," ",Magic!M26),"|",IF((Magic!N26=" ")," ",CONCATENATE(Magic!N26,"+(dStress/2)")),"|",IF(ISBLANK(Magic!O26)," ",CONCATENATE(Magic!O26,"+dStress")),"|",IF(ISBLANK(Magic!P26)," ",Magic!P26),"|",IF(ISBLANK(Magic!Q26)," ",Magic!Q26))</f>
        <v xml:space="preserve"> |Herbam|0|0|0|0+die|0|0+(dStress/2)| | |0+dStress| |0</v>
      </c>
    </row>
    <row r="45" spans="1:1" x14ac:dyDescent="0.2">
      <c r="A45" s="440" t="str">
        <f>CONCATENATE(IF(ISBLANK(Magic!E27)," ",Magic!E27),"|",IF(ISBLANK(Magic!F27)," ",Magic!F27),"|",IF(ISBLANK(Magic!G27)," ",Magic!G27),"|",IF(ISBLANK(Magic!H27)," ",Magic!H27),"|",IF(ISBLANK(Magic!I27)," ",Magic!I27),"|",IF(ISBLANK(Magic!J27)," ",CONCATENATE(Magic!J27,"+die")),"|",IF(ISBLANK(Magic!K27)," ",Magic!K27),"|",IF(ISBLANK(Magic!L27)," ",CONCATENATE(Magic!L27,"+(dStress/2)")),"|",IF(ISBLANK(Magic!M27)," ",Magic!M27),"|",IF((Magic!N27=" ")," ",CONCATENATE(Magic!N27,"+(dStress/2)")),"|",IF(ISBLANK(Magic!O27)," ",CONCATENATE(Magic!O27,"+dStress")),"|",IF(ISBLANK(Magic!P27)," ",Magic!P27),"|",IF(ISBLANK(Magic!Q27)," ",Magic!Q27))</f>
        <v xml:space="preserve"> |Ignem|0|0|0|0+die|0|0+(dStress/2)| | |0+dStress| |0</v>
      </c>
    </row>
    <row r="46" spans="1:1" x14ac:dyDescent="0.2">
      <c r="A46" s="440" t="str">
        <f>CONCATENATE(IF(ISBLANK(Magic!E28)," ",Magic!E28),"|",IF(ISBLANK(Magic!F28)," ",Magic!F28),"|",IF(ISBLANK(Magic!G28)," ",Magic!G28),"|",IF(ISBLANK(Magic!H28)," ",Magic!H28),"|",IF(ISBLANK(Magic!I28)," ",Magic!I28),"|",IF(ISBLANK(Magic!J28)," ",CONCATENATE(Magic!J28,"+die")),"|",IF(ISBLANK(Magic!K28)," ",Magic!K28),"|",IF(ISBLANK(Magic!L28)," ",CONCATENATE(Magic!L28,"+(dStress/2)")),"|",IF(ISBLANK(Magic!M28)," ",Magic!M28),"|",IF((Magic!N28=" ")," ",CONCATENATE(Magic!N28,"+(dStress/2)")),"|",IF(ISBLANK(Magic!O28)," ",CONCATENATE(Magic!O28,"+dStress")),"|",IF(ISBLANK(Magic!P28)," ",Magic!P28),"|",IF(ISBLANK(Magic!Q28)," ",Magic!Q28))</f>
        <v xml:space="preserve"> |Imaginem|0|0|0|0+die|0|0+(dStress/2)| | |0+dStress| |0</v>
      </c>
    </row>
    <row r="47" spans="1:1" x14ac:dyDescent="0.2">
      <c r="A47" s="440" t="str">
        <f>CONCATENATE(IF(ISBLANK(Magic!E29)," ",Magic!E29),"|",IF(ISBLANK(Magic!F29)," ",Magic!F29),"|",IF(ISBLANK(Magic!G29)," ",Magic!G29),"|",IF(ISBLANK(Magic!H29)," ",Magic!H29),"|",IF(ISBLANK(Magic!I29)," ",Magic!I29),"|",IF(ISBLANK(Magic!J29)," ",CONCATENATE(Magic!J29,"+die")),"|",IF(ISBLANK(Magic!K29)," ",Magic!K29),"|",IF(ISBLANK(Magic!L29)," ",CONCATENATE(Magic!L29,"+(dStress/2)")),"|",IF(ISBLANK(Magic!M29)," ",Magic!M29),"|",IF((Magic!N29=" ")," ",CONCATENATE(Magic!N29,"+(dStress/2)")),"|",IF(ISBLANK(Magic!O29)," ",CONCATENATE(Magic!O29,"+dStress")),"|",IF(ISBLANK(Magic!P29)," ",Magic!P29),"|",IF(ISBLANK(Magic!Q29)," ",Magic!Q29))</f>
        <v xml:space="preserve"> |Mentem|0|0|0|0+die|0|0+(dStress/2)| | |0+dStress| |0</v>
      </c>
    </row>
    <row r="48" spans="1:1" x14ac:dyDescent="0.2">
      <c r="A48" s="440" t="str">
        <f>CONCATENATE(IF(ISBLANK(Magic!E30)," ",Magic!E30),"|",IF(ISBLANK(Magic!F30)," ",Magic!F30),"|",IF(ISBLANK(Magic!G30)," ",Magic!G30),"|",IF(ISBLANK(Magic!H30)," ",Magic!H30),"|",IF(ISBLANK(Magic!I30)," ",Magic!I30),"|",IF(ISBLANK(Magic!J30)," ",CONCATENATE(Magic!J30,"+die")),"|",IF(ISBLANK(Magic!K30)," ",Magic!K30),"|",IF(ISBLANK(Magic!L30)," ",CONCATENATE(Magic!L30,"+(dStress/2)")),"|",IF(ISBLANK(Magic!M30)," ",Magic!M30),"|",IF((Magic!N30=" ")," ",CONCATENATE(Magic!N30,"+(dStress/2)")),"|",IF(ISBLANK(Magic!O30)," ",CONCATENATE(Magic!O30,"+dStress")),"|",IF(ISBLANK(Magic!P30)," ",Magic!P30),"|",IF(ISBLANK(Magic!Q30)," ",Magic!Q30))</f>
        <v xml:space="preserve"> |Terram|0|0|0|0+die|0|0+(dStress/2)| | |0+dStress| |0</v>
      </c>
    </row>
    <row r="49" spans="1:1" x14ac:dyDescent="0.2">
      <c r="A49" s="440" t="str">
        <f>CONCATENATE(IF(ISBLANK(Magic!E31)," ",Magic!E31),"|",IF(ISBLANK(Magic!F31)," ",Magic!F31),"|",IF(ISBLANK(Magic!G31)," ",Magic!G31),"|",IF(ISBLANK(Magic!H31)," ",Magic!H31),"|",IF(ISBLANK(Magic!I31)," ",Magic!I31),"|",IF(ISBLANK(Magic!J31)," ",CONCATENATE(Magic!J31,"+die")),"|",IF(ISBLANK(Magic!K31)," ",Magic!K31),"|",IF(ISBLANK(Magic!L31)," ",CONCATENATE(Magic!L31,"+(dStress/2)")),"|",IF(ISBLANK(Magic!M31)," ",Magic!M31),"|",IF((Magic!N31=" ")," ",CONCATENATE(Magic!N31,"+(dStress/2)")),"|",IF(ISBLANK(Magic!O31)," ",CONCATENATE(Magic!O31,"+dStress")),"|",IF(ISBLANK(Magic!P31)," ",Magic!P31),"|",IF(ISBLANK(Magic!Q31)," ",Magic!Q31))</f>
        <v xml:space="preserve"> |Vim|0|0|0|0+die|0|0+(dStress/2)| | |0+dStress| |0</v>
      </c>
    </row>
    <row r="50" spans="1:1" x14ac:dyDescent="0.2">
      <c r="A50" s="440" t="s">
        <v>483</v>
      </c>
    </row>
    <row r="51" spans="1:1" x14ac:dyDescent="0.2">
      <c r="A51" s="440"/>
    </row>
    <row r="52" spans="1:1" x14ac:dyDescent="0.2">
      <c r="A52" s="440" t="str">
        <f>CONCATENATE(IF(ISBLANK(Magic!E32)," ",Magic!E32),"|",IF(ISBLANK(Magic!F32)," ",Magic!F32),"|",IF(ISBLANK(Magic!G32)," ",Magic!G32),"|",IF(ISBLANK(Magic!H32)," ",Magic!H32),"|",IF(ISBLANK(Magic!I32)," ",Magic!I32),"|",IF(ISBLANK(Magic!J32)," ",CONCATENATE(Magic!J32,"+die")),"|",IF(ISBLANK(Magic!K32)," ",Magic!K32),"|",IF(ISBLANK(Magic!L32)," ",CONCATENATE(Magic!L32,"+(dStress/2)")),"|",IF(ISBLANK(Magic!M32)," ",Magic!M32),"|",IF((Magic!N32=" ")," ",CONCATENATE(Magic!N32,"+(dStress/2)")),"|",IF(ISBLANK(Magic!O32)," ",CONCATENATE(Magic!O32,"+dStress")),"|",IF(ISBLANK(Magic!P32)," ",Magic!P32),"|",IF(ISBLANK(Magic!Q32)," ",Magic!Q32))</f>
        <v>Perdo|Animal|0|0|0|0+die|0|0+(dStress/2)| | |0+dStress| |0</v>
      </c>
    </row>
    <row r="53" spans="1:1" x14ac:dyDescent="0.2">
      <c r="A53" s="440" t="str">
        <f>CONCATENATE(IF(ISBLANK(Magic!E33)," ",Magic!E33),"|",IF(ISBLANK(Magic!F33)," ",Magic!F33),"|",IF(ISBLANK(Magic!G33)," ",Magic!G33),"|",IF(ISBLANK(Magic!H33)," ",Magic!H33),"|",IF(ISBLANK(Magic!I33)," ",Magic!I33),"|",IF(ISBLANK(Magic!J33)," ",CONCATENATE(Magic!J33,"+die")),"|",IF(ISBLANK(Magic!K33)," ",Magic!K33),"|",IF(ISBLANK(Magic!L33)," ",CONCATENATE(Magic!L33,"+(dStress/2)")),"|",IF(ISBLANK(Magic!M33)," ",Magic!M33),"|",IF((Magic!N33=" ")," ",CONCATENATE(Magic!N33,"+(dStress/2)")),"|",IF(ISBLANK(Magic!O33)," ",CONCATENATE(Magic!O33,"+dStress")),"|",IF(ISBLANK(Magic!P33)," ",Magic!P33),"|",IF(ISBLANK(Magic!Q33)," ",Magic!Q33))</f>
        <v xml:space="preserve"> |Aquam|0|0|0|0+die|0|0+(dStress/2)| | |0+dStress| |0</v>
      </c>
    </row>
    <row r="54" spans="1:1" x14ac:dyDescent="0.2">
      <c r="A54" s="440" t="str">
        <f>CONCATENATE(IF(ISBLANK(Magic!E34)," ",Magic!E34),"|",IF(ISBLANK(Magic!F34)," ",Magic!F34),"|",IF(ISBLANK(Magic!G34)," ",Magic!G34),"|",IF(ISBLANK(Magic!H34)," ",Magic!H34),"|",IF(ISBLANK(Magic!I34)," ",Magic!I34),"|",IF(ISBLANK(Magic!J34)," ",CONCATENATE(Magic!J34,"+die")),"|",IF(ISBLANK(Magic!K34)," ",Magic!K34),"|",IF(ISBLANK(Magic!L34)," ",CONCATENATE(Magic!L34,"+(dStress/2)")),"|",IF(ISBLANK(Magic!M34)," ",Magic!M34),"|",IF((Magic!N34=" ")," ",CONCATENATE(Magic!N34,"+(dStress/2)")),"|",IF(ISBLANK(Magic!O34)," ",CONCATENATE(Magic!O34,"+dStress")),"|",IF(ISBLANK(Magic!P34)," ",Magic!P34),"|",IF(ISBLANK(Magic!Q34)," ",Magic!Q34))</f>
        <v xml:space="preserve"> |Auram|0|0|0|0+die|0|0+(dStress/2)| | |0+dStress| |0</v>
      </c>
    </row>
    <row r="55" spans="1:1" x14ac:dyDescent="0.2">
      <c r="A55" s="440" t="str">
        <f>CONCATENATE(IF(ISBLANK(Magic!E35)," ",Magic!E35),"|",IF(ISBLANK(Magic!F35)," ",Magic!F35),"|",IF(ISBLANK(Magic!G35)," ",Magic!G35),"|",IF(ISBLANK(Magic!H35)," ",Magic!H35),"|",IF(ISBLANK(Magic!I35)," ",Magic!I35),"|",IF(ISBLANK(Magic!J35)," ",CONCATENATE(Magic!J35,"+die")),"|",IF(ISBLANK(Magic!K35)," ",Magic!K35),"|",IF(ISBLANK(Magic!L35)," ",CONCATENATE(Magic!L35,"+(dStress/2)")),"|",IF(ISBLANK(Magic!M35)," ",Magic!M35),"|",IF((Magic!N35=" ")," ",CONCATENATE(Magic!N35,"+(dStress/2)")),"|",IF(ISBLANK(Magic!O35)," ",CONCATENATE(Magic!O35,"+dStress")),"|",IF(ISBLANK(Magic!P35)," ",Magic!P35),"|",IF(ISBLANK(Magic!Q35)," ",Magic!Q35))</f>
        <v xml:space="preserve"> |Corpus|0|0|0|0+die|0|0+(dStress/2)| | |0+dStress| |0</v>
      </c>
    </row>
    <row r="56" spans="1:1" x14ac:dyDescent="0.2">
      <c r="A56" s="440" t="str">
        <f>CONCATENATE(IF(ISBLANK(Magic!E36)," ",Magic!E36),"|",IF(ISBLANK(Magic!F36)," ",Magic!F36),"|",IF(ISBLANK(Magic!G36)," ",Magic!G36),"|",IF(ISBLANK(Magic!H36)," ",Magic!H36),"|",IF(ISBLANK(Magic!I36)," ",Magic!I36),"|",IF(ISBLANK(Magic!J36)," ",CONCATENATE(Magic!J36,"+die")),"|",IF(ISBLANK(Magic!K36)," ",Magic!K36),"|",IF(ISBLANK(Magic!L36)," ",CONCATENATE(Magic!L36,"+(dStress/2)")),"|",IF(ISBLANK(Magic!M36)," ",Magic!M36),"|",IF((Magic!N36=" ")," ",CONCATENATE(Magic!N36,"+(dStress/2)")),"|",IF(ISBLANK(Magic!O36)," ",CONCATENATE(Magic!O36,"+dStress")),"|",IF(ISBLANK(Magic!P36)," ",Magic!P36),"|",IF(ISBLANK(Magic!Q36)," ",Magic!Q36))</f>
        <v xml:space="preserve"> |Herbam|0|0|0|0+die|0|0+(dStress/2)| | |0+dStress| |0</v>
      </c>
    </row>
    <row r="57" spans="1:1" x14ac:dyDescent="0.2">
      <c r="A57" s="440" t="str">
        <f>CONCATENATE(IF(ISBLANK(Magic!E37)," ",Magic!E37),"|",IF(ISBLANK(Magic!F37)," ",Magic!F37),"|",IF(ISBLANK(Magic!G37)," ",Magic!G37),"|",IF(ISBLANK(Magic!H37)," ",Magic!H37),"|",IF(ISBLANK(Magic!I37)," ",Magic!I37),"|",IF(ISBLANK(Magic!J37)," ",CONCATENATE(Magic!J37,"+die")),"|",IF(ISBLANK(Magic!K37)," ",Magic!K37),"|",IF(ISBLANK(Magic!L37)," ",CONCATENATE(Magic!L37,"+(dStress/2)")),"|",IF(ISBLANK(Magic!M37)," ",Magic!M37),"|",IF((Magic!N37=" ")," ",CONCATENATE(Magic!N37,"+(dStress/2)")),"|",IF(ISBLANK(Magic!O37)," ",CONCATENATE(Magic!O37,"+dStress")),"|",IF(ISBLANK(Magic!P37)," ",Magic!P37),"|",IF(ISBLANK(Magic!Q37)," ",Magic!Q37))</f>
        <v xml:space="preserve"> |Ignem|0|0|0|0+die|0|0+(dStress/2)| | |0+dStress| |0</v>
      </c>
    </row>
    <row r="58" spans="1:1" x14ac:dyDescent="0.2">
      <c r="A58" s="440" t="str">
        <f>CONCATENATE(IF(ISBLANK(Magic!E38)," ",Magic!E38),"|",IF(ISBLANK(Magic!F38)," ",Magic!F38),"|",IF(ISBLANK(Magic!G38)," ",Magic!G38),"|",IF(ISBLANK(Magic!H38)," ",Magic!H38),"|",IF(ISBLANK(Magic!I38)," ",Magic!I38),"|",IF(ISBLANK(Magic!J38)," ",CONCATENATE(Magic!J38,"+die")),"|",IF(ISBLANK(Magic!K38)," ",Magic!K38),"|",IF(ISBLANK(Magic!L38)," ",CONCATENATE(Magic!L38,"+(dStress/2)")),"|",IF(ISBLANK(Magic!M38)," ",Magic!M38),"|",IF((Magic!N38=" ")," ",CONCATENATE(Magic!N38,"+(dStress/2)")),"|",IF(ISBLANK(Magic!O38)," ",CONCATENATE(Magic!O38,"+dStress")),"|",IF(ISBLANK(Magic!P38)," ",Magic!P38),"|",IF(ISBLANK(Magic!Q38)," ",Magic!Q38))</f>
        <v xml:space="preserve"> |Imaginem|0|0|0|0+die|0|0+(dStress/2)| | |0+dStress| |0</v>
      </c>
    </row>
    <row r="59" spans="1:1" x14ac:dyDescent="0.2">
      <c r="A59" s="440" t="str">
        <f>CONCATENATE(IF(ISBLANK(Magic!E39)," ",Magic!E39),"|",IF(ISBLANK(Magic!F39)," ",Magic!F39),"|",IF(ISBLANK(Magic!G39)," ",Magic!G39),"|",IF(ISBLANK(Magic!H39)," ",Magic!H39),"|",IF(ISBLANK(Magic!I39)," ",Magic!I39),"|",IF(ISBLANK(Magic!J39)," ",CONCATENATE(Magic!J39,"+die")),"|",IF(ISBLANK(Magic!K39)," ",Magic!K39),"|",IF(ISBLANK(Magic!L39)," ",CONCATENATE(Magic!L39,"+(dStress/2)")),"|",IF(ISBLANK(Magic!M39)," ",Magic!M39),"|",IF((Magic!N39=" ")," ",CONCATENATE(Magic!N39,"+(dStress/2)")),"|",IF(ISBLANK(Magic!O39)," ",CONCATENATE(Magic!O39,"+dStress")),"|",IF(ISBLANK(Magic!P39)," ",Magic!P39),"|",IF(ISBLANK(Magic!Q39)," ",Magic!Q39))</f>
        <v xml:space="preserve"> |Mentem|0|0|0|0+die|0|0+(dStress/2)| | |0+dStress| |0</v>
      </c>
    </row>
    <row r="60" spans="1:1" x14ac:dyDescent="0.2">
      <c r="A60" s="440" t="str">
        <f>CONCATENATE(IF(ISBLANK(Magic!E40)," ",Magic!E40),"|",IF(ISBLANK(Magic!F40)," ",Magic!F40),"|",IF(ISBLANK(Magic!G40)," ",Magic!G40),"|",IF(ISBLANK(Magic!H40)," ",Magic!H40),"|",IF(ISBLANK(Magic!I40)," ",Magic!I40),"|",IF(ISBLANK(Magic!J40)," ",CONCATENATE(Magic!J40,"+die")),"|",IF(ISBLANK(Magic!K40)," ",Magic!K40),"|",IF(ISBLANK(Magic!L40)," ",CONCATENATE(Magic!L40,"+(dStress/2)")),"|",IF(ISBLANK(Magic!M40)," ",Magic!M40),"|",IF((Magic!N40=" ")," ",CONCATENATE(Magic!N40,"+(dStress/2)")),"|",IF(ISBLANK(Magic!O40)," ",CONCATENATE(Magic!O40,"+dStress")),"|",IF(ISBLANK(Magic!P40)," ",Magic!P40),"|",IF(ISBLANK(Magic!Q40)," ",Magic!Q40))</f>
        <v xml:space="preserve"> |Terram|0|0|0|0+die|0|0+(dStress/2)| | |0+dStress| |0</v>
      </c>
    </row>
    <row r="61" spans="1:1" x14ac:dyDescent="0.2">
      <c r="A61" s="440" t="str">
        <f>CONCATENATE(IF(ISBLANK(Magic!E41)," ",Magic!E41),"|",IF(ISBLANK(Magic!F41)," ",Magic!F41),"|",IF(ISBLANK(Magic!G41)," ",Magic!G41),"|",IF(ISBLANK(Magic!H41)," ",Magic!H41),"|",IF(ISBLANK(Magic!I41)," ",Magic!I41),"|",IF(ISBLANK(Magic!J41)," ",CONCATENATE(Magic!J41,"+die")),"|",IF(ISBLANK(Magic!K41)," ",Magic!K41),"|",IF(ISBLANK(Magic!L41)," ",CONCATENATE(Magic!L41,"+(dStress/2)")),"|",IF(ISBLANK(Magic!M41)," ",Magic!M41),"|",IF((Magic!N41=" ")," ",CONCATENATE(Magic!N41,"+(dStress/2)")),"|",IF(ISBLANK(Magic!O41)," ",CONCATENATE(Magic!O41,"+dStress")),"|",IF(ISBLANK(Magic!P41)," ",Magic!P41),"|",IF(ISBLANK(Magic!Q41)," ",Magic!Q41))</f>
        <v xml:space="preserve"> |Vim|0|0|0|0+die|0|0+(dStress/2)| | |0+dStress| |0</v>
      </c>
    </row>
    <row r="62" spans="1:1" x14ac:dyDescent="0.2">
      <c r="A62" s="440" t="s">
        <v>483</v>
      </c>
    </row>
    <row r="63" spans="1:1" x14ac:dyDescent="0.2">
      <c r="A63" s="440"/>
    </row>
    <row r="64" spans="1:1" x14ac:dyDescent="0.2">
      <c r="A64" s="440" t="str">
        <f>CONCATENATE(IF(ISBLANK(Magic!E42)," ",Magic!E42),"|",IF(ISBLANK(Magic!F42)," ",Magic!F42),"|",IF(ISBLANK(Magic!G42)," ",Magic!G42),"|",IF(ISBLANK(Magic!H42)," ",Magic!H42),"|",IF(ISBLANK(Magic!I42)," ",Magic!I42),"|",IF(ISBLANK(Magic!J42)," ",CONCATENATE(Magic!J42,"+die")),"|",IF(ISBLANK(Magic!K42)," ",Magic!K42),"|",IF(ISBLANK(Magic!L42)," ",CONCATENATE(Magic!L42,"+(dStress/2)")),"|",IF(ISBLANK(Magic!M42)," ",Magic!M42),"|",IF((Magic!N42=" ")," ",CONCATENATE(Magic!N42,"+(dStress/2)")),"|",IF(ISBLANK(Magic!O42)," ",CONCATENATE(Magic!O42,"+dStress")),"|",IF(ISBLANK(Magic!P42)," ",Magic!P42),"|",IF(ISBLANK(Magic!Q42)," ",Magic!Q42))</f>
        <v>Rego|Animal|0|0|0|0+die|0|0+(dStress/2)| | |0+dStress| |0</v>
      </c>
    </row>
    <row r="65" spans="1:1" x14ac:dyDescent="0.2">
      <c r="A65" s="440" t="str">
        <f>CONCATENATE(IF(ISBLANK(Magic!E43)," ",Magic!E43),"|",IF(ISBLANK(Magic!F43)," ",Magic!F43),"|",IF(ISBLANK(Magic!G43)," ",Magic!G43),"|",IF(ISBLANK(Magic!H43)," ",Magic!H43),"|",IF(ISBLANK(Magic!I43)," ",Magic!I43),"|",IF(ISBLANK(Magic!J43)," ",CONCATENATE(Magic!J43,"+die")),"|",IF(ISBLANK(Magic!K43)," ",Magic!K43),"|",IF(ISBLANK(Magic!L43)," ",CONCATENATE(Magic!L43,"+(dStress/2)")),"|",IF(ISBLANK(Magic!M43)," ",Magic!M43),"|",IF((Magic!N43=" ")," ",CONCATENATE(Magic!N43,"+(dStress/2)")),"|",IF(ISBLANK(Magic!O43)," ",CONCATENATE(Magic!O43,"+dStress")),"|",IF(ISBLANK(Magic!P43)," ",Magic!P43),"|",IF(ISBLANK(Magic!Q43)," ",Magic!Q43))</f>
        <v xml:space="preserve"> |Aquam|0|0|0|0+die|0|0+(dStress/2)| | |0+dStress| |0</v>
      </c>
    </row>
    <row r="66" spans="1:1" x14ac:dyDescent="0.2">
      <c r="A66" s="440" t="str">
        <f>CONCATENATE(IF(ISBLANK(Magic!E44)," ",Magic!E44),"|",IF(ISBLANK(Magic!F44)," ",Magic!F44),"|",IF(ISBLANK(Magic!G44)," ",Magic!G44),"|",IF(ISBLANK(Magic!H44)," ",Magic!H44),"|",IF(ISBLANK(Magic!I44)," ",Magic!I44),"|",IF(ISBLANK(Magic!J44)," ",CONCATENATE(Magic!J44,"+die")),"|",IF(ISBLANK(Magic!K44)," ",Magic!K44),"|",IF(ISBLANK(Magic!L44)," ",CONCATENATE(Magic!L44,"+(dStress/2)")),"|",IF(ISBLANK(Magic!M44)," ",Magic!M44),"|",IF((Magic!N44=" ")," ",CONCATENATE(Magic!N44,"+(dStress/2)")),"|",IF(ISBLANK(Magic!O44)," ",CONCATENATE(Magic!O44,"+dStress")),"|",IF(ISBLANK(Magic!P44)," ",Magic!P44),"|",IF(ISBLANK(Magic!Q44)," ",Magic!Q44))</f>
        <v xml:space="preserve"> |Auram|0|0|0|0+die|0|0+(dStress/2)| | |0+dStress| |0</v>
      </c>
    </row>
    <row r="67" spans="1:1" x14ac:dyDescent="0.2">
      <c r="A67" s="440" t="str">
        <f>CONCATENATE(IF(ISBLANK(Magic!E45)," ",Magic!E45),"|",IF(ISBLANK(Magic!F45)," ",Magic!F45),"|",IF(ISBLANK(Magic!G45)," ",Magic!G45),"|",IF(ISBLANK(Magic!H45)," ",Magic!H45),"|",IF(ISBLANK(Magic!I45)," ",Magic!I45),"|",IF(ISBLANK(Magic!J45)," ",CONCATENATE(Magic!J45,"+die")),"|",IF(ISBLANK(Magic!K45)," ",Magic!K45),"|",IF(ISBLANK(Magic!L45)," ",CONCATENATE(Magic!L45,"+(dStress/2)")),"|",IF(ISBLANK(Magic!M45)," ",Magic!M45),"|",IF((Magic!N45=" ")," ",CONCATENATE(Magic!N45,"+(dStress/2)")),"|",IF(ISBLANK(Magic!O45)," ",CONCATENATE(Magic!O45,"+dStress")),"|",IF(ISBLANK(Magic!P45)," ",Magic!P45),"|",IF(ISBLANK(Magic!Q45)," ",Magic!Q45))</f>
        <v xml:space="preserve"> |Corpus|0|0|0|0+die|0|0+(dStress/2)| | |0+dStress| |0</v>
      </c>
    </row>
    <row r="68" spans="1:1" x14ac:dyDescent="0.2">
      <c r="A68" s="440" t="str">
        <f>CONCATENATE(IF(ISBLANK(Magic!E46)," ",Magic!E46),"|",IF(ISBLANK(Magic!F46)," ",Magic!F46),"|",IF(ISBLANK(Magic!G46)," ",Magic!G46),"|",IF(ISBLANK(Magic!H46)," ",Magic!H46),"|",IF(ISBLANK(Magic!I46)," ",Magic!I46),"|",IF(ISBLANK(Magic!J46)," ",CONCATENATE(Magic!J46,"+die")),"|",IF(ISBLANK(Magic!K46)," ",Magic!K46),"|",IF(ISBLANK(Magic!L46)," ",CONCATENATE(Magic!L46,"+(dStress/2)")),"|",IF(ISBLANK(Magic!M46)," ",Magic!M46),"|",IF((Magic!N46=" ")," ",CONCATENATE(Magic!N46,"+(dStress/2)")),"|",IF(ISBLANK(Magic!O46)," ",CONCATENATE(Magic!O46,"+dStress")),"|",IF(ISBLANK(Magic!P46)," ",Magic!P46),"|",IF(ISBLANK(Magic!Q46)," ",Magic!Q46))</f>
        <v xml:space="preserve"> |Herbam|0|0|0|0+die|0|0+(dStress/2)| | |0+dStress| |0</v>
      </c>
    </row>
    <row r="69" spans="1:1" x14ac:dyDescent="0.2">
      <c r="A69" s="440" t="str">
        <f>CONCATENATE(IF(ISBLANK(Magic!E47)," ",Magic!E47),"|",IF(ISBLANK(Magic!F47)," ",Magic!F47),"|",IF(ISBLANK(Magic!G47)," ",Magic!G47),"|",IF(ISBLANK(Magic!H47)," ",Magic!H47),"|",IF(ISBLANK(Magic!I47)," ",Magic!I47),"|",IF(ISBLANK(Magic!J47)," ",CONCATENATE(Magic!J47,"+die")),"|",IF(ISBLANK(Magic!K47)," ",Magic!K47),"|",IF(ISBLANK(Magic!L47)," ",CONCATENATE(Magic!L47,"+(dStress/2)")),"|",IF(ISBLANK(Magic!M47)," ",Magic!M47),"|",IF((Magic!N47=" ")," ",CONCATENATE(Magic!N47,"+(dStress/2)")),"|",IF(ISBLANK(Magic!O47)," ",CONCATENATE(Magic!O47,"+dStress")),"|",IF(ISBLANK(Magic!P47)," ",Magic!P47),"|",IF(ISBLANK(Magic!Q47)," ",Magic!Q47))</f>
        <v xml:space="preserve"> |Ignem|0|0|0|0+die|0|0+(dStress/2)| | |0+dStress| |0</v>
      </c>
    </row>
    <row r="70" spans="1:1" x14ac:dyDescent="0.2">
      <c r="A70" s="440" t="str">
        <f>CONCATENATE(IF(ISBLANK(Magic!E48)," ",Magic!E48),"|",IF(ISBLANK(Magic!F48)," ",Magic!F48),"|",IF(ISBLANK(Magic!G48)," ",Magic!G48),"|",IF(ISBLANK(Magic!H48)," ",Magic!H48),"|",IF(ISBLANK(Magic!I48)," ",Magic!I48),"|",IF(ISBLANK(Magic!J48)," ",CONCATENATE(Magic!J48,"+die")),"|",IF(ISBLANK(Magic!K48)," ",Magic!K48),"|",IF(ISBLANK(Magic!L48)," ",CONCATENATE(Magic!L48,"+(dStress/2)")),"|",IF(ISBLANK(Magic!M48)," ",Magic!M48),"|",IF((Magic!N48=" ")," ",CONCATENATE(Magic!N48,"+(dStress/2)")),"|",IF(ISBLANK(Magic!O48)," ",CONCATENATE(Magic!O48,"+dStress")),"|",IF(ISBLANK(Magic!P48)," ",Magic!P48),"|",IF(ISBLANK(Magic!Q48)," ",Magic!Q48))</f>
        <v xml:space="preserve"> |Imaginem|0|0|0|0+die|0|0+(dStress/2)| | |0+dStress| |0</v>
      </c>
    </row>
    <row r="71" spans="1:1" x14ac:dyDescent="0.2">
      <c r="A71" s="440" t="str">
        <f>CONCATENATE(IF(ISBLANK(Magic!E49)," ",Magic!E49),"|",IF(ISBLANK(Magic!F49)," ",Magic!F49),"|",IF(ISBLANK(Magic!G49)," ",Magic!G49),"|",IF(ISBLANK(Magic!H49)," ",Magic!H49),"|",IF(ISBLANK(Magic!I49)," ",Magic!I49),"|",IF(ISBLANK(Magic!J49)," ",CONCATENATE(Magic!J49,"+die")),"|",IF(ISBLANK(Magic!K49)," ",Magic!K49),"|",IF(ISBLANK(Magic!L49)," ",CONCATENATE(Magic!L49,"+(dStress/2)")),"|",IF(ISBLANK(Magic!M49)," ",Magic!M49),"|",IF((Magic!N49=" ")," ",CONCATENATE(Magic!N49,"+(dStress/2)")),"|",IF(ISBLANK(Magic!O49)," ",CONCATENATE(Magic!O49,"+dStress")),"|",IF(ISBLANK(Magic!P49)," ",Magic!P49),"|",IF(ISBLANK(Magic!Q49)," ",Magic!Q49))</f>
        <v xml:space="preserve"> |Mentem|0|0|0|0+die|0|0+(dStress/2)| | |0+dStress| |0</v>
      </c>
    </row>
    <row r="72" spans="1:1" x14ac:dyDescent="0.2">
      <c r="A72" s="440" t="str">
        <f>CONCATENATE(IF(ISBLANK(Magic!E50)," ",Magic!E50),"|",IF(ISBLANK(Magic!F50)," ",Magic!F50),"|",IF(ISBLANK(Magic!G50)," ",Magic!G50),"|",IF(ISBLANK(Magic!H50)," ",Magic!H50),"|",IF(ISBLANK(Magic!I50)," ",Magic!I50),"|",IF(ISBLANK(Magic!J50)," ",CONCATENATE(Magic!J50,"+die")),"|",IF(ISBLANK(Magic!K50)," ",Magic!K50),"|",IF(ISBLANK(Magic!L50)," ",CONCATENATE(Magic!L50,"+(dStress/2)")),"|",IF(ISBLANK(Magic!M50)," ",Magic!M50),"|",IF((Magic!N50=" ")," ",CONCATENATE(Magic!N50,"+(dStress/2)")),"|",IF(ISBLANK(Magic!O50)," ",CONCATENATE(Magic!O50,"+dStress")),"|",IF(ISBLANK(Magic!P50)," ",Magic!P50),"|",IF(ISBLANK(Magic!Q50)," ",Magic!Q50))</f>
        <v xml:space="preserve"> |Terram|0|0|0|0+die|0|0+(dStress/2)| | |0+dStress| |0</v>
      </c>
    </row>
    <row r="73" spans="1:1" x14ac:dyDescent="0.2">
      <c r="A73" s="440" t="str">
        <f>CONCATENATE(IF(ISBLANK(Magic!E51)," ",Magic!E51),"|",IF(ISBLANK(Magic!F51)," ",Magic!F51),"|",IF(ISBLANK(Magic!G51)," ",Magic!G51),"|",IF(ISBLANK(Magic!H51)," ",Magic!H51),"|",IF(ISBLANK(Magic!I51)," ",Magic!I51),"|",IF(ISBLANK(Magic!J51)," ",CONCATENATE(Magic!J51,"+die")),"|",IF(ISBLANK(Magic!K51)," ",Magic!K51),"|",IF(ISBLANK(Magic!L51)," ",CONCATENATE(Magic!L51,"+(dStress/2)")),"|",IF(ISBLANK(Magic!M51)," ",Magic!M51),"|",IF((Magic!N51=" ")," ",CONCATENATE(Magic!N51,"+(dStress/2)")),"|",IF(ISBLANK(Magic!O51)," ",CONCATENATE(Magic!O51,"+dStress")),"|",IF(ISBLANK(Magic!P51)," ",Magic!P51),"|",IF(ISBLANK(Magic!Q51)," ",Magic!Q51))</f>
        <v xml:space="preserve"> |Vim|0|0|0|0+die|0|0+(dStress/2)| | |0+dStress| |0</v>
      </c>
    </row>
    <row r="74" spans="1:1" x14ac:dyDescent="0.2">
      <c r="A74" s="440" t="str">
        <f>CONCATENATE(CHAR(34),CHAR(34),CHAR(34),"]]")</f>
        <v>"""]]</v>
      </c>
    </row>
    <row r="75" spans="1:1" x14ac:dyDescent="0.2">
      <c r="A75" s="440" t="str">
        <f>CONCATENATE("[[!template id=divbox content=",CHAR(34),CHAR(34),CHAR(34))</f>
        <v>[[!template id=divbox content="""</v>
      </c>
    </row>
    <row r="76" spans="1:1" x14ac:dyDescent="0.2">
      <c r="A76" s="440" t="str">
        <f>CONCATENATE("&lt;a id=",CHAR(34),"CTNotes",CHAR(34)," /&gt;")</f>
        <v>&lt;a id="CTNotes" /&gt;</v>
      </c>
    </row>
    <row r="77" spans="1:1" x14ac:dyDescent="0.2">
      <c r="A77" s="440" t="str">
        <f>CONCATENATE("### ","Casting Table Notes")</f>
        <v>### Casting Table Notes</v>
      </c>
    </row>
    <row r="78" spans="1:1" x14ac:dyDescent="0.2">
      <c r="A78" s="440" t="str">
        <f>CONCATENATE(Magic!S1," | ",Magic!T1," | ",Magic!U1)</f>
        <v>Abbreviation | Full | Explanation</v>
      </c>
    </row>
    <row r="79" spans="1:1" x14ac:dyDescent="0.2">
      <c r="A79" s="440" t="str">
        <f>CONCATENATE(":--|:--|:--")</f>
        <v>:--|:--|:--</v>
      </c>
    </row>
    <row r="80" spans="1:1" x14ac:dyDescent="0.2">
      <c r="A80" s="440" t="str">
        <f>CONCATENATE(Magic!S2," | ",Magic!T2," | ",Magic!U2)</f>
        <v xml:space="preserve">T+F | Technique plus Form | </v>
      </c>
    </row>
    <row r="81" spans="1:1" x14ac:dyDescent="0.2">
      <c r="A81" s="440" t="str">
        <f>CONCATENATE(Magic!S3," | ",Magic!T3," | ",Magic!U3)</f>
        <v>CS | Casting Score | Base magical power without modifiers</v>
      </c>
    </row>
    <row r="82" spans="1:1" x14ac:dyDescent="0.2">
      <c r="A82" s="440" t="str">
        <f>CONCATENATE(Magic!S4," | ",Magic!T4," | ",Magic!U4)</f>
        <v>FC | Formulaic Casting | Highest level of non-ritual spell castable (max level 45)</v>
      </c>
    </row>
    <row r="83" spans="1:1" x14ac:dyDescent="0.2">
      <c r="A83" s="440" t="str">
        <f>CONCATENATE(Magic!S5," | ",Magic!T5," | ",Magic!U5)</f>
        <v>LT | Lab Total | Highest level of spell learnable</v>
      </c>
    </row>
    <row r="84" spans="1:1" x14ac:dyDescent="0.2">
      <c r="A84" s="440" t="str">
        <f>CONCATENATE(Magic!S6," | ",Magic!T6," | ",Magic!U6)</f>
        <v>SC | Spontaneous Casting | Highest level of spell castable spontaneously without fatigue</v>
      </c>
    </row>
    <row r="85" spans="1:1" x14ac:dyDescent="0.2">
      <c r="A85" s="440" t="str">
        <f>CONCATENATE(Magic!S7," | ",Magic!T7," | ",Magic!U7)</f>
        <v>SS | Stressed Spontaneous  | Highest level of spell castable spontaneously by taking fatigue</v>
      </c>
    </row>
    <row r="86" spans="1:1" x14ac:dyDescent="0.2">
      <c r="A86" s="440" t="str">
        <f>CONCATENATE(Magic!S8," | ",Magic!T8," | ",Magic!U8)</f>
        <v>C (NS) | Ceremonial Casting | Take 15 minutes per magnitude to boost spontaneous casting</v>
      </c>
    </row>
    <row r="87" spans="1:1" x14ac:dyDescent="0.2">
      <c r="A87" s="440" t="str">
        <f>CONCATENATE(Magic!S9," | ",Magic!T9," | ",Magic!U9)</f>
        <v>C (S) | Ceremonial Casting | Take 15 minutes per magnitude to boost stressed spontaneous casting</v>
      </c>
    </row>
    <row r="88" spans="1:1" x14ac:dyDescent="0.2">
      <c r="A88" s="440" t="str">
        <f>CONCATENATE(Magic!S10," | ",Magic!T10," | ",Magic!U10)</f>
        <v>R | Ritual Casting | Ritual spells take longer but can be higher level than formulaic</v>
      </c>
    </row>
    <row r="89" spans="1:1" x14ac:dyDescent="0.2">
      <c r="A89" s="440" t="str">
        <f>CONCATENATE(Magic!S11," | ",Magic!T11," | ",Magic!U11)</f>
        <v xml:space="preserve">P | Parma Magica | </v>
      </c>
    </row>
    <row r="90" spans="1:1" x14ac:dyDescent="0.2">
      <c r="A90" s="440" t="str">
        <f>CONCATENATE(Magic!S12," | ",Magic!T12," | ",Magic!U12)</f>
        <v xml:space="preserve">MR | Magic Resistance | </v>
      </c>
    </row>
    <row r="91" spans="1:1" x14ac:dyDescent="0.2">
      <c r="A91" s="440" t="s">
        <v>478</v>
      </c>
    </row>
    <row r="92" spans="1:1" x14ac:dyDescent="0.2">
      <c r="A92" s="440" t="str">
        <f>CONCATENATE(CHAR(34),CHAR(34),CHAR(34),"]]")</f>
        <v>"""]]</v>
      </c>
    </row>
    <row r="93" spans="1:1" x14ac:dyDescent="0.2">
      <c r="A93" s="440" t="str">
        <f>CONCATENATE("&lt;br style=",CHAR(34),"clear:left;",CHAR(34)," /&gt;")</f>
        <v>&lt;br style="clear:left;" /&gt;</v>
      </c>
    </row>
    <row r="94" spans="1:1" x14ac:dyDescent="0.2">
      <c r="A94" s="381" t="str">
        <f>CONCATENATE("[[!template id=divbox content=",CHAR(34),CHAR(34),CHAR(34))</f>
        <v>[[!template id=divbox content="""</v>
      </c>
    </row>
    <row r="95" spans="1:1" x14ac:dyDescent="0.2">
      <c r="A95" s="381" t="str">
        <f>CONCATENATE("&lt;a id=",CHAR(34),RIGHT(A96,LEN(A96)-4),CHAR(34)," /&gt;")</f>
        <v>&lt;a id="Notes" /&gt;</v>
      </c>
    </row>
    <row r="96" spans="1:1" x14ac:dyDescent="0.2">
      <c r="A96" s="381" t="str">
        <f>CONCATENATE("### ",Magic!S14)</f>
        <v>### Notes</v>
      </c>
    </row>
    <row r="97" spans="1:20" x14ac:dyDescent="0.2">
      <c r="A97" s="381" t="str">
        <f>CONCATENATE("* ",Magic!S15)</f>
        <v>* If a form or technique is Deficient, halve all casting and lab totals that use that art after calculating as above. This includes halving the dice rolls.</v>
      </c>
    </row>
    <row r="98" spans="1:20" x14ac:dyDescent="0.2">
      <c r="A98" s="381" t="str">
        <f>CONCATENATE("* ",Magic!S16)</f>
        <v>* If you have Flawed Parma Magica, your Parma Magica is halved for the form in which it is flawed</v>
      </c>
    </row>
    <row r="99" spans="1:20" x14ac:dyDescent="0.2">
      <c r="A99" s="381" t="str">
        <f>CONCATENATE("* ",Magic!S17)</f>
        <v>* If you have incompatible arts, delete the relevant row.</v>
      </c>
    </row>
    <row r="100" spans="1:20" x14ac:dyDescent="0.2">
      <c r="A100" s="381" t="str">
        <f>CONCATENATE(CHAR(34),CHAR(34),CHAR(34),"]]")</f>
        <v>"""]]</v>
      </c>
    </row>
    <row r="101" spans="1:20" x14ac:dyDescent="0.2">
      <c r="A101" s="381" t="str">
        <f>CONCATENATE("&lt;br style=",CHAR(34),"clear:left;",CHAR(34)," /&gt;")</f>
        <v>&lt;br style="clear:left;" /&gt;</v>
      </c>
    </row>
    <row r="102" spans="1:20" x14ac:dyDescent="0.2">
      <c r="A102" s="381" t="str">
        <f>CONCATENATE("[[!template id=divbox content=",CHAR(34),CHAR(34),CHAR(34))</f>
        <v>[[!template id=divbox content="""</v>
      </c>
      <c r="B102" s="381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</row>
    <row r="103" spans="1:20" x14ac:dyDescent="0.2">
      <c r="A103" s="381" t="str">
        <f>CONCATENATE("&lt;a id=",CHAR(34),RIGHT(A104,LEN(A104)-4),CHAR(34)," /&gt;")</f>
        <v>&lt;a id="Techniques" /&gt;</v>
      </c>
      <c r="B103" s="381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</row>
    <row r="104" spans="1:20" x14ac:dyDescent="0.2">
      <c r="A104" s="381" t="str">
        <f>CONCATENATE("### ",Character!A69)</f>
        <v>### Techniques</v>
      </c>
      <c r="B104" s="381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</row>
    <row r="105" spans="1:20" x14ac:dyDescent="0.2">
      <c r="A105" s="381" t="str">
        <f>CONCATENATE(":--|:--")</f>
        <v>:--|:--</v>
      </c>
      <c r="B105" s="381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</row>
    <row r="106" spans="1:20" x14ac:dyDescent="0.2">
      <c r="A106" s="381" t="str">
        <f>CONCATENATE(IF(ISBLANK(Character!A70)," ",Character!A70),"|",IF(ISBLANK(Character!B70)," ",Character!B70))</f>
        <v>Creo|0</v>
      </c>
      <c r="B106" s="381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</row>
    <row r="107" spans="1:20" x14ac:dyDescent="0.2">
      <c r="A107" s="381" t="str">
        <f>CONCATENATE(IF(ISBLANK(Character!A71)," ",Character!A71),"|",IF(ISBLANK(Character!B71)," ",Character!B71))</f>
        <v>Intellego|0</v>
      </c>
      <c r="B107" s="381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</row>
    <row r="108" spans="1:20" x14ac:dyDescent="0.2">
      <c r="A108" s="381" t="str">
        <f>CONCATENATE(IF(ISBLANK(Character!A72)," ",Character!A72),"|",IF(ISBLANK(Character!B72)," ",Character!B72))</f>
        <v>Muto|0</v>
      </c>
      <c r="B108" s="381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</row>
    <row r="109" spans="1:20" x14ac:dyDescent="0.2">
      <c r="A109" s="381" t="str">
        <f>CONCATENATE(IF(ISBLANK(Character!A73)," ",Character!A73),"|",IF(ISBLANK(Character!B73)," ",Character!B73))</f>
        <v>Perdo|0</v>
      </c>
      <c r="B109" s="381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</row>
    <row r="110" spans="1:20" x14ac:dyDescent="0.2">
      <c r="A110" s="381" t="str">
        <f>CONCATENATE(IF(ISBLANK(Character!A74)," ",Character!A74),"|",IF(ISBLANK(Character!B74)," ",Character!B74))</f>
        <v>Rego|0</v>
      </c>
      <c r="B110" s="381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</row>
    <row r="111" spans="1:20" x14ac:dyDescent="0.2">
      <c r="A111" s="381" t="s">
        <v>482</v>
      </c>
      <c r="B111" s="381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</row>
    <row r="112" spans="1:20" x14ac:dyDescent="0.2">
      <c r="A112" s="381" t="str">
        <f>CONCATENATE(CHAR(34),CHAR(34),CHAR(34),"]]")</f>
        <v>"""]]</v>
      </c>
      <c r="B112" s="381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</row>
    <row r="113" spans="1:20" x14ac:dyDescent="0.2">
      <c r="A113" s="381" t="str">
        <f>CONCATENATE("[[!template id=divbox content=",CHAR(34),CHAR(34),CHAR(34))</f>
        <v>[[!template id=divbox content="""</v>
      </c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</row>
    <row r="114" spans="1:20" x14ac:dyDescent="0.2">
      <c r="A114" s="381" t="str">
        <f>CONCATENATE("&lt;a id=",CHAR(34),RIGHT(A115,LEN(A115)-4),CHAR(34)," /&gt;")</f>
        <v>&lt;a id="Forms" /&gt;</v>
      </c>
    </row>
    <row r="115" spans="1:20" x14ac:dyDescent="0.2">
      <c r="A115" s="381" t="str">
        <f>CONCATENATE("### ",Character!C69)</f>
        <v>### Forms</v>
      </c>
    </row>
    <row r="116" spans="1:20" x14ac:dyDescent="0.2">
      <c r="A116" s="381" t="str">
        <f>CONCATENATE(":--|:--")</f>
        <v>:--|:--</v>
      </c>
    </row>
    <row r="117" spans="1:20" x14ac:dyDescent="0.2">
      <c r="A117" s="381" t="str">
        <f>CONCATENATE(IF(ISBLANK(Character!C70)," ",Character!C70),"|",IF(ISBLANK(Character!D70)," ",Character!D70))</f>
        <v>Animal|0</v>
      </c>
    </row>
    <row r="118" spans="1:20" x14ac:dyDescent="0.2">
      <c r="A118" s="381" t="str">
        <f>CONCATENATE(IF(ISBLANK(Character!C71)," ",Character!C71),"|",IF(ISBLANK(Character!D71)," ",Character!D71))</f>
        <v>Aquam|0</v>
      </c>
    </row>
    <row r="119" spans="1:20" x14ac:dyDescent="0.2">
      <c r="A119" s="381" t="str">
        <f>CONCATENATE(IF(ISBLANK(Character!C72)," ",Character!C72),"|",IF(ISBLANK(Character!D72)," ",Character!D72))</f>
        <v>Auram|0</v>
      </c>
    </row>
    <row r="120" spans="1:20" x14ac:dyDescent="0.2">
      <c r="A120" s="381" t="str">
        <f>CONCATENATE(IF(ISBLANK(Character!C73)," ",Character!C73),"|",IF(ISBLANK(Character!D73)," ",Character!D73))</f>
        <v>Corpus|0</v>
      </c>
    </row>
    <row r="121" spans="1:20" x14ac:dyDescent="0.2">
      <c r="A121" s="381" t="str">
        <f>CONCATENATE(IF(ISBLANK(Character!C74)," ",Character!C74),"|",IF(ISBLANK(Character!D74)," ",Character!D74))</f>
        <v>Herbam|0</v>
      </c>
    </row>
    <row r="122" spans="1:20" x14ac:dyDescent="0.2">
      <c r="A122" s="381" t="s">
        <v>482</v>
      </c>
    </row>
    <row r="123" spans="1:20" x14ac:dyDescent="0.2">
      <c r="A123" s="381" t="str">
        <f>CONCATENATE(CHAR(34),CHAR(34),CHAR(34),"]]")</f>
        <v>"""]]</v>
      </c>
    </row>
    <row r="124" spans="1:20" x14ac:dyDescent="0.2">
      <c r="A124" s="381" t="str">
        <f>CONCATENATE("[[!template id=divbox content=",CHAR(34),CHAR(34),CHAR(34))</f>
        <v>[[!template id=divbox content="""</v>
      </c>
    </row>
    <row r="125" spans="1:20" x14ac:dyDescent="0.2">
      <c r="A125" s="381" t="str">
        <f>CONCATENATE("### ","Forms")</f>
        <v>### Forms</v>
      </c>
    </row>
    <row r="126" spans="1:20" x14ac:dyDescent="0.2">
      <c r="A126" s="381" t="str">
        <f>CONCATENATE(":--|:--")</f>
        <v>:--|:--</v>
      </c>
    </row>
    <row r="127" spans="1:20" x14ac:dyDescent="0.2">
      <c r="A127" s="381" t="str">
        <f>CONCATENATE(IF(ISBLANK(Character!E70)," ",Character!E70),"|",IF(ISBLANK(Character!F70)," ",Character!F70))</f>
        <v>Ignem|0</v>
      </c>
    </row>
    <row r="128" spans="1:20" x14ac:dyDescent="0.2">
      <c r="A128" s="381" t="str">
        <f>CONCATENATE(IF(ISBLANK(Character!E71)," ",Character!E71),"|",IF(ISBLANK(Character!F71)," ",Character!F71))</f>
        <v>Imaginem|0</v>
      </c>
    </row>
    <row r="129" spans="1:1" x14ac:dyDescent="0.2">
      <c r="A129" s="381" t="str">
        <f>CONCATENATE(IF(ISBLANK(Character!E72)," ",Character!E72),"|",IF(ISBLANK(Character!F72)," ",Character!F72))</f>
        <v>Mentem|0</v>
      </c>
    </row>
    <row r="130" spans="1:1" x14ac:dyDescent="0.2">
      <c r="A130" s="381" t="str">
        <f>CONCATENATE(IF(ISBLANK(Character!E73)," ",Character!E73),"|",IF(ISBLANK(Character!F73)," ",Character!F73))</f>
        <v>Terram|0</v>
      </c>
    </row>
    <row r="131" spans="1:1" x14ac:dyDescent="0.2">
      <c r="A131" s="381" t="str">
        <f>CONCATENATE(IF(ISBLANK(Character!E74)," ",Character!E74),"|",IF(ISBLANK(Character!F74)," ",Character!F74))</f>
        <v>Vim|0</v>
      </c>
    </row>
    <row r="132" spans="1:1" x14ac:dyDescent="0.2">
      <c r="A132" s="381" t="s">
        <v>482</v>
      </c>
    </row>
    <row r="133" spans="1:1" x14ac:dyDescent="0.2">
      <c r="A133" s="381" t="str">
        <f>CONCATENATE(CHAR(34),CHAR(34),CHAR(34),"]]")</f>
        <v>"""]]</v>
      </c>
    </row>
    <row r="134" spans="1:1" x14ac:dyDescent="0.2">
      <c r="A134" s="381" t="str">
        <f>CONCATENATE("&lt;br style=",CHAR(34),"clear:left;",CHAR(34)," /&gt;")</f>
        <v>&lt;br style="clear:left;" /&gt;</v>
      </c>
    </row>
    <row r="135" spans="1:1" x14ac:dyDescent="0.2">
      <c r="A135" s="381" t="str">
        <f>CONCATENATE("&lt;a id=",CHAR(34),RIGHT(A136,LEN(A136)-4),CHAR(34)," /&gt;")</f>
        <v>&lt;a id="Spells" /&gt;</v>
      </c>
    </row>
    <row r="136" spans="1:1" x14ac:dyDescent="0.2">
      <c r="A136" s="381" t="str">
        <f>CONCATENATE("### ","Spells")</f>
        <v>### Spells</v>
      </c>
    </row>
    <row r="137" spans="1:1" x14ac:dyDescent="0.2">
      <c r="A137" s="440" t="str">
        <f>IF(ISBLANK('Spells or Powers'!A1),"|",CONCATENATE('Spells or Powers'!A1,"|",'Spells or Powers'!B1,"|",'Spells or Powers'!C1,"|",'Spells or Powers'!D1,"|",'Spells or Powers'!E1,"|",'Spells or Powers'!F1,"|",'Spells or Powers'!G1,"|",'Spells or Powers'!H1,"|",'Spells or Powers'!I1,"|",'Spells or Powers'!J1,"|",'Spells or Powers'!K1,"|",'Spells or Powers'!L1,"|",'Spells or Powers'!M1,"|",'Spells or Powers'!N1,"|",'Spells or Powers'!O1))</f>
        <v>Spell Name|Art 1|Art 2|Requisites|Level|Type|Range|Duration|Target|Description|MXP|M|Mastered Abilities|Spell Use|Sigil Manifestation</v>
      </c>
    </row>
    <row r="138" spans="1:1" x14ac:dyDescent="0.2">
      <c r="A138" s="440" t="str">
        <f>":--|:--|:--|:--|:--|:--|:--|:--|:--|:--|:--:|:--:|:--|:--|:--"</f>
        <v>:--|:--|:--|:--|:--|:--|:--|:--|:--|:--|:--:|:--:|:--|:--|:--</v>
      </c>
    </row>
    <row r="139" spans="1:1" x14ac:dyDescent="0.2">
      <c r="A139" s="440" t="str">
        <f>IF(ISBLANK('Spells or Powers'!A2),"|||||||||||||||",CONCATENATE("[[",IF(ISBLANK('Spells or Powers'!A2)," ",'Spells or Powers'!A2),"|/Meta/Spells/",SUBSTITUTE((SUBSTITUTE(SUBSTITUTE(SUBSTITUTE(SUBSTITUTE(SUBSTITUTE(SUBSTITUTE(SUBSTITUTE(SUBSTITUTE(SUBSTITUTE(SUBSTITUTE(SUBSTITUTE(SUBSTITUTE(SUBSTITUTE(SUBSTITUTE(SUBSTITUTE(SUBSTITUTE('Spells or Powers'!A2,"/",""),"-",""),".",""),",",""),CHAR(34),""),"'",""),"&amp;",""),"*",""),"#",""),"!",""),"?",""),"@",""),":",""),";",""),"(",""),")",""))," ",""),"]]","|",IF(ISBLANK('Spells or Powers'!B2)," ",'Spells or Powers'!B2),"|",IF(ISBLANK('Spells or Powers'!C2)," ",'Spells or Powers'!C2),"|",IF(ISBLANK('Spells or Powers'!D2)," ",'Spells or Powers'!D2),"|",IF(ISBLANK('Spells or Powers'!E2)," ",'Spells or Powers'!E2),"|",IF(ISBLANK('Spells or Powers'!F2)," ",'Spells or Powers'!F2),"|",IF(ISBLANK('Spells or Powers'!G2)," ",'Spells or Powers'!G2),"|",IF(ISBLANK('Spells or Powers'!H2)," ",'Spells or Powers'!H2),"|",IF(ISBLANK('Spells or Powers'!I2)," ",'Spells or Powers'!I2),"|",IF(ISBLANK('Spells or Powers'!J2)," ",'Spells or Powers'!J2),"|",IF(ISBLANK('Spells or Powers'!K2)," ",'Spells or Powers'!K2),"|",IF(ISBLANK('Spells or Powers'!L2)," ",'Spells or Powers'!L2),"|",IF(ISBLANK('Spells or Powers'!M2)," ",'Spells or Powers'!M2),"|",IF(ISBLANK('Spells or Powers'!N2)," ",'Spells or Powers'!N2),"|",IF(ISBLANK('Spells or Powers'!O2)," ",'Spells or Powers'!O2)," "))</f>
        <v>|||||||||||||||</v>
      </c>
    </row>
    <row r="140" spans="1:1" x14ac:dyDescent="0.2">
      <c r="A140" s="440" t="str">
        <f>IF(ISBLANK('Spells or Powers'!A3),"||||||||||||||",CONCATENATE("[[",IF(ISBLANK('Spells or Powers'!A3)," ",'Spells or Powers'!A3),"|/Meta/Spells/",SUBSTITUTE((SUBSTITUTE(SUBSTITUTE(SUBSTITUTE(SUBSTITUTE(SUBSTITUTE(SUBSTITUTE(SUBSTITUTE(SUBSTITUTE(SUBSTITUTE(SUBSTITUTE(SUBSTITUTE(SUBSTITUTE(SUBSTITUTE(SUBSTITUTE(SUBSTITUTE(SUBSTITUTE('Spells or Powers'!A3,"/",""),"-",""),".",""),",",""),CHAR(34),""),"'",""),"&amp;",""),"*",""),"#",""),"!",""),"?",""),"@",""),":",""),";",""),"(",""),")",""))," ",""),"]]","|",IF(ISBLANK('Spells or Powers'!B3)," ",'Spells or Powers'!B3),"|",IF(ISBLANK('Spells or Powers'!C3)," ",'Spells or Powers'!C3),"|",IF(ISBLANK('Spells or Powers'!D3)," ",'Spells or Powers'!D3),"|",IF(ISBLANK('Spells or Powers'!E3)," ",'Spells or Powers'!E3),"|",IF(ISBLANK('Spells or Powers'!F3)," ",'Spells or Powers'!F3),"|",IF(ISBLANK('Spells or Powers'!G3)," ",'Spells or Powers'!G3),"|",IF(ISBLANK('Spells or Powers'!H3)," ",'Spells or Powers'!H3),"|",IF(ISBLANK('Spells or Powers'!I3)," ",'Spells or Powers'!I3),"|",IF(ISBLANK('Spells or Powers'!J3)," ",'Spells or Powers'!J3),"|",IF(ISBLANK('Spells or Powers'!K3)," ",'Spells or Powers'!K3),"|",IF(ISBLANK('Spells or Powers'!L3)," ",'Spells or Powers'!L3),"|",IF(ISBLANK('Spells or Powers'!M3)," ",'Spells or Powers'!M3),"|",IF(ISBLANK('Spells or Powers'!N3)," ",'Spells or Powers'!N3),"|",IF(ISBLANK('Spells or Powers'!O3)," ",'Spells or Powers'!O3)))</f>
        <v>||||||||||||||</v>
      </c>
    </row>
    <row r="141" spans="1:1" x14ac:dyDescent="0.2">
      <c r="A141" s="440" t="str">
        <f>IF(ISBLANK('Spells or Powers'!A4),"||||||||||||||",CONCATENATE("[[",IF(ISBLANK('Spells or Powers'!A4)," ",'Spells or Powers'!A4),"|/Meta/Spells/",SUBSTITUTE((SUBSTITUTE(SUBSTITUTE(SUBSTITUTE(SUBSTITUTE(SUBSTITUTE(SUBSTITUTE(SUBSTITUTE(SUBSTITUTE(SUBSTITUTE(SUBSTITUTE(SUBSTITUTE(SUBSTITUTE(SUBSTITUTE(SUBSTITUTE(SUBSTITUTE(SUBSTITUTE('Spells or Powers'!A4,"/",""),"-",""),".",""),",",""),CHAR(34),""),"'",""),"&amp;",""),"*",""),"#",""),"!",""),"?",""),"@",""),":",""),";",""),"(",""),")",""))," ",""),"]]","|",IF(ISBLANK('Spells or Powers'!B4)," ",'Spells or Powers'!B4),"|",IF(ISBLANK('Spells or Powers'!C4)," ",'Spells or Powers'!C4),"|",IF(ISBLANK('Spells or Powers'!D4)," ",'Spells or Powers'!D4),"|",IF(ISBLANK('Spells or Powers'!E4)," ",'Spells or Powers'!E4),"|",IF(ISBLANK('Spells or Powers'!F4)," ",'Spells or Powers'!F4),"|",IF(ISBLANK('Spells or Powers'!G4)," ",'Spells or Powers'!G4),"|",IF(ISBLANK('Spells or Powers'!H4)," ",'Spells or Powers'!H4),"|",IF(ISBLANK('Spells or Powers'!I4)," ",'Spells or Powers'!I4),"|",IF(ISBLANK('Spells or Powers'!J4)," ",'Spells or Powers'!J4),"|",IF(ISBLANK('Spells or Powers'!K4)," ",'Spells or Powers'!K4),"|",IF(ISBLANK('Spells or Powers'!L4)," ",'Spells or Powers'!L4),"|",IF(ISBLANK('Spells or Powers'!M4)," ",'Spells or Powers'!M4),"|",IF(ISBLANK('Spells or Powers'!N4)," ",'Spells or Powers'!N4),"|",IF(ISBLANK('Spells or Powers'!O4)," ",'Spells or Powers'!O4)))</f>
        <v>||||||||||||||</v>
      </c>
    </row>
    <row r="142" spans="1:1" x14ac:dyDescent="0.2">
      <c r="A142" s="440" t="str">
        <f>IF(ISBLANK('Spells or Powers'!A5),"||||||||||||||",CONCATENATE("[[",IF(ISBLANK('Spells or Powers'!A5)," ",'Spells or Powers'!A5),"|/Meta/Spells/",SUBSTITUTE((SUBSTITUTE(SUBSTITUTE(SUBSTITUTE(SUBSTITUTE(SUBSTITUTE(SUBSTITUTE(SUBSTITUTE(SUBSTITUTE(SUBSTITUTE(SUBSTITUTE(SUBSTITUTE(SUBSTITUTE(SUBSTITUTE(SUBSTITUTE(SUBSTITUTE(SUBSTITUTE('Spells or Powers'!A5,"/",""),"-",""),".",""),",",""),CHAR(34),""),"'",""),"&amp;",""),"*",""),"#",""),"!",""),"?",""),"@",""),":",""),";",""),"(",""),")",""))," ",""),"]]","|",IF(ISBLANK('Spells or Powers'!B5)," ",'Spells or Powers'!B5),"|",IF(ISBLANK('Spells or Powers'!C5)," ",'Spells or Powers'!C5),"|",IF(ISBLANK('Spells or Powers'!D5)," ",'Spells or Powers'!D5),"|",IF(ISBLANK('Spells or Powers'!E5)," ",'Spells or Powers'!E5),"|",IF(ISBLANK('Spells or Powers'!F5)," ",'Spells or Powers'!F5),"|",IF(ISBLANK('Spells or Powers'!G5)," ",'Spells or Powers'!G5),"|",IF(ISBLANK('Spells or Powers'!H5)," ",'Spells or Powers'!H5),"|",IF(ISBLANK('Spells or Powers'!I5)," ",'Spells or Powers'!I5),"|",IF(ISBLANK('Spells or Powers'!J5)," ",'Spells or Powers'!J5),"|",IF(ISBLANK('Spells or Powers'!K5)," ",'Spells or Powers'!K5),"|",IF(ISBLANK('Spells or Powers'!L5)," ",'Spells or Powers'!L5),"|",IF(ISBLANK('Spells or Powers'!M5)," ",'Spells or Powers'!M5),"|",IF(ISBLANK('Spells or Powers'!N5)," ",'Spells or Powers'!N5),"|",IF(ISBLANK('Spells or Powers'!O5)," ",'Spells or Powers'!O5)))</f>
        <v>||||||||||||||</v>
      </c>
    </row>
    <row r="143" spans="1:1" x14ac:dyDescent="0.2">
      <c r="A143" s="440" t="str">
        <f>IF(ISBLANK('Spells or Powers'!A6),"||||||||||||||",CONCATENATE("[[",IF(ISBLANK('Spells or Powers'!A6)," ",'Spells or Powers'!A6),"|/Meta/Spells/",SUBSTITUTE((SUBSTITUTE(SUBSTITUTE(SUBSTITUTE(SUBSTITUTE(SUBSTITUTE(SUBSTITUTE(SUBSTITUTE(SUBSTITUTE(SUBSTITUTE(SUBSTITUTE(SUBSTITUTE(SUBSTITUTE(SUBSTITUTE(SUBSTITUTE(SUBSTITUTE(SUBSTITUTE('Spells or Powers'!A6,"/",""),"-",""),".",""),",",""),CHAR(34),""),"'",""),"&amp;",""),"*",""),"#",""),"!",""),"?",""),"@",""),":",""),";",""),"(",""),")",""))," ",""),"]]","|",IF(ISBLANK('Spells or Powers'!B6)," ",'Spells or Powers'!B6),"|",IF(ISBLANK('Spells or Powers'!C6)," ",'Spells or Powers'!C6),"|",IF(ISBLANK('Spells or Powers'!D6)," ",'Spells or Powers'!D6),"|",IF(ISBLANK('Spells or Powers'!E6)," ",'Spells or Powers'!E6),"|",IF(ISBLANK('Spells or Powers'!F6)," ",'Spells or Powers'!F6),"|",IF(ISBLANK('Spells or Powers'!G6)," ",'Spells or Powers'!G6),"|",IF(ISBLANK('Spells or Powers'!H6)," ",'Spells or Powers'!H6),"|",IF(ISBLANK('Spells or Powers'!I6)," ",'Spells or Powers'!I6),"|",IF(ISBLANK('Spells or Powers'!J6)," ",'Spells or Powers'!J6),"|",IF(ISBLANK('Spells or Powers'!K6)," ",'Spells or Powers'!K6),"|",IF(ISBLANK('Spells or Powers'!L6)," ",'Spells or Powers'!L6),"|",IF(ISBLANK('Spells or Powers'!M6)," ",'Spells or Powers'!M6),"|",IF(ISBLANK('Spells or Powers'!N6)," ",'Spells or Powers'!N6),"|",IF(ISBLANK('Spells or Powers'!O6)," ",'Spells or Powers'!O6)))</f>
        <v>||||||||||||||</v>
      </c>
    </row>
    <row r="144" spans="1:1" x14ac:dyDescent="0.2">
      <c r="A144" s="440" t="str">
        <f>IF(ISBLANK('Spells or Powers'!A7),"||||||||||||||",CONCATENATE("[[",IF(ISBLANK('Spells or Powers'!A7)," ",'Spells or Powers'!A7),"|/Meta/Spells/",SUBSTITUTE((SUBSTITUTE(SUBSTITUTE(SUBSTITUTE(SUBSTITUTE(SUBSTITUTE(SUBSTITUTE(SUBSTITUTE(SUBSTITUTE(SUBSTITUTE(SUBSTITUTE(SUBSTITUTE(SUBSTITUTE(SUBSTITUTE(SUBSTITUTE(SUBSTITUTE(SUBSTITUTE('Spells or Powers'!A7,"/",""),"-",""),".",""),",",""),CHAR(34),""),"'",""),"&amp;",""),"*",""),"#",""),"!",""),"?",""),"@",""),":",""),";",""),"(",""),")",""))," ",""),"]]","|",IF(ISBLANK('Spells or Powers'!B7)," ",'Spells or Powers'!B7),"|",IF(ISBLANK('Spells or Powers'!C7)," ",'Spells or Powers'!C7),"|",IF(ISBLANK('Spells or Powers'!D7)," ",'Spells or Powers'!D7),"|",IF(ISBLANK('Spells or Powers'!E7)," ",'Spells or Powers'!E7),"|",IF(ISBLANK('Spells or Powers'!F7)," ",'Spells or Powers'!F7),"|",IF(ISBLANK('Spells or Powers'!G7)," ",'Spells or Powers'!G7),"|",IF(ISBLANK('Spells or Powers'!H7)," ",'Spells or Powers'!H7),"|",IF(ISBLANK('Spells or Powers'!I7)," ",'Spells or Powers'!I7),"|",IF(ISBLANK('Spells or Powers'!J7)," ",'Spells or Powers'!J7),"|",IF(ISBLANK('Spells or Powers'!K7)," ",'Spells or Powers'!K7),"|",IF(ISBLANK('Spells or Powers'!L7)," ",'Spells or Powers'!L7),"|",IF(ISBLANK('Spells or Powers'!M7)," ",'Spells or Powers'!M7),"|",IF(ISBLANK('Spells or Powers'!N7)," ",'Spells or Powers'!N7),"|",IF(ISBLANK('Spells or Powers'!O7)," ",'Spells or Powers'!O7)))</f>
        <v>||||||||||||||</v>
      </c>
    </row>
    <row r="145" spans="1:1" x14ac:dyDescent="0.2">
      <c r="A145" s="440" t="str">
        <f>IF(ISBLANK('Spells or Powers'!A8),"||||||||||||||",CONCATENATE("[[",IF(ISBLANK('Spells or Powers'!A8)," ",'Spells or Powers'!A8),"|/Meta/Spells/",SUBSTITUTE((SUBSTITUTE(SUBSTITUTE(SUBSTITUTE(SUBSTITUTE(SUBSTITUTE(SUBSTITUTE(SUBSTITUTE(SUBSTITUTE(SUBSTITUTE(SUBSTITUTE(SUBSTITUTE(SUBSTITUTE(SUBSTITUTE(SUBSTITUTE(SUBSTITUTE(SUBSTITUTE('Spells or Powers'!A8,"/",""),"-",""),".",""),",",""),CHAR(34),""),"'",""),"&amp;",""),"*",""),"#",""),"!",""),"?",""),"@",""),":",""),";",""),"(",""),")",""))," ",""),"]]","|",IF(ISBLANK('Spells or Powers'!B8)," ",'Spells or Powers'!B8),"|",IF(ISBLANK('Spells or Powers'!C8)," ",'Spells or Powers'!C8),"|",IF(ISBLANK('Spells or Powers'!D8)," ",'Spells or Powers'!D8),"|",IF(ISBLANK('Spells or Powers'!E8)," ",'Spells or Powers'!E8),"|",IF(ISBLANK('Spells or Powers'!F8)," ",'Spells or Powers'!F8),"|",IF(ISBLANK('Spells or Powers'!G8)," ",'Spells or Powers'!G8),"|",IF(ISBLANK('Spells or Powers'!H8)," ",'Spells or Powers'!H8),"|",IF(ISBLANK('Spells or Powers'!I8)," ",'Spells or Powers'!I8),"|",IF(ISBLANK('Spells or Powers'!J8)," ",'Spells or Powers'!J8),"|",IF(ISBLANK('Spells or Powers'!K8)," ",'Spells or Powers'!K8),"|",IF(ISBLANK('Spells or Powers'!L8)," ",'Spells or Powers'!L8),"|",IF(ISBLANK('Spells or Powers'!M8)," ",'Spells or Powers'!M8),"|",IF(ISBLANK('Spells or Powers'!N8)," ",'Spells or Powers'!N8),"|",IF(ISBLANK('Spells or Powers'!O8)," ",'Spells or Powers'!O8)))</f>
        <v>||||||||||||||</v>
      </c>
    </row>
    <row r="146" spans="1:1" x14ac:dyDescent="0.2">
      <c r="A146" s="440" t="str">
        <f>IF(ISBLANK('Spells or Powers'!A9),"||||||||||||||",CONCATENATE("[[",IF(ISBLANK('Spells or Powers'!A9)," ",'Spells or Powers'!A9),"|/Meta/Spells/",SUBSTITUTE((SUBSTITUTE(SUBSTITUTE(SUBSTITUTE(SUBSTITUTE(SUBSTITUTE(SUBSTITUTE(SUBSTITUTE(SUBSTITUTE(SUBSTITUTE(SUBSTITUTE(SUBSTITUTE(SUBSTITUTE(SUBSTITUTE(SUBSTITUTE(SUBSTITUTE(SUBSTITUTE('Spells or Powers'!A9,"/",""),"-",""),".",""),",",""),CHAR(34),""),"'",""),"&amp;",""),"*",""),"#",""),"!",""),"?",""),"@",""),":",""),";",""),"(",""),")",""))," ",""),"]]","|",IF(ISBLANK('Spells or Powers'!B9)," ",'Spells or Powers'!B9),"|",IF(ISBLANK('Spells or Powers'!C9)," ",'Spells or Powers'!C9),"|",IF(ISBLANK('Spells or Powers'!D9)," ",'Spells or Powers'!D9),"|",IF(ISBLANK('Spells or Powers'!E9)," ",'Spells or Powers'!E9),"|",IF(ISBLANK('Spells or Powers'!F9)," ",'Spells or Powers'!F9),"|",IF(ISBLANK('Spells or Powers'!G9)," ",'Spells or Powers'!G9),"|",IF(ISBLANK('Spells or Powers'!H9)," ",'Spells or Powers'!H9),"|",IF(ISBLANK('Spells or Powers'!I9)," ",'Spells or Powers'!I9),"|",IF(ISBLANK('Spells or Powers'!J9)," ",'Spells or Powers'!J9),"|",IF(ISBLANK('Spells or Powers'!K9)," ",'Spells or Powers'!K9),"|",IF(ISBLANK('Spells or Powers'!L9)," ",'Spells or Powers'!L9),"|",IF(ISBLANK('Spells or Powers'!M9)," ",'Spells or Powers'!M9),"|",IF(ISBLANK('Spells or Powers'!N9)," ",'Spells or Powers'!N9),"|",IF(ISBLANK('Spells or Powers'!O9)," ",'Spells or Powers'!O9)))</f>
        <v>||||||||||||||</v>
      </c>
    </row>
    <row r="147" spans="1:1" x14ac:dyDescent="0.2">
      <c r="A147" s="440" t="str">
        <f>IF(ISBLANK('Spells or Powers'!A10),"||||||||||||||",CONCATENATE("[[",IF(ISBLANK('Spells or Powers'!A10)," ",'Spells or Powers'!A10),"|/Meta/Spells/",SUBSTITUTE((SUBSTITUTE(SUBSTITUTE(SUBSTITUTE(SUBSTITUTE(SUBSTITUTE(SUBSTITUTE(SUBSTITUTE(SUBSTITUTE(SUBSTITUTE(SUBSTITUTE(SUBSTITUTE(SUBSTITUTE(SUBSTITUTE(SUBSTITUTE(SUBSTITUTE(SUBSTITUTE('Spells or Powers'!A10,"/",""),"-",""),".",""),",",""),CHAR(34),""),"'",""),"&amp;",""),"*",""),"#",""),"!",""),"?",""),"@",""),":",""),";",""),"(",""),")",""))," ",""),"]]","|",IF(ISBLANK('Spells or Powers'!B10)," ",'Spells or Powers'!B10),"|",IF(ISBLANK('Spells or Powers'!C10)," ",'Spells or Powers'!C10),"|",IF(ISBLANK('Spells or Powers'!D10)," ",'Spells or Powers'!D10),"|",IF(ISBLANK('Spells or Powers'!E10)," ",'Spells or Powers'!E10),"|",IF(ISBLANK('Spells or Powers'!F10)," ",'Spells or Powers'!F10),"|",IF(ISBLANK('Spells or Powers'!G10)," ",'Spells or Powers'!G10),"|",IF(ISBLANK('Spells or Powers'!H10)," ",'Spells or Powers'!H10),"|",IF(ISBLANK('Spells or Powers'!I10)," ",'Spells or Powers'!I10),"|",IF(ISBLANK('Spells or Powers'!J10)," ",'Spells or Powers'!J10),"|",IF(ISBLANK('Spells or Powers'!K10)," ",'Spells or Powers'!K10),"|",IF(ISBLANK('Spells or Powers'!L10)," ",'Spells or Powers'!L10),"|",IF(ISBLANK('Spells or Powers'!M10)," ",'Spells or Powers'!M10),"|",IF(ISBLANK('Spells or Powers'!N10)," ",'Spells or Powers'!N10),"|",IF(ISBLANK('Spells or Powers'!O10)," ",'Spells or Powers'!O10)))</f>
        <v>||||||||||||||</v>
      </c>
    </row>
    <row r="148" spans="1:1" x14ac:dyDescent="0.2">
      <c r="A148" s="440" t="str">
        <f>IF(ISBLANK('Spells or Powers'!A11),"||||||||||||||",CONCATENATE("[[",IF(ISBLANK('Spells or Powers'!A11)," ",'Spells or Powers'!A11),"|/Meta/Spells/",SUBSTITUTE((SUBSTITUTE(SUBSTITUTE(SUBSTITUTE(SUBSTITUTE(SUBSTITUTE(SUBSTITUTE(SUBSTITUTE(SUBSTITUTE(SUBSTITUTE(SUBSTITUTE(SUBSTITUTE(SUBSTITUTE(SUBSTITUTE(SUBSTITUTE(SUBSTITUTE(SUBSTITUTE('Spells or Powers'!A11,"/",""),"-",""),".",""),",",""),CHAR(34),""),"'",""),"&amp;",""),"*",""),"#",""),"!",""),"?",""),"@",""),":",""),";",""),"(",""),")",""))," ",""),"]]","|",IF(ISBLANK('Spells or Powers'!B11)," ",'Spells or Powers'!B11),"|",IF(ISBLANK('Spells or Powers'!C11)," ",'Spells or Powers'!C11),"|",IF(ISBLANK('Spells or Powers'!D11)," ",'Spells or Powers'!D11),"|",IF(ISBLANK('Spells or Powers'!E11)," ",'Spells or Powers'!E11),"|",IF(ISBLANK('Spells or Powers'!F11)," ",'Spells or Powers'!F11),"|",IF(ISBLANK('Spells or Powers'!G11)," ",'Spells or Powers'!G11),"|",IF(ISBLANK('Spells or Powers'!H11)," ",'Spells or Powers'!H11),"|",IF(ISBLANK('Spells or Powers'!I11)," ",'Spells or Powers'!I11),"|",IF(ISBLANK('Spells or Powers'!J11)," ",'Spells or Powers'!J11),"|",IF(ISBLANK('Spells or Powers'!K11)," ",'Spells or Powers'!K11),"|",IF(ISBLANK('Spells or Powers'!L11)," ",'Spells or Powers'!L11),"|",IF(ISBLANK('Spells or Powers'!M11)," ",'Spells or Powers'!M11),"|",IF(ISBLANK('Spells or Powers'!N11)," ",'Spells or Powers'!N11),"|",IF(ISBLANK('Spells or Powers'!O11)," ",'Spells or Powers'!O11)))</f>
        <v>||||||||||||||</v>
      </c>
    </row>
    <row r="149" spans="1:1" x14ac:dyDescent="0.2">
      <c r="A149" s="440" t="str">
        <f>IF(ISBLANK('Spells or Powers'!A12),"||||||||||||||",CONCATENATE("[[",IF(ISBLANK('Spells or Powers'!A12)," ",'Spells or Powers'!A12),"|/Meta/Spells/",SUBSTITUTE((SUBSTITUTE(SUBSTITUTE(SUBSTITUTE(SUBSTITUTE(SUBSTITUTE(SUBSTITUTE(SUBSTITUTE(SUBSTITUTE(SUBSTITUTE(SUBSTITUTE(SUBSTITUTE(SUBSTITUTE(SUBSTITUTE(SUBSTITUTE(SUBSTITUTE(SUBSTITUTE('Spells or Powers'!A12,"/",""),"-",""),".",""),",",""),CHAR(34),""),"'",""),"&amp;",""),"*",""),"#",""),"!",""),"?",""),"@",""),":",""),";",""),"(",""),")",""))," ",""),"]]","|",IF(ISBLANK('Spells or Powers'!B12)," ",'Spells or Powers'!B12),"|",IF(ISBLANK('Spells or Powers'!C12)," ",'Spells or Powers'!C12),"|",IF(ISBLANK('Spells or Powers'!D12)," ",'Spells or Powers'!D12),"|",IF(ISBLANK('Spells or Powers'!E12)," ",'Spells or Powers'!E12),"|",IF(ISBLANK('Spells or Powers'!F12)," ",'Spells or Powers'!F12),"|",IF(ISBLANK('Spells or Powers'!G12)," ",'Spells or Powers'!G12),"|",IF(ISBLANK('Spells or Powers'!H12)," ",'Spells or Powers'!H12),"|",IF(ISBLANK('Spells or Powers'!I12)," ",'Spells or Powers'!I12),"|",IF(ISBLANK('Spells or Powers'!J12)," ",'Spells or Powers'!J12),"|",IF(ISBLANK('Spells or Powers'!K12)," ",'Spells or Powers'!K12),"|",IF(ISBLANK('Spells or Powers'!L12)," ",'Spells or Powers'!L12),"|",IF(ISBLANK('Spells or Powers'!M12)," ",'Spells or Powers'!M12),"|",IF(ISBLANK('Spells or Powers'!N12)," ",'Spells or Powers'!N12),"|",IF(ISBLANK('Spells or Powers'!O12)," ",'Spells or Powers'!O12)))</f>
        <v>||||||||||||||</v>
      </c>
    </row>
    <row r="150" spans="1:1" x14ac:dyDescent="0.2">
      <c r="A150" s="440" t="str">
        <f>IF(ISBLANK('Spells or Powers'!A13),"||||||||||||||",CONCATENATE("[[",IF(ISBLANK('Spells or Powers'!A13)," ",'Spells or Powers'!A13),"|/Meta/Spells/",SUBSTITUTE((SUBSTITUTE(SUBSTITUTE(SUBSTITUTE(SUBSTITUTE(SUBSTITUTE(SUBSTITUTE(SUBSTITUTE(SUBSTITUTE(SUBSTITUTE(SUBSTITUTE(SUBSTITUTE(SUBSTITUTE(SUBSTITUTE(SUBSTITUTE(SUBSTITUTE(SUBSTITUTE('Spells or Powers'!A13,"/",""),"-",""),".",""),",",""),CHAR(34),""),"'",""),"&amp;",""),"*",""),"#",""),"!",""),"?",""),"@",""),":",""),";",""),"(",""),")",""))," ",""),"]]","|",IF(ISBLANK('Spells or Powers'!B13)," ",'Spells or Powers'!B13),"|",IF(ISBLANK('Spells or Powers'!C13)," ",'Spells or Powers'!C13),"|",IF(ISBLANK('Spells or Powers'!D13)," ",'Spells or Powers'!D13),"|",IF(ISBLANK('Spells or Powers'!E13)," ",'Spells or Powers'!E13),"|",IF(ISBLANK('Spells or Powers'!F13)," ",'Spells or Powers'!F13),"|",IF(ISBLANK('Spells or Powers'!G13)," ",'Spells or Powers'!G13),"|",IF(ISBLANK('Spells or Powers'!H13)," ",'Spells or Powers'!H13),"|",IF(ISBLANK('Spells or Powers'!I13)," ",'Spells or Powers'!I13),"|",IF(ISBLANK('Spells or Powers'!J13)," ",'Spells or Powers'!J13),"|",IF(ISBLANK('Spells or Powers'!K13)," ",'Spells or Powers'!K13),"|",IF(ISBLANK('Spells or Powers'!L13)," ",'Spells or Powers'!L13),"|",IF(ISBLANK('Spells or Powers'!M13)," ",'Spells or Powers'!M13),"|",IF(ISBLANK('Spells or Powers'!N13)," ",'Spells or Powers'!N13),"|",IF(ISBLANK('Spells or Powers'!O13)," ",'Spells or Powers'!O13)))</f>
        <v>||||||||||||||</v>
      </c>
    </row>
    <row r="151" spans="1:1" x14ac:dyDescent="0.2">
      <c r="A151" s="440" t="str">
        <f>IF(ISBLANK('Spells or Powers'!A14),"||||||||||||||",CONCATENATE("[[",IF(ISBLANK('Spells or Powers'!A14)," ",'Spells or Powers'!A14),"|/Meta/Spells/",SUBSTITUTE((SUBSTITUTE(SUBSTITUTE(SUBSTITUTE(SUBSTITUTE(SUBSTITUTE(SUBSTITUTE(SUBSTITUTE(SUBSTITUTE(SUBSTITUTE(SUBSTITUTE(SUBSTITUTE(SUBSTITUTE(SUBSTITUTE(SUBSTITUTE(SUBSTITUTE(SUBSTITUTE('Spells or Powers'!A14,"/",""),"-",""),".",""),",",""),CHAR(34),""),"'",""),"&amp;",""),"*",""),"#",""),"!",""),"?",""),"@",""),":",""),";",""),"(",""),")",""))," ",""),"]]","|",IF(ISBLANK('Spells or Powers'!B14)," ",'Spells or Powers'!B14),"|",IF(ISBLANK('Spells or Powers'!C14)," ",'Spells or Powers'!C14),"|",IF(ISBLANK('Spells or Powers'!D14)," ",'Spells or Powers'!D14),"|",IF(ISBLANK('Spells or Powers'!E14)," ",'Spells or Powers'!E14),"|",IF(ISBLANK('Spells or Powers'!F14)," ",'Spells or Powers'!F14),"|",IF(ISBLANK('Spells or Powers'!G14)," ",'Spells or Powers'!G14),"|",IF(ISBLANK('Spells or Powers'!H14)," ",'Spells or Powers'!H14),"|",IF(ISBLANK('Spells or Powers'!I14)," ",'Spells or Powers'!I14),"|",IF(ISBLANK('Spells or Powers'!J14)," ",'Spells or Powers'!J14),"|",IF(ISBLANK('Spells or Powers'!K14)," ",'Spells or Powers'!K14),"|",IF(ISBLANK('Spells or Powers'!L14)," ",'Spells or Powers'!L14),"|",IF(ISBLANK('Spells or Powers'!M14)," ",'Spells or Powers'!M14),"|",IF(ISBLANK('Spells or Powers'!N14)," ",'Spells or Powers'!N14),"|",IF(ISBLANK('Spells or Powers'!O14)," ",'Spells or Powers'!O14)))</f>
        <v>||||||||||||||</v>
      </c>
    </row>
    <row r="152" spans="1:1" x14ac:dyDescent="0.2">
      <c r="A152" s="440" t="str">
        <f>IF(ISBLANK('Spells or Powers'!A15),"||||||||||||||",CONCATENATE("[[",IF(ISBLANK('Spells or Powers'!A15)," ",'Spells or Powers'!A15),"|/Meta/Spells/",SUBSTITUTE((SUBSTITUTE(SUBSTITUTE(SUBSTITUTE(SUBSTITUTE(SUBSTITUTE(SUBSTITUTE(SUBSTITUTE(SUBSTITUTE(SUBSTITUTE(SUBSTITUTE(SUBSTITUTE(SUBSTITUTE(SUBSTITUTE(SUBSTITUTE(SUBSTITUTE(SUBSTITUTE('Spells or Powers'!A15,"/",""),"-",""),".",""),",",""),CHAR(34),""),"'",""),"&amp;",""),"*",""),"#",""),"!",""),"?",""),"@",""),":",""),";",""),"(",""),")",""))," ",""),"]]","|",IF(ISBLANK('Spells or Powers'!B15)," ",'Spells or Powers'!B15),"|",IF(ISBLANK('Spells or Powers'!C15)," ",'Spells or Powers'!C15),"|",IF(ISBLANK('Spells or Powers'!D15)," ",'Spells or Powers'!D15),"|",IF(ISBLANK('Spells or Powers'!E15)," ",'Spells or Powers'!E15),"|",IF(ISBLANK('Spells or Powers'!F15)," ",'Spells or Powers'!F15),"|",IF(ISBLANK('Spells or Powers'!G15)," ",'Spells or Powers'!G15),"|",IF(ISBLANK('Spells or Powers'!H15)," ",'Spells or Powers'!H15),"|",IF(ISBLANK('Spells or Powers'!I15)," ",'Spells or Powers'!I15),"|",IF(ISBLANK('Spells or Powers'!J15)," ",'Spells or Powers'!J15),"|",IF(ISBLANK('Spells or Powers'!K15)," ",'Spells or Powers'!K15),"|",IF(ISBLANK('Spells or Powers'!L15)," ",'Spells or Powers'!L15),"|",IF(ISBLANK('Spells or Powers'!M15)," ",'Spells or Powers'!M15),"|",IF(ISBLANK('Spells or Powers'!N15)," ",'Spells or Powers'!N15),"|",IF(ISBLANK('Spells or Powers'!O15)," ",'Spells or Powers'!O15)))</f>
        <v>||||||||||||||</v>
      </c>
    </row>
    <row r="153" spans="1:1" x14ac:dyDescent="0.2">
      <c r="A153" s="440" t="str">
        <f>IF(ISBLANK('Spells or Powers'!A16),"||||||||||||||",CONCATENATE("[[",IF(ISBLANK('Spells or Powers'!A16)," ",'Spells or Powers'!A16),"|/Meta/Spells/",SUBSTITUTE((SUBSTITUTE(SUBSTITUTE(SUBSTITUTE(SUBSTITUTE(SUBSTITUTE(SUBSTITUTE(SUBSTITUTE(SUBSTITUTE(SUBSTITUTE(SUBSTITUTE(SUBSTITUTE(SUBSTITUTE(SUBSTITUTE(SUBSTITUTE(SUBSTITUTE(SUBSTITUTE('Spells or Powers'!A16,"/",""),"-",""),".",""),",",""),CHAR(34),""),"'",""),"&amp;",""),"*",""),"#",""),"!",""),"?",""),"@",""),":",""),";",""),"(",""),")",""))," ",""),"]]","|",IF(ISBLANK('Spells or Powers'!B16)," ",'Spells or Powers'!B16),"|",IF(ISBLANK('Spells or Powers'!C16)," ",'Spells or Powers'!C16),"|",IF(ISBLANK('Spells or Powers'!D16)," ",'Spells or Powers'!D16),"|",IF(ISBLANK('Spells or Powers'!E16)," ",'Spells or Powers'!E16),"|",IF(ISBLANK('Spells or Powers'!F16)," ",'Spells or Powers'!F16),"|",IF(ISBLANK('Spells or Powers'!G16)," ",'Spells or Powers'!G16),"|",IF(ISBLANK('Spells or Powers'!H16)," ",'Spells or Powers'!H16),"|",IF(ISBLANK('Spells or Powers'!I16)," ",'Spells or Powers'!I16),"|",IF(ISBLANK('Spells or Powers'!J16)," ",'Spells or Powers'!J16),"|",IF(ISBLANK('Spells or Powers'!K16)," ",'Spells or Powers'!K16),"|",IF(ISBLANK('Spells or Powers'!L16)," ",'Spells or Powers'!L16),"|",IF(ISBLANK('Spells or Powers'!M16)," ",'Spells or Powers'!M16),"|",IF(ISBLANK('Spells or Powers'!N16)," ",'Spells or Powers'!N16),"|",IF(ISBLANK('Spells or Powers'!O16)," ",'Spells or Powers'!O16)))</f>
        <v>||||||||||||||</v>
      </c>
    </row>
    <row r="154" spans="1:1" x14ac:dyDescent="0.2">
      <c r="A154" s="440" t="str">
        <f>IF(ISBLANK('Spells or Powers'!A17),"||||||||||||||",CONCATENATE("[[",IF(ISBLANK('Spells or Powers'!A17)," ",'Spells or Powers'!A17),"|/Meta/Spells/",SUBSTITUTE((SUBSTITUTE(SUBSTITUTE(SUBSTITUTE(SUBSTITUTE(SUBSTITUTE(SUBSTITUTE(SUBSTITUTE(SUBSTITUTE(SUBSTITUTE(SUBSTITUTE(SUBSTITUTE(SUBSTITUTE(SUBSTITUTE(SUBSTITUTE(SUBSTITUTE(SUBSTITUTE('Spells or Powers'!A17,"/",""),"-",""),".",""),",",""),CHAR(34),""),"'",""),"&amp;",""),"*",""),"#",""),"!",""),"?",""),"@",""),":",""),";",""),"(",""),")",""))," ",""),"]]","|",IF(ISBLANK('Spells or Powers'!B17)," ",'Spells or Powers'!B17),"|",IF(ISBLANK('Spells or Powers'!C17)," ",'Spells or Powers'!C17),"|",IF(ISBLANK('Spells or Powers'!D17)," ",'Spells or Powers'!D17),"|",IF(ISBLANK('Spells or Powers'!E17)," ",'Spells or Powers'!E17),"|",IF(ISBLANK('Spells or Powers'!F17)," ",'Spells or Powers'!F17),"|",IF(ISBLANK('Spells or Powers'!G17)," ",'Spells or Powers'!G17),"|",IF(ISBLANK('Spells or Powers'!H17)," ",'Spells or Powers'!H17),"|",IF(ISBLANK('Spells or Powers'!I17)," ",'Spells or Powers'!I17),"|",IF(ISBLANK('Spells or Powers'!J17)," ",'Spells or Powers'!J17),"|",IF(ISBLANK('Spells or Powers'!K17)," ",'Spells or Powers'!K17),"|",IF(ISBLANK('Spells or Powers'!L17)," ",'Spells or Powers'!L17),"|",IF(ISBLANK('Spells or Powers'!M17)," ",'Spells or Powers'!M17),"|",IF(ISBLANK('Spells or Powers'!N17)," ",'Spells or Powers'!N17),"|",IF(ISBLANK('Spells or Powers'!O17)," ",'Spells or Powers'!O17)))</f>
        <v>||||||||||||||</v>
      </c>
    </row>
    <row r="155" spans="1:1" x14ac:dyDescent="0.2">
      <c r="A155" s="440" t="str">
        <f>IF(ISBLANK('Spells or Powers'!A18),"||||||||||||||",CONCATENATE("[[",IF(ISBLANK('Spells or Powers'!A18)," ",'Spells or Powers'!A18),"|/Meta/Spells/",SUBSTITUTE((SUBSTITUTE(SUBSTITUTE(SUBSTITUTE(SUBSTITUTE(SUBSTITUTE(SUBSTITUTE(SUBSTITUTE(SUBSTITUTE(SUBSTITUTE(SUBSTITUTE(SUBSTITUTE(SUBSTITUTE(SUBSTITUTE(SUBSTITUTE(SUBSTITUTE(SUBSTITUTE('Spells or Powers'!A18,"/",""),"-",""),".",""),",",""),CHAR(34),""),"'",""),"&amp;",""),"*",""),"#",""),"!",""),"?",""),"@",""),":",""),";",""),"(",""),")",""))," ",""),"]]","|",IF(ISBLANK('Spells or Powers'!B18)," ",'Spells or Powers'!B18),"|",IF(ISBLANK('Spells or Powers'!C18)," ",'Spells or Powers'!C18),"|",IF(ISBLANK('Spells or Powers'!D18)," ",'Spells or Powers'!D18),"|",IF(ISBLANK('Spells or Powers'!E18)," ",'Spells or Powers'!E18),"|",IF(ISBLANK('Spells or Powers'!F18)," ",'Spells or Powers'!F18),"|",IF(ISBLANK('Spells or Powers'!G18)," ",'Spells or Powers'!G18),"|",IF(ISBLANK('Spells or Powers'!H18)," ",'Spells or Powers'!H18),"|",IF(ISBLANK('Spells or Powers'!I18)," ",'Spells or Powers'!I18),"|",IF(ISBLANK('Spells or Powers'!J18)," ",'Spells or Powers'!J18),"|",IF(ISBLANK('Spells or Powers'!K18)," ",'Spells or Powers'!K18),"|",IF(ISBLANK('Spells or Powers'!L18)," ",'Spells or Powers'!L18),"|",IF(ISBLANK('Spells or Powers'!M18)," ",'Spells or Powers'!M18),"|",IF(ISBLANK('Spells or Powers'!N18)," ",'Spells or Powers'!N18),"|",IF(ISBLANK('Spells or Powers'!O18)," ",'Spells or Powers'!O18)))</f>
        <v>||||||||||||||</v>
      </c>
    </row>
    <row r="156" spans="1:1" x14ac:dyDescent="0.2">
      <c r="A156" s="440" t="str">
        <f>IF(ISBLANK('Spells or Powers'!A19),"||||||||||||||",CONCATENATE("[[",IF(ISBLANK('Spells or Powers'!A19)," ",'Spells or Powers'!A19),"|/Meta/Spells/",SUBSTITUTE((SUBSTITUTE(SUBSTITUTE(SUBSTITUTE(SUBSTITUTE(SUBSTITUTE(SUBSTITUTE(SUBSTITUTE(SUBSTITUTE(SUBSTITUTE(SUBSTITUTE(SUBSTITUTE(SUBSTITUTE(SUBSTITUTE(SUBSTITUTE(SUBSTITUTE(SUBSTITUTE('Spells or Powers'!A19,"/",""),"-",""),".",""),",",""),CHAR(34),""),"'",""),"&amp;",""),"*",""),"#",""),"!",""),"?",""),"@",""),":",""),";",""),"(",""),")",""))," ",""),"]]","|",IF(ISBLANK('Spells or Powers'!B19)," ",'Spells or Powers'!B19),"|",IF(ISBLANK('Spells or Powers'!C19)," ",'Spells or Powers'!C19),"|",IF(ISBLANK('Spells or Powers'!D19)," ",'Spells or Powers'!D19),"|",IF(ISBLANK('Spells or Powers'!E19)," ",'Spells or Powers'!E19),"|",IF(ISBLANK('Spells or Powers'!F19)," ",'Spells or Powers'!F19),"|",IF(ISBLANK('Spells or Powers'!G19)," ",'Spells or Powers'!G19),"|",IF(ISBLANK('Spells or Powers'!H19)," ",'Spells or Powers'!H19),"|",IF(ISBLANK('Spells or Powers'!I19)," ",'Spells or Powers'!I19),"|",IF(ISBLANK('Spells or Powers'!J19)," ",'Spells or Powers'!J19),"|",IF(ISBLANK('Spells or Powers'!K19)," ",'Spells or Powers'!K19),"|",IF(ISBLANK('Spells or Powers'!L19)," ",'Spells or Powers'!L19),"|",IF(ISBLANK('Spells or Powers'!M19)," ",'Spells or Powers'!M19),"|",IF(ISBLANK('Spells or Powers'!N19)," ",'Spells or Powers'!N19),"|",IF(ISBLANK('Spells or Powers'!O19)," ",'Spells or Powers'!O19)))</f>
        <v>||||||||||||||</v>
      </c>
    </row>
    <row r="157" spans="1:1" x14ac:dyDescent="0.2">
      <c r="A157" s="440" t="str">
        <f>IF(ISBLANK('Spells or Powers'!A20),"||||||||||||||",CONCATENATE("[[",IF(ISBLANK('Spells or Powers'!A20)," ",'Spells or Powers'!A20),"|/Meta/Spells/",SUBSTITUTE((SUBSTITUTE(SUBSTITUTE(SUBSTITUTE(SUBSTITUTE(SUBSTITUTE(SUBSTITUTE(SUBSTITUTE(SUBSTITUTE(SUBSTITUTE(SUBSTITUTE(SUBSTITUTE(SUBSTITUTE(SUBSTITUTE(SUBSTITUTE(SUBSTITUTE(SUBSTITUTE('Spells or Powers'!A20,"/",""),"-",""),".",""),",",""),CHAR(34),""),"'",""),"&amp;",""),"*",""),"#",""),"!",""),"?",""),"@",""),":",""),";",""),"(",""),")",""))," ",""),"]]","|",IF(ISBLANK('Spells or Powers'!B20)," ",'Spells or Powers'!B20),"|",IF(ISBLANK('Spells or Powers'!C20)," ",'Spells or Powers'!C20),"|",IF(ISBLANK('Spells or Powers'!D20)," ",'Spells or Powers'!D20),"|",IF(ISBLANK('Spells or Powers'!E20)," ",'Spells or Powers'!E20),"|",IF(ISBLANK('Spells or Powers'!F20)," ",'Spells or Powers'!F20),"|",IF(ISBLANK('Spells or Powers'!G20)," ",'Spells or Powers'!G20),"|",IF(ISBLANK('Spells or Powers'!H20)," ",'Spells or Powers'!H20),"|",IF(ISBLANK('Spells or Powers'!I20)," ",'Spells or Powers'!I20),"|",IF(ISBLANK('Spells or Powers'!J20)," ",'Spells or Powers'!J20),"|",IF(ISBLANK('Spells or Powers'!K20)," ",'Spells or Powers'!K20),"|",IF(ISBLANK('Spells or Powers'!L20)," ",'Spells or Powers'!L20),"|",IF(ISBLANK('Spells or Powers'!M20)," ",'Spells or Powers'!M20),"|",IF(ISBLANK('Spells or Powers'!N20)," ",'Spells or Powers'!N20),"|",IF(ISBLANK('Spells or Powers'!O20)," ",'Spells or Powers'!O20)))</f>
        <v>||||||||||||||</v>
      </c>
    </row>
    <row r="158" spans="1:1" x14ac:dyDescent="0.2">
      <c r="A158" s="440" t="str">
        <f>IF(ISBLANK('Spells or Powers'!A21),"||||||||||||||",CONCATENATE("[[",IF(ISBLANK('Spells or Powers'!A21)," ",'Spells or Powers'!A21),"|/Meta/Spells/",SUBSTITUTE((SUBSTITUTE(SUBSTITUTE(SUBSTITUTE(SUBSTITUTE(SUBSTITUTE(SUBSTITUTE(SUBSTITUTE(SUBSTITUTE(SUBSTITUTE(SUBSTITUTE(SUBSTITUTE(SUBSTITUTE(SUBSTITUTE(SUBSTITUTE(SUBSTITUTE(SUBSTITUTE('Spells or Powers'!A21,"/",""),"-",""),".",""),",",""),CHAR(34),""),"'",""),"&amp;",""),"*",""),"#",""),"!",""),"?",""),"@",""),":",""),";",""),"(",""),")",""))," ",""),"]]","|",IF(ISBLANK('Spells or Powers'!B21)," ",'Spells or Powers'!B21),"|",IF(ISBLANK('Spells or Powers'!C21)," ",'Spells or Powers'!C21),"|",IF(ISBLANK('Spells or Powers'!D21)," ",'Spells or Powers'!D21),"|",IF(ISBLANK('Spells or Powers'!E21)," ",'Spells or Powers'!E21),"|",IF(ISBLANK('Spells or Powers'!F21)," ",'Spells or Powers'!F21),"|",IF(ISBLANK('Spells or Powers'!G21)," ",'Spells or Powers'!G21),"|",IF(ISBLANK('Spells or Powers'!H21)," ",'Spells or Powers'!H21),"|",IF(ISBLANK('Spells or Powers'!I21)," ",'Spells or Powers'!I21),"|",IF(ISBLANK('Spells or Powers'!J21)," ",'Spells or Powers'!J21),"|",IF(ISBLANK('Spells or Powers'!K21)," ",'Spells or Powers'!K21),"|",IF(ISBLANK('Spells or Powers'!L21)," ",'Spells or Powers'!L21),"|",IF(ISBLANK('Spells or Powers'!M21)," ",'Spells or Powers'!M21),"|",IF(ISBLANK('Spells or Powers'!N21)," ",'Spells or Powers'!N21),"|",IF(ISBLANK('Spells or Powers'!O21)," ",'Spells or Powers'!O21)))</f>
        <v>||||||||||||||</v>
      </c>
    </row>
    <row r="159" spans="1:1" x14ac:dyDescent="0.2">
      <c r="A159" s="440" t="str">
        <f>IF(ISBLANK('Spells or Powers'!A22),"||||||||||||||",CONCATENATE("[[",IF(ISBLANK('Spells or Powers'!A22)," ",'Spells or Powers'!A22),"|/Meta/Spells/",SUBSTITUTE((SUBSTITUTE(SUBSTITUTE(SUBSTITUTE(SUBSTITUTE(SUBSTITUTE(SUBSTITUTE(SUBSTITUTE(SUBSTITUTE(SUBSTITUTE(SUBSTITUTE(SUBSTITUTE(SUBSTITUTE(SUBSTITUTE(SUBSTITUTE(SUBSTITUTE(SUBSTITUTE('Spells or Powers'!A22,"/",""),"-",""),".",""),",",""),CHAR(34),""),"'",""),"&amp;",""),"*",""),"#",""),"!",""),"?",""),"@",""),":",""),";",""),"(",""),")",""))," ",""),"]]","|",IF(ISBLANK('Spells or Powers'!B22)," ",'Spells or Powers'!B22),"|",IF(ISBLANK('Spells or Powers'!C22)," ",'Spells or Powers'!C22),"|",IF(ISBLANK('Spells or Powers'!D22)," ",'Spells or Powers'!D22),"|",IF(ISBLANK('Spells or Powers'!E22)," ",'Spells or Powers'!E22),"|",IF(ISBLANK('Spells or Powers'!F22)," ",'Spells or Powers'!F22),"|",IF(ISBLANK('Spells or Powers'!G22)," ",'Spells or Powers'!G22),"|",IF(ISBLANK('Spells or Powers'!H22)," ",'Spells or Powers'!H22),"|",IF(ISBLANK('Spells or Powers'!I22)," ",'Spells or Powers'!I22),"|",IF(ISBLANK('Spells or Powers'!J22)," ",'Spells or Powers'!J22),"|",IF(ISBLANK('Spells or Powers'!K22)," ",'Spells or Powers'!K22),"|",IF(ISBLANK('Spells or Powers'!L22)," ",'Spells or Powers'!L22),"|",IF(ISBLANK('Spells or Powers'!M22)," ",'Spells or Powers'!M22),"|",IF(ISBLANK('Spells or Powers'!N22)," ",'Spells or Powers'!N22),"|",IF(ISBLANK('Spells or Powers'!O22)," ",'Spells or Powers'!O22)))</f>
        <v>||||||||||||||</v>
      </c>
    </row>
    <row r="160" spans="1:1" x14ac:dyDescent="0.2">
      <c r="A160" s="440" t="str">
        <f>IF(ISBLANK('Spells or Powers'!A23),"||||||||||||||",CONCATENATE("[[",IF(ISBLANK('Spells or Powers'!A23)," ",'Spells or Powers'!A23),"|/Meta/Spells/",SUBSTITUTE((SUBSTITUTE(SUBSTITUTE(SUBSTITUTE(SUBSTITUTE(SUBSTITUTE(SUBSTITUTE(SUBSTITUTE(SUBSTITUTE(SUBSTITUTE(SUBSTITUTE(SUBSTITUTE(SUBSTITUTE(SUBSTITUTE(SUBSTITUTE(SUBSTITUTE(SUBSTITUTE('Spells or Powers'!A23,"/",""),"-",""),".",""),",",""),CHAR(34),""),"'",""),"&amp;",""),"*",""),"#",""),"!",""),"?",""),"@",""),":",""),";",""),"(",""),")",""))," ",""),"]]","|",IF(ISBLANK('Spells or Powers'!B23)," ",'Spells or Powers'!B23),"|",IF(ISBLANK('Spells or Powers'!C23)," ",'Spells or Powers'!C23),"|",IF(ISBLANK('Spells or Powers'!D23)," ",'Spells or Powers'!D23),"|",IF(ISBLANK('Spells or Powers'!E23)," ",'Spells or Powers'!E23),"|",IF(ISBLANK('Spells or Powers'!F23)," ",'Spells or Powers'!F23),"|",IF(ISBLANK('Spells or Powers'!G23)," ",'Spells or Powers'!G23),"|",IF(ISBLANK('Spells or Powers'!H23)," ",'Spells or Powers'!H23),"|",IF(ISBLANK('Spells or Powers'!I23)," ",'Spells or Powers'!I23),"|",IF(ISBLANK('Spells or Powers'!J23)," ",'Spells or Powers'!J23),"|",IF(ISBLANK('Spells or Powers'!K23)," ",'Spells or Powers'!K23),"|",IF(ISBLANK('Spells or Powers'!L23)," ",'Spells or Powers'!L23),"|",IF(ISBLANK('Spells or Powers'!M23)," ",'Spells or Powers'!M23),"|",IF(ISBLANK('Spells or Powers'!N23)," ",'Spells or Powers'!N23),"|",IF(ISBLANK('Spells or Powers'!O23)," ",'Spells or Powers'!O23)))</f>
        <v>||||||||||||||</v>
      </c>
    </row>
    <row r="161" spans="1:1" x14ac:dyDescent="0.2">
      <c r="A161" s="440" t="str">
        <f>IF(ISBLANK('Spells or Powers'!A24),"||||||||||||||",CONCATENATE("[[",IF(ISBLANK('Spells or Powers'!A24)," ",'Spells or Powers'!A24),"|/Meta/Spells/",SUBSTITUTE((SUBSTITUTE(SUBSTITUTE(SUBSTITUTE(SUBSTITUTE(SUBSTITUTE(SUBSTITUTE(SUBSTITUTE(SUBSTITUTE(SUBSTITUTE(SUBSTITUTE(SUBSTITUTE(SUBSTITUTE(SUBSTITUTE(SUBSTITUTE(SUBSTITUTE(SUBSTITUTE('Spells or Powers'!A24,"/",""),"-",""),".",""),",",""),CHAR(34),""),"'",""),"&amp;",""),"*",""),"#",""),"!",""),"?",""),"@",""),":",""),";",""),"(",""),")",""))," ",""),"]]","|",IF(ISBLANK('Spells or Powers'!B24)," ",'Spells or Powers'!B24),"|",IF(ISBLANK('Spells or Powers'!C24)," ",'Spells or Powers'!C24),"|",IF(ISBLANK('Spells or Powers'!D24)," ",'Spells or Powers'!D24),"|",IF(ISBLANK('Spells or Powers'!E24)," ",'Spells or Powers'!E24),"|",IF(ISBLANK('Spells or Powers'!F24)," ",'Spells or Powers'!F24),"|",IF(ISBLANK('Spells or Powers'!G24)," ",'Spells or Powers'!G24),"|",IF(ISBLANK('Spells or Powers'!H24)," ",'Spells or Powers'!H24),"|",IF(ISBLANK('Spells or Powers'!I24)," ",'Spells or Powers'!I24),"|",IF(ISBLANK('Spells or Powers'!J24)," ",'Spells or Powers'!J24),"|",IF(ISBLANK('Spells or Powers'!K24)," ",'Spells or Powers'!K24),"|",IF(ISBLANK('Spells or Powers'!L24)," ",'Spells or Powers'!L24),"|",IF(ISBLANK('Spells or Powers'!M24)," ",'Spells or Powers'!M24),"|",IF(ISBLANK('Spells or Powers'!N24)," ",'Spells or Powers'!N24),"|",IF(ISBLANK('Spells or Powers'!O24)," ",'Spells or Powers'!O24)))</f>
        <v>||||||||||||||</v>
      </c>
    </row>
    <row r="162" spans="1:1" x14ac:dyDescent="0.2">
      <c r="A162" s="440" t="str">
        <f>IF(ISBLANK('Spells or Powers'!A25),"||||||||||||||",CONCATENATE("[[",IF(ISBLANK('Spells or Powers'!A25)," ",'Spells or Powers'!A25),"|/Meta/Spells/",SUBSTITUTE((SUBSTITUTE(SUBSTITUTE(SUBSTITUTE(SUBSTITUTE(SUBSTITUTE(SUBSTITUTE(SUBSTITUTE(SUBSTITUTE(SUBSTITUTE(SUBSTITUTE(SUBSTITUTE(SUBSTITUTE(SUBSTITUTE(SUBSTITUTE(SUBSTITUTE(SUBSTITUTE('Spells or Powers'!A25,"/",""),"-",""),".",""),",",""),CHAR(34),""),"'",""),"&amp;",""),"*",""),"#",""),"!",""),"?",""),"@",""),":",""),";",""),"(",""),")",""))," ",""),"]]","|",IF(ISBLANK('Spells or Powers'!B25)," ",'Spells or Powers'!B25),"|",IF(ISBLANK('Spells or Powers'!C25)," ",'Spells or Powers'!C25),"|",IF(ISBLANK('Spells or Powers'!D25)," ",'Spells or Powers'!D25),"|",IF(ISBLANK('Spells or Powers'!E25)," ",'Spells or Powers'!E25),"|",IF(ISBLANK('Spells or Powers'!F25)," ",'Spells or Powers'!F25),"|",IF(ISBLANK('Spells or Powers'!G25)," ",'Spells or Powers'!G25),"|",IF(ISBLANK('Spells or Powers'!H25)," ",'Spells or Powers'!H25),"|",IF(ISBLANK('Spells or Powers'!I25)," ",'Spells or Powers'!I25),"|",IF(ISBLANK('Spells or Powers'!J25)," ",'Spells or Powers'!J25),"|",IF(ISBLANK('Spells or Powers'!K25)," ",'Spells or Powers'!K25),"|",IF(ISBLANK('Spells or Powers'!L25)," ",'Spells or Powers'!L25),"|",IF(ISBLANK('Spells or Powers'!M25)," ",'Spells or Powers'!M25),"|",IF(ISBLANK('Spells or Powers'!N25)," ",'Spells or Powers'!N25),"|",IF(ISBLANK('Spells or Powers'!O25)," ",'Spells or Powers'!O25)))</f>
        <v>||||||||||||||</v>
      </c>
    </row>
    <row r="163" spans="1:1" x14ac:dyDescent="0.2">
      <c r="A163" s="440" t="str">
        <f>IF(ISBLANK('Spells or Powers'!A26),"||||||||||||||",CONCATENATE("[[",IF(ISBLANK('Spells or Powers'!A26)," ",'Spells or Powers'!A26),"|/Meta/Spells/",SUBSTITUTE((SUBSTITUTE(SUBSTITUTE(SUBSTITUTE(SUBSTITUTE(SUBSTITUTE(SUBSTITUTE(SUBSTITUTE(SUBSTITUTE(SUBSTITUTE(SUBSTITUTE(SUBSTITUTE(SUBSTITUTE(SUBSTITUTE(SUBSTITUTE(SUBSTITUTE(SUBSTITUTE('Spells or Powers'!A26,"/",""),"-",""),".",""),",",""),CHAR(34),""),"'",""),"&amp;",""),"*",""),"#",""),"!",""),"?",""),"@",""),":",""),";",""),"(",""),")",""))," ",""),"]]","|",IF(ISBLANK('Spells or Powers'!B26)," ",'Spells or Powers'!B26),"|",IF(ISBLANK('Spells or Powers'!C26)," ",'Spells or Powers'!C26),"|",IF(ISBLANK('Spells or Powers'!D26)," ",'Spells or Powers'!D26),"|",IF(ISBLANK('Spells or Powers'!E26)," ",'Spells or Powers'!E26),"|",IF(ISBLANK('Spells or Powers'!F26)," ",'Spells or Powers'!F26),"|",IF(ISBLANK('Spells or Powers'!G26)," ",'Spells or Powers'!G26),"|",IF(ISBLANK('Spells or Powers'!H26)," ",'Spells or Powers'!H26),"|",IF(ISBLANK('Spells or Powers'!I26)," ",'Spells or Powers'!I26),"|",IF(ISBLANK('Spells or Powers'!J26)," ",'Spells or Powers'!J26),"|",IF(ISBLANK('Spells or Powers'!K26)," ",'Spells or Powers'!K26),"|",IF(ISBLANK('Spells or Powers'!L26)," ",'Spells or Powers'!L26),"|",IF(ISBLANK('Spells or Powers'!M26)," ",'Spells or Powers'!M26),"|",IF(ISBLANK('Spells or Powers'!N26)," ",'Spells or Powers'!N26),"|",IF(ISBLANK('Spells or Powers'!O26)," ",'Spells or Powers'!O26)))</f>
        <v>||||||||||||||</v>
      </c>
    </row>
    <row r="164" spans="1:1" x14ac:dyDescent="0.2">
      <c r="A164" s="440" t="str">
        <f>IF(ISBLANK('Spells or Powers'!A27),"||||||||||||||",CONCATENATE("[[",IF(ISBLANK('Spells or Powers'!A27)," ",'Spells or Powers'!A27),"|/Meta/Spells/",SUBSTITUTE((SUBSTITUTE(SUBSTITUTE(SUBSTITUTE(SUBSTITUTE(SUBSTITUTE(SUBSTITUTE(SUBSTITUTE(SUBSTITUTE(SUBSTITUTE(SUBSTITUTE(SUBSTITUTE(SUBSTITUTE(SUBSTITUTE(SUBSTITUTE(SUBSTITUTE(SUBSTITUTE('Spells or Powers'!A27,"/",""),"-",""),".",""),",",""),CHAR(34),""),"'",""),"&amp;",""),"*",""),"#",""),"!",""),"?",""),"@",""),":",""),";",""),"(",""),")",""))," ",""),"]]","|",IF(ISBLANK('Spells or Powers'!B27)," ",'Spells or Powers'!B27),"|",IF(ISBLANK('Spells or Powers'!C27)," ",'Spells or Powers'!C27),"|",IF(ISBLANK('Spells or Powers'!D27)," ",'Spells or Powers'!D27),"|",IF(ISBLANK('Spells or Powers'!E27)," ",'Spells or Powers'!E27),"|",IF(ISBLANK('Spells or Powers'!F27)," ",'Spells or Powers'!F27),"|",IF(ISBLANK('Spells or Powers'!G27)," ",'Spells or Powers'!G27),"|",IF(ISBLANK('Spells or Powers'!H27)," ",'Spells or Powers'!H27),"|",IF(ISBLANK('Spells or Powers'!I27)," ",'Spells or Powers'!I27),"|",IF(ISBLANK('Spells or Powers'!J27)," ",'Spells or Powers'!J27),"|",IF(ISBLANK('Spells or Powers'!K27)," ",'Spells or Powers'!K27),"|",IF(ISBLANK('Spells or Powers'!L27)," ",'Spells or Powers'!L27),"|",IF(ISBLANK('Spells or Powers'!M27)," ",'Spells or Powers'!M27),"|",IF(ISBLANK('Spells or Powers'!N27)," ",'Spells or Powers'!N27),"|",IF(ISBLANK('Spells or Powers'!O27)," ",'Spells or Powers'!O27)))</f>
        <v>||||||||||||||</v>
      </c>
    </row>
    <row r="165" spans="1:1" x14ac:dyDescent="0.2">
      <c r="A165" s="440" t="str">
        <f>IF(ISBLANK('Spells or Powers'!A28),"||||||||||||||",CONCATENATE("[[",IF(ISBLANK('Spells or Powers'!A28)," ",'Spells or Powers'!A28),"|/Meta/Spells/",SUBSTITUTE((SUBSTITUTE(SUBSTITUTE(SUBSTITUTE(SUBSTITUTE(SUBSTITUTE(SUBSTITUTE(SUBSTITUTE(SUBSTITUTE(SUBSTITUTE(SUBSTITUTE(SUBSTITUTE(SUBSTITUTE(SUBSTITUTE(SUBSTITUTE(SUBSTITUTE(SUBSTITUTE('Spells or Powers'!A28,"/",""),"-",""),".",""),",",""),CHAR(34),""),"'",""),"&amp;",""),"*",""),"#",""),"!",""),"?",""),"@",""),":",""),";",""),"(",""),")",""))," ",""),"]]","|",IF(ISBLANK('Spells or Powers'!B28)," ",'Spells or Powers'!B28),"|",IF(ISBLANK('Spells or Powers'!C28)," ",'Spells or Powers'!C28),"|",IF(ISBLANK('Spells or Powers'!D28)," ",'Spells or Powers'!D28),"|",IF(ISBLANK('Spells or Powers'!E28)," ",'Spells or Powers'!E28),"|",IF(ISBLANK('Spells or Powers'!F28)," ",'Spells or Powers'!F28),"|",IF(ISBLANK('Spells or Powers'!G28)," ",'Spells or Powers'!G28),"|",IF(ISBLANK('Spells or Powers'!H28)," ",'Spells or Powers'!H28),"|",IF(ISBLANK('Spells or Powers'!I28)," ",'Spells or Powers'!I28),"|",IF(ISBLANK('Spells or Powers'!J28)," ",'Spells or Powers'!J28),"|",IF(ISBLANK('Spells or Powers'!K28)," ",'Spells or Powers'!K28),"|",IF(ISBLANK('Spells or Powers'!L28)," ",'Spells or Powers'!L28),"|",IF(ISBLANK('Spells or Powers'!M28)," ",'Spells or Powers'!M28),"|",IF(ISBLANK('Spells or Powers'!N28)," ",'Spells or Powers'!N28),"|",IF(ISBLANK('Spells or Powers'!O28)," ",'Spells or Powers'!O28)))</f>
        <v>||||||||||||||</v>
      </c>
    </row>
    <row r="166" spans="1:1" x14ac:dyDescent="0.2">
      <c r="A166" s="440" t="str">
        <f>IF(ISBLANK('Spells or Powers'!A29),"||||||||||||||",CONCATENATE("[[",IF(ISBLANK('Spells or Powers'!A29)," ",'Spells or Powers'!A29),"|/Meta/Spells/",SUBSTITUTE((SUBSTITUTE(SUBSTITUTE(SUBSTITUTE(SUBSTITUTE(SUBSTITUTE(SUBSTITUTE(SUBSTITUTE(SUBSTITUTE(SUBSTITUTE(SUBSTITUTE(SUBSTITUTE(SUBSTITUTE(SUBSTITUTE(SUBSTITUTE(SUBSTITUTE(SUBSTITUTE('Spells or Powers'!A29,"/",""),"-",""),".",""),",",""),CHAR(34),""),"'",""),"&amp;",""),"*",""),"#",""),"!",""),"?",""),"@",""),":",""),";",""),"(",""),")",""))," ",""),"]]","|",IF(ISBLANK('Spells or Powers'!B29)," ",'Spells or Powers'!B29),"|",IF(ISBLANK('Spells or Powers'!C29)," ",'Spells or Powers'!C29),"|",IF(ISBLANK('Spells or Powers'!D29)," ",'Spells or Powers'!D29),"|",IF(ISBLANK('Spells or Powers'!E29)," ",'Spells or Powers'!E29),"|",IF(ISBLANK('Spells or Powers'!F29)," ",'Spells or Powers'!F29),"|",IF(ISBLANK('Spells or Powers'!G29)," ",'Spells or Powers'!G29),"|",IF(ISBLANK('Spells or Powers'!H29)," ",'Spells or Powers'!H29),"|",IF(ISBLANK('Spells or Powers'!I29)," ",'Spells or Powers'!I29),"|",IF(ISBLANK('Spells or Powers'!J29)," ",'Spells or Powers'!J29),"|",IF(ISBLANK('Spells or Powers'!K29)," ",'Spells or Powers'!K29),"|",IF(ISBLANK('Spells or Powers'!L29)," ",'Spells or Powers'!L29),"|",IF(ISBLANK('Spells or Powers'!M29)," ",'Spells or Powers'!M29),"|",IF(ISBLANK('Spells or Powers'!N29)," ",'Spells or Powers'!N29),"|",IF(ISBLANK('Spells or Powers'!O29)," ",'Spells or Powers'!O29)))</f>
        <v>||||||||||||||</v>
      </c>
    </row>
    <row r="167" spans="1:1" x14ac:dyDescent="0.2">
      <c r="A167" s="440" t="str">
        <f>IF(ISBLANK('Spells or Powers'!A30),"||||||||||||||",CONCATENATE("[[",IF(ISBLANK('Spells or Powers'!A30)," ",'Spells or Powers'!A30),"|/Meta/Spells/",SUBSTITUTE((SUBSTITUTE(SUBSTITUTE(SUBSTITUTE(SUBSTITUTE(SUBSTITUTE(SUBSTITUTE(SUBSTITUTE(SUBSTITUTE(SUBSTITUTE(SUBSTITUTE(SUBSTITUTE(SUBSTITUTE(SUBSTITUTE(SUBSTITUTE(SUBSTITUTE(SUBSTITUTE('Spells or Powers'!A30,"/",""),"-",""),".",""),",",""),CHAR(34),""),"'",""),"&amp;",""),"*",""),"#",""),"!",""),"?",""),"@",""),":",""),";",""),"(",""),")",""))," ",""),"]]","|",IF(ISBLANK('Spells or Powers'!B30)," ",'Spells or Powers'!B30),"|",IF(ISBLANK('Spells or Powers'!C30)," ",'Spells or Powers'!C30),"|",IF(ISBLANK('Spells or Powers'!D30)," ",'Spells or Powers'!D30),"|",IF(ISBLANK('Spells or Powers'!E30)," ",'Spells or Powers'!E30),"|",IF(ISBLANK('Spells or Powers'!F30)," ",'Spells or Powers'!F30),"|",IF(ISBLANK('Spells or Powers'!G30)," ",'Spells or Powers'!G30),"|",IF(ISBLANK('Spells or Powers'!H30)," ",'Spells or Powers'!H30),"|",IF(ISBLANK('Spells or Powers'!I30)," ",'Spells or Powers'!I30),"|",IF(ISBLANK('Spells or Powers'!J30)," ",'Spells or Powers'!J30),"|",IF(ISBLANK('Spells or Powers'!K30)," ",'Spells or Powers'!K30),"|",IF(ISBLANK('Spells or Powers'!L30)," ",'Spells or Powers'!L30),"|",IF(ISBLANK('Spells or Powers'!M30)," ",'Spells or Powers'!M30),"|",IF(ISBLANK('Spells or Powers'!N30)," ",'Spells or Powers'!N30),"|",IF(ISBLANK('Spells or Powers'!O30)," ",'Spells or Powers'!O30)))</f>
        <v>||||||||||||||</v>
      </c>
    </row>
    <row r="168" spans="1:1" x14ac:dyDescent="0.2">
      <c r="A168" s="440" t="str">
        <f>IF(ISBLANK('Spells or Powers'!A31),"||||||||||||||",CONCATENATE("[[",IF(ISBLANK('Spells or Powers'!A31)," ",'Spells or Powers'!A31),"|/Meta/Spells/",SUBSTITUTE((SUBSTITUTE(SUBSTITUTE(SUBSTITUTE(SUBSTITUTE(SUBSTITUTE(SUBSTITUTE(SUBSTITUTE(SUBSTITUTE(SUBSTITUTE(SUBSTITUTE(SUBSTITUTE(SUBSTITUTE(SUBSTITUTE(SUBSTITUTE(SUBSTITUTE(SUBSTITUTE('Spells or Powers'!A31,"/",""),"-",""),".",""),",",""),CHAR(34),""),"'",""),"&amp;",""),"*",""),"#",""),"!",""),"?",""),"@",""),":",""),";",""),"(",""),")",""))," ",""),"]]","|",IF(ISBLANK('Spells or Powers'!B31)," ",'Spells or Powers'!B31),"|",IF(ISBLANK('Spells or Powers'!C31)," ",'Spells or Powers'!C31),"|",IF(ISBLANK('Spells or Powers'!D31)," ",'Spells or Powers'!D31),"|",IF(ISBLANK('Spells or Powers'!E31)," ",'Spells or Powers'!E31),"|",IF(ISBLANK('Spells or Powers'!F31)," ",'Spells or Powers'!F31),"|",IF(ISBLANK('Spells or Powers'!G31)," ",'Spells or Powers'!G31),"|",IF(ISBLANK('Spells or Powers'!H31)," ",'Spells or Powers'!H31),"|",IF(ISBLANK('Spells or Powers'!I31)," ",'Spells or Powers'!I31),"|",IF(ISBLANK('Spells or Powers'!J31)," ",'Spells or Powers'!J31),"|",IF(ISBLANK('Spells or Powers'!K31)," ",'Spells or Powers'!K31),"|",IF(ISBLANK('Spells or Powers'!L31)," ",'Spells or Powers'!L31),"|",IF(ISBLANK('Spells or Powers'!M31)," ",'Spells or Powers'!M31),"|",IF(ISBLANK('Spells or Powers'!N31)," ",'Spells or Powers'!N31),"|",IF(ISBLANK('Spells or Powers'!O31)," ",'Spells or Powers'!O31)))</f>
        <v>||||||||||||||</v>
      </c>
    </row>
    <row r="169" spans="1:1" x14ac:dyDescent="0.2">
      <c r="A169" s="440" t="str">
        <f>IF(ISBLANK('Spells or Powers'!A32),"||||||||||||||",CONCATENATE("[[",IF(ISBLANK('Spells or Powers'!A32)," ",'Spells or Powers'!A32),"|/Meta/Spells/",SUBSTITUTE((SUBSTITUTE(SUBSTITUTE(SUBSTITUTE(SUBSTITUTE(SUBSTITUTE(SUBSTITUTE(SUBSTITUTE(SUBSTITUTE(SUBSTITUTE(SUBSTITUTE(SUBSTITUTE(SUBSTITUTE(SUBSTITUTE(SUBSTITUTE(SUBSTITUTE(SUBSTITUTE('Spells or Powers'!A32,"/",""),"-",""),".",""),",",""),CHAR(34),""),"'",""),"&amp;",""),"*",""),"#",""),"!",""),"?",""),"@",""),":",""),";",""),"(",""),")",""))," ",""),"]]","|",IF(ISBLANK('Spells or Powers'!B32)," ",'Spells or Powers'!B32),"|",IF(ISBLANK('Spells or Powers'!C32)," ",'Spells or Powers'!C32),"|",IF(ISBLANK('Spells or Powers'!D32)," ",'Spells or Powers'!D32),"|",IF(ISBLANK('Spells or Powers'!E32)," ",'Spells or Powers'!E32),"|",IF(ISBLANK('Spells or Powers'!F32)," ",'Spells or Powers'!F32),"|",IF(ISBLANK('Spells or Powers'!G32)," ",'Spells or Powers'!G32),"|",IF(ISBLANK('Spells or Powers'!H32)," ",'Spells or Powers'!H32),"|",IF(ISBLANK('Spells or Powers'!I32)," ",'Spells or Powers'!I32),"|",IF(ISBLANK('Spells or Powers'!J32)," ",'Spells or Powers'!J32),"|",IF(ISBLANK('Spells or Powers'!K32)," ",'Spells or Powers'!K32),"|",IF(ISBLANK('Spells or Powers'!L32)," ",'Spells or Powers'!L32),"|",IF(ISBLANK('Spells or Powers'!M32)," ",'Spells or Powers'!M32),"|",IF(ISBLANK('Spells or Powers'!N32)," ",'Spells or Powers'!N32),"|",IF(ISBLANK('Spells or Powers'!O32)," ",'Spells or Powers'!O32)))</f>
        <v>||||||||||||||</v>
      </c>
    </row>
    <row r="170" spans="1:1" x14ac:dyDescent="0.2">
      <c r="A170" s="440" t="str">
        <f>IF(ISBLANK('Spells or Powers'!A33),"||||||||||||||",CONCATENATE("[[",IF(ISBLANK('Spells or Powers'!A33)," ",'Spells or Powers'!A33),"|/Meta/Spells/",SUBSTITUTE((SUBSTITUTE(SUBSTITUTE(SUBSTITUTE(SUBSTITUTE(SUBSTITUTE(SUBSTITUTE(SUBSTITUTE(SUBSTITUTE(SUBSTITUTE(SUBSTITUTE(SUBSTITUTE(SUBSTITUTE(SUBSTITUTE(SUBSTITUTE(SUBSTITUTE(SUBSTITUTE('Spells or Powers'!A33,"/",""),"-",""),".",""),",",""),CHAR(34),""),"'",""),"&amp;",""),"*",""),"#",""),"!",""),"?",""),"@",""),":",""),";",""),"(",""),")",""))," ",""),"]]","|",IF(ISBLANK('Spells or Powers'!B33)," ",'Spells or Powers'!B33),"|",IF(ISBLANK('Spells or Powers'!C33)," ",'Spells or Powers'!C33),"|",IF(ISBLANK('Spells or Powers'!D33)," ",'Spells or Powers'!D33),"|",IF(ISBLANK('Spells or Powers'!E33)," ",'Spells or Powers'!E33),"|",IF(ISBLANK('Spells or Powers'!F33)," ",'Spells or Powers'!F33),"|",IF(ISBLANK('Spells or Powers'!G33)," ",'Spells or Powers'!G33),"|",IF(ISBLANK('Spells or Powers'!H33)," ",'Spells or Powers'!H33),"|",IF(ISBLANK('Spells or Powers'!I33)," ",'Spells or Powers'!I33),"|",IF(ISBLANK('Spells or Powers'!J33)," ",'Spells or Powers'!J33),"|",IF(ISBLANK('Spells or Powers'!K33)," ",'Spells or Powers'!K33),"|",IF(ISBLANK('Spells or Powers'!L33)," ",'Spells or Powers'!L33),"|",IF(ISBLANK('Spells or Powers'!M33)," ",'Spells or Powers'!M33),"|",IF(ISBLANK('Spells or Powers'!N33)," ",'Spells or Powers'!N33),"|",IF(ISBLANK('Spells or Powers'!O33)," ",'Spells or Powers'!O33)))</f>
        <v>||||||||||||||</v>
      </c>
    </row>
    <row r="171" spans="1:1" x14ac:dyDescent="0.2">
      <c r="A171" s="440" t="str">
        <f>IF(ISBLANK('Spells or Powers'!A34),"||||||||||||||",CONCATENATE("[[",IF(ISBLANK('Spells or Powers'!A34)," ",'Spells or Powers'!A34),"|/Meta/Spells/",SUBSTITUTE((SUBSTITUTE(SUBSTITUTE(SUBSTITUTE(SUBSTITUTE(SUBSTITUTE(SUBSTITUTE(SUBSTITUTE(SUBSTITUTE(SUBSTITUTE(SUBSTITUTE(SUBSTITUTE(SUBSTITUTE(SUBSTITUTE(SUBSTITUTE(SUBSTITUTE(SUBSTITUTE('Spells or Powers'!A34,"/",""),"-",""),".",""),",",""),CHAR(34),""),"'",""),"&amp;",""),"*",""),"#",""),"!",""),"?",""),"@",""),":",""),";",""),"(",""),")",""))," ",""),"]]","|",IF(ISBLANK('Spells or Powers'!B34)," ",'Spells or Powers'!B34),"|",IF(ISBLANK('Spells or Powers'!C34)," ",'Spells or Powers'!C34),"|",IF(ISBLANK('Spells or Powers'!D34)," ",'Spells or Powers'!D34),"|",IF(ISBLANK('Spells or Powers'!E34)," ",'Spells or Powers'!E34),"|",IF(ISBLANK('Spells or Powers'!F34)," ",'Spells or Powers'!F34),"|",IF(ISBLANK('Spells or Powers'!G34)," ",'Spells or Powers'!G34),"|",IF(ISBLANK('Spells or Powers'!H34)," ",'Spells or Powers'!H34),"|",IF(ISBLANK('Spells or Powers'!I34)," ",'Spells or Powers'!I34),"|",IF(ISBLANK('Spells or Powers'!J34)," ",'Spells or Powers'!J34),"|",IF(ISBLANK('Spells or Powers'!K34)," ",'Spells or Powers'!K34),"|",IF(ISBLANK('Spells or Powers'!L34)," ",'Spells or Powers'!L34),"|",IF(ISBLANK('Spells or Powers'!M34)," ",'Spells or Powers'!M34),"|",IF(ISBLANK('Spells or Powers'!N34)," ",'Spells or Powers'!N34),"|",IF(ISBLANK('Spells or Powers'!O34)," ",'Spells or Powers'!O34)))</f>
        <v>||||||||||||||</v>
      </c>
    </row>
    <row r="172" spans="1:1" x14ac:dyDescent="0.2">
      <c r="A172" s="440" t="str">
        <f>IF(ISBLANK('Spells or Powers'!A35),"||||||||||||||",CONCATENATE("[[",IF(ISBLANK('Spells or Powers'!A35)," ",'Spells or Powers'!A35),"|/Meta/Spells/",SUBSTITUTE((SUBSTITUTE(SUBSTITUTE(SUBSTITUTE(SUBSTITUTE(SUBSTITUTE(SUBSTITUTE(SUBSTITUTE(SUBSTITUTE(SUBSTITUTE(SUBSTITUTE(SUBSTITUTE(SUBSTITUTE(SUBSTITUTE(SUBSTITUTE(SUBSTITUTE(SUBSTITUTE('Spells or Powers'!A35,"/",""),"-",""),".",""),",",""),CHAR(34),""),"'",""),"&amp;",""),"*",""),"#",""),"!",""),"?",""),"@",""),":",""),";",""),"(",""),")",""))," ",""),"]]","|",IF(ISBLANK('Spells or Powers'!B35)," ",'Spells or Powers'!B35),"|",IF(ISBLANK('Spells or Powers'!C35)," ",'Spells or Powers'!C35),"|",IF(ISBLANK('Spells or Powers'!D35)," ",'Spells or Powers'!D35),"|",IF(ISBLANK('Spells or Powers'!E35)," ",'Spells or Powers'!E35),"|",IF(ISBLANK('Spells or Powers'!F35)," ",'Spells or Powers'!F35),"|",IF(ISBLANK('Spells or Powers'!G35)," ",'Spells or Powers'!G35),"|",IF(ISBLANK('Spells or Powers'!H35)," ",'Spells or Powers'!H35),"|",IF(ISBLANK('Spells or Powers'!I35)," ",'Spells or Powers'!I35),"|",IF(ISBLANK('Spells or Powers'!J35)," ",'Spells or Powers'!J35),"|",IF(ISBLANK('Spells or Powers'!K35)," ",'Spells or Powers'!K35),"|",IF(ISBLANK('Spells or Powers'!L35)," ",'Spells or Powers'!L35),"|",IF(ISBLANK('Spells or Powers'!M35)," ",'Spells or Powers'!M35),"|",IF(ISBLANK('Spells or Powers'!N35)," ",'Spells or Powers'!N35),"|",IF(ISBLANK('Spells or Powers'!O35)," ",'Spells or Powers'!O35)))</f>
        <v>||||||||||||||</v>
      </c>
    </row>
    <row r="173" spans="1:1" x14ac:dyDescent="0.2">
      <c r="A173" s="440" t="str">
        <f>IF(ISBLANK('Spells or Powers'!A36),"||||||||||||||",CONCATENATE("[[",IF(ISBLANK('Spells or Powers'!A36)," ",'Spells or Powers'!A36),"|/Meta/Spells/",SUBSTITUTE((SUBSTITUTE(SUBSTITUTE(SUBSTITUTE(SUBSTITUTE(SUBSTITUTE(SUBSTITUTE(SUBSTITUTE(SUBSTITUTE(SUBSTITUTE(SUBSTITUTE(SUBSTITUTE(SUBSTITUTE(SUBSTITUTE(SUBSTITUTE(SUBSTITUTE(SUBSTITUTE('Spells or Powers'!A36,"/",""),"-",""),".",""),",",""),CHAR(34),""),"'",""),"&amp;",""),"*",""),"#",""),"!",""),"?",""),"@",""),":",""),";",""),"(",""),")",""))," ",""),"]]","|",IF(ISBLANK('Spells or Powers'!B36)," ",'Spells or Powers'!B36),"|",IF(ISBLANK('Spells or Powers'!C36)," ",'Spells or Powers'!C36),"|",IF(ISBLANK('Spells or Powers'!D36)," ",'Spells or Powers'!D36),"|",IF(ISBLANK('Spells or Powers'!E36)," ",'Spells or Powers'!E36),"|",IF(ISBLANK('Spells or Powers'!F36)," ",'Spells or Powers'!F36),"|",IF(ISBLANK('Spells or Powers'!G36)," ",'Spells or Powers'!G36),"|",IF(ISBLANK('Spells or Powers'!H36)," ",'Spells or Powers'!H36),"|",IF(ISBLANK('Spells or Powers'!I36)," ",'Spells or Powers'!I36),"|",IF(ISBLANK('Spells or Powers'!J36)," ",'Spells or Powers'!J36),"|",IF(ISBLANK('Spells or Powers'!K36)," ",'Spells or Powers'!K36),"|",IF(ISBLANK('Spells or Powers'!L36)," ",'Spells or Powers'!L36),"|",IF(ISBLANK('Spells or Powers'!M36)," ",'Spells or Powers'!M36),"|",IF(ISBLANK('Spells or Powers'!N36)," ",'Spells or Powers'!N36),"|",IF(ISBLANK('Spells or Powers'!O36)," ",'Spells or Powers'!O36)))</f>
        <v>||||||||||||||</v>
      </c>
    </row>
    <row r="174" spans="1:1" x14ac:dyDescent="0.2">
      <c r="A174" s="440" t="str">
        <f>IF(ISBLANK('Spells or Powers'!A37),"||||||||||||||",CONCATENATE("[[",IF(ISBLANK('Spells or Powers'!A37)," ",'Spells or Powers'!A37),"|/Meta/Spells/",SUBSTITUTE((SUBSTITUTE(SUBSTITUTE(SUBSTITUTE(SUBSTITUTE(SUBSTITUTE(SUBSTITUTE(SUBSTITUTE(SUBSTITUTE(SUBSTITUTE(SUBSTITUTE(SUBSTITUTE(SUBSTITUTE(SUBSTITUTE(SUBSTITUTE(SUBSTITUTE(SUBSTITUTE('Spells or Powers'!A37,"/",""),"-",""),".",""),",",""),CHAR(34),""),"'",""),"&amp;",""),"*",""),"#",""),"!",""),"?",""),"@",""),":",""),";",""),"(",""),")",""))," ",""),"]]","|",IF(ISBLANK('Spells or Powers'!B37)," ",'Spells or Powers'!B37),"|",IF(ISBLANK('Spells or Powers'!C37)," ",'Spells or Powers'!C37),"|",IF(ISBLANK('Spells or Powers'!D37)," ",'Spells or Powers'!D37),"|",IF(ISBLANK('Spells or Powers'!E37)," ",'Spells or Powers'!E37),"|",IF(ISBLANK('Spells or Powers'!F37)," ",'Spells or Powers'!F37),"|",IF(ISBLANK('Spells or Powers'!G37)," ",'Spells or Powers'!G37),"|",IF(ISBLANK('Spells or Powers'!H37)," ",'Spells or Powers'!H37),"|",IF(ISBLANK('Spells or Powers'!I37)," ",'Spells or Powers'!I37),"|",IF(ISBLANK('Spells or Powers'!J37)," ",'Spells or Powers'!J37),"|",IF(ISBLANK('Spells or Powers'!K37)," ",'Spells or Powers'!K37),"|",IF(ISBLANK('Spells or Powers'!L37)," ",'Spells or Powers'!L37),"|",IF(ISBLANK('Spells or Powers'!M37)," ",'Spells or Powers'!M37),"|",IF(ISBLANK('Spells or Powers'!N37)," ",'Spells or Powers'!N37),"|",IF(ISBLANK('Spells or Powers'!O37)," ",'Spells or Powers'!O37)))</f>
        <v>||||||||||||||</v>
      </c>
    </row>
    <row r="175" spans="1:1" x14ac:dyDescent="0.2">
      <c r="A175" s="440" t="str">
        <f>IF(ISBLANK('Spells or Powers'!A38),"||||||||||||||",CONCATENATE("[[",IF(ISBLANK('Spells or Powers'!A38)," ",'Spells or Powers'!A38),"|/Meta/Spells/",SUBSTITUTE((SUBSTITUTE(SUBSTITUTE(SUBSTITUTE(SUBSTITUTE(SUBSTITUTE(SUBSTITUTE(SUBSTITUTE(SUBSTITUTE(SUBSTITUTE(SUBSTITUTE(SUBSTITUTE(SUBSTITUTE(SUBSTITUTE(SUBSTITUTE(SUBSTITUTE(SUBSTITUTE('Spells or Powers'!A38,"/",""),"-",""),".",""),",",""),CHAR(34),""),"'",""),"&amp;",""),"*",""),"#",""),"!",""),"?",""),"@",""),":",""),";",""),"(",""),")",""))," ",""),"]]","|",IF(ISBLANK('Spells or Powers'!B38)," ",'Spells or Powers'!B38),"|",IF(ISBLANK('Spells or Powers'!C38)," ",'Spells or Powers'!C38),"|",IF(ISBLANK('Spells or Powers'!D38)," ",'Spells or Powers'!D38),"|",IF(ISBLANK('Spells or Powers'!E38)," ",'Spells or Powers'!E38),"|",IF(ISBLANK('Spells or Powers'!F38)," ",'Spells or Powers'!F38),"|",IF(ISBLANK('Spells or Powers'!G38)," ",'Spells or Powers'!G38),"|",IF(ISBLANK('Spells or Powers'!H38)," ",'Spells or Powers'!H38),"|",IF(ISBLANK('Spells or Powers'!I38)," ",'Spells or Powers'!I38),"|",IF(ISBLANK('Spells or Powers'!J38)," ",'Spells or Powers'!J38),"|",IF(ISBLANK('Spells or Powers'!K38)," ",'Spells or Powers'!K38),"|",IF(ISBLANK('Spells or Powers'!L38)," ",'Spells or Powers'!L38),"|",IF(ISBLANK('Spells or Powers'!M38)," ",'Spells or Powers'!M38),"|",IF(ISBLANK('Spells or Powers'!N38)," ",'Spells or Powers'!N38),"|",IF(ISBLANK('Spells or Powers'!O38)," ",'Spells or Powers'!O38)))</f>
        <v>||||||||||||||</v>
      </c>
    </row>
    <row r="176" spans="1:1" x14ac:dyDescent="0.2">
      <c r="A176" s="440" t="str">
        <f>IF(ISBLANK('Spells or Powers'!A39),"||||||||||||||",CONCATENATE("[[",IF(ISBLANK('Spells or Powers'!A39)," ",'Spells or Powers'!A39),"|/Meta/Spells/",SUBSTITUTE((SUBSTITUTE(SUBSTITUTE(SUBSTITUTE(SUBSTITUTE(SUBSTITUTE(SUBSTITUTE(SUBSTITUTE(SUBSTITUTE(SUBSTITUTE(SUBSTITUTE(SUBSTITUTE(SUBSTITUTE(SUBSTITUTE(SUBSTITUTE(SUBSTITUTE(SUBSTITUTE('Spells or Powers'!A39,"/",""),"-",""),".",""),",",""),CHAR(34),""),"'",""),"&amp;",""),"*",""),"#",""),"!",""),"?",""),"@",""),":",""),";",""),"(",""),")",""))," ",""),"]]","|",IF(ISBLANK('Spells or Powers'!B39)," ",'Spells or Powers'!B39),"|",IF(ISBLANK('Spells or Powers'!C39)," ",'Spells or Powers'!C39),"|",IF(ISBLANK('Spells or Powers'!D39)," ",'Spells or Powers'!D39),"|",IF(ISBLANK('Spells or Powers'!E39)," ",'Spells or Powers'!E39),"|",IF(ISBLANK('Spells or Powers'!F39)," ",'Spells or Powers'!F39),"|",IF(ISBLANK('Spells or Powers'!G39)," ",'Spells or Powers'!G39),"|",IF(ISBLANK('Spells or Powers'!H39)," ",'Spells or Powers'!H39),"|",IF(ISBLANK('Spells or Powers'!I39)," ",'Spells or Powers'!I39),"|",IF(ISBLANK('Spells or Powers'!J39)," ",'Spells or Powers'!J39),"|",IF(ISBLANK('Spells or Powers'!K39)," ",'Spells or Powers'!K39),"|",IF(ISBLANK('Spells or Powers'!L39)," ",'Spells or Powers'!L39),"|",IF(ISBLANK('Spells or Powers'!M39)," ",'Spells or Powers'!M39),"|",IF(ISBLANK('Spells or Powers'!N39)," ",'Spells or Powers'!N39),"|",IF(ISBLANK('Spells or Powers'!O39)," ",'Spells or Powers'!O39)))</f>
        <v>||||||||||||||</v>
      </c>
    </row>
    <row r="177" spans="1:1" x14ac:dyDescent="0.2">
      <c r="A177" s="440" t="str">
        <f>IF(ISBLANK('Spells or Powers'!A40),"||||||||||||||",CONCATENATE("[[",IF(ISBLANK('Spells or Powers'!A40)," ",'Spells or Powers'!A40),"|/Meta/Spells/",SUBSTITUTE((SUBSTITUTE(SUBSTITUTE(SUBSTITUTE(SUBSTITUTE(SUBSTITUTE(SUBSTITUTE(SUBSTITUTE(SUBSTITUTE(SUBSTITUTE(SUBSTITUTE(SUBSTITUTE(SUBSTITUTE(SUBSTITUTE(SUBSTITUTE(SUBSTITUTE(SUBSTITUTE('Spells or Powers'!A40,"/",""),"-",""),".",""),",",""),CHAR(34),""),"'",""),"&amp;",""),"*",""),"#",""),"!",""),"?",""),"@",""),":",""),";",""),"(",""),")",""))," ",""),"]]","|",IF(ISBLANK('Spells or Powers'!B40)," ",'Spells or Powers'!B40),"|",IF(ISBLANK('Spells or Powers'!C40)," ",'Spells or Powers'!C40),"|",IF(ISBLANK('Spells or Powers'!D40)," ",'Spells or Powers'!D40),"|",IF(ISBLANK('Spells or Powers'!E40)," ",'Spells or Powers'!E40),"|",IF(ISBLANK('Spells or Powers'!F40)," ",'Spells or Powers'!F40),"|",IF(ISBLANK('Spells or Powers'!G40)," ",'Spells or Powers'!G40),"|",IF(ISBLANK('Spells or Powers'!H40)," ",'Spells or Powers'!H40),"|",IF(ISBLANK('Spells or Powers'!I40)," ",'Spells or Powers'!I40),"|",IF(ISBLANK('Spells or Powers'!J40)," ",'Spells or Powers'!J40),"|",IF(ISBLANK('Spells or Powers'!K40)," ",'Spells or Powers'!K40),"|",IF(ISBLANK('Spells or Powers'!L40)," ",'Spells or Powers'!L40),"|",IF(ISBLANK('Spells or Powers'!M40)," ",'Spells or Powers'!M40),"|",IF(ISBLANK('Spells or Powers'!N40)," ",'Spells or Powers'!N40),"|",IF(ISBLANK('Spells or Powers'!O40)," ",'Spells or Powers'!O40)))</f>
        <v>||||||||||||||</v>
      </c>
    </row>
    <row r="178" spans="1:1" x14ac:dyDescent="0.2">
      <c r="A178" s="440" t="str">
        <f>IF(ISBLANK('Spells or Powers'!A41),"||||||||||||||",CONCATENATE("[[",IF(ISBLANK('Spells or Powers'!A41)," ",'Spells or Powers'!A41),"|/Meta/Spells/",SUBSTITUTE((SUBSTITUTE(SUBSTITUTE(SUBSTITUTE(SUBSTITUTE(SUBSTITUTE(SUBSTITUTE(SUBSTITUTE(SUBSTITUTE(SUBSTITUTE(SUBSTITUTE(SUBSTITUTE(SUBSTITUTE(SUBSTITUTE(SUBSTITUTE(SUBSTITUTE(SUBSTITUTE('Spells or Powers'!A41,"/",""),"-",""),".",""),",",""),CHAR(34),""),"'",""),"&amp;",""),"*",""),"#",""),"!",""),"?",""),"@",""),":",""),";",""),"(",""),")",""))," ",""),"]]","|",IF(ISBLANK('Spells or Powers'!B41)," ",'Spells or Powers'!B41),"|",IF(ISBLANK('Spells or Powers'!C41)," ",'Spells or Powers'!C41),"|",IF(ISBLANK('Spells or Powers'!D41)," ",'Spells or Powers'!D41),"|",IF(ISBLANK('Spells or Powers'!E41)," ",'Spells or Powers'!E41),"|",IF(ISBLANK('Spells or Powers'!F41)," ",'Spells or Powers'!F41),"|",IF(ISBLANK('Spells or Powers'!G41)," ",'Spells or Powers'!G41),"|",IF(ISBLANK('Spells or Powers'!H41)," ",'Spells or Powers'!H41),"|",IF(ISBLANK('Spells or Powers'!I41)," ",'Spells or Powers'!I41),"|",IF(ISBLANK('Spells or Powers'!J41)," ",'Spells or Powers'!J41),"|",IF(ISBLANK('Spells or Powers'!K41)," ",'Spells or Powers'!K41),"|",IF(ISBLANK('Spells or Powers'!L41)," ",'Spells or Powers'!L41),"|",IF(ISBLANK('Spells or Powers'!M41)," ",'Spells or Powers'!M41),"|",IF(ISBLANK('Spells or Powers'!N41)," ",'Spells or Powers'!N41),"|",IF(ISBLANK('Spells or Powers'!O41)," ",'Spells or Powers'!O41)))</f>
        <v>||||||||||||||</v>
      </c>
    </row>
    <row r="179" spans="1:1" x14ac:dyDescent="0.2">
      <c r="A179" s="440" t="str">
        <f>IF(ISBLANK('Spells or Powers'!A42),"||||||||||||||",CONCATENATE("[[",IF(ISBLANK('Spells or Powers'!A42)," ",'Spells or Powers'!A42),"|/Meta/Spells/",SUBSTITUTE((SUBSTITUTE(SUBSTITUTE(SUBSTITUTE(SUBSTITUTE(SUBSTITUTE(SUBSTITUTE(SUBSTITUTE(SUBSTITUTE(SUBSTITUTE(SUBSTITUTE(SUBSTITUTE(SUBSTITUTE(SUBSTITUTE(SUBSTITUTE(SUBSTITUTE(SUBSTITUTE('Spells or Powers'!A42,"/",""),"-",""),".",""),",",""),CHAR(34),""),"'",""),"&amp;",""),"*",""),"#",""),"!",""),"?",""),"@",""),":",""),";",""),"(",""),")",""))," ",""),"]]","|",IF(ISBLANK('Spells or Powers'!B42)," ",'Spells or Powers'!B42),"|",IF(ISBLANK('Spells or Powers'!C42)," ",'Spells or Powers'!C42),"|",IF(ISBLANK('Spells or Powers'!D42)," ",'Spells or Powers'!D42),"|",IF(ISBLANK('Spells or Powers'!E42)," ",'Spells or Powers'!E42),"|",IF(ISBLANK('Spells or Powers'!F42)," ",'Spells or Powers'!F42),"|",IF(ISBLANK('Spells or Powers'!G42)," ",'Spells or Powers'!G42),"|",IF(ISBLANK('Spells or Powers'!H42)," ",'Spells or Powers'!H42),"|",IF(ISBLANK('Spells or Powers'!I42)," ",'Spells or Powers'!I42),"|",IF(ISBLANK('Spells or Powers'!J42)," ",'Spells or Powers'!J42),"|",IF(ISBLANK('Spells or Powers'!K42)," ",'Spells or Powers'!K42),"|",IF(ISBLANK('Spells or Powers'!L42)," ",'Spells or Powers'!L42),"|",IF(ISBLANK('Spells or Powers'!M42)," ",'Spells or Powers'!M42),"|",IF(ISBLANK('Spells or Powers'!N42)," ",'Spells or Powers'!N42),"|",IF(ISBLANK('Spells or Powers'!O42)," ",'Spells or Powers'!O42)))</f>
        <v>||||||||||||||</v>
      </c>
    </row>
    <row r="180" spans="1:1" x14ac:dyDescent="0.2">
      <c r="A180" s="440" t="str">
        <f>IF(ISBLANK('Spells or Powers'!A43),"||||||||||||||",CONCATENATE("[[",IF(ISBLANK('Spells or Powers'!A43)," ",'Spells or Powers'!A43),"|/Meta/Spells/",SUBSTITUTE((SUBSTITUTE(SUBSTITUTE(SUBSTITUTE(SUBSTITUTE(SUBSTITUTE(SUBSTITUTE(SUBSTITUTE(SUBSTITUTE(SUBSTITUTE(SUBSTITUTE(SUBSTITUTE(SUBSTITUTE(SUBSTITUTE(SUBSTITUTE(SUBSTITUTE(SUBSTITUTE('Spells or Powers'!A43,"/",""),"-",""),".",""),",",""),CHAR(34),""),"'",""),"&amp;",""),"*",""),"#",""),"!",""),"?",""),"@",""),":",""),";",""),"(",""),")",""))," ",""),"]]","|",IF(ISBLANK('Spells or Powers'!B43)," ",'Spells or Powers'!B43),"|",IF(ISBLANK('Spells or Powers'!C43)," ",'Spells or Powers'!C43),"|",IF(ISBLANK('Spells or Powers'!D43)," ",'Spells or Powers'!D43),"|",IF(ISBLANK('Spells or Powers'!E43)," ",'Spells or Powers'!E43),"|",IF(ISBLANK('Spells or Powers'!F43)," ",'Spells or Powers'!F43),"|",IF(ISBLANK('Spells or Powers'!G43)," ",'Spells or Powers'!G43),"|",IF(ISBLANK('Spells or Powers'!H43)," ",'Spells or Powers'!H43),"|",IF(ISBLANK('Spells or Powers'!I43)," ",'Spells or Powers'!I43),"|",IF(ISBLANK('Spells or Powers'!J43)," ",'Spells or Powers'!J43),"|",IF(ISBLANK('Spells or Powers'!K43)," ",'Spells or Powers'!K43),"|",IF(ISBLANK('Spells or Powers'!L43)," ",'Spells or Powers'!L43),"|",IF(ISBLANK('Spells or Powers'!M43)," ",'Spells or Powers'!M43),"|",IF(ISBLANK('Spells or Powers'!N43)," ",'Spells or Powers'!N43),"|",IF(ISBLANK('Spells or Powers'!O43)," ",'Spells or Powers'!O43)))</f>
        <v>||||||||||||||</v>
      </c>
    </row>
    <row r="181" spans="1:1" x14ac:dyDescent="0.2">
      <c r="A181" s="440" t="str">
        <f>IF(ISBLANK('Spells or Powers'!A44),"||||||||||||||",CONCATENATE("[[",IF(ISBLANK('Spells or Powers'!A44)," ",'Spells or Powers'!A44),"|/Meta/Spells/",SUBSTITUTE((SUBSTITUTE(SUBSTITUTE(SUBSTITUTE(SUBSTITUTE(SUBSTITUTE(SUBSTITUTE(SUBSTITUTE(SUBSTITUTE(SUBSTITUTE(SUBSTITUTE(SUBSTITUTE(SUBSTITUTE(SUBSTITUTE(SUBSTITUTE(SUBSTITUTE(SUBSTITUTE('Spells or Powers'!A44,"/",""),"-",""),".",""),",",""),CHAR(34),""),"'",""),"&amp;",""),"*",""),"#",""),"!",""),"?",""),"@",""),":",""),";",""),"(",""),")",""))," ",""),"]]","|",IF(ISBLANK('Spells or Powers'!B44)," ",'Spells or Powers'!B44),"|",IF(ISBLANK('Spells or Powers'!C44)," ",'Spells or Powers'!C44),"|",IF(ISBLANK('Spells or Powers'!D44)," ",'Spells or Powers'!D44),"|",IF(ISBLANK('Spells or Powers'!E44)," ",'Spells or Powers'!E44),"|",IF(ISBLANK('Spells or Powers'!F44)," ",'Spells or Powers'!F44),"|",IF(ISBLANK('Spells or Powers'!G44)," ",'Spells or Powers'!G44),"|",IF(ISBLANK('Spells or Powers'!H44)," ",'Spells or Powers'!H44),"|",IF(ISBLANK('Spells or Powers'!I44)," ",'Spells or Powers'!I44),"|",IF(ISBLANK('Spells or Powers'!J44)," ",'Spells or Powers'!J44),"|",IF(ISBLANK('Spells or Powers'!K44)," ",'Spells or Powers'!K44),"|",IF(ISBLANK('Spells or Powers'!L44)," ",'Spells or Powers'!L44),"|",IF(ISBLANK('Spells or Powers'!M44)," ",'Spells or Powers'!M44),"|",IF(ISBLANK('Spells or Powers'!N44)," ",'Spells or Powers'!N44),"|",IF(ISBLANK('Spells or Powers'!O44)," ",'Spells or Powers'!O44)))</f>
        <v>||||||||||||||</v>
      </c>
    </row>
    <row r="182" spans="1:1" x14ac:dyDescent="0.2">
      <c r="A182" s="440" t="str">
        <f>IF(ISBLANK('Spells or Powers'!A45),"||||||||||||||",CONCATENATE("[[",IF(ISBLANK('Spells or Powers'!A45)," ",'Spells or Powers'!A45),"|/Meta/Spells/",SUBSTITUTE((SUBSTITUTE(SUBSTITUTE(SUBSTITUTE(SUBSTITUTE(SUBSTITUTE(SUBSTITUTE(SUBSTITUTE(SUBSTITUTE(SUBSTITUTE(SUBSTITUTE(SUBSTITUTE(SUBSTITUTE(SUBSTITUTE(SUBSTITUTE(SUBSTITUTE(SUBSTITUTE('Spells or Powers'!A45,"/",""),"-",""),".",""),",",""),CHAR(34),""),"'",""),"&amp;",""),"*",""),"#",""),"!",""),"?",""),"@",""),":",""),";",""),"(",""),")",""))," ",""),"]]","|",IF(ISBLANK('Spells or Powers'!B45)," ",'Spells or Powers'!B45),"|",IF(ISBLANK('Spells or Powers'!C45)," ",'Spells or Powers'!C45),"|",IF(ISBLANK('Spells or Powers'!D45)," ",'Spells or Powers'!D45),"|",IF(ISBLANK('Spells or Powers'!E45)," ",'Spells or Powers'!E45),"|",IF(ISBLANK('Spells or Powers'!F45)," ",'Spells or Powers'!F45),"|",IF(ISBLANK('Spells or Powers'!G45)," ",'Spells or Powers'!G45),"|",IF(ISBLANK('Spells or Powers'!H45)," ",'Spells or Powers'!H45),"|",IF(ISBLANK('Spells or Powers'!I45)," ",'Spells or Powers'!I45),"|",IF(ISBLANK('Spells or Powers'!J45)," ",'Spells or Powers'!J45),"|",IF(ISBLANK('Spells or Powers'!K45)," ",'Spells or Powers'!K45),"|",IF(ISBLANK('Spells or Powers'!L45)," ",'Spells or Powers'!L45),"|",IF(ISBLANK('Spells or Powers'!M45)," ",'Spells or Powers'!M45),"|",IF(ISBLANK('Spells or Powers'!N45)," ",'Spells or Powers'!N45),"|",IF(ISBLANK('Spells or Powers'!O45)," ",'Spells or Powers'!O45)))</f>
        <v>||||||||||||||</v>
      </c>
    </row>
    <row r="183" spans="1:1" x14ac:dyDescent="0.2">
      <c r="A183" s="440" t="str">
        <f>IF(ISBLANK('Spells or Powers'!A46),"||||||||||||||",CONCATENATE("[[",IF(ISBLANK('Spells or Powers'!A46)," ",'Spells or Powers'!A46),"|/Meta/Spells/",SUBSTITUTE((SUBSTITUTE(SUBSTITUTE(SUBSTITUTE(SUBSTITUTE(SUBSTITUTE(SUBSTITUTE(SUBSTITUTE(SUBSTITUTE(SUBSTITUTE(SUBSTITUTE(SUBSTITUTE(SUBSTITUTE(SUBSTITUTE(SUBSTITUTE(SUBSTITUTE(SUBSTITUTE('Spells or Powers'!A46,"/",""),"-",""),".",""),",",""),CHAR(34),""),"'",""),"&amp;",""),"*",""),"#",""),"!",""),"?",""),"@",""),":",""),";",""),"(",""),")",""))," ",""),"]]","|",IF(ISBLANK('Spells or Powers'!B46)," ",'Spells or Powers'!B46),"|",IF(ISBLANK('Spells or Powers'!C46)," ",'Spells or Powers'!C46),"|",IF(ISBLANK('Spells or Powers'!D46)," ",'Spells or Powers'!D46),"|",IF(ISBLANK('Spells or Powers'!E46)," ",'Spells or Powers'!E46),"|",IF(ISBLANK('Spells or Powers'!F46)," ",'Spells or Powers'!F46),"|",IF(ISBLANK('Spells or Powers'!G46)," ",'Spells or Powers'!G46),"|",IF(ISBLANK('Spells or Powers'!H46)," ",'Spells or Powers'!H46),"|",IF(ISBLANK('Spells or Powers'!I46)," ",'Spells or Powers'!I46),"|",IF(ISBLANK('Spells or Powers'!J46)," ",'Spells or Powers'!J46),"|",IF(ISBLANK('Spells or Powers'!K46)," ",'Spells or Powers'!K46),"|",IF(ISBLANK('Spells or Powers'!L46)," ",'Spells or Powers'!L46),"|",IF(ISBLANK('Spells or Powers'!M46)," ",'Spells or Powers'!M46),"|",IF(ISBLANK('Spells or Powers'!N46)," ",'Spells or Powers'!N46),"|",IF(ISBLANK('Spells or Powers'!O46)," ",'Spells or Powers'!O46)))</f>
        <v>||||||||||||||</v>
      </c>
    </row>
    <row r="184" spans="1:1" x14ac:dyDescent="0.2">
      <c r="A184" s="440" t="str">
        <f>IF(ISBLANK('Spells or Powers'!A47),"||||||||||||||",CONCATENATE("[[",IF(ISBLANK('Spells or Powers'!A47)," ",'Spells or Powers'!A47),"|/Meta/Spells/",SUBSTITUTE((SUBSTITUTE(SUBSTITUTE(SUBSTITUTE(SUBSTITUTE(SUBSTITUTE(SUBSTITUTE(SUBSTITUTE(SUBSTITUTE(SUBSTITUTE(SUBSTITUTE(SUBSTITUTE(SUBSTITUTE(SUBSTITUTE(SUBSTITUTE(SUBSTITUTE(SUBSTITUTE('Spells or Powers'!A47,"/",""),"-",""),".",""),",",""),CHAR(34),""),"'",""),"&amp;",""),"*",""),"#",""),"!",""),"?",""),"@",""),":",""),";",""),"(",""),")",""))," ",""),"]]","|",IF(ISBLANK('Spells or Powers'!B47)," ",'Spells or Powers'!B47),"|",IF(ISBLANK('Spells or Powers'!C47)," ",'Spells or Powers'!C47),"|",IF(ISBLANK('Spells or Powers'!D47)," ",'Spells or Powers'!D47),"|",IF(ISBLANK('Spells or Powers'!E47)," ",'Spells or Powers'!E47),"|",IF(ISBLANK('Spells or Powers'!F47)," ",'Spells or Powers'!F47),"|",IF(ISBLANK('Spells or Powers'!G47)," ",'Spells or Powers'!G47),"|",IF(ISBLANK('Spells or Powers'!H47)," ",'Spells or Powers'!H47),"|",IF(ISBLANK('Spells or Powers'!I47)," ",'Spells or Powers'!I47),"|",IF(ISBLANK('Spells or Powers'!J47)," ",'Spells or Powers'!J47),"|",IF(ISBLANK('Spells or Powers'!K47)," ",'Spells or Powers'!K47),"|",IF(ISBLANK('Spells or Powers'!L47)," ",'Spells or Powers'!L47),"|",IF(ISBLANK('Spells or Powers'!M47)," ",'Spells or Powers'!M47),"|",IF(ISBLANK('Spells or Powers'!N47)," ",'Spells or Powers'!N47),"|",IF(ISBLANK('Spells or Powers'!O47)," ",'Spells or Powers'!O47)))</f>
        <v>||||||||||||||</v>
      </c>
    </row>
    <row r="185" spans="1:1" x14ac:dyDescent="0.2">
      <c r="A185" s="440" t="str">
        <f>IF(ISBLANK('Spells or Powers'!A48),"||||||||||||||",CONCATENATE("[[",IF(ISBLANK('Spells or Powers'!A48)," ",'Spells or Powers'!A48),"|/Meta/Spells/",SUBSTITUTE((SUBSTITUTE(SUBSTITUTE(SUBSTITUTE(SUBSTITUTE(SUBSTITUTE(SUBSTITUTE(SUBSTITUTE(SUBSTITUTE(SUBSTITUTE(SUBSTITUTE(SUBSTITUTE(SUBSTITUTE(SUBSTITUTE(SUBSTITUTE(SUBSTITUTE(SUBSTITUTE('Spells or Powers'!A48,"/",""),"-",""),".",""),",",""),CHAR(34),""),"'",""),"&amp;",""),"*",""),"#",""),"!",""),"?",""),"@",""),":",""),";",""),"(",""),")",""))," ",""),"]]","|",IF(ISBLANK('Spells or Powers'!B48)," ",'Spells or Powers'!B48),"|",IF(ISBLANK('Spells or Powers'!C48)," ",'Spells or Powers'!C48),"|",IF(ISBLANK('Spells or Powers'!D48)," ",'Spells or Powers'!D48),"|",IF(ISBLANK('Spells or Powers'!E48)," ",'Spells or Powers'!E48),"|",IF(ISBLANK('Spells or Powers'!F48)," ",'Spells or Powers'!F48),"|",IF(ISBLANK('Spells or Powers'!G48)," ",'Spells or Powers'!G48),"|",IF(ISBLANK('Spells or Powers'!H48)," ",'Spells or Powers'!H48),"|",IF(ISBLANK('Spells or Powers'!I48)," ",'Spells or Powers'!I48),"|",IF(ISBLANK('Spells or Powers'!J48)," ",'Spells or Powers'!J48),"|",IF(ISBLANK('Spells or Powers'!K48)," ",'Spells or Powers'!K48),"|",IF(ISBLANK('Spells or Powers'!L48)," ",'Spells or Powers'!L48),"|",IF(ISBLANK('Spells or Powers'!M48)," ",'Spells or Powers'!M48),"|",IF(ISBLANK('Spells or Powers'!N48)," ",'Spells or Powers'!N48),"|",IF(ISBLANK('Spells or Powers'!O48)," ",'Spells or Powers'!O48)))</f>
        <v>||||||||||||||</v>
      </c>
    </row>
    <row r="186" spans="1:1" x14ac:dyDescent="0.2">
      <c r="A186" s="440" t="str">
        <f>IF(ISBLANK('Spells or Powers'!A49),"||||||||||||||",CONCATENATE("[[",IF(ISBLANK('Spells or Powers'!A49)," ",'Spells or Powers'!A49),"|/Meta/Spells/",SUBSTITUTE((SUBSTITUTE(SUBSTITUTE(SUBSTITUTE(SUBSTITUTE(SUBSTITUTE(SUBSTITUTE(SUBSTITUTE(SUBSTITUTE(SUBSTITUTE(SUBSTITUTE(SUBSTITUTE(SUBSTITUTE(SUBSTITUTE(SUBSTITUTE(SUBSTITUTE(SUBSTITUTE('Spells or Powers'!A49,"/",""),"-",""),".",""),",",""),CHAR(34),""),"'",""),"&amp;",""),"*",""),"#",""),"!",""),"?",""),"@",""),":",""),";",""),"(",""),")",""))," ",""),"]]","|",IF(ISBLANK('Spells or Powers'!B49)," ",'Spells or Powers'!B49),"|",IF(ISBLANK('Spells or Powers'!C49)," ",'Spells or Powers'!C49),"|",IF(ISBLANK('Spells or Powers'!D49)," ",'Spells or Powers'!D49),"|",IF(ISBLANK('Spells or Powers'!E49)," ",'Spells or Powers'!E49),"|",IF(ISBLANK('Spells or Powers'!F49)," ",'Spells or Powers'!F49),"|",IF(ISBLANK('Spells or Powers'!G49)," ",'Spells or Powers'!G49),"|",IF(ISBLANK('Spells or Powers'!H49)," ",'Spells or Powers'!H49),"|",IF(ISBLANK('Spells or Powers'!I49)," ",'Spells or Powers'!I49),"|",IF(ISBLANK('Spells or Powers'!J49)," ",'Spells or Powers'!J49),"|",IF(ISBLANK('Spells or Powers'!K49)," ",'Spells or Powers'!K49),"|",IF(ISBLANK('Spells or Powers'!L49)," ",'Spells or Powers'!L49),"|",IF(ISBLANK('Spells or Powers'!M49)," ",'Spells or Powers'!M49),"|",IF(ISBLANK('Spells or Powers'!N49)," ",'Spells or Powers'!N49),"|",IF(ISBLANK('Spells or Powers'!O49)," ",'Spells or Powers'!O49)))</f>
        <v>||||||||||||||</v>
      </c>
    </row>
    <row r="187" spans="1:1" x14ac:dyDescent="0.2">
      <c r="A187" s="440" t="str">
        <f>IF(ISBLANK('Spells or Powers'!A50),"||||||||||||||",CONCATENATE("[[",IF(ISBLANK('Spells or Powers'!A50)," ",'Spells or Powers'!A50),"|/Meta/Spells/",SUBSTITUTE((SUBSTITUTE(SUBSTITUTE(SUBSTITUTE(SUBSTITUTE(SUBSTITUTE(SUBSTITUTE(SUBSTITUTE(SUBSTITUTE(SUBSTITUTE(SUBSTITUTE(SUBSTITUTE(SUBSTITUTE(SUBSTITUTE(SUBSTITUTE(SUBSTITUTE(SUBSTITUTE('Spells or Powers'!A50,"/",""),"-",""),".",""),",",""),CHAR(34),""),"'",""),"&amp;",""),"*",""),"#",""),"!",""),"?",""),"@",""),":",""),";",""),"(",""),")",""))," ",""),"]]","|",IF(ISBLANK('Spells or Powers'!B50)," ",'Spells or Powers'!B50),"|",IF(ISBLANK('Spells or Powers'!C50)," ",'Spells or Powers'!C50),"|",IF(ISBLANK('Spells or Powers'!D50)," ",'Spells or Powers'!D50),"|",IF(ISBLANK('Spells or Powers'!E50)," ",'Spells or Powers'!E50),"|",IF(ISBLANK('Spells or Powers'!F50)," ",'Spells or Powers'!F50),"|",IF(ISBLANK('Spells or Powers'!G50)," ",'Spells or Powers'!G50),"|",IF(ISBLANK('Spells or Powers'!H50)," ",'Spells or Powers'!H50),"|",IF(ISBLANK('Spells or Powers'!I50)," ",'Spells or Powers'!I50),"|",IF(ISBLANK('Spells or Powers'!J50)," ",'Spells or Powers'!J50),"|",IF(ISBLANK('Spells or Powers'!K50)," ",'Spells or Powers'!K50),"|",IF(ISBLANK('Spells or Powers'!L50)," ",'Spells or Powers'!L50),"|",IF(ISBLANK('Spells or Powers'!M50)," ",'Spells or Powers'!M50),"|",IF(ISBLANK('Spells or Powers'!N50)," ",'Spells or Powers'!N50),"|",IF(ISBLANK('Spells or Powers'!O50)," ",'Spells or Powers'!O50)))</f>
        <v>||||||||||||||</v>
      </c>
    </row>
    <row r="188" spans="1:1" x14ac:dyDescent="0.2">
      <c r="A188" s="440" t="str">
        <f>IF(ISBLANK('Spells or Powers'!A51),"||||||||||||||",CONCATENATE("[[",IF(ISBLANK('Spells or Powers'!A51)," ",'Spells or Powers'!A51),"|/Meta/Spells/",SUBSTITUTE((SUBSTITUTE(SUBSTITUTE(SUBSTITUTE(SUBSTITUTE(SUBSTITUTE(SUBSTITUTE(SUBSTITUTE(SUBSTITUTE(SUBSTITUTE(SUBSTITUTE(SUBSTITUTE(SUBSTITUTE(SUBSTITUTE(SUBSTITUTE(SUBSTITUTE(SUBSTITUTE('Spells or Powers'!A51,"/",""),"-",""),".",""),",",""),CHAR(34),""),"'",""),"&amp;",""),"*",""),"#",""),"!",""),"?",""),"@",""),":",""),";",""),"(",""),")",""))," ",""),"]]","|",IF(ISBLANK('Spells or Powers'!B51)," ",'Spells or Powers'!B51),"|",IF(ISBLANK('Spells or Powers'!C51)," ",'Spells or Powers'!C51),"|",IF(ISBLANK('Spells or Powers'!D51)," ",'Spells or Powers'!D51),"|",IF(ISBLANK('Spells or Powers'!E51)," ",'Spells or Powers'!E51),"|",IF(ISBLANK('Spells or Powers'!F51)," ",'Spells or Powers'!F51),"|",IF(ISBLANK('Spells or Powers'!G51)," ",'Spells or Powers'!G51),"|",IF(ISBLANK('Spells or Powers'!H51)," ",'Spells or Powers'!H51),"|",IF(ISBLANK('Spells or Powers'!I51)," ",'Spells or Powers'!I51),"|",IF(ISBLANK('Spells or Powers'!J51)," ",'Spells or Powers'!J51),"|",IF(ISBLANK('Spells or Powers'!K51)," ",'Spells or Powers'!K51),"|",IF(ISBLANK('Spells or Powers'!L51)," ",'Spells or Powers'!L51),"|",IF(ISBLANK('Spells or Powers'!M51)," ",'Spells or Powers'!M51),"|",IF(ISBLANK('Spells or Powers'!N51)," ",'Spells or Powers'!N51),"|",IF(ISBLANK('Spells or Powers'!O51)," ",'Spells or Powers'!O51)))</f>
        <v>||||||||||||||</v>
      </c>
    </row>
    <row r="189" spans="1:1" x14ac:dyDescent="0.2">
      <c r="A189" s="440" t="str">
        <f>IF(ISBLANK('Spells or Powers'!A52),"||||||||||||||",CONCATENATE("[[",IF(ISBLANK('Spells or Powers'!A52)," ",'Spells or Powers'!A52),"|/Meta/Spells/",SUBSTITUTE((SUBSTITUTE(SUBSTITUTE(SUBSTITUTE(SUBSTITUTE(SUBSTITUTE(SUBSTITUTE(SUBSTITUTE(SUBSTITUTE(SUBSTITUTE(SUBSTITUTE(SUBSTITUTE(SUBSTITUTE(SUBSTITUTE(SUBSTITUTE(SUBSTITUTE(SUBSTITUTE('Spells or Powers'!A52,"/",""),"-",""),".",""),",",""),CHAR(34),""),"'",""),"&amp;",""),"*",""),"#",""),"!",""),"?",""),"@",""),":",""),";",""),"(",""),")",""))," ",""),"]]","|",IF(ISBLANK('Spells or Powers'!B52)," ",'Spells or Powers'!B52),"|",IF(ISBLANK('Spells or Powers'!C52)," ",'Spells or Powers'!C52),"|",IF(ISBLANK('Spells or Powers'!D52)," ",'Spells or Powers'!D52),"|",IF(ISBLANK('Spells or Powers'!E52)," ",'Spells or Powers'!E52),"|",IF(ISBLANK('Spells or Powers'!F52)," ",'Spells or Powers'!F52),"|",IF(ISBLANK('Spells or Powers'!G52)," ",'Spells or Powers'!G52),"|",IF(ISBLANK('Spells or Powers'!H52)," ",'Spells or Powers'!H52),"|",IF(ISBLANK('Spells or Powers'!I52)," ",'Spells or Powers'!I52),"|",IF(ISBLANK('Spells or Powers'!J52)," ",'Spells or Powers'!J52),"|",IF(ISBLANK('Spells or Powers'!K52)," ",'Spells or Powers'!K52),"|",IF(ISBLANK('Spells or Powers'!L52)," ",'Spells or Powers'!L52),"|",IF(ISBLANK('Spells or Powers'!M52)," ",'Spells or Powers'!M52),"|",IF(ISBLANK('Spells or Powers'!N52)," ",'Spells or Powers'!N52),"|",IF(ISBLANK('Spells or Powers'!O52)," ",'Spells or Powers'!O52)))</f>
        <v>||||||||||||||</v>
      </c>
    </row>
    <row r="190" spans="1:1" x14ac:dyDescent="0.2">
      <c r="A190" s="440" t="str">
        <f>IF(ISBLANK('Spells or Powers'!A53),"||||||||||||||",CONCATENATE("[[",IF(ISBLANK('Spells or Powers'!A53)," ",'Spells or Powers'!A53),"|/Meta/Spells/",SUBSTITUTE((SUBSTITUTE(SUBSTITUTE(SUBSTITUTE(SUBSTITUTE(SUBSTITUTE(SUBSTITUTE(SUBSTITUTE(SUBSTITUTE(SUBSTITUTE(SUBSTITUTE(SUBSTITUTE(SUBSTITUTE(SUBSTITUTE(SUBSTITUTE(SUBSTITUTE(SUBSTITUTE('Spells or Powers'!A53,"/",""),"-",""),".",""),",",""),CHAR(34),""),"'",""),"&amp;",""),"*",""),"#",""),"!",""),"?",""),"@",""),":",""),";",""),"(",""),")",""))," ",""),"]]","|",IF(ISBLANK('Spells or Powers'!B53)," ",'Spells or Powers'!B53),"|",IF(ISBLANK('Spells or Powers'!C53)," ",'Spells or Powers'!C53),"|",IF(ISBLANK('Spells or Powers'!D53)," ",'Spells or Powers'!D53),"|",IF(ISBLANK('Spells or Powers'!E53)," ",'Spells or Powers'!E53),"|",IF(ISBLANK('Spells or Powers'!F53)," ",'Spells or Powers'!F53),"|",IF(ISBLANK('Spells or Powers'!G53)," ",'Spells or Powers'!G53),"|",IF(ISBLANK('Spells or Powers'!H53)," ",'Spells or Powers'!H53),"|",IF(ISBLANK('Spells or Powers'!I53)," ",'Spells or Powers'!I53),"|",IF(ISBLANK('Spells or Powers'!J53)," ",'Spells or Powers'!J53),"|",IF(ISBLANK('Spells or Powers'!K53)," ",'Spells or Powers'!K53),"|",IF(ISBLANK('Spells or Powers'!L53)," ",'Spells or Powers'!L53),"|",IF(ISBLANK('Spells or Powers'!M53)," ",'Spells or Powers'!M53),"|",IF(ISBLANK('Spells or Powers'!N53)," ",'Spells or Powers'!N53),"|",IF(ISBLANK('Spells or Powers'!O53)," ",'Spells or Powers'!O53)))</f>
        <v>||||||||||||||</v>
      </c>
    </row>
    <row r="191" spans="1:1" x14ac:dyDescent="0.2">
      <c r="A191" s="440" t="str">
        <f>IF(ISBLANK('Spells or Powers'!A54),"||||||||||||||",CONCATENATE("[[",IF(ISBLANK('Spells or Powers'!A54)," ",'Spells or Powers'!A54),"|/Meta/Spells/",SUBSTITUTE((SUBSTITUTE(SUBSTITUTE(SUBSTITUTE(SUBSTITUTE(SUBSTITUTE(SUBSTITUTE(SUBSTITUTE(SUBSTITUTE(SUBSTITUTE(SUBSTITUTE(SUBSTITUTE(SUBSTITUTE(SUBSTITUTE(SUBSTITUTE(SUBSTITUTE(SUBSTITUTE('Spells or Powers'!A54,"/",""),"-",""),".",""),",",""),CHAR(34),""),"'",""),"&amp;",""),"*",""),"#",""),"!",""),"?",""),"@",""),":",""),";",""),"(",""),")",""))," ",""),"]]","|",IF(ISBLANK('Spells or Powers'!B54)," ",'Spells or Powers'!B54),"|",IF(ISBLANK('Spells or Powers'!C54)," ",'Spells or Powers'!C54),"|",IF(ISBLANK('Spells or Powers'!D54)," ",'Spells or Powers'!D54),"|",IF(ISBLANK('Spells or Powers'!E54)," ",'Spells or Powers'!E54),"|",IF(ISBLANK('Spells or Powers'!F54)," ",'Spells or Powers'!F54),"|",IF(ISBLANK('Spells or Powers'!G54)," ",'Spells or Powers'!G54),"|",IF(ISBLANK('Spells or Powers'!H54)," ",'Spells or Powers'!H54),"|",IF(ISBLANK('Spells or Powers'!I54)," ",'Spells or Powers'!I54),"|",IF(ISBLANK('Spells or Powers'!J54)," ",'Spells or Powers'!J54),"|",IF(ISBLANK('Spells or Powers'!K54)," ",'Spells or Powers'!K54),"|",IF(ISBLANK('Spells or Powers'!L54)," ",'Spells or Powers'!L54),"|",IF(ISBLANK('Spells or Powers'!M54)," ",'Spells or Powers'!M54),"|",IF(ISBLANK('Spells or Powers'!N54)," ",'Spells or Powers'!N54),"|",IF(ISBLANK('Spells or Powers'!O54)," ",'Spells or Powers'!O54)))</f>
        <v>||||||||||||||</v>
      </c>
    </row>
    <row r="192" spans="1:1" x14ac:dyDescent="0.2">
      <c r="A192" s="440" t="str">
        <f>IF(ISBLANK('Spells or Powers'!A55),"||||||||||||||",CONCATENATE("[[",IF(ISBLANK('Spells or Powers'!A55)," ",'Spells or Powers'!A55),"|/Meta/Spells/",SUBSTITUTE((SUBSTITUTE(SUBSTITUTE(SUBSTITUTE(SUBSTITUTE(SUBSTITUTE(SUBSTITUTE(SUBSTITUTE(SUBSTITUTE(SUBSTITUTE(SUBSTITUTE(SUBSTITUTE(SUBSTITUTE(SUBSTITUTE(SUBSTITUTE(SUBSTITUTE(SUBSTITUTE('Spells or Powers'!A55,"/",""),"-",""),".",""),",",""),CHAR(34),""),"'",""),"&amp;",""),"*",""),"#",""),"!",""),"?",""),"@",""),":",""),";",""),"(",""),")",""))," ",""),"]]","|",IF(ISBLANK('Spells or Powers'!B55)," ",'Spells or Powers'!B55),"|",IF(ISBLANK('Spells or Powers'!C55)," ",'Spells or Powers'!C55),"|",IF(ISBLANK('Spells or Powers'!D55)," ",'Spells or Powers'!D55),"|",IF(ISBLANK('Spells or Powers'!E55)," ",'Spells or Powers'!E55),"|",IF(ISBLANK('Spells or Powers'!F55)," ",'Spells or Powers'!F55),"|",IF(ISBLANK('Spells or Powers'!G55)," ",'Spells or Powers'!G55),"|",IF(ISBLANK('Spells or Powers'!H55)," ",'Spells or Powers'!H55),"|",IF(ISBLANK('Spells or Powers'!I55)," ",'Spells or Powers'!I55),"|",IF(ISBLANK('Spells or Powers'!J55)," ",'Spells or Powers'!J55),"|",IF(ISBLANK('Spells or Powers'!K55)," ",'Spells or Powers'!K55),"|",IF(ISBLANK('Spells or Powers'!L55)," ",'Spells or Powers'!L55),"|",IF(ISBLANK('Spells or Powers'!M55)," ",'Spells or Powers'!M55),"|",IF(ISBLANK('Spells or Powers'!N55)," ",'Spells or Powers'!N55),"|",IF(ISBLANK('Spells or Powers'!O55)," ",'Spells or Powers'!O55)))</f>
        <v>||||||||||||||</v>
      </c>
    </row>
    <row r="193" spans="1:1" x14ac:dyDescent="0.2">
      <c r="A193" s="440" t="str">
        <f>IF(ISBLANK('Spells or Powers'!A56),"||||||||||||||",CONCATENATE("[[",IF(ISBLANK('Spells or Powers'!A56)," ",'Spells or Powers'!A56),"|/Meta/Spells/",SUBSTITUTE((SUBSTITUTE(SUBSTITUTE(SUBSTITUTE(SUBSTITUTE(SUBSTITUTE(SUBSTITUTE(SUBSTITUTE(SUBSTITUTE(SUBSTITUTE(SUBSTITUTE(SUBSTITUTE(SUBSTITUTE(SUBSTITUTE(SUBSTITUTE(SUBSTITUTE(SUBSTITUTE('Spells or Powers'!A56,"/",""),"-",""),".",""),",",""),CHAR(34),""),"'",""),"&amp;",""),"*",""),"#",""),"!",""),"?",""),"@",""),":",""),";",""),"(",""),")",""))," ",""),"]]","|",IF(ISBLANK('Spells or Powers'!B56)," ",'Spells or Powers'!B56),"|",IF(ISBLANK('Spells or Powers'!C56)," ",'Spells or Powers'!C56),"|",IF(ISBLANK('Spells or Powers'!D56)," ",'Spells or Powers'!D56),"|",IF(ISBLANK('Spells or Powers'!E56)," ",'Spells or Powers'!E56),"|",IF(ISBLANK('Spells or Powers'!F56)," ",'Spells or Powers'!F56),"|",IF(ISBLANK('Spells or Powers'!G56)," ",'Spells or Powers'!G56),"|",IF(ISBLANK('Spells or Powers'!H56)," ",'Spells or Powers'!H56),"|",IF(ISBLANK('Spells or Powers'!I56)," ",'Spells or Powers'!I56),"|",IF(ISBLANK('Spells or Powers'!J56)," ",'Spells or Powers'!J56),"|",IF(ISBLANK('Spells or Powers'!K56)," ",'Spells or Powers'!K56),"|",IF(ISBLANK('Spells or Powers'!L56)," ",'Spells or Powers'!L56),"|",IF(ISBLANK('Spells or Powers'!M56)," ",'Spells or Powers'!M56),"|",IF(ISBLANK('Spells or Powers'!N56)," ",'Spells or Powers'!N56),"|",IF(ISBLANK('Spells or Powers'!O56)," ",'Spells or Powers'!O56)))</f>
        <v>||||||||||||||</v>
      </c>
    </row>
    <row r="194" spans="1:1" x14ac:dyDescent="0.2">
      <c r="A194" s="440" t="str">
        <f>IF(ISBLANK('Spells or Powers'!A57),"||||||||||||||",CONCATENATE("[[",IF(ISBLANK('Spells or Powers'!A57)," ",'Spells or Powers'!A57),"|/Meta/Spells/",SUBSTITUTE((SUBSTITUTE(SUBSTITUTE(SUBSTITUTE(SUBSTITUTE(SUBSTITUTE(SUBSTITUTE(SUBSTITUTE(SUBSTITUTE(SUBSTITUTE(SUBSTITUTE(SUBSTITUTE(SUBSTITUTE(SUBSTITUTE(SUBSTITUTE(SUBSTITUTE(SUBSTITUTE('Spells or Powers'!A57,"/",""),"-",""),".",""),",",""),CHAR(34),""),"'",""),"&amp;",""),"*",""),"#",""),"!",""),"?",""),"@",""),":",""),";",""),"(",""),")",""))," ",""),"]]","|",IF(ISBLANK('Spells or Powers'!B57)," ",'Spells or Powers'!B57),"|",IF(ISBLANK('Spells or Powers'!C57)," ",'Spells or Powers'!C57),"|",IF(ISBLANK('Spells or Powers'!D57)," ",'Spells or Powers'!D57),"|",IF(ISBLANK('Spells or Powers'!E57)," ",'Spells or Powers'!E57),"|",IF(ISBLANK('Spells or Powers'!F57)," ",'Spells or Powers'!F57),"|",IF(ISBLANK('Spells or Powers'!G57)," ",'Spells or Powers'!G57),"|",IF(ISBLANK('Spells or Powers'!H57)," ",'Spells or Powers'!H57),"|",IF(ISBLANK('Spells or Powers'!I57)," ",'Spells or Powers'!I57),"|",IF(ISBLANK('Spells or Powers'!J57)," ",'Spells or Powers'!J57),"|",IF(ISBLANK('Spells or Powers'!K57)," ",'Spells or Powers'!K57),"|",IF(ISBLANK('Spells or Powers'!L57)," ",'Spells or Powers'!L57),"|",IF(ISBLANK('Spells or Powers'!M57)," ",'Spells or Powers'!M57),"|",IF(ISBLANK('Spells or Powers'!N57)," ",'Spells or Powers'!N57),"|",IF(ISBLANK('Spells or Powers'!O57)," ",'Spells or Powers'!O57)))</f>
        <v>||||||||||||||</v>
      </c>
    </row>
    <row r="195" spans="1:1" x14ac:dyDescent="0.2">
      <c r="A195" s="440" t="str">
        <f>IF(ISBLANK('Spells or Powers'!A58),"||||||||||||||",CONCATENATE("[[",IF(ISBLANK('Spells or Powers'!A58)," ",'Spells or Powers'!A58),"|/Meta/Spells/",SUBSTITUTE((SUBSTITUTE(SUBSTITUTE(SUBSTITUTE(SUBSTITUTE(SUBSTITUTE(SUBSTITUTE(SUBSTITUTE(SUBSTITUTE(SUBSTITUTE(SUBSTITUTE(SUBSTITUTE(SUBSTITUTE(SUBSTITUTE(SUBSTITUTE(SUBSTITUTE(SUBSTITUTE('Spells or Powers'!A58,"/",""),"-",""),".",""),",",""),CHAR(34),""),"'",""),"&amp;",""),"*",""),"#",""),"!",""),"?",""),"@",""),":",""),";",""),"(",""),")",""))," ",""),"]]","|",IF(ISBLANK('Spells or Powers'!B58)," ",'Spells or Powers'!B58),"|",IF(ISBLANK('Spells or Powers'!C58)," ",'Spells or Powers'!C58),"|",IF(ISBLANK('Spells or Powers'!D58)," ",'Spells or Powers'!D58),"|",IF(ISBLANK('Spells or Powers'!E58)," ",'Spells or Powers'!E58),"|",IF(ISBLANK('Spells or Powers'!F58)," ",'Spells or Powers'!F58),"|",IF(ISBLANK('Spells or Powers'!G58)," ",'Spells or Powers'!G58),"|",IF(ISBLANK('Spells or Powers'!H58)," ",'Spells or Powers'!H58),"|",IF(ISBLANK('Spells or Powers'!I58)," ",'Spells or Powers'!I58),"|",IF(ISBLANK('Spells or Powers'!J58)," ",'Spells or Powers'!J58),"|",IF(ISBLANK('Spells or Powers'!K58)," ",'Spells or Powers'!K58),"|",IF(ISBLANK('Spells or Powers'!L58)," ",'Spells or Powers'!L58),"|",IF(ISBLANK('Spells or Powers'!M58)," ",'Spells or Powers'!M58),"|",IF(ISBLANK('Spells or Powers'!N58)," ",'Spells or Powers'!N58),"|",IF(ISBLANK('Spells or Powers'!O58)," ",'Spells or Powers'!O58)))</f>
        <v>||||||||||||||</v>
      </c>
    </row>
    <row r="196" spans="1:1" x14ac:dyDescent="0.2">
      <c r="A196" s="440" t="str">
        <f>IF(ISBLANK('Spells or Powers'!A59),"||||||||||||||",CONCATENATE("[[",IF(ISBLANK('Spells or Powers'!A59)," ",'Spells or Powers'!A59),"|/Meta/Spells/",SUBSTITUTE((SUBSTITUTE(SUBSTITUTE(SUBSTITUTE(SUBSTITUTE(SUBSTITUTE(SUBSTITUTE(SUBSTITUTE(SUBSTITUTE(SUBSTITUTE(SUBSTITUTE(SUBSTITUTE(SUBSTITUTE(SUBSTITUTE(SUBSTITUTE(SUBSTITUTE(SUBSTITUTE('Spells or Powers'!A59,"/",""),"-",""),".",""),",",""),CHAR(34),""),"'",""),"&amp;",""),"*",""),"#",""),"!",""),"?",""),"@",""),":",""),";",""),"(",""),")",""))," ",""),"]]","|",IF(ISBLANK('Spells or Powers'!B59)," ",'Spells or Powers'!B59),"|",IF(ISBLANK('Spells or Powers'!C59)," ",'Spells or Powers'!C59),"|",IF(ISBLANK('Spells or Powers'!D59)," ",'Spells or Powers'!D59),"|",IF(ISBLANK('Spells or Powers'!E59)," ",'Spells or Powers'!E59),"|",IF(ISBLANK('Spells or Powers'!F59)," ",'Spells or Powers'!F59),"|",IF(ISBLANK('Spells or Powers'!G59)," ",'Spells or Powers'!G59),"|",IF(ISBLANK('Spells or Powers'!H59)," ",'Spells or Powers'!H59),"|",IF(ISBLANK('Spells or Powers'!I59)," ",'Spells or Powers'!I59),"|",IF(ISBLANK('Spells or Powers'!J59)," ",'Spells or Powers'!J59),"|",IF(ISBLANK('Spells or Powers'!K59)," ",'Spells or Powers'!K59),"|",IF(ISBLANK('Spells or Powers'!L59)," ",'Spells or Powers'!L59),"|",IF(ISBLANK('Spells or Powers'!M59)," ",'Spells or Powers'!M59),"|",IF(ISBLANK('Spells or Powers'!N59)," ",'Spells or Powers'!N59),"|",IF(ISBLANK('Spells or Powers'!O59)," ",'Spells or Powers'!O59)))</f>
        <v>||||||||||||||</v>
      </c>
    </row>
    <row r="197" spans="1:1" x14ac:dyDescent="0.2">
      <c r="A197" s="440" t="str">
        <f>IF(ISBLANK('Spells or Powers'!A60),"||||||||||||||",CONCATENATE("[[",IF(ISBLANK('Spells or Powers'!A60)," ",'Spells or Powers'!A60),"|/Meta/Spells/",SUBSTITUTE((SUBSTITUTE(SUBSTITUTE(SUBSTITUTE(SUBSTITUTE(SUBSTITUTE(SUBSTITUTE(SUBSTITUTE(SUBSTITUTE(SUBSTITUTE(SUBSTITUTE(SUBSTITUTE(SUBSTITUTE(SUBSTITUTE(SUBSTITUTE(SUBSTITUTE(SUBSTITUTE('Spells or Powers'!A60,"/",""),"-",""),".",""),",",""),CHAR(34),""),"'",""),"&amp;",""),"*",""),"#",""),"!",""),"?",""),"@",""),":",""),";",""),"(",""),")",""))," ",""),"]]","|",IF(ISBLANK('Spells or Powers'!B60)," ",'Spells or Powers'!B60),"|",IF(ISBLANK('Spells or Powers'!C60)," ",'Spells or Powers'!C60),"|",IF(ISBLANK('Spells or Powers'!D60)," ",'Spells or Powers'!D60),"|",IF(ISBLANK('Spells or Powers'!E60)," ",'Spells or Powers'!E60),"|",IF(ISBLANK('Spells or Powers'!F60)," ",'Spells or Powers'!F60),"|",IF(ISBLANK('Spells or Powers'!G60)," ",'Spells or Powers'!G60),"|",IF(ISBLANK('Spells or Powers'!H60)," ",'Spells or Powers'!H60),"|",IF(ISBLANK('Spells or Powers'!I60)," ",'Spells or Powers'!I60),"|",IF(ISBLANK('Spells or Powers'!J60)," ",'Spells or Powers'!J60),"|",IF(ISBLANK('Spells or Powers'!K60)," ",'Spells or Powers'!K60),"|",IF(ISBLANK('Spells or Powers'!L60)," ",'Spells or Powers'!L60),"|",IF(ISBLANK('Spells or Powers'!M60)," ",'Spells or Powers'!M60),"|",IF(ISBLANK('Spells or Powers'!N60)," ",'Spells or Powers'!N60),"|",IF(ISBLANK('Spells or Powers'!O60)," ",'Spells or Powers'!O60)))</f>
        <v>||||||||||||||</v>
      </c>
    </row>
    <row r="198" spans="1:1" x14ac:dyDescent="0.2">
      <c r="A198" s="440" t="str">
        <f>IF(ISBLANK('Spells or Powers'!A61),"||||||||||||||",CONCATENATE("[[",IF(ISBLANK('Spells or Powers'!A61)," ",'Spells or Powers'!A61),"|/Meta/Spells/",SUBSTITUTE((SUBSTITUTE(SUBSTITUTE(SUBSTITUTE(SUBSTITUTE(SUBSTITUTE(SUBSTITUTE(SUBSTITUTE(SUBSTITUTE(SUBSTITUTE(SUBSTITUTE(SUBSTITUTE(SUBSTITUTE(SUBSTITUTE(SUBSTITUTE(SUBSTITUTE(SUBSTITUTE('Spells or Powers'!A61,"/",""),"-",""),".",""),",",""),CHAR(34),""),"'",""),"&amp;",""),"*",""),"#",""),"!",""),"?",""),"@",""),":",""),";",""),"(",""),")",""))," ",""),"]]","|",IF(ISBLANK('Spells or Powers'!B61)," ",'Spells or Powers'!B61),"|",IF(ISBLANK('Spells or Powers'!C61)," ",'Spells or Powers'!C61),"|",IF(ISBLANK('Spells or Powers'!D61)," ",'Spells or Powers'!D61),"|",IF(ISBLANK('Spells or Powers'!E61)," ",'Spells or Powers'!E61),"|",IF(ISBLANK('Spells or Powers'!F61)," ",'Spells or Powers'!F61),"|",IF(ISBLANK('Spells or Powers'!G61)," ",'Spells or Powers'!G61),"|",IF(ISBLANK('Spells or Powers'!H61)," ",'Spells or Powers'!H61),"|",IF(ISBLANK('Spells or Powers'!I61)," ",'Spells or Powers'!I61),"|",IF(ISBLANK('Spells or Powers'!J61)," ",'Spells or Powers'!J61),"|",IF(ISBLANK('Spells or Powers'!K61)," ",'Spells or Powers'!K61),"|",IF(ISBLANK('Spells or Powers'!L61)," ",'Spells or Powers'!L61),"|",IF(ISBLANK('Spells or Powers'!M61)," ",'Spells or Powers'!M61),"|",IF(ISBLANK('Spells or Powers'!N61)," ",'Spells or Powers'!N61),"|",IF(ISBLANK('Spells or Powers'!O61)," ",'Spells or Powers'!O61)))</f>
        <v>||||||||||||||</v>
      </c>
    </row>
    <row r="199" spans="1:1" x14ac:dyDescent="0.2">
      <c r="A199" s="440" t="str">
        <f>IF(ISBLANK('Spells or Powers'!A62),"||||||||||||||",CONCATENATE("[[",IF(ISBLANK('Spells or Powers'!A62)," ",'Spells or Powers'!A62),"|/Meta/Spells/",SUBSTITUTE((SUBSTITUTE(SUBSTITUTE(SUBSTITUTE(SUBSTITUTE(SUBSTITUTE(SUBSTITUTE(SUBSTITUTE(SUBSTITUTE(SUBSTITUTE(SUBSTITUTE(SUBSTITUTE(SUBSTITUTE(SUBSTITUTE(SUBSTITUTE(SUBSTITUTE(SUBSTITUTE('Spells or Powers'!A62,"/",""),"-",""),".",""),",",""),CHAR(34),""),"'",""),"&amp;",""),"*",""),"#",""),"!",""),"?",""),"@",""),":",""),";",""),"(",""),")",""))," ",""),"]]","|",IF(ISBLANK('Spells or Powers'!B62)," ",'Spells or Powers'!B62),"|",IF(ISBLANK('Spells or Powers'!C62)," ",'Spells or Powers'!C62),"|",IF(ISBLANK('Spells or Powers'!D62)," ",'Spells or Powers'!D62),"|",IF(ISBLANK('Spells or Powers'!E62)," ",'Spells or Powers'!E62),"|",IF(ISBLANK('Spells or Powers'!F62)," ",'Spells or Powers'!F62),"|",IF(ISBLANK('Spells or Powers'!G62)," ",'Spells or Powers'!G62),"|",IF(ISBLANK('Spells or Powers'!H62)," ",'Spells or Powers'!H62),"|",IF(ISBLANK('Spells or Powers'!I62)," ",'Spells or Powers'!I62),"|",IF(ISBLANK('Spells or Powers'!J62)," ",'Spells or Powers'!J62),"|",IF(ISBLANK('Spells or Powers'!K62)," ",'Spells or Powers'!K62),"|",IF(ISBLANK('Spells or Powers'!L62)," ",'Spells or Powers'!L62),"|",IF(ISBLANK('Spells or Powers'!M62)," ",'Spells or Powers'!M62),"|",IF(ISBLANK('Spells or Powers'!N62)," ",'Spells or Powers'!N62),"|",IF(ISBLANK('Spells or Powers'!O62)," ",'Spells or Powers'!O62)))</f>
        <v>||||||||||||||</v>
      </c>
    </row>
    <row r="200" spans="1:1" x14ac:dyDescent="0.2">
      <c r="A200" s="440" t="str">
        <f>IF(ISBLANK('Spells or Powers'!A63),"||||||||||||||",CONCATENATE("[[",IF(ISBLANK('Spells or Powers'!A63)," ",'Spells or Powers'!A63),"|/Meta/Spells/",SUBSTITUTE((SUBSTITUTE(SUBSTITUTE(SUBSTITUTE(SUBSTITUTE(SUBSTITUTE(SUBSTITUTE(SUBSTITUTE(SUBSTITUTE(SUBSTITUTE(SUBSTITUTE(SUBSTITUTE(SUBSTITUTE(SUBSTITUTE(SUBSTITUTE(SUBSTITUTE(SUBSTITUTE('Spells or Powers'!A63,"/",""),"-",""),".",""),",",""),CHAR(34),""),"'",""),"&amp;",""),"*",""),"#",""),"!",""),"?",""),"@",""),":",""),";",""),"(",""),")",""))," ",""),"]]","|",IF(ISBLANK('Spells or Powers'!B63)," ",'Spells or Powers'!B63),"|",IF(ISBLANK('Spells or Powers'!C63)," ",'Spells or Powers'!C63),"|",IF(ISBLANK('Spells or Powers'!D63)," ",'Spells or Powers'!D63),"|",IF(ISBLANK('Spells or Powers'!E63)," ",'Spells or Powers'!E63),"|",IF(ISBLANK('Spells or Powers'!F63)," ",'Spells or Powers'!F63),"|",IF(ISBLANK('Spells or Powers'!G63)," ",'Spells or Powers'!G63),"|",IF(ISBLANK('Spells or Powers'!H63)," ",'Spells or Powers'!H63),"|",IF(ISBLANK('Spells or Powers'!I63)," ",'Spells or Powers'!I63),"|",IF(ISBLANK('Spells or Powers'!J63)," ",'Spells or Powers'!J63),"|",IF(ISBLANK('Spells or Powers'!K63)," ",'Spells or Powers'!K63),"|",IF(ISBLANK('Spells or Powers'!L63)," ",'Spells or Powers'!L63),"|",IF(ISBLANK('Spells or Powers'!M63)," ",'Spells or Powers'!M63),"|",IF(ISBLANK('Spells or Powers'!N63)," ",'Spells or Powers'!N63),"|",IF(ISBLANK('Spells or Powers'!O63)," ",'Spells or Powers'!O63)))</f>
        <v>||||||||||||||</v>
      </c>
    </row>
    <row r="201" spans="1:1" x14ac:dyDescent="0.2">
      <c r="A201" s="440" t="str">
        <f>IF(ISBLANK('Spells or Powers'!A64),"||||||||||||||",CONCATENATE("[[",IF(ISBLANK('Spells or Powers'!A64)," ",'Spells or Powers'!A64),"|/Meta/Spells/",SUBSTITUTE((SUBSTITUTE(SUBSTITUTE(SUBSTITUTE(SUBSTITUTE(SUBSTITUTE(SUBSTITUTE(SUBSTITUTE(SUBSTITUTE(SUBSTITUTE(SUBSTITUTE(SUBSTITUTE(SUBSTITUTE(SUBSTITUTE(SUBSTITUTE(SUBSTITUTE(SUBSTITUTE('Spells or Powers'!A64,"/",""),"-",""),".",""),",",""),CHAR(34),""),"'",""),"&amp;",""),"*",""),"#",""),"!",""),"?",""),"@",""),":",""),";",""),"(",""),")",""))," ",""),"]]","|",IF(ISBLANK('Spells or Powers'!B64)," ",'Spells or Powers'!B64),"|",IF(ISBLANK('Spells or Powers'!C64)," ",'Spells or Powers'!C64),"|",IF(ISBLANK('Spells or Powers'!D64)," ",'Spells or Powers'!D64),"|",IF(ISBLANK('Spells or Powers'!E64)," ",'Spells or Powers'!E64),"|",IF(ISBLANK('Spells or Powers'!F64)," ",'Spells or Powers'!F64),"|",IF(ISBLANK('Spells or Powers'!G64)," ",'Spells or Powers'!G64),"|",IF(ISBLANK('Spells or Powers'!H64)," ",'Spells or Powers'!H64),"|",IF(ISBLANK('Spells or Powers'!I64)," ",'Spells or Powers'!I64),"|",IF(ISBLANK('Spells or Powers'!J64)," ",'Spells or Powers'!J64),"|",IF(ISBLANK('Spells or Powers'!K64)," ",'Spells or Powers'!K64),"|",IF(ISBLANK('Spells or Powers'!L64)," ",'Spells or Powers'!L64),"|",IF(ISBLANK('Spells or Powers'!M64)," ",'Spells or Powers'!M64),"|",IF(ISBLANK('Spells or Powers'!N64)," ",'Spells or Powers'!N64),"|",IF(ISBLANK('Spells or Powers'!O64)," ",'Spells or Powers'!O64)))</f>
        <v>||||||||||||||</v>
      </c>
    </row>
    <row r="202" spans="1:1" x14ac:dyDescent="0.2">
      <c r="A202" s="440" t="str">
        <f>IF(ISBLANK('Spells or Powers'!A65),"||||||||||||||",CONCATENATE("[[",IF(ISBLANK('Spells or Powers'!A65)," ",'Spells or Powers'!A65),"|/Meta/Spells/",SUBSTITUTE((SUBSTITUTE(SUBSTITUTE(SUBSTITUTE(SUBSTITUTE(SUBSTITUTE(SUBSTITUTE(SUBSTITUTE(SUBSTITUTE(SUBSTITUTE(SUBSTITUTE(SUBSTITUTE(SUBSTITUTE(SUBSTITUTE(SUBSTITUTE(SUBSTITUTE(SUBSTITUTE('Spells or Powers'!A65,"/",""),"-",""),".",""),",",""),CHAR(34),""),"'",""),"&amp;",""),"*",""),"#",""),"!",""),"?",""),"@",""),":",""),";",""),"(",""),")",""))," ",""),"]]","|",IF(ISBLANK('Spells or Powers'!B65)," ",'Spells or Powers'!B65),"|",IF(ISBLANK('Spells or Powers'!C65)," ",'Spells or Powers'!C65),"|",IF(ISBLANK('Spells or Powers'!D65)," ",'Spells or Powers'!D65),"|",IF(ISBLANK('Spells or Powers'!E65)," ",'Spells or Powers'!E65),"|",IF(ISBLANK('Spells or Powers'!F65)," ",'Spells or Powers'!F65),"|",IF(ISBLANK('Spells or Powers'!G65)," ",'Spells or Powers'!G65),"|",IF(ISBLANK('Spells or Powers'!H65)," ",'Spells or Powers'!H65),"|",IF(ISBLANK('Spells or Powers'!I65)," ",'Spells or Powers'!I65),"|",IF(ISBLANK('Spells or Powers'!J65)," ",'Spells or Powers'!J65),"|",IF(ISBLANK('Spells or Powers'!K65)," ",'Spells or Powers'!K65),"|",IF(ISBLANK('Spells or Powers'!L65)," ",'Spells or Powers'!L65),"|",IF(ISBLANK('Spells or Powers'!M65)," ",'Spells or Powers'!M65),"|",IF(ISBLANK('Spells or Powers'!N65)," ",'Spells or Powers'!N65),"|",IF(ISBLANK('Spells or Powers'!O65)," ",'Spells or Powers'!O65)))</f>
        <v>||||||||||||||</v>
      </c>
    </row>
    <row r="203" spans="1:1" x14ac:dyDescent="0.2">
      <c r="A203" s="440" t="str">
        <f>IF(ISBLANK('Spells or Powers'!A66),"||||||||||||||",CONCATENATE("[[",IF(ISBLANK('Spells or Powers'!A66)," ",'Spells or Powers'!A66),"|/Meta/Spells/",SUBSTITUTE((SUBSTITUTE(SUBSTITUTE(SUBSTITUTE(SUBSTITUTE(SUBSTITUTE(SUBSTITUTE(SUBSTITUTE(SUBSTITUTE(SUBSTITUTE(SUBSTITUTE(SUBSTITUTE(SUBSTITUTE(SUBSTITUTE(SUBSTITUTE(SUBSTITUTE(SUBSTITUTE('Spells or Powers'!A66,"/",""),"-",""),".",""),",",""),CHAR(34),""),"'",""),"&amp;",""),"*",""),"#",""),"!",""),"?",""),"@",""),":",""),";",""),"(",""),")",""))," ",""),"]]","|",IF(ISBLANK('Spells or Powers'!B66)," ",'Spells or Powers'!B66),"|",IF(ISBLANK('Spells or Powers'!C66)," ",'Spells or Powers'!C66),"|",IF(ISBLANK('Spells or Powers'!D66)," ",'Spells or Powers'!D66),"|",IF(ISBLANK('Spells or Powers'!E66)," ",'Spells or Powers'!E66),"|",IF(ISBLANK('Spells or Powers'!F66)," ",'Spells or Powers'!F66),"|",IF(ISBLANK('Spells or Powers'!G66)," ",'Spells or Powers'!G66),"|",IF(ISBLANK('Spells or Powers'!H66)," ",'Spells or Powers'!H66),"|",IF(ISBLANK('Spells or Powers'!I66)," ",'Spells or Powers'!I66),"|",IF(ISBLANK('Spells or Powers'!J66)," ",'Spells or Powers'!J66),"|",IF(ISBLANK('Spells or Powers'!K66)," ",'Spells or Powers'!K66),"|",IF(ISBLANK('Spells or Powers'!L66)," ",'Spells or Powers'!L66),"|",IF(ISBLANK('Spells or Powers'!M66)," ",'Spells or Powers'!M66),"|",IF(ISBLANK('Spells or Powers'!N66)," ",'Spells or Powers'!N66),"|",IF(ISBLANK('Spells or Powers'!O66)," ",'Spells or Powers'!O66)))</f>
        <v>||||||||||||||</v>
      </c>
    </row>
    <row r="204" spans="1:1" x14ac:dyDescent="0.2">
      <c r="A204" s="440" t="str">
        <f>IF(ISBLANK('Spells or Powers'!A67),"||||||||||||||",CONCATENATE("[[",IF(ISBLANK('Spells or Powers'!A67)," ",'Spells or Powers'!A67),"|/Meta/Spells/",SUBSTITUTE((SUBSTITUTE(SUBSTITUTE(SUBSTITUTE(SUBSTITUTE(SUBSTITUTE(SUBSTITUTE(SUBSTITUTE(SUBSTITUTE(SUBSTITUTE(SUBSTITUTE(SUBSTITUTE(SUBSTITUTE(SUBSTITUTE(SUBSTITUTE(SUBSTITUTE(SUBSTITUTE('Spells or Powers'!A67,"/",""),"-",""),".",""),",",""),CHAR(34),""),"'",""),"&amp;",""),"*",""),"#",""),"!",""),"?",""),"@",""),":",""),";",""),"(",""),")",""))," ",""),"]]","|",IF(ISBLANK('Spells or Powers'!B67)," ",'Spells or Powers'!B67),"|",IF(ISBLANK('Spells or Powers'!C67)," ",'Spells or Powers'!C67),"|",IF(ISBLANK('Spells or Powers'!D67)," ",'Spells or Powers'!D67),"|",IF(ISBLANK('Spells or Powers'!E67)," ",'Spells or Powers'!E67),"|",IF(ISBLANK('Spells or Powers'!F67)," ",'Spells or Powers'!F67),"|",IF(ISBLANK('Spells or Powers'!G67)," ",'Spells or Powers'!G67),"|",IF(ISBLANK('Spells or Powers'!H67)," ",'Spells or Powers'!H67),"|",IF(ISBLANK('Spells or Powers'!I67)," ",'Spells or Powers'!I67),"|",IF(ISBLANK('Spells or Powers'!J67)," ",'Spells or Powers'!J67),"|",IF(ISBLANK('Spells or Powers'!K67)," ",'Spells or Powers'!K67),"|",IF(ISBLANK('Spells or Powers'!L67)," ",'Spells or Powers'!L67),"|",IF(ISBLANK('Spells or Powers'!M67)," ",'Spells or Powers'!M67),"|",IF(ISBLANK('Spells or Powers'!N67)," ",'Spells or Powers'!N67),"|",IF(ISBLANK('Spells or Powers'!O67)," ",'Spells or Powers'!O67)))</f>
        <v>||||||||||||||</v>
      </c>
    </row>
    <row r="205" spans="1:1" x14ac:dyDescent="0.2">
      <c r="A205" s="440" t="str">
        <f>IF(ISBLANK('Spells or Powers'!A68),"||||||||||||||",CONCATENATE("[[",IF(ISBLANK('Spells or Powers'!A68)," ",'Spells or Powers'!A68),"|/Meta/Spells/",SUBSTITUTE((SUBSTITUTE(SUBSTITUTE(SUBSTITUTE(SUBSTITUTE(SUBSTITUTE(SUBSTITUTE(SUBSTITUTE(SUBSTITUTE(SUBSTITUTE(SUBSTITUTE(SUBSTITUTE(SUBSTITUTE(SUBSTITUTE(SUBSTITUTE(SUBSTITUTE(SUBSTITUTE('Spells or Powers'!A68,"/",""),"-",""),".",""),",",""),CHAR(34),""),"'",""),"&amp;",""),"*",""),"#",""),"!",""),"?",""),"@",""),":",""),";",""),"(",""),")",""))," ",""),"]]","|",IF(ISBLANK('Spells or Powers'!B68)," ",'Spells or Powers'!B68),"|",IF(ISBLANK('Spells or Powers'!C68)," ",'Spells or Powers'!C68),"|",IF(ISBLANK('Spells or Powers'!D68)," ",'Spells or Powers'!D68),"|",IF(ISBLANK('Spells or Powers'!E68)," ",'Spells or Powers'!E68),"|",IF(ISBLANK('Spells or Powers'!F68)," ",'Spells or Powers'!F68),"|",IF(ISBLANK('Spells or Powers'!G68)," ",'Spells or Powers'!G68),"|",IF(ISBLANK('Spells or Powers'!H68)," ",'Spells or Powers'!H68),"|",IF(ISBLANK('Spells or Powers'!I68)," ",'Spells or Powers'!I68),"|",IF(ISBLANK('Spells or Powers'!J68)," ",'Spells or Powers'!J68),"|",IF(ISBLANK('Spells or Powers'!K68)," ",'Spells or Powers'!K68),"|",IF(ISBLANK('Spells or Powers'!L68)," ",'Spells or Powers'!L68),"|",IF(ISBLANK('Spells or Powers'!M68)," ",'Spells or Powers'!M68),"|",IF(ISBLANK('Spells or Powers'!N68)," ",'Spells or Powers'!N68),"|",IF(ISBLANK('Spells or Powers'!O68)," ",'Spells or Powers'!O68)))</f>
        <v>||||||||||||||</v>
      </c>
    </row>
    <row r="206" spans="1:1" x14ac:dyDescent="0.2">
      <c r="A206" s="440" t="str">
        <f>IF(ISBLANK('Spells or Powers'!A69),"||||||||||||||",CONCATENATE("[[",IF(ISBLANK('Spells or Powers'!A69)," ",'Spells or Powers'!A69),"|/Meta/Spells/",SUBSTITUTE((SUBSTITUTE(SUBSTITUTE(SUBSTITUTE(SUBSTITUTE(SUBSTITUTE(SUBSTITUTE(SUBSTITUTE(SUBSTITUTE(SUBSTITUTE(SUBSTITUTE(SUBSTITUTE(SUBSTITUTE(SUBSTITUTE(SUBSTITUTE(SUBSTITUTE(SUBSTITUTE('Spells or Powers'!A69,"/",""),"-",""),".",""),",",""),CHAR(34),""),"'",""),"&amp;",""),"*",""),"#",""),"!",""),"?",""),"@",""),":",""),";",""),"(",""),")",""))," ",""),"]]","|",IF(ISBLANK('Spells or Powers'!B69)," ",'Spells or Powers'!B69),"|",IF(ISBLANK('Spells or Powers'!C69)," ",'Spells or Powers'!C69),"|",IF(ISBLANK('Spells or Powers'!D69)," ",'Spells or Powers'!D69),"|",IF(ISBLANK('Spells or Powers'!E69)," ",'Spells or Powers'!E69),"|",IF(ISBLANK('Spells or Powers'!F69)," ",'Spells or Powers'!F69),"|",IF(ISBLANK('Spells or Powers'!G69)," ",'Spells or Powers'!G69),"|",IF(ISBLANK('Spells or Powers'!H69)," ",'Spells or Powers'!H69),"|",IF(ISBLANK('Spells or Powers'!I69)," ",'Spells or Powers'!I69),"|",IF(ISBLANK('Spells or Powers'!J69)," ",'Spells or Powers'!J69),"|",IF(ISBLANK('Spells or Powers'!K69)," ",'Spells or Powers'!K69),"|",IF(ISBLANK('Spells or Powers'!L69)," ",'Spells or Powers'!L69),"|",IF(ISBLANK('Spells or Powers'!M69)," ",'Spells or Powers'!M69),"|",IF(ISBLANK('Spells or Powers'!N69)," ",'Spells or Powers'!N69),"|",IF(ISBLANK('Spells or Powers'!O69)," ",'Spells or Powers'!O69)))</f>
        <v>||||||||||||||</v>
      </c>
    </row>
    <row r="207" spans="1:1" x14ac:dyDescent="0.2">
      <c r="A207" s="440" t="str">
        <f>IF(ISBLANK('Spells or Powers'!A70),"||||||||||||||",CONCATENATE("[[",IF(ISBLANK('Spells or Powers'!A70)," ",'Spells or Powers'!A70),"|/Meta/Spells/",SUBSTITUTE((SUBSTITUTE(SUBSTITUTE(SUBSTITUTE(SUBSTITUTE(SUBSTITUTE(SUBSTITUTE(SUBSTITUTE(SUBSTITUTE(SUBSTITUTE(SUBSTITUTE(SUBSTITUTE(SUBSTITUTE(SUBSTITUTE(SUBSTITUTE(SUBSTITUTE(SUBSTITUTE('Spells or Powers'!A70,"/",""),"-",""),".",""),",",""),CHAR(34),""),"'",""),"&amp;",""),"*",""),"#",""),"!",""),"?",""),"@",""),":",""),";",""),"(",""),")",""))," ",""),"]]","|",IF(ISBLANK('Spells or Powers'!B70)," ",'Spells or Powers'!B70),"|",IF(ISBLANK('Spells or Powers'!C70)," ",'Spells or Powers'!C70),"|",IF(ISBLANK('Spells or Powers'!D70)," ",'Spells or Powers'!D70),"|",IF(ISBLANK('Spells or Powers'!E70)," ",'Spells or Powers'!E70),"|",IF(ISBLANK('Spells or Powers'!F70)," ",'Spells or Powers'!F70),"|",IF(ISBLANK('Spells or Powers'!G70)," ",'Spells or Powers'!G70),"|",IF(ISBLANK('Spells or Powers'!H70)," ",'Spells or Powers'!H70),"|",IF(ISBLANK('Spells or Powers'!I70)," ",'Spells or Powers'!I70),"|",IF(ISBLANK('Spells or Powers'!J70)," ",'Spells or Powers'!J70),"|",IF(ISBLANK('Spells or Powers'!K70)," ",'Spells or Powers'!K70),"|",IF(ISBLANK('Spells or Powers'!L70)," ",'Spells or Powers'!L70),"|",IF(ISBLANK('Spells or Powers'!M70)," ",'Spells or Powers'!M70),"|",IF(ISBLANK('Spells or Powers'!N70)," ",'Spells or Powers'!N70),"|",IF(ISBLANK('Spells or Powers'!O70)," ",'Spells or Powers'!O70)))</f>
        <v>||||||||||||||</v>
      </c>
    </row>
    <row r="208" spans="1:1" x14ac:dyDescent="0.2">
      <c r="A208" s="440" t="str">
        <f>IF(ISBLANK('Spells or Powers'!A71),"||||||||||||||",CONCATENATE("[[",IF(ISBLANK('Spells or Powers'!A71)," ",'Spells or Powers'!A71),"|/Meta/Spells/",SUBSTITUTE((SUBSTITUTE(SUBSTITUTE(SUBSTITUTE(SUBSTITUTE(SUBSTITUTE(SUBSTITUTE(SUBSTITUTE(SUBSTITUTE(SUBSTITUTE(SUBSTITUTE(SUBSTITUTE(SUBSTITUTE(SUBSTITUTE(SUBSTITUTE(SUBSTITUTE(SUBSTITUTE('Spells or Powers'!A71,"/",""),"-",""),".",""),",",""),CHAR(34),""),"'",""),"&amp;",""),"*",""),"#",""),"!",""),"?",""),"@",""),":",""),";",""),"(",""),")",""))," ",""),"]]","|",IF(ISBLANK('Spells or Powers'!B71)," ",'Spells or Powers'!B71),"|",IF(ISBLANK('Spells or Powers'!C71)," ",'Spells or Powers'!C71),"|",IF(ISBLANK('Spells or Powers'!D71)," ",'Spells or Powers'!D71),"|",IF(ISBLANK('Spells or Powers'!E71)," ",'Spells or Powers'!E71),"|",IF(ISBLANK('Spells or Powers'!F71)," ",'Spells or Powers'!F71),"|",IF(ISBLANK('Spells or Powers'!G71)," ",'Spells or Powers'!G71),"|",IF(ISBLANK('Spells or Powers'!H71)," ",'Spells or Powers'!H71),"|",IF(ISBLANK('Spells or Powers'!I71)," ",'Spells or Powers'!I71),"|",IF(ISBLANK('Spells or Powers'!J71)," ",'Spells or Powers'!J71),"|",IF(ISBLANK('Spells or Powers'!K71)," ",'Spells or Powers'!K71),"|",IF(ISBLANK('Spells or Powers'!L71)," ",'Spells or Powers'!L71),"|",IF(ISBLANK('Spells or Powers'!M71)," ",'Spells or Powers'!M71),"|",IF(ISBLANK('Spells or Powers'!N71)," ",'Spells or Powers'!N71),"|",IF(ISBLANK('Spells or Powers'!O71)," ",'Spells or Powers'!O71)))</f>
        <v>||||||||||||||</v>
      </c>
    </row>
    <row r="209" spans="1:1" x14ac:dyDescent="0.2">
      <c r="A209" s="440" t="str">
        <f>IF(ISBLANK('Spells or Powers'!A72),"||||||||||||||",CONCATENATE("[[",IF(ISBLANK('Spells or Powers'!A72)," ",'Spells or Powers'!A72),"|/Meta/Spells/",SUBSTITUTE((SUBSTITUTE(SUBSTITUTE(SUBSTITUTE(SUBSTITUTE(SUBSTITUTE(SUBSTITUTE(SUBSTITUTE(SUBSTITUTE(SUBSTITUTE(SUBSTITUTE(SUBSTITUTE(SUBSTITUTE(SUBSTITUTE(SUBSTITUTE(SUBSTITUTE(SUBSTITUTE('Spells or Powers'!A72,"/",""),"-",""),".",""),",",""),CHAR(34),""),"'",""),"&amp;",""),"*",""),"#",""),"!",""),"?",""),"@",""),":",""),";",""),"(",""),")",""))," ",""),"]]","|",IF(ISBLANK('Spells or Powers'!B72)," ",'Spells or Powers'!B72),"|",IF(ISBLANK('Spells or Powers'!C72)," ",'Spells or Powers'!C72),"|",IF(ISBLANK('Spells or Powers'!D72)," ",'Spells or Powers'!D72),"|",IF(ISBLANK('Spells or Powers'!E72)," ",'Spells or Powers'!E72),"|",IF(ISBLANK('Spells or Powers'!F72)," ",'Spells or Powers'!F72),"|",IF(ISBLANK('Spells or Powers'!G72)," ",'Spells or Powers'!G72),"|",IF(ISBLANK('Spells or Powers'!H72)," ",'Spells or Powers'!H72),"|",IF(ISBLANK('Spells or Powers'!I72)," ",'Spells or Powers'!I72),"|",IF(ISBLANK('Spells or Powers'!J72)," ",'Spells or Powers'!J72),"|",IF(ISBLANK('Spells or Powers'!K72)," ",'Spells or Powers'!K72),"|",IF(ISBLANK('Spells or Powers'!L72)," ",'Spells or Powers'!L72),"|",IF(ISBLANK('Spells or Powers'!M72)," ",'Spells or Powers'!M72),"|",IF(ISBLANK('Spells or Powers'!N72)," ",'Spells or Powers'!N72),"|",IF(ISBLANK('Spells or Powers'!O72)," ",'Spells or Powers'!O72)))</f>
        <v>||||||||||||||</v>
      </c>
    </row>
    <row r="210" spans="1:1" x14ac:dyDescent="0.2">
      <c r="A210" s="440" t="str">
        <f>IF(ISBLANK('Spells or Powers'!A73),"||||||||||||||",CONCATENATE("[[",IF(ISBLANK('Spells or Powers'!A73)," ",'Spells or Powers'!A73),"|/Meta/Spells/",SUBSTITUTE((SUBSTITUTE(SUBSTITUTE(SUBSTITUTE(SUBSTITUTE(SUBSTITUTE(SUBSTITUTE(SUBSTITUTE(SUBSTITUTE(SUBSTITUTE(SUBSTITUTE(SUBSTITUTE(SUBSTITUTE(SUBSTITUTE(SUBSTITUTE(SUBSTITUTE(SUBSTITUTE('Spells or Powers'!A73,"/",""),"-",""),".",""),",",""),CHAR(34),""),"'",""),"&amp;",""),"*",""),"#",""),"!",""),"?",""),"@",""),":",""),";",""),"(",""),")",""))," ",""),"]]","|",IF(ISBLANK('Spells or Powers'!B73)," ",'Spells or Powers'!B73),"|",IF(ISBLANK('Spells or Powers'!C73)," ",'Spells or Powers'!C73),"|",IF(ISBLANK('Spells or Powers'!D73)," ",'Spells or Powers'!D73),"|",IF(ISBLANK('Spells or Powers'!E73)," ",'Spells or Powers'!E73),"|",IF(ISBLANK('Spells or Powers'!F73)," ",'Spells or Powers'!F73),"|",IF(ISBLANK('Spells or Powers'!G73)," ",'Spells or Powers'!G73),"|",IF(ISBLANK('Spells or Powers'!H73)," ",'Spells or Powers'!H73),"|",IF(ISBLANK('Spells or Powers'!I73)," ",'Spells or Powers'!I73),"|",IF(ISBLANK('Spells or Powers'!J73)," ",'Spells or Powers'!J73),"|",IF(ISBLANK('Spells or Powers'!K73)," ",'Spells or Powers'!K73),"|",IF(ISBLANK('Spells or Powers'!L73)," ",'Spells or Powers'!L73),"|",IF(ISBLANK('Spells or Powers'!M73)," ",'Spells or Powers'!M73),"|",IF(ISBLANK('Spells or Powers'!N73)," ",'Spells or Powers'!N73),"|",IF(ISBLANK('Spells or Powers'!O73)," ",'Spells or Powers'!O73)))</f>
        <v>||||||||||||||</v>
      </c>
    </row>
    <row r="211" spans="1:1" x14ac:dyDescent="0.2">
      <c r="A211" s="440" t="str">
        <f>IF(ISBLANK('Spells or Powers'!A74),"||||||||||||||",CONCATENATE("[[",IF(ISBLANK('Spells or Powers'!A74)," ",'Spells or Powers'!A74),"|/Meta/Spells/",SUBSTITUTE((SUBSTITUTE(SUBSTITUTE(SUBSTITUTE(SUBSTITUTE(SUBSTITUTE(SUBSTITUTE(SUBSTITUTE(SUBSTITUTE(SUBSTITUTE(SUBSTITUTE(SUBSTITUTE(SUBSTITUTE(SUBSTITUTE(SUBSTITUTE(SUBSTITUTE(SUBSTITUTE('Spells or Powers'!A74,"/",""),"-",""),".",""),",",""),CHAR(34),""),"'",""),"&amp;",""),"*",""),"#",""),"!",""),"?",""),"@",""),":",""),";",""),"(",""),")",""))," ",""),"]]","|",IF(ISBLANK('Spells or Powers'!B74)," ",'Spells or Powers'!B74),"|",IF(ISBLANK('Spells or Powers'!C74)," ",'Spells or Powers'!C74),"|",IF(ISBLANK('Spells or Powers'!D74)," ",'Spells or Powers'!D74),"|",IF(ISBLANK('Spells or Powers'!E74)," ",'Spells or Powers'!E74),"|",IF(ISBLANK('Spells or Powers'!F74)," ",'Spells or Powers'!F74),"|",IF(ISBLANK('Spells or Powers'!G74)," ",'Spells or Powers'!G74),"|",IF(ISBLANK('Spells or Powers'!H74)," ",'Spells or Powers'!H74),"|",IF(ISBLANK('Spells or Powers'!I74)," ",'Spells or Powers'!I74),"|",IF(ISBLANK('Spells or Powers'!J74)," ",'Spells or Powers'!J74),"|",IF(ISBLANK('Spells or Powers'!K74)," ",'Spells or Powers'!K74),"|",IF(ISBLANK('Spells or Powers'!L74)," ",'Spells or Powers'!L74),"|",IF(ISBLANK('Spells or Powers'!M74)," ",'Spells or Powers'!M74),"|",IF(ISBLANK('Spells or Powers'!N74)," ",'Spells or Powers'!N74),"|",IF(ISBLANK('Spells or Powers'!O74)," ",'Spells or Powers'!O74)))</f>
        <v>||||||||||||||</v>
      </c>
    </row>
    <row r="212" spans="1:1" x14ac:dyDescent="0.2">
      <c r="A212" s="440" t="str">
        <f>IF(ISBLANK('Spells or Powers'!A75),"||||||||||||||",CONCATENATE("[[",IF(ISBLANK('Spells or Powers'!A75)," ",'Spells or Powers'!A75),"|/Meta/Spells/",SUBSTITUTE((SUBSTITUTE(SUBSTITUTE(SUBSTITUTE(SUBSTITUTE(SUBSTITUTE(SUBSTITUTE(SUBSTITUTE(SUBSTITUTE(SUBSTITUTE(SUBSTITUTE(SUBSTITUTE(SUBSTITUTE(SUBSTITUTE(SUBSTITUTE(SUBSTITUTE(SUBSTITUTE('Spells or Powers'!A75,"/",""),"-",""),".",""),",",""),CHAR(34),""),"'",""),"&amp;",""),"*",""),"#",""),"!",""),"?",""),"@",""),":",""),";",""),"(",""),")",""))," ",""),"]]","|",IF(ISBLANK('Spells or Powers'!B75)," ",'Spells or Powers'!B75),"|",IF(ISBLANK('Spells or Powers'!C75)," ",'Spells or Powers'!C75),"|",IF(ISBLANK('Spells or Powers'!D75)," ",'Spells or Powers'!D75),"|",IF(ISBLANK('Spells or Powers'!E75)," ",'Spells or Powers'!E75),"|",IF(ISBLANK('Spells or Powers'!F75)," ",'Spells or Powers'!F75),"|",IF(ISBLANK('Spells or Powers'!G75)," ",'Spells or Powers'!G75),"|",IF(ISBLANK('Spells or Powers'!H75)," ",'Spells or Powers'!H75),"|",IF(ISBLANK('Spells or Powers'!I75)," ",'Spells or Powers'!I75),"|",IF(ISBLANK('Spells or Powers'!J75)," ",'Spells or Powers'!J75),"|",IF(ISBLANK('Spells or Powers'!K75)," ",'Spells or Powers'!K75),"|",IF(ISBLANK('Spells or Powers'!L75)," ",'Spells or Powers'!L75),"|",IF(ISBLANK('Spells or Powers'!M75)," ",'Spells or Powers'!M75),"|",IF(ISBLANK('Spells or Powers'!N75)," ",'Spells or Powers'!N75),"|",IF(ISBLANK('Spells or Powers'!O75)," ",'Spells or Powers'!O75)))</f>
        <v>||||||||||||||</v>
      </c>
    </row>
    <row r="213" spans="1:1" x14ac:dyDescent="0.2">
      <c r="A213" s="440" t="str">
        <f>IF(ISBLANK('Spells or Powers'!A76),"||||||||||||||",CONCATENATE("[[",IF(ISBLANK('Spells or Powers'!A76)," ",'Spells or Powers'!A76),"|/Meta/Spells/",SUBSTITUTE((SUBSTITUTE(SUBSTITUTE(SUBSTITUTE(SUBSTITUTE(SUBSTITUTE(SUBSTITUTE(SUBSTITUTE(SUBSTITUTE(SUBSTITUTE(SUBSTITUTE(SUBSTITUTE(SUBSTITUTE(SUBSTITUTE(SUBSTITUTE(SUBSTITUTE(SUBSTITUTE('Spells or Powers'!A76,"/",""),"-",""),".",""),",",""),CHAR(34),""),"'",""),"&amp;",""),"*",""),"#",""),"!",""),"?",""),"@",""),":",""),";",""),"(",""),")",""))," ",""),"]]","|",IF(ISBLANK('Spells or Powers'!B76)," ",'Spells or Powers'!B76),"|",IF(ISBLANK('Spells or Powers'!C76)," ",'Spells or Powers'!C76),"|",IF(ISBLANK('Spells or Powers'!D76)," ",'Spells or Powers'!D76),"|",IF(ISBLANK('Spells or Powers'!E76)," ",'Spells or Powers'!E76),"|",IF(ISBLANK('Spells or Powers'!F76)," ",'Spells or Powers'!F76),"|",IF(ISBLANK('Spells or Powers'!G76)," ",'Spells or Powers'!G76),"|",IF(ISBLANK('Spells or Powers'!H76)," ",'Spells or Powers'!H76),"|",IF(ISBLANK('Spells or Powers'!I76)," ",'Spells or Powers'!I76),"|",IF(ISBLANK('Spells or Powers'!J76)," ",'Spells or Powers'!J76),"|",IF(ISBLANK('Spells or Powers'!K76)," ",'Spells or Powers'!K76),"|",IF(ISBLANK('Spells or Powers'!L76)," ",'Spells or Powers'!L76),"|",IF(ISBLANK('Spells or Powers'!M76)," ",'Spells or Powers'!M76),"|",IF(ISBLANK('Spells or Powers'!N76)," ",'Spells or Powers'!N76),"|",IF(ISBLANK('Spells or Powers'!O76)," ",'Spells or Powers'!O76)))</f>
        <v>||||||||||||||</v>
      </c>
    </row>
    <row r="214" spans="1:1" x14ac:dyDescent="0.2">
      <c r="A214" s="440" t="str">
        <f>IF(ISBLANK('Spells or Powers'!A77),"||||||||||||||",CONCATENATE("[[",IF(ISBLANK('Spells or Powers'!A77)," ",'Spells or Powers'!A77),"|/Meta/Spells/",SUBSTITUTE((SUBSTITUTE(SUBSTITUTE(SUBSTITUTE(SUBSTITUTE(SUBSTITUTE(SUBSTITUTE(SUBSTITUTE(SUBSTITUTE(SUBSTITUTE(SUBSTITUTE(SUBSTITUTE(SUBSTITUTE(SUBSTITUTE(SUBSTITUTE(SUBSTITUTE(SUBSTITUTE('Spells or Powers'!A77,"/",""),"-",""),".",""),",",""),CHAR(34),""),"'",""),"&amp;",""),"*",""),"#",""),"!",""),"?",""),"@",""),":",""),";",""),"(",""),")",""))," ",""),"]]","|",IF(ISBLANK('Spells or Powers'!B77)," ",'Spells or Powers'!B77),"|",IF(ISBLANK('Spells or Powers'!C77)," ",'Spells or Powers'!C77),"|",IF(ISBLANK('Spells or Powers'!D77)," ",'Spells or Powers'!D77),"|",IF(ISBLANK('Spells or Powers'!E77)," ",'Spells or Powers'!E77),"|",IF(ISBLANK('Spells or Powers'!F77)," ",'Spells or Powers'!F77),"|",IF(ISBLANK('Spells or Powers'!G77)," ",'Spells or Powers'!G77),"|",IF(ISBLANK('Spells or Powers'!H77)," ",'Spells or Powers'!H77),"|",IF(ISBLANK('Spells or Powers'!I77)," ",'Spells or Powers'!I77),"|",IF(ISBLANK('Spells or Powers'!J77)," ",'Spells or Powers'!J77),"|",IF(ISBLANK('Spells or Powers'!K77)," ",'Spells or Powers'!K77),"|",IF(ISBLANK('Spells or Powers'!L77)," ",'Spells or Powers'!L77),"|",IF(ISBLANK('Spells or Powers'!M77)," ",'Spells or Powers'!M77),"|",IF(ISBLANK('Spells or Powers'!N77)," ",'Spells or Powers'!N77),"|",IF(ISBLANK('Spells or Powers'!O77)," ",'Spells or Powers'!O77)))</f>
        <v>||||||||||||||</v>
      </c>
    </row>
    <row r="215" spans="1:1" x14ac:dyDescent="0.2">
      <c r="A215" s="440" t="str">
        <f>IF(ISBLANK('Spells or Powers'!A78),"||||||||||||||",CONCATENATE("[[",IF(ISBLANK('Spells or Powers'!A78)," ",'Spells or Powers'!A78),"|/Meta/Spells/",SUBSTITUTE((SUBSTITUTE(SUBSTITUTE(SUBSTITUTE(SUBSTITUTE(SUBSTITUTE(SUBSTITUTE(SUBSTITUTE(SUBSTITUTE(SUBSTITUTE(SUBSTITUTE(SUBSTITUTE(SUBSTITUTE(SUBSTITUTE(SUBSTITUTE(SUBSTITUTE(SUBSTITUTE('Spells or Powers'!A78,"/",""),"-",""),".",""),",",""),CHAR(34),""),"'",""),"&amp;",""),"*",""),"#",""),"!",""),"?",""),"@",""),":",""),";",""),"(",""),")",""))," ",""),"]]","|",IF(ISBLANK('Spells or Powers'!B78)," ",'Spells or Powers'!B78),"|",IF(ISBLANK('Spells or Powers'!C78)," ",'Spells or Powers'!C78),"|",IF(ISBLANK('Spells or Powers'!D78)," ",'Spells or Powers'!D78),"|",IF(ISBLANK('Spells or Powers'!E78)," ",'Spells or Powers'!E78),"|",IF(ISBLANK('Spells or Powers'!F78)," ",'Spells or Powers'!F78),"|",IF(ISBLANK('Spells or Powers'!G78)," ",'Spells or Powers'!G78),"|",IF(ISBLANK('Spells or Powers'!H78)," ",'Spells or Powers'!H78),"|",IF(ISBLANK('Spells or Powers'!I78)," ",'Spells or Powers'!I78),"|",IF(ISBLANK('Spells or Powers'!J78)," ",'Spells or Powers'!J78),"|",IF(ISBLANK('Spells or Powers'!K78)," ",'Spells or Powers'!K78),"|",IF(ISBLANK('Spells or Powers'!L78)," ",'Spells or Powers'!L78),"|",IF(ISBLANK('Spells or Powers'!M78)," ",'Spells or Powers'!M78),"|",IF(ISBLANK('Spells or Powers'!N78)," ",'Spells or Powers'!N78),"|",IF(ISBLANK('Spells or Powers'!O78)," ",'Spells or Powers'!O78)))</f>
        <v>||||||||||||||</v>
      </c>
    </row>
    <row r="216" spans="1:1" x14ac:dyDescent="0.2">
      <c r="A216" s="440" t="str">
        <f>IF(ISBLANK('Spells or Powers'!A79),"||||||||||||||",CONCATENATE("[[",IF(ISBLANK('Spells or Powers'!A79)," ",'Spells or Powers'!A79),"|/Meta/Spells/",SUBSTITUTE((SUBSTITUTE(SUBSTITUTE(SUBSTITUTE(SUBSTITUTE(SUBSTITUTE(SUBSTITUTE(SUBSTITUTE(SUBSTITUTE(SUBSTITUTE(SUBSTITUTE(SUBSTITUTE(SUBSTITUTE(SUBSTITUTE(SUBSTITUTE(SUBSTITUTE(SUBSTITUTE('Spells or Powers'!A79,"/",""),"-",""),".",""),",",""),CHAR(34),""),"'",""),"&amp;",""),"*",""),"#",""),"!",""),"?",""),"@",""),":",""),";",""),"(",""),")",""))," ",""),"]]","|",IF(ISBLANK('Spells or Powers'!B79)," ",'Spells or Powers'!B79),"|",IF(ISBLANK('Spells or Powers'!C79)," ",'Spells or Powers'!C79),"|",IF(ISBLANK('Spells or Powers'!D79)," ",'Spells or Powers'!D79),"|",IF(ISBLANK('Spells or Powers'!E79)," ",'Spells or Powers'!E79),"|",IF(ISBLANK('Spells or Powers'!F79)," ",'Spells or Powers'!F79),"|",IF(ISBLANK('Spells or Powers'!G79)," ",'Spells or Powers'!G79),"|",IF(ISBLANK('Spells or Powers'!H79)," ",'Spells or Powers'!H79),"|",IF(ISBLANK('Spells or Powers'!I79)," ",'Spells or Powers'!I79),"|",IF(ISBLANK('Spells or Powers'!J79)," ",'Spells or Powers'!J79),"|",IF(ISBLANK('Spells or Powers'!K79)," ",'Spells or Powers'!K79),"|",IF(ISBLANK('Spells or Powers'!L79)," ",'Spells or Powers'!L79),"|",IF(ISBLANK('Spells or Powers'!M79)," ",'Spells or Powers'!M79),"|",IF(ISBLANK('Spells or Powers'!N79)," ",'Spells or Powers'!N79),"|",IF(ISBLANK('Spells or Powers'!O79)," ",'Spells or Powers'!O79)))</f>
        <v>||||||||||||||</v>
      </c>
    </row>
    <row r="217" spans="1:1" x14ac:dyDescent="0.2">
      <c r="A217" s="440" t="str">
        <f>IF(ISBLANK('Spells or Powers'!A80),"||||||||||||||",CONCATENATE("[[",IF(ISBLANK('Spells or Powers'!A80)," ",'Spells or Powers'!A80),"|/Meta/Spells/",SUBSTITUTE((SUBSTITUTE(SUBSTITUTE(SUBSTITUTE(SUBSTITUTE(SUBSTITUTE(SUBSTITUTE(SUBSTITUTE(SUBSTITUTE(SUBSTITUTE(SUBSTITUTE(SUBSTITUTE(SUBSTITUTE(SUBSTITUTE(SUBSTITUTE(SUBSTITUTE(SUBSTITUTE('Spells or Powers'!A80,"/",""),"-",""),".",""),",",""),CHAR(34),""),"'",""),"&amp;",""),"*",""),"#",""),"!",""),"?",""),"@",""),":",""),";",""),"(",""),")",""))," ",""),"]]","|",IF(ISBLANK('Spells or Powers'!B80)," ",'Spells or Powers'!B80),"|",IF(ISBLANK('Spells or Powers'!C80)," ",'Spells or Powers'!C80),"|",IF(ISBLANK('Spells or Powers'!D80)," ",'Spells or Powers'!D80),"|",IF(ISBLANK('Spells or Powers'!E80)," ",'Spells or Powers'!E80),"|",IF(ISBLANK('Spells or Powers'!F80)," ",'Spells or Powers'!F80),"|",IF(ISBLANK('Spells or Powers'!G80)," ",'Spells or Powers'!G80),"|",IF(ISBLANK('Spells or Powers'!H80)," ",'Spells or Powers'!H80),"|",IF(ISBLANK('Spells or Powers'!I80)," ",'Spells or Powers'!I80),"|",IF(ISBLANK('Spells or Powers'!J80)," ",'Spells or Powers'!J80),"|",IF(ISBLANK('Spells or Powers'!K80)," ",'Spells or Powers'!K80),"|",IF(ISBLANK('Spells or Powers'!L80)," ",'Spells or Powers'!L80),"|",IF(ISBLANK('Spells or Powers'!M80)," ",'Spells or Powers'!M80),"|",IF(ISBLANK('Spells or Powers'!N80)," ",'Spells or Powers'!N80),"|",IF(ISBLANK('Spells or Powers'!O80)," ",'Spells or Powers'!O80)))</f>
        <v>||||||||||||||</v>
      </c>
    </row>
    <row r="218" spans="1:1" x14ac:dyDescent="0.2">
      <c r="A218" s="440" t="str">
        <f>IF(ISBLANK('Spells or Powers'!A81),"||||||||||||||",CONCATENATE("[[",IF(ISBLANK('Spells or Powers'!A81)," ",'Spells or Powers'!A81),"|/Meta/Spells/",SUBSTITUTE((SUBSTITUTE(SUBSTITUTE(SUBSTITUTE(SUBSTITUTE(SUBSTITUTE(SUBSTITUTE(SUBSTITUTE(SUBSTITUTE(SUBSTITUTE(SUBSTITUTE(SUBSTITUTE(SUBSTITUTE(SUBSTITUTE(SUBSTITUTE(SUBSTITUTE(SUBSTITUTE('Spells or Powers'!A81,"/",""),"-",""),".",""),",",""),CHAR(34),""),"'",""),"&amp;",""),"*",""),"#",""),"!",""),"?",""),"@",""),":",""),";",""),"(",""),")",""))," ",""),"]]","|",IF(ISBLANK('Spells or Powers'!B81)," ",'Spells or Powers'!B81),"|",IF(ISBLANK('Spells or Powers'!C81)," ",'Spells or Powers'!C81),"|",IF(ISBLANK('Spells or Powers'!D81)," ",'Spells or Powers'!D81),"|",IF(ISBLANK('Spells or Powers'!E81)," ",'Spells or Powers'!E81),"|",IF(ISBLANK('Spells or Powers'!F81)," ",'Spells or Powers'!F81),"|",IF(ISBLANK('Spells or Powers'!G81)," ",'Spells or Powers'!G81),"|",IF(ISBLANK('Spells or Powers'!H81)," ",'Spells or Powers'!H81),"|",IF(ISBLANK('Spells or Powers'!I81)," ",'Spells or Powers'!I81),"|",IF(ISBLANK('Spells or Powers'!J81)," ",'Spells or Powers'!J81),"|",IF(ISBLANK('Spells or Powers'!K81)," ",'Spells or Powers'!K81),"|",IF(ISBLANK('Spells or Powers'!L81)," ",'Spells or Powers'!L81),"|",IF(ISBLANK('Spells or Powers'!M81)," ",'Spells or Powers'!M81),"|",IF(ISBLANK('Spells or Powers'!N81)," ",'Spells or Powers'!N81),"|",IF(ISBLANK('Spells or Powers'!O81)," ",'Spells or Powers'!O81)))</f>
        <v>||||||||||||||</v>
      </c>
    </row>
    <row r="219" spans="1:1" x14ac:dyDescent="0.2">
      <c r="A219" s="440" t="str">
        <f>IF(ISBLANK('Spells or Powers'!A82),"||||||||||||||",CONCATENATE("[[",IF(ISBLANK('Spells or Powers'!A82)," ",'Spells or Powers'!A82),"|/Meta/Spells/",SUBSTITUTE((SUBSTITUTE(SUBSTITUTE(SUBSTITUTE(SUBSTITUTE(SUBSTITUTE(SUBSTITUTE(SUBSTITUTE(SUBSTITUTE(SUBSTITUTE(SUBSTITUTE(SUBSTITUTE(SUBSTITUTE(SUBSTITUTE(SUBSTITUTE(SUBSTITUTE(SUBSTITUTE('Spells or Powers'!A82,"/",""),"-",""),".",""),",",""),CHAR(34),""),"'",""),"&amp;",""),"*",""),"#",""),"!",""),"?",""),"@",""),":",""),";",""),"(",""),")",""))," ",""),"]]","|",IF(ISBLANK('Spells or Powers'!B82)," ",'Spells or Powers'!B82),"|",IF(ISBLANK('Spells or Powers'!C82)," ",'Spells or Powers'!C82),"|",IF(ISBLANK('Spells or Powers'!D82)," ",'Spells or Powers'!D82),"|",IF(ISBLANK('Spells or Powers'!E82)," ",'Spells or Powers'!E82),"|",IF(ISBLANK('Spells or Powers'!F82)," ",'Spells or Powers'!F82),"|",IF(ISBLANK('Spells or Powers'!G82)," ",'Spells or Powers'!G82),"|",IF(ISBLANK('Spells or Powers'!H82)," ",'Spells or Powers'!H82),"|",IF(ISBLANK('Spells or Powers'!I82)," ",'Spells or Powers'!I82),"|",IF(ISBLANK('Spells or Powers'!J82)," ",'Spells or Powers'!J82),"|",IF(ISBLANK('Spells or Powers'!K82)," ",'Spells or Powers'!K82),"|",IF(ISBLANK('Spells or Powers'!L82)," ",'Spells or Powers'!L82),"|",IF(ISBLANK('Spells or Powers'!M82)," ",'Spells or Powers'!M82),"|",IF(ISBLANK('Spells or Powers'!N82)," ",'Spells or Powers'!N82),"|",IF(ISBLANK('Spells or Powers'!O82)," ",'Spells or Powers'!O82)))</f>
        <v>||||||||||||||</v>
      </c>
    </row>
    <row r="220" spans="1:1" x14ac:dyDescent="0.2">
      <c r="A220" s="440" t="str">
        <f>IF(ISBLANK('Spells or Powers'!A83),"||||||||||||||",CONCATENATE("[[",IF(ISBLANK('Spells or Powers'!A83)," ",'Spells or Powers'!A83),"|/Meta/Spells/",SUBSTITUTE((SUBSTITUTE(SUBSTITUTE(SUBSTITUTE(SUBSTITUTE(SUBSTITUTE(SUBSTITUTE(SUBSTITUTE(SUBSTITUTE(SUBSTITUTE(SUBSTITUTE(SUBSTITUTE(SUBSTITUTE(SUBSTITUTE(SUBSTITUTE(SUBSTITUTE(SUBSTITUTE('Spells or Powers'!A83,"/",""),"-",""),".",""),",",""),CHAR(34),""),"'",""),"&amp;",""),"*",""),"#",""),"!",""),"?",""),"@",""),":",""),";",""),"(",""),")",""))," ",""),"]]","|",IF(ISBLANK('Spells or Powers'!B83)," ",'Spells or Powers'!B83),"|",IF(ISBLANK('Spells or Powers'!C83)," ",'Spells or Powers'!C83),"|",IF(ISBLANK('Spells or Powers'!D83)," ",'Spells or Powers'!D83),"|",IF(ISBLANK('Spells or Powers'!E83)," ",'Spells or Powers'!E83),"|",IF(ISBLANK('Spells or Powers'!F83)," ",'Spells or Powers'!F83),"|",IF(ISBLANK('Spells or Powers'!G83)," ",'Spells or Powers'!G83),"|",IF(ISBLANK('Spells or Powers'!H83)," ",'Spells or Powers'!H83),"|",IF(ISBLANK('Spells or Powers'!I83)," ",'Spells or Powers'!I83),"|",IF(ISBLANK('Spells or Powers'!J83)," ",'Spells or Powers'!J83),"|",IF(ISBLANK('Spells or Powers'!K83)," ",'Spells or Powers'!K83),"|",IF(ISBLANK('Spells or Powers'!L83)," ",'Spells or Powers'!L83),"|",IF(ISBLANK('Spells or Powers'!M83)," ",'Spells or Powers'!M83),"|",IF(ISBLANK('Spells or Powers'!N83)," ",'Spells or Powers'!N83),"|",IF(ISBLANK('Spells or Powers'!O83)," ",'Spells or Powers'!O83)))</f>
        <v>||||||||||||||</v>
      </c>
    </row>
    <row r="221" spans="1:1" x14ac:dyDescent="0.2">
      <c r="A221" s="440" t="str">
        <f>IF(ISBLANK('Spells or Powers'!A84),"||||||||||||||",CONCATENATE("[[",IF(ISBLANK('Spells or Powers'!A84)," ",'Spells or Powers'!A84),"|/Meta/Spells/",SUBSTITUTE((SUBSTITUTE(SUBSTITUTE(SUBSTITUTE(SUBSTITUTE(SUBSTITUTE(SUBSTITUTE(SUBSTITUTE(SUBSTITUTE(SUBSTITUTE(SUBSTITUTE(SUBSTITUTE(SUBSTITUTE(SUBSTITUTE(SUBSTITUTE(SUBSTITUTE(SUBSTITUTE('Spells or Powers'!A84,"/",""),"-",""),".",""),",",""),CHAR(34),""),"'",""),"&amp;",""),"*",""),"#",""),"!",""),"?",""),"@",""),":",""),";",""),"(",""),")",""))," ",""),"]]","|",IF(ISBLANK('Spells or Powers'!B84)," ",'Spells or Powers'!B84),"|",IF(ISBLANK('Spells or Powers'!C84)," ",'Spells or Powers'!C84),"|",IF(ISBLANK('Spells or Powers'!D84)," ",'Spells or Powers'!D84),"|",IF(ISBLANK('Spells or Powers'!E84)," ",'Spells or Powers'!E84),"|",IF(ISBLANK('Spells or Powers'!F84)," ",'Spells or Powers'!F84),"|",IF(ISBLANK('Spells or Powers'!G84)," ",'Spells or Powers'!G84),"|",IF(ISBLANK('Spells or Powers'!H84)," ",'Spells or Powers'!H84),"|",IF(ISBLANK('Spells or Powers'!I84)," ",'Spells or Powers'!I84),"|",IF(ISBLANK('Spells or Powers'!J84)," ",'Spells or Powers'!J84),"|",IF(ISBLANK('Spells or Powers'!K84)," ",'Spells or Powers'!K84),"|",IF(ISBLANK('Spells or Powers'!L84)," ",'Spells or Powers'!L84),"|",IF(ISBLANK('Spells or Powers'!M84)," ",'Spells or Powers'!M84),"|",IF(ISBLANK('Spells or Powers'!N84)," ",'Spells or Powers'!N84),"|",IF(ISBLANK('Spells or Powers'!O84)," ",'Spells or Powers'!O84)))</f>
        <v>||||||||||||||</v>
      </c>
    </row>
    <row r="222" spans="1:1" x14ac:dyDescent="0.2">
      <c r="A222" s="440" t="str">
        <f>IF(ISBLANK('Spells or Powers'!A85),"||||||||||||||",CONCATENATE("[[",IF(ISBLANK('Spells or Powers'!A85)," ",'Spells or Powers'!A85),"|/Meta/Spells/",SUBSTITUTE((SUBSTITUTE(SUBSTITUTE(SUBSTITUTE(SUBSTITUTE(SUBSTITUTE(SUBSTITUTE(SUBSTITUTE(SUBSTITUTE(SUBSTITUTE(SUBSTITUTE(SUBSTITUTE(SUBSTITUTE(SUBSTITUTE(SUBSTITUTE(SUBSTITUTE(SUBSTITUTE('Spells or Powers'!A85,"/",""),"-",""),".",""),",",""),CHAR(34),""),"'",""),"&amp;",""),"*",""),"#",""),"!",""),"?",""),"@",""),":",""),";",""),"(",""),")",""))," ",""),"]]","|",IF(ISBLANK('Spells or Powers'!B85)," ",'Spells or Powers'!B85),"|",IF(ISBLANK('Spells or Powers'!C85)," ",'Spells or Powers'!C85),"|",IF(ISBLANK('Spells or Powers'!D85)," ",'Spells or Powers'!D85),"|",IF(ISBLANK('Spells or Powers'!E85)," ",'Spells or Powers'!E85),"|",IF(ISBLANK('Spells or Powers'!F85)," ",'Spells or Powers'!F85),"|",IF(ISBLANK('Spells or Powers'!G85)," ",'Spells or Powers'!G85),"|",IF(ISBLANK('Spells or Powers'!H85)," ",'Spells or Powers'!H85),"|",IF(ISBLANK('Spells or Powers'!I85)," ",'Spells or Powers'!I85),"|",IF(ISBLANK('Spells or Powers'!J85)," ",'Spells or Powers'!J85),"|",IF(ISBLANK('Spells or Powers'!K85)," ",'Spells or Powers'!K85),"|",IF(ISBLANK('Spells or Powers'!L85)," ",'Spells or Powers'!L85),"|",IF(ISBLANK('Spells or Powers'!M85)," ",'Spells or Powers'!M85),"|",IF(ISBLANK('Spells or Powers'!N85)," ",'Spells or Powers'!N85),"|",IF(ISBLANK('Spells or Powers'!O85)," ",'Spells or Powers'!O85)))</f>
        <v>||||||||||||||</v>
      </c>
    </row>
    <row r="223" spans="1:1" x14ac:dyDescent="0.2">
      <c r="A223" s="440" t="str">
        <f>IF(ISBLANK('Spells or Powers'!A86),"||||||||||||||",CONCATENATE("[[",IF(ISBLANK('Spells or Powers'!A86)," ",'Spells or Powers'!A86),"|/Meta/Spells/",SUBSTITUTE((SUBSTITUTE(SUBSTITUTE(SUBSTITUTE(SUBSTITUTE(SUBSTITUTE(SUBSTITUTE(SUBSTITUTE(SUBSTITUTE(SUBSTITUTE(SUBSTITUTE(SUBSTITUTE(SUBSTITUTE(SUBSTITUTE(SUBSTITUTE(SUBSTITUTE(SUBSTITUTE('Spells or Powers'!A86,"/",""),"-",""),".",""),",",""),CHAR(34),""),"'",""),"&amp;",""),"*",""),"#",""),"!",""),"?",""),"@",""),":",""),";",""),"(",""),")",""))," ",""),"]]","|",IF(ISBLANK('Spells or Powers'!B86)," ",'Spells or Powers'!B86),"|",IF(ISBLANK('Spells or Powers'!C86)," ",'Spells or Powers'!C86),"|",IF(ISBLANK('Spells or Powers'!D86)," ",'Spells or Powers'!D86),"|",IF(ISBLANK('Spells or Powers'!E86)," ",'Spells or Powers'!E86),"|",IF(ISBLANK('Spells or Powers'!F86)," ",'Spells or Powers'!F86),"|",IF(ISBLANK('Spells or Powers'!G86)," ",'Spells or Powers'!G86),"|",IF(ISBLANK('Spells or Powers'!H86)," ",'Spells or Powers'!H86),"|",IF(ISBLANK('Spells or Powers'!I86)," ",'Spells or Powers'!I86),"|",IF(ISBLANK('Spells or Powers'!J86)," ",'Spells or Powers'!J86),"|",IF(ISBLANK('Spells or Powers'!K86)," ",'Spells or Powers'!K86),"|",IF(ISBLANK('Spells or Powers'!L86)," ",'Spells or Powers'!L86),"|",IF(ISBLANK('Spells or Powers'!M86)," ",'Spells or Powers'!M86),"|",IF(ISBLANK('Spells or Powers'!N86)," ",'Spells or Powers'!N86),"|",IF(ISBLANK('Spells or Powers'!O86)," ",'Spells or Powers'!O86)))</f>
        <v>||||||||||||||</v>
      </c>
    </row>
    <row r="224" spans="1:1" x14ac:dyDescent="0.2">
      <c r="A224" s="440" t="str">
        <f>IF(ISBLANK('Spells or Powers'!A87),"||||||||||||||",CONCATENATE("[[",IF(ISBLANK('Spells or Powers'!A87)," ",'Spells or Powers'!A87),"|/Meta/Spells/",SUBSTITUTE((SUBSTITUTE(SUBSTITUTE(SUBSTITUTE(SUBSTITUTE(SUBSTITUTE(SUBSTITUTE(SUBSTITUTE(SUBSTITUTE(SUBSTITUTE(SUBSTITUTE(SUBSTITUTE(SUBSTITUTE(SUBSTITUTE(SUBSTITUTE(SUBSTITUTE(SUBSTITUTE('Spells or Powers'!A87,"/",""),"-",""),".",""),",",""),CHAR(34),""),"'",""),"&amp;",""),"*",""),"#",""),"!",""),"?",""),"@",""),":",""),";",""),"(",""),")",""))," ",""),"]]","|",IF(ISBLANK('Spells or Powers'!B87)," ",'Spells or Powers'!B87),"|",IF(ISBLANK('Spells or Powers'!C87)," ",'Spells or Powers'!C87),"|",IF(ISBLANK('Spells or Powers'!D87)," ",'Spells or Powers'!D87),"|",IF(ISBLANK('Spells or Powers'!E87)," ",'Spells or Powers'!E87),"|",IF(ISBLANK('Spells or Powers'!F87)," ",'Spells or Powers'!F87),"|",IF(ISBLANK('Spells or Powers'!G87)," ",'Spells or Powers'!G87),"|",IF(ISBLANK('Spells or Powers'!H87)," ",'Spells or Powers'!H87),"|",IF(ISBLANK('Spells or Powers'!I87)," ",'Spells or Powers'!I87),"|",IF(ISBLANK('Spells or Powers'!J87)," ",'Spells or Powers'!J87),"|",IF(ISBLANK('Spells or Powers'!K87)," ",'Spells or Powers'!K87),"|",IF(ISBLANK('Spells or Powers'!L87)," ",'Spells or Powers'!L87),"|",IF(ISBLANK('Spells or Powers'!M87)," ",'Spells or Powers'!M87),"|",IF(ISBLANK('Spells or Powers'!N87)," ",'Spells or Powers'!N87),"|",IF(ISBLANK('Spells or Powers'!O87)," ",'Spells or Powers'!O87)))</f>
        <v>||||||||||||||</v>
      </c>
    </row>
    <row r="225" spans="1:1" x14ac:dyDescent="0.2">
      <c r="A225" s="440" t="str">
        <f>IF(ISBLANK('Spells or Powers'!A88),"||||||||||||||",CONCATENATE("[[",IF(ISBLANK('Spells or Powers'!A88)," ",'Spells or Powers'!A88),"|/Meta/Spells/",SUBSTITUTE((SUBSTITUTE(SUBSTITUTE(SUBSTITUTE(SUBSTITUTE(SUBSTITUTE(SUBSTITUTE(SUBSTITUTE(SUBSTITUTE(SUBSTITUTE(SUBSTITUTE(SUBSTITUTE(SUBSTITUTE(SUBSTITUTE(SUBSTITUTE(SUBSTITUTE(SUBSTITUTE('Spells or Powers'!A88,"/",""),"-",""),".",""),",",""),CHAR(34),""),"'",""),"&amp;",""),"*",""),"#",""),"!",""),"?",""),"@",""),":",""),";",""),"(",""),")",""))," ",""),"]]","|",IF(ISBLANK('Spells or Powers'!B88)," ",'Spells or Powers'!B88),"|",IF(ISBLANK('Spells or Powers'!C88)," ",'Spells or Powers'!C88),"|",IF(ISBLANK('Spells or Powers'!D88)," ",'Spells or Powers'!D88),"|",IF(ISBLANK('Spells or Powers'!E88)," ",'Spells or Powers'!E88),"|",IF(ISBLANK('Spells or Powers'!F88)," ",'Spells or Powers'!F88),"|",IF(ISBLANK('Spells or Powers'!G88)," ",'Spells or Powers'!G88),"|",IF(ISBLANK('Spells or Powers'!H88)," ",'Spells or Powers'!H88),"|",IF(ISBLANK('Spells or Powers'!I88)," ",'Spells or Powers'!I88),"|",IF(ISBLANK('Spells or Powers'!J88)," ",'Spells or Powers'!J88),"|",IF(ISBLANK('Spells or Powers'!K88)," ",'Spells or Powers'!K88),"|",IF(ISBLANK('Spells or Powers'!L88)," ",'Spells or Powers'!L88),"|",IF(ISBLANK('Spells or Powers'!M88)," ",'Spells or Powers'!M88),"|",IF(ISBLANK('Spells or Powers'!N88)," ",'Spells or Powers'!N88),"|",IF(ISBLANK('Spells or Powers'!O88)," ",'Spells or Powers'!O88)))</f>
        <v>||||||||||||||</v>
      </c>
    </row>
    <row r="226" spans="1:1" x14ac:dyDescent="0.2">
      <c r="A226" s="440" t="str">
        <f>IF(ISBLANK('Spells or Powers'!A89),"||||||||||||||",CONCATENATE("[[",IF(ISBLANK('Spells or Powers'!A89)," ",'Spells or Powers'!A89),"|/Meta/Spells/",SUBSTITUTE((SUBSTITUTE(SUBSTITUTE(SUBSTITUTE(SUBSTITUTE(SUBSTITUTE(SUBSTITUTE(SUBSTITUTE(SUBSTITUTE(SUBSTITUTE(SUBSTITUTE(SUBSTITUTE(SUBSTITUTE(SUBSTITUTE(SUBSTITUTE(SUBSTITUTE(SUBSTITUTE('Spells or Powers'!A89,"/",""),"-",""),".",""),",",""),CHAR(34),""),"'",""),"&amp;",""),"*",""),"#",""),"!",""),"?",""),"@",""),":",""),";",""),"(",""),")",""))," ",""),"]]","|",IF(ISBLANK('Spells or Powers'!B89)," ",'Spells or Powers'!B89),"|",IF(ISBLANK('Spells or Powers'!C89)," ",'Spells or Powers'!C89),"|",IF(ISBLANK('Spells or Powers'!D89)," ",'Spells or Powers'!D89),"|",IF(ISBLANK('Spells or Powers'!E89)," ",'Spells or Powers'!E89),"|",IF(ISBLANK('Spells or Powers'!F89)," ",'Spells or Powers'!F89),"|",IF(ISBLANK('Spells or Powers'!G89)," ",'Spells or Powers'!G89),"|",IF(ISBLANK('Spells or Powers'!H89)," ",'Spells or Powers'!H89),"|",IF(ISBLANK('Spells or Powers'!I89)," ",'Spells or Powers'!I89),"|",IF(ISBLANK('Spells or Powers'!J89)," ",'Spells or Powers'!J89),"|",IF(ISBLANK('Spells or Powers'!K89)," ",'Spells or Powers'!K89),"|",IF(ISBLANK('Spells or Powers'!L89)," ",'Spells or Powers'!L89),"|",IF(ISBLANK('Spells or Powers'!M89)," ",'Spells or Powers'!M89),"|",IF(ISBLANK('Spells or Powers'!N89)," ",'Spells or Powers'!N89),"|",IF(ISBLANK('Spells or Powers'!O89)," ",'Spells or Powers'!O89)))</f>
        <v>||||||||||||||</v>
      </c>
    </row>
    <row r="227" spans="1:1" x14ac:dyDescent="0.2">
      <c r="A227" s="440" t="str">
        <f>IF(ISBLANK('Spells or Powers'!A90),"||||||||||||||",CONCATENATE("[[",IF(ISBLANK('Spells or Powers'!A90)," ",'Spells or Powers'!A90),"|/Meta/Spells/",SUBSTITUTE((SUBSTITUTE(SUBSTITUTE(SUBSTITUTE(SUBSTITUTE(SUBSTITUTE(SUBSTITUTE(SUBSTITUTE(SUBSTITUTE(SUBSTITUTE(SUBSTITUTE(SUBSTITUTE(SUBSTITUTE(SUBSTITUTE(SUBSTITUTE(SUBSTITUTE(SUBSTITUTE('Spells or Powers'!A90,"/",""),"-",""),".",""),",",""),CHAR(34),""),"'",""),"&amp;",""),"*",""),"#",""),"!",""),"?",""),"@",""),":",""),";",""),"(",""),")",""))," ",""),"]]","|",IF(ISBLANK('Spells or Powers'!B90)," ",'Spells or Powers'!B90),"|",IF(ISBLANK('Spells or Powers'!C90)," ",'Spells or Powers'!C90),"|",IF(ISBLANK('Spells or Powers'!D90)," ",'Spells or Powers'!D90),"|",IF(ISBLANK('Spells or Powers'!E90)," ",'Spells or Powers'!E90),"|",IF(ISBLANK('Spells or Powers'!F90)," ",'Spells or Powers'!F90),"|",IF(ISBLANK('Spells or Powers'!G90)," ",'Spells or Powers'!G90),"|",IF(ISBLANK('Spells or Powers'!H90)," ",'Spells or Powers'!H90),"|",IF(ISBLANK('Spells or Powers'!I90)," ",'Spells or Powers'!I90),"|",IF(ISBLANK('Spells or Powers'!J90)," ",'Spells or Powers'!J90),"|",IF(ISBLANK('Spells or Powers'!K90)," ",'Spells or Powers'!K90),"|",IF(ISBLANK('Spells or Powers'!L90)," ",'Spells or Powers'!L90),"|",IF(ISBLANK('Spells or Powers'!M90)," ",'Spells or Powers'!M90),"|",IF(ISBLANK('Spells or Powers'!N90)," ",'Spells or Powers'!N90),"|",IF(ISBLANK('Spells or Powers'!O90)," ",'Spells or Powers'!O90)))</f>
        <v>||||||||||||||</v>
      </c>
    </row>
    <row r="228" spans="1:1" x14ac:dyDescent="0.2">
      <c r="A228" s="440" t="str">
        <f>IF(ISBLANK('Spells or Powers'!A91),"||||||||||||||",CONCATENATE("[[",IF(ISBLANK('Spells or Powers'!A91)," ",'Spells or Powers'!A91),"|/Meta/Spells/",SUBSTITUTE((SUBSTITUTE(SUBSTITUTE(SUBSTITUTE(SUBSTITUTE(SUBSTITUTE(SUBSTITUTE(SUBSTITUTE(SUBSTITUTE(SUBSTITUTE(SUBSTITUTE(SUBSTITUTE(SUBSTITUTE(SUBSTITUTE(SUBSTITUTE(SUBSTITUTE(SUBSTITUTE('Spells or Powers'!A91,"/",""),"-",""),".",""),",",""),CHAR(34),""),"'",""),"&amp;",""),"*",""),"#",""),"!",""),"?",""),"@",""),":",""),";",""),"(",""),")",""))," ",""),"]]","|",IF(ISBLANK('Spells or Powers'!B91)," ",'Spells or Powers'!B91),"|",IF(ISBLANK('Spells or Powers'!C91)," ",'Spells or Powers'!C91),"|",IF(ISBLANK('Spells or Powers'!D91)," ",'Spells or Powers'!D91),"|",IF(ISBLANK('Spells or Powers'!E91)," ",'Spells or Powers'!E91),"|",IF(ISBLANK('Spells or Powers'!F91)," ",'Spells or Powers'!F91),"|",IF(ISBLANK('Spells or Powers'!G91)," ",'Spells or Powers'!G91),"|",IF(ISBLANK('Spells or Powers'!H91)," ",'Spells or Powers'!H91),"|",IF(ISBLANK('Spells or Powers'!I91)," ",'Spells or Powers'!I91),"|",IF(ISBLANK('Spells or Powers'!J91)," ",'Spells or Powers'!J91),"|",IF(ISBLANK('Spells or Powers'!K91)," ",'Spells or Powers'!K91),"|",IF(ISBLANK('Spells or Powers'!L91)," ",'Spells or Powers'!L91),"|",IF(ISBLANK('Spells or Powers'!M91)," ",'Spells or Powers'!M91),"|",IF(ISBLANK('Spells or Powers'!N91)," ",'Spells or Powers'!N91),"|",IF(ISBLANK('Spells or Powers'!O91)," ",'Spells or Powers'!O91)))</f>
        <v>||||||||||||||</v>
      </c>
    </row>
    <row r="229" spans="1:1" x14ac:dyDescent="0.2">
      <c r="A229" s="440" t="str">
        <f>IF(ISBLANK('Spells or Powers'!A92),"||||||||||||||",CONCATENATE("[[",IF(ISBLANK('Spells or Powers'!A92)," ",'Spells or Powers'!A92),"|/Meta/Spells/",SUBSTITUTE((SUBSTITUTE(SUBSTITUTE(SUBSTITUTE(SUBSTITUTE(SUBSTITUTE(SUBSTITUTE(SUBSTITUTE(SUBSTITUTE(SUBSTITUTE(SUBSTITUTE(SUBSTITUTE(SUBSTITUTE(SUBSTITUTE(SUBSTITUTE(SUBSTITUTE(SUBSTITUTE('Spells or Powers'!A92,"/",""),"-",""),".",""),",",""),CHAR(34),""),"'",""),"&amp;",""),"*",""),"#",""),"!",""),"?",""),"@",""),":",""),";",""),"(",""),")",""))," ",""),"]]","|",IF(ISBLANK('Spells or Powers'!B92)," ",'Spells or Powers'!B92),"|",IF(ISBLANK('Spells or Powers'!C92)," ",'Spells or Powers'!C92),"|",IF(ISBLANK('Spells or Powers'!D92)," ",'Spells or Powers'!D92),"|",IF(ISBLANK('Spells or Powers'!E92)," ",'Spells or Powers'!E92),"|",IF(ISBLANK('Spells or Powers'!F92)," ",'Spells or Powers'!F92),"|",IF(ISBLANK('Spells or Powers'!G92)," ",'Spells or Powers'!G92),"|",IF(ISBLANK('Spells or Powers'!H92)," ",'Spells or Powers'!H92),"|",IF(ISBLANK('Spells or Powers'!I92)," ",'Spells or Powers'!I92),"|",IF(ISBLANK('Spells or Powers'!J92)," ",'Spells or Powers'!J92),"|",IF(ISBLANK('Spells or Powers'!K92)," ",'Spells or Powers'!K92),"|",IF(ISBLANK('Spells or Powers'!L92)," ",'Spells or Powers'!L92),"|",IF(ISBLANK('Spells or Powers'!M92)," ",'Spells or Powers'!M92),"|",IF(ISBLANK('Spells or Powers'!N92)," ",'Spells or Powers'!N92),"|",IF(ISBLANK('Spells or Powers'!O92)," ",'Spells or Powers'!O92)))</f>
        <v>||||||||||||||</v>
      </c>
    </row>
    <row r="230" spans="1:1" x14ac:dyDescent="0.2">
      <c r="A230" s="440" t="str">
        <f>IF(ISBLANK('Spells or Powers'!A93),"||||||||||||||",CONCATENATE("[[",IF(ISBLANK('Spells or Powers'!A93)," ",'Spells or Powers'!A93),"|/Meta/Spells/",SUBSTITUTE((SUBSTITUTE(SUBSTITUTE(SUBSTITUTE(SUBSTITUTE(SUBSTITUTE(SUBSTITUTE(SUBSTITUTE(SUBSTITUTE(SUBSTITUTE(SUBSTITUTE(SUBSTITUTE(SUBSTITUTE(SUBSTITUTE(SUBSTITUTE(SUBSTITUTE(SUBSTITUTE('Spells or Powers'!A93,"/",""),"-",""),".",""),",",""),CHAR(34),""),"'",""),"&amp;",""),"*",""),"#",""),"!",""),"?",""),"@",""),":",""),";",""),"(",""),")",""))," ",""),"]]","|",IF(ISBLANK('Spells or Powers'!B93)," ",'Spells or Powers'!B93),"|",IF(ISBLANK('Spells or Powers'!C93)," ",'Spells or Powers'!C93),"|",IF(ISBLANK('Spells or Powers'!D93)," ",'Spells or Powers'!D93),"|",IF(ISBLANK('Spells or Powers'!E93)," ",'Spells or Powers'!E93),"|",IF(ISBLANK('Spells or Powers'!F93)," ",'Spells or Powers'!F93),"|",IF(ISBLANK('Spells or Powers'!G93)," ",'Spells or Powers'!G93),"|",IF(ISBLANK('Spells or Powers'!H93)," ",'Spells or Powers'!H93),"|",IF(ISBLANK('Spells or Powers'!I93)," ",'Spells or Powers'!I93),"|",IF(ISBLANK('Spells or Powers'!J93)," ",'Spells or Powers'!J93),"|",IF(ISBLANK('Spells or Powers'!K93)," ",'Spells or Powers'!K93),"|",IF(ISBLANK('Spells or Powers'!L93)," ",'Spells or Powers'!L93),"|",IF(ISBLANK('Spells or Powers'!M93)," ",'Spells or Powers'!M93),"|",IF(ISBLANK('Spells or Powers'!N93)," ",'Spells or Powers'!N93),"|",IF(ISBLANK('Spells or Powers'!O93)," ",'Spells or Powers'!O93)))</f>
        <v>||||||||||||||</v>
      </c>
    </row>
    <row r="231" spans="1:1" x14ac:dyDescent="0.2">
      <c r="A231" s="440" t="str">
        <f>IF(ISBLANK('Spells or Powers'!A94),"||||||||||||||",CONCATENATE("[[",IF(ISBLANK('Spells or Powers'!A94)," ",'Spells or Powers'!A94),"|/Meta/Spells/",SUBSTITUTE((SUBSTITUTE(SUBSTITUTE(SUBSTITUTE(SUBSTITUTE(SUBSTITUTE(SUBSTITUTE(SUBSTITUTE(SUBSTITUTE(SUBSTITUTE(SUBSTITUTE(SUBSTITUTE(SUBSTITUTE(SUBSTITUTE(SUBSTITUTE(SUBSTITUTE(SUBSTITUTE('Spells or Powers'!A94,"/",""),"-",""),".",""),",",""),CHAR(34),""),"'",""),"&amp;",""),"*",""),"#",""),"!",""),"?",""),"@",""),":",""),";",""),"(",""),")",""))," ",""),"]]","|",IF(ISBLANK('Spells or Powers'!B94)," ",'Spells or Powers'!B94),"|",IF(ISBLANK('Spells or Powers'!C94)," ",'Spells or Powers'!C94),"|",IF(ISBLANK('Spells or Powers'!D94)," ",'Spells or Powers'!D94),"|",IF(ISBLANK('Spells or Powers'!E94)," ",'Spells or Powers'!E94),"|",IF(ISBLANK('Spells or Powers'!F94)," ",'Spells or Powers'!F94),"|",IF(ISBLANK('Spells or Powers'!G94)," ",'Spells or Powers'!G94),"|",IF(ISBLANK('Spells or Powers'!H94)," ",'Spells or Powers'!H94),"|",IF(ISBLANK('Spells or Powers'!I94)," ",'Spells or Powers'!I94),"|",IF(ISBLANK('Spells or Powers'!J94)," ",'Spells or Powers'!J94),"|",IF(ISBLANK('Spells or Powers'!K94)," ",'Spells or Powers'!K94),"|",IF(ISBLANK('Spells or Powers'!L94)," ",'Spells or Powers'!L94),"|",IF(ISBLANK('Spells or Powers'!M94)," ",'Spells or Powers'!M94),"|",IF(ISBLANK('Spells or Powers'!N94)," ",'Spells or Powers'!N94),"|",IF(ISBLANK('Spells or Powers'!O94)," ",'Spells or Powers'!O94)))</f>
        <v>||||||||||||||</v>
      </c>
    </row>
    <row r="232" spans="1:1" x14ac:dyDescent="0.2">
      <c r="A232" s="440" t="str">
        <f>IF(ISBLANK('Spells or Powers'!A95),"||||||||||||||",CONCATENATE("[[",IF(ISBLANK('Spells or Powers'!A95)," ",'Spells or Powers'!A95),"|/Meta/Spells/",SUBSTITUTE((SUBSTITUTE(SUBSTITUTE(SUBSTITUTE(SUBSTITUTE(SUBSTITUTE(SUBSTITUTE(SUBSTITUTE(SUBSTITUTE(SUBSTITUTE(SUBSTITUTE(SUBSTITUTE(SUBSTITUTE(SUBSTITUTE(SUBSTITUTE(SUBSTITUTE(SUBSTITUTE('Spells or Powers'!A95,"/",""),"-",""),".",""),",",""),CHAR(34),""),"'",""),"&amp;",""),"*",""),"#",""),"!",""),"?",""),"@",""),":",""),";",""),"(",""),")",""))," ",""),"]]","|",IF(ISBLANK('Spells or Powers'!B95)," ",'Spells or Powers'!B95),"|",IF(ISBLANK('Spells or Powers'!C95)," ",'Spells or Powers'!C95),"|",IF(ISBLANK('Spells or Powers'!D95)," ",'Spells or Powers'!D95),"|",IF(ISBLANK('Spells or Powers'!E95)," ",'Spells or Powers'!E95),"|",IF(ISBLANK('Spells or Powers'!F95)," ",'Spells or Powers'!F95),"|",IF(ISBLANK('Spells or Powers'!G95)," ",'Spells or Powers'!G95),"|",IF(ISBLANK('Spells or Powers'!H95)," ",'Spells or Powers'!H95),"|",IF(ISBLANK('Spells or Powers'!I95)," ",'Spells or Powers'!I95),"|",IF(ISBLANK('Spells or Powers'!J95)," ",'Spells or Powers'!J95),"|",IF(ISBLANK('Spells or Powers'!K95)," ",'Spells or Powers'!K95),"|",IF(ISBLANK('Spells or Powers'!L95)," ",'Spells or Powers'!L95),"|",IF(ISBLANK('Spells or Powers'!M95)," ",'Spells or Powers'!M95),"|",IF(ISBLANK('Spells or Powers'!N95)," ",'Spells or Powers'!N95),"|",IF(ISBLANK('Spells or Powers'!O95)," ",'Spells or Powers'!O95)))</f>
        <v>||||||||||||||</v>
      </c>
    </row>
    <row r="233" spans="1:1" x14ac:dyDescent="0.2">
      <c r="A233" s="440" t="str">
        <f>IF(ISBLANK('Spells or Powers'!A96),"||||||||||||||",CONCATENATE("[[",IF(ISBLANK('Spells or Powers'!A96)," ",'Spells or Powers'!A96),"|/Meta/Spells/",SUBSTITUTE((SUBSTITUTE(SUBSTITUTE(SUBSTITUTE(SUBSTITUTE(SUBSTITUTE(SUBSTITUTE(SUBSTITUTE(SUBSTITUTE(SUBSTITUTE(SUBSTITUTE(SUBSTITUTE(SUBSTITUTE(SUBSTITUTE(SUBSTITUTE(SUBSTITUTE(SUBSTITUTE('Spells or Powers'!A96,"/",""),"-",""),".",""),",",""),CHAR(34),""),"'",""),"&amp;",""),"*",""),"#",""),"!",""),"?",""),"@",""),":",""),";",""),"(",""),")",""))," ",""),"]]","|",IF(ISBLANK('Spells or Powers'!B96)," ",'Spells or Powers'!B96),"|",IF(ISBLANK('Spells or Powers'!C96)," ",'Spells or Powers'!C96),"|",IF(ISBLANK('Spells or Powers'!D96)," ",'Spells or Powers'!D96),"|",IF(ISBLANK('Spells or Powers'!E96)," ",'Spells or Powers'!E96),"|",IF(ISBLANK('Spells or Powers'!F96)," ",'Spells or Powers'!F96),"|",IF(ISBLANK('Spells or Powers'!G96)," ",'Spells or Powers'!G96),"|",IF(ISBLANK('Spells or Powers'!H96)," ",'Spells or Powers'!H96),"|",IF(ISBLANK('Spells or Powers'!I96)," ",'Spells or Powers'!I96),"|",IF(ISBLANK('Spells or Powers'!J96)," ",'Spells or Powers'!J96),"|",IF(ISBLANK('Spells or Powers'!K96)," ",'Spells or Powers'!K96),"|",IF(ISBLANK('Spells or Powers'!L96)," ",'Spells or Powers'!L96),"|",IF(ISBLANK('Spells or Powers'!M96)," ",'Spells or Powers'!M96),"|",IF(ISBLANK('Spells or Powers'!N96)," ",'Spells or Powers'!N96),"|",IF(ISBLANK('Spells or Powers'!O96)," ",'Spells or Powers'!O96)))</f>
        <v>||||||||||||||</v>
      </c>
    </row>
    <row r="234" spans="1:1" x14ac:dyDescent="0.2">
      <c r="A234" s="440" t="str">
        <f>IF(ISBLANK('Spells or Powers'!A97),"||||||||||||||",CONCATENATE("[[",IF(ISBLANK('Spells or Powers'!A97)," ",'Spells or Powers'!A97),"|/Meta/Spells/",SUBSTITUTE((SUBSTITUTE(SUBSTITUTE(SUBSTITUTE(SUBSTITUTE(SUBSTITUTE(SUBSTITUTE(SUBSTITUTE(SUBSTITUTE(SUBSTITUTE(SUBSTITUTE(SUBSTITUTE(SUBSTITUTE(SUBSTITUTE(SUBSTITUTE(SUBSTITUTE(SUBSTITUTE('Spells or Powers'!A97,"/",""),"-",""),".",""),",",""),CHAR(34),""),"'",""),"&amp;",""),"*",""),"#",""),"!",""),"?",""),"@",""),":",""),";",""),"(",""),")",""))," ",""),"]]","|",IF(ISBLANK('Spells or Powers'!B97)," ",'Spells or Powers'!B97),"|",IF(ISBLANK('Spells or Powers'!C97)," ",'Spells or Powers'!C97),"|",IF(ISBLANK('Spells or Powers'!D97)," ",'Spells or Powers'!D97),"|",IF(ISBLANK('Spells or Powers'!E97)," ",'Spells or Powers'!E97),"|",IF(ISBLANK('Spells or Powers'!F97)," ",'Spells or Powers'!F97),"|",IF(ISBLANK('Spells or Powers'!G97)," ",'Spells or Powers'!G97),"|",IF(ISBLANK('Spells or Powers'!H97)," ",'Spells or Powers'!H97),"|",IF(ISBLANK('Spells or Powers'!I97)," ",'Spells or Powers'!I97),"|",IF(ISBLANK('Spells or Powers'!J97)," ",'Spells or Powers'!J97),"|",IF(ISBLANK('Spells or Powers'!K97)," ",'Spells or Powers'!K97),"|",IF(ISBLANK('Spells or Powers'!L97)," ",'Spells or Powers'!L97),"|",IF(ISBLANK('Spells or Powers'!M97)," ",'Spells or Powers'!M97),"|",IF(ISBLANK('Spells or Powers'!N97)," ",'Spells or Powers'!N97),"|",IF(ISBLANK('Spells or Powers'!O97)," ",'Spells or Powers'!O97)))</f>
        <v>||||||||||||||</v>
      </c>
    </row>
    <row r="235" spans="1:1" x14ac:dyDescent="0.2">
      <c r="A235" s="440" t="str">
        <f>IF(ISBLANK('Spells or Powers'!A98),"||||||||||||||",CONCATENATE("[[",IF(ISBLANK('Spells or Powers'!A98)," ",'Spells or Powers'!A98),"|/Meta/Spells/",SUBSTITUTE((SUBSTITUTE(SUBSTITUTE(SUBSTITUTE(SUBSTITUTE(SUBSTITUTE(SUBSTITUTE(SUBSTITUTE(SUBSTITUTE(SUBSTITUTE(SUBSTITUTE(SUBSTITUTE(SUBSTITUTE(SUBSTITUTE(SUBSTITUTE(SUBSTITUTE(SUBSTITUTE('Spells or Powers'!A98,"/",""),"-",""),".",""),",",""),CHAR(34),""),"'",""),"&amp;",""),"*",""),"#",""),"!",""),"?",""),"@",""),":",""),";",""),"(",""),")",""))," ",""),"]]","|",IF(ISBLANK('Spells or Powers'!B98)," ",'Spells or Powers'!B98),"|",IF(ISBLANK('Spells or Powers'!C98)," ",'Spells or Powers'!C98),"|",IF(ISBLANK('Spells or Powers'!D98)," ",'Spells or Powers'!D98),"|",IF(ISBLANK('Spells or Powers'!E98)," ",'Spells or Powers'!E98),"|",IF(ISBLANK('Spells or Powers'!F98)," ",'Spells or Powers'!F98),"|",IF(ISBLANK('Spells or Powers'!G98)," ",'Spells or Powers'!G98),"|",IF(ISBLANK('Spells or Powers'!H98)," ",'Spells or Powers'!H98),"|",IF(ISBLANK('Spells or Powers'!I98)," ",'Spells or Powers'!I98),"|",IF(ISBLANK('Spells or Powers'!J98)," ",'Spells or Powers'!J98),"|",IF(ISBLANK('Spells or Powers'!K98)," ",'Spells or Powers'!K98),"|",IF(ISBLANK('Spells or Powers'!L98)," ",'Spells or Powers'!L98),"|",IF(ISBLANK('Spells or Powers'!M98)," ",'Spells or Powers'!M98),"|",IF(ISBLANK('Spells or Powers'!N98)," ",'Spells or Powers'!N98),"|",IF(ISBLANK('Spells or Powers'!O98)," ",'Spells or Powers'!O98)))</f>
        <v>||||||||||||||</v>
      </c>
    </row>
    <row r="236" spans="1:1" x14ac:dyDescent="0.2">
      <c r="A236" s="440" t="str">
        <f>IF(ISBLANK('Spells or Powers'!A99),"||||||||||||||",CONCATENATE("[[",IF(ISBLANK('Spells or Powers'!A99)," ",'Spells or Powers'!A99),"|/Meta/Spells/",SUBSTITUTE((SUBSTITUTE(SUBSTITUTE(SUBSTITUTE(SUBSTITUTE(SUBSTITUTE(SUBSTITUTE(SUBSTITUTE(SUBSTITUTE(SUBSTITUTE(SUBSTITUTE(SUBSTITUTE(SUBSTITUTE(SUBSTITUTE(SUBSTITUTE(SUBSTITUTE(SUBSTITUTE('Spells or Powers'!A99,"/",""),"-",""),".",""),",",""),CHAR(34),""),"'",""),"&amp;",""),"*",""),"#",""),"!",""),"?",""),"@",""),":",""),";",""),"(",""),")",""))," ",""),"]]","|",IF(ISBLANK('Spells or Powers'!B99)," ",'Spells or Powers'!B99),"|",IF(ISBLANK('Spells or Powers'!C99)," ",'Spells or Powers'!C99),"|",IF(ISBLANK('Spells or Powers'!D99)," ",'Spells or Powers'!D99),"|",IF(ISBLANK('Spells or Powers'!E99)," ",'Spells or Powers'!E99),"|",IF(ISBLANK('Spells or Powers'!F99)," ",'Spells or Powers'!F99),"|",IF(ISBLANK('Spells or Powers'!G99)," ",'Spells or Powers'!G99),"|",IF(ISBLANK('Spells or Powers'!H99)," ",'Spells or Powers'!H99),"|",IF(ISBLANK('Spells or Powers'!I99)," ",'Spells or Powers'!I99),"|",IF(ISBLANK('Spells or Powers'!J99)," ",'Spells or Powers'!J99),"|",IF(ISBLANK('Spells or Powers'!K99)," ",'Spells or Powers'!K99),"|",IF(ISBLANK('Spells or Powers'!L99)," ",'Spells or Powers'!L99),"|",IF(ISBLANK('Spells or Powers'!M99)," ",'Spells or Powers'!M99),"|",IF(ISBLANK('Spells or Powers'!N99)," ",'Spells or Powers'!N99),"|",IF(ISBLANK('Spells or Powers'!O99)," ",'Spells or Powers'!O99)))</f>
        <v>||||||||||||||</v>
      </c>
    </row>
    <row r="237" spans="1:1" x14ac:dyDescent="0.2">
      <c r="A237" s="440" t="str">
        <f>IF(ISBLANK('Spells or Powers'!A100),"||||||||||||||",CONCATENATE("[[",IF(ISBLANK('Spells or Powers'!A100)," ",'Spells or Powers'!A100),"|/Meta/Spells/",SUBSTITUTE((SUBSTITUTE(SUBSTITUTE(SUBSTITUTE(SUBSTITUTE(SUBSTITUTE(SUBSTITUTE(SUBSTITUTE(SUBSTITUTE(SUBSTITUTE(SUBSTITUTE(SUBSTITUTE(SUBSTITUTE(SUBSTITUTE(SUBSTITUTE(SUBSTITUTE(SUBSTITUTE('Spells or Powers'!A100,"/",""),"-",""),".",""),",",""),CHAR(34),""),"'",""),"&amp;",""),"*",""),"#",""),"!",""),"?",""),"@",""),":",""),";",""),"(",""),")",""))," ",""),"]]","|",IF(ISBLANK('Spells or Powers'!B100)," ",'Spells or Powers'!B100),"|",IF(ISBLANK('Spells or Powers'!C100)," ",'Spells or Powers'!C100),"|",IF(ISBLANK('Spells or Powers'!D100)," ",'Spells or Powers'!D100),"|",IF(ISBLANK('Spells or Powers'!E100)," ",'Spells or Powers'!E100),"|",IF(ISBLANK('Spells or Powers'!F100)," ",'Spells or Powers'!F100),"|",IF(ISBLANK('Spells or Powers'!G100)," ",'Spells or Powers'!G100),"|",IF(ISBLANK('Spells or Powers'!H100)," ",'Spells or Powers'!H100),"|",IF(ISBLANK('Spells or Powers'!I100)," ",'Spells or Powers'!I100),"|",IF(ISBLANK('Spells or Powers'!J100)," ",'Spells or Powers'!J100),"|",IF(ISBLANK('Spells or Powers'!K100)," ",'Spells or Powers'!K100),"|",IF(ISBLANK('Spells or Powers'!L100)," ",'Spells or Powers'!L100),"|",IF(ISBLANK('Spells or Powers'!M100)," ",'Spells or Powers'!M100),"|",IF(ISBLANK('Spells or Powers'!N100)," ",'Spells or Powers'!N100),"|",IF(ISBLANK('Spells or Powers'!O100)," ",'Spells or Powers'!O100)))</f>
        <v>||||||||||||||</v>
      </c>
    </row>
    <row r="238" spans="1:1" x14ac:dyDescent="0.2">
      <c r="A238" s="440" t="str">
        <f>IF(ISBLANK('Spells or Powers'!A101),"||||||||||||||",CONCATENATE("[[",IF(ISBLANK('Spells or Powers'!A101)," ",'Spells or Powers'!A101),"|/Meta/Spells/",SUBSTITUTE((SUBSTITUTE(SUBSTITUTE(SUBSTITUTE(SUBSTITUTE(SUBSTITUTE(SUBSTITUTE(SUBSTITUTE(SUBSTITUTE(SUBSTITUTE(SUBSTITUTE(SUBSTITUTE(SUBSTITUTE(SUBSTITUTE(SUBSTITUTE(SUBSTITUTE(SUBSTITUTE('Spells or Powers'!A101,"/",""),"-",""),".",""),",",""),CHAR(34),""),"'",""),"&amp;",""),"*",""),"#",""),"!",""),"?",""),"@",""),":",""),";",""),"(",""),")",""))," ",""),"]]","|",IF(ISBLANK('Spells or Powers'!B101)," ",'Spells or Powers'!B101),"|",IF(ISBLANK('Spells or Powers'!C101)," ",'Spells or Powers'!C101),"|",IF(ISBLANK('Spells or Powers'!D101)," ",'Spells or Powers'!D101),"|",IF(ISBLANK('Spells or Powers'!E101)," ",'Spells or Powers'!E101),"|",IF(ISBLANK('Spells or Powers'!F101)," ",'Spells or Powers'!F101),"|",IF(ISBLANK('Spells or Powers'!G101)," ",'Spells or Powers'!G101),"|",IF(ISBLANK('Spells or Powers'!H101)," ",'Spells or Powers'!H101),"|",IF(ISBLANK('Spells or Powers'!I101)," ",'Spells or Powers'!I101),"|",IF(ISBLANK('Spells or Powers'!J101)," ",'Spells or Powers'!J101),"|",IF(ISBLANK('Spells or Powers'!K101)," ",'Spells or Powers'!K101),"|",IF(ISBLANK('Spells or Powers'!L101)," ",'Spells or Powers'!L101),"|",IF(ISBLANK('Spells or Powers'!M101)," ",'Spells or Powers'!M101),"|",IF(ISBLANK('Spells or Powers'!N101)," ",'Spells or Powers'!N101),"|",IF(ISBLANK('Spells or Powers'!O101)," ",'Spells or Powers'!O101)))</f>
        <v>||||||||||||||</v>
      </c>
    </row>
    <row r="239" spans="1:1" x14ac:dyDescent="0.2">
      <c r="A239" s="440" t="str">
        <f>IF(ISBLANK('Spells or Powers'!A102),"||||||||||||||",CONCATENATE("[[",IF(ISBLANK('Spells or Powers'!A102)," ",'Spells or Powers'!A102),"|/Meta/Spells/",SUBSTITUTE((SUBSTITUTE(SUBSTITUTE(SUBSTITUTE(SUBSTITUTE(SUBSTITUTE(SUBSTITUTE(SUBSTITUTE(SUBSTITUTE(SUBSTITUTE(SUBSTITUTE(SUBSTITUTE(SUBSTITUTE(SUBSTITUTE(SUBSTITUTE(SUBSTITUTE(SUBSTITUTE('Spells or Powers'!A102,"/",""),"-",""),".",""),",",""),CHAR(34),""),"'",""),"&amp;",""),"*",""),"#",""),"!",""),"?",""),"@",""),":",""),";",""),"(",""),")",""))," ",""),"]]","|",IF(ISBLANK('Spells or Powers'!B102)," ",'Spells or Powers'!B102),"|",IF(ISBLANK('Spells or Powers'!C102)," ",'Spells or Powers'!C102),"|",IF(ISBLANK('Spells or Powers'!D102)," ",'Spells or Powers'!D102),"|",IF(ISBLANK('Spells or Powers'!E102)," ",'Spells or Powers'!E102),"|",IF(ISBLANK('Spells or Powers'!F102)," ",'Spells or Powers'!F102),"|",IF(ISBLANK('Spells or Powers'!G102)," ",'Spells or Powers'!G102),"|",IF(ISBLANK('Spells or Powers'!H102)," ",'Spells or Powers'!H102),"|",IF(ISBLANK('Spells or Powers'!I102)," ",'Spells or Powers'!I102),"|",IF(ISBLANK('Spells or Powers'!J102)," ",'Spells or Powers'!J102),"|",IF(ISBLANK('Spells or Powers'!K102)," ",'Spells or Powers'!K102),"|",IF(ISBLANK('Spells or Powers'!L102)," ",'Spells or Powers'!L102),"|",IF(ISBLANK('Spells or Powers'!M102)," ",'Spells or Powers'!M102),"|",IF(ISBLANK('Spells or Powers'!N102)," ",'Spells or Powers'!N102),"|",IF(ISBLANK('Spells or Powers'!O102)," ",'Spells or Powers'!O102)))</f>
        <v>||||||||||||||</v>
      </c>
    </row>
    <row r="240" spans="1:1" x14ac:dyDescent="0.2">
      <c r="A240" s="440" t="str">
        <f>IF(ISBLANK('Spells or Powers'!A103),"||||||||||||||",CONCATENATE("[[",IF(ISBLANK('Spells or Powers'!A103)," ",'Spells or Powers'!A103),"|/Meta/Spells/",SUBSTITUTE((SUBSTITUTE(SUBSTITUTE(SUBSTITUTE(SUBSTITUTE(SUBSTITUTE(SUBSTITUTE(SUBSTITUTE(SUBSTITUTE(SUBSTITUTE(SUBSTITUTE(SUBSTITUTE(SUBSTITUTE(SUBSTITUTE(SUBSTITUTE(SUBSTITUTE(SUBSTITUTE('Spells or Powers'!A103,"/",""),"-",""),".",""),",",""),CHAR(34),""),"'",""),"&amp;",""),"*",""),"#",""),"!",""),"?",""),"@",""),":",""),";",""),"(",""),")",""))," ",""),"]]","|",IF(ISBLANK('Spells or Powers'!B103)," ",'Spells or Powers'!B103),"|",IF(ISBLANK('Spells or Powers'!C103)," ",'Spells or Powers'!C103),"|",IF(ISBLANK('Spells or Powers'!D103)," ",'Spells or Powers'!D103),"|",IF(ISBLANK('Spells or Powers'!E103)," ",'Spells or Powers'!E103),"|",IF(ISBLANK('Spells or Powers'!F103)," ",'Spells or Powers'!F103),"|",IF(ISBLANK('Spells or Powers'!G103)," ",'Spells or Powers'!G103),"|",IF(ISBLANK('Spells or Powers'!H103)," ",'Spells or Powers'!H103),"|",IF(ISBLANK('Spells or Powers'!I103)," ",'Spells or Powers'!I103),"|",IF(ISBLANK('Spells or Powers'!J103)," ",'Spells or Powers'!J103),"|",IF(ISBLANK('Spells or Powers'!K103)," ",'Spells or Powers'!K103),"|",IF(ISBLANK('Spells or Powers'!L103)," ",'Spells or Powers'!L103),"|",IF(ISBLANK('Spells or Powers'!M103)," ",'Spells or Powers'!M103),"|",IF(ISBLANK('Spells or Powers'!N103)," ",'Spells or Powers'!N103),"|",IF(ISBLANK('Spells or Powers'!O103)," ",'Spells or Powers'!O103)))</f>
        <v>||||||||||||||</v>
      </c>
    </row>
    <row r="241" spans="1:1" x14ac:dyDescent="0.2">
      <c r="A241" s="440" t="str">
        <f>IF(ISBLANK('Spells or Powers'!A104),"||||||||||||||",CONCATENATE("[[",IF(ISBLANK('Spells or Powers'!A104)," ",'Spells or Powers'!A104),"|/Meta/Spells/",SUBSTITUTE((SUBSTITUTE(SUBSTITUTE(SUBSTITUTE(SUBSTITUTE(SUBSTITUTE(SUBSTITUTE(SUBSTITUTE(SUBSTITUTE(SUBSTITUTE(SUBSTITUTE(SUBSTITUTE(SUBSTITUTE(SUBSTITUTE(SUBSTITUTE(SUBSTITUTE(SUBSTITUTE('Spells or Powers'!A104,"/",""),"-",""),".",""),",",""),CHAR(34),""),"'",""),"&amp;",""),"*",""),"#",""),"!",""),"?",""),"@",""),":",""),";",""),"(",""),")",""))," ",""),"]]","|",IF(ISBLANK('Spells or Powers'!B104)," ",'Spells or Powers'!B104),"|",IF(ISBLANK('Spells or Powers'!C104)," ",'Spells or Powers'!C104),"|",IF(ISBLANK('Spells or Powers'!D104)," ",'Spells or Powers'!D104),"|",IF(ISBLANK('Spells or Powers'!E104)," ",'Spells or Powers'!E104),"|",IF(ISBLANK('Spells or Powers'!F104)," ",'Spells or Powers'!F104),"|",IF(ISBLANK('Spells or Powers'!G104)," ",'Spells or Powers'!G104),"|",IF(ISBLANK('Spells or Powers'!H104)," ",'Spells or Powers'!H104),"|",IF(ISBLANK('Spells or Powers'!I104)," ",'Spells or Powers'!I104),"|",IF(ISBLANK('Spells or Powers'!J104)," ",'Spells or Powers'!J104),"|",IF(ISBLANK('Spells or Powers'!K104)," ",'Spells or Powers'!K104),"|",IF(ISBLANK('Spells or Powers'!L104)," ",'Spells or Powers'!L104),"|",IF(ISBLANK('Spells or Powers'!M104)," ",'Spells or Powers'!M104),"|",IF(ISBLANK('Spells or Powers'!N104)," ",'Spells or Powers'!N104),"|",IF(ISBLANK('Spells or Powers'!O104)," ",'Spells or Powers'!O104)))</f>
        <v>||||||||||||||</v>
      </c>
    </row>
    <row r="242" spans="1:1" x14ac:dyDescent="0.2">
      <c r="A242" s="440" t="str">
        <f>IF(ISBLANK('Spells or Powers'!A105),"||||||||||||||",CONCATENATE("[[",IF(ISBLANK('Spells or Powers'!A105)," ",'Spells or Powers'!A105),"|/Meta/Spells/",SUBSTITUTE((SUBSTITUTE(SUBSTITUTE(SUBSTITUTE(SUBSTITUTE(SUBSTITUTE(SUBSTITUTE(SUBSTITUTE(SUBSTITUTE(SUBSTITUTE(SUBSTITUTE(SUBSTITUTE(SUBSTITUTE(SUBSTITUTE(SUBSTITUTE(SUBSTITUTE(SUBSTITUTE('Spells or Powers'!A105,"/",""),"-",""),".",""),",",""),CHAR(34),""),"'",""),"&amp;",""),"*",""),"#",""),"!",""),"?",""),"@",""),":",""),";",""),"(",""),")",""))," ",""),"]]","|",IF(ISBLANK('Spells or Powers'!B105)," ",'Spells or Powers'!B105),"|",IF(ISBLANK('Spells or Powers'!C105)," ",'Spells or Powers'!C105),"|",IF(ISBLANK('Spells or Powers'!D105)," ",'Spells or Powers'!D105),"|",IF(ISBLANK('Spells or Powers'!E105)," ",'Spells or Powers'!E105),"|",IF(ISBLANK('Spells or Powers'!F105)," ",'Spells or Powers'!F105),"|",IF(ISBLANK('Spells or Powers'!G105)," ",'Spells or Powers'!G105),"|",IF(ISBLANK('Spells or Powers'!H105)," ",'Spells or Powers'!H105),"|",IF(ISBLANK('Spells or Powers'!I105)," ",'Spells or Powers'!I105),"|",IF(ISBLANK('Spells or Powers'!J105)," ",'Spells or Powers'!J105),"|",IF(ISBLANK('Spells or Powers'!K105)," ",'Spells or Powers'!K105),"|",IF(ISBLANK('Spells or Powers'!L105)," ",'Spells or Powers'!L105),"|",IF(ISBLANK('Spells or Powers'!M105)," ",'Spells or Powers'!M105),"|",IF(ISBLANK('Spells or Powers'!N105)," ",'Spells or Powers'!N105),"|",IF(ISBLANK('Spells or Powers'!O105)," ",'Spells or Powers'!O105)))</f>
        <v>||||||||||||||</v>
      </c>
    </row>
    <row r="243" spans="1:1" x14ac:dyDescent="0.2">
      <c r="A243" s="440" t="str">
        <f>IF(ISBLANK('Spells or Powers'!A106),"||||||||||||||",CONCATENATE("[[",IF(ISBLANK('Spells or Powers'!A106)," ",'Spells or Powers'!A106),"|/Meta/Spells/",SUBSTITUTE((SUBSTITUTE(SUBSTITUTE(SUBSTITUTE(SUBSTITUTE(SUBSTITUTE(SUBSTITUTE(SUBSTITUTE(SUBSTITUTE(SUBSTITUTE(SUBSTITUTE(SUBSTITUTE(SUBSTITUTE(SUBSTITUTE(SUBSTITUTE(SUBSTITUTE(SUBSTITUTE('Spells or Powers'!A106,"/",""),"-",""),".",""),",",""),CHAR(34),""),"'",""),"&amp;",""),"*",""),"#",""),"!",""),"?",""),"@",""),":",""),";",""),"(",""),")",""))," ",""),"]]","|",IF(ISBLANK('Spells or Powers'!B106)," ",'Spells or Powers'!B106),"|",IF(ISBLANK('Spells or Powers'!C106)," ",'Spells or Powers'!C106),"|",IF(ISBLANK('Spells or Powers'!D106)," ",'Spells or Powers'!D106),"|",IF(ISBLANK('Spells or Powers'!E106)," ",'Spells or Powers'!E106),"|",IF(ISBLANK('Spells or Powers'!F106)," ",'Spells or Powers'!F106),"|",IF(ISBLANK('Spells or Powers'!G106)," ",'Spells or Powers'!G106),"|",IF(ISBLANK('Spells or Powers'!H106)," ",'Spells or Powers'!H106),"|",IF(ISBLANK('Spells or Powers'!I106)," ",'Spells or Powers'!I106),"|",IF(ISBLANK('Spells or Powers'!J106)," ",'Spells or Powers'!J106),"|",IF(ISBLANK('Spells or Powers'!K106)," ",'Spells or Powers'!K106),"|",IF(ISBLANK('Spells or Powers'!L106)," ",'Spells or Powers'!L106),"|",IF(ISBLANK('Spells or Powers'!M106)," ",'Spells or Powers'!M106),"|",IF(ISBLANK('Spells or Powers'!N106)," ",'Spells or Powers'!N106),"|",IF(ISBLANK('Spells or Powers'!O106)," ",'Spells or Powers'!O106)))</f>
        <v>||||||||||||||</v>
      </c>
    </row>
    <row r="244" spans="1:1" x14ac:dyDescent="0.2">
      <c r="A244" s="440" t="str">
        <f>IF(ISBLANK('Spells or Powers'!A107),"||||||||||||||",CONCATENATE("[[",IF(ISBLANK('Spells or Powers'!A107)," ",'Spells or Powers'!A107),"|/Meta/Spells/",SUBSTITUTE((SUBSTITUTE(SUBSTITUTE(SUBSTITUTE(SUBSTITUTE(SUBSTITUTE(SUBSTITUTE(SUBSTITUTE(SUBSTITUTE(SUBSTITUTE(SUBSTITUTE(SUBSTITUTE(SUBSTITUTE(SUBSTITUTE(SUBSTITUTE(SUBSTITUTE(SUBSTITUTE('Spells or Powers'!A107,"/",""),"-",""),".",""),",",""),CHAR(34),""),"'",""),"&amp;",""),"*",""),"#",""),"!",""),"?",""),"@",""),":",""),";",""),"(",""),")",""))," ",""),"]]","|",IF(ISBLANK('Spells or Powers'!B107)," ",'Spells or Powers'!B107),"|",IF(ISBLANK('Spells or Powers'!C107)," ",'Spells or Powers'!C107),"|",IF(ISBLANK('Spells or Powers'!D107)," ",'Spells or Powers'!D107),"|",IF(ISBLANK('Spells or Powers'!E107)," ",'Spells or Powers'!E107),"|",IF(ISBLANK('Spells or Powers'!F107)," ",'Spells or Powers'!F107),"|",IF(ISBLANK('Spells or Powers'!G107)," ",'Spells or Powers'!G107),"|",IF(ISBLANK('Spells or Powers'!H107)," ",'Spells or Powers'!H107),"|",IF(ISBLANK('Spells or Powers'!I107)," ",'Spells or Powers'!I107),"|",IF(ISBLANK('Spells or Powers'!J107)," ",'Spells or Powers'!J107),"|",IF(ISBLANK('Spells or Powers'!K107)," ",'Spells or Powers'!K107),"|",IF(ISBLANK('Spells or Powers'!L107)," ",'Spells or Powers'!L107),"|",IF(ISBLANK('Spells or Powers'!M107)," ",'Spells or Powers'!M107),"|",IF(ISBLANK('Spells or Powers'!N107)," ",'Spells or Powers'!N107),"|",IF(ISBLANK('Spells or Powers'!O107)," ",'Spells or Powers'!O107)))</f>
        <v>||||||||||||||</v>
      </c>
    </row>
    <row r="245" spans="1:1" x14ac:dyDescent="0.2">
      <c r="A245" s="440" t="str">
        <f>IF(ISBLANK('Spells or Powers'!A108),"||||||||||||||",CONCATENATE("[[",IF(ISBLANK('Spells or Powers'!A108)," ",'Spells or Powers'!A108),"|/Meta/Spells/",SUBSTITUTE((SUBSTITUTE(SUBSTITUTE(SUBSTITUTE(SUBSTITUTE(SUBSTITUTE(SUBSTITUTE(SUBSTITUTE(SUBSTITUTE(SUBSTITUTE(SUBSTITUTE(SUBSTITUTE(SUBSTITUTE(SUBSTITUTE(SUBSTITUTE(SUBSTITUTE(SUBSTITUTE('Spells or Powers'!A108,"/",""),"-",""),".",""),",",""),CHAR(34),""),"'",""),"&amp;",""),"*",""),"#",""),"!",""),"?",""),"@",""),":",""),";",""),"(",""),")",""))," ",""),"]]","|",IF(ISBLANK('Spells or Powers'!B108)," ",'Spells or Powers'!B108),"|",IF(ISBLANK('Spells or Powers'!C108)," ",'Spells or Powers'!C108),"|",IF(ISBLANK('Spells or Powers'!D108)," ",'Spells or Powers'!D108),"|",IF(ISBLANK('Spells or Powers'!E108)," ",'Spells or Powers'!E108),"|",IF(ISBLANK('Spells or Powers'!F108)," ",'Spells or Powers'!F108),"|",IF(ISBLANK('Spells or Powers'!G108)," ",'Spells or Powers'!G108),"|",IF(ISBLANK('Spells or Powers'!H108)," ",'Spells or Powers'!H108),"|",IF(ISBLANK('Spells or Powers'!I108)," ",'Spells or Powers'!I108),"|",IF(ISBLANK('Spells or Powers'!J108)," ",'Spells or Powers'!J108),"|",IF(ISBLANK('Spells or Powers'!K108)," ",'Spells or Powers'!K108),"|",IF(ISBLANK('Spells or Powers'!L108)," ",'Spells or Powers'!L108),"|",IF(ISBLANK('Spells or Powers'!M108)," ",'Spells or Powers'!M108),"|",IF(ISBLANK('Spells or Powers'!N108)," ",'Spells or Powers'!N108),"|",IF(ISBLANK('Spells or Powers'!O108)," ",'Spells or Powers'!O108)))</f>
        <v>||||||||||||||</v>
      </c>
    </row>
    <row r="246" spans="1:1" x14ac:dyDescent="0.2">
      <c r="A246" s="440" t="str">
        <f>IF(ISBLANK('Spells or Powers'!A109),"||||||||||||||",CONCATENATE("[[",IF(ISBLANK('Spells or Powers'!A109)," ",'Spells or Powers'!A109),"|/Meta/Spells/",SUBSTITUTE((SUBSTITUTE(SUBSTITUTE(SUBSTITUTE(SUBSTITUTE(SUBSTITUTE(SUBSTITUTE(SUBSTITUTE(SUBSTITUTE(SUBSTITUTE(SUBSTITUTE(SUBSTITUTE(SUBSTITUTE(SUBSTITUTE(SUBSTITUTE(SUBSTITUTE(SUBSTITUTE('Spells or Powers'!A109,"/",""),"-",""),".",""),",",""),CHAR(34),""),"'",""),"&amp;",""),"*",""),"#",""),"!",""),"?",""),"@",""),":",""),";",""),"(",""),")",""))," ",""),"]]","|",IF(ISBLANK('Spells or Powers'!B109)," ",'Spells or Powers'!B109),"|",IF(ISBLANK('Spells or Powers'!C109)," ",'Spells or Powers'!C109),"|",IF(ISBLANK('Spells or Powers'!D109)," ",'Spells or Powers'!D109),"|",IF(ISBLANK('Spells or Powers'!E109)," ",'Spells or Powers'!E109),"|",IF(ISBLANK('Spells or Powers'!F109)," ",'Spells or Powers'!F109),"|",IF(ISBLANK('Spells or Powers'!G109)," ",'Spells or Powers'!G109),"|",IF(ISBLANK('Spells or Powers'!H109)," ",'Spells or Powers'!H109),"|",IF(ISBLANK('Spells or Powers'!I109)," ",'Spells or Powers'!I109),"|",IF(ISBLANK('Spells or Powers'!J109)," ",'Spells or Powers'!J109),"|",IF(ISBLANK('Spells or Powers'!K109)," ",'Spells or Powers'!K109),"|",IF(ISBLANK('Spells or Powers'!L109)," ",'Spells or Powers'!L109),"|",IF(ISBLANK('Spells or Powers'!M109)," ",'Spells or Powers'!M109),"|",IF(ISBLANK('Spells or Powers'!N109)," ",'Spells or Powers'!N109),"|",IF(ISBLANK('Spells or Powers'!O109)," ",'Spells or Powers'!O109)))</f>
        <v>||||||||||||||</v>
      </c>
    </row>
    <row r="247" spans="1:1" x14ac:dyDescent="0.2">
      <c r="A247" s="440" t="str">
        <f>IF(ISBLANK('Spells or Powers'!A110),"||||||||||||||",CONCATENATE("[[",IF(ISBLANK('Spells or Powers'!A110)," ",'Spells or Powers'!A110),"|/Meta/Spells/",SUBSTITUTE((SUBSTITUTE(SUBSTITUTE(SUBSTITUTE(SUBSTITUTE(SUBSTITUTE(SUBSTITUTE(SUBSTITUTE(SUBSTITUTE(SUBSTITUTE(SUBSTITUTE(SUBSTITUTE(SUBSTITUTE(SUBSTITUTE(SUBSTITUTE(SUBSTITUTE(SUBSTITUTE('Spells or Powers'!A110,"/",""),"-",""),".",""),",",""),CHAR(34),""),"'",""),"&amp;",""),"*",""),"#",""),"!",""),"?",""),"@",""),":",""),";",""),"(",""),")",""))," ",""),"]]","|",IF(ISBLANK('Spells or Powers'!B110)," ",'Spells or Powers'!B110),"|",IF(ISBLANK('Spells or Powers'!C110)," ",'Spells or Powers'!C110),"|",IF(ISBLANK('Spells or Powers'!D110)," ",'Spells or Powers'!D110),"|",IF(ISBLANK('Spells or Powers'!E110)," ",'Spells or Powers'!E110),"|",IF(ISBLANK('Spells or Powers'!F110)," ",'Spells or Powers'!F110),"|",IF(ISBLANK('Spells or Powers'!G110)," ",'Spells or Powers'!G110),"|",IF(ISBLANK('Spells or Powers'!H110)," ",'Spells or Powers'!H110),"|",IF(ISBLANK('Spells or Powers'!I110)," ",'Spells or Powers'!I110),"|",IF(ISBLANK('Spells or Powers'!J110)," ",'Spells or Powers'!J110),"|",IF(ISBLANK('Spells or Powers'!K110)," ",'Spells or Powers'!K110),"|",IF(ISBLANK('Spells or Powers'!L110)," ",'Spells or Powers'!L110),"|",IF(ISBLANK('Spells or Powers'!M110)," ",'Spells or Powers'!M110),"|",IF(ISBLANK('Spells or Powers'!N110)," ",'Spells or Powers'!N110),"|",IF(ISBLANK('Spells or Powers'!O110)," ",'Spells or Powers'!O110)))</f>
        <v>||||||||||||||</v>
      </c>
    </row>
    <row r="248" spans="1:1" x14ac:dyDescent="0.2">
      <c r="A248" s="440" t="str">
        <f>IF(ISBLANK('Spells or Powers'!A111),"||||||||||||||",CONCATENATE("[[",IF(ISBLANK('Spells or Powers'!A111)," ",'Spells or Powers'!A111),"|/Meta/Spells/",SUBSTITUTE((SUBSTITUTE(SUBSTITUTE(SUBSTITUTE(SUBSTITUTE(SUBSTITUTE(SUBSTITUTE(SUBSTITUTE(SUBSTITUTE(SUBSTITUTE(SUBSTITUTE(SUBSTITUTE(SUBSTITUTE(SUBSTITUTE(SUBSTITUTE(SUBSTITUTE(SUBSTITUTE('Spells or Powers'!A111,"/",""),"-",""),".",""),",",""),CHAR(34),""),"'",""),"&amp;",""),"*",""),"#",""),"!",""),"?",""),"@",""),":",""),";",""),"(",""),")",""))," ",""),"]]","|",IF(ISBLANK('Spells or Powers'!B111)," ",'Spells or Powers'!B111),"|",IF(ISBLANK('Spells or Powers'!C111)," ",'Spells or Powers'!C111),"|",IF(ISBLANK('Spells or Powers'!D111)," ",'Spells or Powers'!D111),"|",IF(ISBLANK('Spells or Powers'!E111)," ",'Spells or Powers'!E111),"|",IF(ISBLANK('Spells or Powers'!F111)," ",'Spells or Powers'!F111),"|",IF(ISBLANK('Spells or Powers'!G111)," ",'Spells or Powers'!G111),"|",IF(ISBLANK('Spells or Powers'!H111)," ",'Spells or Powers'!H111),"|",IF(ISBLANK('Spells or Powers'!I111)," ",'Spells or Powers'!I111),"|",IF(ISBLANK('Spells or Powers'!J111)," ",'Spells or Powers'!J111),"|",IF(ISBLANK('Spells or Powers'!K111)," ",'Spells or Powers'!K111),"|",IF(ISBLANK('Spells or Powers'!L111)," ",'Spells or Powers'!L111),"|",IF(ISBLANK('Spells or Powers'!M111)," ",'Spells or Powers'!M111),"|",IF(ISBLANK('Spells or Powers'!N111)," ",'Spells or Powers'!N111),"|",IF(ISBLANK('Spells or Powers'!O111)," ",'Spells or Powers'!O111)))</f>
        <v>||||||||||||||</v>
      </c>
    </row>
    <row r="249" spans="1:1" x14ac:dyDescent="0.2">
      <c r="A249" s="440" t="str">
        <f>IF(ISBLANK('Spells or Powers'!A112),"||||||||||||||",CONCATENATE("[[",IF(ISBLANK('Spells or Powers'!A112)," ",'Spells or Powers'!A112),"|/Meta/Spells/",SUBSTITUTE((SUBSTITUTE(SUBSTITUTE(SUBSTITUTE(SUBSTITUTE(SUBSTITUTE(SUBSTITUTE(SUBSTITUTE(SUBSTITUTE(SUBSTITUTE(SUBSTITUTE(SUBSTITUTE(SUBSTITUTE(SUBSTITUTE(SUBSTITUTE(SUBSTITUTE(SUBSTITUTE('Spells or Powers'!A112,"/",""),"-",""),".",""),",",""),CHAR(34),""),"'",""),"&amp;",""),"*",""),"#",""),"!",""),"?",""),"@",""),":",""),";",""),"(",""),")",""))," ",""),"]]","|",IF(ISBLANK('Spells or Powers'!B112)," ",'Spells or Powers'!B112),"|",IF(ISBLANK('Spells or Powers'!C112)," ",'Spells or Powers'!C112),"|",IF(ISBLANK('Spells or Powers'!D112)," ",'Spells or Powers'!D112),"|",IF(ISBLANK('Spells or Powers'!E112)," ",'Spells or Powers'!E112),"|",IF(ISBLANK('Spells or Powers'!F112)," ",'Spells or Powers'!F112),"|",IF(ISBLANK('Spells or Powers'!G112)," ",'Spells or Powers'!G112),"|",IF(ISBLANK('Spells or Powers'!H112)," ",'Spells or Powers'!H112),"|",IF(ISBLANK('Spells or Powers'!I112)," ",'Spells or Powers'!I112),"|",IF(ISBLANK('Spells or Powers'!J112)," ",'Spells or Powers'!J112),"|",IF(ISBLANK('Spells or Powers'!K112)," ",'Spells or Powers'!K112),"|",IF(ISBLANK('Spells or Powers'!L112)," ",'Spells or Powers'!L112),"|",IF(ISBLANK('Spells or Powers'!M112)," ",'Spells or Powers'!M112),"|",IF(ISBLANK('Spells or Powers'!N112)," ",'Spells or Powers'!N112),"|",IF(ISBLANK('Spells or Powers'!O112)," ",'Spells or Powers'!O112)))</f>
        <v>||||||||||||||</v>
      </c>
    </row>
    <row r="250" spans="1:1" x14ac:dyDescent="0.2">
      <c r="A250" s="440" t="str">
        <f>IF(ISBLANK('Spells or Powers'!A113),"||||||||||||||",CONCATENATE("[[",IF(ISBLANK('Spells or Powers'!A113)," ",'Spells or Powers'!A113),"|/Meta/Spells/",SUBSTITUTE((SUBSTITUTE(SUBSTITUTE(SUBSTITUTE(SUBSTITUTE(SUBSTITUTE(SUBSTITUTE(SUBSTITUTE(SUBSTITUTE(SUBSTITUTE(SUBSTITUTE(SUBSTITUTE(SUBSTITUTE(SUBSTITUTE(SUBSTITUTE(SUBSTITUTE(SUBSTITUTE('Spells or Powers'!A113,"/",""),"-",""),".",""),",",""),CHAR(34),""),"'",""),"&amp;",""),"*",""),"#",""),"!",""),"?",""),"@",""),":",""),";",""),"(",""),")",""))," ",""),"]]","|",IF(ISBLANK('Spells or Powers'!B113)," ",'Spells or Powers'!B113),"|",IF(ISBLANK('Spells or Powers'!C113)," ",'Spells or Powers'!C113),"|",IF(ISBLANK('Spells or Powers'!D113)," ",'Spells or Powers'!D113),"|",IF(ISBLANK('Spells or Powers'!E113)," ",'Spells or Powers'!E113),"|",IF(ISBLANK('Spells or Powers'!F113)," ",'Spells or Powers'!F113),"|",IF(ISBLANK('Spells or Powers'!G113)," ",'Spells or Powers'!G113),"|",IF(ISBLANK('Spells or Powers'!H113)," ",'Spells or Powers'!H113),"|",IF(ISBLANK('Spells or Powers'!I113)," ",'Spells or Powers'!I113),"|",IF(ISBLANK('Spells or Powers'!J113)," ",'Spells or Powers'!J113),"|",IF(ISBLANK('Spells or Powers'!K113)," ",'Spells or Powers'!K113),"|",IF(ISBLANK('Spells or Powers'!L113)," ",'Spells or Powers'!L113),"|",IF(ISBLANK('Spells or Powers'!M113)," ",'Spells or Powers'!M113),"|",IF(ISBLANK('Spells or Powers'!N113)," ",'Spells or Powers'!N113),"|",IF(ISBLANK('Spells or Powers'!O113)," ",'Spells or Powers'!O113)))</f>
        <v>||||||||||||||</v>
      </c>
    </row>
    <row r="251" spans="1:1" x14ac:dyDescent="0.2">
      <c r="A251" s="440" t="str">
        <f>IF(ISBLANK('Spells or Powers'!A114),"||||||||||||||",CONCATENATE("[[",IF(ISBLANK('Spells or Powers'!A114)," ",'Spells or Powers'!A114),"|/Meta/Spells/",SUBSTITUTE((SUBSTITUTE(SUBSTITUTE(SUBSTITUTE(SUBSTITUTE(SUBSTITUTE(SUBSTITUTE(SUBSTITUTE(SUBSTITUTE(SUBSTITUTE(SUBSTITUTE(SUBSTITUTE(SUBSTITUTE(SUBSTITUTE(SUBSTITUTE(SUBSTITUTE(SUBSTITUTE('Spells or Powers'!A114,"/",""),"-",""),".",""),",",""),CHAR(34),""),"'",""),"&amp;",""),"*",""),"#",""),"!",""),"?",""),"@",""),":",""),";",""),"(",""),")",""))," ",""),"]]","|",IF(ISBLANK('Spells or Powers'!B114)," ",'Spells or Powers'!B114),"|",IF(ISBLANK('Spells or Powers'!C114)," ",'Spells or Powers'!C114),"|",IF(ISBLANK('Spells or Powers'!D114)," ",'Spells or Powers'!D114),"|",IF(ISBLANK('Spells or Powers'!E114)," ",'Spells or Powers'!E114),"|",IF(ISBLANK('Spells or Powers'!F114)," ",'Spells or Powers'!F114),"|",IF(ISBLANK('Spells or Powers'!G114)," ",'Spells or Powers'!G114),"|",IF(ISBLANK('Spells or Powers'!H114)," ",'Spells or Powers'!H114),"|",IF(ISBLANK('Spells or Powers'!I114)," ",'Spells or Powers'!I114),"|",IF(ISBLANK('Spells or Powers'!J114)," ",'Spells or Powers'!J114),"|",IF(ISBLANK('Spells or Powers'!K114)," ",'Spells or Powers'!K114),"|",IF(ISBLANK('Spells or Powers'!L114)," ",'Spells or Powers'!L114),"|",IF(ISBLANK('Spells or Powers'!M114)," ",'Spells or Powers'!M114),"|",IF(ISBLANK('Spells or Powers'!N114)," ",'Spells or Powers'!N114),"|",IF(ISBLANK('Spells or Powers'!O114)," ",'Spells or Powers'!O114)))</f>
        <v>||||||||||||||</v>
      </c>
    </row>
    <row r="252" spans="1:1" x14ac:dyDescent="0.2">
      <c r="A252" s="440" t="str">
        <f>IF(ISBLANK('Spells or Powers'!A115),"||||||||||||||",CONCATENATE("[[",IF(ISBLANK('Spells or Powers'!A115)," ",'Spells or Powers'!A115),"|/Meta/Spells/",SUBSTITUTE((SUBSTITUTE(SUBSTITUTE(SUBSTITUTE(SUBSTITUTE(SUBSTITUTE(SUBSTITUTE(SUBSTITUTE(SUBSTITUTE(SUBSTITUTE(SUBSTITUTE(SUBSTITUTE(SUBSTITUTE(SUBSTITUTE(SUBSTITUTE(SUBSTITUTE(SUBSTITUTE('Spells or Powers'!A115,"/",""),"-",""),".",""),",",""),CHAR(34),""),"'",""),"&amp;",""),"*",""),"#",""),"!",""),"?",""),"@",""),":",""),";",""),"(",""),")",""))," ",""),"]]","|",IF(ISBLANK('Spells or Powers'!B115)," ",'Spells or Powers'!B115),"|",IF(ISBLANK('Spells or Powers'!C115)," ",'Spells or Powers'!C115),"|",IF(ISBLANK('Spells or Powers'!D115)," ",'Spells or Powers'!D115),"|",IF(ISBLANK('Spells or Powers'!E115)," ",'Spells or Powers'!E115),"|",IF(ISBLANK('Spells or Powers'!F115)," ",'Spells or Powers'!F115),"|",IF(ISBLANK('Spells or Powers'!G115)," ",'Spells or Powers'!G115),"|",IF(ISBLANK('Spells or Powers'!H115)," ",'Spells or Powers'!H115),"|",IF(ISBLANK('Spells or Powers'!I115)," ",'Spells or Powers'!I115),"|",IF(ISBLANK('Spells or Powers'!J115)," ",'Spells or Powers'!J115),"|",IF(ISBLANK('Spells or Powers'!K115)," ",'Spells or Powers'!K115),"|",IF(ISBLANK('Spells or Powers'!L115)," ",'Spells or Powers'!L115),"|",IF(ISBLANK('Spells or Powers'!M115)," ",'Spells or Powers'!M115),"|",IF(ISBLANK('Spells or Powers'!N115)," ",'Spells or Powers'!N115),"|",IF(ISBLANK('Spells or Powers'!O115)," ",'Spells or Powers'!O115)))</f>
        <v>||||||||||||||</v>
      </c>
    </row>
    <row r="253" spans="1:1" x14ac:dyDescent="0.2">
      <c r="A253" s="440" t="str">
        <f>IF(ISBLANK('Spells or Powers'!A116),"||||||||||||||",CONCATENATE("[[",IF(ISBLANK('Spells or Powers'!A116)," ",'Spells or Powers'!A116),"|/Meta/Spells/",SUBSTITUTE((SUBSTITUTE(SUBSTITUTE(SUBSTITUTE(SUBSTITUTE(SUBSTITUTE(SUBSTITUTE(SUBSTITUTE(SUBSTITUTE(SUBSTITUTE(SUBSTITUTE(SUBSTITUTE(SUBSTITUTE(SUBSTITUTE(SUBSTITUTE(SUBSTITUTE(SUBSTITUTE('Spells or Powers'!A116,"/",""),"-",""),".",""),",",""),CHAR(34),""),"'",""),"&amp;",""),"*",""),"#",""),"!",""),"?",""),"@",""),":",""),";",""),"(",""),")",""))," ",""),"]]","|",IF(ISBLANK('Spells or Powers'!B116)," ",'Spells or Powers'!B116),"|",IF(ISBLANK('Spells or Powers'!C116)," ",'Spells or Powers'!C116),"|",IF(ISBLANK('Spells or Powers'!D116)," ",'Spells or Powers'!D116),"|",IF(ISBLANK('Spells or Powers'!E116)," ",'Spells or Powers'!E116),"|",IF(ISBLANK('Spells or Powers'!F116)," ",'Spells or Powers'!F116),"|",IF(ISBLANK('Spells or Powers'!G116)," ",'Spells or Powers'!G116),"|",IF(ISBLANK('Spells or Powers'!H116)," ",'Spells or Powers'!H116),"|",IF(ISBLANK('Spells or Powers'!I116)," ",'Spells or Powers'!I116),"|",IF(ISBLANK('Spells or Powers'!J116)," ",'Spells or Powers'!J116),"|",IF(ISBLANK('Spells or Powers'!K116)," ",'Spells or Powers'!K116),"|",IF(ISBLANK('Spells or Powers'!L116)," ",'Spells or Powers'!L116),"|",IF(ISBLANK('Spells or Powers'!M116)," ",'Spells or Powers'!M116),"|",IF(ISBLANK('Spells or Powers'!N116)," ",'Spells or Powers'!N116),"|",IF(ISBLANK('Spells or Powers'!O116)," ",'Spells or Powers'!O116)))</f>
        <v>||||||||||||||</v>
      </c>
    </row>
    <row r="254" spans="1:1" x14ac:dyDescent="0.2">
      <c r="A254" s="440" t="str">
        <f>IF(ISBLANK('Spells or Powers'!A117),"||||||||||||||",CONCATENATE("[[",IF(ISBLANK('Spells or Powers'!A117)," ",'Spells or Powers'!A117),"|/Meta/Spells/",SUBSTITUTE((SUBSTITUTE(SUBSTITUTE(SUBSTITUTE(SUBSTITUTE(SUBSTITUTE(SUBSTITUTE(SUBSTITUTE(SUBSTITUTE(SUBSTITUTE(SUBSTITUTE(SUBSTITUTE(SUBSTITUTE(SUBSTITUTE(SUBSTITUTE(SUBSTITUTE(SUBSTITUTE('Spells or Powers'!A117,"/",""),"-",""),".",""),",",""),CHAR(34),""),"'",""),"&amp;",""),"*",""),"#",""),"!",""),"?",""),"@",""),":",""),";",""),"(",""),")",""))," ",""),"]]","|",IF(ISBLANK('Spells or Powers'!B117)," ",'Spells or Powers'!B117),"|",IF(ISBLANK('Spells or Powers'!C117)," ",'Spells or Powers'!C117),"|",IF(ISBLANK('Spells or Powers'!D117)," ",'Spells or Powers'!D117),"|",IF(ISBLANK('Spells or Powers'!E117)," ",'Spells or Powers'!E117),"|",IF(ISBLANK('Spells or Powers'!F117)," ",'Spells or Powers'!F117),"|",IF(ISBLANK('Spells or Powers'!G117)," ",'Spells or Powers'!G117),"|",IF(ISBLANK('Spells or Powers'!H117)," ",'Spells or Powers'!H117),"|",IF(ISBLANK('Spells or Powers'!I117)," ",'Spells or Powers'!I117),"|",IF(ISBLANK('Spells or Powers'!J117)," ",'Spells or Powers'!J117),"|",IF(ISBLANK('Spells or Powers'!K117)," ",'Spells or Powers'!K117),"|",IF(ISBLANK('Spells or Powers'!L117)," ",'Spells or Powers'!L117),"|",IF(ISBLANK('Spells or Powers'!M117)," ",'Spells or Powers'!M117),"|",IF(ISBLANK('Spells or Powers'!N117)," ",'Spells or Powers'!N117),"|",IF(ISBLANK('Spells or Powers'!O117)," ",'Spells or Powers'!O117)))</f>
        <v>||||||||||||||</v>
      </c>
    </row>
    <row r="255" spans="1:1" x14ac:dyDescent="0.2">
      <c r="A255" s="440" t="str">
        <f>IF(ISBLANK('Spells or Powers'!A118),"||||||||||||||",CONCATENATE("[[",IF(ISBLANK('Spells or Powers'!A118)," ",'Spells or Powers'!A118),"|/Meta/Spells/",SUBSTITUTE((SUBSTITUTE(SUBSTITUTE(SUBSTITUTE(SUBSTITUTE(SUBSTITUTE(SUBSTITUTE(SUBSTITUTE(SUBSTITUTE(SUBSTITUTE(SUBSTITUTE(SUBSTITUTE(SUBSTITUTE(SUBSTITUTE(SUBSTITUTE(SUBSTITUTE(SUBSTITUTE('Spells or Powers'!A118,"/",""),"-",""),".",""),",",""),CHAR(34),""),"'",""),"&amp;",""),"*",""),"#",""),"!",""),"?",""),"@",""),":",""),";",""),"(",""),")",""))," ",""),"]]","|",IF(ISBLANK('Spells or Powers'!B118)," ",'Spells or Powers'!B118),"|",IF(ISBLANK('Spells or Powers'!C118)," ",'Spells or Powers'!C118),"|",IF(ISBLANK('Spells or Powers'!D118)," ",'Spells or Powers'!D118),"|",IF(ISBLANK('Spells or Powers'!E118)," ",'Spells or Powers'!E118),"|",IF(ISBLANK('Spells or Powers'!F118)," ",'Spells or Powers'!F118),"|",IF(ISBLANK('Spells or Powers'!G118)," ",'Spells or Powers'!G118),"|",IF(ISBLANK('Spells or Powers'!H118)," ",'Spells or Powers'!H118),"|",IF(ISBLANK('Spells or Powers'!I118)," ",'Spells or Powers'!I118),"|",IF(ISBLANK('Spells or Powers'!J118)," ",'Spells or Powers'!J118),"|",IF(ISBLANK('Spells or Powers'!K118)," ",'Spells or Powers'!K118),"|",IF(ISBLANK('Spells or Powers'!L118)," ",'Spells or Powers'!L118),"|",IF(ISBLANK('Spells or Powers'!M118)," ",'Spells or Powers'!M118),"|",IF(ISBLANK('Spells or Powers'!N118)," ",'Spells or Powers'!N118),"|",IF(ISBLANK('Spells or Powers'!O118)," ",'Spells or Powers'!O118)))</f>
        <v>||||||||||||||</v>
      </c>
    </row>
    <row r="256" spans="1:1" x14ac:dyDescent="0.2">
      <c r="A256" s="440" t="str">
        <f>IF(ISBLANK('Spells or Powers'!A119),"||||||||||||||",CONCATENATE("[[",IF(ISBLANK('Spells or Powers'!A119)," ",'Spells or Powers'!A119),"|/Meta/Spells/",SUBSTITUTE((SUBSTITUTE(SUBSTITUTE(SUBSTITUTE(SUBSTITUTE(SUBSTITUTE(SUBSTITUTE(SUBSTITUTE(SUBSTITUTE(SUBSTITUTE(SUBSTITUTE(SUBSTITUTE(SUBSTITUTE(SUBSTITUTE(SUBSTITUTE(SUBSTITUTE(SUBSTITUTE('Spells or Powers'!A119,"/",""),"-",""),".",""),",",""),CHAR(34),""),"'",""),"&amp;",""),"*",""),"#",""),"!",""),"?",""),"@",""),":",""),";",""),"(",""),")",""))," ",""),"]]","|",IF(ISBLANK('Spells or Powers'!B119)," ",'Spells or Powers'!B119),"|",IF(ISBLANK('Spells or Powers'!C119)," ",'Spells or Powers'!C119),"|",IF(ISBLANK('Spells or Powers'!D119)," ",'Spells or Powers'!D119),"|",IF(ISBLANK('Spells or Powers'!E119)," ",'Spells or Powers'!E119),"|",IF(ISBLANK('Spells or Powers'!F119)," ",'Spells or Powers'!F119),"|",IF(ISBLANK('Spells or Powers'!G119)," ",'Spells or Powers'!G119),"|",IF(ISBLANK('Spells or Powers'!H119)," ",'Spells or Powers'!H119),"|",IF(ISBLANK('Spells or Powers'!I119)," ",'Spells or Powers'!I119),"|",IF(ISBLANK('Spells or Powers'!J119)," ",'Spells or Powers'!J119),"|",IF(ISBLANK('Spells or Powers'!K119)," ",'Spells or Powers'!K119),"|",IF(ISBLANK('Spells or Powers'!L119)," ",'Spells or Powers'!L119),"|",IF(ISBLANK('Spells or Powers'!M119)," ",'Spells or Powers'!M119),"|",IF(ISBLANK('Spells or Powers'!N119)," ",'Spells or Powers'!N119),"|",IF(ISBLANK('Spells or Powers'!O119)," ",'Spells or Powers'!O119)))</f>
        <v>||||||||||||||</v>
      </c>
    </row>
    <row r="257" spans="1:1" x14ac:dyDescent="0.2">
      <c r="A257" s="440" t="str">
        <f>IF(ISBLANK('Spells or Powers'!A120),"||||||||||||||",CONCATENATE("[[",IF(ISBLANK('Spells or Powers'!A120)," ",'Spells or Powers'!A120),"|/Meta/Spells/",SUBSTITUTE((SUBSTITUTE(SUBSTITUTE(SUBSTITUTE(SUBSTITUTE(SUBSTITUTE(SUBSTITUTE(SUBSTITUTE(SUBSTITUTE(SUBSTITUTE(SUBSTITUTE(SUBSTITUTE(SUBSTITUTE(SUBSTITUTE(SUBSTITUTE(SUBSTITUTE(SUBSTITUTE('Spells or Powers'!A120,"/",""),"-",""),".",""),",",""),CHAR(34),""),"'",""),"&amp;",""),"*",""),"#",""),"!",""),"?",""),"@",""),":",""),";",""),"(",""),")",""))," ",""),"]]","|",IF(ISBLANK('Spells or Powers'!B120)," ",'Spells or Powers'!B120),"|",IF(ISBLANK('Spells or Powers'!C120)," ",'Spells or Powers'!C120),"|",IF(ISBLANK('Spells or Powers'!D120)," ",'Spells or Powers'!D120),"|",IF(ISBLANK('Spells or Powers'!E120)," ",'Spells or Powers'!E120),"|",IF(ISBLANK('Spells or Powers'!F120)," ",'Spells or Powers'!F120),"|",IF(ISBLANK('Spells or Powers'!G120)," ",'Spells or Powers'!G120),"|",IF(ISBLANK('Spells or Powers'!H120)," ",'Spells or Powers'!H120),"|",IF(ISBLANK('Spells or Powers'!I120)," ",'Spells or Powers'!I120),"|",IF(ISBLANK('Spells or Powers'!J120)," ",'Spells or Powers'!J120),"|",IF(ISBLANK('Spells or Powers'!K120)," ",'Spells or Powers'!K120),"|",IF(ISBLANK('Spells or Powers'!L120)," ",'Spells or Powers'!L120),"|",IF(ISBLANK('Spells or Powers'!M120)," ",'Spells or Powers'!M120),"|",IF(ISBLANK('Spells or Powers'!N120)," ",'Spells or Powers'!N120),"|",IF(ISBLANK('Spells or Powers'!O120)," ",'Spells or Powers'!O120)))</f>
        <v>||||||||||||||</v>
      </c>
    </row>
    <row r="258" spans="1:1" x14ac:dyDescent="0.2">
      <c r="A258" s="440" t="str">
        <f>IF(ISBLANK('Spells or Powers'!A121),"||||||||||||||",CONCATENATE("[[",IF(ISBLANK('Spells or Powers'!A121)," ",'Spells or Powers'!A121),"|/Meta/Spells/",SUBSTITUTE((SUBSTITUTE(SUBSTITUTE(SUBSTITUTE(SUBSTITUTE(SUBSTITUTE(SUBSTITUTE(SUBSTITUTE(SUBSTITUTE(SUBSTITUTE(SUBSTITUTE(SUBSTITUTE(SUBSTITUTE(SUBSTITUTE(SUBSTITUTE(SUBSTITUTE(SUBSTITUTE('Spells or Powers'!A121,"/",""),"-",""),".",""),",",""),CHAR(34),""),"'",""),"&amp;",""),"*",""),"#",""),"!",""),"?",""),"@",""),":",""),";",""),"(",""),")",""))," ",""),"]]","|",IF(ISBLANK('Spells or Powers'!B121)," ",'Spells or Powers'!B121),"|",IF(ISBLANK('Spells or Powers'!C121)," ",'Spells or Powers'!C121),"|",IF(ISBLANK('Spells or Powers'!D121)," ",'Spells or Powers'!D121),"|",IF(ISBLANK('Spells or Powers'!E121)," ",'Spells or Powers'!E121),"|",IF(ISBLANK('Spells or Powers'!F121)," ",'Spells or Powers'!F121),"|",IF(ISBLANK('Spells or Powers'!G121)," ",'Spells or Powers'!G121),"|",IF(ISBLANK('Spells or Powers'!H121)," ",'Spells or Powers'!H121),"|",IF(ISBLANK('Spells or Powers'!I121)," ",'Spells or Powers'!I121),"|",IF(ISBLANK('Spells or Powers'!J121)," ",'Spells or Powers'!J121),"|",IF(ISBLANK('Spells or Powers'!K121)," ",'Spells or Powers'!K121),"|",IF(ISBLANK('Spells or Powers'!L121)," ",'Spells or Powers'!L121),"|",IF(ISBLANK('Spells or Powers'!M121)," ",'Spells or Powers'!M121),"|",IF(ISBLANK('Spells or Powers'!N121)," ",'Spells or Powers'!N121),"|",IF(ISBLANK('Spells or Powers'!O121)," ",'Spells or Powers'!O121)))</f>
        <v>||||||||||||||</v>
      </c>
    </row>
    <row r="259" spans="1:1" x14ac:dyDescent="0.2">
      <c r="A259" s="440" t="str">
        <f>IF(ISBLANK('Spells or Powers'!A122),"||||||||||||||",CONCATENATE("[[",IF(ISBLANK('Spells or Powers'!A122)," ",'Spells or Powers'!A122),"|/Meta/Spells/",SUBSTITUTE((SUBSTITUTE(SUBSTITUTE(SUBSTITUTE(SUBSTITUTE(SUBSTITUTE(SUBSTITUTE(SUBSTITUTE(SUBSTITUTE(SUBSTITUTE(SUBSTITUTE(SUBSTITUTE(SUBSTITUTE(SUBSTITUTE(SUBSTITUTE(SUBSTITUTE(SUBSTITUTE('Spells or Powers'!A122,"/",""),"-",""),".",""),",",""),CHAR(34),""),"'",""),"&amp;",""),"*",""),"#",""),"!",""),"?",""),"@",""),":",""),";",""),"(",""),")",""))," ",""),"]]","|",IF(ISBLANK('Spells or Powers'!B122)," ",'Spells or Powers'!B122),"|",IF(ISBLANK('Spells or Powers'!C122)," ",'Spells or Powers'!C122),"|",IF(ISBLANK('Spells or Powers'!D122)," ",'Spells or Powers'!D122),"|",IF(ISBLANK('Spells or Powers'!E122)," ",'Spells or Powers'!E122),"|",IF(ISBLANK('Spells or Powers'!F122)," ",'Spells or Powers'!F122),"|",IF(ISBLANK('Spells or Powers'!G122)," ",'Spells or Powers'!G122),"|",IF(ISBLANK('Spells or Powers'!H122)," ",'Spells or Powers'!H122),"|",IF(ISBLANK('Spells or Powers'!I122)," ",'Spells or Powers'!I122),"|",IF(ISBLANK('Spells or Powers'!J122)," ",'Spells or Powers'!J122),"|",IF(ISBLANK('Spells or Powers'!K122)," ",'Spells or Powers'!K122),"|",IF(ISBLANK('Spells or Powers'!L122)," ",'Spells or Powers'!L122),"|",IF(ISBLANK('Spells or Powers'!M122)," ",'Spells or Powers'!M122),"|",IF(ISBLANK('Spells or Powers'!N122)," ",'Spells or Powers'!N122),"|",IF(ISBLANK('Spells or Powers'!O122)," ",'Spells or Powers'!O122)))</f>
        <v>||||||||||||||</v>
      </c>
    </row>
    <row r="260" spans="1:1" x14ac:dyDescent="0.2">
      <c r="A260" s="440" t="str">
        <f>IF(ISBLANK('Spells or Powers'!A123),"||||||||||||||",CONCATENATE("[[",IF(ISBLANK('Spells or Powers'!A123)," ",'Spells or Powers'!A123),"|/Meta/Spells/",SUBSTITUTE((SUBSTITUTE(SUBSTITUTE(SUBSTITUTE(SUBSTITUTE(SUBSTITUTE(SUBSTITUTE(SUBSTITUTE(SUBSTITUTE(SUBSTITUTE(SUBSTITUTE(SUBSTITUTE(SUBSTITUTE(SUBSTITUTE(SUBSTITUTE(SUBSTITUTE(SUBSTITUTE('Spells or Powers'!A123,"/",""),"-",""),".",""),",",""),CHAR(34),""),"'",""),"&amp;",""),"*",""),"#",""),"!",""),"?",""),"@",""),":",""),";",""),"(",""),")",""))," ",""),"]]","|",IF(ISBLANK('Spells or Powers'!B123)," ",'Spells or Powers'!B123),"|",IF(ISBLANK('Spells or Powers'!C123)," ",'Spells or Powers'!C123),"|",IF(ISBLANK('Spells or Powers'!D123)," ",'Spells or Powers'!D123),"|",IF(ISBLANK('Spells or Powers'!E123)," ",'Spells or Powers'!E123),"|",IF(ISBLANK('Spells or Powers'!F123)," ",'Spells or Powers'!F123),"|",IF(ISBLANK('Spells or Powers'!G123)," ",'Spells or Powers'!G123),"|",IF(ISBLANK('Spells or Powers'!H123)," ",'Spells or Powers'!H123),"|",IF(ISBLANK('Spells or Powers'!I123)," ",'Spells or Powers'!I123),"|",IF(ISBLANK('Spells or Powers'!J123)," ",'Spells or Powers'!J123),"|",IF(ISBLANK('Spells or Powers'!K123)," ",'Spells or Powers'!K123),"|",IF(ISBLANK('Spells or Powers'!L123)," ",'Spells or Powers'!L123),"|",IF(ISBLANK('Spells or Powers'!M123)," ",'Spells or Powers'!M123),"|",IF(ISBLANK('Spells or Powers'!N123)," ",'Spells or Powers'!N123),"|",IF(ISBLANK('Spells or Powers'!O123)," ",'Spells or Powers'!O123)))</f>
        <v>||||||||||||||</v>
      </c>
    </row>
    <row r="261" spans="1:1" x14ac:dyDescent="0.2">
      <c r="A261" s="440" t="str">
        <f>IF(ISBLANK('Spells or Powers'!A124),"||||||||||||||",CONCATENATE("[[",IF(ISBLANK('Spells or Powers'!A124)," ",'Spells or Powers'!A124),"|/Meta/Spells/",SUBSTITUTE((SUBSTITUTE(SUBSTITUTE(SUBSTITUTE(SUBSTITUTE(SUBSTITUTE(SUBSTITUTE(SUBSTITUTE(SUBSTITUTE(SUBSTITUTE(SUBSTITUTE(SUBSTITUTE(SUBSTITUTE(SUBSTITUTE(SUBSTITUTE(SUBSTITUTE(SUBSTITUTE('Spells or Powers'!A124,"/",""),"-",""),".",""),",",""),CHAR(34),""),"'",""),"&amp;",""),"*",""),"#",""),"!",""),"?",""),"@",""),":",""),";",""),"(",""),")",""))," ",""),"]]","|",IF(ISBLANK('Spells or Powers'!B124)," ",'Spells or Powers'!B124),"|",IF(ISBLANK('Spells or Powers'!C124)," ",'Spells or Powers'!C124),"|",IF(ISBLANK('Spells or Powers'!D124)," ",'Spells or Powers'!D124),"|",IF(ISBLANK('Spells or Powers'!E124)," ",'Spells or Powers'!E124),"|",IF(ISBLANK('Spells or Powers'!F124)," ",'Spells or Powers'!F124),"|",IF(ISBLANK('Spells or Powers'!G124)," ",'Spells or Powers'!G124),"|",IF(ISBLANK('Spells or Powers'!H124)," ",'Spells or Powers'!H124),"|",IF(ISBLANK('Spells or Powers'!I124)," ",'Spells or Powers'!I124),"|",IF(ISBLANK('Spells or Powers'!J124)," ",'Spells or Powers'!J124),"|",IF(ISBLANK('Spells or Powers'!K124)," ",'Spells or Powers'!K124),"|",IF(ISBLANK('Spells or Powers'!L124)," ",'Spells or Powers'!L124),"|",IF(ISBLANK('Spells or Powers'!M124)," ",'Spells or Powers'!M124),"|",IF(ISBLANK('Spells or Powers'!N124)," ",'Spells or Powers'!N124),"|",IF(ISBLANK('Spells or Powers'!O124)," ",'Spells or Powers'!O124)))</f>
        <v>||||||||||||||</v>
      </c>
    </row>
    <row r="262" spans="1:1" x14ac:dyDescent="0.2">
      <c r="A262" s="440" t="str">
        <f>IF(ISBLANK('Spells or Powers'!A125),"||||||||||||||",CONCATENATE("[[",IF(ISBLANK('Spells or Powers'!A125)," ",'Spells or Powers'!A125),"|/Meta/Spells/",SUBSTITUTE((SUBSTITUTE(SUBSTITUTE(SUBSTITUTE(SUBSTITUTE(SUBSTITUTE(SUBSTITUTE(SUBSTITUTE(SUBSTITUTE(SUBSTITUTE(SUBSTITUTE(SUBSTITUTE(SUBSTITUTE(SUBSTITUTE(SUBSTITUTE(SUBSTITUTE(SUBSTITUTE('Spells or Powers'!A125,"/",""),"-",""),".",""),",",""),CHAR(34),""),"'",""),"&amp;",""),"*",""),"#",""),"!",""),"?",""),"@",""),":",""),";",""),"(",""),")",""))," ",""),"]]","|",IF(ISBLANK('Spells or Powers'!B125)," ",'Spells or Powers'!B125),"|",IF(ISBLANK('Spells or Powers'!C125)," ",'Spells or Powers'!C125),"|",IF(ISBLANK('Spells or Powers'!D125)," ",'Spells or Powers'!D125),"|",IF(ISBLANK('Spells or Powers'!E125)," ",'Spells or Powers'!E125),"|",IF(ISBLANK('Spells or Powers'!F125)," ",'Spells or Powers'!F125),"|",IF(ISBLANK('Spells or Powers'!G125)," ",'Spells or Powers'!G125),"|",IF(ISBLANK('Spells or Powers'!H125)," ",'Spells or Powers'!H125),"|",IF(ISBLANK('Spells or Powers'!I125)," ",'Spells or Powers'!I125),"|",IF(ISBLANK('Spells or Powers'!J125)," ",'Spells or Powers'!J125),"|",IF(ISBLANK('Spells or Powers'!K125)," ",'Spells or Powers'!K125),"|",IF(ISBLANK('Spells or Powers'!L125)," ",'Spells or Powers'!L125),"|",IF(ISBLANK('Spells or Powers'!M125)," ",'Spells or Powers'!M125),"|",IF(ISBLANK('Spells or Powers'!N125)," ",'Spells or Powers'!N125),"|",IF(ISBLANK('Spells or Powers'!O125)," ",'Spells or Powers'!O125)))</f>
        <v>||||||||||||||</v>
      </c>
    </row>
    <row r="263" spans="1:1" x14ac:dyDescent="0.2">
      <c r="A263" s="440" t="str">
        <f>IF(ISBLANK('Spells or Powers'!A126),"||||||||||||||",CONCATENATE("[[",IF(ISBLANK('Spells or Powers'!A126)," ",'Spells or Powers'!A126),"|/Meta/Spells/",SUBSTITUTE((SUBSTITUTE(SUBSTITUTE(SUBSTITUTE(SUBSTITUTE(SUBSTITUTE(SUBSTITUTE(SUBSTITUTE(SUBSTITUTE(SUBSTITUTE(SUBSTITUTE(SUBSTITUTE(SUBSTITUTE(SUBSTITUTE(SUBSTITUTE(SUBSTITUTE(SUBSTITUTE('Spells or Powers'!A126,"/",""),"-",""),".",""),",",""),CHAR(34),""),"'",""),"&amp;",""),"*",""),"#",""),"!",""),"?",""),"@",""),":",""),";",""),"(",""),")",""))," ",""),"]]","|",IF(ISBLANK('Spells or Powers'!B126)," ",'Spells or Powers'!B126),"|",IF(ISBLANK('Spells or Powers'!C126)," ",'Spells or Powers'!C126),"|",IF(ISBLANK('Spells or Powers'!D126)," ",'Spells or Powers'!D126),"|",IF(ISBLANK('Spells or Powers'!E126)," ",'Spells or Powers'!E126),"|",IF(ISBLANK('Spells or Powers'!F126)," ",'Spells or Powers'!F126),"|",IF(ISBLANK('Spells or Powers'!G126)," ",'Spells or Powers'!G126),"|",IF(ISBLANK('Spells or Powers'!H126)," ",'Spells or Powers'!H126),"|",IF(ISBLANK('Spells or Powers'!I126)," ",'Spells or Powers'!I126),"|",IF(ISBLANK('Spells or Powers'!J126)," ",'Spells or Powers'!J126),"|",IF(ISBLANK('Spells or Powers'!K126)," ",'Spells or Powers'!K126),"|",IF(ISBLANK('Spells or Powers'!L126)," ",'Spells or Powers'!L126),"|",IF(ISBLANK('Spells or Powers'!M126)," ",'Spells or Powers'!M126),"|",IF(ISBLANK('Spells or Powers'!N126)," ",'Spells or Powers'!N126),"|",IF(ISBLANK('Spells or Powers'!O126)," ",'Spells or Powers'!O126)))</f>
        <v>||||||||||||||</v>
      </c>
    </row>
    <row r="264" spans="1:1" x14ac:dyDescent="0.2">
      <c r="A264" s="440" t="str">
        <f>IF(ISBLANK('Spells or Powers'!A127),"||||||||||||||",CONCATENATE("[[",IF(ISBLANK('Spells or Powers'!A127)," ",'Spells or Powers'!A127),"|/Meta/Spells/",SUBSTITUTE((SUBSTITUTE(SUBSTITUTE(SUBSTITUTE(SUBSTITUTE(SUBSTITUTE(SUBSTITUTE(SUBSTITUTE(SUBSTITUTE(SUBSTITUTE(SUBSTITUTE(SUBSTITUTE(SUBSTITUTE(SUBSTITUTE(SUBSTITUTE(SUBSTITUTE(SUBSTITUTE('Spells or Powers'!A127,"/",""),"-",""),".",""),",",""),CHAR(34),""),"'",""),"&amp;",""),"*",""),"#",""),"!",""),"?",""),"@",""),":",""),";",""),"(",""),")",""))," ",""),"]]","|",IF(ISBLANK('Spells or Powers'!B127)," ",'Spells or Powers'!B127),"|",IF(ISBLANK('Spells or Powers'!C127)," ",'Spells or Powers'!C127),"|",IF(ISBLANK('Spells or Powers'!D127)," ",'Spells or Powers'!D127),"|",IF(ISBLANK('Spells or Powers'!E127)," ",'Spells or Powers'!E127),"|",IF(ISBLANK('Spells or Powers'!F127)," ",'Spells or Powers'!F127),"|",IF(ISBLANK('Spells or Powers'!G127)," ",'Spells or Powers'!G127),"|",IF(ISBLANK('Spells or Powers'!H127)," ",'Spells or Powers'!H127),"|",IF(ISBLANK('Spells or Powers'!I127)," ",'Spells or Powers'!I127),"|",IF(ISBLANK('Spells or Powers'!J127)," ",'Spells or Powers'!J127),"|",IF(ISBLANK('Spells or Powers'!K127)," ",'Spells or Powers'!K127),"|",IF(ISBLANK('Spells or Powers'!L127)," ",'Spells or Powers'!L127),"|",IF(ISBLANK('Spells or Powers'!M127)," ",'Spells or Powers'!M127),"|",IF(ISBLANK('Spells or Powers'!N127)," ",'Spells or Powers'!N127),"|",IF(ISBLANK('Spells or Powers'!O127)," ",'Spells or Powers'!O127)))</f>
        <v>||||||||||||||</v>
      </c>
    </row>
    <row r="265" spans="1:1" x14ac:dyDescent="0.2">
      <c r="A265" s="440" t="str">
        <f>IF(ISBLANK('Spells or Powers'!A128),"||||||||||||||",CONCATENATE("[[",IF(ISBLANK('Spells or Powers'!A128)," ",'Spells or Powers'!A128),"|/Meta/Spells/",SUBSTITUTE((SUBSTITUTE(SUBSTITUTE(SUBSTITUTE(SUBSTITUTE(SUBSTITUTE(SUBSTITUTE(SUBSTITUTE(SUBSTITUTE(SUBSTITUTE(SUBSTITUTE(SUBSTITUTE(SUBSTITUTE(SUBSTITUTE(SUBSTITUTE(SUBSTITUTE(SUBSTITUTE('Spells or Powers'!A128,"/",""),"-",""),".",""),",",""),CHAR(34),""),"'",""),"&amp;",""),"*",""),"#",""),"!",""),"?",""),"@",""),":",""),";",""),"(",""),")",""))," ",""),"]]","|",IF(ISBLANK('Spells or Powers'!B128)," ",'Spells or Powers'!B128),"|",IF(ISBLANK('Spells or Powers'!C128)," ",'Spells or Powers'!C128),"|",IF(ISBLANK('Spells or Powers'!D128)," ",'Spells or Powers'!D128),"|",IF(ISBLANK('Spells or Powers'!E128)," ",'Spells or Powers'!E128),"|",IF(ISBLANK('Spells or Powers'!F128)," ",'Spells or Powers'!F128),"|",IF(ISBLANK('Spells or Powers'!G128)," ",'Spells or Powers'!G128),"|",IF(ISBLANK('Spells or Powers'!H128)," ",'Spells or Powers'!H128),"|",IF(ISBLANK('Spells or Powers'!I128)," ",'Spells or Powers'!I128),"|",IF(ISBLANK('Spells or Powers'!J128)," ",'Spells or Powers'!J128),"|",IF(ISBLANK('Spells or Powers'!K128)," ",'Spells or Powers'!K128),"|",IF(ISBLANK('Spells or Powers'!L128)," ",'Spells or Powers'!L128),"|",IF(ISBLANK('Spells or Powers'!M128)," ",'Spells or Powers'!M128),"|",IF(ISBLANK('Spells or Powers'!N128)," ",'Spells or Powers'!N128),"|",IF(ISBLANK('Spells or Powers'!O128)," ",'Spells or Powers'!O128)))</f>
        <v>||||||||||||||</v>
      </c>
    </row>
    <row r="266" spans="1:1" x14ac:dyDescent="0.2">
      <c r="A266" s="440" t="str">
        <f>IF(ISBLANK('Spells or Powers'!A129),"||||||||||||||",CONCATENATE("[[",IF(ISBLANK('Spells or Powers'!A129)," ",'Spells or Powers'!A129),"|/Meta/Spells/",SUBSTITUTE((SUBSTITUTE(SUBSTITUTE(SUBSTITUTE(SUBSTITUTE(SUBSTITUTE(SUBSTITUTE(SUBSTITUTE(SUBSTITUTE(SUBSTITUTE(SUBSTITUTE(SUBSTITUTE(SUBSTITUTE(SUBSTITUTE(SUBSTITUTE(SUBSTITUTE(SUBSTITUTE('Spells or Powers'!A129,"/",""),"-",""),".",""),",",""),CHAR(34),""),"'",""),"&amp;",""),"*",""),"#",""),"!",""),"?",""),"@",""),":",""),";",""),"(",""),")",""))," ",""),"]]","|",IF(ISBLANK('Spells or Powers'!B129)," ",'Spells or Powers'!B129),"|",IF(ISBLANK('Spells or Powers'!C129)," ",'Spells or Powers'!C129),"|",IF(ISBLANK('Spells or Powers'!D129)," ",'Spells or Powers'!D129),"|",IF(ISBLANK('Spells or Powers'!E129)," ",'Spells or Powers'!E129),"|",IF(ISBLANK('Spells or Powers'!F129)," ",'Spells or Powers'!F129),"|",IF(ISBLANK('Spells or Powers'!G129)," ",'Spells or Powers'!G129),"|",IF(ISBLANK('Spells or Powers'!H129)," ",'Spells or Powers'!H129),"|",IF(ISBLANK('Spells or Powers'!I129)," ",'Spells or Powers'!I129),"|",IF(ISBLANK('Spells or Powers'!J129)," ",'Spells or Powers'!J129),"|",IF(ISBLANK('Spells or Powers'!K129)," ",'Spells or Powers'!K129),"|",IF(ISBLANK('Spells or Powers'!L129)," ",'Spells or Powers'!L129),"|",IF(ISBLANK('Spells or Powers'!M129)," ",'Spells or Powers'!M129),"|",IF(ISBLANK('Spells or Powers'!N129)," ",'Spells or Powers'!N129),"|",IF(ISBLANK('Spells or Powers'!O129)," ",'Spells or Powers'!O129)))</f>
        <v>||||||||||||||</v>
      </c>
    </row>
    <row r="267" spans="1:1" x14ac:dyDescent="0.2">
      <c r="A267" s="440" t="str">
        <f>IF(ISBLANK('Spells or Powers'!A130),"||||||||||||||",CONCATENATE("[[",IF(ISBLANK('Spells or Powers'!A130)," ",'Spells or Powers'!A130),"|/Meta/Spells/",SUBSTITUTE((SUBSTITUTE(SUBSTITUTE(SUBSTITUTE(SUBSTITUTE(SUBSTITUTE(SUBSTITUTE(SUBSTITUTE(SUBSTITUTE(SUBSTITUTE(SUBSTITUTE(SUBSTITUTE(SUBSTITUTE(SUBSTITUTE(SUBSTITUTE(SUBSTITUTE(SUBSTITUTE('Spells or Powers'!A130,"/",""),"-",""),".",""),",",""),CHAR(34),""),"'",""),"&amp;",""),"*",""),"#",""),"!",""),"?",""),"@",""),":",""),";",""),"(",""),")",""))," ",""),"]]","|",IF(ISBLANK('Spells or Powers'!B130)," ",'Spells or Powers'!B130),"|",IF(ISBLANK('Spells or Powers'!C130)," ",'Spells or Powers'!C130),"|",IF(ISBLANK('Spells or Powers'!D130)," ",'Spells or Powers'!D130),"|",IF(ISBLANK('Spells or Powers'!E130)," ",'Spells or Powers'!E130),"|",IF(ISBLANK('Spells or Powers'!F130)," ",'Spells or Powers'!F130),"|",IF(ISBLANK('Spells or Powers'!G130)," ",'Spells or Powers'!G130),"|",IF(ISBLANK('Spells or Powers'!H130)," ",'Spells or Powers'!H130),"|",IF(ISBLANK('Spells or Powers'!I130)," ",'Spells or Powers'!I130),"|",IF(ISBLANK('Spells or Powers'!J130)," ",'Spells or Powers'!J130),"|",IF(ISBLANK('Spells or Powers'!K130)," ",'Spells or Powers'!K130),"|",IF(ISBLANK('Spells or Powers'!L130)," ",'Spells or Powers'!L130),"|",IF(ISBLANK('Spells or Powers'!M130)," ",'Spells or Powers'!M130),"|",IF(ISBLANK('Spells or Powers'!N130)," ",'Spells or Powers'!N130),"|",IF(ISBLANK('Spells or Powers'!O130)," ",'Spells or Powers'!O130)))</f>
        <v>||||||||||||||</v>
      </c>
    </row>
    <row r="268" spans="1:1" x14ac:dyDescent="0.2">
      <c r="A268" s="440" t="str">
        <f>IF(ISBLANK('Spells or Powers'!A131),"||||||||||||||",CONCATENATE("[[",IF(ISBLANK('Spells or Powers'!A131)," ",'Spells or Powers'!A131),"|/Meta/Spells/",SUBSTITUTE((SUBSTITUTE(SUBSTITUTE(SUBSTITUTE(SUBSTITUTE(SUBSTITUTE(SUBSTITUTE(SUBSTITUTE(SUBSTITUTE(SUBSTITUTE(SUBSTITUTE(SUBSTITUTE(SUBSTITUTE(SUBSTITUTE(SUBSTITUTE(SUBSTITUTE(SUBSTITUTE('Spells or Powers'!A131,"/",""),"-",""),".",""),",",""),CHAR(34),""),"'",""),"&amp;",""),"*",""),"#",""),"!",""),"?",""),"@",""),":",""),";",""),"(",""),")",""))," ",""),"]]","|",IF(ISBLANK('Spells or Powers'!B131)," ",'Spells or Powers'!B131),"|",IF(ISBLANK('Spells or Powers'!C131)," ",'Spells or Powers'!C131),"|",IF(ISBLANK('Spells or Powers'!D131)," ",'Spells or Powers'!D131),"|",IF(ISBLANK('Spells or Powers'!E131)," ",'Spells or Powers'!E131),"|",IF(ISBLANK('Spells or Powers'!F131)," ",'Spells or Powers'!F131),"|",IF(ISBLANK('Spells or Powers'!G131)," ",'Spells or Powers'!G131),"|",IF(ISBLANK('Spells or Powers'!H131)," ",'Spells or Powers'!H131),"|",IF(ISBLANK('Spells or Powers'!I131)," ",'Spells or Powers'!I131),"|",IF(ISBLANK('Spells or Powers'!J131)," ",'Spells or Powers'!J131),"|",IF(ISBLANK('Spells or Powers'!K131)," ",'Spells or Powers'!K131),"|",IF(ISBLANK('Spells or Powers'!L131)," ",'Spells or Powers'!L131),"|",IF(ISBLANK('Spells or Powers'!M131)," ",'Spells or Powers'!M131),"|",IF(ISBLANK('Spells or Powers'!N131)," ",'Spells or Powers'!N131),"|",IF(ISBLANK('Spells or Powers'!O131)," ",'Spells or Powers'!O131)))</f>
        <v>||||||||||||||</v>
      </c>
    </row>
    <row r="269" spans="1:1" x14ac:dyDescent="0.2">
      <c r="A269" s="440" t="str">
        <f>IF(ISBLANK('Spells or Powers'!A132),"||||||||||||||",CONCATENATE("[[",IF(ISBLANK('Spells or Powers'!A132)," ",'Spells or Powers'!A132),"|/Meta/Spells/",SUBSTITUTE((SUBSTITUTE(SUBSTITUTE(SUBSTITUTE(SUBSTITUTE(SUBSTITUTE(SUBSTITUTE(SUBSTITUTE(SUBSTITUTE(SUBSTITUTE(SUBSTITUTE(SUBSTITUTE(SUBSTITUTE(SUBSTITUTE(SUBSTITUTE(SUBSTITUTE(SUBSTITUTE('Spells or Powers'!A132,"/",""),"-",""),".",""),",",""),CHAR(34),""),"'",""),"&amp;",""),"*",""),"#",""),"!",""),"?",""),"@",""),":",""),";",""),"(",""),")",""))," ",""),"]]","|",IF(ISBLANK('Spells or Powers'!B132)," ",'Spells or Powers'!B132),"|",IF(ISBLANK('Spells or Powers'!C132)," ",'Spells or Powers'!C132),"|",IF(ISBLANK('Spells or Powers'!D132)," ",'Spells or Powers'!D132),"|",IF(ISBLANK('Spells or Powers'!E132)," ",'Spells or Powers'!E132),"|",IF(ISBLANK('Spells or Powers'!F132)," ",'Spells or Powers'!F132),"|",IF(ISBLANK('Spells or Powers'!G132)," ",'Spells or Powers'!G132),"|",IF(ISBLANK('Spells or Powers'!H132)," ",'Spells or Powers'!H132),"|",IF(ISBLANK('Spells or Powers'!I132)," ",'Spells or Powers'!I132),"|",IF(ISBLANK('Spells or Powers'!J132)," ",'Spells or Powers'!J132),"|",IF(ISBLANK('Spells or Powers'!K132)," ",'Spells or Powers'!K132),"|",IF(ISBLANK('Spells or Powers'!L132)," ",'Spells or Powers'!L132),"|",IF(ISBLANK('Spells or Powers'!M132)," ",'Spells or Powers'!M132),"|",IF(ISBLANK('Spells or Powers'!N132)," ",'Spells or Powers'!N132),"|",IF(ISBLANK('Spells or Powers'!O132)," ",'Spells or Powers'!O132)))</f>
        <v>||||||||||||||</v>
      </c>
    </row>
    <row r="270" spans="1:1" x14ac:dyDescent="0.2">
      <c r="A270" s="440" t="str">
        <f>IF(ISBLANK('Spells or Powers'!A133),"||||||||||||||",CONCATENATE("[[",IF(ISBLANK('Spells or Powers'!A133)," ",'Spells or Powers'!A133),"|/Meta/Spells/",SUBSTITUTE((SUBSTITUTE(SUBSTITUTE(SUBSTITUTE(SUBSTITUTE(SUBSTITUTE(SUBSTITUTE(SUBSTITUTE(SUBSTITUTE(SUBSTITUTE(SUBSTITUTE(SUBSTITUTE(SUBSTITUTE(SUBSTITUTE(SUBSTITUTE(SUBSTITUTE(SUBSTITUTE('Spells or Powers'!A133,"/",""),"-",""),".",""),",",""),CHAR(34),""),"'",""),"&amp;",""),"*",""),"#",""),"!",""),"?",""),"@",""),":",""),";",""),"(",""),")",""))," ",""),"]]","|",IF(ISBLANK('Spells or Powers'!B133)," ",'Spells or Powers'!B133),"|",IF(ISBLANK('Spells or Powers'!C133)," ",'Spells or Powers'!C133),"|",IF(ISBLANK('Spells or Powers'!D133)," ",'Spells or Powers'!D133),"|",IF(ISBLANK('Spells or Powers'!E133)," ",'Spells or Powers'!E133),"|",IF(ISBLANK('Spells or Powers'!F133)," ",'Spells or Powers'!F133),"|",IF(ISBLANK('Spells or Powers'!G133)," ",'Spells or Powers'!G133),"|",IF(ISBLANK('Spells or Powers'!H133)," ",'Spells or Powers'!H133),"|",IF(ISBLANK('Spells or Powers'!I133)," ",'Spells or Powers'!I133),"|",IF(ISBLANK('Spells or Powers'!J133)," ",'Spells or Powers'!J133),"|",IF(ISBLANK('Spells or Powers'!K133)," ",'Spells or Powers'!K133),"|",IF(ISBLANK('Spells or Powers'!L133)," ",'Spells or Powers'!L133),"|",IF(ISBLANK('Spells or Powers'!M133)," ",'Spells or Powers'!M133),"|",IF(ISBLANK('Spells or Powers'!N133)," ",'Spells or Powers'!N133),"|",IF(ISBLANK('Spells or Powers'!O133)," ",'Spells or Powers'!O133)))</f>
        <v>||||||||||||||</v>
      </c>
    </row>
    <row r="271" spans="1:1" x14ac:dyDescent="0.2">
      <c r="A271" s="381" t="s">
        <v>484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workbookViewId="0">
      <selection activeCell="F21" sqref="F21"/>
    </sheetView>
  </sheetViews>
  <sheetFormatPr defaultRowHeight="12.75" x14ac:dyDescent="0.2"/>
  <sheetData>
    <row r="1" spans="1:8" x14ac:dyDescent="0.2">
      <c r="A1" s="462" t="str">
        <f>'Wiki - Main'!A1</f>
        <v>[[!template id=character name=" " house=" " job=" " rank=" " appage=-683 born=/0/0 updated=1216/10/13 covenant=" " parens=" " origin=" " ethnicity=" " religion=" " age=-683 ]]</v>
      </c>
      <c r="B1" s="70"/>
      <c r="C1" s="70"/>
      <c r="D1" s="70"/>
      <c r="E1" s="70"/>
      <c r="F1" s="70"/>
      <c r="G1" s="70"/>
      <c r="H1" s="70"/>
    </row>
    <row r="2" spans="1:8" x14ac:dyDescent="0.2">
      <c r="A2" s="440" t="str">
        <f>'Wiki - Main'!A2</f>
        <v xml:space="preserve">##  </v>
      </c>
    </row>
    <row r="3" spans="1:8" x14ac:dyDescent="0.2">
      <c r="A3" s="440"/>
    </row>
    <row r="4" spans="1:8" x14ac:dyDescent="0.2">
      <c r="A4" s="440" t="str">
        <f>CONCATENATE("----")</f>
        <v>----</v>
      </c>
    </row>
    <row r="5" spans="1:8" x14ac:dyDescent="0.2">
      <c r="A5" s="443" t="str">
        <f>'Wiki - Main'!A5</f>
        <v>[[Main|]] / [[Magic|/Magic]] / [[Skills|/Skills]] / [[Stats|/Stats]] / [[Additional Detail|/AdditionalDetail]]</v>
      </c>
    </row>
    <row r="6" spans="1:8" x14ac:dyDescent="0.2">
      <c r="A6" s="440"/>
    </row>
    <row r="7" spans="1:8" x14ac:dyDescent="0.2">
      <c r="A7" s="440" t="str">
        <f>CONCATENATE("----")</f>
        <v>----</v>
      </c>
    </row>
    <row r="8" spans="1:8" x14ac:dyDescent="0.2">
      <c r="A8" s="440" t="str">
        <f>CONCATENATE("[[Powers|",'Start Character'!B2,"/Powers#Powers]]")</f>
        <v>[[Powers|/Powers#Powers]]</v>
      </c>
    </row>
    <row r="9" spans="1:8" x14ac:dyDescent="0.2">
      <c r="A9" s="440"/>
    </row>
    <row r="10" spans="1:8" x14ac:dyDescent="0.2">
      <c r="A10" s="440" t="str">
        <f>CONCATENATE("----")</f>
        <v>----</v>
      </c>
    </row>
    <row r="11" spans="1:8" x14ac:dyDescent="0.2">
      <c r="A11" s="381" t="str">
        <f>CONCATENATE("&lt;a id=",CHAR(34),RIGHT(A12,LEN(A12)-4),CHAR(34)," /&gt;")</f>
        <v>&lt;a id="Powers" /&gt;</v>
      </c>
    </row>
    <row r="12" spans="1:8" x14ac:dyDescent="0.2">
      <c r="A12" s="381" t="str">
        <f>CONCATENATE("### ","Powers")</f>
        <v>### Powers</v>
      </c>
    </row>
    <row r="13" spans="1:8" x14ac:dyDescent="0.2">
      <c r="A13" s="440" t="str">
        <f>IF(ISBLANK('Spells or Powers'!A1),"|",CONCATENATE('Spells or Powers'!A1,"|",'Spells or Powers'!B1,"|",'Spells or Powers'!C1,"|",'Spells or Powers'!D1,"|",'Spells or Powers'!E1,"|",'Spells or Powers'!F1,"|",'Spells or Powers'!G1,"|",'Spells or Powers'!H1,"|",'Spells or Powers'!I1,"|",'Spells or Powers'!J1,"|",'Spells or Powers'!K1,"|",'Spells or Powers'!L1,"|",'Spells or Powers'!M1,"|",'Spells or Powers'!N1,"|",'Spells or Powers'!O1))</f>
        <v>Spell Name|Art 1|Art 2|Requisites|Level|Type|Range|Duration|Target|Description|MXP|M|Mastered Abilities|Spell Use|Sigil Manifestation</v>
      </c>
    </row>
    <row r="14" spans="1:8" x14ac:dyDescent="0.2">
      <c r="A14" s="440" t="str">
        <f>":--|:--|:--|:--|:--|:--|:--|:--|:--|:--|:--:|:--:|:--|:--|:--"</f>
        <v>:--|:--|:--|:--|:--|:--|:--|:--|:--|:--|:--:|:--:|:--|:--|:--</v>
      </c>
    </row>
    <row r="15" spans="1:8" x14ac:dyDescent="0.2">
      <c r="A15" s="440" t="str">
        <f>IF(ISBLANK('Spells or Powers'!A2),"|||||||||||||||",CONCATENATE("[[",IF(ISBLANK('Spells or Powers'!A2)," ",'Spells or Powers'!A2),"|/Meta/Spells/",SUBSTITUTE((SUBSTITUTE(SUBSTITUTE(SUBSTITUTE(SUBSTITUTE(SUBSTITUTE(SUBSTITUTE(SUBSTITUTE(SUBSTITUTE(SUBSTITUTE(SUBSTITUTE(SUBSTITUTE(SUBSTITUTE(SUBSTITUTE(SUBSTITUTE(SUBSTITUTE(SUBSTITUTE('Spells or Powers'!A2,"/",""),"-",""),".",""),",",""),CHAR(34),""),"'",""),"&amp;",""),"*",""),"#",""),"!",""),"?",""),"@",""),":",""),";",""),"(",""),")",""))," ",""),"]]","|",IF(ISBLANK('Spells or Powers'!B2)," ",'Spells or Powers'!B2),"|",IF(ISBLANK('Spells or Powers'!C2)," ",'Spells or Powers'!C2),"|",IF(ISBLANK('Spells or Powers'!D2)," ",'Spells or Powers'!D2),"|",IF(ISBLANK('Spells or Powers'!E2)," ",'Spells or Powers'!E2),"|",IF(ISBLANK('Spells or Powers'!F2)," ",'Spells or Powers'!F2),"|",IF(ISBLANK('Spells or Powers'!G2)," ",'Spells or Powers'!G2),"|",IF(ISBLANK('Spells or Powers'!H2)," ",'Spells or Powers'!H2),"|",IF(ISBLANK('Spells or Powers'!I2)," ",'Spells or Powers'!I2),"|",IF(ISBLANK('Spells or Powers'!J2)," ",'Spells or Powers'!J2),"|",IF(ISBLANK('Spells or Powers'!K2)," ",'Spells or Powers'!K2),"|",IF(ISBLANK('Spells or Powers'!L2)," ",'Spells or Powers'!L2),"|",IF(ISBLANK('Spells or Powers'!M2)," ",'Spells or Powers'!M2),"|",IF(ISBLANK('Spells or Powers'!N2)," ",'Spells or Powers'!N2),"|",IF(ISBLANK('Spells or Powers'!O2)," ",'Spells or Powers'!O2)," "))</f>
        <v>|||||||||||||||</v>
      </c>
    </row>
    <row r="16" spans="1:8" x14ac:dyDescent="0.2">
      <c r="A16" s="440" t="str">
        <f>IF(ISBLANK('Spells or Powers'!A3),"||||||||||||||",CONCATENATE("[[",IF(ISBLANK('Spells or Powers'!A3)," ",'Spells or Powers'!A3),"|/Meta/Spells/",SUBSTITUTE((SUBSTITUTE(SUBSTITUTE(SUBSTITUTE(SUBSTITUTE(SUBSTITUTE(SUBSTITUTE(SUBSTITUTE(SUBSTITUTE(SUBSTITUTE(SUBSTITUTE(SUBSTITUTE(SUBSTITUTE(SUBSTITUTE(SUBSTITUTE(SUBSTITUTE(SUBSTITUTE('Spells or Powers'!A3,"/",""),"-",""),".",""),",",""),CHAR(34),""),"'",""),"&amp;",""),"*",""),"#",""),"!",""),"?",""),"@",""),":",""),";",""),"(",""),")",""))," ",""),"]]","|",IF(ISBLANK('Spells or Powers'!B3)," ",'Spells or Powers'!B3),"|",IF(ISBLANK('Spells or Powers'!C3)," ",'Spells or Powers'!C3),"|",IF(ISBLANK('Spells or Powers'!D3)," ",'Spells or Powers'!D3),"|",IF(ISBLANK('Spells or Powers'!E3)," ",'Spells or Powers'!E3),"|",IF(ISBLANK('Spells or Powers'!F3)," ",'Spells or Powers'!F3),"|",IF(ISBLANK('Spells or Powers'!G3)," ",'Spells or Powers'!G3),"|",IF(ISBLANK('Spells or Powers'!H3)," ",'Spells or Powers'!H3),"|",IF(ISBLANK('Spells or Powers'!I3)," ",'Spells or Powers'!I3),"|",IF(ISBLANK('Spells or Powers'!J3)," ",'Spells or Powers'!J3),"|",IF(ISBLANK('Spells or Powers'!K3)," ",'Spells or Powers'!K3),"|",IF(ISBLANK('Spells or Powers'!L3)," ",'Spells or Powers'!L3),"|",IF(ISBLANK('Spells or Powers'!M3)," ",'Spells or Powers'!M3),"|",IF(ISBLANK('Spells or Powers'!N3)," ",'Spells or Powers'!N3),"|",IF(ISBLANK('Spells or Powers'!O3)," ",'Spells or Powers'!O3)))</f>
        <v>||||||||||||||</v>
      </c>
    </row>
    <row r="17" spans="1:1" x14ac:dyDescent="0.2">
      <c r="A17" s="440" t="str">
        <f>IF(ISBLANK('Spells or Powers'!A4),"||||||||||||||",CONCATENATE("[[",IF(ISBLANK('Spells or Powers'!A4)," ",'Spells or Powers'!A4),"|/Meta/Spells/",SUBSTITUTE((SUBSTITUTE(SUBSTITUTE(SUBSTITUTE(SUBSTITUTE(SUBSTITUTE(SUBSTITUTE(SUBSTITUTE(SUBSTITUTE(SUBSTITUTE(SUBSTITUTE(SUBSTITUTE(SUBSTITUTE(SUBSTITUTE(SUBSTITUTE(SUBSTITUTE(SUBSTITUTE('Spells or Powers'!A4,"/",""),"-",""),".",""),",",""),CHAR(34),""),"'",""),"&amp;",""),"*",""),"#",""),"!",""),"?",""),"@",""),":",""),";",""),"(",""),")",""))," ",""),"]]","|",IF(ISBLANK('Spells or Powers'!B4)," ",'Spells or Powers'!B4),"|",IF(ISBLANK('Spells or Powers'!C4)," ",'Spells or Powers'!C4),"|",IF(ISBLANK('Spells or Powers'!D4)," ",'Spells or Powers'!D4),"|",IF(ISBLANK('Spells or Powers'!E4)," ",'Spells or Powers'!E4),"|",IF(ISBLANK('Spells or Powers'!F4)," ",'Spells or Powers'!F4),"|",IF(ISBLANK('Spells or Powers'!G4)," ",'Spells or Powers'!G4),"|",IF(ISBLANK('Spells or Powers'!H4)," ",'Spells or Powers'!H4),"|",IF(ISBLANK('Spells or Powers'!I4)," ",'Spells or Powers'!I4),"|",IF(ISBLANK('Spells or Powers'!J4)," ",'Spells or Powers'!J4),"|",IF(ISBLANK('Spells or Powers'!K4)," ",'Spells or Powers'!K4),"|",IF(ISBLANK('Spells or Powers'!L4)," ",'Spells or Powers'!L4),"|",IF(ISBLANK('Spells or Powers'!M4)," ",'Spells or Powers'!M4),"|",IF(ISBLANK('Spells or Powers'!N4)," ",'Spells or Powers'!N4),"|",IF(ISBLANK('Spells or Powers'!O4)," ",'Spells or Powers'!O4)))</f>
        <v>||||||||||||||</v>
      </c>
    </row>
    <row r="18" spans="1:1" x14ac:dyDescent="0.2">
      <c r="A18" s="440" t="str">
        <f>IF(ISBLANK('Spells or Powers'!A5),"||||||||||||||",CONCATENATE("[[",IF(ISBLANK('Spells or Powers'!A5)," ",'Spells or Powers'!A5),"|/Meta/Spells/",SUBSTITUTE((SUBSTITUTE(SUBSTITUTE(SUBSTITUTE(SUBSTITUTE(SUBSTITUTE(SUBSTITUTE(SUBSTITUTE(SUBSTITUTE(SUBSTITUTE(SUBSTITUTE(SUBSTITUTE(SUBSTITUTE(SUBSTITUTE(SUBSTITUTE(SUBSTITUTE(SUBSTITUTE('Spells or Powers'!A5,"/",""),"-",""),".",""),",",""),CHAR(34),""),"'",""),"&amp;",""),"*",""),"#",""),"!",""),"?",""),"@",""),":",""),";",""),"(",""),")",""))," ",""),"]]","|",IF(ISBLANK('Spells or Powers'!B5)," ",'Spells or Powers'!B5),"|",IF(ISBLANK('Spells or Powers'!C5)," ",'Spells or Powers'!C5),"|",IF(ISBLANK('Spells or Powers'!D5)," ",'Spells or Powers'!D5),"|",IF(ISBLANK('Spells or Powers'!E5)," ",'Spells or Powers'!E5),"|",IF(ISBLANK('Spells or Powers'!F5)," ",'Spells or Powers'!F5),"|",IF(ISBLANK('Spells or Powers'!G5)," ",'Spells or Powers'!G5),"|",IF(ISBLANK('Spells or Powers'!H5)," ",'Spells or Powers'!H5),"|",IF(ISBLANK('Spells or Powers'!I5)," ",'Spells or Powers'!I5),"|",IF(ISBLANK('Spells or Powers'!J5)," ",'Spells or Powers'!J5),"|",IF(ISBLANK('Spells or Powers'!K5)," ",'Spells or Powers'!K5),"|",IF(ISBLANK('Spells or Powers'!L5)," ",'Spells or Powers'!L5),"|",IF(ISBLANK('Spells or Powers'!M5)," ",'Spells or Powers'!M5),"|",IF(ISBLANK('Spells or Powers'!N5)," ",'Spells or Powers'!N5),"|",IF(ISBLANK('Spells or Powers'!O5)," ",'Spells or Powers'!O5)))</f>
        <v>||||||||||||||</v>
      </c>
    </row>
    <row r="19" spans="1:1" x14ac:dyDescent="0.2">
      <c r="A19" s="440" t="str">
        <f>IF(ISBLANK('Spells or Powers'!A6),"||||||||||||||",CONCATENATE("[[",IF(ISBLANK('Spells or Powers'!A6)," ",'Spells or Powers'!A6),"|/Meta/Spells/",SUBSTITUTE((SUBSTITUTE(SUBSTITUTE(SUBSTITUTE(SUBSTITUTE(SUBSTITUTE(SUBSTITUTE(SUBSTITUTE(SUBSTITUTE(SUBSTITUTE(SUBSTITUTE(SUBSTITUTE(SUBSTITUTE(SUBSTITUTE(SUBSTITUTE(SUBSTITUTE(SUBSTITUTE('Spells or Powers'!A6,"/",""),"-",""),".",""),",",""),CHAR(34),""),"'",""),"&amp;",""),"*",""),"#",""),"!",""),"?",""),"@",""),":",""),";",""),"(",""),")",""))," ",""),"]]","|",IF(ISBLANK('Spells or Powers'!B6)," ",'Spells or Powers'!B6),"|",IF(ISBLANK('Spells or Powers'!C6)," ",'Spells or Powers'!C6),"|",IF(ISBLANK('Spells or Powers'!D6)," ",'Spells or Powers'!D6),"|",IF(ISBLANK('Spells or Powers'!E6)," ",'Spells or Powers'!E6),"|",IF(ISBLANK('Spells or Powers'!F6)," ",'Spells or Powers'!F6),"|",IF(ISBLANK('Spells or Powers'!G6)," ",'Spells or Powers'!G6),"|",IF(ISBLANK('Spells or Powers'!H6)," ",'Spells or Powers'!H6),"|",IF(ISBLANK('Spells or Powers'!I6)," ",'Spells or Powers'!I6),"|",IF(ISBLANK('Spells or Powers'!J6)," ",'Spells or Powers'!J6),"|",IF(ISBLANK('Spells or Powers'!K6)," ",'Spells or Powers'!K6),"|",IF(ISBLANK('Spells or Powers'!L6)," ",'Spells or Powers'!L6),"|",IF(ISBLANK('Spells or Powers'!M6)," ",'Spells or Powers'!M6),"|",IF(ISBLANK('Spells or Powers'!N6)," ",'Spells or Powers'!N6),"|",IF(ISBLANK('Spells or Powers'!O6)," ",'Spells or Powers'!O6)))</f>
        <v>||||||||||||||</v>
      </c>
    </row>
    <row r="20" spans="1:1" x14ac:dyDescent="0.2">
      <c r="A20" s="440" t="str">
        <f>IF(ISBLANK('Spells or Powers'!A7),"||||||||||||||",CONCATENATE("[[",IF(ISBLANK('Spells or Powers'!A7)," ",'Spells or Powers'!A7),"|/Meta/Spells/",SUBSTITUTE((SUBSTITUTE(SUBSTITUTE(SUBSTITUTE(SUBSTITUTE(SUBSTITUTE(SUBSTITUTE(SUBSTITUTE(SUBSTITUTE(SUBSTITUTE(SUBSTITUTE(SUBSTITUTE(SUBSTITUTE(SUBSTITUTE(SUBSTITUTE(SUBSTITUTE(SUBSTITUTE('Spells or Powers'!A7,"/",""),"-",""),".",""),",",""),CHAR(34),""),"'",""),"&amp;",""),"*",""),"#",""),"!",""),"?",""),"@",""),":",""),";",""),"(",""),")",""))," ",""),"]]","|",IF(ISBLANK('Spells or Powers'!B7)," ",'Spells or Powers'!B7),"|",IF(ISBLANK('Spells or Powers'!C7)," ",'Spells or Powers'!C7),"|",IF(ISBLANK('Spells or Powers'!D7)," ",'Spells or Powers'!D7),"|",IF(ISBLANK('Spells or Powers'!E7)," ",'Spells or Powers'!E7),"|",IF(ISBLANK('Spells or Powers'!F7)," ",'Spells or Powers'!F7),"|",IF(ISBLANK('Spells or Powers'!G7)," ",'Spells or Powers'!G7),"|",IF(ISBLANK('Spells or Powers'!H7)," ",'Spells or Powers'!H7),"|",IF(ISBLANK('Spells or Powers'!I7)," ",'Spells or Powers'!I7),"|",IF(ISBLANK('Spells or Powers'!J7)," ",'Spells or Powers'!J7),"|",IF(ISBLANK('Spells or Powers'!K7)," ",'Spells or Powers'!K7),"|",IF(ISBLANK('Spells or Powers'!L7)," ",'Spells or Powers'!L7),"|",IF(ISBLANK('Spells or Powers'!M7)," ",'Spells or Powers'!M7),"|",IF(ISBLANK('Spells or Powers'!N7)," ",'Spells or Powers'!N7),"|",IF(ISBLANK('Spells or Powers'!O7)," ",'Spells or Powers'!O7)))</f>
        <v>||||||||||||||</v>
      </c>
    </row>
    <row r="21" spans="1:1" x14ac:dyDescent="0.2">
      <c r="A21" s="440" t="str">
        <f>IF(ISBLANK('Spells or Powers'!A8),"||||||||||||||",CONCATENATE("[[",IF(ISBLANK('Spells or Powers'!A8)," ",'Spells or Powers'!A8),"|/Meta/Spells/",SUBSTITUTE((SUBSTITUTE(SUBSTITUTE(SUBSTITUTE(SUBSTITUTE(SUBSTITUTE(SUBSTITUTE(SUBSTITUTE(SUBSTITUTE(SUBSTITUTE(SUBSTITUTE(SUBSTITUTE(SUBSTITUTE(SUBSTITUTE(SUBSTITUTE(SUBSTITUTE(SUBSTITUTE('Spells or Powers'!A8,"/",""),"-",""),".",""),",",""),CHAR(34),""),"'",""),"&amp;",""),"*",""),"#",""),"!",""),"?",""),"@",""),":",""),";",""),"(",""),")",""))," ",""),"]]","|",IF(ISBLANK('Spells or Powers'!B8)," ",'Spells or Powers'!B8),"|",IF(ISBLANK('Spells or Powers'!C8)," ",'Spells or Powers'!C8),"|",IF(ISBLANK('Spells or Powers'!D8)," ",'Spells or Powers'!D8),"|",IF(ISBLANK('Spells or Powers'!E8)," ",'Spells or Powers'!E8),"|",IF(ISBLANK('Spells or Powers'!F8)," ",'Spells or Powers'!F8),"|",IF(ISBLANK('Spells or Powers'!G8)," ",'Spells or Powers'!G8),"|",IF(ISBLANK('Spells or Powers'!H8)," ",'Spells or Powers'!H8),"|",IF(ISBLANK('Spells or Powers'!I8)," ",'Spells or Powers'!I8),"|",IF(ISBLANK('Spells or Powers'!J8)," ",'Spells or Powers'!J8),"|",IF(ISBLANK('Spells or Powers'!K8)," ",'Spells or Powers'!K8),"|",IF(ISBLANK('Spells or Powers'!L8)," ",'Spells or Powers'!L8),"|",IF(ISBLANK('Spells or Powers'!M8)," ",'Spells or Powers'!M8),"|",IF(ISBLANK('Spells or Powers'!N8)," ",'Spells or Powers'!N8),"|",IF(ISBLANK('Spells or Powers'!O8)," ",'Spells or Powers'!O8)))</f>
        <v>||||||||||||||</v>
      </c>
    </row>
    <row r="22" spans="1:1" x14ac:dyDescent="0.2">
      <c r="A22" s="440" t="str">
        <f>IF(ISBLANK('Spells or Powers'!A9),"||||||||||||||",CONCATENATE("[[",IF(ISBLANK('Spells or Powers'!A9)," ",'Spells or Powers'!A9),"|/Meta/Spells/",SUBSTITUTE((SUBSTITUTE(SUBSTITUTE(SUBSTITUTE(SUBSTITUTE(SUBSTITUTE(SUBSTITUTE(SUBSTITUTE(SUBSTITUTE(SUBSTITUTE(SUBSTITUTE(SUBSTITUTE(SUBSTITUTE(SUBSTITUTE(SUBSTITUTE(SUBSTITUTE(SUBSTITUTE('Spells or Powers'!A9,"/",""),"-",""),".",""),",",""),CHAR(34),""),"'",""),"&amp;",""),"*",""),"#",""),"!",""),"?",""),"@",""),":",""),";",""),"(",""),")",""))," ",""),"]]","|",IF(ISBLANK('Spells or Powers'!B9)," ",'Spells or Powers'!B9),"|",IF(ISBLANK('Spells or Powers'!C9)," ",'Spells or Powers'!C9),"|",IF(ISBLANK('Spells or Powers'!D9)," ",'Spells or Powers'!D9),"|",IF(ISBLANK('Spells or Powers'!E9)," ",'Spells or Powers'!E9),"|",IF(ISBLANK('Spells or Powers'!F9)," ",'Spells or Powers'!F9),"|",IF(ISBLANK('Spells or Powers'!G9)," ",'Spells or Powers'!G9),"|",IF(ISBLANK('Spells or Powers'!H9)," ",'Spells or Powers'!H9),"|",IF(ISBLANK('Spells or Powers'!I9)," ",'Spells or Powers'!I9),"|",IF(ISBLANK('Spells or Powers'!J9)," ",'Spells or Powers'!J9),"|",IF(ISBLANK('Spells or Powers'!K9)," ",'Spells or Powers'!K9),"|",IF(ISBLANK('Spells or Powers'!L9)," ",'Spells or Powers'!L9),"|",IF(ISBLANK('Spells or Powers'!M9)," ",'Spells or Powers'!M9),"|",IF(ISBLANK('Spells or Powers'!N9)," ",'Spells or Powers'!N9),"|",IF(ISBLANK('Spells or Powers'!O9)," ",'Spells or Powers'!O9)))</f>
        <v>||||||||||||||</v>
      </c>
    </row>
    <row r="23" spans="1:1" x14ac:dyDescent="0.2">
      <c r="A23" s="440" t="str">
        <f>IF(ISBLANK('Spells or Powers'!A10),"||||||||||||||",CONCATENATE("[[",IF(ISBLANK('Spells or Powers'!A10)," ",'Spells or Powers'!A10),"|/Meta/Spells/",SUBSTITUTE((SUBSTITUTE(SUBSTITUTE(SUBSTITUTE(SUBSTITUTE(SUBSTITUTE(SUBSTITUTE(SUBSTITUTE(SUBSTITUTE(SUBSTITUTE(SUBSTITUTE(SUBSTITUTE(SUBSTITUTE(SUBSTITUTE(SUBSTITUTE(SUBSTITUTE(SUBSTITUTE('Spells or Powers'!A10,"/",""),"-",""),".",""),",",""),CHAR(34),""),"'",""),"&amp;",""),"*",""),"#",""),"!",""),"?",""),"@",""),":",""),";",""),"(",""),")",""))," ",""),"]]","|",IF(ISBLANK('Spells or Powers'!B10)," ",'Spells or Powers'!B10),"|",IF(ISBLANK('Spells or Powers'!C10)," ",'Spells or Powers'!C10),"|",IF(ISBLANK('Spells or Powers'!D10)," ",'Spells or Powers'!D10),"|",IF(ISBLANK('Spells or Powers'!E10)," ",'Spells or Powers'!E10),"|",IF(ISBLANK('Spells or Powers'!F10)," ",'Spells or Powers'!F10),"|",IF(ISBLANK('Spells or Powers'!G10)," ",'Spells or Powers'!G10),"|",IF(ISBLANK('Spells or Powers'!H10)," ",'Spells or Powers'!H10),"|",IF(ISBLANK('Spells or Powers'!I10)," ",'Spells or Powers'!I10),"|",IF(ISBLANK('Spells or Powers'!J10)," ",'Spells or Powers'!J10),"|",IF(ISBLANK('Spells or Powers'!K10)," ",'Spells or Powers'!K10),"|",IF(ISBLANK('Spells or Powers'!L10)," ",'Spells or Powers'!L10),"|",IF(ISBLANK('Spells or Powers'!M10)," ",'Spells or Powers'!M10),"|",IF(ISBLANK('Spells or Powers'!N10)," ",'Spells or Powers'!N10),"|",IF(ISBLANK('Spells or Powers'!O10)," ",'Spells or Powers'!O10)))</f>
        <v>||||||||||||||</v>
      </c>
    </row>
    <row r="24" spans="1:1" x14ac:dyDescent="0.2">
      <c r="A24" s="440" t="str">
        <f>IF(ISBLANK('Spells or Powers'!A11),"||||||||||||||",CONCATENATE("[[",IF(ISBLANK('Spells or Powers'!A11)," ",'Spells or Powers'!A11),"|/Meta/Spells/",SUBSTITUTE((SUBSTITUTE(SUBSTITUTE(SUBSTITUTE(SUBSTITUTE(SUBSTITUTE(SUBSTITUTE(SUBSTITUTE(SUBSTITUTE(SUBSTITUTE(SUBSTITUTE(SUBSTITUTE(SUBSTITUTE(SUBSTITUTE(SUBSTITUTE(SUBSTITUTE(SUBSTITUTE('Spells or Powers'!A11,"/",""),"-",""),".",""),",",""),CHAR(34),""),"'",""),"&amp;",""),"*",""),"#",""),"!",""),"?",""),"@",""),":",""),";",""),"(",""),")",""))," ",""),"]]","|",IF(ISBLANK('Spells or Powers'!B11)," ",'Spells or Powers'!B11),"|",IF(ISBLANK('Spells or Powers'!C11)," ",'Spells or Powers'!C11),"|",IF(ISBLANK('Spells or Powers'!D11)," ",'Spells or Powers'!D11),"|",IF(ISBLANK('Spells or Powers'!E11)," ",'Spells or Powers'!E11),"|",IF(ISBLANK('Spells or Powers'!F11)," ",'Spells or Powers'!F11),"|",IF(ISBLANK('Spells or Powers'!G11)," ",'Spells or Powers'!G11),"|",IF(ISBLANK('Spells or Powers'!H11)," ",'Spells or Powers'!H11),"|",IF(ISBLANK('Spells or Powers'!I11)," ",'Spells or Powers'!I11),"|",IF(ISBLANK('Spells or Powers'!J11)," ",'Spells or Powers'!J11),"|",IF(ISBLANK('Spells or Powers'!K11)," ",'Spells or Powers'!K11),"|",IF(ISBLANK('Spells or Powers'!L11)," ",'Spells or Powers'!L11),"|",IF(ISBLANK('Spells or Powers'!M11)," ",'Spells or Powers'!M11),"|",IF(ISBLANK('Spells or Powers'!N11)," ",'Spells or Powers'!N11),"|",IF(ISBLANK('Spells or Powers'!O11)," ",'Spells or Powers'!O11)))</f>
        <v>||||||||||||||</v>
      </c>
    </row>
    <row r="25" spans="1:1" x14ac:dyDescent="0.2">
      <c r="A25" s="440" t="str">
        <f>IF(ISBLANK('Spells or Powers'!A12),"||||||||||||||",CONCATENATE("[[",IF(ISBLANK('Spells or Powers'!A12)," ",'Spells or Powers'!A12),"|/Meta/Spells/",SUBSTITUTE((SUBSTITUTE(SUBSTITUTE(SUBSTITUTE(SUBSTITUTE(SUBSTITUTE(SUBSTITUTE(SUBSTITUTE(SUBSTITUTE(SUBSTITUTE(SUBSTITUTE(SUBSTITUTE(SUBSTITUTE(SUBSTITUTE(SUBSTITUTE(SUBSTITUTE(SUBSTITUTE('Spells or Powers'!A12,"/",""),"-",""),".",""),",",""),CHAR(34),""),"'",""),"&amp;",""),"*",""),"#",""),"!",""),"?",""),"@",""),":",""),";",""),"(",""),")",""))," ",""),"]]","|",IF(ISBLANK('Spells or Powers'!B12)," ",'Spells or Powers'!B12),"|",IF(ISBLANK('Spells or Powers'!C12)," ",'Spells or Powers'!C12),"|",IF(ISBLANK('Spells or Powers'!D12)," ",'Spells or Powers'!D12),"|",IF(ISBLANK('Spells or Powers'!E12)," ",'Spells or Powers'!E12),"|",IF(ISBLANK('Spells or Powers'!F12)," ",'Spells or Powers'!F12),"|",IF(ISBLANK('Spells or Powers'!G12)," ",'Spells or Powers'!G12),"|",IF(ISBLANK('Spells or Powers'!H12)," ",'Spells or Powers'!H12),"|",IF(ISBLANK('Spells or Powers'!I12)," ",'Spells or Powers'!I12),"|",IF(ISBLANK('Spells or Powers'!J12)," ",'Spells or Powers'!J12),"|",IF(ISBLANK('Spells or Powers'!K12)," ",'Spells or Powers'!K12),"|",IF(ISBLANK('Spells or Powers'!L12)," ",'Spells or Powers'!L12),"|",IF(ISBLANK('Spells or Powers'!M12)," ",'Spells or Powers'!M12),"|",IF(ISBLANK('Spells or Powers'!N12)," ",'Spells or Powers'!N12),"|",IF(ISBLANK('Spells or Powers'!O12)," ",'Spells or Powers'!O12)))</f>
        <v>||||||||||||||</v>
      </c>
    </row>
    <row r="26" spans="1:1" x14ac:dyDescent="0.2">
      <c r="A26" s="440" t="str">
        <f>IF(ISBLANK('Spells or Powers'!A13),"||||||||||||||",CONCATENATE("[[",IF(ISBLANK('Spells or Powers'!A13)," ",'Spells or Powers'!A13),"|/Meta/Spells/",SUBSTITUTE((SUBSTITUTE(SUBSTITUTE(SUBSTITUTE(SUBSTITUTE(SUBSTITUTE(SUBSTITUTE(SUBSTITUTE(SUBSTITUTE(SUBSTITUTE(SUBSTITUTE(SUBSTITUTE(SUBSTITUTE(SUBSTITUTE(SUBSTITUTE(SUBSTITUTE(SUBSTITUTE('Spells or Powers'!A13,"/",""),"-",""),".",""),",",""),CHAR(34),""),"'",""),"&amp;",""),"*",""),"#",""),"!",""),"?",""),"@",""),":",""),";",""),"(",""),")",""))," ",""),"]]","|",IF(ISBLANK('Spells or Powers'!B13)," ",'Spells or Powers'!B13),"|",IF(ISBLANK('Spells or Powers'!C13)," ",'Spells or Powers'!C13),"|",IF(ISBLANK('Spells or Powers'!D13)," ",'Spells or Powers'!D13),"|",IF(ISBLANK('Spells or Powers'!E13)," ",'Spells or Powers'!E13),"|",IF(ISBLANK('Spells or Powers'!F13)," ",'Spells or Powers'!F13),"|",IF(ISBLANK('Spells or Powers'!G13)," ",'Spells or Powers'!G13),"|",IF(ISBLANK('Spells or Powers'!H13)," ",'Spells or Powers'!H13),"|",IF(ISBLANK('Spells or Powers'!I13)," ",'Spells or Powers'!I13),"|",IF(ISBLANK('Spells or Powers'!J13)," ",'Spells or Powers'!J13),"|",IF(ISBLANK('Spells or Powers'!K13)," ",'Spells or Powers'!K13),"|",IF(ISBLANK('Spells or Powers'!L13)," ",'Spells or Powers'!L13),"|",IF(ISBLANK('Spells or Powers'!M13)," ",'Spells or Powers'!M13),"|",IF(ISBLANK('Spells or Powers'!N13)," ",'Spells or Powers'!N13),"|",IF(ISBLANK('Spells or Powers'!O13)," ",'Spells or Powers'!O13)))</f>
        <v>||||||||||||||</v>
      </c>
    </row>
    <row r="27" spans="1:1" x14ac:dyDescent="0.2">
      <c r="A27" s="440" t="str">
        <f>IF(ISBLANK('Spells or Powers'!A14),"||||||||||||||",CONCATENATE("[[",IF(ISBLANK('Spells or Powers'!A14)," ",'Spells or Powers'!A14),"|/Meta/Spells/",SUBSTITUTE((SUBSTITUTE(SUBSTITUTE(SUBSTITUTE(SUBSTITUTE(SUBSTITUTE(SUBSTITUTE(SUBSTITUTE(SUBSTITUTE(SUBSTITUTE(SUBSTITUTE(SUBSTITUTE(SUBSTITUTE(SUBSTITUTE(SUBSTITUTE(SUBSTITUTE(SUBSTITUTE('Spells or Powers'!A14,"/",""),"-",""),".",""),",",""),CHAR(34),""),"'",""),"&amp;",""),"*",""),"#",""),"!",""),"?",""),"@",""),":",""),";",""),"(",""),")",""))," ",""),"]]","|",IF(ISBLANK('Spells or Powers'!B14)," ",'Spells or Powers'!B14),"|",IF(ISBLANK('Spells or Powers'!C14)," ",'Spells or Powers'!C14),"|",IF(ISBLANK('Spells or Powers'!D14)," ",'Spells or Powers'!D14),"|",IF(ISBLANK('Spells or Powers'!E14)," ",'Spells or Powers'!E14),"|",IF(ISBLANK('Spells or Powers'!F14)," ",'Spells or Powers'!F14),"|",IF(ISBLANK('Spells or Powers'!G14)," ",'Spells or Powers'!G14),"|",IF(ISBLANK('Spells or Powers'!H14)," ",'Spells or Powers'!H14),"|",IF(ISBLANK('Spells or Powers'!I14)," ",'Spells or Powers'!I14),"|",IF(ISBLANK('Spells or Powers'!J14)," ",'Spells or Powers'!J14),"|",IF(ISBLANK('Spells or Powers'!K14)," ",'Spells or Powers'!K14),"|",IF(ISBLANK('Spells or Powers'!L14)," ",'Spells or Powers'!L14),"|",IF(ISBLANK('Spells or Powers'!M14)," ",'Spells or Powers'!M14),"|",IF(ISBLANK('Spells or Powers'!N14)," ",'Spells or Powers'!N14),"|",IF(ISBLANK('Spells or Powers'!O14)," ",'Spells or Powers'!O14)))</f>
        <v>||||||||||||||</v>
      </c>
    </row>
    <row r="28" spans="1:1" x14ac:dyDescent="0.2">
      <c r="A28" s="440" t="str">
        <f>IF(ISBLANK('Spells or Powers'!A15),"||||||||||||||",CONCATENATE("[[",IF(ISBLANK('Spells or Powers'!A15)," ",'Spells or Powers'!A15),"|/Meta/Spells/",SUBSTITUTE((SUBSTITUTE(SUBSTITUTE(SUBSTITUTE(SUBSTITUTE(SUBSTITUTE(SUBSTITUTE(SUBSTITUTE(SUBSTITUTE(SUBSTITUTE(SUBSTITUTE(SUBSTITUTE(SUBSTITUTE(SUBSTITUTE(SUBSTITUTE(SUBSTITUTE(SUBSTITUTE('Spells or Powers'!A15,"/",""),"-",""),".",""),",",""),CHAR(34),""),"'",""),"&amp;",""),"*",""),"#",""),"!",""),"?",""),"@",""),":",""),";",""),"(",""),")",""))," ",""),"]]","|",IF(ISBLANK('Spells or Powers'!B15)," ",'Spells or Powers'!B15),"|",IF(ISBLANK('Spells or Powers'!C15)," ",'Spells or Powers'!C15),"|",IF(ISBLANK('Spells or Powers'!D15)," ",'Spells or Powers'!D15),"|",IF(ISBLANK('Spells or Powers'!E15)," ",'Spells or Powers'!E15),"|",IF(ISBLANK('Spells or Powers'!F15)," ",'Spells or Powers'!F15),"|",IF(ISBLANK('Spells or Powers'!G15)," ",'Spells or Powers'!G15),"|",IF(ISBLANK('Spells or Powers'!H15)," ",'Spells or Powers'!H15),"|",IF(ISBLANK('Spells or Powers'!I15)," ",'Spells or Powers'!I15),"|",IF(ISBLANK('Spells or Powers'!J15)," ",'Spells or Powers'!J15),"|",IF(ISBLANK('Spells or Powers'!K15)," ",'Spells or Powers'!K15),"|",IF(ISBLANK('Spells or Powers'!L15)," ",'Spells or Powers'!L15),"|",IF(ISBLANK('Spells or Powers'!M15)," ",'Spells or Powers'!M15),"|",IF(ISBLANK('Spells or Powers'!N15)," ",'Spells or Powers'!N15),"|",IF(ISBLANK('Spells or Powers'!O15)," ",'Spells or Powers'!O15)))</f>
        <v>||||||||||||||</v>
      </c>
    </row>
    <row r="29" spans="1:1" x14ac:dyDescent="0.2">
      <c r="A29" s="440" t="str">
        <f>IF(ISBLANK('Spells or Powers'!A16),"||||||||||||||",CONCATENATE("[[",IF(ISBLANK('Spells or Powers'!A16)," ",'Spells or Powers'!A16),"|/Meta/Spells/",SUBSTITUTE((SUBSTITUTE(SUBSTITUTE(SUBSTITUTE(SUBSTITUTE(SUBSTITUTE(SUBSTITUTE(SUBSTITUTE(SUBSTITUTE(SUBSTITUTE(SUBSTITUTE(SUBSTITUTE(SUBSTITUTE(SUBSTITUTE(SUBSTITUTE(SUBSTITUTE(SUBSTITUTE('Spells or Powers'!A16,"/",""),"-",""),".",""),",",""),CHAR(34),""),"'",""),"&amp;",""),"*",""),"#",""),"!",""),"?",""),"@",""),":",""),";",""),"(",""),")",""))," ",""),"]]","|",IF(ISBLANK('Spells or Powers'!B16)," ",'Spells or Powers'!B16),"|",IF(ISBLANK('Spells or Powers'!C16)," ",'Spells or Powers'!C16),"|",IF(ISBLANK('Spells or Powers'!D16)," ",'Spells or Powers'!D16),"|",IF(ISBLANK('Spells or Powers'!E16)," ",'Spells or Powers'!E16),"|",IF(ISBLANK('Spells or Powers'!F16)," ",'Spells or Powers'!F16),"|",IF(ISBLANK('Spells or Powers'!G16)," ",'Spells or Powers'!G16),"|",IF(ISBLANK('Spells or Powers'!H16)," ",'Spells or Powers'!H16),"|",IF(ISBLANK('Spells or Powers'!I16)," ",'Spells or Powers'!I16),"|",IF(ISBLANK('Spells or Powers'!J16)," ",'Spells or Powers'!J16),"|",IF(ISBLANK('Spells or Powers'!K16)," ",'Spells or Powers'!K16),"|",IF(ISBLANK('Spells or Powers'!L16)," ",'Spells or Powers'!L16),"|",IF(ISBLANK('Spells or Powers'!M16)," ",'Spells or Powers'!M16),"|",IF(ISBLANK('Spells or Powers'!N16)," ",'Spells or Powers'!N16),"|",IF(ISBLANK('Spells or Powers'!O16)," ",'Spells or Powers'!O16)))</f>
        <v>||||||||||||||</v>
      </c>
    </row>
    <row r="30" spans="1:1" x14ac:dyDescent="0.2">
      <c r="A30" s="440" t="str">
        <f>IF(ISBLANK('Spells or Powers'!A17),"||||||||||||||",CONCATENATE("[[",IF(ISBLANK('Spells or Powers'!A17)," ",'Spells or Powers'!A17),"|/Meta/Spells/",SUBSTITUTE((SUBSTITUTE(SUBSTITUTE(SUBSTITUTE(SUBSTITUTE(SUBSTITUTE(SUBSTITUTE(SUBSTITUTE(SUBSTITUTE(SUBSTITUTE(SUBSTITUTE(SUBSTITUTE(SUBSTITUTE(SUBSTITUTE(SUBSTITUTE(SUBSTITUTE(SUBSTITUTE('Spells or Powers'!A17,"/",""),"-",""),".",""),",",""),CHAR(34),""),"'",""),"&amp;",""),"*",""),"#",""),"!",""),"?",""),"@",""),":",""),";",""),"(",""),")",""))," ",""),"]]","|",IF(ISBLANK('Spells or Powers'!B17)," ",'Spells or Powers'!B17),"|",IF(ISBLANK('Spells or Powers'!C17)," ",'Spells or Powers'!C17),"|",IF(ISBLANK('Spells or Powers'!D17)," ",'Spells or Powers'!D17),"|",IF(ISBLANK('Spells or Powers'!E17)," ",'Spells or Powers'!E17),"|",IF(ISBLANK('Spells or Powers'!F17)," ",'Spells or Powers'!F17),"|",IF(ISBLANK('Spells or Powers'!G17)," ",'Spells or Powers'!G17),"|",IF(ISBLANK('Spells or Powers'!H17)," ",'Spells or Powers'!H17),"|",IF(ISBLANK('Spells or Powers'!I17)," ",'Spells or Powers'!I17),"|",IF(ISBLANK('Spells or Powers'!J17)," ",'Spells or Powers'!J17),"|",IF(ISBLANK('Spells or Powers'!K17)," ",'Spells or Powers'!K17),"|",IF(ISBLANK('Spells or Powers'!L17)," ",'Spells or Powers'!L17),"|",IF(ISBLANK('Spells or Powers'!M17)," ",'Spells or Powers'!M17),"|",IF(ISBLANK('Spells or Powers'!N17)," ",'Spells or Powers'!N17),"|",IF(ISBLANK('Spells or Powers'!O17)," ",'Spells or Powers'!O17)))</f>
        <v>||||||||||||||</v>
      </c>
    </row>
    <row r="31" spans="1:1" x14ac:dyDescent="0.2">
      <c r="A31" s="440" t="str">
        <f>IF(ISBLANK('Spells or Powers'!A18),"||||||||||||||",CONCATENATE("[[",IF(ISBLANK('Spells or Powers'!A18)," ",'Spells or Powers'!A18),"|/Meta/Spells/",SUBSTITUTE((SUBSTITUTE(SUBSTITUTE(SUBSTITUTE(SUBSTITUTE(SUBSTITUTE(SUBSTITUTE(SUBSTITUTE(SUBSTITUTE(SUBSTITUTE(SUBSTITUTE(SUBSTITUTE(SUBSTITUTE(SUBSTITUTE(SUBSTITUTE(SUBSTITUTE(SUBSTITUTE('Spells or Powers'!A18,"/",""),"-",""),".",""),",",""),CHAR(34),""),"'",""),"&amp;",""),"*",""),"#",""),"!",""),"?",""),"@",""),":",""),";",""),"(",""),")",""))," ",""),"]]","|",IF(ISBLANK('Spells or Powers'!B18)," ",'Spells or Powers'!B18),"|",IF(ISBLANK('Spells or Powers'!C18)," ",'Spells or Powers'!C18),"|",IF(ISBLANK('Spells or Powers'!D18)," ",'Spells or Powers'!D18),"|",IF(ISBLANK('Spells or Powers'!E18)," ",'Spells or Powers'!E18),"|",IF(ISBLANK('Spells or Powers'!F18)," ",'Spells or Powers'!F18),"|",IF(ISBLANK('Spells or Powers'!G18)," ",'Spells or Powers'!G18),"|",IF(ISBLANK('Spells or Powers'!H18)," ",'Spells or Powers'!H18),"|",IF(ISBLANK('Spells or Powers'!I18)," ",'Spells or Powers'!I18),"|",IF(ISBLANK('Spells or Powers'!J18)," ",'Spells or Powers'!J18),"|",IF(ISBLANK('Spells or Powers'!K18)," ",'Spells or Powers'!K18),"|",IF(ISBLANK('Spells or Powers'!L18)," ",'Spells or Powers'!L18),"|",IF(ISBLANK('Spells or Powers'!M18)," ",'Spells or Powers'!M18),"|",IF(ISBLANK('Spells or Powers'!N18)," ",'Spells or Powers'!N18),"|",IF(ISBLANK('Spells or Powers'!O18)," ",'Spells or Powers'!O18)))</f>
        <v>||||||||||||||</v>
      </c>
    </row>
    <row r="32" spans="1:1" x14ac:dyDescent="0.2">
      <c r="A32" s="440" t="str">
        <f>IF(ISBLANK('Spells or Powers'!A19),"||||||||||||||",CONCATENATE("[[",IF(ISBLANK('Spells or Powers'!A19)," ",'Spells or Powers'!A19),"|/Meta/Spells/",SUBSTITUTE((SUBSTITUTE(SUBSTITUTE(SUBSTITUTE(SUBSTITUTE(SUBSTITUTE(SUBSTITUTE(SUBSTITUTE(SUBSTITUTE(SUBSTITUTE(SUBSTITUTE(SUBSTITUTE(SUBSTITUTE(SUBSTITUTE(SUBSTITUTE(SUBSTITUTE(SUBSTITUTE('Spells or Powers'!A19,"/",""),"-",""),".",""),",",""),CHAR(34),""),"'",""),"&amp;",""),"*",""),"#",""),"!",""),"?",""),"@",""),":",""),";",""),"(",""),")",""))," ",""),"]]","|",IF(ISBLANK('Spells or Powers'!B19)," ",'Spells or Powers'!B19),"|",IF(ISBLANK('Spells or Powers'!C19)," ",'Spells or Powers'!C19),"|",IF(ISBLANK('Spells or Powers'!D19)," ",'Spells or Powers'!D19),"|",IF(ISBLANK('Spells or Powers'!E19)," ",'Spells or Powers'!E19),"|",IF(ISBLANK('Spells or Powers'!F19)," ",'Spells or Powers'!F19),"|",IF(ISBLANK('Spells or Powers'!G19)," ",'Spells or Powers'!G19),"|",IF(ISBLANK('Spells or Powers'!H19)," ",'Spells or Powers'!H19),"|",IF(ISBLANK('Spells or Powers'!I19)," ",'Spells or Powers'!I19),"|",IF(ISBLANK('Spells or Powers'!J19)," ",'Spells or Powers'!J19),"|",IF(ISBLANK('Spells or Powers'!K19)," ",'Spells or Powers'!K19),"|",IF(ISBLANK('Spells or Powers'!L19)," ",'Spells or Powers'!L19),"|",IF(ISBLANK('Spells or Powers'!M19)," ",'Spells or Powers'!M19),"|",IF(ISBLANK('Spells or Powers'!N19)," ",'Spells or Powers'!N19),"|",IF(ISBLANK('Spells or Powers'!O19)," ",'Spells or Powers'!O19)))</f>
        <v>||||||||||||||</v>
      </c>
    </row>
    <row r="33" spans="1:1" x14ac:dyDescent="0.2">
      <c r="A33" s="440" t="str">
        <f>IF(ISBLANK('Spells or Powers'!A20),"||||||||||||||",CONCATENATE("[[",IF(ISBLANK('Spells or Powers'!A20)," ",'Spells or Powers'!A20),"|/Meta/Spells/",SUBSTITUTE((SUBSTITUTE(SUBSTITUTE(SUBSTITUTE(SUBSTITUTE(SUBSTITUTE(SUBSTITUTE(SUBSTITUTE(SUBSTITUTE(SUBSTITUTE(SUBSTITUTE(SUBSTITUTE(SUBSTITUTE(SUBSTITUTE(SUBSTITUTE(SUBSTITUTE(SUBSTITUTE('Spells or Powers'!A20,"/",""),"-",""),".",""),",",""),CHAR(34),""),"'",""),"&amp;",""),"*",""),"#",""),"!",""),"?",""),"@",""),":",""),";",""),"(",""),")",""))," ",""),"]]","|",IF(ISBLANK('Spells or Powers'!B20)," ",'Spells or Powers'!B20),"|",IF(ISBLANK('Spells or Powers'!C20)," ",'Spells or Powers'!C20),"|",IF(ISBLANK('Spells or Powers'!D20)," ",'Spells or Powers'!D20),"|",IF(ISBLANK('Spells or Powers'!E20)," ",'Spells or Powers'!E20),"|",IF(ISBLANK('Spells or Powers'!F20)," ",'Spells or Powers'!F20),"|",IF(ISBLANK('Spells or Powers'!G20)," ",'Spells or Powers'!G20),"|",IF(ISBLANK('Spells or Powers'!H20)," ",'Spells or Powers'!H20),"|",IF(ISBLANK('Spells or Powers'!I20)," ",'Spells or Powers'!I20),"|",IF(ISBLANK('Spells or Powers'!J20)," ",'Spells or Powers'!J20),"|",IF(ISBLANK('Spells or Powers'!K20)," ",'Spells or Powers'!K20),"|",IF(ISBLANK('Spells or Powers'!L20)," ",'Spells or Powers'!L20),"|",IF(ISBLANK('Spells or Powers'!M20)," ",'Spells or Powers'!M20),"|",IF(ISBLANK('Spells or Powers'!N20)," ",'Spells or Powers'!N20),"|",IF(ISBLANK('Spells or Powers'!O20)," ",'Spells or Powers'!O20)))</f>
        <v>||||||||||||||</v>
      </c>
    </row>
    <row r="34" spans="1:1" x14ac:dyDescent="0.2">
      <c r="A34" s="440" t="str">
        <f>IF(ISBLANK('Spells or Powers'!A21),"||||||||||||||",CONCATENATE("[[",IF(ISBLANK('Spells or Powers'!A21)," ",'Spells or Powers'!A21),"|/Meta/Spells/",SUBSTITUTE((SUBSTITUTE(SUBSTITUTE(SUBSTITUTE(SUBSTITUTE(SUBSTITUTE(SUBSTITUTE(SUBSTITUTE(SUBSTITUTE(SUBSTITUTE(SUBSTITUTE(SUBSTITUTE(SUBSTITUTE(SUBSTITUTE(SUBSTITUTE(SUBSTITUTE(SUBSTITUTE('Spells or Powers'!A21,"/",""),"-",""),".",""),",",""),CHAR(34),""),"'",""),"&amp;",""),"*",""),"#",""),"!",""),"?",""),"@",""),":",""),";",""),"(",""),")",""))," ",""),"]]","|",IF(ISBLANK('Spells or Powers'!B21)," ",'Spells or Powers'!B21),"|",IF(ISBLANK('Spells or Powers'!C21)," ",'Spells or Powers'!C21),"|",IF(ISBLANK('Spells or Powers'!D21)," ",'Spells or Powers'!D21),"|",IF(ISBLANK('Spells or Powers'!E21)," ",'Spells or Powers'!E21),"|",IF(ISBLANK('Spells or Powers'!F21)," ",'Spells or Powers'!F21),"|",IF(ISBLANK('Spells or Powers'!G21)," ",'Spells or Powers'!G21),"|",IF(ISBLANK('Spells or Powers'!H21)," ",'Spells or Powers'!H21),"|",IF(ISBLANK('Spells or Powers'!I21)," ",'Spells or Powers'!I21),"|",IF(ISBLANK('Spells or Powers'!J21)," ",'Spells or Powers'!J21),"|",IF(ISBLANK('Spells or Powers'!K21)," ",'Spells or Powers'!K21),"|",IF(ISBLANK('Spells or Powers'!L21)," ",'Spells or Powers'!L21),"|",IF(ISBLANK('Spells or Powers'!M21)," ",'Spells or Powers'!M21),"|",IF(ISBLANK('Spells or Powers'!N21)," ",'Spells or Powers'!N21),"|",IF(ISBLANK('Spells or Powers'!O21)," ",'Spells or Powers'!O21)))</f>
        <v>||||||||||||||</v>
      </c>
    </row>
    <row r="35" spans="1:1" x14ac:dyDescent="0.2">
      <c r="A35" s="440" t="str">
        <f>IF(ISBLANK('Spells or Powers'!A22),"||||||||||||||",CONCATENATE("[[",IF(ISBLANK('Spells or Powers'!A22)," ",'Spells or Powers'!A22),"|/Meta/Spells/",SUBSTITUTE((SUBSTITUTE(SUBSTITUTE(SUBSTITUTE(SUBSTITUTE(SUBSTITUTE(SUBSTITUTE(SUBSTITUTE(SUBSTITUTE(SUBSTITUTE(SUBSTITUTE(SUBSTITUTE(SUBSTITUTE(SUBSTITUTE(SUBSTITUTE(SUBSTITUTE(SUBSTITUTE('Spells or Powers'!A22,"/",""),"-",""),".",""),",",""),CHAR(34),""),"'",""),"&amp;",""),"*",""),"#",""),"!",""),"?",""),"@",""),":",""),";",""),"(",""),")",""))," ",""),"]]","|",IF(ISBLANK('Spells or Powers'!B22)," ",'Spells or Powers'!B22),"|",IF(ISBLANK('Spells or Powers'!C22)," ",'Spells or Powers'!C22),"|",IF(ISBLANK('Spells or Powers'!D22)," ",'Spells or Powers'!D22),"|",IF(ISBLANK('Spells or Powers'!E22)," ",'Spells or Powers'!E22),"|",IF(ISBLANK('Spells or Powers'!F22)," ",'Spells or Powers'!F22),"|",IF(ISBLANK('Spells or Powers'!G22)," ",'Spells or Powers'!G22),"|",IF(ISBLANK('Spells or Powers'!H22)," ",'Spells or Powers'!H22),"|",IF(ISBLANK('Spells or Powers'!I22)," ",'Spells or Powers'!I22),"|",IF(ISBLANK('Spells or Powers'!J22)," ",'Spells or Powers'!J22),"|",IF(ISBLANK('Spells or Powers'!K22)," ",'Spells or Powers'!K22),"|",IF(ISBLANK('Spells or Powers'!L22)," ",'Spells or Powers'!L22),"|",IF(ISBLANK('Spells or Powers'!M22)," ",'Spells or Powers'!M22),"|",IF(ISBLANK('Spells or Powers'!N22)," ",'Spells or Powers'!N22),"|",IF(ISBLANK('Spells or Powers'!O22)," ",'Spells or Powers'!O22)))</f>
        <v>||||||||||||||</v>
      </c>
    </row>
    <row r="36" spans="1:1" x14ac:dyDescent="0.2">
      <c r="A36" s="440" t="str">
        <f>IF(ISBLANK('Spells or Powers'!A23),"||||||||||||||",CONCATENATE("[[",IF(ISBLANK('Spells or Powers'!A23)," ",'Spells or Powers'!A23),"|/Meta/Spells/",SUBSTITUTE((SUBSTITUTE(SUBSTITUTE(SUBSTITUTE(SUBSTITUTE(SUBSTITUTE(SUBSTITUTE(SUBSTITUTE(SUBSTITUTE(SUBSTITUTE(SUBSTITUTE(SUBSTITUTE(SUBSTITUTE(SUBSTITUTE(SUBSTITUTE(SUBSTITUTE(SUBSTITUTE('Spells or Powers'!A23,"/",""),"-",""),".",""),",",""),CHAR(34),""),"'",""),"&amp;",""),"*",""),"#",""),"!",""),"?",""),"@",""),":",""),";",""),"(",""),")",""))," ",""),"]]","|",IF(ISBLANK('Spells or Powers'!B23)," ",'Spells or Powers'!B23),"|",IF(ISBLANK('Spells or Powers'!C23)," ",'Spells or Powers'!C23),"|",IF(ISBLANK('Spells or Powers'!D23)," ",'Spells or Powers'!D23),"|",IF(ISBLANK('Spells or Powers'!E23)," ",'Spells or Powers'!E23),"|",IF(ISBLANK('Spells or Powers'!F23)," ",'Spells or Powers'!F23),"|",IF(ISBLANK('Spells or Powers'!G23)," ",'Spells or Powers'!G23),"|",IF(ISBLANK('Spells or Powers'!H23)," ",'Spells or Powers'!H23),"|",IF(ISBLANK('Spells or Powers'!I23)," ",'Spells or Powers'!I23),"|",IF(ISBLANK('Spells or Powers'!J23)," ",'Spells or Powers'!J23),"|",IF(ISBLANK('Spells or Powers'!K23)," ",'Spells or Powers'!K23),"|",IF(ISBLANK('Spells or Powers'!L23)," ",'Spells or Powers'!L23),"|",IF(ISBLANK('Spells or Powers'!M23)," ",'Spells or Powers'!M23),"|",IF(ISBLANK('Spells or Powers'!N23)," ",'Spells or Powers'!N23),"|",IF(ISBLANK('Spells or Powers'!O23)," ",'Spells or Powers'!O23)))</f>
        <v>||||||||||||||</v>
      </c>
    </row>
    <row r="37" spans="1:1" x14ac:dyDescent="0.2">
      <c r="A37" s="440" t="str">
        <f>IF(ISBLANK('Spells or Powers'!A24),"||||||||||||||",CONCATENATE("[[",IF(ISBLANK('Spells or Powers'!A24)," ",'Spells or Powers'!A24),"|/Meta/Spells/",SUBSTITUTE((SUBSTITUTE(SUBSTITUTE(SUBSTITUTE(SUBSTITUTE(SUBSTITUTE(SUBSTITUTE(SUBSTITUTE(SUBSTITUTE(SUBSTITUTE(SUBSTITUTE(SUBSTITUTE(SUBSTITUTE(SUBSTITUTE(SUBSTITUTE(SUBSTITUTE(SUBSTITUTE('Spells or Powers'!A24,"/",""),"-",""),".",""),",",""),CHAR(34),""),"'",""),"&amp;",""),"*",""),"#",""),"!",""),"?",""),"@",""),":",""),";",""),"(",""),")",""))," ",""),"]]","|",IF(ISBLANK('Spells or Powers'!B24)," ",'Spells or Powers'!B24),"|",IF(ISBLANK('Spells or Powers'!C24)," ",'Spells or Powers'!C24),"|",IF(ISBLANK('Spells or Powers'!D24)," ",'Spells or Powers'!D24),"|",IF(ISBLANK('Spells or Powers'!E24)," ",'Spells or Powers'!E24),"|",IF(ISBLANK('Spells or Powers'!F24)," ",'Spells or Powers'!F24),"|",IF(ISBLANK('Spells or Powers'!G24)," ",'Spells or Powers'!G24),"|",IF(ISBLANK('Spells or Powers'!H24)," ",'Spells or Powers'!H24),"|",IF(ISBLANK('Spells or Powers'!I24)," ",'Spells or Powers'!I24),"|",IF(ISBLANK('Spells or Powers'!J24)," ",'Spells or Powers'!J24),"|",IF(ISBLANK('Spells or Powers'!K24)," ",'Spells or Powers'!K24),"|",IF(ISBLANK('Spells or Powers'!L24)," ",'Spells or Powers'!L24),"|",IF(ISBLANK('Spells or Powers'!M24)," ",'Spells or Powers'!M24),"|",IF(ISBLANK('Spells or Powers'!N24)," ",'Spells or Powers'!N24),"|",IF(ISBLANK('Spells or Powers'!O24)," ",'Spells or Powers'!O24)))</f>
        <v>||||||||||||||</v>
      </c>
    </row>
    <row r="38" spans="1:1" x14ac:dyDescent="0.2">
      <c r="A38" s="440" t="str">
        <f>IF(ISBLANK('Spells or Powers'!A25),"||||||||||||||",CONCATENATE("[[",IF(ISBLANK('Spells or Powers'!A25)," ",'Spells or Powers'!A25),"|/Meta/Spells/",SUBSTITUTE((SUBSTITUTE(SUBSTITUTE(SUBSTITUTE(SUBSTITUTE(SUBSTITUTE(SUBSTITUTE(SUBSTITUTE(SUBSTITUTE(SUBSTITUTE(SUBSTITUTE(SUBSTITUTE(SUBSTITUTE(SUBSTITUTE(SUBSTITUTE(SUBSTITUTE(SUBSTITUTE('Spells or Powers'!A25,"/",""),"-",""),".",""),",",""),CHAR(34),""),"'",""),"&amp;",""),"*",""),"#",""),"!",""),"?",""),"@",""),":",""),";",""),"(",""),")",""))," ",""),"]]","|",IF(ISBLANK('Spells or Powers'!B25)," ",'Spells or Powers'!B25),"|",IF(ISBLANK('Spells or Powers'!C25)," ",'Spells or Powers'!C25),"|",IF(ISBLANK('Spells or Powers'!D25)," ",'Spells or Powers'!D25),"|",IF(ISBLANK('Spells or Powers'!E25)," ",'Spells or Powers'!E25),"|",IF(ISBLANK('Spells or Powers'!F25)," ",'Spells or Powers'!F25),"|",IF(ISBLANK('Spells or Powers'!G25)," ",'Spells or Powers'!G25),"|",IF(ISBLANK('Spells or Powers'!H25)," ",'Spells or Powers'!H25),"|",IF(ISBLANK('Spells or Powers'!I25)," ",'Spells or Powers'!I25),"|",IF(ISBLANK('Spells or Powers'!J25)," ",'Spells or Powers'!J25),"|",IF(ISBLANK('Spells or Powers'!K25)," ",'Spells or Powers'!K25),"|",IF(ISBLANK('Spells or Powers'!L25)," ",'Spells or Powers'!L25),"|",IF(ISBLANK('Spells or Powers'!M25)," ",'Spells or Powers'!M25),"|",IF(ISBLANK('Spells or Powers'!N25)," ",'Spells or Powers'!N25),"|",IF(ISBLANK('Spells or Powers'!O25)," ",'Spells or Powers'!O25)))</f>
        <v>||||||||||||||</v>
      </c>
    </row>
    <row r="39" spans="1:1" x14ac:dyDescent="0.2">
      <c r="A39" s="440" t="str">
        <f>IF(ISBLANK('Spells or Powers'!A26),"||||||||||||||",CONCATENATE("[[",IF(ISBLANK('Spells or Powers'!A26)," ",'Spells or Powers'!A26),"|/Meta/Spells/",SUBSTITUTE((SUBSTITUTE(SUBSTITUTE(SUBSTITUTE(SUBSTITUTE(SUBSTITUTE(SUBSTITUTE(SUBSTITUTE(SUBSTITUTE(SUBSTITUTE(SUBSTITUTE(SUBSTITUTE(SUBSTITUTE(SUBSTITUTE(SUBSTITUTE(SUBSTITUTE(SUBSTITUTE('Spells or Powers'!A26,"/",""),"-",""),".",""),",",""),CHAR(34),""),"'",""),"&amp;",""),"*",""),"#",""),"!",""),"?",""),"@",""),":",""),";",""),"(",""),")",""))," ",""),"]]","|",IF(ISBLANK('Spells or Powers'!B26)," ",'Spells or Powers'!B26),"|",IF(ISBLANK('Spells or Powers'!C26)," ",'Spells or Powers'!C26),"|",IF(ISBLANK('Spells or Powers'!D26)," ",'Spells or Powers'!D26),"|",IF(ISBLANK('Spells or Powers'!E26)," ",'Spells or Powers'!E26),"|",IF(ISBLANK('Spells or Powers'!F26)," ",'Spells or Powers'!F26),"|",IF(ISBLANK('Spells or Powers'!G26)," ",'Spells or Powers'!G26),"|",IF(ISBLANK('Spells or Powers'!H26)," ",'Spells or Powers'!H26),"|",IF(ISBLANK('Spells or Powers'!I26)," ",'Spells or Powers'!I26),"|",IF(ISBLANK('Spells or Powers'!J26)," ",'Spells or Powers'!J26),"|",IF(ISBLANK('Spells or Powers'!K26)," ",'Spells or Powers'!K26),"|",IF(ISBLANK('Spells or Powers'!L26)," ",'Spells or Powers'!L26),"|",IF(ISBLANK('Spells or Powers'!M26)," ",'Spells or Powers'!M26),"|",IF(ISBLANK('Spells or Powers'!N26)," ",'Spells or Powers'!N26),"|",IF(ISBLANK('Spells or Powers'!O26)," ",'Spells or Powers'!O26)))</f>
        <v>||||||||||||||</v>
      </c>
    </row>
    <row r="40" spans="1:1" x14ac:dyDescent="0.2">
      <c r="A40" s="440" t="str">
        <f>IF(ISBLANK('Spells or Powers'!A27),"||||||||||||||",CONCATENATE("[[",IF(ISBLANK('Spells or Powers'!A27)," ",'Spells or Powers'!A27),"|/Meta/Spells/",SUBSTITUTE((SUBSTITUTE(SUBSTITUTE(SUBSTITUTE(SUBSTITUTE(SUBSTITUTE(SUBSTITUTE(SUBSTITUTE(SUBSTITUTE(SUBSTITUTE(SUBSTITUTE(SUBSTITUTE(SUBSTITUTE(SUBSTITUTE(SUBSTITUTE(SUBSTITUTE(SUBSTITUTE('Spells or Powers'!A27,"/",""),"-",""),".",""),",",""),CHAR(34),""),"'",""),"&amp;",""),"*",""),"#",""),"!",""),"?",""),"@",""),":",""),";",""),"(",""),")",""))," ",""),"]]","|",IF(ISBLANK('Spells or Powers'!B27)," ",'Spells or Powers'!B27),"|",IF(ISBLANK('Spells or Powers'!C27)," ",'Spells or Powers'!C27),"|",IF(ISBLANK('Spells or Powers'!D27)," ",'Spells or Powers'!D27),"|",IF(ISBLANK('Spells or Powers'!E27)," ",'Spells or Powers'!E27),"|",IF(ISBLANK('Spells or Powers'!F27)," ",'Spells or Powers'!F27),"|",IF(ISBLANK('Spells or Powers'!G27)," ",'Spells or Powers'!G27),"|",IF(ISBLANK('Spells or Powers'!H27)," ",'Spells or Powers'!H27),"|",IF(ISBLANK('Spells or Powers'!I27)," ",'Spells or Powers'!I27),"|",IF(ISBLANK('Spells or Powers'!J27)," ",'Spells or Powers'!J27),"|",IF(ISBLANK('Spells or Powers'!K27)," ",'Spells or Powers'!K27),"|",IF(ISBLANK('Spells or Powers'!L27)," ",'Spells or Powers'!L27),"|",IF(ISBLANK('Spells or Powers'!M27)," ",'Spells or Powers'!M27),"|",IF(ISBLANK('Spells or Powers'!N27)," ",'Spells or Powers'!N27),"|",IF(ISBLANK('Spells or Powers'!O27)," ",'Spells or Powers'!O27)))</f>
        <v>||||||||||||||</v>
      </c>
    </row>
    <row r="41" spans="1:1" x14ac:dyDescent="0.2">
      <c r="A41" s="440" t="str">
        <f>IF(ISBLANK('Spells or Powers'!A28),"||||||||||||||",CONCATENATE("[[",IF(ISBLANK('Spells or Powers'!A28)," ",'Spells or Powers'!A28),"|/Meta/Spells/",SUBSTITUTE((SUBSTITUTE(SUBSTITUTE(SUBSTITUTE(SUBSTITUTE(SUBSTITUTE(SUBSTITUTE(SUBSTITUTE(SUBSTITUTE(SUBSTITUTE(SUBSTITUTE(SUBSTITUTE(SUBSTITUTE(SUBSTITUTE(SUBSTITUTE(SUBSTITUTE(SUBSTITUTE('Spells or Powers'!A28,"/",""),"-",""),".",""),",",""),CHAR(34),""),"'",""),"&amp;",""),"*",""),"#",""),"!",""),"?",""),"@",""),":",""),";",""),"(",""),")",""))," ",""),"]]","|",IF(ISBLANK('Spells or Powers'!B28)," ",'Spells or Powers'!B28),"|",IF(ISBLANK('Spells or Powers'!C28)," ",'Spells or Powers'!C28),"|",IF(ISBLANK('Spells or Powers'!D28)," ",'Spells or Powers'!D28),"|",IF(ISBLANK('Spells or Powers'!E28)," ",'Spells or Powers'!E28),"|",IF(ISBLANK('Spells or Powers'!F28)," ",'Spells or Powers'!F28),"|",IF(ISBLANK('Spells or Powers'!G28)," ",'Spells or Powers'!G28),"|",IF(ISBLANK('Spells or Powers'!H28)," ",'Spells or Powers'!H28),"|",IF(ISBLANK('Spells or Powers'!I28)," ",'Spells or Powers'!I28),"|",IF(ISBLANK('Spells or Powers'!J28)," ",'Spells or Powers'!J28),"|",IF(ISBLANK('Spells or Powers'!K28)," ",'Spells or Powers'!K28),"|",IF(ISBLANK('Spells or Powers'!L28)," ",'Spells or Powers'!L28),"|",IF(ISBLANK('Spells or Powers'!M28)," ",'Spells or Powers'!M28),"|",IF(ISBLANK('Spells or Powers'!N28)," ",'Spells or Powers'!N28),"|",IF(ISBLANK('Spells or Powers'!O28)," ",'Spells or Powers'!O28)))</f>
        <v>||||||||||||||</v>
      </c>
    </row>
    <row r="42" spans="1:1" x14ac:dyDescent="0.2">
      <c r="A42" s="440" t="str">
        <f>IF(ISBLANK('Spells or Powers'!A29),"||||||||||||||",CONCATENATE("[[",IF(ISBLANK('Spells or Powers'!A29)," ",'Spells or Powers'!A29),"|/Meta/Spells/",SUBSTITUTE((SUBSTITUTE(SUBSTITUTE(SUBSTITUTE(SUBSTITUTE(SUBSTITUTE(SUBSTITUTE(SUBSTITUTE(SUBSTITUTE(SUBSTITUTE(SUBSTITUTE(SUBSTITUTE(SUBSTITUTE(SUBSTITUTE(SUBSTITUTE(SUBSTITUTE(SUBSTITUTE('Spells or Powers'!A29,"/",""),"-",""),".",""),",",""),CHAR(34),""),"'",""),"&amp;",""),"*",""),"#",""),"!",""),"?",""),"@",""),":",""),";",""),"(",""),")",""))," ",""),"]]","|",IF(ISBLANK('Spells or Powers'!B29)," ",'Spells or Powers'!B29),"|",IF(ISBLANK('Spells or Powers'!C29)," ",'Spells or Powers'!C29),"|",IF(ISBLANK('Spells or Powers'!D29)," ",'Spells or Powers'!D29),"|",IF(ISBLANK('Spells or Powers'!E29)," ",'Spells or Powers'!E29),"|",IF(ISBLANK('Spells or Powers'!F29)," ",'Spells or Powers'!F29),"|",IF(ISBLANK('Spells or Powers'!G29)," ",'Spells or Powers'!G29),"|",IF(ISBLANK('Spells or Powers'!H29)," ",'Spells or Powers'!H29),"|",IF(ISBLANK('Spells or Powers'!I29)," ",'Spells or Powers'!I29),"|",IF(ISBLANK('Spells or Powers'!J29)," ",'Spells or Powers'!J29),"|",IF(ISBLANK('Spells or Powers'!K29)," ",'Spells or Powers'!K29),"|",IF(ISBLANK('Spells or Powers'!L29)," ",'Spells or Powers'!L29),"|",IF(ISBLANK('Spells or Powers'!M29)," ",'Spells or Powers'!M29),"|",IF(ISBLANK('Spells or Powers'!N29)," ",'Spells or Powers'!N29),"|",IF(ISBLANK('Spells or Powers'!O29)," ",'Spells or Powers'!O29)))</f>
        <v>||||||||||||||</v>
      </c>
    </row>
    <row r="43" spans="1:1" x14ac:dyDescent="0.2">
      <c r="A43" s="440" t="str">
        <f>IF(ISBLANK('Spells or Powers'!A30),"||||||||||||||",CONCATENATE("[[",IF(ISBLANK('Spells or Powers'!A30)," ",'Spells or Powers'!A30),"|/Meta/Spells/",SUBSTITUTE((SUBSTITUTE(SUBSTITUTE(SUBSTITUTE(SUBSTITUTE(SUBSTITUTE(SUBSTITUTE(SUBSTITUTE(SUBSTITUTE(SUBSTITUTE(SUBSTITUTE(SUBSTITUTE(SUBSTITUTE(SUBSTITUTE(SUBSTITUTE(SUBSTITUTE(SUBSTITUTE('Spells or Powers'!A30,"/",""),"-",""),".",""),",",""),CHAR(34),""),"'",""),"&amp;",""),"*",""),"#",""),"!",""),"?",""),"@",""),":",""),";",""),"(",""),")",""))," ",""),"]]","|",IF(ISBLANK('Spells or Powers'!B30)," ",'Spells or Powers'!B30),"|",IF(ISBLANK('Spells or Powers'!C30)," ",'Spells or Powers'!C30),"|",IF(ISBLANK('Spells or Powers'!D30)," ",'Spells or Powers'!D30),"|",IF(ISBLANK('Spells or Powers'!E30)," ",'Spells or Powers'!E30),"|",IF(ISBLANK('Spells or Powers'!F30)," ",'Spells or Powers'!F30),"|",IF(ISBLANK('Spells or Powers'!G30)," ",'Spells or Powers'!G30),"|",IF(ISBLANK('Spells or Powers'!H30)," ",'Spells or Powers'!H30),"|",IF(ISBLANK('Spells or Powers'!I30)," ",'Spells or Powers'!I30),"|",IF(ISBLANK('Spells or Powers'!J30)," ",'Spells or Powers'!J30),"|",IF(ISBLANK('Spells or Powers'!K30)," ",'Spells or Powers'!K30),"|",IF(ISBLANK('Spells or Powers'!L30)," ",'Spells or Powers'!L30),"|",IF(ISBLANK('Spells or Powers'!M30)," ",'Spells or Powers'!M30),"|",IF(ISBLANK('Spells or Powers'!N30)," ",'Spells or Powers'!N30),"|",IF(ISBLANK('Spells or Powers'!O30)," ",'Spells or Powers'!O30)))</f>
        <v>||||||||||||||</v>
      </c>
    </row>
    <row r="44" spans="1:1" x14ac:dyDescent="0.2">
      <c r="A44" s="440" t="str">
        <f>IF(ISBLANK('Spells or Powers'!A31),"||||||||||||||",CONCATENATE("[[",IF(ISBLANK('Spells or Powers'!A31)," ",'Spells or Powers'!A31),"|/Meta/Spells/",SUBSTITUTE((SUBSTITUTE(SUBSTITUTE(SUBSTITUTE(SUBSTITUTE(SUBSTITUTE(SUBSTITUTE(SUBSTITUTE(SUBSTITUTE(SUBSTITUTE(SUBSTITUTE(SUBSTITUTE(SUBSTITUTE(SUBSTITUTE(SUBSTITUTE(SUBSTITUTE(SUBSTITUTE('Spells or Powers'!A31,"/",""),"-",""),".",""),",",""),CHAR(34),""),"'",""),"&amp;",""),"*",""),"#",""),"!",""),"?",""),"@",""),":",""),";",""),"(",""),")",""))," ",""),"]]","|",IF(ISBLANK('Spells or Powers'!B31)," ",'Spells or Powers'!B31),"|",IF(ISBLANK('Spells or Powers'!C31)," ",'Spells or Powers'!C31),"|",IF(ISBLANK('Spells or Powers'!D31)," ",'Spells or Powers'!D31),"|",IF(ISBLANK('Spells or Powers'!E31)," ",'Spells or Powers'!E31),"|",IF(ISBLANK('Spells or Powers'!F31)," ",'Spells or Powers'!F31),"|",IF(ISBLANK('Spells or Powers'!G31)," ",'Spells or Powers'!G31),"|",IF(ISBLANK('Spells or Powers'!H31)," ",'Spells or Powers'!H31),"|",IF(ISBLANK('Spells or Powers'!I31)," ",'Spells or Powers'!I31),"|",IF(ISBLANK('Spells or Powers'!J31)," ",'Spells or Powers'!J31),"|",IF(ISBLANK('Spells or Powers'!K31)," ",'Spells or Powers'!K31),"|",IF(ISBLANK('Spells or Powers'!L31)," ",'Spells or Powers'!L31),"|",IF(ISBLANK('Spells or Powers'!M31)," ",'Spells or Powers'!M31),"|",IF(ISBLANK('Spells or Powers'!N31)," ",'Spells or Powers'!N31),"|",IF(ISBLANK('Spells or Powers'!O31)," ",'Spells or Powers'!O31)))</f>
        <v>||||||||||||||</v>
      </c>
    </row>
    <row r="45" spans="1:1" x14ac:dyDescent="0.2">
      <c r="A45" s="440" t="str">
        <f>IF(ISBLANK('Spells or Powers'!A32),"||||||||||||||",CONCATENATE("[[",IF(ISBLANK('Spells or Powers'!A32)," ",'Spells or Powers'!A32),"|/Meta/Spells/",SUBSTITUTE((SUBSTITUTE(SUBSTITUTE(SUBSTITUTE(SUBSTITUTE(SUBSTITUTE(SUBSTITUTE(SUBSTITUTE(SUBSTITUTE(SUBSTITUTE(SUBSTITUTE(SUBSTITUTE(SUBSTITUTE(SUBSTITUTE(SUBSTITUTE(SUBSTITUTE(SUBSTITUTE('Spells or Powers'!A32,"/",""),"-",""),".",""),",",""),CHAR(34),""),"'",""),"&amp;",""),"*",""),"#",""),"!",""),"?",""),"@",""),":",""),";",""),"(",""),")",""))," ",""),"]]","|",IF(ISBLANK('Spells or Powers'!B32)," ",'Spells or Powers'!B32),"|",IF(ISBLANK('Spells or Powers'!C32)," ",'Spells or Powers'!C32),"|",IF(ISBLANK('Spells or Powers'!D32)," ",'Spells or Powers'!D32),"|",IF(ISBLANK('Spells or Powers'!E32)," ",'Spells or Powers'!E32),"|",IF(ISBLANK('Spells or Powers'!F32)," ",'Spells or Powers'!F32),"|",IF(ISBLANK('Spells or Powers'!G32)," ",'Spells or Powers'!G32),"|",IF(ISBLANK('Spells or Powers'!H32)," ",'Spells or Powers'!H32),"|",IF(ISBLANK('Spells or Powers'!I32)," ",'Spells or Powers'!I32),"|",IF(ISBLANK('Spells or Powers'!J32)," ",'Spells or Powers'!J32),"|",IF(ISBLANK('Spells or Powers'!K32)," ",'Spells or Powers'!K32),"|",IF(ISBLANK('Spells or Powers'!L32)," ",'Spells or Powers'!L32),"|",IF(ISBLANK('Spells or Powers'!M32)," ",'Spells or Powers'!M32),"|",IF(ISBLANK('Spells or Powers'!N32)," ",'Spells or Powers'!N32),"|",IF(ISBLANK('Spells or Powers'!O32)," ",'Spells or Powers'!O32)))</f>
        <v>||||||||||||||</v>
      </c>
    </row>
    <row r="46" spans="1:1" x14ac:dyDescent="0.2">
      <c r="A46" s="440" t="str">
        <f>IF(ISBLANK('Spells or Powers'!A33),"||||||||||||||",CONCATENATE("[[",IF(ISBLANK('Spells or Powers'!A33)," ",'Spells or Powers'!A33),"|/Meta/Spells/",SUBSTITUTE((SUBSTITUTE(SUBSTITUTE(SUBSTITUTE(SUBSTITUTE(SUBSTITUTE(SUBSTITUTE(SUBSTITUTE(SUBSTITUTE(SUBSTITUTE(SUBSTITUTE(SUBSTITUTE(SUBSTITUTE(SUBSTITUTE(SUBSTITUTE(SUBSTITUTE(SUBSTITUTE('Spells or Powers'!A33,"/",""),"-",""),".",""),",",""),CHAR(34),""),"'",""),"&amp;",""),"*",""),"#",""),"!",""),"?",""),"@",""),":",""),";",""),"(",""),")",""))," ",""),"]]","|",IF(ISBLANK('Spells or Powers'!B33)," ",'Spells or Powers'!B33),"|",IF(ISBLANK('Spells or Powers'!C33)," ",'Spells or Powers'!C33),"|",IF(ISBLANK('Spells or Powers'!D33)," ",'Spells or Powers'!D33),"|",IF(ISBLANK('Spells or Powers'!E33)," ",'Spells or Powers'!E33),"|",IF(ISBLANK('Spells or Powers'!F33)," ",'Spells or Powers'!F33),"|",IF(ISBLANK('Spells or Powers'!G33)," ",'Spells or Powers'!G33),"|",IF(ISBLANK('Spells or Powers'!H33)," ",'Spells or Powers'!H33),"|",IF(ISBLANK('Spells or Powers'!I33)," ",'Spells or Powers'!I33),"|",IF(ISBLANK('Spells or Powers'!J33)," ",'Spells or Powers'!J33),"|",IF(ISBLANK('Spells or Powers'!K33)," ",'Spells or Powers'!K33),"|",IF(ISBLANK('Spells or Powers'!L33)," ",'Spells or Powers'!L33),"|",IF(ISBLANK('Spells or Powers'!M33)," ",'Spells or Powers'!M33),"|",IF(ISBLANK('Spells or Powers'!N33)," ",'Spells or Powers'!N33),"|",IF(ISBLANK('Spells or Powers'!O33)," ",'Spells or Powers'!O33)))</f>
        <v>||||||||||||||</v>
      </c>
    </row>
    <row r="47" spans="1:1" x14ac:dyDescent="0.2">
      <c r="A47" s="440" t="str">
        <f>IF(ISBLANK('Spells or Powers'!A34),"||||||||||||||",CONCATENATE("[[",IF(ISBLANK('Spells or Powers'!A34)," ",'Spells or Powers'!A34),"|/Meta/Spells/",SUBSTITUTE((SUBSTITUTE(SUBSTITUTE(SUBSTITUTE(SUBSTITUTE(SUBSTITUTE(SUBSTITUTE(SUBSTITUTE(SUBSTITUTE(SUBSTITUTE(SUBSTITUTE(SUBSTITUTE(SUBSTITUTE(SUBSTITUTE(SUBSTITUTE(SUBSTITUTE(SUBSTITUTE('Spells or Powers'!A34,"/",""),"-",""),".",""),",",""),CHAR(34),""),"'",""),"&amp;",""),"*",""),"#",""),"!",""),"?",""),"@",""),":",""),";",""),"(",""),")",""))," ",""),"]]","|",IF(ISBLANK('Spells or Powers'!B34)," ",'Spells or Powers'!B34),"|",IF(ISBLANK('Spells or Powers'!C34)," ",'Spells or Powers'!C34),"|",IF(ISBLANK('Spells or Powers'!D34)," ",'Spells or Powers'!D34),"|",IF(ISBLANK('Spells or Powers'!E34)," ",'Spells or Powers'!E34),"|",IF(ISBLANK('Spells or Powers'!F34)," ",'Spells or Powers'!F34),"|",IF(ISBLANK('Spells or Powers'!G34)," ",'Spells or Powers'!G34),"|",IF(ISBLANK('Spells or Powers'!H34)," ",'Spells or Powers'!H34),"|",IF(ISBLANK('Spells or Powers'!I34)," ",'Spells or Powers'!I34),"|",IF(ISBLANK('Spells or Powers'!J34)," ",'Spells or Powers'!J34),"|",IF(ISBLANK('Spells or Powers'!K34)," ",'Spells or Powers'!K34),"|",IF(ISBLANK('Spells or Powers'!L34)," ",'Spells or Powers'!L34),"|",IF(ISBLANK('Spells or Powers'!M34)," ",'Spells or Powers'!M34),"|",IF(ISBLANK('Spells or Powers'!N34)," ",'Spells or Powers'!N34),"|",IF(ISBLANK('Spells or Powers'!O34)," ",'Spells or Powers'!O34)))</f>
        <v>||||||||||||||</v>
      </c>
    </row>
    <row r="48" spans="1:1" x14ac:dyDescent="0.2">
      <c r="A48" s="440" t="str">
        <f>IF(ISBLANK('Spells or Powers'!A35),"||||||||||||||",CONCATENATE("[[",IF(ISBLANK('Spells or Powers'!A35)," ",'Spells or Powers'!A35),"|/Meta/Spells/",SUBSTITUTE((SUBSTITUTE(SUBSTITUTE(SUBSTITUTE(SUBSTITUTE(SUBSTITUTE(SUBSTITUTE(SUBSTITUTE(SUBSTITUTE(SUBSTITUTE(SUBSTITUTE(SUBSTITUTE(SUBSTITUTE(SUBSTITUTE(SUBSTITUTE(SUBSTITUTE(SUBSTITUTE('Spells or Powers'!A35,"/",""),"-",""),".",""),",",""),CHAR(34),""),"'",""),"&amp;",""),"*",""),"#",""),"!",""),"?",""),"@",""),":",""),";",""),"(",""),")",""))," ",""),"]]","|",IF(ISBLANK('Spells or Powers'!B35)," ",'Spells or Powers'!B35),"|",IF(ISBLANK('Spells or Powers'!C35)," ",'Spells or Powers'!C35),"|",IF(ISBLANK('Spells or Powers'!D35)," ",'Spells or Powers'!D35),"|",IF(ISBLANK('Spells or Powers'!E35)," ",'Spells or Powers'!E35),"|",IF(ISBLANK('Spells or Powers'!F35)," ",'Spells or Powers'!F35),"|",IF(ISBLANK('Spells or Powers'!G35)," ",'Spells or Powers'!G35),"|",IF(ISBLANK('Spells or Powers'!H35)," ",'Spells or Powers'!H35),"|",IF(ISBLANK('Spells or Powers'!I35)," ",'Spells or Powers'!I35),"|",IF(ISBLANK('Spells or Powers'!J35)," ",'Spells or Powers'!J35),"|",IF(ISBLANK('Spells or Powers'!K35)," ",'Spells or Powers'!K35),"|",IF(ISBLANK('Spells or Powers'!L35)," ",'Spells or Powers'!L35),"|",IF(ISBLANK('Spells or Powers'!M35)," ",'Spells or Powers'!M35),"|",IF(ISBLANK('Spells or Powers'!N35)," ",'Spells or Powers'!N35),"|",IF(ISBLANK('Spells or Powers'!O35)," ",'Spells or Powers'!O35)))</f>
        <v>||||||||||||||</v>
      </c>
    </row>
    <row r="49" spans="1:1" x14ac:dyDescent="0.2">
      <c r="A49" s="440" t="str">
        <f>IF(ISBLANK('Spells or Powers'!A36),"||||||||||||||",CONCATENATE("[[",IF(ISBLANK('Spells or Powers'!A36)," ",'Spells or Powers'!A36),"|/Meta/Spells/",SUBSTITUTE((SUBSTITUTE(SUBSTITUTE(SUBSTITUTE(SUBSTITUTE(SUBSTITUTE(SUBSTITUTE(SUBSTITUTE(SUBSTITUTE(SUBSTITUTE(SUBSTITUTE(SUBSTITUTE(SUBSTITUTE(SUBSTITUTE(SUBSTITUTE(SUBSTITUTE(SUBSTITUTE('Spells or Powers'!A36,"/",""),"-",""),".",""),",",""),CHAR(34),""),"'",""),"&amp;",""),"*",""),"#",""),"!",""),"?",""),"@",""),":",""),";",""),"(",""),")",""))," ",""),"]]","|",IF(ISBLANK('Spells or Powers'!B36)," ",'Spells or Powers'!B36),"|",IF(ISBLANK('Spells or Powers'!C36)," ",'Spells or Powers'!C36),"|",IF(ISBLANK('Spells or Powers'!D36)," ",'Spells or Powers'!D36),"|",IF(ISBLANK('Spells or Powers'!E36)," ",'Spells or Powers'!E36),"|",IF(ISBLANK('Spells or Powers'!F36)," ",'Spells or Powers'!F36),"|",IF(ISBLANK('Spells or Powers'!G36)," ",'Spells or Powers'!G36),"|",IF(ISBLANK('Spells or Powers'!H36)," ",'Spells or Powers'!H36),"|",IF(ISBLANK('Spells or Powers'!I36)," ",'Spells or Powers'!I36),"|",IF(ISBLANK('Spells or Powers'!J36)," ",'Spells or Powers'!J36),"|",IF(ISBLANK('Spells or Powers'!K36)," ",'Spells or Powers'!K36),"|",IF(ISBLANK('Spells or Powers'!L36)," ",'Spells or Powers'!L36),"|",IF(ISBLANK('Spells or Powers'!M36)," ",'Spells or Powers'!M36),"|",IF(ISBLANK('Spells or Powers'!N36)," ",'Spells or Powers'!N36),"|",IF(ISBLANK('Spells or Powers'!O36)," ",'Spells or Powers'!O36)))</f>
        <v>||||||||||||||</v>
      </c>
    </row>
    <row r="50" spans="1:1" x14ac:dyDescent="0.2">
      <c r="A50" s="440" t="str">
        <f>IF(ISBLANK('Spells or Powers'!A37),"||||||||||||||",CONCATENATE("[[",IF(ISBLANK('Spells or Powers'!A37)," ",'Spells or Powers'!A37),"|/Meta/Spells/",SUBSTITUTE((SUBSTITUTE(SUBSTITUTE(SUBSTITUTE(SUBSTITUTE(SUBSTITUTE(SUBSTITUTE(SUBSTITUTE(SUBSTITUTE(SUBSTITUTE(SUBSTITUTE(SUBSTITUTE(SUBSTITUTE(SUBSTITUTE(SUBSTITUTE(SUBSTITUTE(SUBSTITUTE('Spells or Powers'!A37,"/",""),"-",""),".",""),",",""),CHAR(34),""),"'",""),"&amp;",""),"*",""),"#",""),"!",""),"?",""),"@",""),":",""),";",""),"(",""),")",""))," ",""),"]]","|",IF(ISBLANK('Spells or Powers'!B37)," ",'Spells or Powers'!B37),"|",IF(ISBLANK('Spells or Powers'!C37)," ",'Spells or Powers'!C37),"|",IF(ISBLANK('Spells or Powers'!D37)," ",'Spells or Powers'!D37),"|",IF(ISBLANK('Spells or Powers'!E37)," ",'Spells or Powers'!E37),"|",IF(ISBLANK('Spells or Powers'!F37)," ",'Spells or Powers'!F37),"|",IF(ISBLANK('Spells or Powers'!G37)," ",'Spells or Powers'!G37),"|",IF(ISBLANK('Spells or Powers'!H37)," ",'Spells or Powers'!H37),"|",IF(ISBLANK('Spells or Powers'!I37)," ",'Spells or Powers'!I37),"|",IF(ISBLANK('Spells or Powers'!J37)," ",'Spells or Powers'!J37),"|",IF(ISBLANK('Spells or Powers'!K37)," ",'Spells or Powers'!K37),"|",IF(ISBLANK('Spells or Powers'!L37)," ",'Spells or Powers'!L37),"|",IF(ISBLANK('Spells or Powers'!M37)," ",'Spells or Powers'!M37),"|",IF(ISBLANK('Spells or Powers'!N37)," ",'Spells or Powers'!N37),"|",IF(ISBLANK('Spells or Powers'!O37)," ",'Spells or Powers'!O37)))</f>
        <v>||||||||||||||</v>
      </c>
    </row>
    <row r="51" spans="1:1" x14ac:dyDescent="0.2">
      <c r="A51" s="440" t="str">
        <f>IF(ISBLANK('Spells or Powers'!A38),"||||||||||||||",CONCATENATE("[[",IF(ISBLANK('Spells or Powers'!A38)," ",'Spells or Powers'!A38),"|/Meta/Spells/",SUBSTITUTE((SUBSTITUTE(SUBSTITUTE(SUBSTITUTE(SUBSTITUTE(SUBSTITUTE(SUBSTITUTE(SUBSTITUTE(SUBSTITUTE(SUBSTITUTE(SUBSTITUTE(SUBSTITUTE(SUBSTITUTE(SUBSTITUTE(SUBSTITUTE(SUBSTITUTE(SUBSTITUTE('Spells or Powers'!A38,"/",""),"-",""),".",""),",",""),CHAR(34),""),"'",""),"&amp;",""),"*",""),"#",""),"!",""),"?",""),"@",""),":",""),";",""),"(",""),")",""))," ",""),"]]","|",IF(ISBLANK('Spells or Powers'!B38)," ",'Spells or Powers'!B38),"|",IF(ISBLANK('Spells or Powers'!C38)," ",'Spells or Powers'!C38),"|",IF(ISBLANK('Spells or Powers'!D38)," ",'Spells or Powers'!D38),"|",IF(ISBLANK('Spells or Powers'!E38)," ",'Spells or Powers'!E38),"|",IF(ISBLANK('Spells or Powers'!F38)," ",'Spells or Powers'!F38),"|",IF(ISBLANK('Spells or Powers'!G38)," ",'Spells or Powers'!G38),"|",IF(ISBLANK('Spells or Powers'!H38)," ",'Spells or Powers'!H38),"|",IF(ISBLANK('Spells or Powers'!I38)," ",'Spells or Powers'!I38),"|",IF(ISBLANK('Spells or Powers'!J38)," ",'Spells or Powers'!J38),"|",IF(ISBLANK('Spells or Powers'!K38)," ",'Spells or Powers'!K38),"|",IF(ISBLANK('Spells or Powers'!L38)," ",'Spells or Powers'!L38),"|",IF(ISBLANK('Spells or Powers'!M38)," ",'Spells or Powers'!M38),"|",IF(ISBLANK('Spells or Powers'!N38)," ",'Spells or Powers'!N38),"|",IF(ISBLANK('Spells or Powers'!O38)," ",'Spells or Powers'!O38)))</f>
        <v>||||||||||||||</v>
      </c>
    </row>
    <row r="52" spans="1:1" x14ac:dyDescent="0.2">
      <c r="A52" s="440" t="str">
        <f>IF(ISBLANK('Spells or Powers'!A39),"||||||||||||||",CONCATENATE("[[",IF(ISBLANK('Spells or Powers'!A39)," ",'Spells or Powers'!A39),"|/Meta/Spells/",SUBSTITUTE((SUBSTITUTE(SUBSTITUTE(SUBSTITUTE(SUBSTITUTE(SUBSTITUTE(SUBSTITUTE(SUBSTITUTE(SUBSTITUTE(SUBSTITUTE(SUBSTITUTE(SUBSTITUTE(SUBSTITUTE(SUBSTITUTE(SUBSTITUTE(SUBSTITUTE(SUBSTITUTE('Spells or Powers'!A39,"/",""),"-",""),".",""),",",""),CHAR(34),""),"'",""),"&amp;",""),"*",""),"#",""),"!",""),"?",""),"@",""),":",""),";",""),"(",""),")",""))," ",""),"]]","|",IF(ISBLANK('Spells or Powers'!B39)," ",'Spells or Powers'!B39),"|",IF(ISBLANK('Spells or Powers'!C39)," ",'Spells or Powers'!C39),"|",IF(ISBLANK('Spells or Powers'!D39)," ",'Spells or Powers'!D39),"|",IF(ISBLANK('Spells or Powers'!E39)," ",'Spells or Powers'!E39),"|",IF(ISBLANK('Spells or Powers'!F39)," ",'Spells or Powers'!F39),"|",IF(ISBLANK('Spells or Powers'!G39)," ",'Spells or Powers'!G39),"|",IF(ISBLANK('Spells or Powers'!H39)," ",'Spells or Powers'!H39),"|",IF(ISBLANK('Spells or Powers'!I39)," ",'Spells or Powers'!I39),"|",IF(ISBLANK('Spells or Powers'!J39)," ",'Spells or Powers'!J39),"|",IF(ISBLANK('Spells or Powers'!K39)," ",'Spells or Powers'!K39),"|",IF(ISBLANK('Spells or Powers'!L39)," ",'Spells or Powers'!L39),"|",IF(ISBLANK('Spells or Powers'!M39)," ",'Spells or Powers'!M39),"|",IF(ISBLANK('Spells or Powers'!N39)," ",'Spells or Powers'!N39),"|",IF(ISBLANK('Spells or Powers'!O39)," ",'Spells or Powers'!O39)))</f>
        <v>||||||||||||||</v>
      </c>
    </row>
    <row r="53" spans="1:1" x14ac:dyDescent="0.2">
      <c r="A53" s="440" t="str">
        <f>IF(ISBLANK('Spells or Powers'!A40),"||||||||||||||",CONCATENATE("[[",IF(ISBLANK('Spells or Powers'!A40)," ",'Spells or Powers'!A40),"|/Meta/Spells/",SUBSTITUTE((SUBSTITUTE(SUBSTITUTE(SUBSTITUTE(SUBSTITUTE(SUBSTITUTE(SUBSTITUTE(SUBSTITUTE(SUBSTITUTE(SUBSTITUTE(SUBSTITUTE(SUBSTITUTE(SUBSTITUTE(SUBSTITUTE(SUBSTITUTE(SUBSTITUTE(SUBSTITUTE('Spells or Powers'!A40,"/",""),"-",""),".",""),",",""),CHAR(34),""),"'",""),"&amp;",""),"*",""),"#",""),"!",""),"?",""),"@",""),":",""),";",""),"(",""),")",""))," ",""),"]]","|",IF(ISBLANK('Spells or Powers'!B40)," ",'Spells or Powers'!B40),"|",IF(ISBLANK('Spells or Powers'!C40)," ",'Spells or Powers'!C40),"|",IF(ISBLANK('Spells or Powers'!D40)," ",'Spells or Powers'!D40),"|",IF(ISBLANK('Spells or Powers'!E40)," ",'Spells or Powers'!E40),"|",IF(ISBLANK('Spells or Powers'!F40)," ",'Spells or Powers'!F40),"|",IF(ISBLANK('Spells or Powers'!G40)," ",'Spells or Powers'!G40),"|",IF(ISBLANK('Spells or Powers'!H40)," ",'Spells or Powers'!H40),"|",IF(ISBLANK('Spells or Powers'!I40)," ",'Spells or Powers'!I40),"|",IF(ISBLANK('Spells or Powers'!J40)," ",'Spells or Powers'!J40),"|",IF(ISBLANK('Spells or Powers'!K40)," ",'Spells or Powers'!K40),"|",IF(ISBLANK('Spells or Powers'!L40)," ",'Spells or Powers'!L40),"|",IF(ISBLANK('Spells or Powers'!M40)," ",'Spells or Powers'!M40),"|",IF(ISBLANK('Spells or Powers'!N40)," ",'Spells or Powers'!N40),"|",IF(ISBLANK('Spells or Powers'!O40)," ",'Spells or Powers'!O40)))</f>
        <v>||||||||||||||</v>
      </c>
    </row>
    <row r="54" spans="1:1" x14ac:dyDescent="0.2">
      <c r="A54" s="440" t="str">
        <f>IF(ISBLANK('Spells or Powers'!A41),"||||||||||||||",CONCATENATE("[[",IF(ISBLANK('Spells or Powers'!A41)," ",'Spells or Powers'!A41),"|/Meta/Spells/",SUBSTITUTE((SUBSTITUTE(SUBSTITUTE(SUBSTITUTE(SUBSTITUTE(SUBSTITUTE(SUBSTITUTE(SUBSTITUTE(SUBSTITUTE(SUBSTITUTE(SUBSTITUTE(SUBSTITUTE(SUBSTITUTE(SUBSTITUTE(SUBSTITUTE(SUBSTITUTE(SUBSTITUTE('Spells or Powers'!A41,"/",""),"-",""),".",""),",",""),CHAR(34),""),"'",""),"&amp;",""),"*",""),"#",""),"!",""),"?",""),"@",""),":",""),";",""),"(",""),")",""))," ",""),"]]","|",IF(ISBLANK('Spells or Powers'!B41)," ",'Spells or Powers'!B41),"|",IF(ISBLANK('Spells or Powers'!C41)," ",'Spells or Powers'!C41),"|",IF(ISBLANK('Spells or Powers'!D41)," ",'Spells or Powers'!D41),"|",IF(ISBLANK('Spells or Powers'!E41)," ",'Spells or Powers'!E41),"|",IF(ISBLANK('Spells or Powers'!F41)," ",'Spells or Powers'!F41),"|",IF(ISBLANK('Spells or Powers'!G41)," ",'Spells or Powers'!G41),"|",IF(ISBLANK('Spells or Powers'!H41)," ",'Spells or Powers'!H41),"|",IF(ISBLANK('Spells or Powers'!I41)," ",'Spells or Powers'!I41),"|",IF(ISBLANK('Spells or Powers'!J41)," ",'Spells or Powers'!J41),"|",IF(ISBLANK('Spells or Powers'!K41)," ",'Spells or Powers'!K41),"|",IF(ISBLANK('Spells or Powers'!L41)," ",'Spells or Powers'!L41),"|",IF(ISBLANK('Spells or Powers'!M41)," ",'Spells or Powers'!M41),"|",IF(ISBLANK('Spells or Powers'!N41)," ",'Spells or Powers'!N41),"|",IF(ISBLANK('Spells or Powers'!O41)," ",'Spells or Powers'!O41)))</f>
        <v>||||||||||||||</v>
      </c>
    </row>
    <row r="55" spans="1:1" x14ac:dyDescent="0.2">
      <c r="A55" s="440" t="str">
        <f>IF(ISBLANK('Spells or Powers'!A42),"||||||||||||||",CONCATENATE("[[",IF(ISBLANK('Spells or Powers'!A42)," ",'Spells or Powers'!A42),"|/Meta/Spells/",SUBSTITUTE((SUBSTITUTE(SUBSTITUTE(SUBSTITUTE(SUBSTITUTE(SUBSTITUTE(SUBSTITUTE(SUBSTITUTE(SUBSTITUTE(SUBSTITUTE(SUBSTITUTE(SUBSTITUTE(SUBSTITUTE(SUBSTITUTE(SUBSTITUTE(SUBSTITUTE(SUBSTITUTE('Spells or Powers'!A42,"/",""),"-",""),".",""),",",""),CHAR(34),""),"'",""),"&amp;",""),"*",""),"#",""),"!",""),"?",""),"@",""),":",""),";",""),"(",""),")",""))," ",""),"]]","|",IF(ISBLANK('Spells or Powers'!B42)," ",'Spells or Powers'!B42),"|",IF(ISBLANK('Spells or Powers'!C42)," ",'Spells or Powers'!C42),"|",IF(ISBLANK('Spells or Powers'!D42)," ",'Spells or Powers'!D42),"|",IF(ISBLANK('Spells or Powers'!E42)," ",'Spells or Powers'!E42),"|",IF(ISBLANK('Spells or Powers'!F42)," ",'Spells or Powers'!F42),"|",IF(ISBLANK('Spells or Powers'!G42)," ",'Spells or Powers'!G42),"|",IF(ISBLANK('Spells or Powers'!H42)," ",'Spells or Powers'!H42),"|",IF(ISBLANK('Spells or Powers'!I42)," ",'Spells or Powers'!I42),"|",IF(ISBLANK('Spells or Powers'!J42)," ",'Spells or Powers'!J42),"|",IF(ISBLANK('Spells or Powers'!K42)," ",'Spells or Powers'!K42),"|",IF(ISBLANK('Spells or Powers'!L42)," ",'Spells or Powers'!L42),"|",IF(ISBLANK('Spells or Powers'!M42)," ",'Spells or Powers'!M42),"|",IF(ISBLANK('Spells or Powers'!N42)," ",'Spells or Powers'!N42),"|",IF(ISBLANK('Spells or Powers'!O42)," ",'Spells or Powers'!O42)))</f>
        <v>||||||||||||||</v>
      </c>
    </row>
    <row r="56" spans="1:1" x14ac:dyDescent="0.2">
      <c r="A56" s="440" t="str">
        <f>IF(ISBLANK('Spells or Powers'!A43),"||||||||||||||",CONCATENATE("[[",IF(ISBLANK('Spells or Powers'!A43)," ",'Spells or Powers'!A43),"|/Meta/Spells/",SUBSTITUTE((SUBSTITUTE(SUBSTITUTE(SUBSTITUTE(SUBSTITUTE(SUBSTITUTE(SUBSTITUTE(SUBSTITUTE(SUBSTITUTE(SUBSTITUTE(SUBSTITUTE(SUBSTITUTE(SUBSTITUTE(SUBSTITUTE(SUBSTITUTE(SUBSTITUTE(SUBSTITUTE('Spells or Powers'!A43,"/",""),"-",""),".",""),",",""),CHAR(34),""),"'",""),"&amp;",""),"*",""),"#",""),"!",""),"?",""),"@",""),":",""),";",""),"(",""),")",""))," ",""),"]]","|",IF(ISBLANK('Spells or Powers'!B43)," ",'Spells or Powers'!B43),"|",IF(ISBLANK('Spells or Powers'!C43)," ",'Spells or Powers'!C43),"|",IF(ISBLANK('Spells or Powers'!D43)," ",'Spells or Powers'!D43),"|",IF(ISBLANK('Spells or Powers'!E43)," ",'Spells or Powers'!E43),"|",IF(ISBLANK('Spells or Powers'!F43)," ",'Spells or Powers'!F43),"|",IF(ISBLANK('Spells or Powers'!G43)," ",'Spells or Powers'!G43),"|",IF(ISBLANK('Spells or Powers'!H43)," ",'Spells or Powers'!H43),"|",IF(ISBLANK('Spells or Powers'!I43)," ",'Spells or Powers'!I43),"|",IF(ISBLANK('Spells or Powers'!J43)," ",'Spells or Powers'!J43),"|",IF(ISBLANK('Spells or Powers'!K43)," ",'Spells or Powers'!K43),"|",IF(ISBLANK('Spells or Powers'!L43)," ",'Spells or Powers'!L43),"|",IF(ISBLANK('Spells or Powers'!M43)," ",'Spells or Powers'!M43),"|",IF(ISBLANK('Spells or Powers'!N43)," ",'Spells or Powers'!N43),"|",IF(ISBLANK('Spells or Powers'!O43)," ",'Spells or Powers'!O43)))</f>
        <v>||||||||||||||</v>
      </c>
    </row>
    <row r="57" spans="1:1" x14ac:dyDescent="0.2">
      <c r="A57" s="440" t="str">
        <f>IF(ISBLANK('Spells or Powers'!A44),"||||||||||||||",CONCATENATE("[[",IF(ISBLANK('Spells or Powers'!A44)," ",'Spells or Powers'!A44),"|/Meta/Spells/",SUBSTITUTE((SUBSTITUTE(SUBSTITUTE(SUBSTITUTE(SUBSTITUTE(SUBSTITUTE(SUBSTITUTE(SUBSTITUTE(SUBSTITUTE(SUBSTITUTE(SUBSTITUTE(SUBSTITUTE(SUBSTITUTE(SUBSTITUTE(SUBSTITUTE(SUBSTITUTE(SUBSTITUTE('Spells or Powers'!A44,"/",""),"-",""),".",""),",",""),CHAR(34),""),"'",""),"&amp;",""),"*",""),"#",""),"!",""),"?",""),"@",""),":",""),";",""),"(",""),")",""))," ",""),"]]","|",IF(ISBLANK('Spells or Powers'!B44)," ",'Spells or Powers'!B44),"|",IF(ISBLANK('Spells or Powers'!C44)," ",'Spells or Powers'!C44),"|",IF(ISBLANK('Spells or Powers'!D44)," ",'Spells or Powers'!D44),"|",IF(ISBLANK('Spells or Powers'!E44)," ",'Spells or Powers'!E44),"|",IF(ISBLANK('Spells or Powers'!F44)," ",'Spells or Powers'!F44),"|",IF(ISBLANK('Spells or Powers'!G44)," ",'Spells or Powers'!G44),"|",IF(ISBLANK('Spells or Powers'!H44)," ",'Spells or Powers'!H44),"|",IF(ISBLANK('Spells or Powers'!I44)," ",'Spells or Powers'!I44),"|",IF(ISBLANK('Spells or Powers'!J44)," ",'Spells or Powers'!J44),"|",IF(ISBLANK('Spells or Powers'!K44)," ",'Spells or Powers'!K44),"|",IF(ISBLANK('Spells or Powers'!L44)," ",'Spells or Powers'!L44),"|",IF(ISBLANK('Spells or Powers'!M44)," ",'Spells or Powers'!M44),"|",IF(ISBLANK('Spells or Powers'!N44)," ",'Spells or Powers'!N44),"|",IF(ISBLANK('Spells or Powers'!O44)," ",'Spells or Powers'!O44)))</f>
        <v>||||||||||||||</v>
      </c>
    </row>
    <row r="58" spans="1:1" x14ac:dyDescent="0.2">
      <c r="A58" s="440" t="str">
        <f>IF(ISBLANK('Spells or Powers'!A45),"||||||||||||||",CONCATENATE("[[",IF(ISBLANK('Spells or Powers'!A45)," ",'Spells or Powers'!A45),"|/Meta/Spells/",SUBSTITUTE((SUBSTITUTE(SUBSTITUTE(SUBSTITUTE(SUBSTITUTE(SUBSTITUTE(SUBSTITUTE(SUBSTITUTE(SUBSTITUTE(SUBSTITUTE(SUBSTITUTE(SUBSTITUTE(SUBSTITUTE(SUBSTITUTE(SUBSTITUTE(SUBSTITUTE(SUBSTITUTE('Spells or Powers'!A45,"/",""),"-",""),".",""),",",""),CHAR(34),""),"'",""),"&amp;",""),"*",""),"#",""),"!",""),"?",""),"@",""),":",""),";",""),"(",""),")",""))," ",""),"]]","|",IF(ISBLANK('Spells or Powers'!B45)," ",'Spells or Powers'!B45),"|",IF(ISBLANK('Spells or Powers'!C45)," ",'Spells or Powers'!C45),"|",IF(ISBLANK('Spells or Powers'!D45)," ",'Spells or Powers'!D45),"|",IF(ISBLANK('Spells or Powers'!E45)," ",'Spells or Powers'!E45),"|",IF(ISBLANK('Spells or Powers'!F45)," ",'Spells or Powers'!F45),"|",IF(ISBLANK('Spells or Powers'!G45)," ",'Spells or Powers'!G45),"|",IF(ISBLANK('Spells or Powers'!H45)," ",'Spells or Powers'!H45),"|",IF(ISBLANK('Spells or Powers'!I45)," ",'Spells or Powers'!I45),"|",IF(ISBLANK('Spells or Powers'!J45)," ",'Spells or Powers'!J45),"|",IF(ISBLANK('Spells or Powers'!K45)," ",'Spells or Powers'!K45),"|",IF(ISBLANK('Spells or Powers'!L45)," ",'Spells or Powers'!L45),"|",IF(ISBLANK('Spells or Powers'!M45)," ",'Spells or Powers'!M45),"|",IF(ISBLANK('Spells or Powers'!N45)," ",'Spells or Powers'!N45),"|",IF(ISBLANK('Spells or Powers'!O45)," ",'Spells or Powers'!O45)))</f>
        <v>||||||||||||||</v>
      </c>
    </row>
    <row r="59" spans="1:1" x14ac:dyDescent="0.2">
      <c r="A59" s="440" t="str">
        <f>IF(ISBLANK('Spells or Powers'!A46),"||||||||||||||",CONCATENATE("[[",IF(ISBLANK('Spells or Powers'!A46)," ",'Spells or Powers'!A46),"|/Meta/Spells/",SUBSTITUTE((SUBSTITUTE(SUBSTITUTE(SUBSTITUTE(SUBSTITUTE(SUBSTITUTE(SUBSTITUTE(SUBSTITUTE(SUBSTITUTE(SUBSTITUTE(SUBSTITUTE(SUBSTITUTE(SUBSTITUTE(SUBSTITUTE(SUBSTITUTE(SUBSTITUTE(SUBSTITUTE('Spells or Powers'!A46,"/",""),"-",""),".",""),",",""),CHAR(34),""),"'",""),"&amp;",""),"*",""),"#",""),"!",""),"?",""),"@",""),":",""),";",""),"(",""),")",""))," ",""),"]]","|",IF(ISBLANK('Spells or Powers'!B46)," ",'Spells or Powers'!B46),"|",IF(ISBLANK('Spells or Powers'!C46)," ",'Spells or Powers'!C46),"|",IF(ISBLANK('Spells or Powers'!D46)," ",'Spells or Powers'!D46),"|",IF(ISBLANK('Spells or Powers'!E46)," ",'Spells or Powers'!E46),"|",IF(ISBLANK('Spells or Powers'!F46)," ",'Spells or Powers'!F46),"|",IF(ISBLANK('Spells or Powers'!G46)," ",'Spells or Powers'!G46),"|",IF(ISBLANK('Spells or Powers'!H46)," ",'Spells or Powers'!H46),"|",IF(ISBLANK('Spells or Powers'!I46)," ",'Spells or Powers'!I46),"|",IF(ISBLANK('Spells or Powers'!J46)," ",'Spells or Powers'!J46),"|",IF(ISBLANK('Spells or Powers'!K46)," ",'Spells or Powers'!K46),"|",IF(ISBLANK('Spells or Powers'!L46)," ",'Spells or Powers'!L46),"|",IF(ISBLANK('Spells or Powers'!M46)," ",'Spells or Powers'!M46),"|",IF(ISBLANK('Spells or Powers'!N46)," ",'Spells or Powers'!N46),"|",IF(ISBLANK('Spells or Powers'!O46)," ",'Spells or Powers'!O46)))</f>
        <v>||||||||||||||</v>
      </c>
    </row>
    <row r="60" spans="1:1" x14ac:dyDescent="0.2">
      <c r="A60" s="440" t="str">
        <f>IF(ISBLANK('Spells or Powers'!A47),"||||||||||||||",CONCATENATE("[[",IF(ISBLANK('Spells or Powers'!A47)," ",'Spells or Powers'!A47),"|/Meta/Spells/",SUBSTITUTE((SUBSTITUTE(SUBSTITUTE(SUBSTITUTE(SUBSTITUTE(SUBSTITUTE(SUBSTITUTE(SUBSTITUTE(SUBSTITUTE(SUBSTITUTE(SUBSTITUTE(SUBSTITUTE(SUBSTITUTE(SUBSTITUTE(SUBSTITUTE(SUBSTITUTE(SUBSTITUTE('Spells or Powers'!A47,"/",""),"-",""),".",""),",",""),CHAR(34),""),"'",""),"&amp;",""),"*",""),"#",""),"!",""),"?",""),"@",""),":",""),";",""),"(",""),")",""))," ",""),"]]","|",IF(ISBLANK('Spells or Powers'!B47)," ",'Spells or Powers'!B47),"|",IF(ISBLANK('Spells or Powers'!C47)," ",'Spells or Powers'!C47),"|",IF(ISBLANK('Spells or Powers'!D47)," ",'Spells or Powers'!D47),"|",IF(ISBLANK('Spells or Powers'!E47)," ",'Spells or Powers'!E47),"|",IF(ISBLANK('Spells or Powers'!F47)," ",'Spells or Powers'!F47),"|",IF(ISBLANK('Spells or Powers'!G47)," ",'Spells or Powers'!G47),"|",IF(ISBLANK('Spells or Powers'!H47)," ",'Spells or Powers'!H47),"|",IF(ISBLANK('Spells or Powers'!I47)," ",'Spells or Powers'!I47),"|",IF(ISBLANK('Spells or Powers'!J47)," ",'Spells or Powers'!J47),"|",IF(ISBLANK('Spells or Powers'!K47)," ",'Spells or Powers'!K47),"|",IF(ISBLANK('Spells or Powers'!L47)," ",'Spells or Powers'!L47),"|",IF(ISBLANK('Spells or Powers'!M47)," ",'Spells or Powers'!M47),"|",IF(ISBLANK('Spells or Powers'!N47)," ",'Spells or Powers'!N47),"|",IF(ISBLANK('Spells or Powers'!O47)," ",'Spells or Powers'!O47)))</f>
        <v>||||||||||||||</v>
      </c>
    </row>
    <row r="61" spans="1:1" x14ac:dyDescent="0.2">
      <c r="A61" s="440" t="str">
        <f>IF(ISBLANK('Spells or Powers'!A48),"||||||||||||||",CONCATENATE("[[",IF(ISBLANK('Spells or Powers'!A48)," ",'Spells or Powers'!A48),"|/Meta/Spells/",SUBSTITUTE((SUBSTITUTE(SUBSTITUTE(SUBSTITUTE(SUBSTITUTE(SUBSTITUTE(SUBSTITUTE(SUBSTITUTE(SUBSTITUTE(SUBSTITUTE(SUBSTITUTE(SUBSTITUTE(SUBSTITUTE(SUBSTITUTE(SUBSTITUTE(SUBSTITUTE(SUBSTITUTE('Spells or Powers'!A48,"/",""),"-",""),".",""),",",""),CHAR(34),""),"'",""),"&amp;",""),"*",""),"#",""),"!",""),"?",""),"@",""),":",""),";",""),"(",""),")",""))," ",""),"]]","|",IF(ISBLANK('Spells or Powers'!B48)," ",'Spells or Powers'!B48),"|",IF(ISBLANK('Spells or Powers'!C48)," ",'Spells or Powers'!C48),"|",IF(ISBLANK('Spells or Powers'!D48)," ",'Spells or Powers'!D48),"|",IF(ISBLANK('Spells or Powers'!E48)," ",'Spells or Powers'!E48),"|",IF(ISBLANK('Spells or Powers'!F48)," ",'Spells or Powers'!F48),"|",IF(ISBLANK('Spells or Powers'!G48)," ",'Spells or Powers'!G48),"|",IF(ISBLANK('Spells or Powers'!H48)," ",'Spells or Powers'!H48),"|",IF(ISBLANK('Spells or Powers'!I48)," ",'Spells or Powers'!I48),"|",IF(ISBLANK('Spells or Powers'!J48)," ",'Spells or Powers'!J48),"|",IF(ISBLANK('Spells or Powers'!K48)," ",'Spells or Powers'!K48),"|",IF(ISBLANK('Spells or Powers'!L48)," ",'Spells or Powers'!L48),"|",IF(ISBLANK('Spells or Powers'!M48)," ",'Spells or Powers'!M48),"|",IF(ISBLANK('Spells or Powers'!N48)," ",'Spells or Powers'!N48),"|",IF(ISBLANK('Spells or Powers'!O48)," ",'Spells or Powers'!O48)))</f>
        <v>||||||||||||||</v>
      </c>
    </row>
    <row r="62" spans="1:1" x14ac:dyDescent="0.2">
      <c r="A62" s="440" t="str">
        <f>IF(ISBLANK('Spells or Powers'!A49),"||||||||||||||",CONCATENATE("[[",IF(ISBLANK('Spells or Powers'!A49)," ",'Spells or Powers'!A49),"|/Meta/Spells/",SUBSTITUTE((SUBSTITUTE(SUBSTITUTE(SUBSTITUTE(SUBSTITUTE(SUBSTITUTE(SUBSTITUTE(SUBSTITUTE(SUBSTITUTE(SUBSTITUTE(SUBSTITUTE(SUBSTITUTE(SUBSTITUTE(SUBSTITUTE(SUBSTITUTE(SUBSTITUTE(SUBSTITUTE('Spells or Powers'!A49,"/",""),"-",""),".",""),",",""),CHAR(34),""),"'",""),"&amp;",""),"*",""),"#",""),"!",""),"?",""),"@",""),":",""),";",""),"(",""),")",""))," ",""),"]]","|",IF(ISBLANK('Spells or Powers'!B49)," ",'Spells or Powers'!B49),"|",IF(ISBLANK('Spells or Powers'!C49)," ",'Spells or Powers'!C49),"|",IF(ISBLANK('Spells or Powers'!D49)," ",'Spells or Powers'!D49),"|",IF(ISBLANK('Spells or Powers'!E49)," ",'Spells or Powers'!E49),"|",IF(ISBLANK('Spells or Powers'!F49)," ",'Spells or Powers'!F49),"|",IF(ISBLANK('Spells or Powers'!G49)," ",'Spells or Powers'!G49),"|",IF(ISBLANK('Spells or Powers'!H49)," ",'Spells or Powers'!H49),"|",IF(ISBLANK('Spells or Powers'!I49)," ",'Spells or Powers'!I49),"|",IF(ISBLANK('Spells or Powers'!J49)," ",'Spells or Powers'!J49),"|",IF(ISBLANK('Spells or Powers'!K49)," ",'Spells or Powers'!K49),"|",IF(ISBLANK('Spells or Powers'!L49)," ",'Spells or Powers'!L49),"|",IF(ISBLANK('Spells or Powers'!M49)," ",'Spells or Powers'!M49),"|",IF(ISBLANK('Spells or Powers'!N49)," ",'Spells or Powers'!N49),"|",IF(ISBLANK('Spells or Powers'!O49)," ",'Spells or Powers'!O49)))</f>
        <v>||||||||||||||</v>
      </c>
    </row>
    <row r="63" spans="1:1" x14ac:dyDescent="0.2">
      <c r="A63" s="440" t="str">
        <f>IF(ISBLANK('Spells or Powers'!A50),"||||||||||||||",CONCATENATE("[[",IF(ISBLANK('Spells or Powers'!A50)," ",'Spells or Powers'!A50),"|/Meta/Spells/",SUBSTITUTE((SUBSTITUTE(SUBSTITUTE(SUBSTITUTE(SUBSTITUTE(SUBSTITUTE(SUBSTITUTE(SUBSTITUTE(SUBSTITUTE(SUBSTITUTE(SUBSTITUTE(SUBSTITUTE(SUBSTITUTE(SUBSTITUTE(SUBSTITUTE(SUBSTITUTE(SUBSTITUTE('Spells or Powers'!A50,"/",""),"-",""),".",""),",",""),CHAR(34),""),"'",""),"&amp;",""),"*",""),"#",""),"!",""),"?",""),"@",""),":",""),";",""),"(",""),")",""))," ",""),"]]","|",IF(ISBLANK('Spells or Powers'!B50)," ",'Spells or Powers'!B50),"|",IF(ISBLANK('Spells or Powers'!C50)," ",'Spells or Powers'!C50),"|",IF(ISBLANK('Spells or Powers'!D50)," ",'Spells or Powers'!D50),"|",IF(ISBLANK('Spells or Powers'!E50)," ",'Spells or Powers'!E50),"|",IF(ISBLANK('Spells or Powers'!F50)," ",'Spells or Powers'!F50),"|",IF(ISBLANK('Spells or Powers'!G50)," ",'Spells or Powers'!G50),"|",IF(ISBLANK('Spells or Powers'!H50)," ",'Spells or Powers'!H50),"|",IF(ISBLANK('Spells or Powers'!I50)," ",'Spells or Powers'!I50),"|",IF(ISBLANK('Spells or Powers'!J50)," ",'Spells or Powers'!J50),"|",IF(ISBLANK('Spells or Powers'!K50)," ",'Spells or Powers'!K50),"|",IF(ISBLANK('Spells or Powers'!L50)," ",'Spells or Powers'!L50),"|",IF(ISBLANK('Spells or Powers'!M50)," ",'Spells or Powers'!M50),"|",IF(ISBLANK('Spells or Powers'!N50)," ",'Spells or Powers'!N50),"|",IF(ISBLANK('Spells or Powers'!O50)," ",'Spells or Powers'!O50)))</f>
        <v>||||||||||||||</v>
      </c>
    </row>
    <row r="64" spans="1:1" x14ac:dyDescent="0.2">
      <c r="A64" s="440" t="str">
        <f>IF(ISBLANK('Spells or Powers'!A51),"||||||||||||||",CONCATENATE("[[",IF(ISBLANK('Spells or Powers'!A51)," ",'Spells or Powers'!A51),"|/Meta/Spells/",SUBSTITUTE((SUBSTITUTE(SUBSTITUTE(SUBSTITUTE(SUBSTITUTE(SUBSTITUTE(SUBSTITUTE(SUBSTITUTE(SUBSTITUTE(SUBSTITUTE(SUBSTITUTE(SUBSTITUTE(SUBSTITUTE(SUBSTITUTE(SUBSTITUTE(SUBSTITUTE(SUBSTITUTE('Spells or Powers'!A51,"/",""),"-",""),".",""),",",""),CHAR(34),""),"'",""),"&amp;",""),"*",""),"#",""),"!",""),"?",""),"@",""),":",""),";",""),"(",""),")",""))," ",""),"]]","|",IF(ISBLANK('Spells or Powers'!B51)," ",'Spells or Powers'!B51),"|",IF(ISBLANK('Spells or Powers'!C51)," ",'Spells or Powers'!C51),"|",IF(ISBLANK('Spells or Powers'!D51)," ",'Spells or Powers'!D51),"|",IF(ISBLANK('Spells or Powers'!E51)," ",'Spells or Powers'!E51),"|",IF(ISBLANK('Spells or Powers'!F51)," ",'Spells or Powers'!F51),"|",IF(ISBLANK('Spells or Powers'!G51)," ",'Spells or Powers'!G51),"|",IF(ISBLANK('Spells or Powers'!H51)," ",'Spells or Powers'!H51),"|",IF(ISBLANK('Spells or Powers'!I51)," ",'Spells or Powers'!I51),"|",IF(ISBLANK('Spells or Powers'!J51)," ",'Spells or Powers'!J51),"|",IF(ISBLANK('Spells or Powers'!K51)," ",'Spells or Powers'!K51),"|",IF(ISBLANK('Spells or Powers'!L51)," ",'Spells or Powers'!L51),"|",IF(ISBLANK('Spells or Powers'!M51)," ",'Spells or Powers'!M51),"|",IF(ISBLANK('Spells or Powers'!N51)," ",'Spells or Powers'!N51),"|",IF(ISBLANK('Spells or Powers'!O51)," ",'Spells or Powers'!O51)))</f>
        <v>||||||||||||||</v>
      </c>
    </row>
    <row r="65" spans="1:1" x14ac:dyDescent="0.2">
      <c r="A65" s="440" t="str">
        <f>IF(ISBLANK('Spells or Powers'!A52),"||||||||||||||",CONCATENATE("[[",IF(ISBLANK('Spells or Powers'!A52)," ",'Spells or Powers'!A52),"|/Meta/Spells/",SUBSTITUTE((SUBSTITUTE(SUBSTITUTE(SUBSTITUTE(SUBSTITUTE(SUBSTITUTE(SUBSTITUTE(SUBSTITUTE(SUBSTITUTE(SUBSTITUTE(SUBSTITUTE(SUBSTITUTE(SUBSTITUTE(SUBSTITUTE(SUBSTITUTE(SUBSTITUTE(SUBSTITUTE('Spells or Powers'!A52,"/",""),"-",""),".",""),",",""),CHAR(34),""),"'",""),"&amp;",""),"*",""),"#",""),"!",""),"?",""),"@",""),":",""),";",""),"(",""),")",""))," ",""),"]]","|",IF(ISBLANK('Spells or Powers'!B52)," ",'Spells or Powers'!B52),"|",IF(ISBLANK('Spells or Powers'!C52)," ",'Spells or Powers'!C52),"|",IF(ISBLANK('Spells or Powers'!D52)," ",'Spells or Powers'!D52),"|",IF(ISBLANK('Spells or Powers'!E52)," ",'Spells or Powers'!E52),"|",IF(ISBLANK('Spells or Powers'!F52)," ",'Spells or Powers'!F52),"|",IF(ISBLANK('Spells or Powers'!G52)," ",'Spells or Powers'!G52),"|",IF(ISBLANK('Spells or Powers'!H52)," ",'Spells or Powers'!H52),"|",IF(ISBLANK('Spells or Powers'!I52)," ",'Spells or Powers'!I52),"|",IF(ISBLANK('Spells or Powers'!J52)," ",'Spells or Powers'!J52),"|",IF(ISBLANK('Spells or Powers'!K52)," ",'Spells or Powers'!K52),"|",IF(ISBLANK('Spells or Powers'!L52)," ",'Spells or Powers'!L52),"|",IF(ISBLANK('Spells or Powers'!M52)," ",'Spells or Powers'!M52),"|",IF(ISBLANK('Spells or Powers'!N52)," ",'Spells or Powers'!N52),"|",IF(ISBLANK('Spells or Powers'!O52)," ",'Spells or Powers'!O52)))</f>
        <v>||||||||||||||</v>
      </c>
    </row>
    <row r="66" spans="1:1" x14ac:dyDescent="0.2">
      <c r="A66" s="440" t="str">
        <f>IF(ISBLANK('Spells or Powers'!A53),"||||||||||||||",CONCATENATE("[[",IF(ISBLANK('Spells or Powers'!A53)," ",'Spells or Powers'!A53),"|/Meta/Spells/",SUBSTITUTE((SUBSTITUTE(SUBSTITUTE(SUBSTITUTE(SUBSTITUTE(SUBSTITUTE(SUBSTITUTE(SUBSTITUTE(SUBSTITUTE(SUBSTITUTE(SUBSTITUTE(SUBSTITUTE(SUBSTITUTE(SUBSTITUTE(SUBSTITUTE(SUBSTITUTE(SUBSTITUTE('Spells or Powers'!A53,"/",""),"-",""),".",""),",",""),CHAR(34),""),"'",""),"&amp;",""),"*",""),"#",""),"!",""),"?",""),"@",""),":",""),";",""),"(",""),")",""))," ",""),"]]","|",IF(ISBLANK('Spells or Powers'!B53)," ",'Spells or Powers'!B53),"|",IF(ISBLANK('Spells or Powers'!C53)," ",'Spells or Powers'!C53),"|",IF(ISBLANK('Spells or Powers'!D53)," ",'Spells or Powers'!D53),"|",IF(ISBLANK('Spells or Powers'!E53)," ",'Spells or Powers'!E53),"|",IF(ISBLANK('Spells or Powers'!F53)," ",'Spells or Powers'!F53),"|",IF(ISBLANK('Spells or Powers'!G53)," ",'Spells or Powers'!G53),"|",IF(ISBLANK('Spells or Powers'!H53)," ",'Spells or Powers'!H53),"|",IF(ISBLANK('Spells or Powers'!I53)," ",'Spells or Powers'!I53),"|",IF(ISBLANK('Spells or Powers'!J53)," ",'Spells or Powers'!J53),"|",IF(ISBLANK('Spells or Powers'!K53)," ",'Spells or Powers'!K53),"|",IF(ISBLANK('Spells or Powers'!L53)," ",'Spells or Powers'!L53),"|",IF(ISBLANK('Spells or Powers'!M53)," ",'Spells or Powers'!M53),"|",IF(ISBLANK('Spells or Powers'!N53)," ",'Spells or Powers'!N53),"|",IF(ISBLANK('Spells or Powers'!O53)," ",'Spells or Powers'!O53)))</f>
        <v>||||||||||||||</v>
      </c>
    </row>
    <row r="67" spans="1:1" x14ac:dyDescent="0.2">
      <c r="A67" s="440" t="str">
        <f>IF(ISBLANK('Spells or Powers'!A54),"||||||||||||||",CONCATENATE("[[",IF(ISBLANK('Spells or Powers'!A54)," ",'Spells or Powers'!A54),"|/Meta/Spells/",SUBSTITUTE((SUBSTITUTE(SUBSTITUTE(SUBSTITUTE(SUBSTITUTE(SUBSTITUTE(SUBSTITUTE(SUBSTITUTE(SUBSTITUTE(SUBSTITUTE(SUBSTITUTE(SUBSTITUTE(SUBSTITUTE(SUBSTITUTE(SUBSTITUTE(SUBSTITUTE(SUBSTITUTE('Spells or Powers'!A54,"/",""),"-",""),".",""),",",""),CHAR(34),""),"'",""),"&amp;",""),"*",""),"#",""),"!",""),"?",""),"@",""),":",""),";",""),"(",""),")",""))," ",""),"]]","|",IF(ISBLANK('Spells or Powers'!B54)," ",'Spells or Powers'!B54),"|",IF(ISBLANK('Spells or Powers'!C54)," ",'Spells or Powers'!C54),"|",IF(ISBLANK('Spells or Powers'!D54)," ",'Spells or Powers'!D54),"|",IF(ISBLANK('Spells or Powers'!E54)," ",'Spells or Powers'!E54),"|",IF(ISBLANK('Spells or Powers'!F54)," ",'Spells or Powers'!F54),"|",IF(ISBLANK('Spells or Powers'!G54)," ",'Spells or Powers'!G54),"|",IF(ISBLANK('Spells or Powers'!H54)," ",'Spells or Powers'!H54),"|",IF(ISBLANK('Spells or Powers'!I54)," ",'Spells or Powers'!I54),"|",IF(ISBLANK('Spells or Powers'!J54)," ",'Spells or Powers'!J54),"|",IF(ISBLANK('Spells or Powers'!K54)," ",'Spells or Powers'!K54),"|",IF(ISBLANK('Spells or Powers'!L54)," ",'Spells or Powers'!L54),"|",IF(ISBLANK('Spells or Powers'!M54)," ",'Spells or Powers'!M54),"|",IF(ISBLANK('Spells or Powers'!N54)," ",'Spells or Powers'!N54),"|",IF(ISBLANK('Spells or Powers'!O54)," ",'Spells or Powers'!O54)))</f>
        <v>||||||||||||||</v>
      </c>
    </row>
    <row r="68" spans="1:1" x14ac:dyDescent="0.2">
      <c r="A68" s="440" t="str">
        <f>IF(ISBLANK('Spells or Powers'!A55),"||||||||||||||",CONCATENATE("[[",IF(ISBLANK('Spells or Powers'!A55)," ",'Spells or Powers'!A55),"|/Meta/Spells/",SUBSTITUTE((SUBSTITUTE(SUBSTITUTE(SUBSTITUTE(SUBSTITUTE(SUBSTITUTE(SUBSTITUTE(SUBSTITUTE(SUBSTITUTE(SUBSTITUTE(SUBSTITUTE(SUBSTITUTE(SUBSTITUTE(SUBSTITUTE(SUBSTITUTE(SUBSTITUTE(SUBSTITUTE('Spells or Powers'!A55,"/",""),"-",""),".",""),",",""),CHAR(34),""),"'",""),"&amp;",""),"*",""),"#",""),"!",""),"?",""),"@",""),":",""),";",""),"(",""),")",""))," ",""),"]]","|",IF(ISBLANK('Spells or Powers'!B55)," ",'Spells or Powers'!B55),"|",IF(ISBLANK('Spells or Powers'!C55)," ",'Spells or Powers'!C55),"|",IF(ISBLANK('Spells or Powers'!D55)," ",'Spells or Powers'!D55),"|",IF(ISBLANK('Spells or Powers'!E55)," ",'Spells or Powers'!E55),"|",IF(ISBLANK('Spells or Powers'!F55)," ",'Spells or Powers'!F55),"|",IF(ISBLANK('Spells or Powers'!G55)," ",'Spells or Powers'!G55),"|",IF(ISBLANK('Spells or Powers'!H55)," ",'Spells or Powers'!H55),"|",IF(ISBLANK('Spells or Powers'!I55)," ",'Spells or Powers'!I55),"|",IF(ISBLANK('Spells or Powers'!J55)," ",'Spells or Powers'!J55),"|",IF(ISBLANK('Spells or Powers'!K55)," ",'Spells or Powers'!K55),"|",IF(ISBLANK('Spells or Powers'!L55)," ",'Spells or Powers'!L55),"|",IF(ISBLANK('Spells or Powers'!M55)," ",'Spells or Powers'!M55),"|",IF(ISBLANK('Spells or Powers'!N55)," ",'Spells or Powers'!N55),"|",IF(ISBLANK('Spells or Powers'!O55)," ",'Spells or Powers'!O55)))</f>
        <v>||||||||||||||</v>
      </c>
    </row>
    <row r="69" spans="1:1" x14ac:dyDescent="0.2">
      <c r="A69" s="440" t="str">
        <f>IF(ISBLANK('Spells or Powers'!A56),"||||||||||||||",CONCATENATE("[[",IF(ISBLANK('Spells or Powers'!A56)," ",'Spells or Powers'!A56),"|/Meta/Spells/",SUBSTITUTE((SUBSTITUTE(SUBSTITUTE(SUBSTITUTE(SUBSTITUTE(SUBSTITUTE(SUBSTITUTE(SUBSTITUTE(SUBSTITUTE(SUBSTITUTE(SUBSTITUTE(SUBSTITUTE(SUBSTITUTE(SUBSTITUTE(SUBSTITUTE(SUBSTITUTE(SUBSTITUTE('Spells or Powers'!A56,"/",""),"-",""),".",""),",",""),CHAR(34),""),"'",""),"&amp;",""),"*",""),"#",""),"!",""),"?",""),"@",""),":",""),";",""),"(",""),")",""))," ",""),"]]","|",IF(ISBLANK('Spells or Powers'!B56)," ",'Spells or Powers'!B56),"|",IF(ISBLANK('Spells or Powers'!C56)," ",'Spells or Powers'!C56),"|",IF(ISBLANK('Spells or Powers'!D56)," ",'Spells or Powers'!D56),"|",IF(ISBLANK('Spells or Powers'!E56)," ",'Spells or Powers'!E56),"|",IF(ISBLANK('Spells or Powers'!F56)," ",'Spells or Powers'!F56),"|",IF(ISBLANK('Spells or Powers'!G56)," ",'Spells or Powers'!G56),"|",IF(ISBLANK('Spells or Powers'!H56)," ",'Spells or Powers'!H56),"|",IF(ISBLANK('Spells or Powers'!I56)," ",'Spells or Powers'!I56),"|",IF(ISBLANK('Spells or Powers'!J56)," ",'Spells or Powers'!J56),"|",IF(ISBLANK('Spells or Powers'!K56)," ",'Spells or Powers'!K56),"|",IF(ISBLANK('Spells or Powers'!L56)," ",'Spells or Powers'!L56),"|",IF(ISBLANK('Spells or Powers'!M56)," ",'Spells or Powers'!M56),"|",IF(ISBLANK('Spells or Powers'!N56)," ",'Spells or Powers'!N56),"|",IF(ISBLANK('Spells or Powers'!O56)," ",'Spells or Powers'!O56)))</f>
        <v>||||||||||||||</v>
      </c>
    </row>
    <row r="70" spans="1:1" x14ac:dyDescent="0.2">
      <c r="A70" s="440" t="str">
        <f>IF(ISBLANK('Spells or Powers'!A57),"||||||||||||||",CONCATENATE("[[",IF(ISBLANK('Spells or Powers'!A57)," ",'Spells or Powers'!A57),"|/Meta/Spells/",SUBSTITUTE((SUBSTITUTE(SUBSTITUTE(SUBSTITUTE(SUBSTITUTE(SUBSTITUTE(SUBSTITUTE(SUBSTITUTE(SUBSTITUTE(SUBSTITUTE(SUBSTITUTE(SUBSTITUTE(SUBSTITUTE(SUBSTITUTE(SUBSTITUTE(SUBSTITUTE(SUBSTITUTE('Spells or Powers'!A57,"/",""),"-",""),".",""),",",""),CHAR(34),""),"'",""),"&amp;",""),"*",""),"#",""),"!",""),"?",""),"@",""),":",""),";",""),"(",""),")",""))," ",""),"]]","|",IF(ISBLANK('Spells or Powers'!B57)," ",'Spells or Powers'!B57),"|",IF(ISBLANK('Spells or Powers'!C57)," ",'Spells or Powers'!C57),"|",IF(ISBLANK('Spells or Powers'!D57)," ",'Spells or Powers'!D57),"|",IF(ISBLANK('Spells or Powers'!E57)," ",'Spells or Powers'!E57),"|",IF(ISBLANK('Spells or Powers'!F57)," ",'Spells or Powers'!F57),"|",IF(ISBLANK('Spells or Powers'!G57)," ",'Spells or Powers'!G57),"|",IF(ISBLANK('Spells or Powers'!H57)," ",'Spells or Powers'!H57),"|",IF(ISBLANK('Spells or Powers'!I57)," ",'Spells or Powers'!I57),"|",IF(ISBLANK('Spells or Powers'!J57)," ",'Spells or Powers'!J57),"|",IF(ISBLANK('Spells or Powers'!K57)," ",'Spells or Powers'!K57),"|",IF(ISBLANK('Spells or Powers'!L57)," ",'Spells or Powers'!L57),"|",IF(ISBLANK('Spells or Powers'!M57)," ",'Spells or Powers'!M57),"|",IF(ISBLANK('Spells or Powers'!N57)," ",'Spells or Powers'!N57),"|",IF(ISBLANK('Spells or Powers'!O57)," ",'Spells or Powers'!O57)))</f>
        <v>||||||||||||||</v>
      </c>
    </row>
    <row r="71" spans="1:1" x14ac:dyDescent="0.2">
      <c r="A71" s="440" t="str">
        <f>IF(ISBLANK('Spells or Powers'!A58),"||||||||||||||",CONCATENATE("[[",IF(ISBLANK('Spells or Powers'!A58)," ",'Spells or Powers'!A58),"|/Meta/Spells/",SUBSTITUTE((SUBSTITUTE(SUBSTITUTE(SUBSTITUTE(SUBSTITUTE(SUBSTITUTE(SUBSTITUTE(SUBSTITUTE(SUBSTITUTE(SUBSTITUTE(SUBSTITUTE(SUBSTITUTE(SUBSTITUTE(SUBSTITUTE(SUBSTITUTE(SUBSTITUTE(SUBSTITUTE('Spells or Powers'!A58,"/",""),"-",""),".",""),",",""),CHAR(34),""),"'",""),"&amp;",""),"*",""),"#",""),"!",""),"?",""),"@",""),":",""),";",""),"(",""),")",""))," ",""),"]]","|",IF(ISBLANK('Spells or Powers'!B58)," ",'Spells or Powers'!B58),"|",IF(ISBLANK('Spells or Powers'!C58)," ",'Spells or Powers'!C58),"|",IF(ISBLANK('Spells or Powers'!D58)," ",'Spells or Powers'!D58),"|",IF(ISBLANK('Spells or Powers'!E58)," ",'Spells or Powers'!E58),"|",IF(ISBLANK('Spells or Powers'!F58)," ",'Spells or Powers'!F58),"|",IF(ISBLANK('Spells or Powers'!G58)," ",'Spells or Powers'!G58),"|",IF(ISBLANK('Spells or Powers'!H58)," ",'Spells or Powers'!H58),"|",IF(ISBLANK('Spells or Powers'!I58)," ",'Spells or Powers'!I58),"|",IF(ISBLANK('Spells or Powers'!J58)," ",'Spells or Powers'!J58),"|",IF(ISBLANK('Spells or Powers'!K58)," ",'Spells or Powers'!K58),"|",IF(ISBLANK('Spells or Powers'!L58)," ",'Spells or Powers'!L58),"|",IF(ISBLANK('Spells or Powers'!M58)," ",'Spells or Powers'!M58),"|",IF(ISBLANK('Spells or Powers'!N58)," ",'Spells or Powers'!N58),"|",IF(ISBLANK('Spells or Powers'!O58)," ",'Spells or Powers'!O58)))</f>
        <v>||||||||||||||</v>
      </c>
    </row>
    <row r="72" spans="1:1" x14ac:dyDescent="0.2">
      <c r="A72" s="440" t="str">
        <f>IF(ISBLANK('Spells or Powers'!A59),"||||||||||||||",CONCATENATE("[[",IF(ISBLANK('Spells or Powers'!A59)," ",'Spells or Powers'!A59),"|/Meta/Spells/",SUBSTITUTE((SUBSTITUTE(SUBSTITUTE(SUBSTITUTE(SUBSTITUTE(SUBSTITUTE(SUBSTITUTE(SUBSTITUTE(SUBSTITUTE(SUBSTITUTE(SUBSTITUTE(SUBSTITUTE(SUBSTITUTE(SUBSTITUTE(SUBSTITUTE(SUBSTITUTE(SUBSTITUTE('Spells or Powers'!A59,"/",""),"-",""),".",""),",",""),CHAR(34),""),"'",""),"&amp;",""),"*",""),"#",""),"!",""),"?",""),"@",""),":",""),";",""),"(",""),")",""))," ",""),"]]","|",IF(ISBLANK('Spells or Powers'!B59)," ",'Spells or Powers'!B59),"|",IF(ISBLANK('Spells or Powers'!C59)," ",'Spells or Powers'!C59),"|",IF(ISBLANK('Spells or Powers'!D59)," ",'Spells or Powers'!D59),"|",IF(ISBLANK('Spells or Powers'!E59)," ",'Spells or Powers'!E59),"|",IF(ISBLANK('Spells or Powers'!F59)," ",'Spells or Powers'!F59),"|",IF(ISBLANK('Spells or Powers'!G59)," ",'Spells or Powers'!G59),"|",IF(ISBLANK('Spells or Powers'!H59)," ",'Spells or Powers'!H59),"|",IF(ISBLANK('Spells or Powers'!I59)," ",'Spells or Powers'!I59),"|",IF(ISBLANK('Spells or Powers'!J59)," ",'Spells or Powers'!J59),"|",IF(ISBLANK('Spells or Powers'!K59)," ",'Spells or Powers'!K59),"|",IF(ISBLANK('Spells or Powers'!L59)," ",'Spells or Powers'!L59),"|",IF(ISBLANK('Spells or Powers'!M59)," ",'Spells or Powers'!M59),"|",IF(ISBLANK('Spells or Powers'!N59)," ",'Spells or Powers'!N59),"|",IF(ISBLANK('Spells or Powers'!O59)," ",'Spells or Powers'!O59)))</f>
        <v>||||||||||||||</v>
      </c>
    </row>
    <row r="73" spans="1:1" x14ac:dyDescent="0.2">
      <c r="A73" s="440" t="str">
        <f>IF(ISBLANK('Spells or Powers'!A60),"||||||||||||||",CONCATENATE("[[",IF(ISBLANK('Spells or Powers'!A60)," ",'Spells or Powers'!A60),"|/Meta/Spells/",SUBSTITUTE((SUBSTITUTE(SUBSTITUTE(SUBSTITUTE(SUBSTITUTE(SUBSTITUTE(SUBSTITUTE(SUBSTITUTE(SUBSTITUTE(SUBSTITUTE(SUBSTITUTE(SUBSTITUTE(SUBSTITUTE(SUBSTITUTE(SUBSTITUTE(SUBSTITUTE(SUBSTITUTE('Spells or Powers'!A60,"/",""),"-",""),".",""),",",""),CHAR(34),""),"'",""),"&amp;",""),"*",""),"#",""),"!",""),"?",""),"@",""),":",""),";",""),"(",""),")",""))," ",""),"]]","|",IF(ISBLANK('Spells or Powers'!B60)," ",'Spells or Powers'!B60),"|",IF(ISBLANK('Spells or Powers'!C60)," ",'Spells or Powers'!C60),"|",IF(ISBLANK('Spells or Powers'!D60)," ",'Spells or Powers'!D60),"|",IF(ISBLANK('Spells or Powers'!E60)," ",'Spells or Powers'!E60),"|",IF(ISBLANK('Spells or Powers'!F60)," ",'Spells or Powers'!F60),"|",IF(ISBLANK('Spells or Powers'!G60)," ",'Spells or Powers'!G60),"|",IF(ISBLANK('Spells or Powers'!H60)," ",'Spells or Powers'!H60),"|",IF(ISBLANK('Spells or Powers'!I60)," ",'Spells or Powers'!I60),"|",IF(ISBLANK('Spells or Powers'!J60)," ",'Spells or Powers'!J60),"|",IF(ISBLANK('Spells or Powers'!K60)," ",'Spells or Powers'!K60),"|",IF(ISBLANK('Spells or Powers'!L60)," ",'Spells or Powers'!L60),"|",IF(ISBLANK('Spells or Powers'!M60)," ",'Spells or Powers'!M60),"|",IF(ISBLANK('Spells or Powers'!N60)," ",'Spells or Powers'!N60),"|",IF(ISBLANK('Spells or Powers'!O60)," ",'Spells or Powers'!O60)))</f>
        <v>||||||||||||||</v>
      </c>
    </row>
    <row r="74" spans="1:1" x14ac:dyDescent="0.2">
      <c r="A74" s="440" t="str">
        <f>IF(ISBLANK('Spells or Powers'!A61),"||||||||||||||",CONCATENATE("[[",IF(ISBLANK('Spells or Powers'!A61)," ",'Spells or Powers'!A61),"|/Meta/Spells/",SUBSTITUTE((SUBSTITUTE(SUBSTITUTE(SUBSTITUTE(SUBSTITUTE(SUBSTITUTE(SUBSTITUTE(SUBSTITUTE(SUBSTITUTE(SUBSTITUTE(SUBSTITUTE(SUBSTITUTE(SUBSTITUTE(SUBSTITUTE(SUBSTITUTE(SUBSTITUTE(SUBSTITUTE('Spells or Powers'!A61,"/",""),"-",""),".",""),",",""),CHAR(34),""),"'",""),"&amp;",""),"*",""),"#",""),"!",""),"?",""),"@",""),":",""),";",""),"(",""),")",""))," ",""),"]]","|",IF(ISBLANK('Spells or Powers'!B61)," ",'Spells or Powers'!B61),"|",IF(ISBLANK('Spells or Powers'!C61)," ",'Spells or Powers'!C61),"|",IF(ISBLANK('Spells or Powers'!D61)," ",'Spells or Powers'!D61),"|",IF(ISBLANK('Spells or Powers'!E61)," ",'Spells or Powers'!E61),"|",IF(ISBLANK('Spells or Powers'!F61)," ",'Spells or Powers'!F61),"|",IF(ISBLANK('Spells or Powers'!G61)," ",'Spells or Powers'!G61),"|",IF(ISBLANK('Spells or Powers'!H61)," ",'Spells or Powers'!H61),"|",IF(ISBLANK('Spells or Powers'!I61)," ",'Spells or Powers'!I61),"|",IF(ISBLANK('Spells or Powers'!J61)," ",'Spells or Powers'!J61),"|",IF(ISBLANK('Spells or Powers'!K61)," ",'Spells or Powers'!K61),"|",IF(ISBLANK('Spells or Powers'!L61)," ",'Spells or Powers'!L61),"|",IF(ISBLANK('Spells or Powers'!M61)," ",'Spells or Powers'!M61),"|",IF(ISBLANK('Spells or Powers'!N61)," ",'Spells or Powers'!N61),"|",IF(ISBLANK('Spells or Powers'!O61)," ",'Spells or Powers'!O61)))</f>
        <v>||||||||||||||</v>
      </c>
    </row>
    <row r="75" spans="1:1" x14ac:dyDescent="0.2">
      <c r="A75" s="440" t="str">
        <f>IF(ISBLANK('Spells or Powers'!A62),"||||||||||||||",CONCATENATE("[[",IF(ISBLANK('Spells or Powers'!A62)," ",'Spells or Powers'!A62),"|/Meta/Spells/",SUBSTITUTE((SUBSTITUTE(SUBSTITUTE(SUBSTITUTE(SUBSTITUTE(SUBSTITUTE(SUBSTITUTE(SUBSTITUTE(SUBSTITUTE(SUBSTITUTE(SUBSTITUTE(SUBSTITUTE(SUBSTITUTE(SUBSTITUTE(SUBSTITUTE(SUBSTITUTE(SUBSTITUTE('Spells or Powers'!A62,"/",""),"-",""),".",""),",",""),CHAR(34),""),"'",""),"&amp;",""),"*",""),"#",""),"!",""),"?",""),"@",""),":",""),";",""),"(",""),")",""))," ",""),"]]","|",IF(ISBLANK('Spells or Powers'!B62)," ",'Spells or Powers'!B62),"|",IF(ISBLANK('Spells or Powers'!C62)," ",'Spells or Powers'!C62),"|",IF(ISBLANK('Spells or Powers'!D62)," ",'Spells or Powers'!D62),"|",IF(ISBLANK('Spells or Powers'!E62)," ",'Spells or Powers'!E62),"|",IF(ISBLANK('Spells or Powers'!F62)," ",'Spells or Powers'!F62),"|",IF(ISBLANK('Spells or Powers'!G62)," ",'Spells or Powers'!G62),"|",IF(ISBLANK('Spells or Powers'!H62)," ",'Spells or Powers'!H62),"|",IF(ISBLANK('Spells or Powers'!I62)," ",'Spells or Powers'!I62),"|",IF(ISBLANK('Spells or Powers'!J62)," ",'Spells or Powers'!J62),"|",IF(ISBLANK('Spells or Powers'!K62)," ",'Spells or Powers'!K62),"|",IF(ISBLANK('Spells or Powers'!L62)," ",'Spells or Powers'!L62),"|",IF(ISBLANK('Spells or Powers'!M62)," ",'Spells or Powers'!M62),"|",IF(ISBLANK('Spells or Powers'!N62)," ",'Spells or Powers'!N62),"|",IF(ISBLANK('Spells or Powers'!O62)," ",'Spells or Powers'!O62)))</f>
        <v>||||||||||||||</v>
      </c>
    </row>
    <row r="76" spans="1:1" x14ac:dyDescent="0.2">
      <c r="A76" s="440" t="str">
        <f>IF(ISBLANK('Spells or Powers'!A63),"||||||||||||||",CONCATENATE("[[",IF(ISBLANK('Spells or Powers'!A63)," ",'Spells or Powers'!A63),"|/Meta/Spells/",SUBSTITUTE((SUBSTITUTE(SUBSTITUTE(SUBSTITUTE(SUBSTITUTE(SUBSTITUTE(SUBSTITUTE(SUBSTITUTE(SUBSTITUTE(SUBSTITUTE(SUBSTITUTE(SUBSTITUTE(SUBSTITUTE(SUBSTITUTE(SUBSTITUTE(SUBSTITUTE(SUBSTITUTE('Spells or Powers'!A63,"/",""),"-",""),".",""),",",""),CHAR(34),""),"'",""),"&amp;",""),"*",""),"#",""),"!",""),"?",""),"@",""),":",""),";",""),"(",""),")",""))," ",""),"]]","|",IF(ISBLANK('Spells or Powers'!B63)," ",'Spells or Powers'!B63),"|",IF(ISBLANK('Spells or Powers'!C63)," ",'Spells or Powers'!C63),"|",IF(ISBLANK('Spells or Powers'!D63)," ",'Spells or Powers'!D63),"|",IF(ISBLANK('Spells or Powers'!E63)," ",'Spells or Powers'!E63),"|",IF(ISBLANK('Spells or Powers'!F63)," ",'Spells or Powers'!F63),"|",IF(ISBLANK('Spells or Powers'!G63)," ",'Spells or Powers'!G63),"|",IF(ISBLANK('Spells or Powers'!H63)," ",'Spells or Powers'!H63),"|",IF(ISBLANK('Spells or Powers'!I63)," ",'Spells or Powers'!I63),"|",IF(ISBLANK('Spells or Powers'!J63)," ",'Spells or Powers'!J63),"|",IF(ISBLANK('Spells or Powers'!K63)," ",'Spells or Powers'!K63),"|",IF(ISBLANK('Spells or Powers'!L63)," ",'Spells or Powers'!L63),"|",IF(ISBLANK('Spells or Powers'!M63)," ",'Spells or Powers'!M63),"|",IF(ISBLANK('Spells or Powers'!N63)," ",'Spells or Powers'!N63),"|",IF(ISBLANK('Spells or Powers'!O63)," ",'Spells or Powers'!O63)))</f>
        <v>||||||||||||||</v>
      </c>
    </row>
    <row r="77" spans="1:1" x14ac:dyDescent="0.2">
      <c r="A77" s="440" t="str">
        <f>IF(ISBLANK('Spells or Powers'!A64),"||||||||||||||",CONCATENATE("[[",IF(ISBLANK('Spells or Powers'!A64)," ",'Spells or Powers'!A64),"|/Meta/Spells/",SUBSTITUTE((SUBSTITUTE(SUBSTITUTE(SUBSTITUTE(SUBSTITUTE(SUBSTITUTE(SUBSTITUTE(SUBSTITUTE(SUBSTITUTE(SUBSTITUTE(SUBSTITUTE(SUBSTITUTE(SUBSTITUTE(SUBSTITUTE(SUBSTITUTE(SUBSTITUTE(SUBSTITUTE('Spells or Powers'!A64,"/",""),"-",""),".",""),",",""),CHAR(34),""),"'",""),"&amp;",""),"*",""),"#",""),"!",""),"?",""),"@",""),":",""),";",""),"(",""),")",""))," ",""),"]]","|",IF(ISBLANK('Spells or Powers'!B64)," ",'Spells or Powers'!B64),"|",IF(ISBLANK('Spells or Powers'!C64)," ",'Spells or Powers'!C64),"|",IF(ISBLANK('Spells or Powers'!D64)," ",'Spells or Powers'!D64),"|",IF(ISBLANK('Spells or Powers'!E64)," ",'Spells or Powers'!E64),"|",IF(ISBLANK('Spells or Powers'!F64)," ",'Spells or Powers'!F64),"|",IF(ISBLANK('Spells or Powers'!G64)," ",'Spells or Powers'!G64),"|",IF(ISBLANK('Spells or Powers'!H64)," ",'Spells or Powers'!H64),"|",IF(ISBLANK('Spells or Powers'!I64)," ",'Spells or Powers'!I64),"|",IF(ISBLANK('Spells or Powers'!J64)," ",'Spells or Powers'!J64),"|",IF(ISBLANK('Spells or Powers'!K64)," ",'Spells or Powers'!K64),"|",IF(ISBLANK('Spells or Powers'!L64)," ",'Spells or Powers'!L64),"|",IF(ISBLANK('Spells or Powers'!M64)," ",'Spells or Powers'!M64),"|",IF(ISBLANK('Spells or Powers'!N64)," ",'Spells or Powers'!N64),"|",IF(ISBLANK('Spells or Powers'!O64)," ",'Spells or Powers'!O64)))</f>
        <v>||||||||||||||</v>
      </c>
    </row>
    <row r="78" spans="1:1" x14ac:dyDescent="0.2">
      <c r="A78" s="440" t="str">
        <f>IF(ISBLANK('Spells or Powers'!A65),"||||||||||||||",CONCATENATE("[[",IF(ISBLANK('Spells or Powers'!A65)," ",'Spells or Powers'!A65),"|/Meta/Spells/",SUBSTITUTE((SUBSTITUTE(SUBSTITUTE(SUBSTITUTE(SUBSTITUTE(SUBSTITUTE(SUBSTITUTE(SUBSTITUTE(SUBSTITUTE(SUBSTITUTE(SUBSTITUTE(SUBSTITUTE(SUBSTITUTE(SUBSTITUTE(SUBSTITUTE(SUBSTITUTE(SUBSTITUTE('Spells or Powers'!A65,"/",""),"-",""),".",""),",",""),CHAR(34),""),"'",""),"&amp;",""),"*",""),"#",""),"!",""),"?",""),"@",""),":",""),";",""),"(",""),")",""))," ",""),"]]","|",IF(ISBLANK('Spells or Powers'!B65)," ",'Spells or Powers'!B65),"|",IF(ISBLANK('Spells or Powers'!C65)," ",'Spells or Powers'!C65),"|",IF(ISBLANK('Spells or Powers'!D65)," ",'Spells or Powers'!D65),"|",IF(ISBLANK('Spells or Powers'!E65)," ",'Spells or Powers'!E65),"|",IF(ISBLANK('Spells or Powers'!F65)," ",'Spells or Powers'!F65),"|",IF(ISBLANK('Spells or Powers'!G65)," ",'Spells or Powers'!G65),"|",IF(ISBLANK('Spells or Powers'!H65)," ",'Spells or Powers'!H65),"|",IF(ISBLANK('Spells or Powers'!I65)," ",'Spells or Powers'!I65),"|",IF(ISBLANK('Spells or Powers'!J65)," ",'Spells or Powers'!J65),"|",IF(ISBLANK('Spells or Powers'!K65)," ",'Spells or Powers'!K65),"|",IF(ISBLANK('Spells or Powers'!L65)," ",'Spells or Powers'!L65),"|",IF(ISBLANK('Spells or Powers'!M65)," ",'Spells or Powers'!M65),"|",IF(ISBLANK('Spells or Powers'!N65)," ",'Spells or Powers'!N65),"|",IF(ISBLANK('Spells or Powers'!O65)," ",'Spells or Powers'!O65)))</f>
        <v>||||||||||||||</v>
      </c>
    </row>
    <row r="79" spans="1:1" x14ac:dyDescent="0.2">
      <c r="A79" s="440" t="str">
        <f>IF(ISBLANK('Spells or Powers'!A66),"||||||||||||||",CONCATENATE("[[",IF(ISBLANK('Spells or Powers'!A66)," ",'Spells or Powers'!A66),"|/Meta/Spells/",SUBSTITUTE((SUBSTITUTE(SUBSTITUTE(SUBSTITUTE(SUBSTITUTE(SUBSTITUTE(SUBSTITUTE(SUBSTITUTE(SUBSTITUTE(SUBSTITUTE(SUBSTITUTE(SUBSTITUTE(SUBSTITUTE(SUBSTITUTE(SUBSTITUTE(SUBSTITUTE(SUBSTITUTE('Spells or Powers'!A66,"/",""),"-",""),".",""),",",""),CHAR(34),""),"'",""),"&amp;",""),"*",""),"#",""),"!",""),"?",""),"@",""),":",""),";",""),"(",""),")",""))," ",""),"]]","|",IF(ISBLANK('Spells or Powers'!B66)," ",'Spells or Powers'!B66),"|",IF(ISBLANK('Spells or Powers'!C66)," ",'Spells or Powers'!C66),"|",IF(ISBLANK('Spells or Powers'!D66)," ",'Spells or Powers'!D66),"|",IF(ISBLANK('Spells or Powers'!E66)," ",'Spells or Powers'!E66),"|",IF(ISBLANK('Spells or Powers'!F66)," ",'Spells or Powers'!F66),"|",IF(ISBLANK('Spells or Powers'!G66)," ",'Spells or Powers'!G66),"|",IF(ISBLANK('Spells or Powers'!H66)," ",'Spells or Powers'!H66),"|",IF(ISBLANK('Spells or Powers'!I66)," ",'Spells or Powers'!I66),"|",IF(ISBLANK('Spells or Powers'!J66)," ",'Spells or Powers'!J66),"|",IF(ISBLANK('Spells or Powers'!K66)," ",'Spells or Powers'!K66),"|",IF(ISBLANK('Spells or Powers'!L66)," ",'Spells or Powers'!L66),"|",IF(ISBLANK('Spells or Powers'!M66)," ",'Spells or Powers'!M66),"|",IF(ISBLANK('Spells or Powers'!N66)," ",'Spells or Powers'!N66),"|",IF(ISBLANK('Spells or Powers'!O66)," ",'Spells or Powers'!O66)))</f>
        <v>||||||||||||||</v>
      </c>
    </row>
    <row r="80" spans="1:1" x14ac:dyDescent="0.2">
      <c r="A80" s="440" t="str">
        <f>IF(ISBLANK('Spells or Powers'!A67),"||||||||||||||",CONCATENATE("[[",IF(ISBLANK('Spells or Powers'!A67)," ",'Spells or Powers'!A67),"|/Meta/Spells/",SUBSTITUTE((SUBSTITUTE(SUBSTITUTE(SUBSTITUTE(SUBSTITUTE(SUBSTITUTE(SUBSTITUTE(SUBSTITUTE(SUBSTITUTE(SUBSTITUTE(SUBSTITUTE(SUBSTITUTE(SUBSTITUTE(SUBSTITUTE(SUBSTITUTE(SUBSTITUTE(SUBSTITUTE('Spells or Powers'!A67,"/",""),"-",""),".",""),",",""),CHAR(34),""),"'",""),"&amp;",""),"*",""),"#",""),"!",""),"?",""),"@",""),":",""),";",""),"(",""),")",""))," ",""),"]]","|",IF(ISBLANK('Spells or Powers'!B67)," ",'Spells or Powers'!B67),"|",IF(ISBLANK('Spells or Powers'!C67)," ",'Spells or Powers'!C67),"|",IF(ISBLANK('Spells or Powers'!D67)," ",'Spells or Powers'!D67),"|",IF(ISBLANK('Spells or Powers'!E67)," ",'Spells or Powers'!E67),"|",IF(ISBLANK('Spells or Powers'!F67)," ",'Spells or Powers'!F67),"|",IF(ISBLANK('Spells or Powers'!G67)," ",'Spells or Powers'!G67),"|",IF(ISBLANK('Spells or Powers'!H67)," ",'Spells or Powers'!H67),"|",IF(ISBLANK('Spells or Powers'!I67)," ",'Spells or Powers'!I67),"|",IF(ISBLANK('Spells or Powers'!J67)," ",'Spells or Powers'!J67),"|",IF(ISBLANK('Spells or Powers'!K67)," ",'Spells or Powers'!K67),"|",IF(ISBLANK('Spells or Powers'!L67)," ",'Spells or Powers'!L67),"|",IF(ISBLANK('Spells or Powers'!M67)," ",'Spells or Powers'!M67),"|",IF(ISBLANK('Spells or Powers'!N67)," ",'Spells or Powers'!N67),"|",IF(ISBLANK('Spells or Powers'!O67)," ",'Spells or Powers'!O67)))</f>
        <v>||||||||||||||</v>
      </c>
    </row>
    <row r="81" spans="1:1" x14ac:dyDescent="0.2">
      <c r="A81" s="440" t="str">
        <f>IF(ISBLANK('Spells or Powers'!A68),"||||||||||||||",CONCATENATE("[[",IF(ISBLANK('Spells or Powers'!A68)," ",'Spells or Powers'!A68),"|/Meta/Spells/",SUBSTITUTE((SUBSTITUTE(SUBSTITUTE(SUBSTITUTE(SUBSTITUTE(SUBSTITUTE(SUBSTITUTE(SUBSTITUTE(SUBSTITUTE(SUBSTITUTE(SUBSTITUTE(SUBSTITUTE(SUBSTITUTE(SUBSTITUTE(SUBSTITUTE(SUBSTITUTE(SUBSTITUTE('Spells or Powers'!A68,"/",""),"-",""),".",""),",",""),CHAR(34),""),"'",""),"&amp;",""),"*",""),"#",""),"!",""),"?",""),"@",""),":",""),";",""),"(",""),")",""))," ",""),"]]","|",IF(ISBLANK('Spells or Powers'!B68)," ",'Spells or Powers'!B68),"|",IF(ISBLANK('Spells or Powers'!C68)," ",'Spells or Powers'!C68),"|",IF(ISBLANK('Spells or Powers'!D68)," ",'Spells or Powers'!D68),"|",IF(ISBLANK('Spells or Powers'!E68)," ",'Spells or Powers'!E68),"|",IF(ISBLANK('Spells or Powers'!F68)," ",'Spells or Powers'!F68),"|",IF(ISBLANK('Spells or Powers'!G68)," ",'Spells or Powers'!G68),"|",IF(ISBLANK('Spells or Powers'!H68)," ",'Spells or Powers'!H68),"|",IF(ISBLANK('Spells or Powers'!I68)," ",'Spells or Powers'!I68),"|",IF(ISBLANK('Spells or Powers'!J68)," ",'Spells or Powers'!J68),"|",IF(ISBLANK('Spells or Powers'!K68)," ",'Spells or Powers'!K68),"|",IF(ISBLANK('Spells or Powers'!L68)," ",'Spells or Powers'!L68),"|",IF(ISBLANK('Spells or Powers'!M68)," ",'Spells or Powers'!M68),"|",IF(ISBLANK('Spells or Powers'!N68)," ",'Spells or Powers'!N68),"|",IF(ISBLANK('Spells or Powers'!O68)," ",'Spells or Powers'!O68)))</f>
        <v>||||||||||||||</v>
      </c>
    </row>
    <row r="82" spans="1:1" x14ac:dyDescent="0.2">
      <c r="A82" s="440" t="str">
        <f>IF(ISBLANK('Spells or Powers'!A69),"||||||||||||||",CONCATENATE("[[",IF(ISBLANK('Spells or Powers'!A69)," ",'Spells or Powers'!A69),"|/Meta/Spells/",SUBSTITUTE((SUBSTITUTE(SUBSTITUTE(SUBSTITUTE(SUBSTITUTE(SUBSTITUTE(SUBSTITUTE(SUBSTITUTE(SUBSTITUTE(SUBSTITUTE(SUBSTITUTE(SUBSTITUTE(SUBSTITUTE(SUBSTITUTE(SUBSTITUTE(SUBSTITUTE(SUBSTITUTE('Spells or Powers'!A69,"/",""),"-",""),".",""),",",""),CHAR(34),""),"'",""),"&amp;",""),"*",""),"#",""),"!",""),"?",""),"@",""),":",""),";",""),"(",""),")",""))," ",""),"]]","|",IF(ISBLANK('Spells or Powers'!B69)," ",'Spells or Powers'!B69),"|",IF(ISBLANK('Spells or Powers'!C69)," ",'Spells or Powers'!C69),"|",IF(ISBLANK('Spells or Powers'!D69)," ",'Spells or Powers'!D69),"|",IF(ISBLANK('Spells or Powers'!E69)," ",'Spells or Powers'!E69),"|",IF(ISBLANK('Spells or Powers'!F69)," ",'Spells or Powers'!F69),"|",IF(ISBLANK('Spells or Powers'!G69)," ",'Spells or Powers'!G69),"|",IF(ISBLANK('Spells or Powers'!H69)," ",'Spells or Powers'!H69),"|",IF(ISBLANK('Spells or Powers'!I69)," ",'Spells or Powers'!I69),"|",IF(ISBLANK('Spells or Powers'!J69)," ",'Spells or Powers'!J69),"|",IF(ISBLANK('Spells or Powers'!K69)," ",'Spells or Powers'!K69),"|",IF(ISBLANK('Spells or Powers'!L69)," ",'Spells or Powers'!L69),"|",IF(ISBLANK('Spells or Powers'!M69)," ",'Spells or Powers'!M69),"|",IF(ISBLANK('Spells or Powers'!N69)," ",'Spells or Powers'!N69),"|",IF(ISBLANK('Spells or Powers'!O69)," ",'Spells or Powers'!O69)))</f>
        <v>||||||||||||||</v>
      </c>
    </row>
    <row r="83" spans="1:1" x14ac:dyDescent="0.2">
      <c r="A83" s="440" t="str">
        <f>IF(ISBLANK('Spells or Powers'!A70),"||||||||||||||",CONCATENATE("[[",IF(ISBLANK('Spells or Powers'!A70)," ",'Spells or Powers'!A70),"|/Meta/Spells/",SUBSTITUTE((SUBSTITUTE(SUBSTITUTE(SUBSTITUTE(SUBSTITUTE(SUBSTITUTE(SUBSTITUTE(SUBSTITUTE(SUBSTITUTE(SUBSTITUTE(SUBSTITUTE(SUBSTITUTE(SUBSTITUTE(SUBSTITUTE(SUBSTITUTE(SUBSTITUTE(SUBSTITUTE('Spells or Powers'!A70,"/",""),"-",""),".",""),",",""),CHAR(34),""),"'",""),"&amp;",""),"*",""),"#",""),"!",""),"?",""),"@",""),":",""),";",""),"(",""),")",""))," ",""),"]]","|",IF(ISBLANK('Spells or Powers'!B70)," ",'Spells or Powers'!B70),"|",IF(ISBLANK('Spells or Powers'!C70)," ",'Spells or Powers'!C70),"|",IF(ISBLANK('Spells or Powers'!D70)," ",'Spells or Powers'!D70),"|",IF(ISBLANK('Spells or Powers'!E70)," ",'Spells or Powers'!E70),"|",IF(ISBLANK('Spells or Powers'!F70)," ",'Spells or Powers'!F70),"|",IF(ISBLANK('Spells or Powers'!G70)," ",'Spells or Powers'!G70),"|",IF(ISBLANK('Spells or Powers'!H70)," ",'Spells or Powers'!H70),"|",IF(ISBLANK('Spells or Powers'!I70)," ",'Spells or Powers'!I70),"|",IF(ISBLANK('Spells or Powers'!J70)," ",'Spells or Powers'!J70),"|",IF(ISBLANK('Spells or Powers'!K70)," ",'Spells or Powers'!K70),"|",IF(ISBLANK('Spells or Powers'!L70)," ",'Spells or Powers'!L70),"|",IF(ISBLANK('Spells or Powers'!M70)," ",'Spells or Powers'!M70),"|",IF(ISBLANK('Spells or Powers'!N70)," ",'Spells or Powers'!N70),"|",IF(ISBLANK('Spells or Powers'!O70)," ",'Spells or Powers'!O70)))</f>
        <v>||||||||||||||</v>
      </c>
    </row>
    <row r="84" spans="1:1" x14ac:dyDescent="0.2">
      <c r="A84" s="440" t="str">
        <f>IF(ISBLANK('Spells or Powers'!A71),"||||||||||||||",CONCATENATE("[[",IF(ISBLANK('Spells or Powers'!A71)," ",'Spells or Powers'!A71),"|/Meta/Spells/",SUBSTITUTE((SUBSTITUTE(SUBSTITUTE(SUBSTITUTE(SUBSTITUTE(SUBSTITUTE(SUBSTITUTE(SUBSTITUTE(SUBSTITUTE(SUBSTITUTE(SUBSTITUTE(SUBSTITUTE(SUBSTITUTE(SUBSTITUTE(SUBSTITUTE(SUBSTITUTE(SUBSTITUTE('Spells or Powers'!A71,"/",""),"-",""),".",""),",",""),CHAR(34),""),"'",""),"&amp;",""),"*",""),"#",""),"!",""),"?",""),"@",""),":",""),";",""),"(",""),")",""))," ",""),"]]","|",IF(ISBLANK('Spells or Powers'!B71)," ",'Spells or Powers'!B71),"|",IF(ISBLANK('Spells or Powers'!C71)," ",'Spells or Powers'!C71),"|",IF(ISBLANK('Spells or Powers'!D71)," ",'Spells or Powers'!D71),"|",IF(ISBLANK('Spells or Powers'!E71)," ",'Spells or Powers'!E71),"|",IF(ISBLANK('Spells or Powers'!F71)," ",'Spells or Powers'!F71),"|",IF(ISBLANK('Spells or Powers'!G71)," ",'Spells or Powers'!G71),"|",IF(ISBLANK('Spells or Powers'!H71)," ",'Spells or Powers'!H71),"|",IF(ISBLANK('Spells or Powers'!I71)," ",'Spells or Powers'!I71),"|",IF(ISBLANK('Spells or Powers'!J71)," ",'Spells or Powers'!J71),"|",IF(ISBLANK('Spells or Powers'!K71)," ",'Spells or Powers'!K71),"|",IF(ISBLANK('Spells or Powers'!L71)," ",'Spells or Powers'!L71),"|",IF(ISBLANK('Spells or Powers'!M71)," ",'Spells or Powers'!M71),"|",IF(ISBLANK('Spells or Powers'!N71)," ",'Spells or Powers'!N71),"|",IF(ISBLANK('Spells or Powers'!O71)," ",'Spells or Powers'!O71)))</f>
        <v>||||||||||||||</v>
      </c>
    </row>
    <row r="85" spans="1:1" x14ac:dyDescent="0.2">
      <c r="A85" s="440" t="str">
        <f>IF(ISBLANK('Spells or Powers'!A72),"||||||||||||||",CONCATENATE("[[",IF(ISBLANK('Spells or Powers'!A72)," ",'Spells or Powers'!A72),"|/Meta/Spells/",SUBSTITUTE((SUBSTITUTE(SUBSTITUTE(SUBSTITUTE(SUBSTITUTE(SUBSTITUTE(SUBSTITUTE(SUBSTITUTE(SUBSTITUTE(SUBSTITUTE(SUBSTITUTE(SUBSTITUTE(SUBSTITUTE(SUBSTITUTE(SUBSTITUTE(SUBSTITUTE(SUBSTITUTE('Spells or Powers'!A72,"/",""),"-",""),".",""),",",""),CHAR(34),""),"'",""),"&amp;",""),"*",""),"#",""),"!",""),"?",""),"@",""),":",""),";",""),"(",""),")",""))," ",""),"]]","|",IF(ISBLANK('Spells or Powers'!B72)," ",'Spells or Powers'!B72),"|",IF(ISBLANK('Spells or Powers'!C72)," ",'Spells or Powers'!C72),"|",IF(ISBLANK('Spells or Powers'!D72)," ",'Spells or Powers'!D72),"|",IF(ISBLANK('Spells or Powers'!E72)," ",'Spells or Powers'!E72),"|",IF(ISBLANK('Spells or Powers'!F72)," ",'Spells or Powers'!F72),"|",IF(ISBLANK('Spells or Powers'!G72)," ",'Spells or Powers'!G72),"|",IF(ISBLANK('Spells or Powers'!H72)," ",'Spells or Powers'!H72),"|",IF(ISBLANK('Spells or Powers'!I72)," ",'Spells or Powers'!I72),"|",IF(ISBLANK('Spells or Powers'!J72)," ",'Spells or Powers'!J72),"|",IF(ISBLANK('Spells or Powers'!K72)," ",'Spells or Powers'!K72),"|",IF(ISBLANK('Spells or Powers'!L72)," ",'Spells or Powers'!L72),"|",IF(ISBLANK('Spells or Powers'!M72)," ",'Spells or Powers'!M72),"|",IF(ISBLANK('Spells or Powers'!N72)," ",'Spells or Powers'!N72),"|",IF(ISBLANK('Spells or Powers'!O72)," ",'Spells or Powers'!O72)))</f>
        <v>||||||||||||||</v>
      </c>
    </row>
    <row r="86" spans="1:1" x14ac:dyDescent="0.2">
      <c r="A86" s="440" t="str">
        <f>IF(ISBLANK('Spells or Powers'!A73),"||||||||||||||",CONCATENATE("[[",IF(ISBLANK('Spells or Powers'!A73)," ",'Spells or Powers'!A73),"|/Meta/Spells/",SUBSTITUTE((SUBSTITUTE(SUBSTITUTE(SUBSTITUTE(SUBSTITUTE(SUBSTITUTE(SUBSTITUTE(SUBSTITUTE(SUBSTITUTE(SUBSTITUTE(SUBSTITUTE(SUBSTITUTE(SUBSTITUTE(SUBSTITUTE(SUBSTITUTE(SUBSTITUTE(SUBSTITUTE('Spells or Powers'!A73,"/",""),"-",""),".",""),",",""),CHAR(34),""),"'",""),"&amp;",""),"*",""),"#",""),"!",""),"?",""),"@",""),":",""),";",""),"(",""),")",""))," ",""),"]]","|",IF(ISBLANK('Spells or Powers'!B73)," ",'Spells or Powers'!B73),"|",IF(ISBLANK('Spells or Powers'!C73)," ",'Spells or Powers'!C73),"|",IF(ISBLANK('Spells or Powers'!D73)," ",'Spells or Powers'!D73),"|",IF(ISBLANK('Spells or Powers'!E73)," ",'Spells or Powers'!E73),"|",IF(ISBLANK('Spells or Powers'!F73)," ",'Spells or Powers'!F73),"|",IF(ISBLANK('Spells or Powers'!G73)," ",'Spells or Powers'!G73),"|",IF(ISBLANK('Spells or Powers'!H73)," ",'Spells or Powers'!H73),"|",IF(ISBLANK('Spells or Powers'!I73)," ",'Spells or Powers'!I73),"|",IF(ISBLANK('Spells or Powers'!J73)," ",'Spells or Powers'!J73),"|",IF(ISBLANK('Spells or Powers'!K73)," ",'Spells or Powers'!K73),"|",IF(ISBLANK('Spells or Powers'!L73)," ",'Spells or Powers'!L73),"|",IF(ISBLANK('Spells or Powers'!M73)," ",'Spells or Powers'!M73),"|",IF(ISBLANK('Spells or Powers'!N73)," ",'Spells or Powers'!N73),"|",IF(ISBLANK('Spells or Powers'!O73)," ",'Spells or Powers'!O73)))</f>
        <v>||||||||||||||</v>
      </c>
    </row>
    <row r="87" spans="1:1" x14ac:dyDescent="0.2">
      <c r="A87" s="440" t="str">
        <f>IF(ISBLANK('Spells or Powers'!A74),"||||||||||||||",CONCATENATE("[[",IF(ISBLANK('Spells or Powers'!A74)," ",'Spells or Powers'!A74),"|/Meta/Spells/",SUBSTITUTE((SUBSTITUTE(SUBSTITUTE(SUBSTITUTE(SUBSTITUTE(SUBSTITUTE(SUBSTITUTE(SUBSTITUTE(SUBSTITUTE(SUBSTITUTE(SUBSTITUTE(SUBSTITUTE(SUBSTITUTE(SUBSTITUTE(SUBSTITUTE(SUBSTITUTE(SUBSTITUTE('Spells or Powers'!A74,"/",""),"-",""),".",""),",",""),CHAR(34),""),"'",""),"&amp;",""),"*",""),"#",""),"!",""),"?",""),"@",""),":",""),";",""),"(",""),")",""))," ",""),"]]","|",IF(ISBLANK('Spells or Powers'!B74)," ",'Spells or Powers'!B74),"|",IF(ISBLANK('Spells or Powers'!C74)," ",'Spells or Powers'!C74),"|",IF(ISBLANK('Spells or Powers'!D74)," ",'Spells or Powers'!D74),"|",IF(ISBLANK('Spells or Powers'!E74)," ",'Spells or Powers'!E74),"|",IF(ISBLANK('Spells or Powers'!F74)," ",'Spells or Powers'!F74),"|",IF(ISBLANK('Spells or Powers'!G74)," ",'Spells or Powers'!G74),"|",IF(ISBLANK('Spells or Powers'!H74)," ",'Spells or Powers'!H74),"|",IF(ISBLANK('Spells or Powers'!I74)," ",'Spells or Powers'!I74),"|",IF(ISBLANK('Spells or Powers'!J74)," ",'Spells or Powers'!J74),"|",IF(ISBLANK('Spells or Powers'!K74)," ",'Spells or Powers'!K74),"|",IF(ISBLANK('Spells or Powers'!L74)," ",'Spells or Powers'!L74),"|",IF(ISBLANK('Spells or Powers'!M74)," ",'Spells or Powers'!M74),"|",IF(ISBLANK('Spells or Powers'!N74)," ",'Spells or Powers'!N74),"|",IF(ISBLANK('Spells or Powers'!O74)," ",'Spells or Powers'!O74)))</f>
        <v>||||||||||||||</v>
      </c>
    </row>
    <row r="88" spans="1:1" x14ac:dyDescent="0.2">
      <c r="A88" s="440" t="str">
        <f>IF(ISBLANK('Spells or Powers'!A75),"||||||||||||||",CONCATENATE("[[",IF(ISBLANK('Spells or Powers'!A75)," ",'Spells or Powers'!A75),"|/Meta/Spells/",SUBSTITUTE((SUBSTITUTE(SUBSTITUTE(SUBSTITUTE(SUBSTITUTE(SUBSTITUTE(SUBSTITUTE(SUBSTITUTE(SUBSTITUTE(SUBSTITUTE(SUBSTITUTE(SUBSTITUTE(SUBSTITUTE(SUBSTITUTE(SUBSTITUTE(SUBSTITUTE(SUBSTITUTE('Spells or Powers'!A75,"/",""),"-",""),".",""),",",""),CHAR(34),""),"'",""),"&amp;",""),"*",""),"#",""),"!",""),"?",""),"@",""),":",""),";",""),"(",""),")",""))," ",""),"]]","|",IF(ISBLANK('Spells or Powers'!B75)," ",'Spells or Powers'!B75),"|",IF(ISBLANK('Spells or Powers'!C75)," ",'Spells or Powers'!C75),"|",IF(ISBLANK('Spells or Powers'!D75)," ",'Spells or Powers'!D75),"|",IF(ISBLANK('Spells or Powers'!E75)," ",'Spells or Powers'!E75),"|",IF(ISBLANK('Spells or Powers'!F75)," ",'Spells or Powers'!F75),"|",IF(ISBLANK('Spells or Powers'!G75)," ",'Spells or Powers'!G75),"|",IF(ISBLANK('Spells or Powers'!H75)," ",'Spells or Powers'!H75),"|",IF(ISBLANK('Spells or Powers'!I75)," ",'Spells or Powers'!I75),"|",IF(ISBLANK('Spells or Powers'!J75)," ",'Spells or Powers'!J75),"|",IF(ISBLANK('Spells or Powers'!K75)," ",'Spells or Powers'!K75),"|",IF(ISBLANK('Spells or Powers'!L75)," ",'Spells or Powers'!L75),"|",IF(ISBLANK('Spells or Powers'!M75)," ",'Spells or Powers'!M75),"|",IF(ISBLANK('Spells or Powers'!N75)," ",'Spells or Powers'!N75),"|",IF(ISBLANK('Spells or Powers'!O75)," ",'Spells or Powers'!O75)))</f>
        <v>||||||||||||||</v>
      </c>
    </row>
    <row r="89" spans="1:1" x14ac:dyDescent="0.2">
      <c r="A89" s="440" t="str">
        <f>IF(ISBLANK('Spells or Powers'!A76),"||||||||||||||",CONCATENATE("[[",IF(ISBLANK('Spells or Powers'!A76)," ",'Spells or Powers'!A76),"|/Meta/Spells/",SUBSTITUTE((SUBSTITUTE(SUBSTITUTE(SUBSTITUTE(SUBSTITUTE(SUBSTITUTE(SUBSTITUTE(SUBSTITUTE(SUBSTITUTE(SUBSTITUTE(SUBSTITUTE(SUBSTITUTE(SUBSTITUTE(SUBSTITUTE(SUBSTITUTE(SUBSTITUTE(SUBSTITUTE('Spells or Powers'!A76,"/",""),"-",""),".",""),",",""),CHAR(34),""),"'",""),"&amp;",""),"*",""),"#",""),"!",""),"?",""),"@",""),":",""),";",""),"(",""),")",""))," ",""),"]]","|",IF(ISBLANK('Spells or Powers'!B76)," ",'Spells or Powers'!B76),"|",IF(ISBLANK('Spells or Powers'!C76)," ",'Spells or Powers'!C76),"|",IF(ISBLANK('Spells or Powers'!D76)," ",'Spells or Powers'!D76),"|",IF(ISBLANK('Spells or Powers'!E76)," ",'Spells or Powers'!E76),"|",IF(ISBLANK('Spells or Powers'!F76)," ",'Spells or Powers'!F76),"|",IF(ISBLANK('Spells or Powers'!G76)," ",'Spells or Powers'!G76),"|",IF(ISBLANK('Spells or Powers'!H76)," ",'Spells or Powers'!H76),"|",IF(ISBLANK('Spells or Powers'!I76)," ",'Spells or Powers'!I76),"|",IF(ISBLANK('Spells or Powers'!J76)," ",'Spells or Powers'!J76),"|",IF(ISBLANK('Spells or Powers'!K76)," ",'Spells or Powers'!K76),"|",IF(ISBLANK('Spells or Powers'!L76)," ",'Spells or Powers'!L76),"|",IF(ISBLANK('Spells or Powers'!M76)," ",'Spells or Powers'!M76),"|",IF(ISBLANK('Spells or Powers'!N76)," ",'Spells or Powers'!N76),"|",IF(ISBLANK('Spells or Powers'!O76)," ",'Spells or Powers'!O76)))</f>
        <v>||||||||||||||</v>
      </c>
    </row>
    <row r="90" spans="1:1" x14ac:dyDescent="0.2">
      <c r="A90" s="440" t="str">
        <f>IF(ISBLANK('Spells or Powers'!A77),"||||||||||||||",CONCATENATE("[[",IF(ISBLANK('Spells or Powers'!A77)," ",'Spells or Powers'!A77),"|/Meta/Spells/",SUBSTITUTE((SUBSTITUTE(SUBSTITUTE(SUBSTITUTE(SUBSTITUTE(SUBSTITUTE(SUBSTITUTE(SUBSTITUTE(SUBSTITUTE(SUBSTITUTE(SUBSTITUTE(SUBSTITUTE(SUBSTITUTE(SUBSTITUTE(SUBSTITUTE(SUBSTITUTE(SUBSTITUTE('Spells or Powers'!A77,"/",""),"-",""),".",""),",",""),CHAR(34),""),"'",""),"&amp;",""),"*",""),"#",""),"!",""),"?",""),"@",""),":",""),";",""),"(",""),")",""))," ",""),"]]","|",IF(ISBLANK('Spells or Powers'!B77)," ",'Spells or Powers'!B77),"|",IF(ISBLANK('Spells or Powers'!C77)," ",'Spells or Powers'!C77),"|",IF(ISBLANK('Spells or Powers'!D77)," ",'Spells or Powers'!D77),"|",IF(ISBLANK('Spells or Powers'!E77)," ",'Spells or Powers'!E77),"|",IF(ISBLANK('Spells or Powers'!F77)," ",'Spells or Powers'!F77),"|",IF(ISBLANK('Spells or Powers'!G77)," ",'Spells or Powers'!G77),"|",IF(ISBLANK('Spells or Powers'!H77)," ",'Spells or Powers'!H77),"|",IF(ISBLANK('Spells or Powers'!I77)," ",'Spells or Powers'!I77),"|",IF(ISBLANK('Spells or Powers'!J77)," ",'Spells or Powers'!J77),"|",IF(ISBLANK('Spells or Powers'!K77)," ",'Spells or Powers'!K77),"|",IF(ISBLANK('Spells or Powers'!L77)," ",'Spells or Powers'!L77),"|",IF(ISBLANK('Spells or Powers'!M77)," ",'Spells or Powers'!M77),"|",IF(ISBLANK('Spells or Powers'!N77)," ",'Spells or Powers'!N77),"|",IF(ISBLANK('Spells or Powers'!O77)," ",'Spells or Powers'!O77)))</f>
        <v>||||||||||||||</v>
      </c>
    </row>
    <row r="91" spans="1:1" x14ac:dyDescent="0.2">
      <c r="A91" s="440" t="str">
        <f>IF(ISBLANK('Spells or Powers'!A78),"||||||||||||||",CONCATENATE("[[",IF(ISBLANK('Spells or Powers'!A78)," ",'Spells or Powers'!A78),"|/Meta/Spells/",SUBSTITUTE((SUBSTITUTE(SUBSTITUTE(SUBSTITUTE(SUBSTITUTE(SUBSTITUTE(SUBSTITUTE(SUBSTITUTE(SUBSTITUTE(SUBSTITUTE(SUBSTITUTE(SUBSTITUTE(SUBSTITUTE(SUBSTITUTE(SUBSTITUTE(SUBSTITUTE(SUBSTITUTE('Spells or Powers'!A78,"/",""),"-",""),".",""),",",""),CHAR(34),""),"'",""),"&amp;",""),"*",""),"#",""),"!",""),"?",""),"@",""),":",""),";",""),"(",""),")",""))," ",""),"]]","|",IF(ISBLANK('Spells or Powers'!B78)," ",'Spells or Powers'!B78),"|",IF(ISBLANK('Spells or Powers'!C78)," ",'Spells or Powers'!C78),"|",IF(ISBLANK('Spells or Powers'!D78)," ",'Spells or Powers'!D78),"|",IF(ISBLANK('Spells or Powers'!E78)," ",'Spells or Powers'!E78),"|",IF(ISBLANK('Spells or Powers'!F78)," ",'Spells or Powers'!F78),"|",IF(ISBLANK('Spells or Powers'!G78)," ",'Spells or Powers'!G78),"|",IF(ISBLANK('Spells or Powers'!H78)," ",'Spells or Powers'!H78),"|",IF(ISBLANK('Spells or Powers'!I78)," ",'Spells or Powers'!I78),"|",IF(ISBLANK('Spells or Powers'!J78)," ",'Spells or Powers'!J78),"|",IF(ISBLANK('Spells or Powers'!K78)," ",'Spells or Powers'!K78),"|",IF(ISBLANK('Spells or Powers'!L78)," ",'Spells or Powers'!L78),"|",IF(ISBLANK('Spells or Powers'!M78)," ",'Spells or Powers'!M78),"|",IF(ISBLANK('Spells or Powers'!N78)," ",'Spells or Powers'!N78),"|",IF(ISBLANK('Spells or Powers'!O78)," ",'Spells or Powers'!O78)))</f>
        <v>||||||||||||||</v>
      </c>
    </row>
    <row r="92" spans="1:1" x14ac:dyDescent="0.2">
      <c r="A92" s="440" t="str">
        <f>IF(ISBLANK('Spells or Powers'!A79),"||||||||||||||",CONCATENATE("[[",IF(ISBLANK('Spells or Powers'!A79)," ",'Spells or Powers'!A79),"|/Meta/Spells/",SUBSTITUTE((SUBSTITUTE(SUBSTITUTE(SUBSTITUTE(SUBSTITUTE(SUBSTITUTE(SUBSTITUTE(SUBSTITUTE(SUBSTITUTE(SUBSTITUTE(SUBSTITUTE(SUBSTITUTE(SUBSTITUTE(SUBSTITUTE(SUBSTITUTE(SUBSTITUTE(SUBSTITUTE('Spells or Powers'!A79,"/",""),"-",""),".",""),",",""),CHAR(34),""),"'",""),"&amp;",""),"*",""),"#",""),"!",""),"?",""),"@",""),":",""),";",""),"(",""),")",""))," ",""),"]]","|",IF(ISBLANK('Spells or Powers'!B79)," ",'Spells or Powers'!B79),"|",IF(ISBLANK('Spells or Powers'!C79)," ",'Spells or Powers'!C79),"|",IF(ISBLANK('Spells or Powers'!D79)," ",'Spells or Powers'!D79),"|",IF(ISBLANK('Spells or Powers'!E79)," ",'Spells or Powers'!E79),"|",IF(ISBLANK('Spells or Powers'!F79)," ",'Spells or Powers'!F79),"|",IF(ISBLANK('Spells or Powers'!G79)," ",'Spells or Powers'!G79),"|",IF(ISBLANK('Spells or Powers'!H79)," ",'Spells or Powers'!H79),"|",IF(ISBLANK('Spells or Powers'!I79)," ",'Spells or Powers'!I79),"|",IF(ISBLANK('Spells or Powers'!J79)," ",'Spells or Powers'!J79),"|",IF(ISBLANK('Spells or Powers'!K79)," ",'Spells or Powers'!K79),"|",IF(ISBLANK('Spells or Powers'!L79)," ",'Spells or Powers'!L79),"|",IF(ISBLANK('Spells or Powers'!M79)," ",'Spells or Powers'!M79),"|",IF(ISBLANK('Spells or Powers'!N79)," ",'Spells or Powers'!N79),"|",IF(ISBLANK('Spells or Powers'!O79)," ",'Spells or Powers'!O79)))</f>
        <v>||||||||||||||</v>
      </c>
    </row>
    <row r="93" spans="1:1" x14ac:dyDescent="0.2">
      <c r="A93" s="440" t="str">
        <f>IF(ISBLANK('Spells or Powers'!A80),"||||||||||||||",CONCATENATE("[[",IF(ISBLANK('Spells or Powers'!A80)," ",'Spells or Powers'!A80),"|/Meta/Spells/",SUBSTITUTE((SUBSTITUTE(SUBSTITUTE(SUBSTITUTE(SUBSTITUTE(SUBSTITUTE(SUBSTITUTE(SUBSTITUTE(SUBSTITUTE(SUBSTITUTE(SUBSTITUTE(SUBSTITUTE(SUBSTITUTE(SUBSTITUTE(SUBSTITUTE(SUBSTITUTE(SUBSTITUTE('Spells or Powers'!A80,"/",""),"-",""),".",""),",",""),CHAR(34),""),"'",""),"&amp;",""),"*",""),"#",""),"!",""),"?",""),"@",""),":",""),";",""),"(",""),")",""))," ",""),"]]","|",IF(ISBLANK('Spells or Powers'!B80)," ",'Spells or Powers'!B80),"|",IF(ISBLANK('Spells or Powers'!C80)," ",'Spells or Powers'!C80),"|",IF(ISBLANK('Spells or Powers'!D80)," ",'Spells or Powers'!D80),"|",IF(ISBLANK('Spells or Powers'!E80)," ",'Spells or Powers'!E80),"|",IF(ISBLANK('Spells or Powers'!F80)," ",'Spells or Powers'!F80),"|",IF(ISBLANK('Spells or Powers'!G80)," ",'Spells or Powers'!G80),"|",IF(ISBLANK('Spells or Powers'!H80)," ",'Spells or Powers'!H80),"|",IF(ISBLANK('Spells or Powers'!I80)," ",'Spells or Powers'!I80),"|",IF(ISBLANK('Spells or Powers'!J80)," ",'Spells or Powers'!J80),"|",IF(ISBLANK('Spells or Powers'!K80)," ",'Spells or Powers'!K80),"|",IF(ISBLANK('Spells or Powers'!L80)," ",'Spells or Powers'!L80),"|",IF(ISBLANK('Spells or Powers'!M80)," ",'Spells or Powers'!M80),"|",IF(ISBLANK('Spells or Powers'!N80)," ",'Spells or Powers'!N80),"|",IF(ISBLANK('Spells or Powers'!O80)," ",'Spells or Powers'!O80)))</f>
        <v>||||||||||||||</v>
      </c>
    </row>
    <row r="94" spans="1:1" x14ac:dyDescent="0.2">
      <c r="A94" s="440" t="str">
        <f>IF(ISBLANK('Spells or Powers'!A81),"||||||||||||||",CONCATENATE("[[",IF(ISBLANK('Spells or Powers'!A81)," ",'Spells or Powers'!A81),"|/Meta/Spells/",SUBSTITUTE((SUBSTITUTE(SUBSTITUTE(SUBSTITUTE(SUBSTITUTE(SUBSTITUTE(SUBSTITUTE(SUBSTITUTE(SUBSTITUTE(SUBSTITUTE(SUBSTITUTE(SUBSTITUTE(SUBSTITUTE(SUBSTITUTE(SUBSTITUTE(SUBSTITUTE(SUBSTITUTE('Spells or Powers'!A81,"/",""),"-",""),".",""),",",""),CHAR(34),""),"'",""),"&amp;",""),"*",""),"#",""),"!",""),"?",""),"@",""),":",""),";",""),"(",""),")",""))," ",""),"]]","|",IF(ISBLANK('Spells or Powers'!B81)," ",'Spells or Powers'!B81),"|",IF(ISBLANK('Spells or Powers'!C81)," ",'Spells or Powers'!C81),"|",IF(ISBLANK('Spells or Powers'!D81)," ",'Spells or Powers'!D81),"|",IF(ISBLANK('Spells or Powers'!E81)," ",'Spells or Powers'!E81),"|",IF(ISBLANK('Spells or Powers'!F81)," ",'Spells or Powers'!F81),"|",IF(ISBLANK('Spells or Powers'!G81)," ",'Spells or Powers'!G81),"|",IF(ISBLANK('Spells or Powers'!H81)," ",'Spells or Powers'!H81),"|",IF(ISBLANK('Spells or Powers'!I81)," ",'Spells or Powers'!I81),"|",IF(ISBLANK('Spells or Powers'!J81)," ",'Spells or Powers'!J81),"|",IF(ISBLANK('Spells or Powers'!K81)," ",'Spells or Powers'!K81),"|",IF(ISBLANK('Spells or Powers'!L81)," ",'Spells or Powers'!L81),"|",IF(ISBLANK('Spells or Powers'!M81)," ",'Spells or Powers'!M81),"|",IF(ISBLANK('Spells or Powers'!N81)," ",'Spells or Powers'!N81),"|",IF(ISBLANK('Spells or Powers'!O81)," ",'Spells or Powers'!O81)))</f>
        <v>||||||||||||||</v>
      </c>
    </row>
    <row r="95" spans="1:1" x14ac:dyDescent="0.2">
      <c r="A95" s="440" t="str">
        <f>IF(ISBLANK('Spells or Powers'!A82),"||||||||||||||",CONCATENATE("[[",IF(ISBLANK('Spells or Powers'!A82)," ",'Spells or Powers'!A82),"|/Meta/Spells/",SUBSTITUTE((SUBSTITUTE(SUBSTITUTE(SUBSTITUTE(SUBSTITUTE(SUBSTITUTE(SUBSTITUTE(SUBSTITUTE(SUBSTITUTE(SUBSTITUTE(SUBSTITUTE(SUBSTITUTE(SUBSTITUTE(SUBSTITUTE(SUBSTITUTE(SUBSTITUTE(SUBSTITUTE('Spells or Powers'!A82,"/",""),"-",""),".",""),",",""),CHAR(34),""),"'",""),"&amp;",""),"*",""),"#",""),"!",""),"?",""),"@",""),":",""),";",""),"(",""),")",""))," ",""),"]]","|",IF(ISBLANK('Spells or Powers'!B82)," ",'Spells or Powers'!B82),"|",IF(ISBLANK('Spells or Powers'!C82)," ",'Spells or Powers'!C82),"|",IF(ISBLANK('Spells or Powers'!D82)," ",'Spells or Powers'!D82),"|",IF(ISBLANK('Spells or Powers'!E82)," ",'Spells or Powers'!E82),"|",IF(ISBLANK('Spells or Powers'!F82)," ",'Spells or Powers'!F82),"|",IF(ISBLANK('Spells or Powers'!G82)," ",'Spells or Powers'!G82),"|",IF(ISBLANK('Spells or Powers'!H82)," ",'Spells or Powers'!H82),"|",IF(ISBLANK('Spells or Powers'!I82)," ",'Spells or Powers'!I82),"|",IF(ISBLANK('Spells or Powers'!J82)," ",'Spells or Powers'!J82),"|",IF(ISBLANK('Spells or Powers'!K82)," ",'Spells or Powers'!K82),"|",IF(ISBLANK('Spells or Powers'!L82)," ",'Spells or Powers'!L82),"|",IF(ISBLANK('Spells or Powers'!M82)," ",'Spells or Powers'!M82),"|",IF(ISBLANK('Spells or Powers'!N82)," ",'Spells or Powers'!N82),"|",IF(ISBLANK('Spells or Powers'!O82)," ",'Spells or Powers'!O82)))</f>
        <v>||||||||||||||</v>
      </c>
    </row>
    <row r="96" spans="1:1" x14ac:dyDescent="0.2">
      <c r="A96" s="440" t="str">
        <f>IF(ISBLANK('Spells or Powers'!A83),"||||||||||||||",CONCATENATE("[[",IF(ISBLANK('Spells or Powers'!A83)," ",'Spells or Powers'!A83),"|/Meta/Spells/",SUBSTITUTE((SUBSTITUTE(SUBSTITUTE(SUBSTITUTE(SUBSTITUTE(SUBSTITUTE(SUBSTITUTE(SUBSTITUTE(SUBSTITUTE(SUBSTITUTE(SUBSTITUTE(SUBSTITUTE(SUBSTITUTE(SUBSTITUTE(SUBSTITUTE(SUBSTITUTE(SUBSTITUTE('Spells or Powers'!A83,"/",""),"-",""),".",""),",",""),CHAR(34),""),"'",""),"&amp;",""),"*",""),"#",""),"!",""),"?",""),"@",""),":",""),";",""),"(",""),")",""))," ",""),"]]","|",IF(ISBLANK('Spells or Powers'!B83)," ",'Spells or Powers'!B83),"|",IF(ISBLANK('Spells or Powers'!C83)," ",'Spells or Powers'!C83),"|",IF(ISBLANK('Spells or Powers'!D83)," ",'Spells or Powers'!D83),"|",IF(ISBLANK('Spells or Powers'!E83)," ",'Spells or Powers'!E83),"|",IF(ISBLANK('Spells or Powers'!F83)," ",'Spells or Powers'!F83),"|",IF(ISBLANK('Spells or Powers'!G83)," ",'Spells or Powers'!G83),"|",IF(ISBLANK('Spells or Powers'!H83)," ",'Spells or Powers'!H83),"|",IF(ISBLANK('Spells or Powers'!I83)," ",'Spells or Powers'!I83),"|",IF(ISBLANK('Spells or Powers'!J83)," ",'Spells or Powers'!J83),"|",IF(ISBLANK('Spells or Powers'!K83)," ",'Spells or Powers'!K83),"|",IF(ISBLANK('Spells or Powers'!L83)," ",'Spells or Powers'!L83),"|",IF(ISBLANK('Spells or Powers'!M83)," ",'Spells or Powers'!M83),"|",IF(ISBLANK('Spells or Powers'!N83)," ",'Spells or Powers'!N83),"|",IF(ISBLANK('Spells or Powers'!O83)," ",'Spells or Powers'!O83)))</f>
        <v>||||||||||||||</v>
      </c>
    </row>
    <row r="97" spans="1:1" x14ac:dyDescent="0.2">
      <c r="A97" s="440" t="str">
        <f>IF(ISBLANK('Spells or Powers'!A84),"||||||||||||||",CONCATENATE("[[",IF(ISBLANK('Spells or Powers'!A84)," ",'Spells or Powers'!A84),"|/Meta/Spells/",SUBSTITUTE((SUBSTITUTE(SUBSTITUTE(SUBSTITUTE(SUBSTITUTE(SUBSTITUTE(SUBSTITUTE(SUBSTITUTE(SUBSTITUTE(SUBSTITUTE(SUBSTITUTE(SUBSTITUTE(SUBSTITUTE(SUBSTITUTE(SUBSTITUTE(SUBSTITUTE(SUBSTITUTE('Spells or Powers'!A84,"/",""),"-",""),".",""),",",""),CHAR(34),""),"'",""),"&amp;",""),"*",""),"#",""),"!",""),"?",""),"@",""),":",""),";",""),"(",""),")",""))," ",""),"]]","|",IF(ISBLANK('Spells or Powers'!B84)," ",'Spells or Powers'!B84),"|",IF(ISBLANK('Spells or Powers'!C84)," ",'Spells or Powers'!C84),"|",IF(ISBLANK('Spells or Powers'!D84)," ",'Spells or Powers'!D84),"|",IF(ISBLANK('Spells or Powers'!E84)," ",'Spells or Powers'!E84),"|",IF(ISBLANK('Spells or Powers'!F84)," ",'Spells or Powers'!F84),"|",IF(ISBLANK('Spells or Powers'!G84)," ",'Spells or Powers'!G84),"|",IF(ISBLANK('Spells or Powers'!H84)," ",'Spells or Powers'!H84),"|",IF(ISBLANK('Spells or Powers'!I84)," ",'Spells or Powers'!I84),"|",IF(ISBLANK('Spells or Powers'!J84)," ",'Spells or Powers'!J84),"|",IF(ISBLANK('Spells or Powers'!K84)," ",'Spells or Powers'!K84),"|",IF(ISBLANK('Spells or Powers'!L84)," ",'Spells or Powers'!L84),"|",IF(ISBLANK('Spells or Powers'!M84)," ",'Spells or Powers'!M84),"|",IF(ISBLANK('Spells or Powers'!N84)," ",'Spells or Powers'!N84),"|",IF(ISBLANK('Spells or Powers'!O84)," ",'Spells or Powers'!O84)))</f>
        <v>||||||||||||||</v>
      </c>
    </row>
    <row r="98" spans="1:1" x14ac:dyDescent="0.2">
      <c r="A98" s="440" t="str">
        <f>IF(ISBLANK('Spells or Powers'!A85),"||||||||||||||",CONCATENATE("[[",IF(ISBLANK('Spells or Powers'!A85)," ",'Spells or Powers'!A85),"|/Meta/Spells/",SUBSTITUTE((SUBSTITUTE(SUBSTITUTE(SUBSTITUTE(SUBSTITUTE(SUBSTITUTE(SUBSTITUTE(SUBSTITUTE(SUBSTITUTE(SUBSTITUTE(SUBSTITUTE(SUBSTITUTE(SUBSTITUTE(SUBSTITUTE(SUBSTITUTE(SUBSTITUTE(SUBSTITUTE('Spells or Powers'!A85,"/",""),"-",""),".",""),",",""),CHAR(34),""),"'",""),"&amp;",""),"*",""),"#",""),"!",""),"?",""),"@",""),":",""),";",""),"(",""),")",""))," ",""),"]]","|",IF(ISBLANK('Spells or Powers'!B85)," ",'Spells or Powers'!B85),"|",IF(ISBLANK('Spells or Powers'!C85)," ",'Spells or Powers'!C85),"|",IF(ISBLANK('Spells or Powers'!D85)," ",'Spells or Powers'!D85),"|",IF(ISBLANK('Spells or Powers'!E85)," ",'Spells or Powers'!E85),"|",IF(ISBLANK('Spells or Powers'!F85)," ",'Spells or Powers'!F85),"|",IF(ISBLANK('Spells or Powers'!G85)," ",'Spells or Powers'!G85),"|",IF(ISBLANK('Spells or Powers'!H85)," ",'Spells or Powers'!H85),"|",IF(ISBLANK('Spells or Powers'!I85)," ",'Spells or Powers'!I85),"|",IF(ISBLANK('Spells or Powers'!J85)," ",'Spells or Powers'!J85),"|",IF(ISBLANK('Spells or Powers'!K85)," ",'Spells or Powers'!K85),"|",IF(ISBLANK('Spells or Powers'!L85)," ",'Spells or Powers'!L85),"|",IF(ISBLANK('Spells or Powers'!M85)," ",'Spells or Powers'!M85),"|",IF(ISBLANK('Spells or Powers'!N85)," ",'Spells or Powers'!N85),"|",IF(ISBLANK('Spells or Powers'!O85)," ",'Spells or Powers'!O85)))</f>
        <v>||||||||||||||</v>
      </c>
    </row>
    <row r="99" spans="1:1" x14ac:dyDescent="0.2">
      <c r="A99" s="440" t="str">
        <f>IF(ISBLANK('Spells or Powers'!A86),"||||||||||||||",CONCATENATE("[[",IF(ISBLANK('Spells or Powers'!A86)," ",'Spells or Powers'!A86),"|/Meta/Spells/",SUBSTITUTE((SUBSTITUTE(SUBSTITUTE(SUBSTITUTE(SUBSTITUTE(SUBSTITUTE(SUBSTITUTE(SUBSTITUTE(SUBSTITUTE(SUBSTITUTE(SUBSTITUTE(SUBSTITUTE(SUBSTITUTE(SUBSTITUTE(SUBSTITUTE(SUBSTITUTE(SUBSTITUTE('Spells or Powers'!A86,"/",""),"-",""),".",""),",",""),CHAR(34),""),"'",""),"&amp;",""),"*",""),"#",""),"!",""),"?",""),"@",""),":",""),";",""),"(",""),")",""))," ",""),"]]","|",IF(ISBLANK('Spells or Powers'!B86)," ",'Spells or Powers'!B86),"|",IF(ISBLANK('Spells or Powers'!C86)," ",'Spells or Powers'!C86),"|",IF(ISBLANK('Spells or Powers'!D86)," ",'Spells or Powers'!D86),"|",IF(ISBLANK('Spells or Powers'!E86)," ",'Spells or Powers'!E86),"|",IF(ISBLANK('Spells or Powers'!F86)," ",'Spells or Powers'!F86),"|",IF(ISBLANK('Spells or Powers'!G86)," ",'Spells or Powers'!G86),"|",IF(ISBLANK('Spells or Powers'!H86)," ",'Spells or Powers'!H86),"|",IF(ISBLANK('Spells or Powers'!I86)," ",'Spells or Powers'!I86),"|",IF(ISBLANK('Spells or Powers'!J86)," ",'Spells or Powers'!J86),"|",IF(ISBLANK('Spells or Powers'!K86)," ",'Spells or Powers'!K86),"|",IF(ISBLANK('Spells or Powers'!L86)," ",'Spells or Powers'!L86),"|",IF(ISBLANK('Spells or Powers'!M86)," ",'Spells or Powers'!M86),"|",IF(ISBLANK('Spells or Powers'!N86)," ",'Spells or Powers'!N86),"|",IF(ISBLANK('Spells or Powers'!O86)," ",'Spells or Powers'!O86)))</f>
        <v>||||||||||||||</v>
      </c>
    </row>
    <row r="100" spans="1:1" x14ac:dyDescent="0.2">
      <c r="A100" s="440" t="str">
        <f>IF(ISBLANK('Spells or Powers'!A87),"||||||||||||||",CONCATENATE("[[",IF(ISBLANK('Spells or Powers'!A87)," ",'Spells or Powers'!A87),"|/Meta/Spells/",SUBSTITUTE((SUBSTITUTE(SUBSTITUTE(SUBSTITUTE(SUBSTITUTE(SUBSTITUTE(SUBSTITUTE(SUBSTITUTE(SUBSTITUTE(SUBSTITUTE(SUBSTITUTE(SUBSTITUTE(SUBSTITUTE(SUBSTITUTE(SUBSTITUTE(SUBSTITUTE(SUBSTITUTE('Spells or Powers'!A87,"/",""),"-",""),".",""),",",""),CHAR(34),""),"'",""),"&amp;",""),"*",""),"#",""),"!",""),"?",""),"@",""),":",""),";",""),"(",""),")",""))," ",""),"]]","|",IF(ISBLANK('Spells or Powers'!B87)," ",'Spells or Powers'!B87),"|",IF(ISBLANK('Spells or Powers'!C87)," ",'Spells or Powers'!C87),"|",IF(ISBLANK('Spells or Powers'!D87)," ",'Spells or Powers'!D87),"|",IF(ISBLANK('Spells or Powers'!E87)," ",'Spells or Powers'!E87),"|",IF(ISBLANK('Spells or Powers'!F87)," ",'Spells or Powers'!F87),"|",IF(ISBLANK('Spells or Powers'!G87)," ",'Spells or Powers'!G87),"|",IF(ISBLANK('Spells or Powers'!H87)," ",'Spells or Powers'!H87),"|",IF(ISBLANK('Spells or Powers'!I87)," ",'Spells or Powers'!I87),"|",IF(ISBLANK('Spells or Powers'!J87)," ",'Spells or Powers'!J87),"|",IF(ISBLANK('Spells or Powers'!K87)," ",'Spells or Powers'!K87),"|",IF(ISBLANK('Spells or Powers'!L87)," ",'Spells or Powers'!L87),"|",IF(ISBLANK('Spells or Powers'!M87)," ",'Spells or Powers'!M87),"|",IF(ISBLANK('Spells or Powers'!N87)," ",'Spells or Powers'!N87),"|",IF(ISBLANK('Spells or Powers'!O87)," ",'Spells or Powers'!O87)))</f>
        <v>||||||||||||||</v>
      </c>
    </row>
    <row r="101" spans="1:1" x14ac:dyDescent="0.2">
      <c r="A101" s="440" t="str">
        <f>IF(ISBLANK('Spells or Powers'!A88),"||||||||||||||",CONCATENATE("[[",IF(ISBLANK('Spells or Powers'!A88)," ",'Spells or Powers'!A88),"|/Meta/Spells/",SUBSTITUTE((SUBSTITUTE(SUBSTITUTE(SUBSTITUTE(SUBSTITUTE(SUBSTITUTE(SUBSTITUTE(SUBSTITUTE(SUBSTITUTE(SUBSTITUTE(SUBSTITUTE(SUBSTITUTE(SUBSTITUTE(SUBSTITUTE(SUBSTITUTE(SUBSTITUTE(SUBSTITUTE('Spells or Powers'!A88,"/",""),"-",""),".",""),",",""),CHAR(34),""),"'",""),"&amp;",""),"*",""),"#",""),"!",""),"?",""),"@",""),":",""),";",""),"(",""),")",""))," ",""),"]]","|",IF(ISBLANK('Spells or Powers'!B88)," ",'Spells or Powers'!B88),"|",IF(ISBLANK('Spells or Powers'!C88)," ",'Spells or Powers'!C88),"|",IF(ISBLANK('Spells or Powers'!D88)," ",'Spells or Powers'!D88),"|",IF(ISBLANK('Spells or Powers'!E88)," ",'Spells or Powers'!E88),"|",IF(ISBLANK('Spells or Powers'!F88)," ",'Spells or Powers'!F88),"|",IF(ISBLANK('Spells or Powers'!G88)," ",'Spells or Powers'!G88),"|",IF(ISBLANK('Spells or Powers'!H88)," ",'Spells or Powers'!H88),"|",IF(ISBLANK('Spells or Powers'!I88)," ",'Spells or Powers'!I88),"|",IF(ISBLANK('Spells or Powers'!J88)," ",'Spells or Powers'!J88),"|",IF(ISBLANK('Spells or Powers'!K88)," ",'Spells or Powers'!K88),"|",IF(ISBLANK('Spells or Powers'!L88)," ",'Spells or Powers'!L88),"|",IF(ISBLANK('Spells or Powers'!M88)," ",'Spells or Powers'!M88),"|",IF(ISBLANK('Spells or Powers'!N88)," ",'Spells or Powers'!N88),"|",IF(ISBLANK('Spells or Powers'!O88)," ",'Spells or Powers'!O88)))</f>
        <v>||||||||||||||</v>
      </c>
    </row>
    <row r="102" spans="1:1" x14ac:dyDescent="0.2">
      <c r="A102" s="440" t="str">
        <f>IF(ISBLANK('Spells or Powers'!A89),"||||||||||||||",CONCATENATE("[[",IF(ISBLANK('Spells or Powers'!A89)," ",'Spells or Powers'!A89),"|/Meta/Spells/",SUBSTITUTE((SUBSTITUTE(SUBSTITUTE(SUBSTITUTE(SUBSTITUTE(SUBSTITUTE(SUBSTITUTE(SUBSTITUTE(SUBSTITUTE(SUBSTITUTE(SUBSTITUTE(SUBSTITUTE(SUBSTITUTE(SUBSTITUTE(SUBSTITUTE(SUBSTITUTE(SUBSTITUTE('Spells or Powers'!A89,"/",""),"-",""),".",""),",",""),CHAR(34),""),"'",""),"&amp;",""),"*",""),"#",""),"!",""),"?",""),"@",""),":",""),";",""),"(",""),")",""))," ",""),"]]","|",IF(ISBLANK('Spells or Powers'!B89)," ",'Spells or Powers'!B89),"|",IF(ISBLANK('Spells or Powers'!C89)," ",'Spells or Powers'!C89),"|",IF(ISBLANK('Spells or Powers'!D89)," ",'Spells or Powers'!D89),"|",IF(ISBLANK('Spells or Powers'!E89)," ",'Spells or Powers'!E89),"|",IF(ISBLANK('Spells or Powers'!F89)," ",'Spells or Powers'!F89),"|",IF(ISBLANK('Spells or Powers'!G89)," ",'Spells or Powers'!G89),"|",IF(ISBLANK('Spells or Powers'!H89)," ",'Spells or Powers'!H89),"|",IF(ISBLANK('Spells or Powers'!I89)," ",'Spells or Powers'!I89),"|",IF(ISBLANK('Spells or Powers'!J89)," ",'Spells or Powers'!J89),"|",IF(ISBLANK('Spells or Powers'!K89)," ",'Spells or Powers'!K89),"|",IF(ISBLANK('Spells or Powers'!L89)," ",'Spells or Powers'!L89),"|",IF(ISBLANK('Spells or Powers'!M89)," ",'Spells or Powers'!M89),"|",IF(ISBLANK('Spells or Powers'!N89)," ",'Spells or Powers'!N89),"|",IF(ISBLANK('Spells or Powers'!O89)," ",'Spells or Powers'!O89)))</f>
        <v>||||||||||||||</v>
      </c>
    </row>
    <row r="103" spans="1:1" x14ac:dyDescent="0.2">
      <c r="A103" s="440" t="str">
        <f>IF(ISBLANK('Spells or Powers'!A90),"||||||||||||||",CONCATENATE("[[",IF(ISBLANK('Spells or Powers'!A90)," ",'Spells or Powers'!A90),"|/Meta/Spells/",SUBSTITUTE((SUBSTITUTE(SUBSTITUTE(SUBSTITUTE(SUBSTITUTE(SUBSTITUTE(SUBSTITUTE(SUBSTITUTE(SUBSTITUTE(SUBSTITUTE(SUBSTITUTE(SUBSTITUTE(SUBSTITUTE(SUBSTITUTE(SUBSTITUTE(SUBSTITUTE(SUBSTITUTE('Spells or Powers'!A90,"/",""),"-",""),".",""),",",""),CHAR(34),""),"'",""),"&amp;",""),"*",""),"#",""),"!",""),"?",""),"@",""),":",""),";",""),"(",""),")",""))," ",""),"]]","|",IF(ISBLANK('Spells or Powers'!B90)," ",'Spells or Powers'!B90),"|",IF(ISBLANK('Spells or Powers'!C90)," ",'Spells or Powers'!C90),"|",IF(ISBLANK('Spells or Powers'!D90)," ",'Spells or Powers'!D90),"|",IF(ISBLANK('Spells or Powers'!E90)," ",'Spells or Powers'!E90),"|",IF(ISBLANK('Spells or Powers'!F90)," ",'Spells or Powers'!F90),"|",IF(ISBLANK('Spells or Powers'!G90)," ",'Spells or Powers'!G90),"|",IF(ISBLANK('Spells or Powers'!H90)," ",'Spells or Powers'!H90),"|",IF(ISBLANK('Spells or Powers'!I90)," ",'Spells or Powers'!I90),"|",IF(ISBLANK('Spells or Powers'!J90)," ",'Spells or Powers'!J90),"|",IF(ISBLANK('Spells or Powers'!K90)," ",'Spells or Powers'!K90),"|",IF(ISBLANK('Spells or Powers'!L90)," ",'Spells or Powers'!L90),"|",IF(ISBLANK('Spells or Powers'!M90)," ",'Spells or Powers'!M90),"|",IF(ISBLANK('Spells or Powers'!N90)," ",'Spells or Powers'!N90),"|",IF(ISBLANK('Spells or Powers'!O90)," ",'Spells or Powers'!O90)))</f>
        <v>||||||||||||||</v>
      </c>
    </row>
    <row r="104" spans="1:1" x14ac:dyDescent="0.2">
      <c r="A104" s="440" t="str">
        <f>IF(ISBLANK('Spells or Powers'!A91),"||||||||||||||",CONCATENATE("[[",IF(ISBLANK('Spells or Powers'!A91)," ",'Spells or Powers'!A91),"|/Meta/Spells/",SUBSTITUTE((SUBSTITUTE(SUBSTITUTE(SUBSTITUTE(SUBSTITUTE(SUBSTITUTE(SUBSTITUTE(SUBSTITUTE(SUBSTITUTE(SUBSTITUTE(SUBSTITUTE(SUBSTITUTE(SUBSTITUTE(SUBSTITUTE(SUBSTITUTE(SUBSTITUTE(SUBSTITUTE('Spells or Powers'!A91,"/",""),"-",""),".",""),",",""),CHAR(34),""),"'",""),"&amp;",""),"*",""),"#",""),"!",""),"?",""),"@",""),":",""),";",""),"(",""),")",""))," ",""),"]]","|",IF(ISBLANK('Spells or Powers'!B91)," ",'Spells or Powers'!B91),"|",IF(ISBLANK('Spells or Powers'!C91)," ",'Spells or Powers'!C91),"|",IF(ISBLANK('Spells or Powers'!D91)," ",'Spells or Powers'!D91),"|",IF(ISBLANK('Spells or Powers'!E91)," ",'Spells or Powers'!E91),"|",IF(ISBLANK('Spells or Powers'!F91)," ",'Spells or Powers'!F91),"|",IF(ISBLANK('Spells or Powers'!G91)," ",'Spells or Powers'!G91),"|",IF(ISBLANK('Spells or Powers'!H91)," ",'Spells or Powers'!H91),"|",IF(ISBLANK('Spells or Powers'!I91)," ",'Spells or Powers'!I91),"|",IF(ISBLANK('Spells or Powers'!J91)," ",'Spells or Powers'!J91),"|",IF(ISBLANK('Spells or Powers'!K91)," ",'Spells or Powers'!K91),"|",IF(ISBLANK('Spells or Powers'!L91)," ",'Spells or Powers'!L91),"|",IF(ISBLANK('Spells or Powers'!M91)," ",'Spells or Powers'!M91),"|",IF(ISBLANK('Spells or Powers'!N91)," ",'Spells or Powers'!N91),"|",IF(ISBLANK('Spells or Powers'!O91)," ",'Spells or Powers'!O91)))</f>
        <v>||||||||||||||</v>
      </c>
    </row>
    <row r="105" spans="1:1" x14ac:dyDescent="0.2">
      <c r="A105" s="440" t="str">
        <f>IF(ISBLANK('Spells or Powers'!A92),"||||||||||||||",CONCATENATE("[[",IF(ISBLANK('Spells or Powers'!A92)," ",'Spells or Powers'!A92),"|/Meta/Spells/",SUBSTITUTE((SUBSTITUTE(SUBSTITUTE(SUBSTITUTE(SUBSTITUTE(SUBSTITUTE(SUBSTITUTE(SUBSTITUTE(SUBSTITUTE(SUBSTITUTE(SUBSTITUTE(SUBSTITUTE(SUBSTITUTE(SUBSTITUTE(SUBSTITUTE(SUBSTITUTE(SUBSTITUTE('Spells or Powers'!A92,"/",""),"-",""),".",""),",",""),CHAR(34),""),"'",""),"&amp;",""),"*",""),"#",""),"!",""),"?",""),"@",""),":",""),";",""),"(",""),")",""))," ",""),"]]","|",IF(ISBLANK('Spells or Powers'!B92)," ",'Spells or Powers'!B92),"|",IF(ISBLANK('Spells or Powers'!C92)," ",'Spells or Powers'!C92),"|",IF(ISBLANK('Spells or Powers'!D92)," ",'Spells or Powers'!D92),"|",IF(ISBLANK('Spells or Powers'!E92)," ",'Spells or Powers'!E92),"|",IF(ISBLANK('Spells or Powers'!F92)," ",'Spells or Powers'!F92),"|",IF(ISBLANK('Spells or Powers'!G92)," ",'Spells or Powers'!G92),"|",IF(ISBLANK('Spells or Powers'!H92)," ",'Spells or Powers'!H92),"|",IF(ISBLANK('Spells or Powers'!I92)," ",'Spells or Powers'!I92),"|",IF(ISBLANK('Spells or Powers'!J92)," ",'Spells or Powers'!J92),"|",IF(ISBLANK('Spells or Powers'!K92)," ",'Spells or Powers'!K92),"|",IF(ISBLANK('Spells or Powers'!L92)," ",'Spells or Powers'!L92),"|",IF(ISBLANK('Spells or Powers'!M92)," ",'Spells or Powers'!M92),"|",IF(ISBLANK('Spells or Powers'!N92)," ",'Spells or Powers'!N92),"|",IF(ISBLANK('Spells or Powers'!O92)," ",'Spells or Powers'!O92)))</f>
        <v>||||||||||||||</v>
      </c>
    </row>
    <row r="106" spans="1:1" x14ac:dyDescent="0.2">
      <c r="A106" s="440" t="str">
        <f>IF(ISBLANK('Spells or Powers'!A93),"||||||||||||||",CONCATENATE("[[",IF(ISBLANK('Spells or Powers'!A93)," ",'Spells or Powers'!A93),"|/Meta/Spells/",SUBSTITUTE((SUBSTITUTE(SUBSTITUTE(SUBSTITUTE(SUBSTITUTE(SUBSTITUTE(SUBSTITUTE(SUBSTITUTE(SUBSTITUTE(SUBSTITUTE(SUBSTITUTE(SUBSTITUTE(SUBSTITUTE(SUBSTITUTE(SUBSTITUTE(SUBSTITUTE(SUBSTITUTE('Spells or Powers'!A93,"/",""),"-",""),".",""),",",""),CHAR(34),""),"'",""),"&amp;",""),"*",""),"#",""),"!",""),"?",""),"@",""),":",""),";",""),"(",""),")",""))," ",""),"]]","|",IF(ISBLANK('Spells or Powers'!B93)," ",'Spells or Powers'!B93),"|",IF(ISBLANK('Spells or Powers'!C93)," ",'Spells or Powers'!C93),"|",IF(ISBLANK('Spells or Powers'!D93)," ",'Spells or Powers'!D93),"|",IF(ISBLANK('Spells or Powers'!E93)," ",'Spells or Powers'!E93),"|",IF(ISBLANK('Spells or Powers'!F93)," ",'Spells or Powers'!F93),"|",IF(ISBLANK('Spells or Powers'!G93)," ",'Spells or Powers'!G93),"|",IF(ISBLANK('Spells or Powers'!H93)," ",'Spells or Powers'!H93),"|",IF(ISBLANK('Spells or Powers'!I93)," ",'Spells or Powers'!I93),"|",IF(ISBLANK('Spells or Powers'!J93)," ",'Spells or Powers'!J93),"|",IF(ISBLANK('Spells or Powers'!K93)," ",'Spells or Powers'!K93),"|",IF(ISBLANK('Spells or Powers'!L93)," ",'Spells or Powers'!L93),"|",IF(ISBLANK('Spells or Powers'!M93)," ",'Spells or Powers'!M93),"|",IF(ISBLANK('Spells or Powers'!N93)," ",'Spells or Powers'!N93),"|",IF(ISBLANK('Spells or Powers'!O93)," ",'Spells or Powers'!O93)))</f>
        <v>||||||||||||||</v>
      </c>
    </row>
    <row r="107" spans="1:1" x14ac:dyDescent="0.2">
      <c r="A107" s="440" t="str">
        <f>IF(ISBLANK('Spells or Powers'!A94),"||||||||||||||",CONCATENATE("[[",IF(ISBLANK('Spells or Powers'!A94)," ",'Spells or Powers'!A94),"|/Meta/Spells/",SUBSTITUTE((SUBSTITUTE(SUBSTITUTE(SUBSTITUTE(SUBSTITUTE(SUBSTITUTE(SUBSTITUTE(SUBSTITUTE(SUBSTITUTE(SUBSTITUTE(SUBSTITUTE(SUBSTITUTE(SUBSTITUTE(SUBSTITUTE(SUBSTITUTE(SUBSTITUTE(SUBSTITUTE('Spells or Powers'!A94,"/",""),"-",""),".",""),",",""),CHAR(34),""),"'",""),"&amp;",""),"*",""),"#",""),"!",""),"?",""),"@",""),":",""),";",""),"(",""),")",""))," ",""),"]]","|",IF(ISBLANK('Spells or Powers'!B94)," ",'Spells or Powers'!B94),"|",IF(ISBLANK('Spells or Powers'!C94)," ",'Spells or Powers'!C94),"|",IF(ISBLANK('Spells or Powers'!D94)," ",'Spells or Powers'!D94),"|",IF(ISBLANK('Spells or Powers'!E94)," ",'Spells or Powers'!E94),"|",IF(ISBLANK('Spells or Powers'!F94)," ",'Spells or Powers'!F94),"|",IF(ISBLANK('Spells or Powers'!G94)," ",'Spells or Powers'!G94),"|",IF(ISBLANK('Spells or Powers'!H94)," ",'Spells or Powers'!H94),"|",IF(ISBLANK('Spells or Powers'!I94)," ",'Spells or Powers'!I94),"|",IF(ISBLANK('Spells or Powers'!J94)," ",'Spells or Powers'!J94),"|",IF(ISBLANK('Spells or Powers'!K94)," ",'Spells or Powers'!K94),"|",IF(ISBLANK('Spells or Powers'!L94)," ",'Spells or Powers'!L94),"|",IF(ISBLANK('Spells or Powers'!M94)," ",'Spells or Powers'!M94),"|",IF(ISBLANK('Spells or Powers'!N94)," ",'Spells or Powers'!N94),"|",IF(ISBLANK('Spells or Powers'!O94)," ",'Spells or Powers'!O94)))</f>
        <v>||||||||||||||</v>
      </c>
    </row>
    <row r="108" spans="1:1" x14ac:dyDescent="0.2">
      <c r="A108" s="440" t="str">
        <f>IF(ISBLANK('Spells or Powers'!A95),"||||||||||||||",CONCATENATE("[[",IF(ISBLANK('Spells or Powers'!A95)," ",'Spells or Powers'!A95),"|/Meta/Spells/",SUBSTITUTE((SUBSTITUTE(SUBSTITUTE(SUBSTITUTE(SUBSTITUTE(SUBSTITUTE(SUBSTITUTE(SUBSTITUTE(SUBSTITUTE(SUBSTITUTE(SUBSTITUTE(SUBSTITUTE(SUBSTITUTE(SUBSTITUTE(SUBSTITUTE(SUBSTITUTE(SUBSTITUTE('Spells or Powers'!A95,"/",""),"-",""),".",""),",",""),CHAR(34),""),"'",""),"&amp;",""),"*",""),"#",""),"!",""),"?",""),"@",""),":",""),";",""),"(",""),")",""))," ",""),"]]","|",IF(ISBLANK('Spells or Powers'!B95)," ",'Spells or Powers'!B95),"|",IF(ISBLANK('Spells or Powers'!C95)," ",'Spells or Powers'!C95),"|",IF(ISBLANK('Spells or Powers'!D95)," ",'Spells or Powers'!D95),"|",IF(ISBLANK('Spells or Powers'!E95)," ",'Spells or Powers'!E95),"|",IF(ISBLANK('Spells or Powers'!F95)," ",'Spells or Powers'!F95),"|",IF(ISBLANK('Spells or Powers'!G95)," ",'Spells or Powers'!G95),"|",IF(ISBLANK('Spells or Powers'!H95)," ",'Spells or Powers'!H95),"|",IF(ISBLANK('Spells or Powers'!I95)," ",'Spells or Powers'!I95),"|",IF(ISBLANK('Spells or Powers'!J95)," ",'Spells or Powers'!J95),"|",IF(ISBLANK('Spells or Powers'!K95)," ",'Spells or Powers'!K95),"|",IF(ISBLANK('Spells or Powers'!L95)," ",'Spells or Powers'!L95),"|",IF(ISBLANK('Spells or Powers'!M95)," ",'Spells or Powers'!M95),"|",IF(ISBLANK('Spells or Powers'!N95)," ",'Spells or Powers'!N95),"|",IF(ISBLANK('Spells or Powers'!O95)," ",'Spells or Powers'!O95)))</f>
        <v>||||||||||||||</v>
      </c>
    </row>
    <row r="109" spans="1:1" x14ac:dyDescent="0.2">
      <c r="A109" s="440" t="str">
        <f>IF(ISBLANK('Spells or Powers'!A96),"||||||||||||||",CONCATENATE("[[",IF(ISBLANK('Spells or Powers'!A96)," ",'Spells or Powers'!A96),"|/Meta/Spells/",SUBSTITUTE((SUBSTITUTE(SUBSTITUTE(SUBSTITUTE(SUBSTITUTE(SUBSTITUTE(SUBSTITUTE(SUBSTITUTE(SUBSTITUTE(SUBSTITUTE(SUBSTITUTE(SUBSTITUTE(SUBSTITUTE(SUBSTITUTE(SUBSTITUTE(SUBSTITUTE(SUBSTITUTE('Spells or Powers'!A96,"/",""),"-",""),".",""),",",""),CHAR(34),""),"'",""),"&amp;",""),"*",""),"#",""),"!",""),"?",""),"@",""),":",""),";",""),"(",""),")",""))," ",""),"]]","|",IF(ISBLANK('Spells or Powers'!B96)," ",'Spells or Powers'!B96),"|",IF(ISBLANK('Spells or Powers'!C96)," ",'Spells or Powers'!C96),"|",IF(ISBLANK('Spells or Powers'!D96)," ",'Spells or Powers'!D96),"|",IF(ISBLANK('Spells or Powers'!E96)," ",'Spells or Powers'!E96),"|",IF(ISBLANK('Spells or Powers'!F96)," ",'Spells or Powers'!F96),"|",IF(ISBLANK('Spells or Powers'!G96)," ",'Spells or Powers'!G96),"|",IF(ISBLANK('Spells or Powers'!H96)," ",'Spells or Powers'!H96),"|",IF(ISBLANK('Spells or Powers'!I96)," ",'Spells or Powers'!I96),"|",IF(ISBLANK('Spells or Powers'!J96)," ",'Spells or Powers'!J96),"|",IF(ISBLANK('Spells or Powers'!K96)," ",'Spells or Powers'!K96),"|",IF(ISBLANK('Spells or Powers'!L96)," ",'Spells or Powers'!L96),"|",IF(ISBLANK('Spells or Powers'!M96)," ",'Spells or Powers'!M96),"|",IF(ISBLANK('Spells or Powers'!N96)," ",'Spells or Powers'!N96),"|",IF(ISBLANK('Spells or Powers'!O96)," ",'Spells or Powers'!O96)))</f>
        <v>||||||||||||||</v>
      </c>
    </row>
    <row r="110" spans="1:1" x14ac:dyDescent="0.2">
      <c r="A110" s="440" t="str">
        <f>IF(ISBLANK('Spells or Powers'!A97),"||||||||||||||",CONCATENATE("[[",IF(ISBLANK('Spells or Powers'!A97)," ",'Spells or Powers'!A97),"|/Meta/Spells/",SUBSTITUTE((SUBSTITUTE(SUBSTITUTE(SUBSTITUTE(SUBSTITUTE(SUBSTITUTE(SUBSTITUTE(SUBSTITUTE(SUBSTITUTE(SUBSTITUTE(SUBSTITUTE(SUBSTITUTE(SUBSTITUTE(SUBSTITUTE(SUBSTITUTE(SUBSTITUTE(SUBSTITUTE('Spells or Powers'!A97,"/",""),"-",""),".",""),",",""),CHAR(34),""),"'",""),"&amp;",""),"*",""),"#",""),"!",""),"?",""),"@",""),":",""),";",""),"(",""),")",""))," ",""),"]]","|",IF(ISBLANK('Spells or Powers'!B97)," ",'Spells or Powers'!B97),"|",IF(ISBLANK('Spells or Powers'!C97)," ",'Spells or Powers'!C97),"|",IF(ISBLANK('Spells or Powers'!D97)," ",'Spells or Powers'!D97),"|",IF(ISBLANK('Spells or Powers'!E97)," ",'Spells or Powers'!E97),"|",IF(ISBLANK('Spells or Powers'!F97)," ",'Spells or Powers'!F97),"|",IF(ISBLANK('Spells or Powers'!G97)," ",'Spells or Powers'!G97),"|",IF(ISBLANK('Spells or Powers'!H97)," ",'Spells or Powers'!H97),"|",IF(ISBLANK('Spells or Powers'!I97)," ",'Spells or Powers'!I97),"|",IF(ISBLANK('Spells or Powers'!J97)," ",'Spells or Powers'!J97),"|",IF(ISBLANK('Spells or Powers'!K97)," ",'Spells or Powers'!K97),"|",IF(ISBLANK('Spells or Powers'!L97)," ",'Spells or Powers'!L97),"|",IF(ISBLANK('Spells or Powers'!M97)," ",'Spells or Powers'!M97),"|",IF(ISBLANK('Spells or Powers'!N97)," ",'Spells or Powers'!N97),"|",IF(ISBLANK('Spells or Powers'!O97)," ",'Spells or Powers'!O97)))</f>
        <v>||||||||||||||</v>
      </c>
    </row>
    <row r="111" spans="1:1" x14ac:dyDescent="0.2">
      <c r="A111" s="440" t="str">
        <f>IF(ISBLANK('Spells or Powers'!A98),"||||||||||||||",CONCATENATE("[[",IF(ISBLANK('Spells or Powers'!A98)," ",'Spells or Powers'!A98),"|/Meta/Spells/",SUBSTITUTE((SUBSTITUTE(SUBSTITUTE(SUBSTITUTE(SUBSTITUTE(SUBSTITUTE(SUBSTITUTE(SUBSTITUTE(SUBSTITUTE(SUBSTITUTE(SUBSTITUTE(SUBSTITUTE(SUBSTITUTE(SUBSTITUTE(SUBSTITUTE(SUBSTITUTE(SUBSTITUTE('Spells or Powers'!A98,"/",""),"-",""),".",""),",",""),CHAR(34),""),"'",""),"&amp;",""),"*",""),"#",""),"!",""),"?",""),"@",""),":",""),";",""),"(",""),")",""))," ",""),"]]","|",IF(ISBLANK('Spells or Powers'!B98)," ",'Spells or Powers'!B98),"|",IF(ISBLANK('Spells or Powers'!C98)," ",'Spells or Powers'!C98),"|",IF(ISBLANK('Spells or Powers'!D98)," ",'Spells or Powers'!D98),"|",IF(ISBLANK('Spells or Powers'!E98)," ",'Spells or Powers'!E98),"|",IF(ISBLANK('Spells or Powers'!F98)," ",'Spells or Powers'!F98),"|",IF(ISBLANK('Spells or Powers'!G98)," ",'Spells or Powers'!G98),"|",IF(ISBLANK('Spells or Powers'!H98)," ",'Spells or Powers'!H98),"|",IF(ISBLANK('Spells or Powers'!I98)," ",'Spells or Powers'!I98),"|",IF(ISBLANK('Spells or Powers'!J98)," ",'Spells or Powers'!J98),"|",IF(ISBLANK('Spells or Powers'!K98)," ",'Spells or Powers'!K98),"|",IF(ISBLANK('Spells or Powers'!L98)," ",'Spells or Powers'!L98),"|",IF(ISBLANK('Spells or Powers'!M98)," ",'Spells or Powers'!M98),"|",IF(ISBLANK('Spells or Powers'!N98)," ",'Spells or Powers'!N98),"|",IF(ISBLANK('Spells or Powers'!O98)," ",'Spells or Powers'!O98)))</f>
        <v>||||||||||||||</v>
      </c>
    </row>
    <row r="112" spans="1:1" x14ac:dyDescent="0.2">
      <c r="A112" s="440" t="str">
        <f>IF(ISBLANK('Spells or Powers'!A99),"||||||||||||||",CONCATENATE("[[",IF(ISBLANK('Spells or Powers'!A99)," ",'Spells or Powers'!A99),"|/Meta/Spells/",SUBSTITUTE((SUBSTITUTE(SUBSTITUTE(SUBSTITUTE(SUBSTITUTE(SUBSTITUTE(SUBSTITUTE(SUBSTITUTE(SUBSTITUTE(SUBSTITUTE(SUBSTITUTE(SUBSTITUTE(SUBSTITUTE(SUBSTITUTE(SUBSTITUTE(SUBSTITUTE(SUBSTITUTE('Spells or Powers'!A99,"/",""),"-",""),".",""),",",""),CHAR(34),""),"'",""),"&amp;",""),"*",""),"#",""),"!",""),"?",""),"@",""),":",""),";",""),"(",""),")",""))," ",""),"]]","|",IF(ISBLANK('Spells or Powers'!B99)," ",'Spells or Powers'!B99),"|",IF(ISBLANK('Spells or Powers'!C99)," ",'Spells or Powers'!C99),"|",IF(ISBLANK('Spells or Powers'!D99)," ",'Spells or Powers'!D99),"|",IF(ISBLANK('Spells or Powers'!E99)," ",'Spells or Powers'!E99),"|",IF(ISBLANK('Spells or Powers'!F99)," ",'Spells or Powers'!F99),"|",IF(ISBLANK('Spells or Powers'!G99)," ",'Spells or Powers'!G99),"|",IF(ISBLANK('Spells or Powers'!H99)," ",'Spells or Powers'!H99),"|",IF(ISBLANK('Spells or Powers'!I99)," ",'Spells or Powers'!I99),"|",IF(ISBLANK('Spells or Powers'!J99)," ",'Spells or Powers'!J99),"|",IF(ISBLANK('Spells or Powers'!K99)," ",'Spells or Powers'!K99),"|",IF(ISBLANK('Spells or Powers'!L99)," ",'Spells or Powers'!L99),"|",IF(ISBLANK('Spells or Powers'!M99)," ",'Spells or Powers'!M99),"|",IF(ISBLANK('Spells or Powers'!N99)," ",'Spells or Powers'!N99),"|",IF(ISBLANK('Spells or Powers'!O99)," ",'Spells or Powers'!O99)))</f>
        <v>||||||||||||||</v>
      </c>
    </row>
    <row r="113" spans="1:1" x14ac:dyDescent="0.2">
      <c r="A113" s="440" t="str">
        <f>IF(ISBLANK('Spells or Powers'!A100),"||||||||||||||",CONCATENATE("[[",IF(ISBLANK('Spells or Powers'!A100)," ",'Spells or Powers'!A100),"|/Meta/Spells/",SUBSTITUTE((SUBSTITUTE(SUBSTITUTE(SUBSTITUTE(SUBSTITUTE(SUBSTITUTE(SUBSTITUTE(SUBSTITUTE(SUBSTITUTE(SUBSTITUTE(SUBSTITUTE(SUBSTITUTE(SUBSTITUTE(SUBSTITUTE(SUBSTITUTE(SUBSTITUTE(SUBSTITUTE('Spells or Powers'!A100,"/",""),"-",""),".",""),",",""),CHAR(34),""),"'",""),"&amp;",""),"*",""),"#",""),"!",""),"?",""),"@",""),":",""),";",""),"(",""),")",""))," ",""),"]]","|",IF(ISBLANK('Spells or Powers'!B100)," ",'Spells or Powers'!B100),"|",IF(ISBLANK('Spells or Powers'!C100)," ",'Spells or Powers'!C100),"|",IF(ISBLANK('Spells or Powers'!D100)," ",'Spells or Powers'!D100),"|",IF(ISBLANK('Spells or Powers'!E100)," ",'Spells or Powers'!E100),"|",IF(ISBLANK('Spells or Powers'!F100)," ",'Spells or Powers'!F100),"|",IF(ISBLANK('Spells or Powers'!G100)," ",'Spells or Powers'!G100),"|",IF(ISBLANK('Spells or Powers'!H100)," ",'Spells or Powers'!H100),"|",IF(ISBLANK('Spells or Powers'!I100)," ",'Spells or Powers'!I100),"|",IF(ISBLANK('Spells or Powers'!J100)," ",'Spells or Powers'!J100),"|",IF(ISBLANK('Spells or Powers'!K100)," ",'Spells or Powers'!K100),"|",IF(ISBLANK('Spells or Powers'!L100)," ",'Spells or Powers'!L100),"|",IF(ISBLANK('Spells or Powers'!M100)," ",'Spells or Powers'!M100),"|",IF(ISBLANK('Spells or Powers'!N100)," ",'Spells or Powers'!N100),"|",IF(ISBLANK('Spells or Powers'!O100)," ",'Spells or Powers'!O100)))</f>
        <v>||||||||||||||</v>
      </c>
    </row>
    <row r="114" spans="1:1" x14ac:dyDescent="0.2">
      <c r="A114" s="440" t="str">
        <f>IF(ISBLANK('Spells or Powers'!A101),"||||||||||||||",CONCATENATE("[[",IF(ISBLANK('Spells or Powers'!A101)," ",'Spells or Powers'!A101),"|/Meta/Spells/",SUBSTITUTE((SUBSTITUTE(SUBSTITUTE(SUBSTITUTE(SUBSTITUTE(SUBSTITUTE(SUBSTITUTE(SUBSTITUTE(SUBSTITUTE(SUBSTITUTE(SUBSTITUTE(SUBSTITUTE(SUBSTITUTE(SUBSTITUTE(SUBSTITUTE(SUBSTITUTE(SUBSTITUTE('Spells or Powers'!A101,"/",""),"-",""),".",""),",",""),CHAR(34),""),"'",""),"&amp;",""),"*",""),"#",""),"!",""),"?",""),"@",""),":",""),";",""),"(",""),")",""))," ",""),"]]","|",IF(ISBLANK('Spells or Powers'!B101)," ",'Spells or Powers'!B101),"|",IF(ISBLANK('Spells or Powers'!C101)," ",'Spells or Powers'!C101),"|",IF(ISBLANK('Spells or Powers'!D101)," ",'Spells or Powers'!D101),"|",IF(ISBLANK('Spells or Powers'!E101)," ",'Spells or Powers'!E101),"|",IF(ISBLANK('Spells or Powers'!F101)," ",'Spells or Powers'!F101),"|",IF(ISBLANK('Spells or Powers'!G101)," ",'Spells or Powers'!G101),"|",IF(ISBLANK('Spells or Powers'!H101)," ",'Spells or Powers'!H101),"|",IF(ISBLANK('Spells or Powers'!I101)," ",'Spells or Powers'!I101),"|",IF(ISBLANK('Spells or Powers'!J101)," ",'Spells or Powers'!J101),"|",IF(ISBLANK('Spells or Powers'!K101)," ",'Spells or Powers'!K101),"|",IF(ISBLANK('Spells or Powers'!L101)," ",'Spells or Powers'!L101),"|",IF(ISBLANK('Spells or Powers'!M101)," ",'Spells or Powers'!M101),"|",IF(ISBLANK('Spells or Powers'!N101)," ",'Spells or Powers'!N101),"|",IF(ISBLANK('Spells or Powers'!O101)," ",'Spells or Powers'!O101)))</f>
        <v>||||||||||||||</v>
      </c>
    </row>
    <row r="115" spans="1:1" x14ac:dyDescent="0.2">
      <c r="A115" s="440" t="str">
        <f>IF(ISBLANK('Spells or Powers'!A102),"||||||||||||||",CONCATENATE("[[",IF(ISBLANK('Spells or Powers'!A102)," ",'Spells or Powers'!A102),"|/Meta/Spells/",SUBSTITUTE((SUBSTITUTE(SUBSTITUTE(SUBSTITUTE(SUBSTITUTE(SUBSTITUTE(SUBSTITUTE(SUBSTITUTE(SUBSTITUTE(SUBSTITUTE(SUBSTITUTE(SUBSTITUTE(SUBSTITUTE(SUBSTITUTE(SUBSTITUTE(SUBSTITUTE(SUBSTITUTE('Spells or Powers'!A102,"/",""),"-",""),".",""),",",""),CHAR(34),""),"'",""),"&amp;",""),"*",""),"#",""),"!",""),"?",""),"@",""),":",""),";",""),"(",""),")",""))," ",""),"]]","|",IF(ISBLANK('Spells or Powers'!B102)," ",'Spells or Powers'!B102),"|",IF(ISBLANK('Spells or Powers'!C102)," ",'Spells or Powers'!C102),"|",IF(ISBLANK('Spells or Powers'!D102)," ",'Spells or Powers'!D102),"|",IF(ISBLANK('Spells or Powers'!E102)," ",'Spells or Powers'!E102),"|",IF(ISBLANK('Spells or Powers'!F102)," ",'Spells or Powers'!F102),"|",IF(ISBLANK('Spells or Powers'!G102)," ",'Spells or Powers'!G102),"|",IF(ISBLANK('Spells or Powers'!H102)," ",'Spells or Powers'!H102),"|",IF(ISBLANK('Spells or Powers'!I102)," ",'Spells or Powers'!I102),"|",IF(ISBLANK('Spells or Powers'!J102)," ",'Spells or Powers'!J102),"|",IF(ISBLANK('Spells or Powers'!K102)," ",'Spells or Powers'!K102),"|",IF(ISBLANK('Spells or Powers'!L102)," ",'Spells or Powers'!L102),"|",IF(ISBLANK('Spells or Powers'!M102)," ",'Spells or Powers'!M102),"|",IF(ISBLANK('Spells or Powers'!N102)," ",'Spells or Powers'!N102),"|",IF(ISBLANK('Spells or Powers'!O102)," ",'Spells or Powers'!O102)))</f>
        <v>||||||||||||||</v>
      </c>
    </row>
    <row r="116" spans="1:1" x14ac:dyDescent="0.2">
      <c r="A116" s="440" t="str">
        <f>IF(ISBLANK('Spells or Powers'!A103),"||||||||||||||",CONCATENATE("[[",IF(ISBLANK('Spells or Powers'!A103)," ",'Spells or Powers'!A103),"|/Meta/Spells/",SUBSTITUTE((SUBSTITUTE(SUBSTITUTE(SUBSTITUTE(SUBSTITUTE(SUBSTITUTE(SUBSTITUTE(SUBSTITUTE(SUBSTITUTE(SUBSTITUTE(SUBSTITUTE(SUBSTITUTE(SUBSTITUTE(SUBSTITUTE(SUBSTITUTE(SUBSTITUTE(SUBSTITUTE('Spells or Powers'!A103,"/",""),"-",""),".",""),",",""),CHAR(34),""),"'",""),"&amp;",""),"*",""),"#",""),"!",""),"?",""),"@",""),":",""),";",""),"(",""),")",""))," ",""),"]]","|",IF(ISBLANK('Spells or Powers'!B103)," ",'Spells or Powers'!B103),"|",IF(ISBLANK('Spells or Powers'!C103)," ",'Spells or Powers'!C103),"|",IF(ISBLANK('Spells or Powers'!D103)," ",'Spells or Powers'!D103),"|",IF(ISBLANK('Spells or Powers'!E103)," ",'Spells or Powers'!E103),"|",IF(ISBLANK('Spells or Powers'!F103)," ",'Spells or Powers'!F103),"|",IF(ISBLANK('Spells or Powers'!G103)," ",'Spells or Powers'!G103),"|",IF(ISBLANK('Spells or Powers'!H103)," ",'Spells or Powers'!H103),"|",IF(ISBLANK('Spells or Powers'!I103)," ",'Spells or Powers'!I103),"|",IF(ISBLANK('Spells or Powers'!J103)," ",'Spells or Powers'!J103),"|",IF(ISBLANK('Spells or Powers'!K103)," ",'Spells or Powers'!K103),"|",IF(ISBLANK('Spells or Powers'!L103)," ",'Spells or Powers'!L103),"|",IF(ISBLANK('Spells or Powers'!M103)," ",'Spells or Powers'!M103),"|",IF(ISBLANK('Spells or Powers'!N103)," ",'Spells or Powers'!N103),"|",IF(ISBLANK('Spells or Powers'!O103)," ",'Spells or Powers'!O103)))</f>
        <v>||||||||||||||</v>
      </c>
    </row>
    <row r="117" spans="1:1" x14ac:dyDescent="0.2">
      <c r="A117" s="440" t="str">
        <f>IF(ISBLANK('Spells or Powers'!A104),"||||||||||||||",CONCATENATE("[[",IF(ISBLANK('Spells or Powers'!A104)," ",'Spells or Powers'!A104),"|/Meta/Spells/",SUBSTITUTE((SUBSTITUTE(SUBSTITUTE(SUBSTITUTE(SUBSTITUTE(SUBSTITUTE(SUBSTITUTE(SUBSTITUTE(SUBSTITUTE(SUBSTITUTE(SUBSTITUTE(SUBSTITUTE(SUBSTITUTE(SUBSTITUTE(SUBSTITUTE(SUBSTITUTE(SUBSTITUTE('Spells or Powers'!A104,"/",""),"-",""),".",""),",",""),CHAR(34),""),"'",""),"&amp;",""),"*",""),"#",""),"!",""),"?",""),"@",""),":",""),";",""),"(",""),")",""))," ",""),"]]","|",IF(ISBLANK('Spells or Powers'!B104)," ",'Spells or Powers'!B104),"|",IF(ISBLANK('Spells or Powers'!C104)," ",'Spells or Powers'!C104),"|",IF(ISBLANK('Spells or Powers'!D104)," ",'Spells or Powers'!D104),"|",IF(ISBLANK('Spells or Powers'!E104)," ",'Spells or Powers'!E104),"|",IF(ISBLANK('Spells or Powers'!F104)," ",'Spells or Powers'!F104),"|",IF(ISBLANK('Spells or Powers'!G104)," ",'Spells or Powers'!G104),"|",IF(ISBLANK('Spells or Powers'!H104)," ",'Spells or Powers'!H104),"|",IF(ISBLANK('Spells or Powers'!I104)," ",'Spells or Powers'!I104),"|",IF(ISBLANK('Spells or Powers'!J104)," ",'Spells or Powers'!J104),"|",IF(ISBLANK('Spells or Powers'!K104)," ",'Spells or Powers'!K104),"|",IF(ISBLANK('Spells or Powers'!L104)," ",'Spells or Powers'!L104),"|",IF(ISBLANK('Spells or Powers'!M104)," ",'Spells or Powers'!M104),"|",IF(ISBLANK('Spells or Powers'!N104)," ",'Spells or Powers'!N104),"|",IF(ISBLANK('Spells or Powers'!O104)," ",'Spells or Powers'!O104)))</f>
        <v>||||||||||||||</v>
      </c>
    </row>
    <row r="118" spans="1:1" x14ac:dyDescent="0.2">
      <c r="A118" s="440" t="str">
        <f>IF(ISBLANK('Spells or Powers'!A105),"||||||||||||||",CONCATENATE("[[",IF(ISBLANK('Spells or Powers'!A105)," ",'Spells or Powers'!A105),"|/Meta/Spells/",SUBSTITUTE((SUBSTITUTE(SUBSTITUTE(SUBSTITUTE(SUBSTITUTE(SUBSTITUTE(SUBSTITUTE(SUBSTITUTE(SUBSTITUTE(SUBSTITUTE(SUBSTITUTE(SUBSTITUTE(SUBSTITUTE(SUBSTITUTE(SUBSTITUTE(SUBSTITUTE(SUBSTITUTE('Spells or Powers'!A105,"/",""),"-",""),".",""),",",""),CHAR(34),""),"'",""),"&amp;",""),"*",""),"#",""),"!",""),"?",""),"@",""),":",""),";",""),"(",""),")",""))," ",""),"]]","|",IF(ISBLANK('Spells or Powers'!B105)," ",'Spells or Powers'!B105),"|",IF(ISBLANK('Spells or Powers'!C105)," ",'Spells or Powers'!C105),"|",IF(ISBLANK('Spells or Powers'!D105)," ",'Spells or Powers'!D105),"|",IF(ISBLANK('Spells or Powers'!E105)," ",'Spells or Powers'!E105),"|",IF(ISBLANK('Spells or Powers'!F105)," ",'Spells or Powers'!F105),"|",IF(ISBLANK('Spells or Powers'!G105)," ",'Spells or Powers'!G105),"|",IF(ISBLANK('Spells or Powers'!H105)," ",'Spells or Powers'!H105),"|",IF(ISBLANK('Spells or Powers'!I105)," ",'Spells or Powers'!I105),"|",IF(ISBLANK('Spells or Powers'!J105)," ",'Spells or Powers'!J105),"|",IF(ISBLANK('Spells or Powers'!K105)," ",'Spells or Powers'!K105),"|",IF(ISBLANK('Spells or Powers'!L105)," ",'Spells or Powers'!L105),"|",IF(ISBLANK('Spells or Powers'!M105)," ",'Spells or Powers'!M105),"|",IF(ISBLANK('Spells or Powers'!N105)," ",'Spells or Powers'!N105),"|",IF(ISBLANK('Spells or Powers'!O105)," ",'Spells or Powers'!O105)))</f>
        <v>||||||||||||||</v>
      </c>
    </row>
    <row r="119" spans="1:1" x14ac:dyDescent="0.2">
      <c r="A119" s="440" t="str">
        <f>IF(ISBLANK('Spells or Powers'!A106),"||||||||||||||",CONCATENATE("[[",IF(ISBLANK('Spells or Powers'!A106)," ",'Spells or Powers'!A106),"|/Meta/Spells/",SUBSTITUTE((SUBSTITUTE(SUBSTITUTE(SUBSTITUTE(SUBSTITUTE(SUBSTITUTE(SUBSTITUTE(SUBSTITUTE(SUBSTITUTE(SUBSTITUTE(SUBSTITUTE(SUBSTITUTE(SUBSTITUTE(SUBSTITUTE(SUBSTITUTE(SUBSTITUTE(SUBSTITUTE('Spells or Powers'!A106,"/",""),"-",""),".",""),",",""),CHAR(34),""),"'",""),"&amp;",""),"*",""),"#",""),"!",""),"?",""),"@",""),":",""),";",""),"(",""),")",""))," ",""),"]]","|",IF(ISBLANK('Spells or Powers'!B106)," ",'Spells or Powers'!B106),"|",IF(ISBLANK('Spells or Powers'!C106)," ",'Spells or Powers'!C106),"|",IF(ISBLANK('Spells or Powers'!D106)," ",'Spells or Powers'!D106),"|",IF(ISBLANK('Spells or Powers'!E106)," ",'Spells or Powers'!E106),"|",IF(ISBLANK('Spells or Powers'!F106)," ",'Spells or Powers'!F106),"|",IF(ISBLANK('Spells or Powers'!G106)," ",'Spells or Powers'!G106),"|",IF(ISBLANK('Spells or Powers'!H106)," ",'Spells or Powers'!H106),"|",IF(ISBLANK('Spells or Powers'!I106)," ",'Spells or Powers'!I106),"|",IF(ISBLANK('Spells or Powers'!J106)," ",'Spells or Powers'!J106),"|",IF(ISBLANK('Spells or Powers'!K106)," ",'Spells or Powers'!K106),"|",IF(ISBLANK('Spells or Powers'!L106)," ",'Spells or Powers'!L106),"|",IF(ISBLANK('Spells or Powers'!M106)," ",'Spells or Powers'!M106),"|",IF(ISBLANK('Spells or Powers'!N106)," ",'Spells or Powers'!N106),"|",IF(ISBLANK('Spells or Powers'!O106)," ",'Spells or Powers'!O106)))</f>
        <v>||||||||||||||</v>
      </c>
    </row>
    <row r="120" spans="1:1" x14ac:dyDescent="0.2">
      <c r="A120" s="440" t="str">
        <f>IF(ISBLANK('Spells or Powers'!A107),"||||||||||||||",CONCATENATE("[[",IF(ISBLANK('Spells or Powers'!A107)," ",'Spells or Powers'!A107),"|/Meta/Spells/",SUBSTITUTE((SUBSTITUTE(SUBSTITUTE(SUBSTITUTE(SUBSTITUTE(SUBSTITUTE(SUBSTITUTE(SUBSTITUTE(SUBSTITUTE(SUBSTITUTE(SUBSTITUTE(SUBSTITUTE(SUBSTITUTE(SUBSTITUTE(SUBSTITUTE(SUBSTITUTE(SUBSTITUTE('Spells or Powers'!A107,"/",""),"-",""),".",""),",",""),CHAR(34),""),"'",""),"&amp;",""),"*",""),"#",""),"!",""),"?",""),"@",""),":",""),";",""),"(",""),")",""))," ",""),"]]","|",IF(ISBLANK('Spells or Powers'!B107)," ",'Spells or Powers'!B107),"|",IF(ISBLANK('Spells or Powers'!C107)," ",'Spells or Powers'!C107),"|",IF(ISBLANK('Spells or Powers'!D107)," ",'Spells or Powers'!D107),"|",IF(ISBLANK('Spells or Powers'!E107)," ",'Spells or Powers'!E107),"|",IF(ISBLANK('Spells or Powers'!F107)," ",'Spells or Powers'!F107),"|",IF(ISBLANK('Spells or Powers'!G107)," ",'Spells or Powers'!G107),"|",IF(ISBLANK('Spells or Powers'!H107)," ",'Spells or Powers'!H107),"|",IF(ISBLANK('Spells or Powers'!I107)," ",'Spells or Powers'!I107),"|",IF(ISBLANK('Spells or Powers'!J107)," ",'Spells or Powers'!J107),"|",IF(ISBLANK('Spells or Powers'!K107)," ",'Spells or Powers'!K107),"|",IF(ISBLANK('Spells or Powers'!L107)," ",'Spells or Powers'!L107),"|",IF(ISBLANK('Spells or Powers'!M107)," ",'Spells or Powers'!M107),"|",IF(ISBLANK('Spells or Powers'!N107)," ",'Spells or Powers'!N107),"|",IF(ISBLANK('Spells or Powers'!O107)," ",'Spells or Powers'!O107)))</f>
        <v>||||||||||||||</v>
      </c>
    </row>
    <row r="121" spans="1:1" x14ac:dyDescent="0.2">
      <c r="A121" s="440" t="str">
        <f>IF(ISBLANK('Spells or Powers'!A108),"||||||||||||||",CONCATENATE("[[",IF(ISBLANK('Spells or Powers'!A108)," ",'Spells or Powers'!A108),"|/Meta/Spells/",SUBSTITUTE((SUBSTITUTE(SUBSTITUTE(SUBSTITUTE(SUBSTITUTE(SUBSTITUTE(SUBSTITUTE(SUBSTITUTE(SUBSTITUTE(SUBSTITUTE(SUBSTITUTE(SUBSTITUTE(SUBSTITUTE(SUBSTITUTE(SUBSTITUTE(SUBSTITUTE(SUBSTITUTE('Spells or Powers'!A108,"/",""),"-",""),".",""),",",""),CHAR(34),""),"'",""),"&amp;",""),"*",""),"#",""),"!",""),"?",""),"@",""),":",""),";",""),"(",""),")",""))," ",""),"]]","|",IF(ISBLANK('Spells or Powers'!B108)," ",'Spells or Powers'!B108),"|",IF(ISBLANK('Spells or Powers'!C108)," ",'Spells or Powers'!C108),"|",IF(ISBLANK('Spells or Powers'!D108)," ",'Spells or Powers'!D108),"|",IF(ISBLANK('Spells or Powers'!E108)," ",'Spells or Powers'!E108),"|",IF(ISBLANK('Spells or Powers'!F108)," ",'Spells or Powers'!F108),"|",IF(ISBLANK('Spells or Powers'!G108)," ",'Spells or Powers'!G108),"|",IF(ISBLANK('Spells or Powers'!H108)," ",'Spells or Powers'!H108),"|",IF(ISBLANK('Spells or Powers'!I108)," ",'Spells or Powers'!I108),"|",IF(ISBLANK('Spells or Powers'!J108)," ",'Spells or Powers'!J108),"|",IF(ISBLANK('Spells or Powers'!K108)," ",'Spells or Powers'!K108),"|",IF(ISBLANK('Spells or Powers'!L108)," ",'Spells or Powers'!L108),"|",IF(ISBLANK('Spells or Powers'!M108)," ",'Spells or Powers'!M108),"|",IF(ISBLANK('Spells or Powers'!N108)," ",'Spells or Powers'!N108),"|",IF(ISBLANK('Spells or Powers'!O108)," ",'Spells or Powers'!O108)))</f>
        <v>||||||||||||||</v>
      </c>
    </row>
    <row r="122" spans="1:1" x14ac:dyDescent="0.2">
      <c r="A122" s="440" t="str">
        <f>IF(ISBLANK('Spells or Powers'!A109),"||||||||||||||",CONCATENATE("[[",IF(ISBLANK('Spells or Powers'!A109)," ",'Spells or Powers'!A109),"|/Meta/Spells/",SUBSTITUTE((SUBSTITUTE(SUBSTITUTE(SUBSTITUTE(SUBSTITUTE(SUBSTITUTE(SUBSTITUTE(SUBSTITUTE(SUBSTITUTE(SUBSTITUTE(SUBSTITUTE(SUBSTITUTE(SUBSTITUTE(SUBSTITUTE(SUBSTITUTE(SUBSTITUTE(SUBSTITUTE('Spells or Powers'!A109,"/",""),"-",""),".",""),",",""),CHAR(34),""),"'",""),"&amp;",""),"*",""),"#",""),"!",""),"?",""),"@",""),":",""),";",""),"(",""),")",""))," ",""),"]]","|",IF(ISBLANK('Spells or Powers'!B109)," ",'Spells or Powers'!B109),"|",IF(ISBLANK('Spells or Powers'!C109)," ",'Spells or Powers'!C109),"|",IF(ISBLANK('Spells or Powers'!D109)," ",'Spells or Powers'!D109),"|",IF(ISBLANK('Spells or Powers'!E109)," ",'Spells or Powers'!E109),"|",IF(ISBLANK('Spells or Powers'!F109)," ",'Spells or Powers'!F109),"|",IF(ISBLANK('Spells or Powers'!G109)," ",'Spells or Powers'!G109),"|",IF(ISBLANK('Spells or Powers'!H109)," ",'Spells or Powers'!H109),"|",IF(ISBLANK('Spells or Powers'!I109)," ",'Spells or Powers'!I109),"|",IF(ISBLANK('Spells or Powers'!J109)," ",'Spells or Powers'!J109),"|",IF(ISBLANK('Spells or Powers'!K109)," ",'Spells or Powers'!K109),"|",IF(ISBLANK('Spells or Powers'!L109)," ",'Spells or Powers'!L109),"|",IF(ISBLANK('Spells or Powers'!M109)," ",'Spells or Powers'!M109),"|",IF(ISBLANK('Spells or Powers'!N109)," ",'Spells or Powers'!N109),"|",IF(ISBLANK('Spells or Powers'!O109)," ",'Spells or Powers'!O109)))</f>
        <v>||||||||||||||</v>
      </c>
    </row>
    <row r="123" spans="1:1" x14ac:dyDescent="0.2">
      <c r="A123" s="440" t="str">
        <f>IF(ISBLANK('Spells or Powers'!A110),"||||||||||||||",CONCATENATE("[[",IF(ISBLANK('Spells or Powers'!A110)," ",'Spells or Powers'!A110),"|/Meta/Spells/",SUBSTITUTE((SUBSTITUTE(SUBSTITUTE(SUBSTITUTE(SUBSTITUTE(SUBSTITUTE(SUBSTITUTE(SUBSTITUTE(SUBSTITUTE(SUBSTITUTE(SUBSTITUTE(SUBSTITUTE(SUBSTITUTE(SUBSTITUTE(SUBSTITUTE(SUBSTITUTE(SUBSTITUTE('Spells or Powers'!A110,"/",""),"-",""),".",""),",",""),CHAR(34),""),"'",""),"&amp;",""),"*",""),"#",""),"!",""),"?",""),"@",""),":",""),";",""),"(",""),")",""))," ",""),"]]","|",IF(ISBLANK('Spells or Powers'!B110)," ",'Spells or Powers'!B110),"|",IF(ISBLANK('Spells or Powers'!C110)," ",'Spells or Powers'!C110),"|",IF(ISBLANK('Spells or Powers'!D110)," ",'Spells or Powers'!D110),"|",IF(ISBLANK('Spells or Powers'!E110)," ",'Spells or Powers'!E110),"|",IF(ISBLANK('Spells or Powers'!F110)," ",'Spells or Powers'!F110),"|",IF(ISBLANK('Spells or Powers'!G110)," ",'Spells or Powers'!G110),"|",IF(ISBLANK('Spells or Powers'!H110)," ",'Spells or Powers'!H110),"|",IF(ISBLANK('Spells or Powers'!I110)," ",'Spells or Powers'!I110),"|",IF(ISBLANK('Spells or Powers'!J110)," ",'Spells or Powers'!J110),"|",IF(ISBLANK('Spells or Powers'!K110)," ",'Spells or Powers'!K110),"|",IF(ISBLANK('Spells or Powers'!L110)," ",'Spells or Powers'!L110),"|",IF(ISBLANK('Spells or Powers'!M110)," ",'Spells or Powers'!M110),"|",IF(ISBLANK('Spells or Powers'!N110)," ",'Spells or Powers'!N110),"|",IF(ISBLANK('Spells or Powers'!O110)," ",'Spells or Powers'!O110)))</f>
        <v>||||||||||||||</v>
      </c>
    </row>
    <row r="124" spans="1:1" x14ac:dyDescent="0.2">
      <c r="A124" s="440" t="str">
        <f>IF(ISBLANK('Spells or Powers'!A111),"||||||||||||||",CONCATENATE("[[",IF(ISBLANK('Spells or Powers'!A111)," ",'Spells or Powers'!A111),"|/Meta/Spells/",SUBSTITUTE((SUBSTITUTE(SUBSTITUTE(SUBSTITUTE(SUBSTITUTE(SUBSTITUTE(SUBSTITUTE(SUBSTITUTE(SUBSTITUTE(SUBSTITUTE(SUBSTITUTE(SUBSTITUTE(SUBSTITUTE(SUBSTITUTE(SUBSTITUTE(SUBSTITUTE(SUBSTITUTE('Spells or Powers'!A111,"/",""),"-",""),".",""),",",""),CHAR(34),""),"'",""),"&amp;",""),"*",""),"#",""),"!",""),"?",""),"@",""),":",""),";",""),"(",""),")",""))," ",""),"]]","|",IF(ISBLANK('Spells or Powers'!B111)," ",'Spells or Powers'!B111),"|",IF(ISBLANK('Spells or Powers'!C111)," ",'Spells or Powers'!C111),"|",IF(ISBLANK('Spells or Powers'!D111)," ",'Spells or Powers'!D111),"|",IF(ISBLANK('Spells or Powers'!E111)," ",'Spells or Powers'!E111),"|",IF(ISBLANK('Spells or Powers'!F111)," ",'Spells or Powers'!F111),"|",IF(ISBLANK('Spells or Powers'!G111)," ",'Spells or Powers'!G111),"|",IF(ISBLANK('Spells or Powers'!H111)," ",'Spells or Powers'!H111),"|",IF(ISBLANK('Spells or Powers'!I111)," ",'Spells or Powers'!I111),"|",IF(ISBLANK('Spells or Powers'!J111)," ",'Spells or Powers'!J111),"|",IF(ISBLANK('Spells or Powers'!K111)," ",'Spells or Powers'!K111),"|",IF(ISBLANK('Spells or Powers'!L111)," ",'Spells or Powers'!L111),"|",IF(ISBLANK('Spells or Powers'!M111)," ",'Spells or Powers'!M111),"|",IF(ISBLANK('Spells or Powers'!N111)," ",'Spells or Powers'!N111),"|",IF(ISBLANK('Spells or Powers'!O111)," ",'Spells or Powers'!O111)))</f>
        <v>||||||||||||||</v>
      </c>
    </row>
    <row r="125" spans="1:1" x14ac:dyDescent="0.2">
      <c r="A125" s="440" t="str">
        <f>IF(ISBLANK('Spells or Powers'!A112),"||||||||||||||",CONCATENATE("[[",IF(ISBLANK('Spells or Powers'!A112)," ",'Spells or Powers'!A112),"|/Meta/Spells/",SUBSTITUTE((SUBSTITUTE(SUBSTITUTE(SUBSTITUTE(SUBSTITUTE(SUBSTITUTE(SUBSTITUTE(SUBSTITUTE(SUBSTITUTE(SUBSTITUTE(SUBSTITUTE(SUBSTITUTE(SUBSTITUTE(SUBSTITUTE(SUBSTITUTE(SUBSTITUTE(SUBSTITUTE('Spells or Powers'!A112,"/",""),"-",""),".",""),",",""),CHAR(34),""),"'",""),"&amp;",""),"*",""),"#",""),"!",""),"?",""),"@",""),":",""),";",""),"(",""),")",""))," ",""),"]]","|",IF(ISBLANK('Spells or Powers'!B112)," ",'Spells or Powers'!B112),"|",IF(ISBLANK('Spells or Powers'!C112)," ",'Spells or Powers'!C112),"|",IF(ISBLANK('Spells or Powers'!D112)," ",'Spells or Powers'!D112),"|",IF(ISBLANK('Spells or Powers'!E112)," ",'Spells or Powers'!E112),"|",IF(ISBLANK('Spells or Powers'!F112)," ",'Spells or Powers'!F112),"|",IF(ISBLANK('Spells or Powers'!G112)," ",'Spells or Powers'!G112),"|",IF(ISBLANK('Spells or Powers'!H112)," ",'Spells or Powers'!H112),"|",IF(ISBLANK('Spells or Powers'!I112)," ",'Spells or Powers'!I112),"|",IF(ISBLANK('Spells or Powers'!J112)," ",'Spells or Powers'!J112),"|",IF(ISBLANK('Spells or Powers'!K112)," ",'Spells or Powers'!K112),"|",IF(ISBLANK('Spells or Powers'!L112)," ",'Spells or Powers'!L112),"|",IF(ISBLANK('Spells or Powers'!M112)," ",'Spells or Powers'!M112),"|",IF(ISBLANK('Spells or Powers'!N112)," ",'Spells or Powers'!N112),"|",IF(ISBLANK('Spells or Powers'!O112)," ",'Spells or Powers'!O112)))</f>
        <v>||||||||||||||</v>
      </c>
    </row>
    <row r="126" spans="1:1" x14ac:dyDescent="0.2">
      <c r="A126" s="440" t="str">
        <f>IF(ISBLANK('Spells or Powers'!A113),"||||||||||||||",CONCATENATE("[[",IF(ISBLANK('Spells or Powers'!A113)," ",'Spells or Powers'!A113),"|/Meta/Spells/",SUBSTITUTE((SUBSTITUTE(SUBSTITUTE(SUBSTITUTE(SUBSTITUTE(SUBSTITUTE(SUBSTITUTE(SUBSTITUTE(SUBSTITUTE(SUBSTITUTE(SUBSTITUTE(SUBSTITUTE(SUBSTITUTE(SUBSTITUTE(SUBSTITUTE(SUBSTITUTE(SUBSTITUTE('Spells or Powers'!A113,"/",""),"-",""),".",""),",",""),CHAR(34),""),"'",""),"&amp;",""),"*",""),"#",""),"!",""),"?",""),"@",""),":",""),";",""),"(",""),")",""))," ",""),"]]","|",IF(ISBLANK('Spells or Powers'!B113)," ",'Spells or Powers'!B113),"|",IF(ISBLANK('Spells or Powers'!C113)," ",'Spells or Powers'!C113),"|",IF(ISBLANK('Spells or Powers'!D113)," ",'Spells or Powers'!D113),"|",IF(ISBLANK('Spells or Powers'!E113)," ",'Spells or Powers'!E113),"|",IF(ISBLANK('Spells or Powers'!F113)," ",'Spells or Powers'!F113),"|",IF(ISBLANK('Spells or Powers'!G113)," ",'Spells or Powers'!G113),"|",IF(ISBLANK('Spells or Powers'!H113)," ",'Spells or Powers'!H113),"|",IF(ISBLANK('Spells or Powers'!I113)," ",'Spells or Powers'!I113),"|",IF(ISBLANK('Spells or Powers'!J113)," ",'Spells or Powers'!J113),"|",IF(ISBLANK('Spells or Powers'!K113)," ",'Spells or Powers'!K113),"|",IF(ISBLANK('Spells or Powers'!L113)," ",'Spells or Powers'!L113),"|",IF(ISBLANK('Spells or Powers'!M113)," ",'Spells or Powers'!M113),"|",IF(ISBLANK('Spells or Powers'!N113)," ",'Spells or Powers'!N113),"|",IF(ISBLANK('Spells or Powers'!O113)," ",'Spells or Powers'!O113)))</f>
        <v>||||||||||||||</v>
      </c>
    </row>
    <row r="127" spans="1:1" x14ac:dyDescent="0.2">
      <c r="A127" s="440" t="str">
        <f>IF(ISBLANK('Spells or Powers'!A114),"||||||||||||||",CONCATENATE("[[",IF(ISBLANK('Spells or Powers'!A114)," ",'Spells or Powers'!A114),"|/Meta/Spells/",SUBSTITUTE((SUBSTITUTE(SUBSTITUTE(SUBSTITUTE(SUBSTITUTE(SUBSTITUTE(SUBSTITUTE(SUBSTITUTE(SUBSTITUTE(SUBSTITUTE(SUBSTITUTE(SUBSTITUTE(SUBSTITUTE(SUBSTITUTE(SUBSTITUTE(SUBSTITUTE(SUBSTITUTE('Spells or Powers'!A114,"/",""),"-",""),".",""),",",""),CHAR(34),""),"'",""),"&amp;",""),"*",""),"#",""),"!",""),"?",""),"@",""),":",""),";",""),"(",""),")",""))," ",""),"]]","|",IF(ISBLANK('Spells or Powers'!B114)," ",'Spells or Powers'!B114),"|",IF(ISBLANK('Spells or Powers'!C114)," ",'Spells or Powers'!C114),"|",IF(ISBLANK('Spells or Powers'!D114)," ",'Spells or Powers'!D114),"|",IF(ISBLANK('Spells or Powers'!E114)," ",'Spells or Powers'!E114),"|",IF(ISBLANK('Spells or Powers'!F114)," ",'Spells or Powers'!F114),"|",IF(ISBLANK('Spells or Powers'!G114)," ",'Spells or Powers'!G114),"|",IF(ISBLANK('Spells or Powers'!H114)," ",'Spells or Powers'!H114),"|",IF(ISBLANK('Spells or Powers'!I114)," ",'Spells or Powers'!I114),"|",IF(ISBLANK('Spells or Powers'!J114)," ",'Spells or Powers'!J114),"|",IF(ISBLANK('Spells or Powers'!K114)," ",'Spells or Powers'!K114),"|",IF(ISBLANK('Spells or Powers'!L114)," ",'Spells or Powers'!L114),"|",IF(ISBLANK('Spells or Powers'!M114)," ",'Spells or Powers'!M114),"|",IF(ISBLANK('Spells or Powers'!N114)," ",'Spells or Powers'!N114),"|",IF(ISBLANK('Spells or Powers'!O114)," ",'Spells or Powers'!O114)))</f>
        <v>||||||||||||||</v>
      </c>
    </row>
    <row r="128" spans="1:1" x14ac:dyDescent="0.2">
      <c r="A128" s="440" t="str">
        <f>IF(ISBLANK('Spells or Powers'!A115),"||||||||||||||",CONCATENATE("[[",IF(ISBLANK('Spells or Powers'!A115)," ",'Spells or Powers'!A115),"|/Meta/Spells/",SUBSTITUTE((SUBSTITUTE(SUBSTITUTE(SUBSTITUTE(SUBSTITUTE(SUBSTITUTE(SUBSTITUTE(SUBSTITUTE(SUBSTITUTE(SUBSTITUTE(SUBSTITUTE(SUBSTITUTE(SUBSTITUTE(SUBSTITUTE(SUBSTITUTE(SUBSTITUTE(SUBSTITUTE('Spells or Powers'!A115,"/",""),"-",""),".",""),",",""),CHAR(34),""),"'",""),"&amp;",""),"*",""),"#",""),"!",""),"?",""),"@",""),":",""),";",""),"(",""),")",""))," ",""),"]]","|",IF(ISBLANK('Spells or Powers'!B115)," ",'Spells or Powers'!B115),"|",IF(ISBLANK('Spells or Powers'!C115)," ",'Spells or Powers'!C115),"|",IF(ISBLANK('Spells or Powers'!D115)," ",'Spells or Powers'!D115),"|",IF(ISBLANK('Spells or Powers'!E115)," ",'Spells or Powers'!E115),"|",IF(ISBLANK('Spells or Powers'!F115)," ",'Spells or Powers'!F115),"|",IF(ISBLANK('Spells or Powers'!G115)," ",'Spells or Powers'!G115),"|",IF(ISBLANK('Spells or Powers'!H115)," ",'Spells or Powers'!H115),"|",IF(ISBLANK('Spells or Powers'!I115)," ",'Spells or Powers'!I115),"|",IF(ISBLANK('Spells or Powers'!J115)," ",'Spells or Powers'!J115),"|",IF(ISBLANK('Spells or Powers'!K115)," ",'Spells or Powers'!K115),"|",IF(ISBLANK('Spells or Powers'!L115)," ",'Spells or Powers'!L115),"|",IF(ISBLANK('Spells or Powers'!M115)," ",'Spells or Powers'!M115),"|",IF(ISBLANK('Spells or Powers'!N115)," ",'Spells or Powers'!N115),"|",IF(ISBLANK('Spells or Powers'!O115)," ",'Spells or Powers'!O115)))</f>
        <v>||||||||||||||</v>
      </c>
    </row>
    <row r="129" spans="1:1" x14ac:dyDescent="0.2">
      <c r="A129" s="440" t="str">
        <f>IF(ISBLANK('Spells or Powers'!A116),"||||||||||||||",CONCATENATE("[[",IF(ISBLANK('Spells or Powers'!A116)," ",'Spells or Powers'!A116),"|/Meta/Spells/",SUBSTITUTE((SUBSTITUTE(SUBSTITUTE(SUBSTITUTE(SUBSTITUTE(SUBSTITUTE(SUBSTITUTE(SUBSTITUTE(SUBSTITUTE(SUBSTITUTE(SUBSTITUTE(SUBSTITUTE(SUBSTITUTE(SUBSTITUTE(SUBSTITUTE(SUBSTITUTE(SUBSTITUTE('Spells or Powers'!A116,"/",""),"-",""),".",""),",",""),CHAR(34),""),"'",""),"&amp;",""),"*",""),"#",""),"!",""),"?",""),"@",""),":",""),";",""),"(",""),")",""))," ",""),"]]","|",IF(ISBLANK('Spells or Powers'!B116)," ",'Spells or Powers'!B116),"|",IF(ISBLANK('Spells or Powers'!C116)," ",'Spells or Powers'!C116),"|",IF(ISBLANK('Spells or Powers'!D116)," ",'Spells or Powers'!D116),"|",IF(ISBLANK('Spells or Powers'!E116)," ",'Spells or Powers'!E116),"|",IF(ISBLANK('Spells or Powers'!F116)," ",'Spells or Powers'!F116),"|",IF(ISBLANK('Spells or Powers'!G116)," ",'Spells or Powers'!G116),"|",IF(ISBLANK('Spells or Powers'!H116)," ",'Spells or Powers'!H116),"|",IF(ISBLANK('Spells or Powers'!I116)," ",'Spells or Powers'!I116),"|",IF(ISBLANK('Spells or Powers'!J116)," ",'Spells or Powers'!J116),"|",IF(ISBLANK('Spells or Powers'!K116)," ",'Spells or Powers'!K116),"|",IF(ISBLANK('Spells or Powers'!L116)," ",'Spells or Powers'!L116),"|",IF(ISBLANK('Spells or Powers'!M116)," ",'Spells or Powers'!M116),"|",IF(ISBLANK('Spells or Powers'!N116)," ",'Spells or Powers'!N116),"|",IF(ISBLANK('Spells or Powers'!O116)," ",'Spells or Powers'!O116)))</f>
        <v>||||||||||||||</v>
      </c>
    </row>
    <row r="130" spans="1:1" x14ac:dyDescent="0.2">
      <c r="A130" s="440" t="str">
        <f>IF(ISBLANK('Spells or Powers'!A117),"||||||||||||||",CONCATENATE("[[",IF(ISBLANK('Spells or Powers'!A117)," ",'Spells or Powers'!A117),"|/Meta/Spells/",SUBSTITUTE((SUBSTITUTE(SUBSTITUTE(SUBSTITUTE(SUBSTITUTE(SUBSTITUTE(SUBSTITUTE(SUBSTITUTE(SUBSTITUTE(SUBSTITUTE(SUBSTITUTE(SUBSTITUTE(SUBSTITUTE(SUBSTITUTE(SUBSTITUTE(SUBSTITUTE(SUBSTITUTE('Spells or Powers'!A117,"/",""),"-",""),".",""),",",""),CHAR(34),""),"'",""),"&amp;",""),"*",""),"#",""),"!",""),"?",""),"@",""),":",""),";",""),"(",""),")",""))," ",""),"]]","|",IF(ISBLANK('Spells or Powers'!B117)," ",'Spells or Powers'!B117),"|",IF(ISBLANK('Spells or Powers'!C117)," ",'Spells or Powers'!C117),"|",IF(ISBLANK('Spells or Powers'!D117)," ",'Spells or Powers'!D117),"|",IF(ISBLANK('Spells or Powers'!E117)," ",'Spells or Powers'!E117),"|",IF(ISBLANK('Spells or Powers'!F117)," ",'Spells or Powers'!F117),"|",IF(ISBLANK('Spells or Powers'!G117)," ",'Spells or Powers'!G117),"|",IF(ISBLANK('Spells or Powers'!H117)," ",'Spells or Powers'!H117),"|",IF(ISBLANK('Spells or Powers'!I117)," ",'Spells or Powers'!I117),"|",IF(ISBLANK('Spells or Powers'!J117)," ",'Spells or Powers'!J117),"|",IF(ISBLANK('Spells or Powers'!K117)," ",'Spells or Powers'!K117),"|",IF(ISBLANK('Spells or Powers'!L117)," ",'Spells or Powers'!L117),"|",IF(ISBLANK('Spells or Powers'!M117)," ",'Spells or Powers'!M117),"|",IF(ISBLANK('Spells or Powers'!N117)," ",'Spells or Powers'!N117),"|",IF(ISBLANK('Spells or Powers'!O117)," ",'Spells or Powers'!O117)))</f>
        <v>||||||||||||||</v>
      </c>
    </row>
    <row r="131" spans="1:1" x14ac:dyDescent="0.2">
      <c r="A131" s="440" t="str">
        <f>IF(ISBLANK('Spells or Powers'!A118),"||||||||||||||",CONCATENATE("[[",IF(ISBLANK('Spells or Powers'!A118)," ",'Spells or Powers'!A118),"|/Meta/Spells/",SUBSTITUTE((SUBSTITUTE(SUBSTITUTE(SUBSTITUTE(SUBSTITUTE(SUBSTITUTE(SUBSTITUTE(SUBSTITUTE(SUBSTITUTE(SUBSTITUTE(SUBSTITUTE(SUBSTITUTE(SUBSTITUTE(SUBSTITUTE(SUBSTITUTE(SUBSTITUTE(SUBSTITUTE('Spells or Powers'!A118,"/",""),"-",""),".",""),",",""),CHAR(34),""),"'",""),"&amp;",""),"*",""),"#",""),"!",""),"?",""),"@",""),":",""),";",""),"(",""),")",""))," ",""),"]]","|",IF(ISBLANK('Spells or Powers'!B118)," ",'Spells or Powers'!B118),"|",IF(ISBLANK('Spells or Powers'!C118)," ",'Spells or Powers'!C118),"|",IF(ISBLANK('Spells or Powers'!D118)," ",'Spells or Powers'!D118),"|",IF(ISBLANK('Spells or Powers'!E118)," ",'Spells or Powers'!E118),"|",IF(ISBLANK('Spells or Powers'!F118)," ",'Spells or Powers'!F118),"|",IF(ISBLANK('Spells or Powers'!G118)," ",'Spells or Powers'!G118),"|",IF(ISBLANK('Spells or Powers'!H118)," ",'Spells or Powers'!H118),"|",IF(ISBLANK('Spells or Powers'!I118)," ",'Spells or Powers'!I118),"|",IF(ISBLANK('Spells or Powers'!J118)," ",'Spells or Powers'!J118),"|",IF(ISBLANK('Spells or Powers'!K118)," ",'Spells or Powers'!K118),"|",IF(ISBLANK('Spells or Powers'!L118)," ",'Spells or Powers'!L118),"|",IF(ISBLANK('Spells or Powers'!M118)," ",'Spells or Powers'!M118),"|",IF(ISBLANK('Spells or Powers'!N118)," ",'Spells or Powers'!N118),"|",IF(ISBLANK('Spells or Powers'!O118)," ",'Spells or Powers'!O118)))</f>
        <v>||||||||||||||</v>
      </c>
    </row>
    <row r="132" spans="1:1" x14ac:dyDescent="0.2">
      <c r="A132" s="440" t="str">
        <f>IF(ISBLANK('Spells or Powers'!A119),"||||||||||||||",CONCATENATE("[[",IF(ISBLANK('Spells or Powers'!A119)," ",'Spells or Powers'!A119),"|/Meta/Spells/",SUBSTITUTE((SUBSTITUTE(SUBSTITUTE(SUBSTITUTE(SUBSTITUTE(SUBSTITUTE(SUBSTITUTE(SUBSTITUTE(SUBSTITUTE(SUBSTITUTE(SUBSTITUTE(SUBSTITUTE(SUBSTITUTE(SUBSTITUTE(SUBSTITUTE(SUBSTITUTE(SUBSTITUTE('Spells or Powers'!A119,"/",""),"-",""),".",""),",",""),CHAR(34),""),"'",""),"&amp;",""),"*",""),"#",""),"!",""),"?",""),"@",""),":",""),";",""),"(",""),")",""))," ",""),"]]","|",IF(ISBLANK('Spells or Powers'!B119)," ",'Spells or Powers'!B119),"|",IF(ISBLANK('Spells or Powers'!C119)," ",'Spells or Powers'!C119),"|",IF(ISBLANK('Spells or Powers'!D119)," ",'Spells or Powers'!D119),"|",IF(ISBLANK('Spells or Powers'!E119)," ",'Spells or Powers'!E119),"|",IF(ISBLANK('Spells or Powers'!F119)," ",'Spells or Powers'!F119),"|",IF(ISBLANK('Spells or Powers'!G119)," ",'Spells or Powers'!G119),"|",IF(ISBLANK('Spells or Powers'!H119)," ",'Spells or Powers'!H119),"|",IF(ISBLANK('Spells or Powers'!I119)," ",'Spells or Powers'!I119),"|",IF(ISBLANK('Spells or Powers'!J119)," ",'Spells or Powers'!J119),"|",IF(ISBLANK('Spells or Powers'!K119)," ",'Spells or Powers'!K119),"|",IF(ISBLANK('Spells or Powers'!L119)," ",'Spells or Powers'!L119),"|",IF(ISBLANK('Spells or Powers'!M119)," ",'Spells or Powers'!M119),"|",IF(ISBLANK('Spells or Powers'!N119)," ",'Spells or Powers'!N119),"|",IF(ISBLANK('Spells or Powers'!O119)," ",'Spells or Powers'!O119)))</f>
        <v>||||||||||||||</v>
      </c>
    </row>
    <row r="133" spans="1:1" x14ac:dyDescent="0.2">
      <c r="A133" s="440" t="str">
        <f>IF(ISBLANK('Spells or Powers'!A120),"||||||||||||||",CONCATENATE("[[",IF(ISBLANK('Spells or Powers'!A120)," ",'Spells or Powers'!A120),"|/Meta/Spells/",SUBSTITUTE((SUBSTITUTE(SUBSTITUTE(SUBSTITUTE(SUBSTITUTE(SUBSTITUTE(SUBSTITUTE(SUBSTITUTE(SUBSTITUTE(SUBSTITUTE(SUBSTITUTE(SUBSTITUTE(SUBSTITUTE(SUBSTITUTE(SUBSTITUTE(SUBSTITUTE(SUBSTITUTE('Spells or Powers'!A120,"/",""),"-",""),".",""),",",""),CHAR(34),""),"'",""),"&amp;",""),"*",""),"#",""),"!",""),"?",""),"@",""),":",""),";",""),"(",""),")",""))," ",""),"]]","|",IF(ISBLANK('Spells or Powers'!B120)," ",'Spells or Powers'!B120),"|",IF(ISBLANK('Spells or Powers'!C120)," ",'Spells or Powers'!C120),"|",IF(ISBLANK('Spells or Powers'!D120)," ",'Spells or Powers'!D120),"|",IF(ISBLANK('Spells or Powers'!E120)," ",'Spells or Powers'!E120),"|",IF(ISBLANK('Spells or Powers'!F120)," ",'Spells or Powers'!F120),"|",IF(ISBLANK('Spells or Powers'!G120)," ",'Spells or Powers'!G120),"|",IF(ISBLANK('Spells or Powers'!H120)," ",'Spells or Powers'!H120),"|",IF(ISBLANK('Spells or Powers'!I120)," ",'Spells or Powers'!I120),"|",IF(ISBLANK('Spells or Powers'!J120)," ",'Spells or Powers'!J120),"|",IF(ISBLANK('Spells or Powers'!K120)," ",'Spells or Powers'!K120),"|",IF(ISBLANK('Spells or Powers'!L120)," ",'Spells or Powers'!L120),"|",IF(ISBLANK('Spells or Powers'!M120)," ",'Spells or Powers'!M120),"|",IF(ISBLANK('Spells or Powers'!N120)," ",'Spells or Powers'!N120),"|",IF(ISBLANK('Spells or Powers'!O120)," ",'Spells or Powers'!O120)))</f>
        <v>||||||||||||||</v>
      </c>
    </row>
    <row r="134" spans="1:1" x14ac:dyDescent="0.2">
      <c r="A134" s="440" t="str">
        <f>IF(ISBLANK('Spells or Powers'!A121),"||||||||||||||",CONCATENATE("[[",IF(ISBLANK('Spells or Powers'!A121)," ",'Spells or Powers'!A121),"|/Meta/Spells/",SUBSTITUTE((SUBSTITUTE(SUBSTITUTE(SUBSTITUTE(SUBSTITUTE(SUBSTITUTE(SUBSTITUTE(SUBSTITUTE(SUBSTITUTE(SUBSTITUTE(SUBSTITUTE(SUBSTITUTE(SUBSTITUTE(SUBSTITUTE(SUBSTITUTE(SUBSTITUTE(SUBSTITUTE('Spells or Powers'!A121,"/",""),"-",""),".",""),",",""),CHAR(34),""),"'",""),"&amp;",""),"*",""),"#",""),"!",""),"?",""),"@",""),":",""),";",""),"(",""),")",""))," ",""),"]]","|",IF(ISBLANK('Spells or Powers'!B121)," ",'Spells or Powers'!B121),"|",IF(ISBLANK('Spells or Powers'!C121)," ",'Spells or Powers'!C121),"|",IF(ISBLANK('Spells or Powers'!D121)," ",'Spells or Powers'!D121),"|",IF(ISBLANK('Spells or Powers'!E121)," ",'Spells or Powers'!E121),"|",IF(ISBLANK('Spells or Powers'!F121)," ",'Spells or Powers'!F121),"|",IF(ISBLANK('Spells or Powers'!G121)," ",'Spells or Powers'!G121),"|",IF(ISBLANK('Spells or Powers'!H121)," ",'Spells or Powers'!H121),"|",IF(ISBLANK('Spells or Powers'!I121)," ",'Spells or Powers'!I121),"|",IF(ISBLANK('Spells or Powers'!J121)," ",'Spells or Powers'!J121),"|",IF(ISBLANK('Spells or Powers'!K121)," ",'Spells or Powers'!K121),"|",IF(ISBLANK('Spells or Powers'!L121)," ",'Spells or Powers'!L121),"|",IF(ISBLANK('Spells or Powers'!M121)," ",'Spells or Powers'!M121),"|",IF(ISBLANK('Spells or Powers'!N121)," ",'Spells or Powers'!N121),"|",IF(ISBLANK('Spells or Powers'!O121)," ",'Spells or Powers'!O121)))</f>
        <v>||||||||||||||</v>
      </c>
    </row>
    <row r="135" spans="1:1" x14ac:dyDescent="0.2">
      <c r="A135" s="440" t="str">
        <f>IF(ISBLANK('Spells or Powers'!A122),"||||||||||||||",CONCATENATE("[[",IF(ISBLANK('Spells or Powers'!A122)," ",'Spells or Powers'!A122),"|/Meta/Spells/",SUBSTITUTE((SUBSTITUTE(SUBSTITUTE(SUBSTITUTE(SUBSTITUTE(SUBSTITUTE(SUBSTITUTE(SUBSTITUTE(SUBSTITUTE(SUBSTITUTE(SUBSTITUTE(SUBSTITUTE(SUBSTITUTE(SUBSTITUTE(SUBSTITUTE(SUBSTITUTE(SUBSTITUTE('Spells or Powers'!A122,"/",""),"-",""),".",""),",",""),CHAR(34),""),"'",""),"&amp;",""),"*",""),"#",""),"!",""),"?",""),"@",""),":",""),";",""),"(",""),")",""))," ",""),"]]","|",IF(ISBLANK('Spells or Powers'!B122)," ",'Spells or Powers'!B122),"|",IF(ISBLANK('Spells or Powers'!C122)," ",'Spells or Powers'!C122),"|",IF(ISBLANK('Spells or Powers'!D122)," ",'Spells or Powers'!D122),"|",IF(ISBLANK('Spells or Powers'!E122)," ",'Spells or Powers'!E122),"|",IF(ISBLANK('Spells or Powers'!F122)," ",'Spells or Powers'!F122),"|",IF(ISBLANK('Spells or Powers'!G122)," ",'Spells or Powers'!G122),"|",IF(ISBLANK('Spells or Powers'!H122)," ",'Spells or Powers'!H122),"|",IF(ISBLANK('Spells or Powers'!I122)," ",'Spells or Powers'!I122),"|",IF(ISBLANK('Spells or Powers'!J122)," ",'Spells or Powers'!J122),"|",IF(ISBLANK('Spells or Powers'!K122)," ",'Spells or Powers'!K122),"|",IF(ISBLANK('Spells or Powers'!L122)," ",'Spells or Powers'!L122),"|",IF(ISBLANK('Spells or Powers'!M122)," ",'Spells or Powers'!M122),"|",IF(ISBLANK('Spells or Powers'!N122)," ",'Spells or Powers'!N122),"|",IF(ISBLANK('Spells or Powers'!O122)," ",'Spells or Powers'!O122)))</f>
        <v>||||||||||||||</v>
      </c>
    </row>
    <row r="136" spans="1:1" x14ac:dyDescent="0.2">
      <c r="A136" s="440" t="str">
        <f>IF(ISBLANK('Spells or Powers'!A123),"||||||||||||||",CONCATENATE("[[",IF(ISBLANK('Spells or Powers'!A123)," ",'Spells or Powers'!A123),"|/Meta/Spells/",SUBSTITUTE((SUBSTITUTE(SUBSTITUTE(SUBSTITUTE(SUBSTITUTE(SUBSTITUTE(SUBSTITUTE(SUBSTITUTE(SUBSTITUTE(SUBSTITUTE(SUBSTITUTE(SUBSTITUTE(SUBSTITUTE(SUBSTITUTE(SUBSTITUTE(SUBSTITUTE(SUBSTITUTE('Spells or Powers'!A123,"/",""),"-",""),".",""),",",""),CHAR(34),""),"'",""),"&amp;",""),"*",""),"#",""),"!",""),"?",""),"@",""),":",""),";",""),"(",""),")",""))," ",""),"]]","|",IF(ISBLANK('Spells or Powers'!B123)," ",'Spells or Powers'!B123),"|",IF(ISBLANK('Spells or Powers'!C123)," ",'Spells or Powers'!C123),"|",IF(ISBLANK('Spells or Powers'!D123)," ",'Spells or Powers'!D123),"|",IF(ISBLANK('Spells or Powers'!E123)," ",'Spells or Powers'!E123),"|",IF(ISBLANK('Spells or Powers'!F123)," ",'Spells or Powers'!F123),"|",IF(ISBLANK('Spells or Powers'!G123)," ",'Spells or Powers'!G123),"|",IF(ISBLANK('Spells or Powers'!H123)," ",'Spells or Powers'!H123),"|",IF(ISBLANK('Spells or Powers'!I123)," ",'Spells or Powers'!I123),"|",IF(ISBLANK('Spells or Powers'!J123)," ",'Spells or Powers'!J123),"|",IF(ISBLANK('Spells or Powers'!K123)," ",'Spells or Powers'!K123),"|",IF(ISBLANK('Spells or Powers'!L123)," ",'Spells or Powers'!L123),"|",IF(ISBLANK('Spells or Powers'!M123)," ",'Spells or Powers'!M123),"|",IF(ISBLANK('Spells or Powers'!N123)," ",'Spells or Powers'!N123),"|",IF(ISBLANK('Spells or Powers'!O123)," ",'Spells or Powers'!O123)))</f>
        <v>||||||||||||||</v>
      </c>
    </row>
    <row r="137" spans="1:1" x14ac:dyDescent="0.2">
      <c r="A137" s="440" t="str">
        <f>IF(ISBLANK('Spells or Powers'!A124),"||||||||||||||",CONCATENATE("[[",IF(ISBLANK('Spells or Powers'!A124)," ",'Spells or Powers'!A124),"|/Meta/Spells/",SUBSTITUTE((SUBSTITUTE(SUBSTITUTE(SUBSTITUTE(SUBSTITUTE(SUBSTITUTE(SUBSTITUTE(SUBSTITUTE(SUBSTITUTE(SUBSTITUTE(SUBSTITUTE(SUBSTITUTE(SUBSTITUTE(SUBSTITUTE(SUBSTITUTE(SUBSTITUTE(SUBSTITUTE('Spells or Powers'!A124,"/",""),"-",""),".",""),",",""),CHAR(34),""),"'",""),"&amp;",""),"*",""),"#",""),"!",""),"?",""),"@",""),":",""),";",""),"(",""),")",""))," ",""),"]]","|",IF(ISBLANK('Spells or Powers'!B124)," ",'Spells or Powers'!B124),"|",IF(ISBLANK('Spells or Powers'!C124)," ",'Spells or Powers'!C124),"|",IF(ISBLANK('Spells or Powers'!D124)," ",'Spells or Powers'!D124),"|",IF(ISBLANK('Spells or Powers'!E124)," ",'Spells or Powers'!E124),"|",IF(ISBLANK('Spells or Powers'!F124)," ",'Spells or Powers'!F124),"|",IF(ISBLANK('Spells or Powers'!G124)," ",'Spells or Powers'!G124),"|",IF(ISBLANK('Spells or Powers'!H124)," ",'Spells or Powers'!H124),"|",IF(ISBLANK('Spells or Powers'!I124)," ",'Spells or Powers'!I124),"|",IF(ISBLANK('Spells or Powers'!J124)," ",'Spells or Powers'!J124),"|",IF(ISBLANK('Spells or Powers'!K124)," ",'Spells or Powers'!K124),"|",IF(ISBLANK('Spells or Powers'!L124)," ",'Spells or Powers'!L124),"|",IF(ISBLANK('Spells or Powers'!M124)," ",'Spells or Powers'!M124),"|",IF(ISBLANK('Spells or Powers'!N124)," ",'Spells or Powers'!N124),"|",IF(ISBLANK('Spells or Powers'!O124)," ",'Spells or Powers'!O124)))</f>
        <v>||||||||||||||</v>
      </c>
    </row>
    <row r="138" spans="1:1" x14ac:dyDescent="0.2">
      <c r="A138" s="440" t="str">
        <f>IF(ISBLANK('Spells or Powers'!A125),"||||||||||||||",CONCATENATE("[[",IF(ISBLANK('Spells or Powers'!A125)," ",'Spells or Powers'!A125),"|/Meta/Spells/",SUBSTITUTE((SUBSTITUTE(SUBSTITUTE(SUBSTITUTE(SUBSTITUTE(SUBSTITUTE(SUBSTITUTE(SUBSTITUTE(SUBSTITUTE(SUBSTITUTE(SUBSTITUTE(SUBSTITUTE(SUBSTITUTE(SUBSTITUTE(SUBSTITUTE(SUBSTITUTE(SUBSTITUTE('Spells or Powers'!A125,"/",""),"-",""),".",""),",",""),CHAR(34),""),"'",""),"&amp;",""),"*",""),"#",""),"!",""),"?",""),"@",""),":",""),";",""),"(",""),")",""))," ",""),"]]","|",IF(ISBLANK('Spells or Powers'!B125)," ",'Spells or Powers'!B125),"|",IF(ISBLANK('Spells or Powers'!C125)," ",'Spells or Powers'!C125),"|",IF(ISBLANK('Spells or Powers'!D125)," ",'Spells or Powers'!D125),"|",IF(ISBLANK('Spells or Powers'!E125)," ",'Spells or Powers'!E125),"|",IF(ISBLANK('Spells or Powers'!F125)," ",'Spells or Powers'!F125),"|",IF(ISBLANK('Spells or Powers'!G125)," ",'Spells or Powers'!G125),"|",IF(ISBLANK('Spells or Powers'!H125)," ",'Spells or Powers'!H125),"|",IF(ISBLANK('Spells or Powers'!I125)," ",'Spells or Powers'!I125),"|",IF(ISBLANK('Spells or Powers'!J125)," ",'Spells or Powers'!J125),"|",IF(ISBLANK('Spells or Powers'!K125)," ",'Spells or Powers'!K125),"|",IF(ISBLANK('Spells or Powers'!L125)," ",'Spells or Powers'!L125),"|",IF(ISBLANK('Spells or Powers'!M125)," ",'Spells or Powers'!M125),"|",IF(ISBLANK('Spells or Powers'!N125)," ",'Spells or Powers'!N125),"|",IF(ISBLANK('Spells or Powers'!O125)," ",'Spells or Powers'!O125)))</f>
        <v>||||||||||||||</v>
      </c>
    </row>
    <row r="139" spans="1:1" x14ac:dyDescent="0.2">
      <c r="A139" s="440" t="str">
        <f>IF(ISBLANK('Spells or Powers'!A126),"||||||||||||||",CONCATENATE("[[",IF(ISBLANK('Spells or Powers'!A126)," ",'Spells or Powers'!A126),"|/Meta/Spells/",SUBSTITUTE((SUBSTITUTE(SUBSTITUTE(SUBSTITUTE(SUBSTITUTE(SUBSTITUTE(SUBSTITUTE(SUBSTITUTE(SUBSTITUTE(SUBSTITUTE(SUBSTITUTE(SUBSTITUTE(SUBSTITUTE(SUBSTITUTE(SUBSTITUTE(SUBSTITUTE(SUBSTITUTE('Spells or Powers'!A126,"/",""),"-",""),".",""),",",""),CHAR(34),""),"'",""),"&amp;",""),"*",""),"#",""),"!",""),"?",""),"@",""),":",""),";",""),"(",""),")",""))," ",""),"]]","|",IF(ISBLANK('Spells or Powers'!B126)," ",'Spells or Powers'!B126),"|",IF(ISBLANK('Spells or Powers'!C126)," ",'Spells or Powers'!C126),"|",IF(ISBLANK('Spells or Powers'!D126)," ",'Spells or Powers'!D126),"|",IF(ISBLANK('Spells or Powers'!E126)," ",'Spells or Powers'!E126),"|",IF(ISBLANK('Spells or Powers'!F126)," ",'Spells or Powers'!F126),"|",IF(ISBLANK('Spells or Powers'!G126)," ",'Spells or Powers'!G126),"|",IF(ISBLANK('Spells or Powers'!H126)," ",'Spells or Powers'!H126),"|",IF(ISBLANK('Spells or Powers'!I126)," ",'Spells or Powers'!I126),"|",IF(ISBLANK('Spells or Powers'!J126)," ",'Spells or Powers'!J126),"|",IF(ISBLANK('Spells or Powers'!K126)," ",'Spells or Powers'!K126),"|",IF(ISBLANK('Spells or Powers'!L126)," ",'Spells or Powers'!L126),"|",IF(ISBLANK('Spells or Powers'!M126)," ",'Spells or Powers'!M126),"|",IF(ISBLANK('Spells or Powers'!N126)," ",'Spells or Powers'!N126),"|",IF(ISBLANK('Spells or Powers'!O126)," ",'Spells or Powers'!O126)))</f>
        <v>||||||||||||||</v>
      </c>
    </row>
    <row r="140" spans="1:1" x14ac:dyDescent="0.2">
      <c r="A140" s="440" t="str">
        <f>IF(ISBLANK('Spells or Powers'!A127),"||||||||||||||",CONCATENATE("[[",IF(ISBLANK('Spells or Powers'!A127)," ",'Spells or Powers'!A127),"|/Meta/Spells/",SUBSTITUTE((SUBSTITUTE(SUBSTITUTE(SUBSTITUTE(SUBSTITUTE(SUBSTITUTE(SUBSTITUTE(SUBSTITUTE(SUBSTITUTE(SUBSTITUTE(SUBSTITUTE(SUBSTITUTE(SUBSTITUTE(SUBSTITUTE(SUBSTITUTE(SUBSTITUTE(SUBSTITUTE('Spells or Powers'!A127,"/",""),"-",""),".",""),",",""),CHAR(34),""),"'",""),"&amp;",""),"*",""),"#",""),"!",""),"?",""),"@",""),":",""),";",""),"(",""),")",""))," ",""),"]]","|",IF(ISBLANK('Spells or Powers'!B127)," ",'Spells or Powers'!B127),"|",IF(ISBLANK('Spells or Powers'!C127)," ",'Spells or Powers'!C127),"|",IF(ISBLANK('Spells or Powers'!D127)," ",'Spells or Powers'!D127),"|",IF(ISBLANK('Spells or Powers'!E127)," ",'Spells or Powers'!E127),"|",IF(ISBLANK('Spells or Powers'!F127)," ",'Spells or Powers'!F127),"|",IF(ISBLANK('Spells or Powers'!G127)," ",'Spells or Powers'!G127),"|",IF(ISBLANK('Spells or Powers'!H127)," ",'Spells or Powers'!H127),"|",IF(ISBLANK('Spells or Powers'!I127)," ",'Spells or Powers'!I127),"|",IF(ISBLANK('Spells or Powers'!J127)," ",'Spells or Powers'!J127),"|",IF(ISBLANK('Spells or Powers'!K127)," ",'Spells or Powers'!K127),"|",IF(ISBLANK('Spells or Powers'!L127)," ",'Spells or Powers'!L127),"|",IF(ISBLANK('Spells or Powers'!M127)," ",'Spells or Powers'!M127),"|",IF(ISBLANK('Spells or Powers'!N127)," ",'Spells or Powers'!N127),"|",IF(ISBLANK('Spells or Powers'!O127)," ",'Spells or Powers'!O127)))</f>
        <v>||||||||||||||</v>
      </c>
    </row>
    <row r="141" spans="1:1" x14ac:dyDescent="0.2">
      <c r="A141" s="440" t="str">
        <f>IF(ISBLANK('Spells or Powers'!A128),"||||||||||||||",CONCATENATE("[[",IF(ISBLANK('Spells or Powers'!A128)," ",'Spells or Powers'!A128),"|/Meta/Spells/",SUBSTITUTE((SUBSTITUTE(SUBSTITUTE(SUBSTITUTE(SUBSTITUTE(SUBSTITUTE(SUBSTITUTE(SUBSTITUTE(SUBSTITUTE(SUBSTITUTE(SUBSTITUTE(SUBSTITUTE(SUBSTITUTE(SUBSTITUTE(SUBSTITUTE(SUBSTITUTE(SUBSTITUTE('Spells or Powers'!A128,"/",""),"-",""),".",""),",",""),CHAR(34),""),"'",""),"&amp;",""),"*",""),"#",""),"!",""),"?",""),"@",""),":",""),";",""),"(",""),")",""))," ",""),"]]","|",IF(ISBLANK('Spells or Powers'!B128)," ",'Spells or Powers'!B128),"|",IF(ISBLANK('Spells or Powers'!C128)," ",'Spells or Powers'!C128),"|",IF(ISBLANK('Spells or Powers'!D128)," ",'Spells or Powers'!D128),"|",IF(ISBLANK('Spells or Powers'!E128)," ",'Spells or Powers'!E128),"|",IF(ISBLANK('Spells or Powers'!F128)," ",'Spells or Powers'!F128),"|",IF(ISBLANK('Spells or Powers'!G128)," ",'Spells or Powers'!G128),"|",IF(ISBLANK('Spells or Powers'!H128)," ",'Spells or Powers'!H128),"|",IF(ISBLANK('Spells or Powers'!I128)," ",'Spells or Powers'!I128),"|",IF(ISBLANK('Spells or Powers'!J128)," ",'Spells or Powers'!J128),"|",IF(ISBLANK('Spells or Powers'!K128)," ",'Spells or Powers'!K128),"|",IF(ISBLANK('Spells or Powers'!L128)," ",'Spells or Powers'!L128),"|",IF(ISBLANK('Spells or Powers'!M128)," ",'Spells or Powers'!M128),"|",IF(ISBLANK('Spells or Powers'!N128)," ",'Spells or Powers'!N128),"|",IF(ISBLANK('Spells or Powers'!O128)," ",'Spells or Powers'!O128)))</f>
        <v>||||||||||||||</v>
      </c>
    </row>
    <row r="142" spans="1:1" x14ac:dyDescent="0.2">
      <c r="A142" s="440" t="str">
        <f>IF(ISBLANK('Spells or Powers'!A129),"||||||||||||||",CONCATENATE("[[",IF(ISBLANK('Spells or Powers'!A129)," ",'Spells or Powers'!A129),"|/Meta/Spells/",SUBSTITUTE((SUBSTITUTE(SUBSTITUTE(SUBSTITUTE(SUBSTITUTE(SUBSTITUTE(SUBSTITUTE(SUBSTITUTE(SUBSTITUTE(SUBSTITUTE(SUBSTITUTE(SUBSTITUTE(SUBSTITUTE(SUBSTITUTE(SUBSTITUTE(SUBSTITUTE(SUBSTITUTE('Spells or Powers'!A129,"/",""),"-",""),".",""),",",""),CHAR(34),""),"'",""),"&amp;",""),"*",""),"#",""),"!",""),"?",""),"@",""),":",""),";",""),"(",""),")",""))," ",""),"]]","|",IF(ISBLANK('Spells or Powers'!B129)," ",'Spells or Powers'!B129),"|",IF(ISBLANK('Spells or Powers'!C129)," ",'Spells or Powers'!C129),"|",IF(ISBLANK('Spells or Powers'!D129)," ",'Spells or Powers'!D129),"|",IF(ISBLANK('Spells or Powers'!E129)," ",'Spells or Powers'!E129),"|",IF(ISBLANK('Spells or Powers'!F129)," ",'Spells or Powers'!F129),"|",IF(ISBLANK('Spells or Powers'!G129)," ",'Spells or Powers'!G129),"|",IF(ISBLANK('Spells or Powers'!H129)," ",'Spells or Powers'!H129),"|",IF(ISBLANK('Spells or Powers'!I129)," ",'Spells or Powers'!I129),"|",IF(ISBLANK('Spells or Powers'!J129)," ",'Spells or Powers'!J129),"|",IF(ISBLANK('Spells or Powers'!K129)," ",'Spells or Powers'!K129),"|",IF(ISBLANK('Spells or Powers'!L129)," ",'Spells or Powers'!L129),"|",IF(ISBLANK('Spells or Powers'!M129)," ",'Spells or Powers'!M129),"|",IF(ISBLANK('Spells or Powers'!N129)," ",'Spells or Powers'!N129),"|",IF(ISBLANK('Spells or Powers'!O129)," ",'Spells or Powers'!O129)))</f>
        <v>||||||||||||||</v>
      </c>
    </row>
    <row r="143" spans="1:1" x14ac:dyDescent="0.2">
      <c r="A143" s="440" t="str">
        <f>IF(ISBLANK('Spells or Powers'!A130),"||||||||||||||",CONCATENATE("[[",IF(ISBLANK('Spells or Powers'!A130)," ",'Spells or Powers'!A130),"|/Meta/Spells/",SUBSTITUTE((SUBSTITUTE(SUBSTITUTE(SUBSTITUTE(SUBSTITUTE(SUBSTITUTE(SUBSTITUTE(SUBSTITUTE(SUBSTITUTE(SUBSTITUTE(SUBSTITUTE(SUBSTITUTE(SUBSTITUTE(SUBSTITUTE(SUBSTITUTE(SUBSTITUTE(SUBSTITUTE('Spells or Powers'!A130,"/",""),"-",""),".",""),",",""),CHAR(34),""),"'",""),"&amp;",""),"*",""),"#",""),"!",""),"?",""),"@",""),":",""),";",""),"(",""),")",""))," ",""),"]]","|",IF(ISBLANK('Spells or Powers'!B130)," ",'Spells or Powers'!B130),"|",IF(ISBLANK('Spells or Powers'!C130)," ",'Spells or Powers'!C130),"|",IF(ISBLANK('Spells or Powers'!D130)," ",'Spells or Powers'!D130),"|",IF(ISBLANK('Spells or Powers'!E130)," ",'Spells or Powers'!E130),"|",IF(ISBLANK('Spells or Powers'!F130)," ",'Spells or Powers'!F130),"|",IF(ISBLANK('Spells or Powers'!G130)," ",'Spells or Powers'!G130),"|",IF(ISBLANK('Spells or Powers'!H130)," ",'Spells or Powers'!H130),"|",IF(ISBLANK('Spells or Powers'!I130)," ",'Spells or Powers'!I130),"|",IF(ISBLANK('Spells or Powers'!J130)," ",'Spells or Powers'!J130),"|",IF(ISBLANK('Spells or Powers'!K130)," ",'Spells or Powers'!K130),"|",IF(ISBLANK('Spells or Powers'!L130)," ",'Spells or Powers'!L130),"|",IF(ISBLANK('Spells or Powers'!M130)," ",'Spells or Powers'!M130),"|",IF(ISBLANK('Spells or Powers'!N130)," ",'Spells or Powers'!N130),"|",IF(ISBLANK('Spells or Powers'!O130)," ",'Spells or Powers'!O130)))</f>
        <v>||||||||||||||</v>
      </c>
    </row>
    <row r="144" spans="1:1" x14ac:dyDescent="0.2">
      <c r="A144" s="440" t="str">
        <f>IF(ISBLANK('Spells or Powers'!A131),"||||||||||||||",CONCATENATE("[[",IF(ISBLANK('Spells or Powers'!A131)," ",'Spells or Powers'!A131),"|/Meta/Spells/",SUBSTITUTE((SUBSTITUTE(SUBSTITUTE(SUBSTITUTE(SUBSTITUTE(SUBSTITUTE(SUBSTITUTE(SUBSTITUTE(SUBSTITUTE(SUBSTITUTE(SUBSTITUTE(SUBSTITUTE(SUBSTITUTE(SUBSTITUTE(SUBSTITUTE(SUBSTITUTE(SUBSTITUTE('Spells or Powers'!A131,"/",""),"-",""),".",""),",",""),CHAR(34),""),"'",""),"&amp;",""),"*",""),"#",""),"!",""),"?",""),"@",""),":",""),";",""),"(",""),")",""))," ",""),"]]","|",IF(ISBLANK('Spells or Powers'!B131)," ",'Spells or Powers'!B131),"|",IF(ISBLANK('Spells or Powers'!C131)," ",'Spells or Powers'!C131),"|",IF(ISBLANK('Spells or Powers'!D131)," ",'Spells or Powers'!D131),"|",IF(ISBLANK('Spells or Powers'!E131)," ",'Spells or Powers'!E131),"|",IF(ISBLANK('Spells or Powers'!F131)," ",'Spells or Powers'!F131),"|",IF(ISBLANK('Spells or Powers'!G131)," ",'Spells or Powers'!G131),"|",IF(ISBLANK('Spells or Powers'!H131)," ",'Spells or Powers'!H131),"|",IF(ISBLANK('Spells or Powers'!I131)," ",'Spells or Powers'!I131),"|",IF(ISBLANK('Spells or Powers'!J131)," ",'Spells or Powers'!J131),"|",IF(ISBLANK('Spells or Powers'!K131)," ",'Spells or Powers'!K131),"|",IF(ISBLANK('Spells or Powers'!L131)," ",'Spells or Powers'!L131),"|",IF(ISBLANK('Spells or Powers'!M131)," ",'Spells or Powers'!M131),"|",IF(ISBLANK('Spells or Powers'!N131)," ",'Spells or Powers'!N131),"|",IF(ISBLANK('Spells or Powers'!O131)," ",'Spells or Powers'!O131)))</f>
        <v>||||||||||||||</v>
      </c>
    </row>
    <row r="145" spans="1:1" x14ac:dyDescent="0.2">
      <c r="A145" s="440" t="str">
        <f>IF(ISBLANK('Spells or Powers'!A132),"||||||||||||||",CONCATENATE("[[",IF(ISBLANK('Spells or Powers'!A132)," ",'Spells or Powers'!A132),"|/Meta/Spells/",SUBSTITUTE((SUBSTITUTE(SUBSTITUTE(SUBSTITUTE(SUBSTITUTE(SUBSTITUTE(SUBSTITUTE(SUBSTITUTE(SUBSTITUTE(SUBSTITUTE(SUBSTITUTE(SUBSTITUTE(SUBSTITUTE(SUBSTITUTE(SUBSTITUTE(SUBSTITUTE(SUBSTITUTE('Spells or Powers'!A132,"/",""),"-",""),".",""),",",""),CHAR(34),""),"'",""),"&amp;",""),"*",""),"#",""),"!",""),"?",""),"@",""),":",""),";",""),"(",""),")",""))," ",""),"]]","|",IF(ISBLANK('Spells or Powers'!B132)," ",'Spells or Powers'!B132),"|",IF(ISBLANK('Spells or Powers'!C132)," ",'Spells or Powers'!C132),"|",IF(ISBLANK('Spells or Powers'!D132)," ",'Spells or Powers'!D132),"|",IF(ISBLANK('Spells or Powers'!E132)," ",'Spells or Powers'!E132),"|",IF(ISBLANK('Spells or Powers'!F132)," ",'Spells or Powers'!F132),"|",IF(ISBLANK('Spells or Powers'!G132)," ",'Spells or Powers'!G132),"|",IF(ISBLANK('Spells or Powers'!H132)," ",'Spells or Powers'!H132),"|",IF(ISBLANK('Spells or Powers'!I132)," ",'Spells or Powers'!I132),"|",IF(ISBLANK('Spells or Powers'!J132)," ",'Spells or Powers'!J132),"|",IF(ISBLANK('Spells or Powers'!K132)," ",'Spells or Powers'!K132),"|",IF(ISBLANK('Spells or Powers'!L132)," ",'Spells or Powers'!L132),"|",IF(ISBLANK('Spells or Powers'!M132)," ",'Spells or Powers'!M132),"|",IF(ISBLANK('Spells or Powers'!N132)," ",'Spells or Powers'!N132),"|",IF(ISBLANK('Spells or Powers'!O132)," ",'Spells or Powers'!O132)))</f>
        <v>||||||||||||||</v>
      </c>
    </row>
    <row r="146" spans="1:1" x14ac:dyDescent="0.2">
      <c r="A146" s="440" t="str">
        <f>IF(ISBLANK('Spells or Powers'!A133),"||||||||||||||",CONCATENATE("[[",IF(ISBLANK('Spells or Powers'!A133)," ",'Spells or Powers'!A133),"|/Meta/Spells/",SUBSTITUTE((SUBSTITUTE(SUBSTITUTE(SUBSTITUTE(SUBSTITUTE(SUBSTITUTE(SUBSTITUTE(SUBSTITUTE(SUBSTITUTE(SUBSTITUTE(SUBSTITUTE(SUBSTITUTE(SUBSTITUTE(SUBSTITUTE(SUBSTITUTE(SUBSTITUTE(SUBSTITUTE('Spells or Powers'!A133,"/",""),"-",""),".",""),",",""),CHAR(34),""),"'",""),"&amp;",""),"*",""),"#",""),"!",""),"?",""),"@",""),":",""),";",""),"(",""),")",""))," ",""),"]]","|",IF(ISBLANK('Spells or Powers'!B133)," ",'Spells or Powers'!B133),"|",IF(ISBLANK('Spells or Powers'!C133)," ",'Spells or Powers'!C133),"|",IF(ISBLANK('Spells or Powers'!D133)," ",'Spells or Powers'!D133),"|",IF(ISBLANK('Spells or Powers'!E133)," ",'Spells or Powers'!E133),"|",IF(ISBLANK('Spells or Powers'!F133)," ",'Spells or Powers'!F133),"|",IF(ISBLANK('Spells or Powers'!G133)," ",'Spells or Powers'!G133),"|",IF(ISBLANK('Spells or Powers'!H133)," ",'Spells or Powers'!H133),"|",IF(ISBLANK('Spells or Powers'!I133)," ",'Spells or Powers'!I133),"|",IF(ISBLANK('Spells or Powers'!J133)," ",'Spells or Powers'!J133),"|",IF(ISBLANK('Spells or Powers'!K133)," ",'Spells or Powers'!K133),"|",IF(ISBLANK('Spells or Powers'!L133)," ",'Spells or Powers'!L133),"|",IF(ISBLANK('Spells or Powers'!M133)," ",'Spells or Powers'!M133),"|",IF(ISBLANK('Spells or Powers'!N133)," ",'Spells or Powers'!N133),"|",IF(ISBLANK('Spells or Powers'!O133)," ",'Spells or Powers'!O133)))</f>
        <v>||||||||||||||</v>
      </c>
    </row>
    <row r="147" spans="1:1" x14ac:dyDescent="0.2">
      <c r="A147" s="381" t="s">
        <v>484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51"/>
  <sheetViews>
    <sheetView workbookViewId="0"/>
  </sheetViews>
  <sheetFormatPr defaultRowHeight="12.75" x14ac:dyDescent="0.2"/>
  <sheetData>
    <row r="1" spans="1:11" x14ac:dyDescent="0.2">
      <c r="A1" s="462" t="str">
        <f>'Wiki - Main'!A1</f>
        <v>[[!template id=character name=" " house=" " job=" " rank=" " appage=-683 born=/0/0 updated=1216/10/13 covenant=" " parens=" " origin=" " ethnicity=" " religion=" " age=-683 ]]</v>
      </c>
    </row>
    <row r="2" spans="1:11" x14ac:dyDescent="0.2">
      <c r="A2" s="440" t="str">
        <f>'Wiki - Main'!A2</f>
        <v xml:space="preserve">##  </v>
      </c>
    </row>
    <row r="3" spans="1:11" x14ac:dyDescent="0.2">
      <c r="A3" s="440"/>
    </row>
    <row r="4" spans="1:11" x14ac:dyDescent="0.2">
      <c r="A4" s="440" t="str">
        <f>CONCATENATE("----")</f>
        <v>----</v>
      </c>
    </row>
    <row r="5" spans="1:11" x14ac:dyDescent="0.2">
      <c r="A5" s="440" t="str">
        <f>'Wiki - Main'!A5</f>
        <v>[[Main|]] / [[Magic|/Magic]] / [[Skills|/Skills]] / [[Stats|/Stats]] / [[Additional Detail|/AdditionalDetail]]</v>
      </c>
    </row>
    <row r="6" spans="1:11" x14ac:dyDescent="0.2">
      <c r="A6" s="440"/>
    </row>
    <row r="7" spans="1:11" x14ac:dyDescent="0.2">
      <c r="A7" s="440" t="str">
        <f>CONCATENATE("----")</f>
        <v>----</v>
      </c>
    </row>
    <row r="8" spans="1:11" x14ac:dyDescent="0.2">
      <c r="A8" s="440" t="str">
        <f>CONCATENATE("[[Main Skills Chart|",'Start Character'!B2,"/Skills#Main]]"," | ","[[Other Skills Chart|",'Start Character'!B2,"/Skills#Second]]"," | ","[[General Abilities|",'Start Character'!B2,"/Skills#General]]"," | ","[[Academic Abilities|",'Start Character'!B2,"/Skills#Academic]]"," | ","[[Lores|",'Start Character'!B2,"/Skills#Lores]]"," | ","[[Crafts/Professions|",'Start Character'!B2,"/Skills#Crafts]]"," | ","[[Arcane Abilities|",'Start Character'!B2,"/Skills#Arcane]]"," | ","[[Martial Abilities|",'Start Character'!B2,"/Skills#Martial]]"," | ","[[Other Abilities|",'Start Character'!B2,"/Skills#Other]]"," | ","[[Languages|",'Start Character'!B2,"/Skills#Languages]]"," | ","[[Supernatural Abilities|",'Start Character'!B2,"/Skills#Supernatural]]")</f>
        <v>[[Main Skills Chart|/Skills#Main]] | [[Other Skills Chart|/Skills#Second]] | [[General Abilities|/Skills#General]] | [[Academic Abilities|/Skills#Academic]] | [[Lores|/Skills#Lores]] | [[Crafts/Professions|/Skills#Crafts]] | [[Arcane Abilities|/Skills#Arcane]] | [[Martial Abilities|/Skills#Martial]] | [[Other Abilities|/Skills#Other]] | [[Languages|/Skills#Languages]] | [[Supernatural Abilities|/Skills#Supernatural]]</v>
      </c>
    </row>
    <row r="9" spans="1:11" x14ac:dyDescent="0.2">
      <c r="A9" s="440"/>
    </row>
    <row r="10" spans="1:11" x14ac:dyDescent="0.2">
      <c r="A10" s="440" t="str">
        <f>CONCATENATE("----")</f>
        <v>----</v>
      </c>
    </row>
    <row r="11" spans="1:11" x14ac:dyDescent="0.2">
      <c r="A11" s="440" t="str">
        <f>CONCATENATE("[[!template id=divbox content=",CHAR(34),CHAR(34),CHAR(34))</f>
        <v>[[!template id=divbox content="""</v>
      </c>
    </row>
    <row r="12" spans="1:11" x14ac:dyDescent="0.2">
      <c r="A12" s="440" t="str">
        <f>CONCATENATE("&lt;a id=","Main",CHAR(34)," /&gt;")</f>
        <v>&lt;a id=Main" /&gt;</v>
      </c>
    </row>
    <row r="13" spans="1:11" x14ac:dyDescent="0.2">
      <c r="A13" s="440" t="str">
        <f>CONCATENATE("### ","Main Skills Chart")</f>
        <v>### Main Skills Chart</v>
      </c>
    </row>
    <row r="14" spans="1:11" x14ac:dyDescent="0.2">
      <c r="A14" s="440" t="str">
        <f>CONCATENATE(Skills!A1,"|",Skills!B1,"|",Skills!C1,"|",Skills!D1,"|",Skills!E1,"|",Skills!F1,"|",Skills!G1,"|",Skills!H1,"|",Skills!I1,"|",Skills!J1,"|",Skills!K1)</f>
        <v>Skill|P?|Specialty|Int|Per|Pre|Com|Str|Sta|Dex|Qui</v>
      </c>
      <c r="K14" s="70"/>
    </row>
    <row r="15" spans="1:11" x14ac:dyDescent="0.2">
      <c r="A15" s="440" t="s">
        <v>476</v>
      </c>
    </row>
    <row r="16" spans="1:11" x14ac:dyDescent="0.2">
      <c r="A16" s="440" t="str">
        <f>CONCATENATE(Skills!A2,"|",Skills!B2,"|",Skills!C2,"|",Skills!D2,"|",Skills!E2,"|",Skills!F2,"|",Skills!G2,"|",Skills!H2,"|",Skills!I2,"|",Skills!J2,"|",Skills!K2)</f>
        <v>Animal Handling|No| |0|0|0|0|0|0|0|0</v>
      </c>
    </row>
    <row r="17" spans="1:19" x14ac:dyDescent="0.2">
      <c r="A17" s="440" t="str">
        <f>CONCATENATE(Skills!A3,"|",Skills!B3,"|",Skills!C3,"|",Skills!D3,"|",Skills!E3,"|",Skills!F3,"|",Skills!G3,"|",Skills!H3,"|",Skills!I3,"|",Skills!J3,"|",Skills!K3)</f>
        <v>Athletics|No| |0|0|0|0|0|0|0|0</v>
      </c>
    </row>
    <row r="18" spans="1:19" x14ac:dyDescent="0.2">
      <c r="A18" s="440" t="str">
        <f>CONCATENATE(Skills!A4,"|",Skills!B4,"|",Skills!C4,"|",Skills!D4,"|",Skills!E4,"|",Skills!F4,"|",Skills!G4,"|",Skills!H4,"|",Skills!I4,"|",Skills!J4,"|",Skills!K4)</f>
        <v>Awareness|No| |0|0|0|0|0|0|0|0</v>
      </c>
      <c r="S18" s="70"/>
    </row>
    <row r="19" spans="1:19" x14ac:dyDescent="0.2">
      <c r="A19" s="440" t="str">
        <f>CONCATENATE(Skills!A5,"|",Skills!B5,"|",Skills!C5,"|",Skills!D5,"|",Skills!E5,"|",Skills!F5,"|",Skills!G5,"|",Skills!H5,"|",Skills!I5,"|",Skills!J5,"|",Skills!K5)</f>
        <v>Bargain|No| |0|0|0|0|0|0|0|0</v>
      </c>
      <c r="S19" s="70"/>
    </row>
    <row r="20" spans="1:19" x14ac:dyDescent="0.2">
      <c r="A20" s="440" t="str">
        <f>CONCATENATE(Skills!A6,"|",Skills!B6,"|",Skills!C6,"|",Skills!D6,"|",Skills!E6,"|",Skills!F6,"|",Skills!G6,"|",Skills!H6,"|",Skills!I6,"|",Skills!J6,"|",Skills!K6)</f>
        <v>Brawl|No| |0|0|0|0|0|0|0|0</v>
      </c>
      <c r="S20" s="70"/>
    </row>
    <row r="21" spans="1:19" x14ac:dyDescent="0.2">
      <c r="A21" s="440" t="str">
        <f>CONCATENATE(Skills!A7,"|",Skills!B7,"|",Skills!C7,"|",Skills!D7,"|",Skills!E7,"|",Skills!F7,"|",Skills!G7,"|",Skills!H7,"|",Skills!I7,"|",Skills!J7,"|",Skills!K7)</f>
        <v>Carouse|No| |0|0|0|0|0|0|0|0</v>
      </c>
      <c r="S21" s="70"/>
    </row>
    <row r="22" spans="1:19" x14ac:dyDescent="0.2">
      <c r="A22" s="440" t="str">
        <f>CONCATENATE(Skills!A8,"|",Skills!B8,"|",Skills!C8,"|",Skills!D8,"|",Skills!E8,"|",Skills!F8,"|",Skills!G8,"|",Skills!H8,"|",Skills!I8,"|",Skills!J8,"|",Skills!K8)</f>
        <v>Charm|No| |0|0|0|0|0|0|0|0</v>
      </c>
      <c r="S22" s="70"/>
    </row>
    <row r="23" spans="1:19" x14ac:dyDescent="0.2">
      <c r="A23" s="440" t="str">
        <f>CONCATENATE(Skills!A9,"|",Skills!B9,"|",Skills!C9,"|",Skills!D9,"|",Skills!E9,"|",Skills!F9,"|",Skills!G9,"|",Skills!H9,"|",Skills!I9,"|",Skills!J9,"|",Skills!K9)</f>
        <v xml:space="preserve">Chirurgy|No| | | | | | | | | </v>
      </c>
      <c r="S23" s="70"/>
    </row>
    <row r="24" spans="1:19" x14ac:dyDescent="0.2">
      <c r="A24" s="440" t="str">
        <f>CONCATENATE(Skills!A10,"|",Skills!B10,"|",Skills!C10,"|",Skills!D10,"|",Skills!E10,"|",Skills!F10,"|",Skills!G10,"|",Skills!H10,"|",Skills!I10,"|",Skills!J10,"|",Skills!K10)</f>
        <v>Concentration|No| |0|0|0|0|0|0|0|0</v>
      </c>
      <c r="S24" s="70"/>
    </row>
    <row r="25" spans="1:19" x14ac:dyDescent="0.2">
      <c r="A25" s="440" t="str">
        <f>CONCATENATE(Skills!A11,"|",Skills!B11,"|",Skills!C11,"|",Skills!D11,"|",Skills!E11,"|",Skills!F11,"|",Skills!G11,"|",Skills!H11,"|",Skills!I11,"|",Skills!J11,"|",Skills!K11)</f>
        <v>Etiquette|No| |0|0|0|0|0|0|0|0</v>
      </c>
      <c r="S25" s="70"/>
    </row>
    <row r="26" spans="1:19" x14ac:dyDescent="0.2">
      <c r="A26" s="440" t="str">
        <f>CONCATENATE(Skills!A12,"|",Skills!B12,"|",Skills!C12,"|",Skills!D12,"|",Skills!E12,"|",Skills!F12,"|",Skills!G12,"|",Skills!H12,"|",Skills!I12,"|",Skills!J12,"|",Skills!K12)</f>
        <v>Folk Ken|No| |0|0|0|0|0|0|0|0</v>
      </c>
    </row>
    <row r="27" spans="1:19" x14ac:dyDescent="0.2">
      <c r="A27" s="440" t="str">
        <f>CONCATENATE(Skills!A13,"|",Skills!B13,"|",Skills!C13,"|",Skills!D13,"|",Skills!E13,"|",Skills!F13,"|",Skills!G13,"|",Skills!H13,"|",Skills!I13,"|",Skills!J13,"|",Skills!K13)</f>
        <v>Guile |No| |0|0|0|0|0|0|0|0</v>
      </c>
    </row>
    <row r="28" spans="1:19" x14ac:dyDescent="0.2">
      <c r="A28" s="440" t="str">
        <f>CONCATENATE(Skills!A14,"|",Skills!B14,"|",Skills!C14,"|",Skills!D14,"|",Skills!E14,"|",Skills!F14,"|",Skills!G14,"|",Skills!H14,"|",Skills!I14,"|",Skills!J14,"|",Skills!K14)</f>
        <v>Hunt|No| |0|0|0|0|0|0|0|0</v>
      </c>
    </row>
    <row r="29" spans="1:19" x14ac:dyDescent="0.2">
      <c r="A29" s="440" t="str">
        <f>CONCATENATE(Skills!A15,"|",Skills!B15,"|",Skills!C15,"|",Skills!D15,"|",Skills!E15,"|",Skills!F15,"|",Skills!G15,"|",Skills!H15,"|",Skills!I15,"|",Skills!J15,"|",Skills!K15)</f>
        <v>Intrigue|No| |0|0|0|0|0|0|0|0</v>
      </c>
    </row>
    <row r="30" spans="1:19" x14ac:dyDescent="0.2">
      <c r="A30" s="440" t="str">
        <f>CONCATENATE(Skills!A16,"|",Skills!B16,"|",Skills!C16,"|",Skills!D16,"|",Skills!E16,"|",Skills!F16,"|",Skills!G16,"|",Skills!H16,"|",Skills!I16,"|",Skills!J16,"|",Skills!K16)</f>
        <v>Leadership|No| |0|0|0|0|0|0|0|0</v>
      </c>
    </row>
    <row r="31" spans="1:19" x14ac:dyDescent="0.2">
      <c r="A31" s="440" t="str">
        <f>CONCATENATE(Skills!A17,"|",Skills!B17,"|",Skills!C17,"|",Skills!D17,"|",Skills!E17,"|",Skills!F17,"|",Skills!G17,"|",Skills!H17,"|",Skills!I17,"|",Skills!J17,"|",Skills!K17)</f>
        <v xml:space="preserve">Legerdemain|No| | | | | | | | | </v>
      </c>
    </row>
    <row r="32" spans="1:19" x14ac:dyDescent="0.2">
      <c r="A32" s="440" t="str">
        <f>CONCATENATE(Skills!A18,"|",Skills!B18,"|",Skills!C18,"|",Skills!D18,"|",Skills!E18,"|",Skills!F18,"|",Skills!G18,"|",Skills!H18,"|",Skills!I18,"|",Skills!J18,"|",Skills!K18)</f>
        <v>Music|No| |0|0|0|0|0|0|0|0</v>
      </c>
    </row>
    <row r="33" spans="1:1" x14ac:dyDescent="0.2">
      <c r="A33" s="440" t="str">
        <f>CONCATENATE(Skills!A19,"|",Skills!B19,"|",Skills!C19,"|",Skills!D19,"|",Skills!E19,"|",Skills!F19,"|",Skills!G19,"|",Skills!H19,"|",Skills!I19,"|",Skills!J19,"|",Skills!K19)</f>
        <v>Ride|No| |0|0|0|0|0|0|0|0</v>
      </c>
    </row>
    <row r="34" spans="1:1" x14ac:dyDescent="0.2">
      <c r="A34" s="440" t="str">
        <f>CONCATENATE(Skills!A20,"|",Skills!B20,"|",Skills!C20,"|",Skills!D20,"|",Skills!E20,"|",Skills!F20,"|",Skills!G20,"|",Skills!H20,"|",Skills!I20,"|",Skills!J20,"|",Skills!K20)</f>
        <v>Stealth|No| |0|0|0|0|0|0|0|0</v>
      </c>
    </row>
    <row r="35" spans="1:1" x14ac:dyDescent="0.2">
      <c r="A35" s="440" t="str">
        <f>CONCATENATE(Skills!A21,"|",Skills!B21,"|",Skills!C21,"|",Skills!D21,"|",Skills!E21,"|",Skills!F21,"|",Skills!G21,"|",Skills!H21,"|",Skills!I21,"|",Skills!J21,"|",Skills!K21)</f>
        <v>Survival|No| |0|0|0|0|0|0|0|0</v>
      </c>
    </row>
    <row r="36" spans="1:1" x14ac:dyDescent="0.2">
      <c r="A36" s="440" t="str">
        <f>CONCATENATE(Skills!A22,"|",Skills!B22,"|",Skills!C22,"|",Skills!D22,"|",Skills!E22,"|",Skills!F22,"|",Skills!G22,"|",Skills!H22,"|",Skills!I22,"|",Skills!J22,"|",Skills!K22)</f>
        <v>Swim|No| |0|0|0|0|0|0|0|0</v>
      </c>
    </row>
    <row r="37" spans="1:1" x14ac:dyDescent="0.2">
      <c r="A37" s="440" t="str">
        <f>CONCATENATE(Skills!A23,"|",Skills!B23,"|",Skills!C23,"|",Skills!D23,"|",Skills!E23,"|",Skills!F23,"|",Skills!G23,"|",Skills!H23,"|",Skills!I23,"|",Skills!J23,"|",Skills!K23)</f>
        <v>Teaching|No| |0|0|0|0|0|0|0|0</v>
      </c>
    </row>
    <row r="38" spans="1:1" x14ac:dyDescent="0.2">
      <c r="A38" s="440" t="s">
        <v>477</v>
      </c>
    </row>
    <row r="39" spans="1:1" x14ac:dyDescent="0.2">
      <c r="A39" s="440"/>
    </row>
    <row r="40" spans="1:1" x14ac:dyDescent="0.2">
      <c r="A40" s="440" t="str">
        <f>CONCATENATE(Skills!A24,"|",Skills!B24,"|",Skills!C24,"|",Skills!D24,"|",Skills!E24,"|",Skills!F24,"|",Skills!G24,"|",Skills!H24,"|",Skills!I24,"|",Skills!J24,"|",Skills!K24)</f>
        <v xml:space="preserve">Artes Liberales|No| | | | | | | | | </v>
      </c>
    </row>
    <row r="41" spans="1:1" x14ac:dyDescent="0.2">
      <c r="A41" s="440" t="str">
        <f>CONCATENATE(Skills!A25,"|",Skills!B25,"|",Skills!C25,"|",Skills!D25,"|",Skills!E25,"|",Skills!F25,"|",Skills!G25,"|",Skills!H25,"|",Skills!I25,"|",Skills!J25,"|",Skills!K25)</f>
        <v xml:space="preserve">Civil and Canon Law|No| | | | | | | | | </v>
      </c>
    </row>
    <row r="42" spans="1:1" x14ac:dyDescent="0.2">
      <c r="A42" s="440" t="str">
        <f>CONCATENATE(Skills!A26,"|",Skills!B26,"|",Skills!C26,"|",Skills!D26,"|",Skills!E26,"|",Skills!F26,"|",Skills!G26,"|",Skills!H26,"|",Skills!I26,"|",Skills!J26,"|",Skills!K26)</f>
        <v xml:space="preserve">Common Law|No| | | | | | | | | </v>
      </c>
    </row>
    <row r="43" spans="1:1" x14ac:dyDescent="0.2">
      <c r="A43" s="440" t="str">
        <f>CONCATENATE(Skills!A27,"|",Skills!B27,"|",Skills!C27,"|",Skills!D27,"|",Skills!E27,"|",Skills!F27,"|",Skills!G27,"|",Skills!H27,"|",Skills!I27,"|",Skills!J27,"|",Skills!K27)</f>
        <v xml:space="preserve">Medicine|No| | | | | | | | | </v>
      </c>
    </row>
    <row r="44" spans="1:1" x14ac:dyDescent="0.2">
      <c r="A44" s="440" t="str">
        <f>CONCATENATE(Skills!A28,"|",Skills!B28,"|",Skills!C28,"|",Skills!D28,"|",Skills!E28,"|",Skills!F28,"|",Skills!G28,"|",Skills!H28,"|",Skills!I28,"|",Skills!J28,"|",Skills!K28)</f>
        <v xml:space="preserve">Philosophiae|No| | | | | | | | | </v>
      </c>
    </row>
    <row r="45" spans="1:1" x14ac:dyDescent="0.2">
      <c r="A45" s="440" t="str">
        <f>CONCATENATE(Skills!A29,"|",Skills!B29,"|",Skills!C29,"|",Skills!D29,"|",Skills!E29,"|",Skills!F29,"|",Skills!G29,"|",Skills!H29,"|",Skills!I29,"|",Skills!J29,"|",Skills!K29)</f>
        <v xml:space="preserve">Theology|No| | | | | | | | | </v>
      </c>
    </row>
    <row r="46" spans="1:1" x14ac:dyDescent="0.2">
      <c r="A46" s="440" t="s">
        <v>477</v>
      </c>
    </row>
    <row r="47" spans="1:1" x14ac:dyDescent="0.2">
      <c r="A47" s="440"/>
    </row>
    <row r="48" spans="1:1" x14ac:dyDescent="0.2">
      <c r="A48" s="440" t="str">
        <f>CONCATENATE(Skills!A30,"|",Skills!B30,"|",Skills!C30,"|",Skills!D30,"|",Skills!E30,"|",Skills!F30,"|",Skills!G30,"|",Skills!H30,"|",Skills!I30,"|",Skills!J30,"|",Skills!K30)</f>
        <v xml:space="preserve">Code of Hermes|No| | | | | | | | | </v>
      </c>
    </row>
    <row r="49" spans="1:12" x14ac:dyDescent="0.2">
      <c r="A49" s="440" t="str">
        <f>CONCATENATE(Skills!A31,"|",Skills!B31,"|",Skills!C31,"|",Skills!D31,"|",Skills!E31,"|",Skills!F31,"|",Skills!G31,"|",Skills!H31,"|",Skills!I31,"|",Skills!J31,"|",Skills!K31)</f>
        <v xml:space="preserve">Dominion Lore|No| | | | | | | | | </v>
      </c>
    </row>
    <row r="50" spans="1:12" x14ac:dyDescent="0.2">
      <c r="A50" s="440" t="str">
        <f>CONCATENATE(Skills!A32,"|",Skills!B32,"|",Skills!C32,"|",Skills!D32,"|",Skills!E32,"|",Skills!F32,"|",Skills!G32,"|",Skills!H32,"|",Skills!I32,"|",Skills!J32,"|",Skills!K32)</f>
        <v xml:space="preserve">Faerie Lore|No| | | | | | | | | </v>
      </c>
    </row>
    <row r="51" spans="1:12" x14ac:dyDescent="0.2">
      <c r="A51" s="440" t="str">
        <f>CONCATENATE(Skills!A33,"|",Skills!B33,"|",Skills!C33,"|",Skills!D33,"|",Skills!E33,"|",Skills!F33,"|",Skills!G33,"|",Skills!H33,"|",Skills!I33,"|",Skills!J33,"|",Skills!K33)</f>
        <v>Finesse|No| |0|0|0|0|0|0|0|0</v>
      </c>
    </row>
    <row r="52" spans="1:12" x14ac:dyDescent="0.2">
      <c r="A52" s="440" t="str">
        <f>CONCATENATE(Skills!A34,"|",Skills!B34,"|",Skills!C34,"|",Skills!D34,"|",Skills!E34,"|",Skills!F34,"|",Skills!G34,"|",Skills!H34,"|",Skills!I34,"|",Skills!J34,"|",Skills!K34)</f>
        <v xml:space="preserve">Infernal Lore|No| | | | | | | | | </v>
      </c>
    </row>
    <row r="53" spans="1:12" x14ac:dyDescent="0.2">
      <c r="A53" s="440" t="str">
        <f>CONCATENATE(Skills!A35,"|",Skills!B35,"|",Skills!C35,"|",Skills!D35,"|",Skills!E35,"|",Skills!F35,"|",Skills!G35,"|",Skills!H35,"|",Skills!I35,"|",Skills!J35,"|",Skills!K35)</f>
        <v xml:space="preserve">Magic Lore|No| | | | | | | | | </v>
      </c>
    </row>
    <row r="54" spans="1:12" x14ac:dyDescent="0.2">
      <c r="A54" s="440" t="str">
        <f>CONCATENATE(Skills!A36,"|",Skills!B36,"|",Skills!C36,"|",Skills!D36,"|",Skills!E36,"|",Skills!F36,"|",Skills!G36,"|",Skills!H36,"|",Skills!I36,"|",Skills!J36,"|",Skills!K36)</f>
        <v>Magic Theory|No| |0|0|0|0|0|0|0|0</v>
      </c>
    </row>
    <row r="55" spans="1:12" x14ac:dyDescent="0.2">
      <c r="A55" s="440" t="str">
        <f>CONCATENATE(Skills!A37,"|",Skills!B37,"|",Skills!C37,"|",Skills!D37,"|",Skills!E37,"|",Skills!F37,"|",Skills!G37,"|",Skills!H37,"|",Skills!I37,"|",Skills!J37,"|",Skills!K37)</f>
        <v xml:space="preserve">Parma Magica|No| | | | | | | | | </v>
      </c>
    </row>
    <row r="56" spans="1:12" x14ac:dyDescent="0.2">
      <c r="A56" s="440" t="str">
        <f>CONCATENATE(Skills!A38,"|",Skills!B38,"|",Skills!C38,"|",Skills!D38,"|",Skills!E38,"|",Skills!F38,"|",Skills!G38,"|",Skills!H38,"|",Skills!I38,"|",Skills!J38,"|",Skills!K38)</f>
        <v>Penetration|No| |0|0|0|0|0|0|0|0</v>
      </c>
    </row>
    <row r="57" spans="1:12" x14ac:dyDescent="0.2">
      <c r="A57" s="440" t="s">
        <v>477</v>
      </c>
    </row>
    <row r="58" spans="1:12" x14ac:dyDescent="0.2">
      <c r="A58" s="440"/>
    </row>
    <row r="59" spans="1:12" x14ac:dyDescent="0.2">
      <c r="A59" s="440" t="str">
        <f>CONCATENATE(Skills!A39,"|",Skills!B39,"|",Skills!C39,"|",Skills!D39,"|",Skills!E39,"|",Skills!F39,"|",Skills!G39,"|",Skills!H39,"|",Skills!I39,"|",Skills!J39,"|",Skills!K39)</f>
        <v>Bows|No| |0|0|0|0|0|0|0|0</v>
      </c>
    </row>
    <row r="60" spans="1:12" x14ac:dyDescent="0.2">
      <c r="A60" s="440" t="str">
        <f>CONCATENATE(Skills!A40,"|",Skills!B40,"|",Skills!C40,"|",Skills!D40,"|",Skills!E40,"|",Skills!F40,"|",Skills!G40,"|",Skills!H40,"|",Skills!I40,"|",Skills!J40,"|",Skills!K40)</f>
        <v>Great Weapon|No| |0|0|0|0|0|0|0|0</v>
      </c>
    </row>
    <row r="61" spans="1:12" x14ac:dyDescent="0.2">
      <c r="A61" s="440" t="str">
        <f>CONCATENATE(Skills!A41,"|",Skills!B41,"|",Skills!C41,"|",Skills!D41,"|",Skills!E41,"|",Skills!F41,"|",Skills!G41,"|",Skills!H41,"|",Skills!I41,"|",Skills!J41,"|",Skills!K41)</f>
        <v>Single Weapon|No| |0|0|0|0|0|0|0|0</v>
      </c>
      <c r="L61" s="70"/>
    </row>
    <row r="62" spans="1:12" x14ac:dyDescent="0.2">
      <c r="A62" s="440" t="str">
        <f>CONCATENATE(Skills!A42,"|",Skills!B42,"|",Skills!C42,"|",Skills!D42,"|",Skills!E42,"|",Skills!F42,"|",Skills!G42,"|",Skills!H42,"|",Skills!I42,"|",Skills!J42,"|",Skills!K42)</f>
        <v>Thrown Weapon|No| |0|0|0|0|0|0|0|0</v>
      </c>
      <c r="L62" s="70"/>
    </row>
    <row r="63" spans="1:12" x14ac:dyDescent="0.2">
      <c r="A63" s="440" t="s">
        <v>477</v>
      </c>
      <c r="L63" s="70"/>
    </row>
    <row r="64" spans="1:12" x14ac:dyDescent="0.2">
      <c r="A64" s="440" t="str">
        <f>CONCATENATE(CHAR(34),CHAR(34),CHAR(34),"]]")</f>
        <v>"""]]</v>
      </c>
    </row>
    <row r="65" spans="1:1" x14ac:dyDescent="0.2">
      <c r="A65" s="440" t="str">
        <f>CONCATENATE("[[!template id=divbox content=",CHAR(34),CHAR(34),CHAR(34))</f>
        <v>[[!template id=divbox content="""</v>
      </c>
    </row>
    <row r="66" spans="1:1" x14ac:dyDescent="0.2">
      <c r="A66" s="440" t="str">
        <f>CONCATENATE("&lt;a id=","Second",CHAR(34)," /&gt;")</f>
        <v>&lt;a id=Second" /&gt;</v>
      </c>
    </row>
    <row r="67" spans="1:1" x14ac:dyDescent="0.2">
      <c r="A67" s="440" t="str">
        <f>CONCATENATE("### ","Other Skills Chart")</f>
        <v>### Other Skills Chart</v>
      </c>
    </row>
    <row r="68" spans="1:1" x14ac:dyDescent="0.2">
      <c r="A68" s="440" t="str">
        <f>CONCATENATE(Skills!M1,"|",Skills!N1,"|",Skills!O1,"|",Skills!P1,"|",Skills!Q1,"|",Skills!R1,"|",Skills!S1,"|",Skills!T1,"|",Skills!U1,"|",Skills!V1,"|",Skills!W1)</f>
        <v>Skill|P?|Specialty|Int|Per|Pre|Com|Str|Sta|Dex|Qui</v>
      </c>
    </row>
    <row r="69" spans="1:1" x14ac:dyDescent="0.2">
      <c r="A69" s="440" t="s">
        <v>459</v>
      </c>
    </row>
    <row r="70" spans="1:1" x14ac:dyDescent="0.2">
      <c r="A70" s="440" t="str">
        <f>IF(Skills!M2=" ","||||||||||",CONCATENATE(Skills!M2,"|",Skills!N2,"|",Skills!O2,"|",Skills!P2,"|",Skills!Q2,"|",Skills!R2,"|",Skills!S2,"|",Skills!T2,"|",Skills!U2,"|",Skills!V2,"|",Skills!W2))</f>
        <v>||||||||||</v>
      </c>
    </row>
    <row r="71" spans="1:1" x14ac:dyDescent="0.2">
      <c r="A71" s="440" t="str">
        <f>IF(Skills!M3=" ","||||||||||",CONCATENATE(Skills!M3,"|",Skills!N3,"|",Skills!O3,"|",Skills!P3,"|",Skills!Q3,"|",Skills!R3,"|",Skills!S3,"|",Skills!T3,"|",Skills!U3,"|",Skills!V3,"|",Skills!W3))</f>
        <v>||||||||||</v>
      </c>
    </row>
    <row r="72" spans="1:1" x14ac:dyDescent="0.2">
      <c r="A72" s="440" t="str">
        <f>IF(Skills!M4=" ","||||||||||",CONCATENATE(Skills!M4,"|",Skills!N4,"|",Skills!O4,"|",Skills!P4,"|",Skills!Q4,"|",Skills!R4,"|",Skills!S4,"|",Skills!T4,"|",Skills!U4,"|",Skills!V4,"|",Skills!W4))</f>
        <v>||||||||||</v>
      </c>
    </row>
    <row r="73" spans="1:1" x14ac:dyDescent="0.2">
      <c r="A73" s="440" t="str">
        <f>IF(Skills!M5=" ","||||||||||",CONCATENATE(Skills!M5,"|",Skills!N5,"|",Skills!O5,"|",Skills!P5,"|",Skills!Q5,"|",Skills!R5,"|",Skills!S5,"|",Skills!T5,"|",Skills!U5,"|",Skills!V5,"|",Skills!W5))</f>
        <v>||||||||||</v>
      </c>
    </row>
    <row r="74" spans="1:1" x14ac:dyDescent="0.2">
      <c r="A74" s="440" t="str">
        <f>IF(Skills!M6=" ","||||||||||",CONCATENATE(Skills!M6,"|",Skills!N6,"|",Skills!O6,"|",Skills!P6,"|",Skills!Q6,"|",Skills!R6,"|",Skills!S6,"|",Skills!T6,"|",Skills!U6,"|",Skills!V6,"|",Skills!W6))</f>
        <v>||||||||||</v>
      </c>
    </row>
    <row r="75" spans="1:1" x14ac:dyDescent="0.2">
      <c r="A75" s="440" t="str">
        <f>IF(Skills!M7=" ","||||||||||",CONCATENATE(Skills!M7,"|",Skills!N7,"|",Skills!O7,"|",Skills!P7,"|",Skills!Q7,"|",Skills!R7,"|",Skills!S7,"|",Skills!T7,"|",Skills!U7,"|",Skills!V7,"|",Skills!W7))</f>
        <v>||||||||||</v>
      </c>
    </row>
    <row r="76" spans="1:1" x14ac:dyDescent="0.2">
      <c r="A76" s="440" t="s">
        <v>477</v>
      </c>
    </row>
    <row r="77" spans="1:1" x14ac:dyDescent="0.2">
      <c r="A77" s="440"/>
    </row>
    <row r="78" spans="1:1" x14ac:dyDescent="0.2">
      <c r="A78" s="440" t="str">
        <f>IF(Skills!M8=" ","||||||||||",CONCATENATE(Skills!M8,"|",Skills!N8,"|",Skills!O8,"|",Skills!P8,"|",Skills!Q8,"|",Skills!R8,"|",Skills!S8,"|",Skills!T8,"|",Skills!U8,"|",Skills!V8,"|",Skills!W8))</f>
        <v>||||||||||</v>
      </c>
    </row>
    <row r="79" spans="1:1" x14ac:dyDescent="0.2">
      <c r="A79" s="440" t="str">
        <f>IF(Skills!M9=" ","||||||||||",CONCATENATE(Skills!M9,"|",Skills!N9,"|",Skills!O9,"|",Skills!P9,"|",Skills!Q9,"|",Skills!R9,"|",Skills!S9,"|",Skills!T9,"|",Skills!U9,"|",Skills!V9,"|",Skills!W9))</f>
        <v>||||||||||</v>
      </c>
    </row>
    <row r="80" spans="1:1" x14ac:dyDescent="0.2">
      <c r="A80" s="440" t="str">
        <f>IF(Skills!M10=" ","||||||||||",CONCATENATE(Skills!M10,"|",Skills!N10,"|",Skills!O10,"|",Skills!P10,"|",Skills!Q10,"|",Skills!R10,"|",Skills!S10,"|",Skills!T10,"|",Skills!U10,"|",Skills!V10,"|",Skills!W10))</f>
        <v>||||||||||</v>
      </c>
    </row>
    <row r="81" spans="1:1" x14ac:dyDescent="0.2">
      <c r="A81" s="440" t="str">
        <f>IF(Skills!M11=" ","||||||||||",CONCATENATE(Skills!M11,"|",Skills!N11,"|",Skills!O11,"|",Skills!P11,"|",Skills!Q11,"|",Skills!R11,"|",Skills!S11,"|",Skills!T11,"|",Skills!U11,"|",Skills!V11,"|",Skills!W11))</f>
        <v>||||||||||</v>
      </c>
    </row>
    <row r="82" spans="1:1" x14ac:dyDescent="0.2">
      <c r="A82" s="440" t="str">
        <f>IF(Skills!M12=" ","||||||||||",CONCATENATE(Skills!M12,"|",Skills!N12,"|",Skills!O12,"|",Skills!P12,"|",Skills!Q12,"|",Skills!R12,"|",Skills!S12,"|",Skills!T12,"|",Skills!U12,"|",Skills!V12,"|",Skills!W12))</f>
        <v>||||||||||</v>
      </c>
    </row>
    <row r="83" spans="1:1" x14ac:dyDescent="0.2">
      <c r="A83" s="440" t="str">
        <f>IF(Skills!M13=" ","||||||||||",CONCATENATE(Skills!M13,"|",Skills!N13,"|",Skills!O13,"|",Skills!P13,"|",Skills!Q13,"|",Skills!R13,"|",Skills!S13,"|",Skills!T13,"|",Skills!U13,"|",Skills!V13,"|",Skills!W13))</f>
        <v>||||||||||</v>
      </c>
    </row>
    <row r="84" spans="1:1" x14ac:dyDescent="0.2">
      <c r="A84" s="440" t="s">
        <v>477</v>
      </c>
    </row>
    <row r="85" spans="1:1" x14ac:dyDescent="0.2">
      <c r="A85" s="440"/>
    </row>
    <row r="86" spans="1:1" x14ac:dyDescent="0.2">
      <c r="A86" s="440" t="str">
        <f>IF(Skills!M14=" ","||||||||||",CONCATENATE(Skills!M14,"|",Skills!N14,"|",Skills!O14,"|",Skills!P14,"|",Skills!Q14,"|",Skills!R14,"|",Skills!S14,"|",Skills!T14,"|",Skills!U14,"|",Skills!V14,"|",Skills!W14))</f>
        <v>||||||||||</v>
      </c>
    </row>
    <row r="87" spans="1:1" x14ac:dyDescent="0.2">
      <c r="A87" s="440" t="str">
        <f>IF(Skills!M15=" ","||||||||||",CONCATENATE(Skills!M15,"|",Skills!N15,"|",Skills!O15,"|",Skills!P15,"|",Skills!Q15,"|",Skills!R15,"|",Skills!S15,"|",Skills!T15,"|",Skills!U15,"|",Skills!V15,"|",Skills!W15))</f>
        <v>||||||||||</v>
      </c>
    </row>
    <row r="88" spans="1:1" x14ac:dyDescent="0.2">
      <c r="A88" s="440" t="str">
        <f>IF(Skills!M16=" ","||||||||||",CONCATENATE(Skills!M16,"|",Skills!N16,"|",Skills!O16,"|",Skills!P16,"|",Skills!Q16,"|",Skills!R16,"|",Skills!S16,"|",Skills!T16,"|",Skills!U16,"|",Skills!V16,"|",Skills!W16))</f>
        <v>||||||||||</v>
      </c>
    </row>
    <row r="89" spans="1:1" x14ac:dyDescent="0.2">
      <c r="A89" s="440" t="str">
        <f>IF(Skills!M17=" ","||||||||||",CONCATENATE(Skills!M17,"|",Skills!N17,"|",Skills!O17,"|",Skills!P17,"|",Skills!Q17,"|",Skills!R17,"|",Skills!S17,"|",Skills!T17,"|",Skills!U17,"|",Skills!V17,"|",Skills!W17))</f>
        <v>||||||||||</v>
      </c>
    </row>
    <row r="90" spans="1:1" x14ac:dyDescent="0.2">
      <c r="A90" s="440" t="str">
        <f>IF(Skills!M18=" ","||||||||||",CONCATENATE(Skills!M18,"|",Skills!N18,"|",Skills!O18,"|",Skills!P18,"|",Skills!Q18,"|",Skills!R18,"|",Skills!S18,"|",Skills!T18,"|",Skills!U18,"|",Skills!V18,"|",Skills!W18))</f>
        <v>||||||||||</v>
      </c>
    </row>
    <row r="91" spans="1:1" x14ac:dyDescent="0.2">
      <c r="A91" s="440" t="str">
        <f>IF(Skills!M19=" ","||||||||||",CONCATENATE(Skills!M19,"|",Skills!N19,"|",Skills!O19,"|",Skills!P19,"|",Skills!Q19,"|",Skills!R19,"|",Skills!S19,"|",Skills!T19,"|",Skills!U19,"|",Skills!V19,"|",Skills!W19))</f>
        <v>||||||||||</v>
      </c>
    </row>
    <row r="92" spans="1:1" x14ac:dyDescent="0.2">
      <c r="A92" s="440" t="str">
        <f>IF(Skills!M20=" ","||||||||||",CONCATENATE(Skills!M20,"|",Skills!N20,"|",Skills!O20,"|",Skills!P20,"|",Skills!Q20,"|",Skills!R20,"|",Skills!S20,"|",Skills!T20,"|",Skills!U20,"|",Skills!V20,"|",Skills!W20))</f>
        <v>||||||||||</v>
      </c>
    </row>
    <row r="93" spans="1:1" x14ac:dyDescent="0.2">
      <c r="A93" s="440" t="str">
        <f>IF(Skills!M21=" ","||||||||||",CONCATENATE(Skills!M21,"|",Skills!N21,"|",Skills!O21,"|",Skills!P21,"|",Skills!Q21,"|",Skills!R21,"|",Skills!S21,"|",Skills!T21,"|",Skills!U21,"|",Skills!V21,"|",Skills!W21))</f>
        <v>||||||||||</v>
      </c>
    </row>
    <row r="94" spans="1:1" x14ac:dyDescent="0.2">
      <c r="A94" s="440" t="str">
        <f>IF(Skills!M22=" ","||||||||||",CONCATENATE(Skills!M22,"|",Skills!N22,"|",Skills!O22,"|",Skills!P22,"|",Skills!Q22,"|",Skills!R22,"|",Skills!S22,"|",Skills!T22,"|",Skills!U22,"|",Skills!V22,"|",Skills!W22))</f>
        <v>||||||||||</v>
      </c>
    </row>
    <row r="95" spans="1:1" x14ac:dyDescent="0.2">
      <c r="A95" s="440" t="s">
        <v>477</v>
      </c>
    </row>
    <row r="96" spans="1:1" x14ac:dyDescent="0.2">
      <c r="A96" s="440"/>
    </row>
    <row r="97" spans="1:1" x14ac:dyDescent="0.2">
      <c r="A97" s="440" t="str">
        <f>IF(Skills!M23=" ","||||||||||",CONCATENATE(Skills!M23,"|",Skills!N23,"|",Skills!O23,"|",Skills!P23,"|",Skills!Q23,"|",Skills!R23,"|",Skills!S23,"|",Skills!T23,"|",Skills!U23,"|",Skills!V23,"|",Skills!W23))</f>
        <v>||||||||||</v>
      </c>
    </row>
    <row r="98" spans="1:1" x14ac:dyDescent="0.2">
      <c r="A98" s="440" t="str">
        <f>IF(Skills!M24=" ","||||||||||",CONCATENATE(Skills!M24,"|",Skills!N24,"|",Skills!O24,"|",Skills!P24,"|",Skills!Q24,"|",Skills!R24,"|",Skills!S24,"|",Skills!T24,"|",Skills!U24,"|",Skills!V24,"|",Skills!W24))</f>
        <v>||||||||||</v>
      </c>
    </row>
    <row r="99" spans="1:1" x14ac:dyDescent="0.2">
      <c r="A99" s="440" t="str">
        <f>IF(Skills!M25=" ","||||||||||",CONCATENATE(Skills!M25,"|",Skills!N25,"|",Skills!O25,"|",Skills!P25,"|",Skills!Q25,"|",Skills!R25,"|",Skills!S25,"|",Skills!T25,"|",Skills!U25,"|",Skills!V25,"|",Skills!W25))</f>
        <v>||||||||||</v>
      </c>
    </row>
    <row r="100" spans="1:1" x14ac:dyDescent="0.2">
      <c r="A100" s="440" t="str">
        <f>IF(Skills!M26=" ","||||||||||",CONCATENATE(Skills!M26,"|",Skills!N26,"|",Skills!O26,"|",Skills!P26,"|",Skills!Q26,"|",Skills!R26,"|",Skills!S26,"|",Skills!T26,"|",Skills!U26,"|",Skills!V26,"|",Skills!W26))</f>
        <v>||||||||||</v>
      </c>
    </row>
    <row r="101" spans="1:1" x14ac:dyDescent="0.2">
      <c r="A101" s="440" t="str">
        <f>IF(Skills!M27=" ","||||||||||",CONCATENATE(Skills!M27,"|",Skills!N27,"|",Skills!O27,"|",Skills!P27,"|",Skills!Q27,"|",Skills!R27,"|",Skills!S27,"|",Skills!T27,"|",Skills!U27,"|",Skills!V27,"|",Skills!W27))</f>
        <v>||||||||||</v>
      </c>
    </row>
    <row r="102" spans="1:1" x14ac:dyDescent="0.2">
      <c r="A102" s="440" t="str">
        <f>IF(Skills!M28=" ","||||||||||",CONCATENATE(Skills!M28,"|",Skills!N28,"|",Skills!O28,"|",Skills!P28,"|",Skills!Q28,"|",Skills!R28,"|",Skills!S28,"|",Skills!T28,"|",Skills!U28,"|",Skills!V28,"|",Skills!W28))</f>
        <v>||||||||||</v>
      </c>
    </row>
    <row r="103" spans="1:1" x14ac:dyDescent="0.2">
      <c r="A103" s="440" t="str">
        <f>IF(Skills!M29=" ","||||||||||",CONCATENATE(Skills!M29,"|",Skills!N29,"|",Skills!O29,"|",Skills!P29,"|",Skills!Q29,"|",Skills!R29,"|",Skills!S29,"|",Skills!T29,"|",Skills!U29,"|",Skills!V29,"|",Skills!W29))</f>
        <v>||||||||||</v>
      </c>
    </row>
    <row r="104" spans="1:1" x14ac:dyDescent="0.2">
      <c r="A104" s="440" t="str">
        <f>IF(Skills!M30=" ","||||||||||",CONCATENATE(Skills!M30,"|",Skills!N30,"|",Skills!O30,"|",Skills!P30,"|",Skills!Q30,"|",Skills!R30,"|",Skills!S30,"|",Skills!T30,"|",Skills!U30,"|",Skills!V30,"|",Skills!W30))</f>
        <v>||||||||||</v>
      </c>
    </row>
    <row r="105" spans="1:1" x14ac:dyDescent="0.2">
      <c r="A105" s="440" t="str">
        <f>IF(Skills!M31=" ","||||||||||",CONCATENATE(Skills!M31,"|",Skills!N31,"|",Skills!O31,"|",Skills!P31,"|",Skills!Q31,"|",Skills!R31,"|",Skills!S31,"|",Skills!T31,"|",Skills!U31,"|",Skills!V31,"|",Skills!W31))</f>
        <v>||||||||||</v>
      </c>
    </row>
    <row r="106" spans="1:1" x14ac:dyDescent="0.2">
      <c r="A106" s="440" t="str">
        <f>IF(Skills!M32=" ","||||||||||",CONCATENATE(Skills!M32,"|",Skills!N32,"|",Skills!O32,"|",Skills!P32,"|",Skills!Q32,"|",Skills!R32,"|",Skills!S32,"|",Skills!T32,"|",Skills!U32,"|",Skills!V32,"|",Skills!W32))</f>
        <v>||||||||||</v>
      </c>
    </row>
    <row r="107" spans="1:1" x14ac:dyDescent="0.2">
      <c r="A107" s="440" t="str">
        <f>IF(Skills!M33=" ","||||||||||",CONCATENATE(Skills!M33,"|",Skills!N33,"|",Skills!O33,"|",Skills!P33,"|",Skills!Q33,"|",Skills!R33,"|",Skills!S33,"|",Skills!T33,"|",Skills!U33,"|",Skills!V33,"|",Skills!W33))</f>
        <v>||||||||||</v>
      </c>
    </row>
    <row r="108" spans="1:1" x14ac:dyDescent="0.2">
      <c r="A108" s="440" t="s">
        <v>477</v>
      </c>
    </row>
    <row r="109" spans="1:1" x14ac:dyDescent="0.2">
      <c r="A109" s="440"/>
    </row>
    <row r="110" spans="1:1" x14ac:dyDescent="0.2">
      <c r="A110" s="440" t="str">
        <f>IF(Skills!M34=" ","||||||||||",CONCATENATE(Skills!M34,"|",Skills!N34,"|",Skills!O34,"|",Skills!P34,"|",Skills!Q34,"|",Skills!R34,"|",Skills!S34,"|",Skills!T34,"|",Skills!U34,"|",Skills!V34,"|",Skills!W34))</f>
        <v>||||||||||</v>
      </c>
    </row>
    <row r="111" spans="1:1" x14ac:dyDescent="0.2">
      <c r="A111" s="440" t="str">
        <f>IF(Skills!M35=" ","||||||||||",CONCATENATE(Skills!M35,"|",Skills!N35,"|",Skills!O35,"|",Skills!P35,"|",Skills!Q35,"|",Skills!R35,"|",Skills!S35,"|",Skills!T35,"|",Skills!U35,"|",Skills!V35,"|",Skills!W35))</f>
        <v>||||||||||</v>
      </c>
    </row>
    <row r="112" spans="1:1" x14ac:dyDescent="0.2">
      <c r="A112" s="440" t="str">
        <f>IF(Skills!M36=" ","||||||||||",CONCATENATE(Skills!M36,"|",Skills!N36,"|",Skills!O36,"|",Skills!P36,"|",Skills!Q36,"|",Skills!R36,"|",Skills!S36,"|",Skills!T36,"|",Skills!U36,"|",Skills!V36,"|",Skills!W36))</f>
        <v>||||||||||</v>
      </c>
    </row>
    <row r="113" spans="1:16384" x14ac:dyDescent="0.2">
      <c r="A113" s="440" t="str">
        <f>IF(Skills!M37=" ","||||||||||",CONCATENATE(Skills!M37,"|",Skills!N37,"|",Skills!O37,"|",Skills!P37,"|",Skills!Q37,"|",Skills!R37,"|",Skills!S37,"|",Skills!T37,"|",Skills!U37,"|",Skills!V37,"|",Skills!W37))</f>
        <v>||||||||||</v>
      </c>
    </row>
    <row r="114" spans="1:16384" x14ac:dyDescent="0.2">
      <c r="A114" s="440" t="str">
        <f>IF(Skills!M38=" ","||||||||||",CONCATENATE(Skills!M38,"|",Skills!N38,"|",Skills!O38,"|",Skills!P38,"|",Skills!Q38,"|",Skills!R38,"|",Skills!S38,"|",Skills!T38,"|",Skills!U38,"|",Skills!V38,"|",Skills!W38))</f>
        <v>||||||||||</v>
      </c>
    </row>
    <row r="115" spans="1:16384" x14ac:dyDescent="0.2">
      <c r="A115" s="440" t="s">
        <v>477</v>
      </c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81"/>
      <c r="AF115" s="381"/>
      <c r="AG115" s="381"/>
      <c r="AH115" s="381"/>
      <c r="AI115" s="381"/>
      <c r="AJ115" s="381"/>
      <c r="AK115" s="381"/>
      <c r="AL115" s="381"/>
      <c r="AM115" s="381"/>
      <c r="AN115" s="381"/>
      <c r="AO115" s="381"/>
      <c r="AP115" s="381"/>
      <c r="AQ115" s="381"/>
      <c r="AR115" s="381"/>
      <c r="AS115" s="381"/>
      <c r="AT115" s="381"/>
      <c r="AU115" s="381"/>
      <c r="AV115" s="381"/>
      <c r="AW115" s="381"/>
      <c r="AX115" s="381"/>
      <c r="AY115" s="381"/>
      <c r="AZ115" s="381"/>
      <c r="BA115" s="381"/>
      <c r="BB115" s="381"/>
      <c r="BC115" s="381"/>
      <c r="BD115" s="381"/>
      <c r="BE115" s="381"/>
      <c r="BF115" s="381"/>
      <c r="BG115" s="381"/>
      <c r="BH115" s="381"/>
      <c r="BI115" s="381"/>
      <c r="BJ115" s="381"/>
      <c r="BK115" s="381"/>
      <c r="BL115" s="381"/>
      <c r="BM115" s="381"/>
      <c r="BN115" s="381"/>
      <c r="BO115" s="381"/>
      <c r="BP115" s="381"/>
      <c r="BQ115" s="381"/>
      <c r="BR115" s="381"/>
      <c r="BS115" s="381"/>
      <c r="BT115" s="381"/>
      <c r="BU115" s="381"/>
      <c r="BV115" s="381"/>
      <c r="BW115" s="381"/>
      <c r="BX115" s="381"/>
      <c r="BY115" s="381"/>
      <c r="BZ115" s="381"/>
      <c r="CA115" s="381"/>
      <c r="CB115" s="381"/>
      <c r="CC115" s="381"/>
      <c r="CD115" s="381"/>
      <c r="CE115" s="381"/>
      <c r="CF115" s="381"/>
      <c r="CG115" s="381"/>
      <c r="CH115" s="381"/>
      <c r="CI115" s="381"/>
      <c r="CJ115" s="381"/>
      <c r="CK115" s="381"/>
      <c r="CL115" s="381"/>
      <c r="CM115" s="381"/>
      <c r="CN115" s="381"/>
      <c r="CO115" s="381"/>
      <c r="CP115" s="381"/>
      <c r="CQ115" s="381"/>
      <c r="CR115" s="381"/>
      <c r="CS115" s="381"/>
      <c r="CT115" s="381"/>
      <c r="CU115" s="381"/>
      <c r="CV115" s="381"/>
      <c r="CW115" s="381"/>
      <c r="CX115" s="381"/>
      <c r="CY115" s="381"/>
      <c r="CZ115" s="381"/>
      <c r="DA115" s="381"/>
      <c r="DB115" s="381"/>
      <c r="DC115" s="381"/>
      <c r="DD115" s="381"/>
      <c r="DE115" s="381"/>
      <c r="DF115" s="381"/>
      <c r="DG115" s="381"/>
      <c r="DH115" s="381"/>
      <c r="DI115" s="381"/>
      <c r="DJ115" s="381"/>
      <c r="DK115" s="381"/>
      <c r="DL115" s="381"/>
      <c r="DM115" s="381"/>
      <c r="DN115" s="381"/>
      <c r="DO115" s="381"/>
      <c r="DP115" s="381"/>
      <c r="DQ115" s="381"/>
      <c r="DR115" s="381"/>
      <c r="DS115" s="381"/>
      <c r="DT115" s="381"/>
      <c r="DU115" s="381"/>
      <c r="DV115" s="381"/>
      <c r="DW115" s="381"/>
      <c r="DX115" s="381"/>
      <c r="DY115" s="381"/>
      <c r="DZ115" s="381"/>
      <c r="EA115" s="381"/>
      <c r="EB115" s="381"/>
      <c r="EC115" s="381"/>
      <c r="ED115" s="381"/>
      <c r="EE115" s="381"/>
      <c r="EF115" s="381"/>
      <c r="EG115" s="381"/>
      <c r="EH115" s="381"/>
      <c r="EI115" s="381"/>
      <c r="EJ115" s="381"/>
      <c r="EK115" s="381"/>
      <c r="EL115" s="381"/>
      <c r="EM115" s="381"/>
      <c r="EN115" s="381"/>
      <c r="EO115" s="381"/>
      <c r="EP115" s="381"/>
      <c r="EQ115" s="381"/>
      <c r="ER115" s="381"/>
      <c r="ES115" s="381"/>
      <c r="ET115" s="381"/>
      <c r="EU115" s="381"/>
      <c r="EV115" s="381"/>
      <c r="EW115" s="381"/>
      <c r="EX115" s="381"/>
      <c r="EY115" s="381"/>
      <c r="EZ115" s="381"/>
      <c r="FA115" s="381"/>
      <c r="FB115" s="381"/>
      <c r="FC115" s="381"/>
      <c r="FD115" s="381"/>
      <c r="FE115" s="381"/>
      <c r="FF115" s="381"/>
      <c r="FG115" s="381"/>
      <c r="FH115" s="381"/>
      <c r="FI115" s="381"/>
      <c r="FJ115" s="381"/>
      <c r="FK115" s="381"/>
      <c r="FL115" s="381"/>
      <c r="FM115" s="381"/>
      <c r="FN115" s="381"/>
      <c r="FO115" s="381"/>
      <c r="FP115" s="381"/>
      <c r="FQ115" s="381"/>
      <c r="FR115" s="381"/>
      <c r="FS115" s="381"/>
      <c r="FT115" s="381"/>
      <c r="FU115" s="381"/>
      <c r="FV115" s="381"/>
      <c r="FW115" s="381"/>
      <c r="FX115" s="381"/>
      <c r="FY115" s="381"/>
      <c r="FZ115" s="381"/>
      <c r="GA115" s="381"/>
      <c r="GB115" s="381"/>
      <c r="GC115" s="381"/>
      <c r="GD115" s="381"/>
      <c r="GE115" s="381"/>
      <c r="GF115" s="381"/>
      <c r="GG115" s="381"/>
      <c r="GH115" s="381"/>
      <c r="GI115" s="381"/>
      <c r="GJ115" s="381"/>
      <c r="GK115" s="381"/>
      <c r="GL115" s="381"/>
      <c r="GM115" s="381"/>
      <c r="GN115" s="381"/>
      <c r="GO115" s="381"/>
      <c r="GP115" s="381"/>
      <c r="GQ115" s="381"/>
      <c r="GR115" s="381"/>
      <c r="GS115" s="381"/>
      <c r="GT115" s="381"/>
      <c r="GU115" s="381"/>
      <c r="GV115" s="381"/>
      <c r="GW115" s="381"/>
      <c r="GX115" s="381"/>
      <c r="GY115" s="381"/>
      <c r="GZ115" s="381"/>
      <c r="HA115" s="381"/>
      <c r="HB115" s="381"/>
      <c r="HC115" s="381"/>
      <c r="HD115" s="381"/>
      <c r="HE115" s="381"/>
      <c r="HF115" s="381"/>
      <c r="HG115" s="381"/>
      <c r="HH115" s="381"/>
      <c r="HI115" s="381"/>
      <c r="HJ115" s="381"/>
      <c r="HK115" s="381"/>
      <c r="HL115" s="381"/>
      <c r="HM115" s="381"/>
      <c r="HN115" s="381"/>
      <c r="HO115" s="381"/>
      <c r="HP115" s="381"/>
      <c r="HQ115" s="381"/>
      <c r="HR115" s="381"/>
      <c r="HS115" s="381"/>
      <c r="HT115" s="381"/>
      <c r="HU115" s="381"/>
      <c r="HV115" s="381"/>
      <c r="HW115" s="381"/>
      <c r="HX115" s="381"/>
      <c r="HY115" s="381"/>
      <c r="HZ115" s="381"/>
      <c r="IA115" s="381"/>
      <c r="IB115" s="381"/>
      <c r="IC115" s="381"/>
      <c r="ID115" s="381"/>
      <c r="IE115" s="381"/>
      <c r="IF115" s="381"/>
      <c r="IG115" s="381"/>
      <c r="IH115" s="381"/>
      <c r="II115" s="381"/>
      <c r="IJ115" s="381"/>
      <c r="IK115" s="381"/>
      <c r="IL115" s="381"/>
      <c r="IM115" s="381"/>
      <c r="IN115" s="381"/>
      <c r="IO115" s="381"/>
      <c r="IP115" s="381"/>
      <c r="IQ115" s="381"/>
      <c r="IR115" s="381"/>
      <c r="IS115" s="381"/>
      <c r="IT115" s="381"/>
      <c r="IU115" s="381"/>
      <c r="IV115" s="381"/>
      <c r="IW115" s="381"/>
      <c r="IX115" s="381"/>
      <c r="IY115" s="381"/>
      <c r="IZ115" s="381"/>
      <c r="JA115" s="381"/>
      <c r="JB115" s="381"/>
      <c r="JC115" s="381"/>
      <c r="JD115" s="381"/>
      <c r="JE115" s="381"/>
      <c r="JF115" s="381"/>
      <c r="JG115" s="381"/>
      <c r="JH115" s="381"/>
      <c r="JI115" s="381"/>
      <c r="JJ115" s="381"/>
      <c r="JK115" s="381"/>
      <c r="JL115" s="381"/>
      <c r="JM115" s="381"/>
      <c r="JN115" s="381"/>
      <c r="JO115" s="381"/>
      <c r="JP115" s="381"/>
      <c r="JQ115" s="381"/>
      <c r="JR115" s="381"/>
      <c r="JS115" s="381"/>
      <c r="JT115" s="381"/>
      <c r="JU115" s="381"/>
      <c r="JV115" s="381"/>
      <c r="JW115" s="381"/>
      <c r="JX115" s="381"/>
      <c r="JY115" s="381"/>
      <c r="JZ115" s="381"/>
      <c r="KA115" s="381"/>
      <c r="KB115" s="381"/>
      <c r="KC115" s="381"/>
      <c r="KD115" s="381"/>
      <c r="KE115" s="381"/>
      <c r="KF115" s="381"/>
      <c r="KG115" s="381"/>
      <c r="KH115" s="381"/>
      <c r="KI115" s="381"/>
      <c r="KJ115" s="381"/>
      <c r="KK115" s="381"/>
      <c r="KL115" s="381"/>
      <c r="KM115" s="381"/>
      <c r="KN115" s="381"/>
      <c r="KO115" s="381"/>
      <c r="KP115" s="381"/>
      <c r="KQ115" s="381"/>
      <c r="KR115" s="381"/>
      <c r="KS115" s="381"/>
      <c r="KT115" s="381"/>
      <c r="KU115" s="381"/>
      <c r="KV115" s="381"/>
      <c r="KW115" s="381"/>
      <c r="KX115" s="381"/>
      <c r="KY115" s="381"/>
      <c r="KZ115" s="381"/>
      <c r="LA115" s="381"/>
      <c r="LB115" s="381"/>
      <c r="LC115" s="381"/>
      <c r="LD115" s="381"/>
      <c r="LE115" s="381"/>
      <c r="LF115" s="381"/>
      <c r="LG115" s="381"/>
      <c r="LH115" s="381"/>
      <c r="LI115" s="381"/>
      <c r="LJ115" s="381"/>
      <c r="LK115" s="381"/>
      <c r="LL115" s="381"/>
      <c r="LM115" s="381"/>
      <c r="LN115" s="381"/>
      <c r="LO115" s="381"/>
      <c r="LP115" s="381"/>
      <c r="LQ115" s="381"/>
      <c r="LR115" s="381"/>
      <c r="LS115" s="381"/>
      <c r="LT115" s="381"/>
      <c r="LU115" s="381"/>
      <c r="LV115" s="381"/>
      <c r="LW115" s="381"/>
      <c r="LX115" s="381"/>
      <c r="LY115" s="381"/>
      <c r="LZ115" s="381"/>
      <c r="MA115" s="381"/>
      <c r="MB115" s="381"/>
      <c r="MC115" s="381"/>
      <c r="MD115" s="381"/>
      <c r="ME115" s="381"/>
      <c r="MF115" s="381"/>
      <c r="MG115" s="381"/>
      <c r="MH115" s="381"/>
      <c r="MI115" s="381"/>
      <c r="MJ115" s="381"/>
      <c r="MK115" s="381"/>
      <c r="ML115" s="381"/>
      <c r="MM115" s="381"/>
      <c r="MN115" s="381"/>
      <c r="MO115" s="381"/>
      <c r="MP115" s="381"/>
      <c r="MQ115" s="381"/>
      <c r="MR115" s="381"/>
      <c r="MS115" s="381"/>
      <c r="MT115" s="381"/>
      <c r="MU115" s="381"/>
      <c r="MV115" s="381"/>
      <c r="MW115" s="381"/>
      <c r="MX115" s="381"/>
      <c r="MY115" s="381"/>
      <c r="MZ115" s="381"/>
      <c r="NA115" s="381"/>
      <c r="NB115" s="381"/>
      <c r="NC115" s="381"/>
      <c r="ND115" s="381"/>
      <c r="NE115" s="381"/>
      <c r="NF115" s="381"/>
      <c r="NG115" s="381"/>
      <c r="NH115" s="381"/>
      <c r="NI115" s="381"/>
      <c r="NJ115" s="381"/>
      <c r="NK115" s="381"/>
      <c r="NL115" s="381"/>
      <c r="NM115" s="381"/>
      <c r="NN115" s="381"/>
      <c r="NO115" s="381"/>
      <c r="NP115" s="381"/>
      <c r="NQ115" s="381"/>
      <c r="NR115" s="381"/>
      <c r="NS115" s="381"/>
      <c r="NT115" s="381"/>
      <c r="NU115" s="381"/>
      <c r="NV115" s="381"/>
      <c r="NW115" s="381"/>
      <c r="NX115" s="381"/>
      <c r="NY115" s="381"/>
      <c r="NZ115" s="381"/>
      <c r="OA115" s="381"/>
      <c r="OB115" s="381"/>
      <c r="OC115" s="381"/>
      <c r="OD115" s="381"/>
      <c r="OE115" s="381"/>
      <c r="OF115" s="381"/>
      <c r="OG115" s="381"/>
      <c r="OH115" s="381"/>
      <c r="OI115" s="381"/>
      <c r="OJ115" s="381"/>
      <c r="OK115" s="381"/>
      <c r="OL115" s="381"/>
      <c r="OM115" s="381"/>
      <c r="ON115" s="381"/>
      <c r="OO115" s="381"/>
      <c r="OP115" s="381"/>
      <c r="OQ115" s="381"/>
      <c r="OR115" s="381"/>
      <c r="OS115" s="381"/>
      <c r="OT115" s="381"/>
      <c r="OU115" s="381"/>
      <c r="OV115" s="381"/>
      <c r="OW115" s="381"/>
      <c r="OX115" s="381"/>
      <c r="OY115" s="381"/>
      <c r="OZ115" s="381"/>
      <c r="PA115" s="381"/>
      <c r="PB115" s="381"/>
      <c r="PC115" s="381"/>
      <c r="PD115" s="381"/>
      <c r="PE115" s="381"/>
      <c r="PF115" s="381"/>
      <c r="PG115" s="381"/>
      <c r="PH115" s="381"/>
      <c r="PI115" s="381"/>
      <c r="PJ115" s="381"/>
      <c r="PK115" s="381"/>
      <c r="PL115" s="381"/>
      <c r="PM115" s="381"/>
      <c r="PN115" s="381"/>
      <c r="PO115" s="381"/>
      <c r="PP115" s="381"/>
      <c r="PQ115" s="381"/>
      <c r="PR115" s="381"/>
      <c r="PS115" s="381"/>
      <c r="PT115" s="381"/>
      <c r="PU115" s="381"/>
      <c r="PV115" s="381"/>
      <c r="PW115" s="381"/>
      <c r="PX115" s="381"/>
      <c r="PY115" s="381"/>
      <c r="PZ115" s="381"/>
      <c r="QA115" s="381"/>
      <c r="QB115" s="381"/>
      <c r="QC115" s="381"/>
      <c r="QD115" s="381"/>
      <c r="QE115" s="381"/>
      <c r="QF115" s="381"/>
      <c r="QG115" s="381"/>
      <c r="QH115" s="381"/>
      <c r="QI115" s="381"/>
      <c r="QJ115" s="381"/>
      <c r="QK115" s="381"/>
      <c r="QL115" s="381"/>
      <c r="QM115" s="381"/>
      <c r="QN115" s="381"/>
      <c r="QO115" s="381"/>
      <c r="QP115" s="381"/>
      <c r="QQ115" s="381"/>
      <c r="QR115" s="381"/>
      <c r="QS115" s="381"/>
      <c r="QT115" s="381"/>
      <c r="QU115" s="381"/>
      <c r="QV115" s="381"/>
      <c r="QW115" s="381"/>
      <c r="QX115" s="381"/>
      <c r="QY115" s="381"/>
      <c r="QZ115" s="381"/>
      <c r="RA115" s="381"/>
      <c r="RB115" s="381"/>
      <c r="RC115" s="381"/>
      <c r="RD115" s="381"/>
      <c r="RE115" s="381"/>
      <c r="RF115" s="381"/>
      <c r="RG115" s="381"/>
      <c r="RH115" s="381"/>
      <c r="RI115" s="381"/>
      <c r="RJ115" s="381"/>
      <c r="RK115" s="381"/>
      <c r="RL115" s="381"/>
      <c r="RM115" s="381"/>
      <c r="RN115" s="381"/>
      <c r="RO115" s="381"/>
      <c r="RP115" s="381"/>
      <c r="RQ115" s="381"/>
      <c r="RR115" s="381"/>
      <c r="RS115" s="381"/>
      <c r="RT115" s="381"/>
      <c r="RU115" s="381"/>
      <c r="RV115" s="381"/>
      <c r="RW115" s="381"/>
      <c r="RX115" s="381"/>
      <c r="RY115" s="381"/>
      <c r="RZ115" s="381"/>
      <c r="SA115" s="381"/>
      <c r="SB115" s="381"/>
      <c r="SC115" s="381"/>
      <c r="SD115" s="381"/>
      <c r="SE115" s="381"/>
      <c r="SF115" s="381"/>
      <c r="SG115" s="381"/>
      <c r="SH115" s="381"/>
      <c r="SI115" s="381"/>
      <c r="SJ115" s="381"/>
      <c r="SK115" s="381"/>
      <c r="SL115" s="381"/>
      <c r="SM115" s="381"/>
      <c r="SN115" s="381"/>
      <c r="SO115" s="381"/>
      <c r="SP115" s="381"/>
      <c r="SQ115" s="381"/>
      <c r="SR115" s="381"/>
      <c r="SS115" s="381"/>
      <c r="ST115" s="381"/>
      <c r="SU115" s="381"/>
      <c r="SV115" s="381"/>
      <c r="SW115" s="381"/>
      <c r="SX115" s="381"/>
      <c r="SY115" s="381"/>
      <c r="SZ115" s="381"/>
      <c r="TA115" s="381"/>
      <c r="TB115" s="381"/>
      <c r="TC115" s="381"/>
      <c r="TD115" s="381"/>
      <c r="TE115" s="381"/>
      <c r="TF115" s="381"/>
      <c r="TG115" s="381"/>
      <c r="TH115" s="381"/>
      <c r="TI115" s="381"/>
      <c r="TJ115" s="381"/>
      <c r="TK115" s="381"/>
      <c r="TL115" s="381"/>
      <c r="TM115" s="381"/>
      <c r="TN115" s="381"/>
      <c r="TO115" s="381"/>
      <c r="TP115" s="381"/>
      <c r="TQ115" s="381"/>
      <c r="TR115" s="381"/>
      <c r="TS115" s="381"/>
      <c r="TT115" s="381"/>
      <c r="TU115" s="381"/>
      <c r="TV115" s="381"/>
      <c r="TW115" s="381"/>
      <c r="TX115" s="381"/>
      <c r="TY115" s="381"/>
      <c r="TZ115" s="381"/>
      <c r="UA115" s="381"/>
      <c r="UB115" s="381"/>
      <c r="UC115" s="381"/>
      <c r="UD115" s="381"/>
      <c r="UE115" s="381"/>
      <c r="UF115" s="381"/>
      <c r="UG115" s="381"/>
      <c r="UH115" s="381"/>
      <c r="UI115" s="381"/>
      <c r="UJ115" s="381"/>
      <c r="UK115" s="381"/>
      <c r="UL115" s="381"/>
      <c r="UM115" s="381"/>
      <c r="UN115" s="381"/>
      <c r="UO115" s="381"/>
      <c r="UP115" s="381"/>
      <c r="UQ115" s="381"/>
      <c r="UR115" s="381"/>
      <c r="US115" s="381"/>
      <c r="UT115" s="381"/>
      <c r="UU115" s="381"/>
      <c r="UV115" s="381"/>
      <c r="UW115" s="381"/>
      <c r="UX115" s="381"/>
      <c r="UY115" s="381"/>
      <c r="UZ115" s="381"/>
      <c r="VA115" s="381"/>
      <c r="VB115" s="381"/>
      <c r="VC115" s="381"/>
      <c r="VD115" s="381"/>
      <c r="VE115" s="381"/>
      <c r="VF115" s="381"/>
      <c r="VG115" s="381"/>
      <c r="VH115" s="381"/>
      <c r="VI115" s="381"/>
      <c r="VJ115" s="381"/>
      <c r="VK115" s="381"/>
      <c r="VL115" s="381"/>
      <c r="VM115" s="381"/>
      <c r="VN115" s="381"/>
      <c r="VO115" s="381"/>
      <c r="VP115" s="381"/>
      <c r="VQ115" s="381"/>
      <c r="VR115" s="381"/>
      <c r="VS115" s="381"/>
      <c r="VT115" s="381"/>
      <c r="VU115" s="381"/>
      <c r="VV115" s="381"/>
      <c r="VW115" s="381"/>
      <c r="VX115" s="381"/>
      <c r="VY115" s="381"/>
      <c r="VZ115" s="381"/>
      <c r="WA115" s="381"/>
      <c r="WB115" s="381"/>
      <c r="WC115" s="381"/>
      <c r="WD115" s="381"/>
      <c r="WE115" s="381"/>
      <c r="WF115" s="381"/>
      <c r="WG115" s="381"/>
      <c r="WH115" s="381"/>
      <c r="WI115" s="381"/>
      <c r="WJ115" s="381"/>
      <c r="WK115" s="381"/>
      <c r="WL115" s="381"/>
      <c r="WM115" s="381"/>
      <c r="WN115" s="381"/>
      <c r="WO115" s="381"/>
      <c r="WP115" s="381"/>
      <c r="WQ115" s="381"/>
      <c r="WR115" s="381"/>
      <c r="WS115" s="381"/>
      <c r="WT115" s="381"/>
      <c r="WU115" s="381"/>
      <c r="WV115" s="381"/>
      <c r="WW115" s="381"/>
      <c r="WX115" s="381"/>
      <c r="WY115" s="381"/>
      <c r="WZ115" s="381"/>
      <c r="XA115" s="381"/>
      <c r="XB115" s="381"/>
      <c r="XC115" s="381"/>
      <c r="XD115" s="381"/>
      <c r="XE115" s="381"/>
      <c r="XF115" s="381"/>
      <c r="XG115" s="381"/>
      <c r="XH115" s="381"/>
      <c r="XI115" s="381"/>
      <c r="XJ115" s="381"/>
      <c r="XK115" s="381"/>
      <c r="XL115" s="381"/>
      <c r="XM115" s="381"/>
      <c r="XN115" s="381"/>
      <c r="XO115" s="381"/>
      <c r="XP115" s="381"/>
      <c r="XQ115" s="381"/>
      <c r="XR115" s="381"/>
      <c r="XS115" s="381"/>
      <c r="XT115" s="381"/>
      <c r="XU115" s="381"/>
      <c r="XV115" s="381"/>
      <c r="XW115" s="381"/>
      <c r="XX115" s="381"/>
      <c r="XY115" s="381"/>
      <c r="XZ115" s="381"/>
      <c r="YA115" s="381"/>
      <c r="YB115" s="381"/>
      <c r="YC115" s="381"/>
      <c r="YD115" s="381"/>
      <c r="YE115" s="381"/>
      <c r="YF115" s="381"/>
      <c r="YG115" s="381"/>
      <c r="YH115" s="381"/>
      <c r="YI115" s="381"/>
      <c r="YJ115" s="381"/>
      <c r="YK115" s="381"/>
      <c r="YL115" s="381"/>
      <c r="YM115" s="381"/>
      <c r="YN115" s="381"/>
      <c r="YO115" s="381"/>
      <c r="YP115" s="381"/>
      <c r="YQ115" s="381"/>
      <c r="YR115" s="381"/>
      <c r="YS115" s="381"/>
      <c r="YT115" s="381"/>
      <c r="YU115" s="381"/>
      <c r="YV115" s="381"/>
      <c r="YW115" s="381"/>
      <c r="YX115" s="381"/>
      <c r="YY115" s="381"/>
      <c r="YZ115" s="381"/>
      <c r="ZA115" s="381"/>
      <c r="ZB115" s="381"/>
      <c r="ZC115" s="381"/>
      <c r="ZD115" s="381"/>
      <c r="ZE115" s="381"/>
      <c r="ZF115" s="381"/>
      <c r="ZG115" s="381"/>
      <c r="ZH115" s="381"/>
      <c r="ZI115" s="381"/>
      <c r="ZJ115" s="381"/>
      <c r="ZK115" s="381"/>
      <c r="ZL115" s="381"/>
      <c r="ZM115" s="381"/>
      <c r="ZN115" s="381"/>
      <c r="ZO115" s="381"/>
      <c r="ZP115" s="381"/>
      <c r="ZQ115" s="381"/>
      <c r="ZR115" s="381"/>
      <c r="ZS115" s="381"/>
      <c r="ZT115" s="381"/>
      <c r="ZU115" s="381"/>
      <c r="ZV115" s="381"/>
      <c r="ZW115" s="381"/>
      <c r="ZX115" s="381"/>
      <c r="ZY115" s="381"/>
      <c r="ZZ115" s="381"/>
      <c r="AAA115" s="381"/>
      <c r="AAB115" s="381"/>
      <c r="AAC115" s="381"/>
      <c r="AAD115" s="381"/>
      <c r="AAE115" s="381"/>
      <c r="AAF115" s="381"/>
      <c r="AAG115" s="381"/>
      <c r="AAH115" s="381"/>
      <c r="AAI115" s="381"/>
      <c r="AAJ115" s="381"/>
      <c r="AAK115" s="381"/>
      <c r="AAL115" s="381"/>
      <c r="AAM115" s="381"/>
      <c r="AAN115" s="381"/>
      <c r="AAO115" s="381"/>
      <c r="AAP115" s="381"/>
      <c r="AAQ115" s="381"/>
      <c r="AAR115" s="381"/>
      <c r="AAS115" s="381"/>
      <c r="AAT115" s="381"/>
      <c r="AAU115" s="381"/>
      <c r="AAV115" s="381"/>
      <c r="AAW115" s="381"/>
      <c r="AAX115" s="381"/>
      <c r="AAY115" s="381"/>
      <c r="AAZ115" s="381"/>
      <c r="ABA115" s="381"/>
      <c r="ABB115" s="381"/>
      <c r="ABC115" s="381"/>
      <c r="ABD115" s="381"/>
      <c r="ABE115" s="381"/>
      <c r="ABF115" s="381"/>
      <c r="ABG115" s="381"/>
      <c r="ABH115" s="381"/>
      <c r="ABI115" s="381"/>
      <c r="ABJ115" s="381"/>
      <c r="ABK115" s="381"/>
      <c r="ABL115" s="381"/>
      <c r="ABM115" s="381"/>
      <c r="ABN115" s="381"/>
      <c r="ABO115" s="381"/>
      <c r="ABP115" s="381"/>
      <c r="ABQ115" s="381"/>
      <c r="ABR115" s="381"/>
      <c r="ABS115" s="381"/>
      <c r="ABT115" s="381"/>
      <c r="ABU115" s="381"/>
      <c r="ABV115" s="381"/>
      <c r="ABW115" s="381"/>
      <c r="ABX115" s="381"/>
      <c r="ABY115" s="381"/>
      <c r="ABZ115" s="381"/>
      <c r="ACA115" s="381"/>
      <c r="ACB115" s="381"/>
      <c r="ACC115" s="381"/>
      <c r="ACD115" s="381"/>
      <c r="ACE115" s="381"/>
      <c r="ACF115" s="381"/>
      <c r="ACG115" s="381"/>
      <c r="ACH115" s="381"/>
      <c r="ACI115" s="381"/>
      <c r="ACJ115" s="381"/>
      <c r="ACK115" s="381"/>
      <c r="ACL115" s="381"/>
      <c r="ACM115" s="381"/>
      <c r="ACN115" s="381"/>
      <c r="ACO115" s="381"/>
      <c r="ACP115" s="381"/>
      <c r="ACQ115" s="381"/>
      <c r="ACR115" s="381"/>
      <c r="ACS115" s="381"/>
      <c r="ACT115" s="381"/>
      <c r="ACU115" s="381"/>
      <c r="ACV115" s="381"/>
      <c r="ACW115" s="381"/>
      <c r="ACX115" s="381"/>
      <c r="ACY115" s="381"/>
      <c r="ACZ115" s="381"/>
      <c r="ADA115" s="381"/>
      <c r="ADB115" s="381"/>
      <c r="ADC115" s="381"/>
      <c r="ADD115" s="381"/>
      <c r="ADE115" s="381"/>
      <c r="ADF115" s="381"/>
      <c r="ADG115" s="381"/>
      <c r="ADH115" s="381"/>
      <c r="ADI115" s="381"/>
      <c r="ADJ115" s="381"/>
      <c r="ADK115" s="381"/>
      <c r="ADL115" s="381"/>
      <c r="ADM115" s="381"/>
      <c r="ADN115" s="381"/>
      <c r="ADO115" s="381"/>
      <c r="ADP115" s="381"/>
      <c r="ADQ115" s="381"/>
      <c r="ADR115" s="381"/>
      <c r="ADS115" s="381"/>
      <c r="ADT115" s="381"/>
      <c r="ADU115" s="381"/>
      <c r="ADV115" s="381"/>
      <c r="ADW115" s="381"/>
      <c r="ADX115" s="381"/>
      <c r="ADY115" s="381"/>
      <c r="ADZ115" s="381"/>
      <c r="AEA115" s="381"/>
      <c r="AEB115" s="381"/>
      <c r="AEC115" s="381"/>
      <c r="AED115" s="381"/>
      <c r="AEE115" s="381"/>
      <c r="AEF115" s="381"/>
      <c r="AEG115" s="381"/>
      <c r="AEH115" s="381"/>
      <c r="AEI115" s="381"/>
      <c r="AEJ115" s="381"/>
      <c r="AEK115" s="381"/>
      <c r="AEL115" s="381"/>
      <c r="AEM115" s="381"/>
      <c r="AEN115" s="381"/>
      <c r="AEO115" s="381"/>
      <c r="AEP115" s="381"/>
      <c r="AEQ115" s="381"/>
      <c r="AER115" s="381"/>
      <c r="AES115" s="381"/>
      <c r="AET115" s="381"/>
      <c r="AEU115" s="381"/>
      <c r="AEV115" s="381"/>
      <c r="AEW115" s="381"/>
      <c r="AEX115" s="381"/>
      <c r="AEY115" s="381"/>
      <c r="AEZ115" s="381"/>
      <c r="AFA115" s="381"/>
      <c r="AFB115" s="381"/>
      <c r="AFC115" s="381"/>
      <c r="AFD115" s="381"/>
      <c r="AFE115" s="381"/>
      <c r="AFF115" s="381"/>
      <c r="AFG115" s="381"/>
      <c r="AFH115" s="381"/>
      <c r="AFI115" s="381"/>
      <c r="AFJ115" s="381"/>
      <c r="AFK115" s="381"/>
      <c r="AFL115" s="381"/>
      <c r="AFM115" s="381"/>
      <c r="AFN115" s="381"/>
      <c r="AFO115" s="381"/>
      <c r="AFP115" s="381"/>
      <c r="AFQ115" s="381"/>
      <c r="AFR115" s="381"/>
      <c r="AFS115" s="381"/>
      <c r="AFT115" s="381"/>
      <c r="AFU115" s="381"/>
      <c r="AFV115" s="381"/>
      <c r="AFW115" s="381"/>
      <c r="AFX115" s="381"/>
      <c r="AFY115" s="381"/>
      <c r="AFZ115" s="381"/>
      <c r="AGA115" s="381"/>
      <c r="AGB115" s="381"/>
      <c r="AGC115" s="381"/>
      <c r="AGD115" s="381"/>
      <c r="AGE115" s="381"/>
      <c r="AGF115" s="381"/>
      <c r="AGG115" s="381"/>
      <c r="AGH115" s="381"/>
      <c r="AGI115" s="381"/>
      <c r="AGJ115" s="381"/>
      <c r="AGK115" s="381"/>
      <c r="AGL115" s="381"/>
      <c r="AGM115" s="381"/>
      <c r="AGN115" s="381"/>
      <c r="AGO115" s="381"/>
      <c r="AGP115" s="381"/>
      <c r="AGQ115" s="381"/>
      <c r="AGR115" s="381"/>
      <c r="AGS115" s="381"/>
      <c r="AGT115" s="381"/>
      <c r="AGU115" s="381"/>
      <c r="AGV115" s="381"/>
      <c r="AGW115" s="381"/>
      <c r="AGX115" s="381"/>
      <c r="AGY115" s="381"/>
      <c r="AGZ115" s="381"/>
      <c r="AHA115" s="381"/>
      <c r="AHB115" s="381"/>
      <c r="AHC115" s="381"/>
      <c r="AHD115" s="381"/>
      <c r="AHE115" s="381"/>
      <c r="AHF115" s="381"/>
      <c r="AHG115" s="381"/>
      <c r="AHH115" s="381"/>
      <c r="AHI115" s="381"/>
      <c r="AHJ115" s="381"/>
      <c r="AHK115" s="381"/>
      <c r="AHL115" s="381"/>
      <c r="AHM115" s="381"/>
      <c r="AHN115" s="381"/>
      <c r="AHO115" s="381"/>
      <c r="AHP115" s="381"/>
      <c r="AHQ115" s="381"/>
      <c r="AHR115" s="381"/>
      <c r="AHS115" s="381"/>
      <c r="AHT115" s="381"/>
      <c r="AHU115" s="381"/>
      <c r="AHV115" s="381"/>
      <c r="AHW115" s="381"/>
      <c r="AHX115" s="381"/>
      <c r="AHY115" s="381"/>
      <c r="AHZ115" s="381"/>
      <c r="AIA115" s="381"/>
      <c r="AIB115" s="381"/>
      <c r="AIC115" s="381"/>
      <c r="AID115" s="381"/>
      <c r="AIE115" s="381"/>
      <c r="AIF115" s="381"/>
      <c r="AIG115" s="381"/>
      <c r="AIH115" s="381"/>
      <c r="AII115" s="381"/>
      <c r="AIJ115" s="381"/>
      <c r="AIK115" s="381"/>
      <c r="AIL115" s="381"/>
      <c r="AIM115" s="381"/>
      <c r="AIN115" s="381"/>
      <c r="AIO115" s="381"/>
      <c r="AIP115" s="381"/>
      <c r="AIQ115" s="381"/>
      <c r="AIR115" s="381"/>
      <c r="AIS115" s="381"/>
      <c r="AIT115" s="381"/>
      <c r="AIU115" s="381"/>
      <c r="AIV115" s="381"/>
      <c r="AIW115" s="381"/>
      <c r="AIX115" s="381"/>
      <c r="AIY115" s="381"/>
      <c r="AIZ115" s="381"/>
      <c r="AJA115" s="381"/>
      <c r="AJB115" s="381"/>
      <c r="AJC115" s="381"/>
      <c r="AJD115" s="381"/>
      <c r="AJE115" s="381"/>
      <c r="AJF115" s="381"/>
      <c r="AJG115" s="381"/>
      <c r="AJH115" s="381"/>
      <c r="AJI115" s="381"/>
      <c r="AJJ115" s="381"/>
      <c r="AJK115" s="381"/>
      <c r="AJL115" s="381"/>
      <c r="AJM115" s="381"/>
      <c r="AJN115" s="381"/>
      <c r="AJO115" s="381"/>
      <c r="AJP115" s="381"/>
      <c r="AJQ115" s="381"/>
      <c r="AJR115" s="381"/>
      <c r="AJS115" s="381"/>
      <c r="AJT115" s="381"/>
      <c r="AJU115" s="381"/>
      <c r="AJV115" s="381"/>
      <c r="AJW115" s="381"/>
      <c r="AJX115" s="381"/>
      <c r="AJY115" s="381"/>
      <c r="AJZ115" s="381"/>
      <c r="AKA115" s="381"/>
      <c r="AKB115" s="381"/>
      <c r="AKC115" s="381"/>
      <c r="AKD115" s="381"/>
      <c r="AKE115" s="381"/>
      <c r="AKF115" s="381"/>
      <c r="AKG115" s="381"/>
      <c r="AKH115" s="381"/>
      <c r="AKI115" s="381"/>
      <c r="AKJ115" s="381"/>
      <c r="AKK115" s="381"/>
      <c r="AKL115" s="381"/>
      <c r="AKM115" s="381"/>
      <c r="AKN115" s="381"/>
      <c r="AKO115" s="381"/>
      <c r="AKP115" s="381"/>
      <c r="AKQ115" s="381"/>
      <c r="AKR115" s="381"/>
      <c r="AKS115" s="381"/>
      <c r="AKT115" s="381"/>
      <c r="AKU115" s="381"/>
      <c r="AKV115" s="381"/>
      <c r="AKW115" s="381"/>
      <c r="AKX115" s="381"/>
      <c r="AKY115" s="381"/>
      <c r="AKZ115" s="381"/>
      <c r="ALA115" s="381"/>
      <c r="ALB115" s="381"/>
      <c r="ALC115" s="381"/>
      <c r="ALD115" s="381"/>
      <c r="ALE115" s="381"/>
      <c r="ALF115" s="381"/>
      <c r="ALG115" s="381"/>
      <c r="ALH115" s="381"/>
      <c r="ALI115" s="381"/>
      <c r="ALJ115" s="381"/>
      <c r="ALK115" s="381"/>
      <c r="ALL115" s="381"/>
      <c r="ALM115" s="381"/>
      <c r="ALN115" s="381"/>
      <c r="ALO115" s="381"/>
      <c r="ALP115" s="381"/>
      <c r="ALQ115" s="381"/>
      <c r="ALR115" s="381"/>
      <c r="ALS115" s="381"/>
      <c r="ALT115" s="381"/>
      <c r="ALU115" s="381"/>
      <c r="ALV115" s="381"/>
      <c r="ALW115" s="381"/>
      <c r="ALX115" s="381"/>
      <c r="ALY115" s="381"/>
      <c r="ALZ115" s="381"/>
      <c r="AMA115" s="381"/>
      <c r="AMB115" s="381"/>
      <c r="AMC115" s="381"/>
      <c r="AMD115" s="381"/>
      <c r="AME115" s="381"/>
      <c r="AMF115" s="381"/>
      <c r="AMG115" s="381"/>
      <c r="AMH115" s="381"/>
      <c r="AMI115" s="381"/>
      <c r="AMJ115" s="381"/>
      <c r="AMK115" s="381"/>
      <c r="AML115" s="381"/>
      <c r="AMM115" s="381"/>
      <c r="AMN115" s="381"/>
      <c r="AMO115" s="381"/>
      <c r="AMP115" s="381"/>
      <c r="AMQ115" s="381"/>
      <c r="AMR115" s="381"/>
      <c r="AMS115" s="381"/>
      <c r="AMT115" s="381"/>
      <c r="AMU115" s="381"/>
      <c r="AMV115" s="381"/>
      <c r="AMW115" s="381"/>
      <c r="AMX115" s="381"/>
      <c r="AMY115" s="381"/>
      <c r="AMZ115" s="381"/>
      <c r="ANA115" s="381"/>
      <c r="ANB115" s="381"/>
      <c r="ANC115" s="381"/>
      <c r="AND115" s="381"/>
      <c r="ANE115" s="381"/>
      <c r="ANF115" s="381"/>
      <c r="ANG115" s="381"/>
      <c r="ANH115" s="381"/>
      <c r="ANI115" s="381"/>
      <c r="ANJ115" s="381"/>
      <c r="ANK115" s="381"/>
      <c r="ANL115" s="381"/>
      <c r="ANM115" s="381"/>
      <c r="ANN115" s="381"/>
      <c r="ANO115" s="381"/>
      <c r="ANP115" s="381"/>
      <c r="ANQ115" s="381"/>
      <c r="ANR115" s="381"/>
      <c r="ANS115" s="381"/>
      <c r="ANT115" s="381"/>
      <c r="ANU115" s="381"/>
      <c r="ANV115" s="381"/>
      <c r="ANW115" s="381"/>
      <c r="ANX115" s="381"/>
      <c r="ANY115" s="381"/>
      <c r="ANZ115" s="381"/>
      <c r="AOA115" s="381"/>
      <c r="AOB115" s="381"/>
      <c r="AOC115" s="381"/>
      <c r="AOD115" s="381"/>
      <c r="AOE115" s="381"/>
      <c r="AOF115" s="381"/>
      <c r="AOG115" s="381"/>
      <c r="AOH115" s="381"/>
      <c r="AOI115" s="381"/>
      <c r="AOJ115" s="381"/>
      <c r="AOK115" s="381"/>
      <c r="AOL115" s="381"/>
      <c r="AOM115" s="381"/>
      <c r="AON115" s="381"/>
      <c r="AOO115" s="381"/>
      <c r="AOP115" s="381"/>
      <c r="AOQ115" s="381"/>
      <c r="AOR115" s="381"/>
      <c r="AOS115" s="381"/>
      <c r="AOT115" s="381"/>
      <c r="AOU115" s="381"/>
      <c r="AOV115" s="381"/>
      <c r="AOW115" s="381"/>
      <c r="AOX115" s="381"/>
      <c r="AOY115" s="381"/>
      <c r="AOZ115" s="381"/>
      <c r="APA115" s="381"/>
      <c r="APB115" s="381"/>
      <c r="APC115" s="381"/>
      <c r="APD115" s="381"/>
      <c r="APE115" s="381"/>
      <c r="APF115" s="381"/>
      <c r="APG115" s="381"/>
      <c r="APH115" s="381"/>
      <c r="API115" s="381"/>
      <c r="APJ115" s="381"/>
      <c r="APK115" s="381"/>
      <c r="APL115" s="381"/>
      <c r="APM115" s="381"/>
      <c r="APN115" s="381"/>
      <c r="APO115" s="381"/>
      <c r="APP115" s="381"/>
      <c r="APQ115" s="381"/>
      <c r="APR115" s="381"/>
      <c r="APS115" s="381"/>
      <c r="APT115" s="381"/>
      <c r="APU115" s="381"/>
      <c r="APV115" s="381"/>
      <c r="APW115" s="381"/>
      <c r="APX115" s="381"/>
      <c r="APY115" s="381"/>
      <c r="APZ115" s="381"/>
      <c r="AQA115" s="381"/>
      <c r="AQB115" s="381"/>
      <c r="AQC115" s="381"/>
      <c r="AQD115" s="381"/>
      <c r="AQE115" s="381"/>
      <c r="AQF115" s="381"/>
      <c r="AQG115" s="381"/>
      <c r="AQH115" s="381"/>
      <c r="AQI115" s="381"/>
      <c r="AQJ115" s="381"/>
      <c r="AQK115" s="381"/>
      <c r="AQL115" s="381"/>
      <c r="AQM115" s="381"/>
      <c r="AQN115" s="381"/>
      <c r="AQO115" s="381"/>
      <c r="AQP115" s="381"/>
      <c r="AQQ115" s="381"/>
      <c r="AQR115" s="381"/>
      <c r="AQS115" s="381"/>
      <c r="AQT115" s="381"/>
      <c r="AQU115" s="381"/>
      <c r="AQV115" s="381"/>
      <c r="AQW115" s="381"/>
      <c r="AQX115" s="381"/>
      <c r="AQY115" s="381"/>
      <c r="AQZ115" s="381"/>
      <c r="ARA115" s="381"/>
      <c r="ARB115" s="381"/>
      <c r="ARC115" s="381"/>
      <c r="ARD115" s="381"/>
      <c r="ARE115" s="381"/>
      <c r="ARF115" s="381"/>
      <c r="ARG115" s="381"/>
      <c r="ARH115" s="381"/>
      <c r="ARI115" s="381"/>
      <c r="ARJ115" s="381"/>
      <c r="ARK115" s="381"/>
      <c r="ARL115" s="381"/>
      <c r="ARM115" s="381"/>
      <c r="ARN115" s="381"/>
      <c r="ARO115" s="381"/>
      <c r="ARP115" s="381"/>
      <c r="ARQ115" s="381"/>
      <c r="ARR115" s="381"/>
      <c r="ARS115" s="381"/>
      <c r="ART115" s="381"/>
      <c r="ARU115" s="381"/>
      <c r="ARV115" s="381"/>
      <c r="ARW115" s="381"/>
      <c r="ARX115" s="381"/>
      <c r="ARY115" s="381"/>
      <c r="ARZ115" s="381"/>
      <c r="ASA115" s="381"/>
      <c r="ASB115" s="381"/>
      <c r="ASC115" s="381"/>
      <c r="ASD115" s="381"/>
      <c r="ASE115" s="381"/>
      <c r="ASF115" s="381"/>
      <c r="ASG115" s="381"/>
      <c r="ASH115" s="381"/>
      <c r="ASI115" s="381"/>
      <c r="ASJ115" s="381"/>
      <c r="ASK115" s="381"/>
      <c r="ASL115" s="381"/>
      <c r="ASM115" s="381"/>
      <c r="ASN115" s="381"/>
      <c r="ASO115" s="381"/>
      <c r="ASP115" s="381"/>
      <c r="ASQ115" s="381"/>
      <c r="ASR115" s="381"/>
      <c r="ASS115" s="381"/>
      <c r="AST115" s="381"/>
      <c r="ASU115" s="381"/>
      <c r="ASV115" s="381"/>
      <c r="ASW115" s="381"/>
      <c r="ASX115" s="381"/>
      <c r="ASY115" s="381"/>
      <c r="ASZ115" s="381"/>
      <c r="ATA115" s="381"/>
      <c r="ATB115" s="381"/>
      <c r="ATC115" s="381"/>
      <c r="ATD115" s="381"/>
      <c r="ATE115" s="381"/>
      <c r="ATF115" s="381"/>
      <c r="ATG115" s="381"/>
      <c r="ATH115" s="381"/>
      <c r="ATI115" s="381"/>
      <c r="ATJ115" s="381"/>
      <c r="ATK115" s="381"/>
      <c r="ATL115" s="381"/>
      <c r="ATM115" s="381"/>
      <c r="ATN115" s="381"/>
      <c r="ATO115" s="381"/>
      <c r="ATP115" s="381"/>
      <c r="ATQ115" s="381"/>
      <c r="ATR115" s="381"/>
      <c r="ATS115" s="381"/>
      <c r="ATT115" s="381"/>
      <c r="ATU115" s="381"/>
      <c r="ATV115" s="381"/>
      <c r="ATW115" s="381"/>
      <c r="ATX115" s="381"/>
      <c r="ATY115" s="381"/>
      <c r="ATZ115" s="381"/>
      <c r="AUA115" s="381"/>
      <c r="AUB115" s="381"/>
      <c r="AUC115" s="381"/>
      <c r="AUD115" s="381"/>
      <c r="AUE115" s="381"/>
      <c r="AUF115" s="381"/>
      <c r="AUG115" s="381"/>
      <c r="AUH115" s="381"/>
      <c r="AUI115" s="381"/>
      <c r="AUJ115" s="381"/>
      <c r="AUK115" s="381"/>
      <c r="AUL115" s="381"/>
      <c r="AUM115" s="381"/>
      <c r="AUN115" s="381"/>
      <c r="AUO115" s="381"/>
      <c r="AUP115" s="381"/>
      <c r="AUQ115" s="381"/>
      <c r="AUR115" s="381"/>
      <c r="AUS115" s="381"/>
      <c r="AUT115" s="381"/>
      <c r="AUU115" s="381"/>
      <c r="AUV115" s="381"/>
      <c r="AUW115" s="381"/>
      <c r="AUX115" s="381"/>
      <c r="AUY115" s="381"/>
      <c r="AUZ115" s="381"/>
      <c r="AVA115" s="381"/>
      <c r="AVB115" s="381"/>
      <c r="AVC115" s="381"/>
      <c r="AVD115" s="381"/>
      <c r="AVE115" s="381"/>
      <c r="AVF115" s="381"/>
      <c r="AVG115" s="381"/>
      <c r="AVH115" s="381"/>
      <c r="AVI115" s="381"/>
      <c r="AVJ115" s="381"/>
      <c r="AVK115" s="381"/>
      <c r="AVL115" s="381"/>
      <c r="AVM115" s="381"/>
      <c r="AVN115" s="381"/>
      <c r="AVO115" s="381"/>
      <c r="AVP115" s="381"/>
      <c r="AVQ115" s="381"/>
      <c r="AVR115" s="381"/>
      <c r="AVS115" s="381"/>
      <c r="AVT115" s="381"/>
      <c r="AVU115" s="381"/>
      <c r="AVV115" s="381"/>
      <c r="AVW115" s="381"/>
      <c r="AVX115" s="381"/>
      <c r="AVY115" s="381"/>
      <c r="AVZ115" s="381"/>
      <c r="AWA115" s="381"/>
      <c r="AWB115" s="381"/>
      <c r="AWC115" s="381"/>
      <c r="AWD115" s="381"/>
      <c r="AWE115" s="381"/>
      <c r="AWF115" s="381"/>
      <c r="AWG115" s="381"/>
      <c r="AWH115" s="381"/>
      <c r="AWI115" s="381"/>
      <c r="AWJ115" s="381"/>
      <c r="AWK115" s="381"/>
      <c r="AWL115" s="381"/>
      <c r="AWM115" s="381"/>
      <c r="AWN115" s="381"/>
      <c r="AWO115" s="381"/>
      <c r="AWP115" s="381"/>
      <c r="AWQ115" s="381"/>
      <c r="AWR115" s="381"/>
      <c r="AWS115" s="381"/>
      <c r="AWT115" s="381"/>
      <c r="AWU115" s="381"/>
      <c r="AWV115" s="381"/>
      <c r="AWW115" s="381"/>
      <c r="AWX115" s="381"/>
      <c r="AWY115" s="381"/>
      <c r="AWZ115" s="381"/>
      <c r="AXA115" s="381"/>
      <c r="AXB115" s="381"/>
      <c r="AXC115" s="381"/>
      <c r="AXD115" s="381"/>
      <c r="AXE115" s="381"/>
      <c r="AXF115" s="381"/>
      <c r="AXG115" s="381"/>
      <c r="AXH115" s="381"/>
      <c r="AXI115" s="381"/>
      <c r="AXJ115" s="381"/>
      <c r="AXK115" s="381"/>
      <c r="AXL115" s="381"/>
      <c r="AXM115" s="381"/>
      <c r="AXN115" s="381"/>
      <c r="AXO115" s="381"/>
      <c r="AXP115" s="381"/>
      <c r="AXQ115" s="381"/>
      <c r="AXR115" s="381"/>
      <c r="AXS115" s="381"/>
      <c r="AXT115" s="381"/>
      <c r="AXU115" s="381"/>
      <c r="AXV115" s="381"/>
      <c r="AXW115" s="381"/>
      <c r="AXX115" s="381"/>
      <c r="AXY115" s="381"/>
      <c r="AXZ115" s="381"/>
      <c r="AYA115" s="381"/>
      <c r="AYB115" s="381"/>
      <c r="AYC115" s="381"/>
      <c r="AYD115" s="381"/>
      <c r="AYE115" s="381"/>
      <c r="AYF115" s="381"/>
      <c r="AYG115" s="381"/>
      <c r="AYH115" s="381"/>
      <c r="AYI115" s="381"/>
      <c r="AYJ115" s="381"/>
      <c r="AYK115" s="381"/>
      <c r="AYL115" s="381"/>
      <c r="AYM115" s="381"/>
      <c r="AYN115" s="381"/>
      <c r="AYO115" s="381"/>
      <c r="AYP115" s="381"/>
      <c r="AYQ115" s="381"/>
      <c r="AYR115" s="381"/>
      <c r="AYS115" s="381"/>
      <c r="AYT115" s="381"/>
      <c r="AYU115" s="381"/>
      <c r="AYV115" s="381"/>
      <c r="AYW115" s="381"/>
      <c r="AYX115" s="381"/>
      <c r="AYY115" s="381"/>
      <c r="AYZ115" s="381"/>
      <c r="AZA115" s="381"/>
      <c r="AZB115" s="381"/>
      <c r="AZC115" s="381"/>
      <c r="AZD115" s="381"/>
      <c r="AZE115" s="381"/>
      <c r="AZF115" s="381"/>
      <c r="AZG115" s="381"/>
      <c r="AZH115" s="381"/>
      <c r="AZI115" s="381"/>
      <c r="AZJ115" s="381"/>
      <c r="AZK115" s="381"/>
      <c r="AZL115" s="381"/>
      <c r="AZM115" s="381"/>
      <c r="AZN115" s="381"/>
      <c r="AZO115" s="381"/>
      <c r="AZP115" s="381"/>
      <c r="AZQ115" s="381"/>
      <c r="AZR115" s="381"/>
      <c r="AZS115" s="381"/>
      <c r="AZT115" s="381"/>
      <c r="AZU115" s="381"/>
      <c r="AZV115" s="381"/>
      <c r="AZW115" s="381"/>
      <c r="AZX115" s="381"/>
      <c r="AZY115" s="381"/>
      <c r="AZZ115" s="381"/>
      <c r="BAA115" s="381"/>
      <c r="BAB115" s="381"/>
      <c r="BAC115" s="381"/>
      <c r="BAD115" s="381"/>
      <c r="BAE115" s="381"/>
      <c r="BAF115" s="381"/>
      <c r="BAG115" s="381"/>
      <c r="BAH115" s="381"/>
      <c r="BAI115" s="381"/>
      <c r="BAJ115" s="381"/>
      <c r="BAK115" s="381"/>
      <c r="BAL115" s="381"/>
      <c r="BAM115" s="381"/>
      <c r="BAN115" s="381"/>
      <c r="BAO115" s="381"/>
      <c r="BAP115" s="381"/>
      <c r="BAQ115" s="381"/>
      <c r="BAR115" s="381"/>
      <c r="BAS115" s="381"/>
      <c r="BAT115" s="381"/>
      <c r="BAU115" s="381"/>
      <c r="BAV115" s="381"/>
      <c r="BAW115" s="381"/>
      <c r="BAX115" s="381"/>
      <c r="BAY115" s="381"/>
      <c r="BAZ115" s="381"/>
      <c r="BBA115" s="381"/>
      <c r="BBB115" s="381"/>
      <c r="BBC115" s="381"/>
      <c r="BBD115" s="381"/>
      <c r="BBE115" s="381"/>
      <c r="BBF115" s="381"/>
      <c r="BBG115" s="381"/>
      <c r="BBH115" s="381"/>
      <c r="BBI115" s="381"/>
      <c r="BBJ115" s="381"/>
      <c r="BBK115" s="381"/>
      <c r="BBL115" s="381"/>
      <c r="BBM115" s="381"/>
      <c r="BBN115" s="381"/>
      <c r="BBO115" s="381"/>
      <c r="BBP115" s="381"/>
      <c r="BBQ115" s="381"/>
      <c r="BBR115" s="381"/>
      <c r="BBS115" s="381"/>
      <c r="BBT115" s="381"/>
      <c r="BBU115" s="381"/>
      <c r="BBV115" s="381"/>
      <c r="BBW115" s="381"/>
      <c r="BBX115" s="381"/>
      <c r="BBY115" s="381"/>
      <c r="BBZ115" s="381"/>
      <c r="BCA115" s="381"/>
      <c r="BCB115" s="381"/>
      <c r="BCC115" s="381"/>
      <c r="BCD115" s="381"/>
      <c r="BCE115" s="381"/>
      <c r="BCF115" s="381"/>
      <c r="BCG115" s="381"/>
      <c r="BCH115" s="381"/>
      <c r="BCI115" s="381"/>
      <c r="BCJ115" s="381"/>
      <c r="BCK115" s="381"/>
      <c r="BCL115" s="381"/>
      <c r="BCM115" s="381"/>
      <c r="BCN115" s="381"/>
      <c r="BCO115" s="381"/>
      <c r="BCP115" s="381"/>
      <c r="BCQ115" s="381"/>
      <c r="BCR115" s="381"/>
      <c r="BCS115" s="381"/>
      <c r="BCT115" s="381"/>
      <c r="BCU115" s="381"/>
      <c r="BCV115" s="381"/>
      <c r="BCW115" s="381"/>
      <c r="BCX115" s="381"/>
      <c r="BCY115" s="381"/>
      <c r="BCZ115" s="381"/>
      <c r="BDA115" s="381"/>
      <c r="BDB115" s="381"/>
      <c r="BDC115" s="381"/>
      <c r="BDD115" s="381"/>
      <c r="BDE115" s="381"/>
      <c r="BDF115" s="381"/>
      <c r="BDG115" s="381"/>
      <c r="BDH115" s="381"/>
      <c r="BDI115" s="381"/>
      <c r="BDJ115" s="381"/>
      <c r="BDK115" s="381"/>
      <c r="BDL115" s="381"/>
      <c r="BDM115" s="381"/>
      <c r="BDN115" s="381"/>
      <c r="BDO115" s="381"/>
      <c r="BDP115" s="381"/>
      <c r="BDQ115" s="381"/>
      <c r="BDR115" s="381"/>
      <c r="BDS115" s="381"/>
      <c r="BDT115" s="381"/>
      <c r="BDU115" s="381"/>
      <c r="BDV115" s="381"/>
      <c r="BDW115" s="381"/>
      <c r="BDX115" s="381"/>
      <c r="BDY115" s="381"/>
      <c r="BDZ115" s="381"/>
      <c r="BEA115" s="381"/>
      <c r="BEB115" s="381"/>
      <c r="BEC115" s="381"/>
      <c r="BED115" s="381"/>
      <c r="BEE115" s="381"/>
      <c r="BEF115" s="381"/>
      <c r="BEG115" s="381"/>
      <c r="BEH115" s="381"/>
      <c r="BEI115" s="381"/>
      <c r="BEJ115" s="381"/>
      <c r="BEK115" s="381"/>
      <c r="BEL115" s="381"/>
      <c r="BEM115" s="381"/>
      <c r="BEN115" s="381"/>
      <c r="BEO115" s="381"/>
      <c r="BEP115" s="381"/>
      <c r="BEQ115" s="381"/>
      <c r="BER115" s="381"/>
      <c r="BES115" s="381"/>
      <c r="BET115" s="381"/>
      <c r="BEU115" s="381"/>
      <c r="BEV115" s="381"/>
      <c r="BEW115" s="381"/>
      <c r="BEX115" s="381"/>
      <c r="BEY115" s="381"/>
      <c r="BEZ115" s="381"/>
      <c r="BFA115" s="381"/>
      <c r="BFB115" s="381"/>
      <c r="BFC115" s="381"/>
      <c r="BFD115" s="381"/>
      <c r="BFE115" s="381"/>
      <c r="BFF115" s="381"/>
      <c r="BFG115" s="381"/>
      <c r="BFH115" s="381"/>
      <c r="BFI115" s="381"/>
      <c r="BFJ115" s="381"/>
      <c r="BFK115" s="381"/>
      <c r="BFL115" s="381"/>
      <c r="BFM115" s="381"/>
      <c r="BFN115" s="381"/>
      <c r="BFO115" s="381"/>
      <c r="BFP115" s="381"/>
      <c r="BFQ115" s="381"/>
      <c r="BFR115" s="381"/>
      <c r="BFS115" s="381"/>
      <c r="BFT115" s="381"/>
      <c r="BFU115" s="381"/>
      <c r="BFV115" s="381"/>
      <c r="BFW115" s="381"/>
      <c r="BFX115" s="381"/>
      <c r="BFY115" s="381"/>
      <c r="BFZ115" s="381"/>
      <c r="BGA115" s="381"/>
      <c r="BGB115" s="381"/>
      <c r="BGC115" s="381"/>
      <c r="BGD115" s="381"/>
      <c r="BGE115" s="381"/>
      <c r="BGF115" s="381"/>
      <c r="BGG115" s="381"/>
      <c r="BGH115" s="381"/>
      <c r="BGI115" s="381"/>
      <c r="BGJ115" s="381"/>
      <c r="BGK115" s="381"/>
      <c r="BGL115" s="381"/>
      <c r="BGM115" s="381"/>
      <c r="BGN115" s="381"/>
      <c r="BGO115" s="381"/>
      <c r="BGP115" s="381"/>
      <c r="BGQ115" s="381"/>
      <c r="BGR115" s="381"/>
      <c r="BGS115" s="381"/>
      <c r="BGT115" s="381"/>
      <c r="BGU115" s="381"/>
      <c r="BGV115" s="381"/>
      <c r="BGW115" s="381"/>
      <c r="BGX115" s="381"/>
      <c r="BGY115" s="381"/>
      <c r="BGZ115" s="381"/>
      <c r="BHA115" s="381"/>
      <c r="BHB115" s="381"/>
      <c r="BHC115" s="381"/>
      <c r="BHD115" s="381"/>
      <c r="BHE115" s="381"/>
      <c r="BHF115" s="381"/>
      <c r="BHG115" s="381"/>
      <c r="BHH115" s="381"/>
      <c r="BHI115" s="381"/>
      <c r="BHJ115" s="381"/>
      <c r="BHK115" s="381"/>
      <c r="BHL115" s="381"/>
      <c r="BHM115" s="381"/>
      <c r="BHN115" s="381"/>
      <c r="BHO115" s="381"/>
      <c r="BHP115" s="381"/>
      <c r="BHQ115" s="381"/>
      <c r="BHR115" s="381"/>
      <c r="BHS115" s="381"/>
      <c r="BHT115" s="381"/>
      <c r="BHU115" s="381"/>
      <c r="BHV115" s="381"/>
      <c r="BHW115" s="381"/>
      <c r="BHX115" s="381"/>
      <c r="BHY115" s="381"/>
      <c r="BHZ115" s="381"/>
      <c r="BIA115" s="381"/>
      <c r="BIB115" s="381"/>
      <c r="BIC115" s="381"/>
      <c r="BID115" s="381"/>
      <c r="BIE115" s="381"/>
      <c r="BIF115" s="381"/>
      <c r="BIG115" s="381"/>
      <c r="BIH115" s="381"/>
      <c r="BII115" s="381"/>
      <c r="BIJ115" s="381"/>
      <c r="BIK115" s="381"/>
      <c r="BIL115" s="381"/>
      <c r="BIM115" s="381"/>
      <c r="BIN115" s="381"/>
      <c r="BIO115" s="381"/>
      <c r="BIP115" s="381"/>
      <c r="BIQ115" s="381"/>
      <c r="BIR115" s="381"/>
      <c r="BIS115" s="381"/>
      <c r="BIT115" s="381"/>
      <c r="BIU115" s="381"/>
      <c r="BIV115" s="381"/>
      <c r="BIW115" s="381"/>
      <c r="BIX115" s="381"/>
      <c r="BIY115" s="381"/>
      <c r="BIZ115" s="381"/>
      <c r="BJA115" s="381"/>
      <c r="BJB115" s="381"/>
      <c r="BJC115" s="381"/>
      <c r="BJD115" s="381"/>
      <c r="BJE115" s="381"/>
      <c r="BJF115" s="381"/>
      <c r="BJG115" s="381"/>
      <c r="BJH115" s="381"/>
      <c r="BJI115" s="381"/>
      <c r="BJJ115" s="381"/>
      <c r="BJK115" s="381"/>
      <c r="BJL115" s="381"/>
      <c r="BJM115" s="381"/>
      <c r="BJN115" s="381"/>
      <c r="BJO115" s="381"/>
      <c r="BJP115" s="381"/>
      <c r="BJQ115" s="381"/>
      <c r="BJR115" s="381"/>
      <c r="BJS115" s="381"/>
      <c r="BJT115" s="381"/>
      <c r="BJU115" s="381"/>
      <c r="BJV115" s="381"/>
      <c r="BJW115" s="381"/>
      <c r="BJX115" s="381"/>
      <c r="BJY115" s="381"/>
      <c r="BJZ115" s="381"/>
      <c r="BKA115" s="381"/>
      <c r="BKB115" s="381"/>
      <c r="BKC115" s="381"/>
      <c r="BKD115" s="381"/>
      <c r="BKE115" s="381"/>
      <c r="BKF115" s="381"/>
      <c r="BKG115" s="381"/>
      <c r="BKH115" s="381"/>
      <c r="BKI115" s="381"/>
      <c r="BKJ115" s="381"/>
      <c r="BKK115" s="381"/>
      <c r="BKL115" s="381"/>
      <c r="BKM115" s="381"/>
      <c r="BKN115" s="381"/>
      <c r="BKO115" s="381"/>
      <c r="BKP115" s="381"/>
      <c r="BKQ115" s="381"/>
      <c r="BKR115" s="381"/>
      <c r="BKS115" s="381"/>
      <c r="BKT115" s="381"/>
      <c r="BKU115" s="381"/>
      <c r="BKV115" s="381"/>
      <c r="BKW115" s="381"/>
      <c r="BKX115" s="381"/>
      <c r="BKY115" s="381"/>
      <c r="BKZ115" s="381"/>
      <c r="BLA115" s="381"/>
      <c r="BLB115" s="381"/>
      <c r="BLC115" s="381"/>
      <c r="BLD115" s="381"/>
      <c r="BLE115" s="381"/>
      <c r="BLF115" s="381"/>
      <c r="BLG115" s="381"/>
      <c r="BLH115" s="381"/>
      <c r="BLI115" s="381"/>
      <c r="BLJ115" s="381"/>
      <c r="BLK115" s="381"/>
      <c r="BLL115" s="381"/>
      <c r="BLM115" s="381"/>
      <c r="BLN115" s="381"/>
      <c r="BLO115" s="381"/>
      <c r="BLP115" s="381"/>
      <c r="BLQ115" s="381"/>
      <c r="BLR115" s="381"/>
      <c r="BLS115" s="381"/>
      <c r="BLT115" s="381"/>
      <c r="BLU115" s="381"/>
      <c r="BLV115" s="381"/>
      <c r="BLW115" s="381"/>
      <c r="BLX115" s="381"/>
      <c r="BLY115" s="381"/>
      <c r="BLZ115" s="381"/>
      <c r="BMA115" s="381"/>
      <c r="BMB115" s="381"/>
      <c r="BMC115" s="381"/>
      <c r="BMD115" s="381"/>
      <c r="BME115" s="381"/>
      <c r="BMF115" s="381"/>
      <c r="BMG115" s="381"/>
      <c r="BMH115" s="381"/>
      <c r="BMI115" s="381"/>
      <c r="BMJ115" s="381"/>
      <c r="BMK115" s="381"/>
      <c r="BML115" s="381"/>
      <c r="BMM115" s="381"/>
      <c r="BMN115" s="381"/>
      <c r="BMO115" s="381"/>
      <c r="BMP115" s="381"/>
      <c r="BMQ115" s="381"/>
      <c r="BMR115" s="381"/>
      <c r="BMS115" s="381"/>
      <c r="BMT115" s="381"/>
      <c r="BMU115" s="381"/>
      <c r="BMV115" s="381"/>
      <c r="BMW115" s="381"/>
      <c r="BMX115" s="381"/>
      <c r="BMY115" s="381"/>
      <c r="BMZ115" s="381"/>
      <c r="BNA115" s="381"/>
      <c r="BNB115" s="381"/>
      <c r="BNC115" s="381"/>
      <c r="BND115" s="381"/>
      <c r="BNE115" s="381"/>
      <c r="BNF115" s="381"/>
      <c r="BNG115" s="381"/>
      <c r="BNH115" s="381"/>
      <c r="BNI115" s="381"/>
      <c r="BNJ115" s="381"/>
      <c r="BNK115" s="381"/>
      <c r="BNL115" s="381"/>
      <c r="BNM115" s="381"/>
      <c r="BNN115" s="381"/>
      <c r="BNO115" s="381"/>
      <c r="BNP115" s="381"/>
      <c r="BNQ115" s="381"/>
      <c r="BNR115" s="381"/>
      <c r="BNS115" s="381"/>
      <c r="BNT115" s="381"/>
      <c r="BNU115" s="381"/>
      <c r="BNV115" s="381"/>
      <c r="BNW115" s="381"/>
      <c r="BNX115" s="381"/>
      <c r="BNY115" s="381"/>
      <c r="BNZ115" s="381"/>
      <c r="BOA115" s="381"/>
      <c r="BOB115" s="381"/>
      <c r="BOC115" s="381"/>
      <c r="BOD115" s="381"/>
      <c r="BOE115" s="381"/>
      <c r="BOF115" s="381"/>
      <c r="BOG115" s="381"/>
      <c r="BOH115" s="381"/>
      <c r="BOI115" s="381"/>
      <c r="BOJ115" s="381"/>
      <c r="BOK115" s="381"/>
      <c r="BOL115" s="381"/>
      <c r="BOM115" s="381"/>
      <c r="BON115" s="381"/>
      <c r="BOO115" s="381"/>
      <c r="BOP115" s="381"/>
      <c r="BOQ115" s="381"/>
      <c r="BOR115" s="381"/>
      <c r="BOS115" s="381"/>
      <c r="BOT115" s="381"/>
      <c r="BOU115" s="381"/>
      <c r="BOV115" s="381"/>
      <c r="BOW115" s="381"/>
      <c r="BOX115" s="381"/>
      <c r="BOY115" s="381"/>
      <c r="BOZ115" s="381"/>
      <c r="BPA115" s="381"/>
      <c r="BPB115" s="381"/>
      <c r="BPC115" s="381"/>
      <c r="BPD115" s="381"/>
      <c r="BPE115" s="381"/>
      <c r="BPF115" s="381"/>
      <c r="BPG115" s="381"/>
      <c r="BPH115" s="381"/>
      <c r="BPI115" s="381"/>
      <c r="BPJ115" s="381"/>
      <c r="BPK115" s="381"/>
      <c r="BPL115" s="381"/>
      <c r="BPM115" s="381"/>
      <c r="BPN115" s="381"/>
      <c r="BPO115" s="381"/>
      <c r="BPP115" s="381"/>
      <c r="BPQ115" s="381"/>
      <c r="BPR115" s="381"/>
      <c r="BPS115" s="381"/>
      <c r="BPT115" s="381"/>
      <c r="BPU115" s="381"/>
      <c r="BPV115" s="381"/>
      <c r="BPW115" s="381"/>
      <c r="BPX115" s="381"/>
      <c r="BPY115" s="381"/>
      <c r="BPZ115" s="381"/>
      <c r="BQA115" s="381"/>
      <c r="BQB115" s="381"/>
      <c r="BQC115" s="381"/>
      <c r="BQD115" s="381"/>
      <c r="BQE115" s="381"/>
      <c r="BQF115" s="381"/>
      <c r="BQG115" s="381"/>
      <c r="BQH115" s="381"/>
      <c r="BQI115" s="381"/>
      <c r="BQJ115" s="381"/>
      <c r="BQK115" s="381"/>
      <c r="BQL115" s="381"/>
      <c r="BQM115" s="381"/>
      <c r="BQN115" s="381"/>
      <c r="BQO115" s="381"/>
      <c r="BQP115" s="381"/>
      <c r="BQQ115" s="381"/>
      <c r="BQR115" s="381"/>
      <c r="BQS115" s="381"/>
      <c r="BQT115" s="381"/>
      <c r="BQU115" s="381"/>
      <c r="BQV115" s="381"/>
      <c r="BQW115" s="381"/>
      <c r="BQX115" s="381"/>
      <c r="BQY115" s="381"/>
      <c r="BQZ115" s="381"/>
      <c r="BRA115" s="381"/>
      <c r="BRB115" s="381"/>
      <c r="BRC115" s="381"/>
      <c r="BRD115" s="381"/>
      <c r="BRE115" s="381"/>
      <c r="BRF115" s="381"/>
      <c r="BRG115" s="381"/>
      <c r="BRH115" s="381"/>
      <c r="BRI115" s="381"/>
      <c r="BRJ115" s="381"/>
      <c r="BRK115" s="381"/>
      <c r="BRL115" s="381"/>
      <c r="BRM115" s="381"/>
      <c r="BRN115" s="381"/>
      <c r="BRO115" s="381"/>
      <c r="BRP115" s="381"/>
      <c r="BRQ115" s="381"/>
      <c r="BRR115" s="381"/>
      <c r="BRS115" s="381"/>
      <c r="BRT115" s="381"/>
      <c r="BRU115" s="381"/>
      <c r="BRV115" s="381"/>
      <c r="BRW115" s="381"/>
      <c r="BRX115" s="381"/>
      <c r="BRY115" s="381"/>
      <c r="BRZ115" s="381"/>
      <c r="BSA115" s="381"/>
      <c r="BSB115" s="381"/>
      <c r="BSC115" s="381"/>
      <c r="BSD115" s="381"/>
      <c r="BSE115" s="381"/>
      <c r="BSF115" s="381"/>
      <c r="BSG115" s="381"/>
      <c r="BSH115" s="381"/>
      <c r="BSI115" s="381"/>
      <c r="BSJ115" s="381"/>
      <c r="BSK115" s="381"/>
      <c r="BSL115" s="381"/>
      <c r="BSM115" s="381"/>
      <c r="BSN115" s="381"/>
      <c r="BSO115" s="381"/>
      <c r="BSP115" s="381"/>
      <c r="BSQ115" s="381"/>
      <c r="BSR115" s="381"/>
      <c r="BSS115" s="381"/>
      <c r="BST115" s="381"/>
      <c r="BSU115" s="381"/>
      <c r="BSV115" s="381"/>
      <c r="BSW115" s="381"/>
      <c r="BSX115" s="381"/>
      <c r="BSY115" s="381"/>
      <c r="BSZ115" s="381"/>
      <c r="BTA115" s="381"/>
      <c r="BTB115" s="381"/>
      <c r="BTC115" s="381"/>
      <c r="BTD115" s="381"/>
      <c r="BTE115" s="381"/>
      <c r="BTF115" s="381"/>
      <c r="BTG115" s="381"/>
      <c r="BTH115" s="381"/>
      <c r="BTI115" s="381"/>
      <c r="BTJ115" s="381"/>
      <c r="BTK115" s="381"/>
      <c r="BTL115" s="381"/>
      <c r="BTM115" s="381"/>
      <c r="BTN115" s="381"/>
      <c r="BTO115" s="381"/>
      <c r="BTP115" s="381"/>
      <c r="BTQ115" s="381"/>
      <c r="BTR115" s="381"/>
      <c r="BTS115" s="381"/>
      <c r="BTT115" s="381"/>
      <c r="BTU115" s="381"/>
      <c r="BTV115" s="381"/>
      <c r="BTW115" s="381"/>
      <c r="BTX115" s="381"/>
      <c r="BTY115" s="381"/>
      <c r="BTZ115" s="381"/>
      <c r="BUA115" s="381"/>
      <c r="BUB115" s="381"/>
      <c r="BUC115" s="381"/>
      <c r="BUD115" s="381"/>
      <c r="BUE115" s="381"/>
      <c r="BUF115" s="381"/>
      <c r="BUG115" s="381"/>
      <c r="BUH115" s="381"/>
      <c r="BUI115" s="381"/>
      <c r="BUJ115" s="381"/>
      <c r="BUK115" s="381"/>
      <c r="BUL115" s="381"/>
      <c r="BUM115" s="381"/>
      <c r="BUN115" s="381"/>
      <c r="BUO115" s="381"/>
      <c r="BUP115" s="381"/>
      <c r="BUQ115" s="381"/>
      <c r="BUR115" s="381"/>
      <c r="BUS115" s="381"/>
      <c r="BUT115" s="381"/>
      <c r="BUU115" s="381"/>
      <c r="BUV115" s="381"/>
      <c r="BUW115" s="381"/>
      <c r="BUX115" s="381"/>
      <c r="BUY115" s="381"/>
      <c r="BUZ115" s="381"/>
      <c r="BVA115" s="381"/>
      <c r="BVB115" s="381"/>
      <c r="BVC115" s="381"/>
      <c r="BVD115" s="381"/>
      <c r="BVE115" s="381"/>
      <c r="BVF115" s="381"/>
      <c r="BVG115" s="381"/>
      <c r="BVH115" s="381"/>
      <c r="BVI115" s="381"/>
      <c r="BVJ115" s="381"/>
      <c r="BVK115" s="381"/>
      <c r="BVL115" s="381"/>
      <c r="BVM115" s="381"/>
      <c r="BVN115" s="381"/>
      <c r="BVO115" s="381"/>
      <c r="BVP115" s="381"/>
      <c r="BVQ115" s="381"/>
      <c r="BVR115" s="381"/>
      <c r="BVS115" s="381"/>
      <c r="BVT115" s="381"/>
      <c r="BVU115" s="381"/>
      <c r="BVV115" s="381"/>
      <c r="BVW115" s="381"/>
      <c r="BVX115" s="381"/>
      <c r="BVY115" s="381"/>
      <c r="BVZ115" s="381"/>
      <c r="BWA115" s="381"/>
      <c r="BWB115" s="381"/>
      <c r="BWC115" s="381"/>
      <c r="BWD115" s="381"/>
      <c r="BWE115" s="381"/>
      <c r="BWF115" s="381"/>
      <c r="BWG115" s="381"/>
      <c r="BWH115" s="381"/>
      <c r="BWI115" s="381"/>
      <c r="BWJ115" s="381"/>
      <c r="BWK115" s="381"/>
      <c r="BWL115" s="381"/>
      <c r="BWM115" s="381"/>
      <c r="BWN115" s="381"/>
      <c r="BWO115" s="381"/>
      <c r="BWP115" s="381"/>
      <c r="BWQ115" s="381"/>
      <c r="BWR115" s="381"/>
      <c r="BWS115" s="381"/>
      <c r="BWT115" s="381"/>
      <c r="BWU115" s="381"/>
      <c r="BWV115" s="381"/>
      <c r="BWW115" s="381"/>
      <c r="BWX115" s="381"/>
      <c r="BWY115" s="381"/>
      <c r="BWZ115" s="381"/>
      <c r="BXA115" s="381"/>
      <c r="BXB115" s="381"/>
      <c r="BXC115" s="381"/>
      <c r="BXD115" s="381"/>
      <c r="BXE115" s="381"/>
      <c r="BXF115" s="381"/>
      <c r="BXG115" s="381"/>
      <c r="BXH115" s="381"/>
      <c r="BXI115" s="381"/>
      <c r="BXJ115" s="381"/>
      <c r="BXK115" s="381"/>
      <c r="BXL115" s="381"/>
      <c r="BXM115" s="381"/>
      <c r="BXN115" s="381"/>
      <c r="BXO115" s="381"/>
      <c r="BXP115" s="381"/>
      <c r="BXQ115" s="381"/>
      <c r="BXR115" s="381"/>
      <c r="BXS115" s="381"/>
      <c r="BXT115" s="381"/>
      <c r="BXU115" s="381"/>
      <c r="BXV115" s="381"/>
      <c r="BXW115" s="381"/>
      <c r="BXX115" s="381"/>
      <c r="BXY115" s="381"/>
      <c r="BXZ115" s="381"/>
      <c r="BYA115" s="381"/>
      <c r="BYB115" s="381"/>
      <c r="BYC115" s="381"/>
      <c r="BYD115" s="381"/>
      <c r="BYE115" s="381"/>
      <c r="BYF115" s="381"/>
      <c r="BYG115" s="381"/>
      <c r="BYH115" s="381"/>
      <c r="BYI115" s="381"/>
      <c r="BYJ115" s="381"/>
      <c r="BYK115" s="381"/>
      <c r="BYL115" s="381"/>
      <c r="BYM115" s="381"/>
      <c r="BYN115" s="381"/>
      <c r="BYO115" s="381"/>
      <c r="BYP115" s="381"/>
      <c r="BYQ115" s="381"/>
      <c r="BYR115" s="381"/>
      <c r="BYS115" s="381"/>
      <c r="BYT115" s="381"/>
      <c r="BYU115" s="381"/>
      <c r="BYV115" s="381"/>
      <c r="BYW115" s="381"/>
      <c r="BYX115" s="381"/>
      <c r="BYY115" s="381"/>
      <c r="BYZ115" s="381"/>
      <c r="BZA115" s="381"/>
      <c r="BZB115" s="381"/>
      <c r="BZC115" s="381"/>
      <c r="BZD115" s="381"/>
      <c r="BZE115" s="381"/>
      <c r="BZF115" s="381"/>
      <c r="BZG115" s="381"/>
      <c r="BZH115" s="381"/>
      <c r="BZI115" s="381"/>
      <c r="BZJ115" s="381"/>
      <c r="BZK115" s="381"/>
      <c r="BZL115" s="381"/>
      <c r="BZM115" s="381"/>
      <c r="BZN115" s="381"/>
      <c r="BZO115" s="381"/>
      <c r="BZP115" s="381"/>
      <c r="BZQ115" s="381"/>
      <c r="BZR115" s="381"/>
      <c r="BZS115" s="381"/>
      <c r="BZT115" s="381"/>
      <c r="BZU115" s="381"/>
      <c r="BZV115" s="381"/>
      <c r="BZW115" s="381"/>
      <c r="BZX115" s="381"/>
      <c r="BZY115" s="381"/>
      <c r="BZZ115" s="381"/>
      <c r="CAA115" s="381"/>
      <c r="CAB115" s="381"/>
      <c r="CAC115" s="381"/>
      <c r="CAD115" s="381"/>
      <c r="CAE115" s="381"/>
      <c r="CAF115" s="381"/>
      <c r="CAG115" s="381"/>
      <c r="CAH115" s="381"/>
      <c r="CAI115" s="381"/>
      <c r="CAJ115" s="381"/>
      <c r="CAK115" s="381"/>
      <c r="CAL115" s="381"/>
      <c r="CAM115" s="381"/>
      <c r="CAN115" s="381"/>
      <c r="CAO115" s="381"/>
      <c r="CAP115" s="381"/>
      <c r="CAQ115" s="381"/>
      <c r="CAR115" s="381"/>
      <c r="CAS115" s="381"/>
      <c r="CAT115" s="381"/>
      <c r="CAU115" s="381"/>
      <c r="CAV115" s="381"/>
      <c r="CAW115" s="381"/>
      <c r="CAX115" s="381"/>
      <c r="CAY115" s="381"/>
      <c r="CAZ115" s="381"/>
      <c r="CBA115" s="381"/>
      <c r="CBB115" s="381"/>
      <c r="CBC115" s="381"/>
      <c r="CBD115" s="381"/>
      <c r="CBE115" s="381"/>
      <c r="CBF115" s="381"/>
      <c r="CBG115" s="381"/>
      <c r="CBH115" s="381"/>
      <c r="CBI115" s="381"/>
      <c r="CBJ115" s="381"/>
      <c r="CBK115" s="381"/>
      <c r="CBL115" s="381"/>
      <c r="CBM115" s="381"/>
      <c r="CBN115" s="381"/>
      <c r="CBO115" s="381"/>
      <c r="CBP115" s="381"/>
      <c r="CBQ115" s="381"/>
      <c r="CBR115" s="381"/>
      <c r="CBS115" s="381"/>
      <c r="CBT115" s="381"/>
      <c r="CBU115" s="381"/>
      <c r="CBV115" s="381"/>
      <c r="CBW115" s="381"/>
      <c r="CBX115" s="381"/>
      <c r="CBY115" s="381"/>
      <c r="CBZ115" s="381"/>
      <c r="CCA115" s="381"/>
      <c r="CCB115" s="381"/>
      <c r="CCC115" s="381"/>
      <c r="CCD115" s="381"/>
      <c r="CCE115" s="381"/>
      <c r="CCF115" s="381"/>
      <c r="CCG115" s="381"/>
      <c r="CCH115" s="381"/>
      <c r="CCI115" s="381"/>
      <c r="CCJ115" s="381"/>
      <c r="CCK115" s="381"/>
      <c r="CCL115" s="381"/>
      <c r="CCM115" s="381"/>
      <c r="CCN115" s="381"/>
      <c r="CCO115" s="381"/>
      <c r="CCP115" s="381"/>
      <c r="CCQ115" s="381"/>
      <c r="CCR115" s="381"/>
      <c r="CCS115" s="381"/>
      <c r="CCT115" s="381"/>
      <c r="CCU115" s="381"/>
      <c r="CCV115" s="381"/>
      <c r="CCW115" s="381"/>
      <c r="CCX115" s="381"/>
      <c r="CCY115" s="381"/>
      <c r="CCZ115" s="381"/>
      <c r="CDA115" s="381"/>
      <c r="CDB115" s="381"/>
      <c r="CDC115" s="381"/>
      <c r="CDD115" s="381"/>
      <c r="CDE115" s="381"/>
      <c r="CDF115" s="381"/>
      <c r="CDG115" s="381"/>
      <c r="CDH115" s="381"/>
      <c r="CDI115" s="381"/>
      <c r="CDJ115" s="381"/>
      <c r="CDK115" s="381"/>
      <c r="CDL115" s="381"/>
      <c r="CDM115" s="381"/>
      <c r="CDN115" s="381"/>
      <c r="CDO115" s="381"/>
      <c r="CDP115" s="381"/>
      <c r="CDQ115" s="381"/>
      <c r="CDR115" s="381"/>
      <c r="CDS115" s="381"/>
      <c r="CDT115" s="381"/>
      <c r="CDU115" s="381"/>
      <c r="CDV115" s="381"/>
      <c r="CDW115" s="381"/>
      <c r="CDX115" s="381"/>
      <c r="CDY115" s="381"/>
      <c r="CDZ115" s="381"/>
      <c r="CEA115" s="381"/>
      <c r="CEB115" s="381"/>
      <c r="CEC115" s="381"/>
      <c r="CED115" s="381"/>
      <c r="CEE115" s="381"/>
      <c r="CEF115" s="381"/>
      <c r="CEG115" s="381"/>
      <c r="CEH115" s="381"/>
      <c r="CEI115" s="381"/>
      <c r="CEJ115" s="381"/>
      <c r="CEK115" s="381"/>
      <c r="CEL115" s="381"/>
      <c r="CEM115" s="381"/>
      <c r="CEN115" s="381"/>
      <c r="CEO115" s="381"/>
      <c r="CEP115" s="381"/>
      <c r="CEQ115" s="381"/>
      <c r="CER115" s="381"/>
      <c r="CES115" s="381"/>
      <c r="CET115" s="381"/>
      <c r="CEU115" s="381"/>
      <c r="CEV115" s="381"/>
      <c r="CEW115" s="381"/>
      <c r="CEX115" s="381"/>
      <c r="CEY115" s="381"/>
      <c r="CEZ115" s="381"/>
      <c r="CFA115" s="381"/>
      <c r="CFB115" s="381"/>
      <c r="CFC115" s="381"/>
      <c r="CFD115" s="381"/>
      <c r="CFE115" s="381"/>
      <c r="CFF115" s="381"/>
      <c r="CFG115" s="381"/>
      <c r="CFH115" s="381"/>
      <c r="CFI115" s="381"/>
      <c r="CFJ115" s="381"/>
      <c r="CFK115" s="381"/>
      <c r="CFL115" s="381"/>
      <c r="CFM115" s="381"/>
      <c r="CFN115" s="381"/>
      <c r="CFO115" s="381"/>
      <c r="CFP115" s="381"/>
      <c r="CFQ115" s="381"/>
      <c r="CFR115" s="381"/>
      <c r="CFS115" s="381"/>
      <c r="CFT115" s="381"/>
      <c r="CFU115" s="381"/>
      <c r="CFV115" s="381"/>
      <c r="CFW115" s="381"/>
      <c r="CFX115" s="381"/>
      <c r="CFY115" s="381"/>
      <c r="CFZ115" s="381"/>
      <c r="CGA115" s="381"/>
      <c r="CGB115" s="381"/>
      <c r="CGC115" s="381"/>
      <c r="CGD115" s="381"/>
      <c r="CGE115" s="381"/>
      <c r="CGF115" s="381"/>
      <c r="CGG115" s="381"/>
      <c r="CGH115" s="381"/>
      <c r="CGI115" s="381"/>
      <c r="CGJ115" s="381"/>
      <c r="CGK115" s="381"/>
      <c r="CGL115" s="381"/>
      <c r="CGM115" s="381"/>
      <c r="CGN115" s="381"/>
      <c r="CGO115" s="381"/>
      <c r="CGP115" s="381"/>
      <c r="CGQ115" s="381"/>
      <c r="CGR115" s="381"/>
      <c r="CGS115" s="381"/>
      <c r="CGT115" s="381"/>
      <c r="CGU115" s="381"/>
      <c r="CGV115" s="381"/>
      <c r="CGW115" s="381"/>
      <c r="CGX115" s="381"/>
      <c r="CGY115" s="381"/>
      <c r="CGZ115" s="381"/>
      <c r="CHA115" s="381"/>
      <c r="CHB115" s="381"/>
      <c r="CHC115" s="381"/>
      <c r="CHD115" s="381"/>
      <c r="CHE115" s="381"/>
      <c r="CHF115" s="381"/>
      <c r="CHG115" s="381"/>
      <c r="CHH115" s="381"/>
      <c r="CHI115" s="381"/>
      <c r="CHJ115" s="381"/>
      <c r="CHK115" s="381"/>
      <c r="CHL115" s="381"/>
      <c r="CHM115" s="381"/>
      <c r="CHN115" s="381"/>
      <c r="CHO115" s="381"/>
      <c r="CHP115" s="381"/>
      <c r="CHQ115" s="381"/>
      <c r="CHR115" s="381"/>
      <c r="CHS115" s="381"/>
      <c r="CHT115" s="381"/>
      <c r="CHU115" s="381"/>
      <c r="CHV115" s="381"/>
      <c r="CHW115" s="381"/>
      <c r="CHX115" s="381"/>
      <c r="CHY115" s="381"/>
      <c r="CHZ115" s="381"/>
      <c r="CIA115" s="381"/>
      <c r="CIB115" s="381"/>
      <c r="CIC115" s="381"/>
      <c r="CID115" s="381"/>
      <c r="CIE115" s="381"/>
      <c r="CIF115" s="381"/>
      <c r="CIG115" s="381"/>
      <c r="CIH115" s="381"/>
      <c r="CII115" s="381"/>
      <c r="CIJ115" s="381"/>
      <c r="CIK115" s="381"/>
      <c r="CIL115" s="381"/>
      <c r="CIM115" s="381"/>
      <c r="CIN115" s="381"/>
      <c r="CIO115" s="381"/>
      <c r="CIP115" s="381"/>
      <c r="CIQ115" s="381"/>
      <c r="CIR115" s="381"/>
      <c r="CIS115" s="381"/>
      <c r="CIT115" s="381"/>
      <c r="CIU115" s="381"/>
      <c r="CIV115" s="381"/>
      <c r="CIW115" s="381"/>
      <c r="CIX115" s="381"/>
      <c r="CIY115" s="381"/>
      <c r="CIZ115" s="381"/>
      <c r="CJA115" s="381"/>
      <c r="CJB115" s="381"/>
      <c r="CJC115" s="381"/>
      <c r="CJD115" s="381"/>
      <c r="CJE115" s="381"/>
      <c r="CJF115" s="381"/>
      <c r="CJG115" s="381"/>
      <c r="CJH115" s="381"/>
      <c r="CJI115" s="381"/>
      <c r="CJJ115" s="381"/>
      <c r="CJK115" s="381"/>
      <c r="CJL115" s="381"/>
      <c r="CJM115" s="381"/>
      <c r="CJN115" s="381"/>
      <c r="CJO115" s="381"/>
      <c r="CJP115" s="381"/>
      <c r="CJQ115" s="381"/>
      <c r="CJR115" s="381"/>
      <c r="CJS115" s="381"/>
      <c r="CJT115" s="381"/>
      <c r="CJU115" s="381"/>
      <c r="CJV115" s="381"/>
      <c r="CJW115" s="381"/>
      <c r="CJX115" s="381"/>
      <c r="CJY115" s="381"/>
      <c r="CJZ115" s="381"/>
      <c r="CKA115" s="381"/>
      <c r="CKB115" s="381"/>
      <c r="CKC115" s="381"/>
      <c r="CKD115" s="381"/>
      <c r="CKE115" s="381"/>
      <c r="CKF115" s="381"/>
      <c r="CKG115" s="381"/>
      <c r="CKH115" s="381"/>
      <c r="CKI115" s="381"/>
      <c r="CKJ115" s="381"/>
      <c r="CKK115" s="381"/>
      <c r="CKL115" s="381"/>
      <c r="CKM115" s="381"/>
      <c r="CKN115" s="381"/>
      <c r="CKO115" s="381"/>
      <c r="CKP115" s="381"/>
      <c r="CKQ115" s="381"/>
      <c r="CKR115" s="381"/>
      <c r="CKS115" s="381"/>
      <c r="CKT115" s="381"/>
      <c r="CKU115" s="381"/>
      <c r="CKV115" s="381"/>
      <c r="CKW115" s="381"/>
      <c r="CKX115" s="381"/>
      <c r="CKY115" s="381"/>
      <c r="CKZ115" s="381"/>
      <c r="CLA115" s="381"/>
      <c r="CLB115" s="381"/>
      <c r="CLC115" s="381"/>
      <c r="CLD115" s="381"/>
      <c r="CLE115" s="381"/>
      <c r="CLF115" s="381"/>
      <c r="CLG115" s="381"/>
      <c r="CLH115" s="381"/>
      <c r="CLI115" s="381"/>
      <c r="CLJ115" s="381"/>
      <c r="CLK115" s="381"/>
      <c r="CLL115" s="381"/>
      <c r="CLM115" s="381"/>
      <c r="CLN115" s="381"/>
      <c r="CLO115" s="381"/>
      <c r="CLP115" s="381"/>
      <c r="CLQ115" s="381"/>
      <c r="CLR115" s="381"/>
      <c r="CLS115" s="381"/>
      <c r="CLT115" s="381"/>
      <c r="CLU115" s="381"/>
      <c r="CLV115" s="381"/>
      <c r="CLW115" s="381"/>
      <c r="CLX115" s="381"/>
      <c r="CLY115" s="381"/>
      <c r="CLZ115" s="381"/>
      <c r="CMA115" s="381"/>
      <c r="CMB115" s="381"/>
      <c r="CMC115" s="381"/>
      <c r="CMD115" s="381"/>
      <c r="CME115" s="381"/>
      <c r="CMF115" s="381"/>
      <c r="CMG115" s="381"/>
      <c r="CMH115" s="381"/>
      <c r="CMI115" s="381"/>
      <c r="CMJ115" s="381"/>
      <c r="CMK115" s="381"/>
      <c r="CML115" s="381"/>
      <c r="CMM115" s="381"/>
      <c r="CMN115" s="381"/>
      <c r="CMO115" s="381"/>
      <c r="CMP115" s="381"/>
      <c r="CMQ115" s="381"/>
      <c r="CMR115" s="381"/>
      <c r="CMS115" s="381"/>
      <c r="CMT115" s="381"/>
      <c r="CMU115" s="381"/>
      <c r="CMV115" s="381"/>
      <c r="CMW115" s="381"/>
      <c r="CMX115" s="381"/>
      <c r="CMY115" s="381"/>
      <c r="CMZ115" s="381"/>
      <c r="CNA115" s="381"/>
      <c r="CNB115" s="381"/>
      <c r="CNC115" s="381"/>
      <c r="CND115" s="381"/>
      <c r="CNE115" s="381"/>
      <c r="CNF115" s="381"/>
      <c r="CNG115" s="381"/>
      <c r="CNH115" s="381"/>
      <c r="CNI115" s="381"/>
      <c r="CNJ115" s="381"/>
      <c r="CNK115" s="381"/>
      <c r="CNL115" s="381"/>
      <c r="CNM115" s="381"/>
      <c r="CNN115" s="381"/>
      <c r="CNO115" s="381"/>
      <c r="CNP115" s="381"/>
      <c r="CNQ115" s="381"/>
      <c r="CNR115" s="381"/>
      <c r="CNS115" s="381"/>
      <c r="CNT115" s="381"/>
      <c r="CNU115" s="381"/>
      <c r="CNV115" s="381"/>
      <c r="CNW115" s="381"/>
      <c r="CNX115" s="381"/>
      <c r="CNY115" s="381"/>
      <c r="CNZ115" s="381"/>
      <c r="COA115" s="381"/>
      <c r="COB115" s="381"/>
      <c r="COC115" s="381"/>
      <c r="COD115" s="381"/>
      <c r="COE115" s="381"/>
      <c r="COF115" s="381"/>
      <c r="COG115" s="381"/>
      <c r="COH115" s="381"/>
      <c r="COI115" s="381"/>
      <c r="COJ115" s="381"/>
      <c r="COK115" s="381"/>
      <c r="COL115" s="381"/>
      <c r="COM115" s="381"/>
      <c r="CON115" s="381"/>
      <c r="COO115" s="381"/>
      <c r="COP115" s="381"/>
      <c r="COQ115" s="381"/>
      <c r="COR115" s="381"/>
      <c r="COS115" s="381"/>
      <c r="COT115" s="381"/>
      <c r="COU115" s="381"/>
      <c r="COV115" s="381"/>
      <c r="COW115" s="381"/>
      <c r="COX115" s="381"/>
      <c r="COY115" s="381"/>
      <c r="COZ115" s="381"/>
      <c r="CPA115" s="381"/>
      <c r="CPB115" s="381"/>
      <c r="CPC115" s="381"/>
      <c r="CPD115" s="381"/>
      <c r="CPE115" s="381"/>
      <c r="CPF115" s="381"/>
      <c r="CPG115" s="381"/>
      <c r="CPH115" s="381"/>
      <c r="CPI115" s="381"/>
      <c r="CPJ115" s="381"/>
      <c r="CPK115" s="381"/>
      <c r="CPL115" s="381"/>
      <c r="CPM115" s="381"/>
      <c r="CPN115" s="381"/>
      <c r="CPO115" s="381"/>
      <c r="CPP115" s="381"/>
      <c r="CPQ115" s="381"/>
      <c r="CPR115" s="381"/>
      <c r="CPS115" s="381"/>
      <c r="CPT115" s="381"/>
      <c r="CPU115" s="381"/>
      <c r="CPV115" s="381"/>
      <c r="CPW115" s="381"/>
      <c r="CPX115" s="381"/>
      <c r="CPY115" s="381"/>
      <c r="CPZ115" s="381"/>
      <c r="CQA115" s="381"/>
      <c r="CQB115" s="381"/>
      <c r="CQC115" s="381"/>
      <c r="CQD115" s="381"/>
      <c r="CQE115" s="381"/>
      <c r="CQF115" s="381"/>
      <c r="CQG115" s="381"/>
      <c r="CQH115" s="381"/>
      <c r="CQI115" s="381"/>
      <c r="CQJ115" s="381"/>
      <c r="CQK115" s="381"/>
      <c r="CQL115" s="381"/>
      <c r="CQM115" s="381"/>
      <c r="CQN115" s="381"/>
      <c r="CQO115" s="381"/>
      <c r="CQP115" s="381"/>
      <c r="CQQ115" s="381"/>
      <c r="CQR115" s="381"/>
      <c r="CQS115" s="381"/>
      <c r="CQT115" s="381"/>
      <c r="CQU115" s="381"/>
      <c r="CQV115" s="381"/>
      <c r="CQW115" s="381"/>
      <c r="CQX115" s="381"/>
      <c r="CQY115" s="381"/>
      <c r="CQZ115" s="381"/>
      <c r="CRA115" s="381"/>
      <c r="CRB115" s="381"/>
      <c r="CRC115" s="381"/>
      <c r="CRD115" s="381"/>
      <c r="CRE115" s="381"/>
      <c r="CRF115" s="381"/>
      <c r="CRG115" s="381"/>
      <c r="CRH115" s="381"/>
      <c r="CRI115" s="381"/>
      <c r="CRJ115" s="381"/>
      <c r="CRK115" s="381"/>
      <c r="CRL115" s="381"/>
      <c r="CRM115" s="381"/>
      <c r="CRN115" s="381"/>
      <c r="CRO115" s="381"/>
      <c r="CRP115" s="381"/>
      <c r="CRQ115" s="381"/>
      <c r="CRR115" s="381"/>
      <c r="CRS115" s="381"/>
      <c r="CRT115" s="381"/>
      <c r="CRU115" s="381"/>
      <c r="CRV115" s="381"/>
      <c r="CRW115" s="381"/>
      <c r="CRX115" s="381"/>
      <c r="CRY115" s="381"/>
      <c r="CRZ115" s="381"/>
      <c r="CSA115" s="381"/>
      <c r="CSB115" s="381"/>
      <c r="CSC115" s="381"/>
      <c r="CSD115" s="381"/>
      <c r="CSE115" s="381"/>
      <c r="CSF115" s="381"/>
      <c r="CSG115" s="381"/>
      <c r="CSH115" s="381"/>
      <c r="CSI115" s="381"/>
      <c r="CSJ115" s="381"/>
      <c r="CSK115" s="381"/>
      <c r="CSL115" s="381"/>
      <c r="CSM115" s="381"/>
      <c r="CSN115" s="381"/>
      <c r="CSO115" s="381"/>
      <c r="CSP115" s="381"/>
      <c r="CSQ115" s="381"/>
      <c r="CSR115" s="381"/>
      <c r="CSS115" s="381"/>
      <c r="CST115" s="381"/>
      <c r="CSU115" s="381"/>
      <c r="CSV115" s="381"/>
      <c r="CSW115" s="381"/>
      <c r="CSX115" s="381"/>
      <c r="CSY115" s="381"/>
      <c r="CSZ115" s="381"/>
      <c r="CTA115" s="381"/>
      <c r="CTB115" s="381"/>
      <c r="CTC115" s="381"/>
      <c r="CTD115" s="381"/>
      <c r="CTE115" s="381"/>
      <c r="CTF115" s="381"/>
      <c r="CTG115" s="381"/>
      <c r="CTH115" s="381"/>
      <c r="CTI115" s="381"/>
      <c r="CTJ115" s="381"/>
      <c r="CTK115" s="381"/>
      <c r="CTL115" s="381"/>
      <c r="CTM115" s="381"/>
      <c r="CTN115" s="381"/>
      <c r="CTO115" s="381"/>
      <c r="CTP115" s="381"/>
      <c r="CTQ115" s="381"/>
      <c r="CTR115" s="381"/>
      <c r="CTS115" s="381"/>
      <c r="CTT115" s="381"/>
      <c r="CTU115" s="381"/>
      <c r="CTV115" s="381"/>
      <c r="CTW115" s="381"/>
      <c r="CTX115" s="381"/>
      <c r="CTY115" s="381"/>
      <c r="CTZ115" s="381"/>
      <c r="CUA115" s="381"/>
      <c r="CUB115" s="381"/>
      <c r="CUC115" s="381"/>
      <c r="CUD115" s="381"/>
      <c r="CUE115" s="381"/>
      <c r="CUF115" s="381"/>
      <c r="CUG115" s="381"/>
      <c r="CUH115" s="381"/>
      <c r="CUI115" s="381"/>
      <c r="CUJ115" s="381"/>
      <c r="CUK115" s="381"/>
      <c r="CUL115" s="381"/>
      <c r="CUM115" s="381"/>
      <c r="CUN115" s="381"/>
      <c r="CUO115" s="381"/>
      <c r="CUP115" s="381"/>
      <c r="CUQ115" s="381"/>
      <c r="CUR115" s="381"/>
      <c r="CUS115" s="381"/>
      <c r="CUT115" s="381"/>
      <c r="CUU115" s="381"/>
      <c r="CUV115" s="381"/>
      <c r="CUW115" s="381"/>
      <c r="CUX115" s="381"/>
      <c r="CUY115" s="381"/>
      <c r="CUZ115" s="381"/>
      <c r="CVA115" s="381"/>
      <c r="CVB115" s="381"/>
      <c r="CVC115" s="381"/>
      <c r="CVD115" s="381"/>
      <c r="CVE115" s="381"/>
      <c r="CVF115" s="381"/>
      <c r="CVG115" s="381"/>
      <c r="CVH115" s="381"/>
      <c r="CVI115" s="381"/>
      <c r="CVJ115" s="381"/>
      <c r="CVK115" s="381"/>
      <c r="CVL115" s="381"/>
      <c r="CVM115" s="381"/>
      <c r="CVN115" s="381"/>
      <c r="CVO115" s="381"/>
      <c r="CVP115" s="381"/>
      <c r="CVQ115" s="381"/>
      <c r="CVR115" s="381"/>
      <c r="CVS115" s="381"/>
      <c r="CVT115" s="381"/>
      <c r="CVU115" s="381"/>
      <c r="CVV115" s="381"/>
      <c r="CVW115" s="381"/>
      <c r="CVX115" s="381"/>
      <c r="CVY115" s="381"/>
      <c r="CVZ115" s="381"/>
      <c r="CWA115" s="381"/>
      <c r="CWB115" s="381"/>
      <c r="CWC115" s="381"/>
      <c r="CWD115" s="381"/>
      <c r="CWE115" s="381"/>
      <c r="CWF115" s="381"/>
      <c r="CWG115" s="381"/>
      <c r="CWH115" s="381"/>
      <c r="CWI115" s="381"/>
      <c r="CWJ115" s="381"/>
      <c r="CWK115" s="381"/>
      <c r="CWL115" s="381"/>
      <c r="CWM115" s="381"/>
      <c r="CWN115" s="381"/>
      <c r="CWO115" s="381"/>
      <c r="CWP115" s="381"/>
      <c r="CWQ115" s="381"/>
      <c r="CWR115" s="381"/>
      <c r="CWS115" s="381"/>
      <c r="CWT115" s="381"/>
      <c r="CWU115" s="381"/>
      <c r="CWV115" s="381"/>
      <c r="CWW115" s="381"/>
      <c r="CWX115" s="381"/>
      <c r="CWY115" s="381"/>
      <c r="CWZ115" s="381"/>
      <c r="CXA115" s="381"/>
      <c r="CXB115" s="381"/>
      <c r="CXC115" s="381"/>
      <c r="CXD115" s="381"/>
      <c r="CXE115" s="381"/>
      <c r="CXF115" s="381"/>
      <c r="CXG115" s="381"/>
      <c r="CXH115" s="381"/>
      <c r="CXI115" s="381"/>
      <c r="CXJ115" s="381"/>
      <c r="CXK115" s="381"/>
      <c r="CXL115" s="381"/>
      <c r="CXM115" s="381"/>
      <c r="CXN115" s="381"/>
      <c r="CXO115" s="381"/>
      <c r="CXP115" s="381"/>
      <c r="CXQ115" s="381"/>
      <c r="CXR115" s="381"/>
      <c r="CXS115" s="381"/>
      <c r="CXT115" s="381"/>
      <c r="CXU115" s="381"/>
      <c r="CXV115" s="381"/>
      <c r="CXW115" s="381"/>
      <c r="CXX115" s="381"/>
      <c r="CXY115" s="381"/>
      <c r="CXZ115" s="381"/>
      <c r="CYA115" s="381"/>
      <c r="CYB115" s="381"/>
      <c r="CYC115" s="381"/>
      <c r="CYD115" s="381"/>
      <c r="CYE115" s="381"/>
      <c r="CYF115" s="381"/>
      <c r="CYG115" s="381"/>
      <c r="CYH115" s="381"/>
      <c r="CYI115" s="381"/>
      <c r="CYJ115" s="381"/>
      <c r="CYK115" s="381"/>
      <c r="CYL115" s="381"/>
      <c r="CYM115" s="381"/>
      <c r="CYN115" s="381"/>
      <c r="CYO115" s="381"/>
      <c r="CYP115" s="381"/>
      <c r="CYQ115" s="381"/>
      <c r="CYR115" s="381"/>
      <c r="CYS115" s="381"/>
      <c r="CYT115" s="381"/>
      <c r="CYU115" s="381"/>
      <c r="CYV115" s="381"/>
      <c r="CYW115" s="381"/>
      <c r="CYX115" s="381"/>
      <c r="CYY115" s="381"/>
      <c r="CYZ115" s="381"/>
      <c r="CZA115" s="381"/>
      <c r="CZB115" s="381"/>
      <c r="CZC115" s="381"/>
      <c r="CZD115" s="381"/>
      <c r="CZE115" s="381"/>
      <c r="CZF115" s="381"/>
      <c r="CZG115" s="381"/>
      <c r="CZH115" s="381"/>
      <c r="CZI115" s="381"/>
      <c r="CZJ115" s="381"/>
      <c r="CZK115" s="381"/>
      <c r="CZL115" s="381"/>
      <c r="CZM115" s="381"/>
      <c r="CZN115" s="381"/>
      <c r="CZO115" s="381"/>
      <c r="CZP115" s="381"/>
      <c r="CZQ115" s="381"/>
      <c r="CZR115" s="381"/>
      <c r="CZS115" s="381"/>
      <c r="CZT115" s="381"/>
      <c r="CZU115" s="381"/>
      <c r="CZV115" s="381"/>
      <c r="CZW115" s="381"/>
      <c r="CZX115" s="381"/>
      <c r="CZY115" s="381"/>
      <c r="CZZ115" s="381"/>
      <c r="DAA115" s="381"/>
      <c r="DAB115" s="381"/>
      <c r="DAC115" s="381"/>
      <c r="DAD115" s="381"/>
      <c r="DAE115" s="381"/>
      <c r="DAF115" s="381"/>
      <c r="DAG115" s="381"/>
      <c r="DAH115" s="381"/>
      <c r="DAI115" s="381"/>
      <c r="DAJ115" s="381"/>
      <c r="DAK115" s="381"/>
      <c r="DAL115" s="381"/>
      <c r="DAM115" s="381"/>
      <c r="DAN115" s="381"/>
      <c r="DAO115" s="381"/>
      <c r="DAP115" s="381"/>
      <c r="DAQ115" s="381"/>
      <c r="DAR115" s="381"/>
      <c r="DAS115" s="381"/>
      <c r="DAT115" s="381"/>
      <c r="DAU115" s="381"/>
      <c r="DAV115" s="381"/>
      <c r="DAW115" s="381"/>
      <c r="DAX115" s="381"/>
      <c r="DAY115" s="381"/>
      <c r="DAZ115" s="381"/>
      <c r="DBA115" s="381"/>
      <c r="DBB115" s="381"/>
      <c r="DBC115" s="381"/>
      <c r="DBD115" s="381"/>
      <c r="DBE115" s="381"/>
      <c r="DBF115" s="381"/>
      <c r="DBG115" s="381"/>
      <c r="DBH115" s="381"/>
      <c r="DBI115" s="381"/>
      <c r="DBJ115" s="381"/>
      <c r="DBK115" s="381"/>
      <c r="DBL115" s="381"/>
      <c r="DBM115" s="381"/>
      <c r="DBN115" s="381"/>
      <c r="DBO115" s="381"/>
      <c r="DBP115" s="381"/>
      <c r="DBQ115" s="381"/>
      <c r="DBR115" s="381"/>
      <c r="DBS115" s="381"/>
      <c r="DBT115" s="381"/>
      <c r="DBU115" s="381"/>
      <c r="DBV115" s="381"/>
      <c r="DBW115" s="381"/>
      <c r="DBX115" s="381"/>
      <c r="DBY115" s="381"/>
      <c r="DBZ115" s="381"/>
      <c r="DCA115" s="381"/>
      <c r="DCB115" s="381"/>
      <c r="DCC115" s="381"/>
      <c r="DCD115" s="381"/>
      <c r="DCE115" s="381"/>
      <c r="DCF115" s="381"/>
      <c r="DCG115" s="381"/>
      <c r="DCH115" s="381"/>
      <c r="DCI115" s="381"/>
      <c r="DCJ115" s="381"/>
      <c r="DCK115" s="381"/>
      <c r="DCL115" s="381"/>
      <c r="DCM115" s="381"/>
      <c r="DCN115" s="381"/>
      <c r="DCO115" s="381"/>
      <c r="DCP115" s="381"/>
      <c r="DCQ115" s="381"/>
      <c r="DCR115" s="381"/>
      <c r="DCS115" s="381"/>
      <c r="DCT115" s="381"/>
      <c r="DCU115" s="381"/>
      <c r="DCV115" s="381"/>
      <c r="DCW115" s="381"/>
      <c r="DCX115" s="381"/>
      <c r="DCY115" s="381"/>
      <c r="DCZ115" s="381"/>
      <c r="DDA115" s="381"/>
      <c r="DDB115" s="381"/>
      <c r="DDC115" s="381"/>
      <c r="DDD115" s="381"/>
      <c r="DDE115" s="381"/>
      <c r="DDF115" s="381"/>
      <c r="DDG115" s="381"/>
      <c r="DDH115" s="381"/>
      <c r="DDI115" s="381"/>
      <c r="DDJ115" s="381"/>
      <c r="DDK115" s="381"/>
      <c r="DDL115" s="381"/>
      <c r="DDM115" s="381"/>
      <c r="DDN115" s="381"/>
      <c r="DDO115" s="381"/>
      <c r="DDP115" s="381"/>
      <c r="DDQ115" s="381"/>
      <c r="DDR115" s="381"/>
      <c r="DDS115" s="381"/>
      <c r="DDT115" s="381"/>
      <c r="DDU115" s="381"/>
      <c r="DDV115" s="381"/>
      <c r="DDW115" s="381"/>
      <c r="DDX115" s="381"/>
      <c r="DDY115" s="381"/>
      <c r="DDZ115" s="381"/>
      <c r="DEA115" s="381"/>
      <c r="DEB115" s="381"/>
      <c r="DEC115" s="381"/>
      <c r="DED115" s="381"/>
      <c r="DEE115" s="381"/>
      <c r="DEF115" s="381"/>
      <c r="DEG115" s="381"/>
      <c r="DEH115" s="381"/>
      <c r="DEI115" s="381"/>
      <c r="DEJ115" s="381"/>
      <c r="DEK115" s="381"/>
      <c r="DEL115" s="381"/>
      <c r="DEM115" s="381"/>
      <c r="DEN115" s="381"/>
      <c r="DEO115" s="381"/>
      <c r="DEP115" s="381"/>
      <c r="DEQ115" s="381"/>
      <c r="DER115" s="381"/>
      <c r="DES115" s="381"/>
      <c r="DET115" s="381"/>
      <c r="DEU115" s="381"/>
      <c r="DEV115" s="381"/>
      <c r="DEW115" s="381"/>
      <c r="DEX115" s="381"/>
      <c r="DEY115" s="381"/>
      <c r="DEZ115" s="381"/>
      <c r="DFA115" s="381"/>
      <c r="DFB115" s="381"/>
      <c r="DFC115" s="381"/>
      <c r="DFD115" s="381"/>
      <c r="DFE115" s="381"/>
      <c r="DFF115" s="381"/>
      <c r="DFG115" s="381"/>
      <c r="DFH115" s="381"/>
      <c r="DFI115" s="381"/>
      <c r="DFJ115" s="381"/>
      <c r="DFK115" s="381"/>
      <c r="DFL115" s="381"/>
      <c r="DFM115" s="381"/>
      <c r="DFN115" s="381"/>
      <c r="DFO115" s="381"/>
      <c r="DFP115" s="381"/>
      <c r="DFQ115" s="381"/>
      <c r="DFR115" s="381"/>
      <c r="DFS115" s="381"/>
      <c r="DFT115" s="381"/>
      <c r="DFU115" s="381"/>
      <c r="DFV115" s="381"/>
      <c r="DFW115" s="381"/>
      <c r="DFX115" s="381"/>
      <c r="DFY115" s="381"/>
      <c r="DFZ115" s="381"/>
      <c r="DGA115" s="381"/>
      <c r="DGB115" s="381"/>
      <c r="DGC115" s="381"/>
      <c r="DGD115" s="381"/>
      <c r="DGE115" s="381"/>
      <c r="DGF115" s="381"/>
      <c r="DGG115" s="381"/>
      <c r="DGH115" s="381"/>
      <c r="DGI115" s="381"/>
      <c r="DGJ115" s="381"/>
      <c r="DGK115" s="381"/>
      <c r="DGL115" s="381"/>
      <c r="DGM115" s="381"/>
      <c r="DGN115" s="381"/>
      <c r="DGO115" s="381"/>
      <c r="DGP115" s="381"/>
      <c r="DGQ115" s="381"/>
      <c r="DGR115" s="381"/>
      <c r="DGS115" s="381"/>
      <c r="DGT115" s="381"/>
      <c r="DGU115" s="381"/>
      <c r="DGV115" s="381"/>
      <c r="DGW115" s="381"/>
      <c r="DGX115" s="381"/>
      <c r="DGY115" s="381"/>
      <c r="DGZ115" s="381"/>
      <c r="DHA115" s="381"/>
      <c r="DHB115" s="381"/>
      <c r="DHC115" s="381"/>
      <c r="DHD115" s="381"/>
      <c r="DHE115" s="381"/>
      <c r="DHF115" s="381"/>
      <c r="DHG115" s="381"/>
      <c r="DHH115" s="381"/>
      <c r="DHI115" s="381"/>
      <c r="DHJ115" s="381"/>
      <c r="DHK115" s="381"/>
      <c r="DHL115" s="381"/>
      <c r="DHM115" s="381"/>
      <c r="DHN115" s="381"/>
      <c r="DHO115" s="381"/>
      <c r="DHP115" s="381"/>
      <c r="DHQ115" s="381"/>
      <c r="DHR115" s="381"/>
      <c r="DHS115" s="381"/>
      <c r="DHT115" s="381"/>
      <c r="DHU115" s="381"/>
      <c r="DHV115" s="381"/>
      <c r="DHW115" s="381"/>
      <c r="DHX115" s="381"/>
      <c r="DHY115" s="381"/>
      <c r="DHZ115" s="381"/>
      <c r="DIA115" s="381"/>
      <c r="DIB115" s="381"/>
      <c r="DIC115" s="381"/>
      <c r="DID115" s="381"/>
      <c r="DIE115" s="381"/>
      <c r="DIF115" s="381"/>
      <c r="DIG115" s="381"/>
      <c r="DIH115" s="381"/>
      <c r="DII115" s="381"/>
      <c r="DIJ115" s="381"/>
      <c r="DIK115" s="381"/>
      <c r="DIL115" s="381"/>
      <c r="DIM115" s="381"/>
      <c r="DIN115" s="381"/>
      <c r="DIO115" s="381"/>
      <c r="DIP115" s="381"/>
      <c r="DIQ115" s="381"/>
      <c r="DIR115" s="381"/>
      <c r="DIS115" s="381"/>
      <c r="DIT115" s="381"/>
      <c r="DIU115" s="381"/>
      <c r="DIV115" s="381"/>
      <c r="DIW115" s="381"/>
      <c r="DIX115" s="381"/>
      <c r="DIY115" s="381"/>
      <c r="DIZ115" s="381"/>
      <c r="DJA115" s="381"/>
      <c r="DJB115" s="381"/>
      <c r="DJC115" s="381"/>
      <c r="DJD115" s="381"/>
      <c r="DJE115" s="381"/>
      <c r="DJF115" s="381"/>
      <c r="DJG115" s="381"/>
      <c r="DJH115" s="381"/>
      <c r="DJI115" s="381"/>
      <c r="DJJ115" s="381"/>
      <c r="DJK115" s="381"/>
      <c r="DJL115" s="381"/>
      <c r="DJM115" s="381"/>
      <c r="DJN115" s="381"/>
      <c r="DJO115" s="381"/>
      <c r="DJP115" s="381"/>
      <c r="DJQ115" s="381"/>
      <c r="DJR115" s="381"/>
      <c r="DJS115" s="381"/>
      <c r="DJT115" s="381"/>
      <c r="DJU115" s="381"/>
      <c r="DJV115" s="381"/>
      <c r="DJW115" s="381"/>
      <c r="DJX115" s="381"/>
      <c r="DJY115" s="381"/>
      <c r="DJZ115" s="381"/>
      <c r="DKA115" s="381"/>
      <c r="DKB115" s="381"/>
      <c r="DKC115" s="381"/>
      <c r="DKD115" s="381"/>
      <c r="DKE115" s="381"/>
      <c r="DKF115" s="381"/>
      <c r="DKG115" s="381"/>
      <c r="DKH115" s="381"/>
      <c r="DKI115" s="381"/>
      <c r="DKJ115" s="381"/>
      <c r="DKK115" s="381"/>
      <c r="DKL115" s="381"/>
      <c r="DKM115" s="381"/>
      <c r="DKN115" s="381"/>
      <c r="DKO115" s="381"/>
      <c r="DKP115" s="381"/>
      <c r="DKQ115" s="381"/>
      <c r="DKR115" s="381"/>
      <c r="DKS115" s="381"/>
      <c r="DKT115" s="381"/>
      <c r="DKU115" s="381"/>
      <c r="DKV115" s="381"/>
      <c r="DKW115" s="381"/>
      <c r="DKX115" s="381"/>
      <c r="DKY115" s="381"/>
      <c r="DKZ115" s="381"/>
      <c r="DLA115" s="381"/>
      <c r="DLB115" s="381"/>
      <c r="DLC115" s="381"/>
      <c r="DLD115" s="381"/>
      <c r="DLE115" s="381"/>
      <c r="DLF115" s="381"/>
      <c r="DLG115" s="381"/>
      <c r="DLH115" s="381"/>
      <c r="DLI115" s="381"/>
      <c r="DLJ115" s="381"/>
      <c r="DLK115" s="381"/>
      <c r="DLL115" s="381"/>
      <c r="DLM115" s="381"/>
      <c r="DLN115" s="381"/>
      <c r="DLO115" s="381"/>
      <c r="DLP115" s="381"/>
      <c r="DLQ115" s="381"/>
      <c r="DLR115" s="381"/>
      <c r="DLS115" s="381"/>
      <c r="DLT115" s="381"/>
      <c r="DLU115" s="381"/>
      <c r="DLV115" s="381"/>
      <c r="DLW115" s="381"/>
      <c r="DLX115" s="381"/>
      <c r="DLY115" s="381"/>
      <c r="DLZ115" s="381"/>
      <c r="DMA115" s="381"/>
      <c r="DMB115" s="381"/>
      <c r="DMC115" s="381"/>
      <c r="DMD115" s="381"/>
      <c r="DME115" s="381"/>
      <c r="DMF115" s="381"/>
      <c r="DMG115" s="381"/>
      <c r="DMH115" s="381"/>
      <c r="DMI115" s="381"/>
      <c r="DMJ115" s="381"/>
      <c r="DMK115" s="381"/>
      <c r="DML115" s="381"/>
      <c r="DMM115" s="381"/>
      <c r="DMN115" s="381"/>
      <c r="DMO115" s="381"/>
      <c r="DMP115" s="381"/>
      <c r="DMQ115" s="381"/>
      <c r="DMR115" s="381"/>
      <c r="DMS115" s="381"/>
      <c r="DMT115" s="381"/>
      <c r="DMU115" s="381"/>
      <c r="DMV115" s="381"/>
      <c r="DMW115" s="381"/>
      <c r="DMX115" s="381"/>
      <c r="DMY115" s="381"/>
      <c r="DMZ115" s="381"/>
      <c r="DNA115" s="381"/>
      <c r="DNB115" s="381"/>
      <c r="DNC115" s="381"/>
      <c r="DND115" s="381"/>
      <c r="DNE115" s="381"/>
      <c r="DNF115" s="381"/>
      <c r="DNG115" s="381"/>
      <c r="DNH115" s="381"/>
      <c r="DNI115" s="381"/>
      <c r="DNJ115" s="381"/>
      <c r="DNK115" s="381"/>
      <c r="DNL115" s="381"/>
      <c r="DNM115" s="381"/>
      <c r="DNN115" s="381"/>
      <c r="DNO115" s="381"/>
      <c r="DNP115" s="381"/>
      <c r="DNQ115" s="381"/>
      <c r="DNR115" s="381"/>
      <c r="DNS115" s="381"/>
      <c r="DNT115" s="381"/>
      <c r="DNU115" s="381"/>
      <c r="DNV115" s="381"/>
      <c r="DNW115" s="381"/>
      <c r="DNX115" s="381"/>
      <c r="DNY115" s="381"/>
      <c r="DNZ115" s="381"/>
      <c r="DOA115" s="381"/>
      <c r="DOB115" s="381"/>
      <c r="DOC115" s="381"/>
      <c r="DOD115" s="381"/>
      <c r="DOE115" s="381"/>
      <c r="DOF115" s="381"/>
      <c r="DOG115" s="381"/>
      <c r="DOH115" s="381"/>
      <c r="DOI115" s="381"/>
      <c r="DOJ115" s="381"/>
      <c r="DOK115" s="381"/>
      <c r="DOL115" s="381"/>
      <c r="DOM115" s="381"/>
      <c r="DON115" s="381"/>
      <c r="DOO115" s="381"/>
      <c r="DOP115" s="381"/>
      <c r="DOQ115" s="381"/>
      <c r="DOR115" s="381"/>
      <c r="DOS115" s="381"/>
      <c r="DOT115" s="381"/>
      <c r="DOU115" s="381"/>
      <c r="DOV115" s="381"/>
      <c r="DOW115" s="381"/>
      <c r="DOX115" s="381"/>
      <c r="DOY115" s="381"/>
      <c r="DOZ115" s="381"/>
      <c r="DPA115" s="381"/>
      <c r="DPB115" s="381"/>
      <c r="DPC115" s="381"/>
      <c r="DPD115" s="381"/>
      <c r="DPE115" s="381"/>
      <c r="DPF115" s="381"/>
      <c r="DPG115" s="381"/>
      <c r="DPH115" s="381"/>
      <c r="DPI115" s="381"/>
      <c r="DPJ115" s="381"/>
      <c r="DPK115" s="381"/>
      <c r="DPL115" s="381"/>
      <c r="DPM115" s="381"/>
      <c r="DPN115" s="381"/>
      <c r="DPO115" s="381"/>
      <c r="DPP115" s="381"/>
      <c r="DPQ115" s="381"/>
      <c r="DPR115" s="381"/>
      <c r="DPS115" s="381"/>
      <c r="DPT115" s="381"/>
      <c r="DPU115" s="381"/>
      <c r="DPV115" s="381"/>
      <c r="DPW115" s="381"/>
      <c r="DPX115" s="381"/>
      <c r="DPY115" s="381"/>
      <c r="DPZ115" s="381"/>
      <c r="DQA115" s="381"/>
      <c r="DQB115" s="381"/>
      <c r="DQC115" s="381"/>
      <c r="DQD115" s="381"/>
      <c r="DQE115" s="381"/>
      <c r="DQF115" s="381"/>
      <c r="DQG115" s="381"/>
      <c r="DQH115" s="381"/>
      <c r="DQI115" s="381"/>
      <c r="DQJ115" s="381"/>
      <c r="DQK115" s="381"/>
      <c r="DQL115" s="381"/>
      <c r="DQM115" s="381"/>
      <c r="DQN115" s="381"/>
      <c r="DQO115" s="381"/>
      <c r="DQP115" s="381"/>
      <c r="DQQ115" s="381"/>
      <c r="DQR115" s="381"/>
      <c r="DQS115" s="381"/>
      <c r="DQT115" s="381"/>
      <c r="DQU115" s="381"/>
      <c r="DQV115" s="381"/>
      <c r="DQW115" s="381"/>
      <c r="DQX115" s="381"/>
      <c r="DQY115" s="381"/>
      <c r="DQZ115" s="381"/>
      <c r="DRA115" s="381"/>
      <c r="DRB115" s="381"/>
      <c r="DRC115" s="381"/>
      <c r="DRD115" s="381"/>
      <c r="DRE115" s="381"/>
      <c r="DRF115" s="381"/>
      <c r="DRG115" s="381"/>
      <c r="DRH115" s="381"/>
      <c r="DRI115" s="381"/>
      <c r="DRJ115" s="381"/>
      <c r="DRK115" s="381"/>
      <c r="DRL115" s="381"/>
      <c r="DRM115" s="381"/>
      <c r="DRN115" s="381"/>
      <c r="DRO115" s="381"/>
      <c r="DRP115" s="381"/>
      <c r="DRQ115" s="381"/>
      <c r="DRR115" s="381"/>
      <c r="DRS115" s="381"/>
      <c r="DRT115" s="381"/>
      <c r="DRU115" s="381"/>
      <c r="DRV115" s="381"/>
      <c r="DRW115" s="381"/>
      <c r="DRX115" s="381"/>
      <c r="DRY115" s="381"/>
      <c r="DRZ115" s="381"/>
      <c r="DSA115" s="381"/>
      <c r="DSB115" s="381"/>
      <c r="DSC115" s="381"/>
      <c r="DSD115" s="381"/>
      <c r="DSE115" s="381"/>
      <c r="DSF115" s="381"/>
      <c r="DSG115" s="381"/>
      <c r="DSH115" s="381"/>
      <c r="DSI115" s="381"/>
      <c r="DSJ115" s="381"/>
      <c r="DSK115" s="381"/>
      <c r="DSL115" s="381"/>
      <c r="DSM115" s="381"/>
      <c r="DSN115" s="381"/>
      <c r="DSO115" s="381"/>
      <c r="DSP115" s="381"/>
      <c r="DSQ115" s="381"/>
      <c r="DSR115" s="381"/>
      <c r="DSS115" s="381"/>
      <c r="DST115" s="381"/>
      <c r="DSU115" s="381"/>
      <c r="DSV115" s="381"/>
      <c r="DSW115" s="381"/>
      <c r="DSX115" s="381"/>
      <c r="DSY115" s="381"/>
      <c r="DSZ115" s="381"/>
      <c r="DTA115" s="381"/>
      <c r="DTB115" s="381"/>
      <c r="DTC115" s="381"/>
      <c r="DTD115" s="381"/>
      <c r="DTE115" s="381"/>
      <c r="DTF115" s="381"/>
      <c r="DTG115" s="381"/>
      <c r="DTH115" s="381"/>
      <c r="DTI115" s="381"/>
      <c r="DTJ115" s="381"/>
      <c r="DTK115" s="381"/>
      <c r="DTL115" s="381"/>
      <c r="DTM115" s="381"/>
      <c r="DTN115" s="381"/>
      <c r="DTO115" s="381"/>
      <c r="DTP115" s="381"/>
      <c r="DTQ115" s="381"/>
      <c r="DTR115" s="381"/>
      <c r="DTS115" s="381"/>
      <c r="DTT115" s="381"/>
      <c r="DTU115" s="381"/>
      <c r="DTV115" s="381"/>
      <c r="DTW115" s="381"/>
      <c r="DTX115" s="381"/>
      <c r="DTY115" s="381"/>
      <c r="DTZ115" s="381"/>
      <c r="DUA115" s="381"/>
      <c r="DUB115" s="381"/>
      <c r="DUC115" s="381"/>
      <c r="DUD115" s="381"/>
      <c r="DUE115" s="381"/>
      <c r="DUF115" s="381"/>
      <c r="DUG115" s="381"/>
      <c r="DUH115" s="381"/>
      <c r="DUI115" s="381"/>
      <c r="DUJ115" s="381"/>
      <c r="DUK115" s="381"/>
      <c r="DUL115" s="381"/>
      <c r="DUM115" s="381"/>
      <c r="DUN115" s="381"/>
      <c r="DUO115" s="381"/>
      <c r="DUP115" s="381"/>
      <c r="DUQ115" s="381"/>
      <c r="DUR115" s="381"/>
      <c r="DUS115" s="381"/>
      <c r="DUT115" s="381"/>
      <c r="DUU115" s="381"/>
      <c r="DUV115" s="381"/>
      <c r="DUW115" s="381"/>
      <c r="DUX115" s="381"/>
      <c r="DUY115" s="381"/>
      <c r="DUZ115" s="381"/>
      <c r="DVA115" s="381"/>
      <c r="DVB115" s="381"/>
      <c r="DVC115" s="381"/>
      <c r="DVD115" s="381"/>
      <c r="DVE115" s="381"/>
      <c r="DVF115" s="381"/>
      <c r="DVG115" s="381"/>
      <c r="DVH115" s="381"/>
      <c r="DVI115" s="381"/>
      <c r="DVJ115" s="381"/>
      <c r="DVK115" s="381"/>
      <c r="DVL115" s="381"/>
      <c r="DVM115" s="381"/>
      <c r="DVN115" s="381"/>
      <c r="DVO115" s="381"/>
      <c r="DVP115" s="381"/>
      <c r="DVQ115" s="381"/>
      <c r="DVR115" s="381"/>
      <c r="DVS115" s="381"/>
      <c r="DVT115" s="381"/>
      <c r="DVU115" s="381"/>
      <c r="DVV115" s="381"/>
      <c r="DVW115" s="381"/>
      <c r="DVX115" s="381"/>
      <c r="DVY115" s="381"/>
      <c r="DVZ115" s="381"/>
      <c r="DWA115" s="381"/>
      <c r="DWB115" s="381"/>
      <c r="DWC115" s="381"/>
      <c r="DWD115" s="381"/>
      <c r="DWE115" s="381"/>
      <c r="DWF115" s="381"/>
      <c r="DWG115" s="381"/>
      <c r="DWH115" s="381"/>
      <c r="DWI115" s="381"/>
      <c r="DWJ115" s="381"/>
      <c r="DWK115" s="381"/>
      <c r="DWL115" s="381"/>
      <c r="DWM115" s="381"/>
      <c r="DWN115" s="381"/>
      <c r="DWO115" s="381"/>
      <c r="DWP115" s="381"/>
      <c r="DWQ115" s="381"/>
      <c r="DWR115" s="381"/>
      <c r="DWS115" s="381"/>
      <c r="DWT115" s="381"/>
      <c r="DWU115" s="381"/>
      <c r="DWV115" s="381"/>
      <c r="DWW115" s="381"/>
      <c r="DWX115" s="381"/>
      <c r="DWY115" s="381"/>
      <c r="DWZ115" s="381"/>
      <c r="DXA115" s="381"/>
      <c r="DXB115" s="381"/>
      <c r="DXC115" s="381"/>
      <c r="DXD115" s="381"/>
      <c r="DXE115" s="381"/>
      <c r="DXF115" s="381"/>
      <c r="DXG115" s="381"/>
      <c r="DXH115" s="381"/>
      <c r="DXI115" s="381"/>
      <c r="DXJ115" s="381"/>
      <c r="DXK115" s="381"/>
      <c r="DXL115" s="381"/>
      <c r="DXM115" s="381"/>
      <c r="DXN115" s="381"/>
      <c r="DXO115" s="381"/>
      <c r="DXP115" s="381"/>
      <c r="DXQ115" s="381"/>
      <c r="DXR115" s="381"/>
      <c r="DXS115" s="381"/>
      <c r="DXT115" s="381"/>
      <c r="DXU115" s="381"/>
      <c r="DXV115" s="381"/>
      <c r="DXW115" s="381"/>
      <c r="DXX115" s="381"/>
      <c r="DXY115" s="381"/>
      <c r="DXZ115" s="381"/>
      <c r="DYA115" s="381"/>
      <c r="DYB115" s="381"/>
      <c r="DYC115" s="381"/>
      <c r="DYD115" s="381"/>
      <c r="DYE115" s="381"/>
      <c r="DYF115" s="381"/>
      <c r="DYG115" s="381"/>
      <c r="DYH115" s="381"/>
      <c r="DYI115" s="381"/>
      <c r="DYJ115" s="381"/>
      <c r="DYK115" s="381"/>
      <c r="DYL115" s="381"/>
      <c r="DYM115" s="381"/>
      <c r="DYN115" s="381"/>
      <c r="DYO115" s="381"/>
      <c r="DYP115" s="381"/>
      <c r="DYQ115" s="381"/>
      <c r="DYR115" s="381"/>
      <c r="DYS115" s="381"/>
      <c r="DYT115" s="381"/>
      <c r="DYU115" s="381"/>
      <c r="DYV115" s="381"/>
      <c r="DYW115" s="381"/>
      <c r="DYX115" s="381"/>
      <c r="DYY115" s="381"/>
      <c r="DYZ115" s="381"/>
      <c r="DZA115" s="381"/>
      <c r="DZB115" s="381"/>
      <c r="DZC115" s="381"/>
      <c r="DZD115" s="381"/>
      <c r="DZE115" s="381"/>
      <c r="DZF115" s="381"/>
      <c r="DZG115" s="381"/>
      <c r="DZH115" s="381"/>
      <c r="DZI115" s="381"/>
      <c r="DZJ115" s="381"/>
      <c r="DZK115" s="381"/>
      <c r="DZL115" s="381"/>
      <c r="DZM115" s="381"/>
      <c r="DZN115" s="381"/>
      <c r="DZO115" s="381"/>
      <c r="DZP115" s="381"/>
      <c r="DZQ115" s="381"/>
      <c r="DZR115" s="381"/>
      <c r="DZS115" s="381"/>
      <c r="DZT115" s="381"/>
      <c r="DZU115" s="381"/>
      <c r="DZV115" s="381"/>
      <c r="DZW115" s="381"/>
      <c r="DZX115" s="381"/>
      <c r="DZY115" s="381"/>
      <c r="DZZ115" s="381"/>
      <c r="EAA115" s="381"/>
      <c r="EAB115" s="381"/>
      <c r="EAC115" s="381"/>
      <c r="EAD115" s="381"/>
      <c r="EAE115" s="381"/>
      <c r="EAF115" s="381"/>
      <c r="EAG115" s="381"/>
      <c r="EAH115" s="381"/>
      <c r="EAI115" s="381"/>
      <c r="EAJ115" s="381"/>
      <c r="EAK115" s="381"/>
      <c r="EAL115" s="381"/>
      <c r="EAM115" s="381"/>
      <c r="EAN115" s="381"/>
      <c r="EAO115" s="381"/>
      <c r="EAP115" s="381"/>
      <c r="EAQ115" s="381"/>
      <c r="EAR115" s="381"/>
      <c r="EAS115" s="381"/>
      <c r="EAT115" s="381"/>
      <c r="EAU115" s="381"/>
      <c r="EAV115" s="381"/>
      <c r="EAW115" s="381"/>
      <c r="EAX115" s="381"/>
      <c r="EAY115" s="381"/>
      <c r="EAZ115" s="381"/>
      <c r="EBA115" s="381"/>
      <c r="EBB115" s="381"/>
      <c r="EBC115" s="381"/>
      <c r="EBD115" s="381"/>
      <c r="EBE115" s="381"/>
      <c r="EBF115" s="381"/>
      <c r="EBG115" s="381"/>
      <c r="EBH115" s="381"/>
      <c r="EBI115" s="381"/>
      <c r="EBJ115" s="381"/>
      <c r="EBK115" s="381"/>
      <c r="EBL115" s="381"/>
      <c r="EBM115" s="381"/>
      <c r="EBN115" s="381"/>
      <c r="EBO115" s="381"/>
      <c r="EBP115" s="381"/>
      <c r="EBQ115" s="381"/>
      <c r="EBR115" s="381"/>
      <c r="EBS115" s="381"/>
      <c r="EBT115" s="381"/>
      <c r="EBU115" s="381"/>
      <c r="EBV115" s="381"/>
      <c r="EBW115" s="381"/>
      <c r="EBX115" s="381"/>
      <c r="EBY115" s="381"/>
      <c r="EBZ115" s="381"/>
      <c r="ECA115" s="381"/>
      <c r="ECB115" s="381"/>
      <c r="ECC115" s="381"/>
      <c r="ECD115" s="381"/>
      <c r="ECE115" s="381"/>
      <c r="ECF115" s="381"/>
      <c r="ECG115" s="381"/>
      <c r="ECH115" s="381"/>
      <c r="ECI115" s="381"/>
      <c r="ECJ115" s="381"/>
      <c r="ECK115" s="381"/>
      <c r="ECL115" s="381"/>
      <c r="ECM115" s="381"/>
      <c r="ECN115" s="381"/>
      <c r="ECO115" s="381"/>
      <c r="ECP115" s="381"/>
      <c r="ECQ115" s="381"/>
      <c r="ECR115" s="381"/>
      <c r="ECS115" s="381"/>
      <c r="ECT115" s="381"/>
      <c r="ECU115" s="381"/>
      <c r="ECV115" s="381"/>
      <c r="ECW115" s="381"/>
      <c r="ECX115" s="381"/>
      <c r="ECY115" s="381"/>
      <c r="ECZ115" s="381"/>
      <c r="EDA115" s="381"/>
      <c r="EDB115" s="381"/>
      <c r="EDC115" s="381"/>
      <c r="EDD115" s="381"/>
      <c r="EDE115" s="381"/>
      <c r="EDF115" s="381"/>
      <c r="EDG115" s="381"/>
      <c r="EDH115" s="381"/>
      <c r="EDI115" s="381"/>
      <c r="EDJ115" s="381"/>
      <c r="EDK115" s="381"/>
      <c r="EDL115" s="381"/>
      <c r="EDM115" s="381"/>
      <c r="EDN115" s="381"/>
      <c r="EDO115" s="381"/>
      <c r="EDP115" s="381"/>
      <c r="EDQ115" s="381"/>
      <c r="EDR115" s="381"/>
      <c r="EDS115" s="381"/>
      <c r="EDT115" s="381"/>
      <c r="EDU115" s="381"/>
      <c r="EDV115" s="381"/>
      <c r="EDW115" s="381"/>
      <c r="EDX115" s="381"/>
      <c r="EDY115" s="381"/>
      <c r="EDZ115" s="381"/>
      <c r="EEA115" s="381"/>
      <c r="EEB115" s="381"/>
      <c r="EEC115" s="381"/>
      <c r="EED115" s="381"/>
      <c r="EEE115" s="381"/>
      <c r="EEF115" s="381"/>
      <c r="EEG115" s="381"/>
      <c r="EEH115" s="381"/>
      <c r="EEI115" s="381"/>
      <c r="EEJ115" s="381"/>
      <c r="EEK115" s="381"/>
      <c r="EEL115" s="381"/>
      <c r="EEM115" s="381"/>
      <c r="EEN115" s="381"/>
      <c r="EEO115" s="381"/>
      <c r="EEP115" s="381"/>
      <c r="EEQ115" s="381"/>
      <c r="EER115" s="381"/>
      <c r="EES115" s="381"/>
      <c r="EET115" s="381"/>
      <c r="EEU115" s="381"/>
      <c r="EEV115" s="381"/>
      <c r="EEW115" s="381"/>
      <c r="EEX115" s="381"/>
      <c r="EEY115" s="381"/>
      <c r="EEZ115" s="381"/>
      <c r="EFA115" s="381"/>
      <c r="EFB115" s="381"/>
      <c r="EFC115" s="381"/>
      <c r="EFD115" s="381"/>
      <c r="EFE115" s="381"/>
      <c r="EFF115" s="381"/>
      <c r="EFG115" s="381"/>
      <c r="EFH115" s="381"/>
      <c r="EFI115" s="381"/>
      <c r="EFJ115" s="381"/>
      <c r="EFK115" s="381"/>
      <c r="EFL115" s="381"/>
      <c r="EFM115" s="381"/>
      <c r="EFN115" s="381"/>
      <c r="EFO115" s="381"/>
      <c r="EFP115" s="381"/>
      <c r="EFQ115" s="381"/>
      <c r="EFR115" s="381"/>
      <c r="EFS115" s="381"/>
      <c r="EFT115" s="381"/>
      <c r="EFU115" s="381"/>
      <c r="EFV115" s="381"/>
      <c r="EFW115" s="381"/>
      <c r="EFX115" s="381"/>
      <c r="EFY115" s="381"/>
      <c r="EFZ115" s="381"/>
      <c r="EGA115" s="381"/>
      <c r="EGB115" s="381"/>
      <c r="EGC115" s="381"/>
      <c r="EGD115" s="381"/>
      <c r="EGE115" s="381"/>
      <c r="EGF115" s="381"/>
      <c r="EGG115" s="381"/>
      <c r="EGH115" s="381"/>
      <c r="EGI115" s="381"/>
      <c r="EGJ115" s="381"/>
      <c r="EGK115" s="381"/>
      <c r="EGL115" s="381"/>
      <c r="EGM115" s="381"/>
      <c r="EGN115" s="381"/>
      <c r="EGO115" s="381"/>
      <c r="EGP115" s="381"/>
      <c r="EGQ115" s="381"/>
      <c r="EGR115" s="381"/>
      <c r="EGS115" s="381"/>
      <c r="EGT115" s="381"/>
      <c r="EGU115" s="381"/>
      <c r="EGV115" s="381"/>
      <c r="EGW115" s="381"/>
      <c r="EGX115" s="381"/>
      <c r="EGY115" s="381"/>
      <c r="EGZ115" s="381"/>
      <c r="EHA115" s="381"/>
      <c r="EHB115" s="381"/>
      <c r="EHC115" s="381"/>
      <c r="EHD115" s="381"/>
      <c r="EHE115" s="381"/>
      <c r="EHF115" s="381"/>
      <c r="EHG115" s="381"/>
      <c r="EHH115" s="381"/>
      <c r="EHI115" s="381"/>
      <c r="EHJ115" s="381"/>
      <c r="EHK115" s="381"/>
      <c r="EHL115" s="381"/>
      <c r="EHM115" s="381"/>
      <c r="EHN115" s="381"/>
      <c r="EHO115" s="381"/>
      <c r="EHP115" s="381"/>
      <c r="EHQ115" s="381"/>
      <c r="EHR115" s="381"/>
      <c r="EHS115" s="381"/>
      <c r="EHT115" s="381"/>
      <c r="EHU115" s="381"/>
      <c r="EHV115" s="381"/>
      <c r="EHW115" s="381"/>
      <c r="EHX115" s="381"/>
      <c r="EHY115" s="381"/>
      <c r="EHZ115" s="381"/>
      <c r="EIA115" s="381"/>
      <c r="EIB115" s="381"/>
      <c r="EIC115" s="381"/>
      <c r="EID115" s="381"/>
      <c r="EIE115" s="381"/>
      <c r="EIF115" s="381"/>
      <c r="EIG115" s="381"/>
      <c r="EIH115" s="381"/>
      <c r="EII115" s="381"/>
      <c r="EIJ115" s="381"/>
      <c r="EIK115" s="381"/>
      <c r="EIL115" s="381"/>
      <c r="EIM115" s="381"/>
      <c r="EIN115" s="381"/>
      <c r="EIO115" s="381"/>
      <c r="EIP115" s="381"/>
      <c r="EIQ115" s="381"/>
      <c r="EIR115" s="381"/>
      <c r="EIS115" s="381"/>
      <c r="EIT115" s="381"/>
      <c r="EIU115" s="381"/>
      <c r="EIV115" s="381"/>
      <c r="EIW115" s="381"/>
      <c r="EIX115" s="381"/>
      <c r="EIY115" s="381"/>
      <c r="EIZ115" s="381"/>
      <c r="EJA115" s="381"/>
      <c r="EJB115" s="381"/>
      <c r="EJC115" s="381"/>
      <c r="EJD115" s="381"/>
      <c r="EJE115" s="381"/>
      <c r="EJF115" s="381"/>
      <c r="EJG115" s="381"/>
      <c r="EJH115" s="381"/>
      <c r="EJI115" s="381"/>
      <c r="EJJ115" s="381"/>
      <c r="EJK115" s="381"/>
      <c r="EJL115" s="381"/>
      <c r="EJM115" s="381"/>
      <c r="EJN115" s="381"/>
      <c r="EJO115" s="381"/>
      <c r="EJP115" s="381"/>
      <c r="EJQ115" s="381"/>
      <c r="EJR115" s="381"/>
      <c r="EJS115" s="381"/>
      <c r="EJT115" s="381"/>
      <c r="EJU115" s="381"/>
      <c r="EJV115" s="381"/>
      <c r="EJW115" s="381"/>
      <c r="EJX115" s="381"/>
      <c r="EJY115" s="381"/>
      <c r="EJZ115" s="381"/>
      <c r="EKA115" s="381"/>
      <c r="EKB115" s="381"/>
      <c r="EKC115" s="381"/>
      <c r="EKD115" s="381"/>
      <c r="EKE115" s="381"/>
      <c r="EKF115" s="381"/>
      <c r="EKG115" s="381"/>
      <c r="EKH115" s="381"/>
      <c r="EKI115" s="381"/>
      <c r="EKJ115" s="381"/>
      <c r="EKK115" s="381"/>
      <c r="EKL115" s="381"/>
      <c r="EKM115" s="381"/>
      <c r="EKN115" s="381"/>
      <c r="EKO115" s="381"/>
      <c r="EKP115" s="381"/>
      <c r="EKQ115" s="381"/>
      <c r="EKR115" s="381"/>
      <c r="EKS115" s="381"/>
      <c r="EKT115" s="381"/>
      <c r="EKU115" s="381"/>
      <c r="EKV115" s="381"/>
      <c r="EKW115" s="381"/>
      <c r="EKX115" s="381"/>
      <c r="EKY115" s="381"/>
      <c r="EKZ115" s="381"/>
      <c r="ELA115" s="381"/>
      <c r="ELB115" s="381"/>
      <c r="ELC115" s="381"/>
      <c r="ELD115" s="381"/>
      <c r="ELE115" s="381"/>
      <c r="ELF115" s="381"/>
      <c r="ELG115" s="381"/>
      <c r="ELH115" s="381"/>
      <c r="ELI115" s="381"/>
      <c r="ELJ115" s="381"/>
      <c r="ELK115" s="381"/>
      <c r="ELL115" s="381"/>
      <c r="ELM115" s="381"/>
      <c r="ELN115" s="381"/>
      <c r="ELO115" s="381"/>
      <c r="ELP115" s="381"/>
      <c r="ELQ115" s="381"/>
      <c r="ELR115" s="381"/>
      <c r="ELS115" s="381"/>
      <c r="ELT115" s="381"/>
      <c r="ELU115" s="381"/>
      <c r="ELV115" s="381"/>
      <c r="ELW115" s="381"/>
      <c r="ELX115" s="381"/>
      <c r="ELY115" s="381"/>
      <c r="ELZ115" s="381"/>
      <c r="EMA115" s="381"/>
      <c r="EMB115" s="381"/>
      <c r="EMC115" s="381"/>
      <c r="EMD115" s="381"/>
      <c r="EME115" s="381"/>
      <c r="EMF115" s="381"/>
      <c r="EMG115" s="381"/>
      <c r="EMH115" s="381"/>
      <c r="EMI115" s="381"/>
      <c r="EMJ115" s="381"/>
      <c r="EMK115" s="381"/>
      <c r="EML115" s="381"/>
      <c r="EMM115" s="381"/>
      <c r="EMN115" s="381"/>
      <c r="EMO115" s="381"/>
      <c r="EMP115" s="381"/>
      <c r="EMQ115" s="381"/>
      <c r="EMR115" s="381"/>
      <c r="EMS115" s="381"/>
      <c r="EMT115" s="381"/>
      <c r="EMU115" s="381"/>
      <c r="EMV115" s="381"/>
      <c r="EMW115" s="381"/>
      <c r="EMX115" s="381"/>
      <c r="EMY115" s="381"/>
      <c r="EMZ115" s="381"/>
      <c r="ENA115" s="381"/>
      <c r="ENB115" s="381"/>
      <c r="ENC115" s="381"/>
      <c r="END115" s="381"/>
      <c r="ENE115" s="381"/>
      <c r="ENF115" s="381"/>
      <c r="ENG115" s="381"/>
      <c r="ENH115" s="381"/>
      <c r="ENI115" s="381"/>
      <c r="ENJ115" s="381"/>
      <c r="ENK115" s="381"/>
      <c r="ENL115" s="381"/>
      <c r="ENM115" s="381"/>
      <c r="ENN115" s="381"/>
      <c r="ENO115" s="381"/>
      <c r="ENP115" s="381"/>
      <c r="ENQ115" s="381"/>
      <c r="ENR115" s="381"/>
      <c r="ENS115" s="381"/>
      <c r="ENT115" s="381"/>
      <c r="ENU115" s="381"/>
      <c r="ENV115" s="381"/>
      <c r="ENW115" s="381"/>
      <c r="ENX115" s="381"/>
      <c r="ENY115" s="381"/>
      <c r="ENZ115" s="381"/>
      <c r="EOA115" s="381"/>
      <c r="EOB115" s="381"/>
      <c r="EOC115" s="381"/>
      <c r="EOD115" s="381"/>
      <c r="EOE115" s="381"/>
      <c r="EOF115" s="381"/>
      <c r="EOG115" s="381"/>
      <c r="EOH115" s="381"/>
      <c r="EOI115" s="381"/>
      <c r="EOJ115" s="381"/>
      <c r="EOK115" s="381"/>
      <c r="EOL115" s="381"/>
      <c r="EOM115" s="381"/>
      <c r="EON115" s="381"/>
      <c r="EOO115" s="381"/>
      <c r="EOP115" s="381"/>
      <c r="EOQ115" s="381"/>
      <c r="EOR115" s="381"/>
      <c r="EOS115" s="381"/>
      <c r="EOT115" s="381"/>
      <c r="EOU115" s="381"/>
      <c r="EOV115" s="381"/>
      <c r="EOW115" s="381"/>
      <c r="EOX115" s="381"/>
      <c r="EOY115" s="381"/>
      <c r="EOZ115" s="381"/>
      <c r="EPA115" s="381"/>
      <c r="EPB115" s="381"/>
      <c r="EPC115" s="381"/>
      <c r="EPD115" s="381"/>
      <c r="EPE115" s="381"/>
      <c r="EPF115" s="381"/>
      <c r="EPG115" s="381"/>
      <c r="EPH115" s="381"/>
      <c r="EPI115" s="381"/>
      <c r="EPJ115" s="381"/>
      <c r="EPK115" s="381"/>
      <c r="EPL115" s="381"/>
      <c r="EPM115" s="381"/>
      <c r="EPN115" s="381"/>
      <c r="EPO115" s="381"/>
      <c r="EPP115" s="381"/>
      <c r="EPQ115" s="381"/>
      <c r="EPR115" s="381"/>
      <c r="EPS115" s="381"/>
      <c r="EPT115" s="381"/>
      <c r="EPU115" s="381"/>
      <c r="EPV115" s="381"/>
      <c r="EPW115" s="381"/>
      <c r="EPX115" s="381"/>
      <c r="EPY115" s="381"/>
      <c r="EPZ115" s="381"/>
      <c r="EQA115" s="381"/>
      <c r="EQB115" s="381"/>
      <c r="EQC115" s="381"/>
      <c r="EQD115" s="381"/>
      <c r="EQE115" s="381"/>
      <c r="EQF115" s="381"/>
      <c r="EQG115" s="381"/>
      <c r="EQH115" s="381"/>
      <c r="EQI115" s="381"/>
      <c r="EQJ115" s="381"/>
      <c r="EQK115" s="381"/>
      <c r="EQL115" s="381"/>
      <c r="EQM115" s="381"/>
      <c r="EQN115" s="381"/>
      <c r="EQO115" s="381"/>
      <c r="EQP115" s="381"/>
      <c r="EQQ115" s="381"/>
      <c r="EQR115" s="381"/>
      <c r="EQS115" s="381"/>
      <c r="EQT115" s="381"/>
      <c r="EQU115" s="381"/>
      <c r="EQV115" s="381"/>
      <c r="EQW115" s="381"/>
      <c r="EQX115" s="381"/>
      <c r="EQY115" s="381"/>
      <c r="EQZ115" s="381"/>
      <c r="ERA115" s="381"/>
      <c r="ERB115" s="381"/>
      <c r="ERC115" s="381"/>
      <c r="ERD115" s="381"/>
      <c r="ERE115" s="381"/>
      <c r="ERF115" s="381"/>
      <c r="ERG115" s="381"/>
      <c r="ERH115" s="381"/>
      <c r="ERI115" s="381"/>
      <c r="ERJ115" s="381"/>
      <c r="ERK115" s="381"/>
      <c r="ERL115" s="381"/>
      <c r="ERM115" s="381"/>
      <c r="ERN115" s="381"/>
      <c r="ERO115" s="381"/>
      <c r="ERP115" s="381"/>
      <c r="ERQ115" s="381"/>
      <c r="ERR115" s="381"/>
      <c r="ERS115" s="381"/>
      <c r="ERT115" s="381"/>
      <c r="ERU115" s="381"/>
      <c r="ERV115" s="381"/>
      <c r="ERW115" s="381"/>
      <c r="ERX115" s="381"/>
      <c r="ERY115" s="381"/>
      <c r="ERZ115" s="381"/>
      <c r="ESA115" s="381"/>
      <c r="ESB115" s="381"/>
      <c r="ESC115" s="381"/>
      <c r="ESD115" s="381"/>
      <c r="ESE115" s="381"/>
      <c r="ESF115" s="381"/>
      <c r="ESG115" s="381"/>
      <c r="ESH115" s="381"/>
      <c r="ESI115" s="381"/>
      <c r="ESJ115" s="381"/>
      <c r="ESK115" s="381"/>
      <c r="ESL115" s="381"/>
      <c r="ESM115" s="381"/>
      <c r="ESN115" s="381"/>
      <c r="ESO115" s="381"/>
      <c r="ESP115" s="381"/>
      <c r="ESQ115" s="381"/>
      <c r="ESR115" s="381"/>
      <c r="ESS115" s="381"/>
      <c r="EST115" s="381"/>
      <c r="ESU115" s="381"/>
      <c r="ESV115" s="381"/>
      <c r="ESW115" s="381"/>
      <c r="ESX115" s="381"/>
      <c r="ESY115" s="381"/>
      <c r="ESZ115" s="381"/>
      <c r="ETA115" s="381"/>
      <c r="ETB115" s="381"/>
      <c r="ETC115" s="381"/>
      <c r="ETD115" s="381"/>
      <c r="ETE115" s="381"/>
      <c r="ETF115" s="381"/>
      <c r="ETG115" s="381"/>
      <c r="ETH115" s="381"/>
      <c r="ETI115" s="381"/>
      <c r="ETJ115" s="381"/>
      <c r="ETK115" s="381"/>
      <c r="ETL115" s="381"/>
      <c r="ETM115" s="381"/>
      <c r="ETN115" s="381"/>
      <c r="ETO115" s="381"/>
      <c r="ETP115" s="381"/>
      <c r="ETQ115" s="381"/>
      <c r="ETR115" s="381"/>
      <c r="ETS115" s="381"/>
      <c r="ETT115" s="381"/>
      <c r="ETU115" s="381"/>
      <c r="ETV115" s="381"/>
      <c r="ETW115" s="381"/>
      <c r="ETX115" s="381"/>
      <c r="ETY115" s="381"/>
      <c r="ETZ115" s="381"/>
      <c r="EUA115" s="381"/>
      <c r="EUB115" s="381"/>
      <c r="EUC115" s="381"/>
      <c r="EUD115" s="381"/>
      <c r="EUE115" s="381"/>
      <c r="EUF115" s="381"/>
      <c r="EUG115" s="381"/>
      <c r="EUH115" s="381"/>
      <c r="EUI115" s="381"/>
      <c r="EUJ115" s="381"/>
      <c r="EUK115" s="381"/>
      <c r="EUL115" s="381"/>
      <c r="EUM115" s="381"/>
      <c r="EUN115" s="381"/>
      <c r="EUO115" s="381"/>
      <c r="EUP115" s="381"/>
      <c r="EUQ115" s="381"/>
      <c r="EUR115" s="381"/>
      <c r="EUS115" s="381"/>
      <c r="EUT115" s="381"/>
      <c r="EUU115" s="381"/>
      <c r="EUV115" s="381"/>
      <c r="EUW115" s="381"/>
      <c r="EUX115" s="381"/>
      <c r="EUY115" s="381"/>
      <c r="EUZ115" s="381"/>
      <c r="EVA115" s="381"/>
      <c r="EVB115" s="381"/>
      <c r="EVC115" s="381"/>
      <c r="EVD115" s="381"/>
      <c r="EVE115" s="381"/>
      <c r="EVF115" s="381"/>
      <c r="EVG115" s="381"/>
      <c r="EVH115" s="381"/>
      <c r="EVI115" s="381"/>
      <c r="EVJ115" s="381"/>
      <c r="EVK115" s="381"/>
      <c r="EVL115" s="381"/>
      <c r="EVM115" s="381"/>
      <c r="EVN115" s="381"/>
      <c r="EVO115" s="381"/>
      <c r="EVP115" s="381"/>
      <c r="EVQ115" s="381"/>
      <c r="EVR115" s="381"/>
      <c r="EVS115" s="381"/>
      <c r="EVT115" s="381"/>
      <c r="EVU115" s="381"/>
      <c r="EVV115" s="381"/>
      <c r="EVW115" s="381"/>
      <c r="EVX115" s="381"/>
      <c r="EVY115" s="381"/>
      <c r="EVZ115" s="381"/>
      <c r="EWA115" s="381"/>
      <c r="EWB115" s="381"/>
      <c r="EWC115" s="381"/>
      <c r="EWD115" s="381"/>
      <c r="EWE115" s="381"/>
      <c r="EWF115" s="381"/>
      <c r="EWG115" s="381"/>
      <c r="EWH115" s="381"/>
      <c r="EWI115" s="381"/>
      <c r="EWJ115" s="381"/>
      <c r="EWK115" s="381"/>
      <c r="EWL115" s="381"/>
      <c r="EWM115" s="381"/>
      <c r="EWN115" s="381"/>
      <c r="EWO115" s="381"/>
      <c r="EWP115" s="381"/>
      <c r="EWQ115" s="381"/>
      <c r="EWR115" s="381"/>
      <c r="EWS115" s="381"/>
      <c r="EWT115" s="381"/>
      <c r="EWU115" s="381"/>
      <c r="EWV115" s="381"/>
      <c r="EWW115" s="381"/>
      <c r="EWX115" s="381"/>
      <c r="EWY115" s="381"/>
      <c r="EWZ115" s="381"/>
      <c r="EXA115" s="381"/>
      <c r="EXB115" s="381"/>
      <c r="EXC115" s="381"/>
      <c r="EXD115" s="381"/>
      <c r="EXE115" s="381"/>
      <c r="EXF115" s="381"/>
      <c r="EXG115" s="381"/>
      <c r="EXH115" s="381"/>
      <c r="EXI115" s="381"/>
      <c r="EXJ115" s="381"/>
      <c r="EXK115" s="381"/>
      <c r="EXL115" s="381"/>
      <c r="EXM115" s="381"/>
      <c r="EXN115" s="381"/>
      <c r="EXO115" s="381"/>
      <c r="EXP115" s="381"/>
      <c r="EXQ115" s="381"/>
      <c r="EXR115" s="381"/>
      <c r="EXS115" s="381"/>
      <c r="EXT115" s="381"/>
      <c r="EXU115" s="381"/>
      <c r="EXV115" s="381"/>
      <c r="EXW115" s="381"/>
      <c r="EXX115" s="381"/>
      <c r="EXY115" s="381"/>
      <c r="EXZ115" s="381"/>
      <c r="EYA115" s="381"/>
      <c r="EYB115" s="381"/>
      <c r="EYC115" s="381"/>
      <c r="EYD115" s="381"/>
      <c r="EYE115" s="381"/>
      <c r="EYF115" s="381"/>
      <c r="EYG115" s="381"/>
      <c r="EYH115" s="381"/>
      <c r="EYI115" s="381"/>
      <c r="EYJ115" s="381"/>
      <c r="EYK115" s="381"/>
      <c r="EYL115" s="381"/>
      <c r="EYM115" s="381"/>
      <c r="EYN115" s="381"/>
      <c r="EYO115" s="381"/>
      <c r="EYP115" s="381"/>
      <c r="EYQ115" s="381"/>
      <c r="EYR115" s="381"/>
      <c r="EYS115" s="381"/>
      <c r="EYT115" s="381"/>
      <c r="EYU115" s="381"/>
      <c r="EYV115" s="381"/>
      <c r="EYW115" s="381"/>
      <c r="EYX115" s="381"/>
      <c r="EYY115" s="381"/>
      <c r="EYZ115" s="381"/>
      <c r="EZA115" s="381"/>
      <c r="EZB115" s="381"/>
      <c r="EZC115" s="381"/>
      <c r="EZD115" s="381"/>
      <c r="EZE115" s="381"/>
      <c r="EZF115" s="381"/>
      <c r="EZG115" s="381"/>
      <c r="EZH115" s="381"/>
      <c r="EZI115" s="381"/>
      <c r="EZJ115" s="381"/>
      <c r="EZK115" s="381"/>
      <c r="EZL115" s="381"/>
      <c r="EZM115" s="381"/>
      <c r="EZN115" s="381"/>
      <c r="EZO115" s="381"/>
      <c r="EZP115" s="381"/>
      <c r="EZQ115" s="381"/>
      <c r="EZR115" s="381"/>
      <c r="EZS115" s="381"/>
      <c r="EZT115" s="381"/>
      <c r="EZU115" s="381"/>
      <c r="EZV115" s="381"/>
      <c r="EZW115" s="381"/>
      <c r="EZX115" s="381"/>
      <c r="EZY115" s="381"/>
      <c r="EZZ115" s="381"/>
      <c r="FAA115" s="381"/>
      <c r="FAB115" s="381"/>
      <c r="FAC115" s="381"/>
      <c r="FAD115" s="381"/>
      <c r="FAE115" s="381"/>
      <c r="FAF115" s="381"/>
      <c r="FAG115" s="381"/>
      <c r="FAH115" s="381"/>
      <c r="FAI115" s="381"/>
      <c r="FAJ115" s="381"/>
      <c r="FAK115" s="381"/>
      <c r="FAL115" s="381"/>
      <c r="FAM115" s="381"/>
      <c r="FAN115" s="381"/>
      <c r="FAO115" s="381"/>
      <c r="FAP115" s="381"/>
      <c r="FAQ115" s="381"/>
      <c r="FAR115" s="381"/>
      <c r="FAS115" s="381"/>
      <c r="FAT115" s="381"/>
      <c r="FAU115" s="381"/>
      <c r="FAV115" s="381"/>
      <c r="FAW115" s="381"/>
      <c r="FAX115" s="381"/>
      <c r="FAY115" s="381"/>
      <c r="FAZ115" s="381"/>
      <c r="FBA115" s="381"/>
      <c r="FBB115" s="381"/>
      <c r="FBC115" s="381"/>
      <c r="FBD115" s="381"/>
      <c r="FBE115" s="381"/>
      <c r="FBF115" s="381"/>
      <c r="FBG115" s="381"/>
      <c r="FBH115" s="381"/>
      <c r="FBI115" s="381"/>
      <c r="FBJ115" s="381"/>
      <c r="FBK115" s="381"/>
      <c r="FBL115" s="381"/>
      <c r="FBM115" s="381"/>
      <c r="FBN115" s="381"/>
      <c r="FBO115" s="381"/>
      <c r="FBP115" s="381"/>
      <c r="FBQ115" s="381"/>
      <c r="FBR115" s="381"/>
      <c r="FBS115" s="381"/>
      <c r="FBT115" s="381"/>
      <c r="FBU115" s="381"/>
      <c r="FBV115" s="381"/>
      <c r="FBW115" s="381"/>
      <c r="FBX115" s="381"/>
      <c r="FBY115" s="381"/>
      <c r="FBZ115" s="381"/>
      <c r="FCA115" s="381"/>
      <c r="FCB115" s="381"/>
      <c r="FCC115" s="381"/>
      <c r="FCD115" s="381"/>
      <c r="FCE115" s="381"/>
      <c r="FCF115" s="381"/>
      <c r="FCG115" s="381"/>
      <c r="FCH115" s="381"/>
      <c r="FCI115" s="381"/>
      <c r="FCJ115" s="381"/>
      <c r="FCK115" s="381"/>
      <c r="FCL115" s="381"/>
      <c r="FCM115" s="381"/>
      <c r="FCN115" s="381"/>
      <c r="FCO115" s="381"/>
      <c r="FCP115" s="381"/>
      <c r="FCQ115" s="381"/>
      <c r="FCR115" s="381"/>
      <c r="FCS115" s="381"/>
      <c r="FCT115" s="381"/>
      <c r="FCU115" s="381"/>
      <c r="FCV115" s="381"/>
      <c r="FCW115" s="381"/>
      <c r="FCX115" s="381"/>
      <c r="FCY115" s="381"/>
      <c r="FCZ115" s="381"/>
      <c r="FDA115" s="381"/>
      <c r="FDB115" s="381"/>
      <c r="FDC115" s="381"/>
      <c r="FDD115" s="381"/>
      <c r="FDE115" s="381"/>
      <c r="FDF115" s="381"/>
      <c r="FDG115" s="381"/>
      <c r="FDH115" s="381"/>
      <c r="FDI115" s="381"/>
      <c r="FDJ115" s="381"/>
      <c r="FDK115" s="381"/>
      <c r="FDL115" s="381"/>
      <c r="FDM115" s="381"/>
      <c r="FDN115" s="381"/>
      <c r="FDO115" s="381"/>
      <c r="FDP115" s="381"/>
      <c r="FDQ115" s="381"/>
      <c r="FDR115" s="381"/>
      <c r="FDS115" s="381"/>
      <c r="FDT115" s="381"/>
      <c r="FDU115" s="381"/>
      <c r="FDV115" s="381"/>
      <c r="FDW115" s="381"/>
      <c r="FDX115" s="381"/>
      <c r="FDY115" s="381"/>
      <c r="FDZ115" s="381"/>
      <c r="FEA115" s="381"/>
      <c r="FEB115" s="381"/>
      <c r="FEC115" s="381"/>
      <c r="FED115" s="381"/>
      <c r="FEE115" s="381"/>
      <c r="FEF115" s="381"/>
      <c r="FEG115" s="381"/>
      <c r="FEH115" s="381"/>
      <c r="FEI115" s="381"/>
      <c r="FEJ115" s="381"/>
      <c r="FEK115" s="381"/>
      <c r="FEL115" s="381"/>
      <c r="FEM115" s="381"/>
      <c r="FEN115" s="381"/>
      <c r="FEO115" s="381"/>
      <c r="FEP115" s="381"/>
      <c r="FEQ115" s="381"/>
      <c r="FER115" s="381"/>
      <c r="FES115" s="381"/>
      <c r="FET115" s="381"/>
      <c r="FEU115" s="381"/>
      <c r="FEV115" s="381"/>
      <c r="FEW115" s="381"/>
      <c r="FEX115" s="381"/>
      <c r="FEY115" s="381"/>
      <c r="FEZ115" s="381"/>
      <c r="FFA115" s="381"/>
      <c r="FFB115" s="381"/>
      <c r="FFC115" s="381"/>
      <c r="FFD115" s="381"/>
      <c r="FFE115" s="381"/>
      <c r="FFF115" s="381"/>
      <c r="FFG115" s="381"/>
      <c r="FFH115" s="381"/>
      <c r="FFI115" s="381"/>
      <c r="FFJ115" s="381"/>
      <c r="FFK115" s="381"/>
      <c r="FFL115" s="381"/>
      <c r="FFM115" s="381"/>
      <c r="FFN115" s="381"/>
      <c r="FFO115" s="381"/>
      <c r="FFP115" s="381"/>
      <c r="FFQ115" s="381"/>
      <c r="FFR115" s="381"/>
      <c r="FFS115" s="381"/>
      <c r="FFT115" s="381"/>
      <c r="FFU115" s="381"/>
      <c r="FFV115" s="381"/>
      <c r="FFW115" s="381"/>
      <c r="FFX115" s="381"/>
      <c r="FFY115" s="381"/>
      <c r="FFZ115" s="381"/>
      <c r="FGA115" s="381"/>
      <c r="FGB115" s="381"/>
      <c r="FGC115" s="381"/>
      <c r="FGD115" s="381"/>
      <c r="FGE115" s="381"/>
      <c r="FGF115" s="381"/>
      <c r="FGG115" s="381"/>
      <c r="FGH115" s="381"/>
      <c r="FGI115" s="381"/>
      <c r="FGJ115" s="381"/>
      <c r="FGK115" s="381"/>
      <c r="FGL115" s="381"/>
      <c r="FGM115" s="381"/>
      <c r="FGN115" s="381"/>
      <c r="FGO115" s="381"/>
      <c r="FGP115" s="381"/>
      <c r="FGQ115" s="381"/>
      <c r="FGR115" s="381"/>
      <c r="FGS115" s="381"/>
      <c r="FGT115" s="381"/>
      <c r="FGU115" s="381"/>
      <c r="FGV115" s="381"/>
      <c r="FGW115" s="381"/>
      <c r="FGX115" s="381"/>
      <c r="FGY115" s="381"/>
      <c r="FGZ115" s="381"/>
      <c r="FHA115" s="381"/>
      <c r="FHB115" s="381"/>
      <c r="FHC115" s="381"/>
      <c r="FHD115" s="381"/>
      <c r="FHE115" s="381"/>
      <c r="FHF115" s="381"/>
      <c r="FHG115" s="381"/>
      <c r="FHH115" s="381"/>
      <c r="FHI115" s="381"/>
      <c r="FHJ115" s="381"/>
      <c r="FHK115" s="381"/>
      <c r="FHL115" s="381"/>
      <c r="FHM115" s="381"/>
      <c r="FHN115" s="381"/>
      <c r="FHO115" s="381"/>
      <c r="FHP115" s="381"/>
      <c r="FHQ115" s="381"/>
      <c r="FHR115" s="381"/>
      <c r="FHS115" s="381"/>
      <c r="FHT115" s="381"/>
      <c r="FHU115" s="381"/>
      <c r="FHV115" s="381"/>
      <c r="FHW115" s="381"/>
      <c r="FHX115" s="381"/>
      <c r="FHY115" s="381"/>
      <c r="FHZ115" s="381"/>
      <c r="FIA115" s="381"/>
      <c r="FIB115" s="381"/>
      <c r="FIC115" s="381"/>
      <c r="FID115" s="381"/>
      <c r="FIE115" s="381"/>
      <c r="FIF115" s="381"/>
      <c r="FIG115" s="381"/>
      <c r="FIH115" s="381"/>
      <c r="FII115" s="381"/>
      <c r="FIJ115" s="381"/>
      <c r="FIK115" s="381"/>
      <c r="FIL115" s="381"/>
      <c r="FIM115" s="381"/>
      <c r="FIN115" s="381"/>
      <c r="FIO115" s="381"/>
      <c r="FIP115" s="381"/>
      <c r="FIQ115" s="381"/>
      <c r="FIR115" s="381"/>
      <c r="FIS115" s="381"/>
      <c r="FIT115" s="381"/>
      <c r="FIU115" s="381"/>
      <c r="FIV115" s="381"/>
      <c r="FIW115" s="381"/>
      <c r="FIX115" s="381"/>
      <c r="FIY115" s="381"/>
      <c r="FIZ115" s="381"/>
      <c r="FJA115" s="381"/>
      <c r="FJB115" s="381"/>
      <c r="FJC115" s="381"/>
      <c r="FJD115" s="381"/>
      <c r="FJE115" s="381"/>
      <c r="FJF115" s="381"/>
      <c r="FJG115" s="381"/>
      <c r="FJH115" s="381"/>
      <c r="FJI115" s="381"/>
      <c r="FJJ115" s="381"/>
      <c r="FJK115" s="381"/>
      <c r="FJL115" s="381"/>
      <c r="FJM115" s="381"/>
      <c r="FJN115" s="381"/>
      <c r="FJO115" s="381"/>
      <c r="FJP115" s="381"/>
      <c r="FJQ115" s="381"/>
      <c r="FJR115" s="381"/>
      <c r="FJS115" s="381"/>
      <c r="FJT115" s="381"/>
      <c r="FJU115" s="381"/>
      <c r="FJV115" s="381"/>
      <c r="FJW115" s="381"/>
      <c r="FJX115" s="381"/>
      <c r="FJY115" s="381"/>
      <c r="FJZ115" s="381"/>
      <c r="FKA115" s="381"/>
      <c r="FKB115" s="381"/>
      <c r="FKC115" s="381"/>
      <c r="FKD115" s="381"/>
      <c r="FKE115" s="381"/>
      <c r="FKF115" s="381"/>
      <c r="FKG115" s="381"/>
      <c r="FKH115" s="381"/>
      <c r="FKI115" s="381"/>
      <c r="FKJ115" s="381"/>
      <c r="FKK115" s="381"/>
      <c r="FKL115" s="381"/>
      <c r="FKM115" s="381"/>
      <c r="FKN115" s="381"/>
      <c r="FKO115" s="381"/>
      <c r="FKP115" s="381"/>
      <c r="FKQ115" s="381"/>
      <c r="FKR115" s="381"/>
      <c r="FKS115" s="381"/>
      <c r="FKT115" s="381"/>
      <c r="FKU115" s="381"/>
      <c r="FKV115" s="381"/>
      <c r="FKW115" s="381"/>
      <c r="FKX115" s="381"/>
      <c r="FKY115" s="381"/>
      <c r="FKZ115" s="381"/>
      <c r="FLA115" s="381"/>
      <c r="FLB115" s="381"/>
      <c r="FLC115" s="381"/>
      <c r="FLD115" s="381"/>
      <c r="FLE115" s="381"/>
      <c r="FLF115" s="381"/>
      <c r="FLG115" s="381"/>
      <c r="FLH115" s="381"/>
      <c r="FLI115" s="381"/>
      <c r="FLJ115" s="381"/>
      <c r="FLK115" s="381"/>
      <c r="FLL115" s="381"/>
      <c r="FLM115" s="381"/>
      <c r="FLN115" s="381"/>
      <c r="FLO115" s="381"/>
      <c r="FLP115" s="381"/>
      <c r="FLQ115" s="381"/>
      <c r="FLR115" s="381"/>
      <c r="FLS115" s="381"/>
      <c r="FLT115" s="381"/>
      <c r="FLU115" s="381"/>
      <c r="FLV115" s="381"/>
      <c r="FLW115" s="381"/>
      <c r="FLX115" s="381"/>
      <c r="FLY115" s="381"/>
      <c r="FLZ115" s="381"/>
      <c r="FMA115" s="381"/>
      <c r="FMB115" s="381"/>
      <c r="FMC115" s="381"/>
      <c r="FMD115" s="381"/>
      <c r="FME115" s="381"/>
      <c r="FMF115" s="381"/>
      <c r="FMG115" s="381"/>
      <c r="FMH115" s="381"/>
      <c r="FMI115" s="381"/>
      <c r="FMJ115" s="381"/>
      <c r="FMK115" s="381"/>
      <c r="FML115" s="381"/>
      <c r="FMM115" s="381"/>
      <c r="FMN115" s="381"/>
      <c r="FMO115" s="381"/>
      <c r="FMP115" s="381"/>
      <c r="FMQ115" s="381"/>
      <c r="FMR115" s="381"/>
      <c r="FMS115" s="381"/>
      <c r="FMT115" s="381"/>
      <c r="FMU115" s="381"/>
      <c r="FMV115" s="381"/>
      <c r="FMW115" s="381"/>
      <c r="FMX115" s="381"/>
      <c r="FMY115" s="381"/>
      <c r="FMZ115" s="381"/>
      <c r="FNA115" s="381"/>
      <c r="FNB115" s="381"/>
      <c r="FNC115" s="381"/>
      <c r="FND115" s="381"/>
      <c r="FNE115" s="381"/>
      <c r="FNF115" s="381"/>
      <c r="FNG115" s="381"/>
      <c r="FNH115" s="381"/>
      <c r="FNI115" s="381"/>
      <c r="FNJ115" s="381"/>
      <c r="FNK115" s="381"/>
      <c r="FNL115" s="381"/>
      <c r="FNM115" s="381"/>
      <c r="FNN115" s="381"/>
      <c r="FNO115" s="381"/>
      <c r="FNP115" s="381"/>
      <c r="FNQ115" s="381"/>
      <c r="FNR115" s="381"/>
      <c r="FNS115" s="381"/>
      <c r="FNT115" s="381"/>
      <c r="FNU115" s="381"/>
      <c r="FNV115" s="381"/>
      <c r="FNW115" s="381"/>
      <c r="FNX115" s="381"/>
      <c r="FNY115" s="381"/>
      <c r="FNZ115" s="381"/>
      <c r="FOA115" s="381"/>
      <c r="FOB115" s="381"/>
      <c r="FOC115" s="381"/>
      <c r="FOD115" s="381"/>
      <c r="FOE115" s="381"/>
      <c r="FOF115" s="381"/>
      <c r="FOG115" s="381"/>
      <c r="FOH115" s="381"/>
      <c r="FOI115" s="381"/>
      <c r="FOJ115" s="381"/>
      <c r="FOK115" s="381"/>
      <c r="FOL115" s="381"/>
      <c r="FOM115" s="381"/>
      <c r="FON115" s="381"/>
      <c r="FOO115" s="381"/>
      <c r="FOP115" s="381"/>
      <c r="FOQ115" s="381"/>
      <c r="FOR115" s="381"/>
      <c r="FOS115" s="381"/>
      <c r="FOT115" s="381"/>
      <c r="FOU115" s="381"/>
      <c r="FOV115" s="381"/>
      <c r="FOW115" s="381"/>
      <c r="FOX115" s="381"/>
      <c r="FOY115" s="381"/>
      <c r="FOZ115" s="381"/>
      <c r="FPA115" s="381"/>
      <c r="FPB115" s="381"/>
      <c r="FPC115" s="381"/>
      <c r="FPD115" s="381"/>
      <c r="FPE115" s="381"/>
      <c r="FPF115" s="381"/>
      <c r="FPG115" s="381"/>
      <c r="FPH115" s="381"/>
      <c r="FPI115" s="381"/>
      <c r="FPJ115" s="381"/>
      <c r="FPK115" s="381"/>
      <c r="FPL115" s="381"/>
      <c r="FPM115" s="381"/>
      <c r="FPN115" s="381"/>
      <c r="FPO115" s="381"/>
      <c r="FPP115" s="381"/>
      <c r="FPQ115" s="381"/>
      <c r="FPR115" s="381"/>
      <c r="FPS115" s="381"/>
      <c r="FPT115" s="381"/>
      <c r="FPU115" s="381"/>
      <c r="FPV115" s="381"/>
      <c r="FPW115" s="381"/>
      <c r="FPX115" s="381"/>
      <c r="FPY115" s="381"/>
      <c r="FPZ115" s="381"/>
      <c r="FQA115" s="381"/>
      <c r="FQB115" s="381"/>
      <c r="FQC115" s="381"/>
      <c r="FQD115" s="381"/>
      <c r="FQE115" s="381"/>
      <c r="FQF115" s="381"/>
      <c r="FQG115" s="381"/>
      <c r="FQH115" s="381"/>
      <c r="FQI115" s="381"/>
      <c r="FQJ115" s="381"/>
      <c r="FQK115" s="381"/>
      <c r="FQL115" s="381"/>
      <c r="FQM115" s="381"/>
      <c r="FQN115" s="381"/>
      <c r="FQO115" s="381"/>
      <c r="FQP115" s="381"/>
      <c r="FQQ115" s="381"/>
      <c r="FQR115" s="381"/>
      <c r="FQS115" s="381"/>
      <c r="FQT115" s="381"/>
      <c r="FQU115" s="381"/>
      <c r="FQV115" s="381"/>
      <c r="FQW115" s="381"/>
      <c r="FQX115" s="381"/>
      <c r="FQY115" s="381"/>
      <c r="FQZ115" s="381"/>
      <c r="FRA115" s="381"/>
      <c r="FRB115" s="381"/>
      <c r="FRC115" s="381"/>
      <c r="FRD115" s="381"/>
      <c r="FRE115" s="381"/>
      <c r="FRF115" s="381"/>
      <c r="FRG115" s="381"/>
      <c r="FRH115" s="381"/>
      <c r="FRI115" s="381"/>
      <c r="FRJ115" s="381"/>
      <c r="FRK115" s="381"/>
      <c r="FRL115" s="381"/>
      <c r="FRM115" s="381"/>
      <c r="FRN115" s="381"/>
      <c r="FRO115" s="381"/>
      <c r="FRP115" s="381"/>
      <c r="FRQ115" s="381"/>
      <c r="FRR115" s="381"/>
      <c r="FRS115" s="381"/>
      <c r="FRT115" s="381"/>
      <c r="FRU115" s="381"/>
      <c r="FRV115" s="381"/>
      <c r="FRW115" s="381"/>
      <c r="FRX115" s="381"/>
      <c r="FRY115" s="381"/>
      <c r="FRZ115" s="381"/>
      <c r="FSA115" s="381"/>
      <c r="FSB115" s="381"/>
      <c r="FSC115" s="381"/>
      <c r="FSD115" s="381"/>
      <c r="FSE115" s="381"/>
      <c r="FSF115" s="381"/>
      <c r="FSG115" s="381"/>
      <c r="FSH115" s="381"/>
      <c r="FSI115" s="381"/>
      <c r="FSJ115" s="381"/>
      <c r="FSK115" s="381"/>
      <c r="FSL115" s="381"/>
      <c r="FSM115" s="381"/>
      <c r="FSN115" s="381"/>
      <c r="FSO115" s="381"/>
      <c r="FSP115" s="381"/>
      <c r="FSQ115" s="381"/>
      <c r="FSR115" s="381"/>
      <c r="FSS115" s="381"/>
      <c r="FST115" s="381"/>
      <c r="FSU115" s="381"/>
      <c r="FSV115" s="381"/>
      <c r="FSW115" s="381"/>
      <c r="FSX115" s="381"/>
      <c r="FSY115" s="381"/>
      <c r="FSZ115" s="381"/>
      <c r="FTA115" s="381"/>
      <c r="FTB115" s="381"/>
      <c r="FTC115" s="381"/>
      <c r="FTD115" s="381"/>
      <c r="FTE115" s="381"/>
      <c r="FTF115" s="381"/>
      <c r="FTG115" s="381"/>
      <c r="FTH115" s="381"/>
      <c r="FTI115" s="381"/>
      <c r="FTJ115" s="381"/>
      <c r="FTK115" s="381"/>
      <c r="FTL115" s="381"/>
      <c r="FTM115" s="381"/>
      <c r="FTN115" s="381"/>
      <c r="FTO115" s="381"/>
      <c r="FTP115" s="381"/>
      <c r="FTQ115" s="381"/>
      <c r="FTR115" s="381"/>
      <c r="FTS115" s="381"/>
      <c r="FTT115" s="381"/>
      <c r="FTU115" s="381"/>
      <c r="FTV115" s="381"/>
      <c r="FTW115" s="381"/>
      <c r="FTX115" s="381"/>
      <c r="FTY115" s="381"/>
      <c r="FTZ115" s="381"/>
      <c r="FUA115" s="381"/>
      <c r="FUB115" s="381"/>
      <c r="FUC115" s="381"/>
      <c r="FUD115" s="381"/>
      <c r="FUE115" s="381"/>
      <c r="FUF115" s="381"/>
      <c r="FUG115" s="381"/>
      <c r="FUH115" s="381"/>
      <c r="FUI115" s="381"/>
      <c r="FUJ115" s="381"/>
      <c r="FUK115" s="381"/>
      <c r="FUL115" s="381"/>
      <c r="FUM115" s="381"/>
      <c r="FUN115" s="381"/>
      <c r="FUO115" s="381"/>
      <c r="FUP115" s="381"/>
      <c r="FUQ115" s="381"/>
      <c r="FUR115" s="381"/>
      <c r="FUS115" s="381"/>
      <c r="FUT115" s="381"/>
      <c r="FUU115" s="381"/>
      <c r="FUV115" s="381"/>
      <c r="FUW115" s="381"/>
      <c r="FUX115" s="381"/>
      <c r="FUY115" s="381"/>
      <c r="FUZ115" s="381"/>
      <c r="FVA115" s="381"/>
      <c r="FVB115" s="381"/>
      <c r="FVC115" s="381"/>
      <c r="FVD115" s="381"/>
      <c r="FVE115" s="381"/>
      <c r="FVF115" s="381"/>
      <c r="FVG115" s="381"/>
      <c r="FVH115" s="381"/>
      <c r="FVI115" s="381"/>
      <c r="FVJ115" s="381"/>
      <c r="FVK115" s="381"/>
      <c r="FVL115" s="381"/>
      <c r="FVM115" s="381"/>
      <c r="FVN115" s="381"/>
      <c r="FVO115" s="381"/>
      <c r="FVP115" s="381"/>
      <c r="FVQ115" s="381"/>
      <c r="FVR115" s="381"/>
      <c r="FVS115" s="381"/>
      <c r="FVT115" s="381"/>
      <c r="FVU115" s="381"/>
      <c r="FVV115" s="381"/>
      <c r="FVW115" s="381"/>
      <c r="FVX115" s="381"/>
      <c r="FVY115" s="381"/>
      <c r="FVZ115" s="381"/>
      <c r="FWA115" s="381"/>
      <c r="FWB115" s="381"/>
      <c r="FWC115" s="381"/>
      <c r="FWD115" s="381"/>
      <c r="FWE115" s="381"/>
      <c r="FWF115" s="381"/>
      <c r="FWG115" s="381"/>
      <c r="FWH115" s="381"/>
      <c r="FWI115" s="381"/>
      <c r="FWJ115" s="381"/>
      <c r="FWK115" s="381"/>
      <c r="FWL115" s="381"/>
      <c r="FWM115" s="381"/>
      <c r="FWN115" s="381"/>
      <c r="FWO115" s="381"/>
      <c r="FWP115" s="381"/>
      <c r="FWQ115" s="381"/>
      <c r="FWR115" s="381"/>
      <c r="FWS115" s="381"/>
      <c r="FWT115" s="381"/>
      <c r="FWU115" s="381"/>
      <c r="FWV115" s="381"/>
      <c r="FWW115" s="381"/>
      <c r="FWX115" s="381"/>
      <c r="FWY115" s="381"/>
      <c r="FWZ115" s="381"/>
      <c r="FXA115" s="381"/>
      <c r="FXB115" s="381"/>
      <c r="FXC115" s="381"/>
      <c r="FXD115" s="381"/>
      <c r="FXE115" s="381"/>
      <c r="FXF115" s="381"/>
      <c r="FXG115" s="381"/>
      <c r="FXH115" s="381"/>
      <c r="FXI115" s="381"/>
      <c r="FXJ115" s="381"/>
      <c r="FXK115" s="381"/>
      <c r="FXL115" s="381"/>
      <c r="FXM115" s="381"/>
      <c r="FXN115" s="381"/>
      <c r="FXO115" s="381"/>
      <c r="FXP115" s="381"/>
      <c r="FXQ115" s="381"/>
      <c r="FXR115" s="381"/>
      <c r="FXS115" s="381"/>
      <c r="FXT115" s="381"/>
      <c r="FXU115" s="381"/>
      <c r="FXV115" s="381"/>
      <c r="FXW115" s="381"/>
      <c r="FXX115" s="381"/>
      <c r="FXY115" s="381"/>
      <c r="FXZ115" s="381"/>
      <c r="FYA115" s="381"/>
      <c r="FYB115" s="381"/>
      <c r="FYC115" s="381"/>
      <c r="FYD115" s="381"/>
      <c r="FYE115" s="381"/>
      <c r="FYF115" s="381"/>
      <c r="FYG115" s="381"/>
      <c r="FYH115" s="381"/>
      <c r="FYI115" s="381"/>
      <c r="FYJ115" s="381"/>
      <c r="FYK115" s="381"/>
      <c r="FYL115" s="381"/>
      <c r="FYM115" s="381"/>
      <c r="FYN115" s="381"/>
      <c r="FYO115" s="381"/>
      <c r="FYP115" s="381"/>
      <c r="FYQ115" s="381"/>
      <c r="FYR115" s="381"/>
      <c r="FYS115" s="381"/>
      <c r="FYT115" s="381"/>
      <c r="FYU115" s="381"/>
      <c r="FYV115" s="381"/>
      <c r="FYW115" s="381"/>
      <c r="FYX115" s="381"/>
      <c r="FYY115" s="381"/>
      <c r="FYZ115" s="381"/>
      <c r="FZA115" s="381"/>
      <c r="FZB115" s="381"/>
      <c r="FZC115" s="381"/>
      <c r="FZD115" s="381"/>
      <c r="FZE115" s="381"/>
      <c r="FZF115" s="381"/>
      <c r="FZG115" s="381"/>
      <c r="FZH115" s="381"/>
      <c r="FZI115" s="381"/>
      <c r="FZJ115" s="381"/>
      <c r="FZK115" s="381"/>
      <c r="FZL115" s="381"/>
      <c r="FZM115" s="381"/>
      <c r="FZN115" s="381"/>
      <c r="FZO115" s="381"/>
      <c r="FZP115" s="381"/>
      <c r="FZQ115" s="381"/>
      <c r="FZR115" s="381"/>
      <c r="FZS115" s="381"/>
      <c r="FZT115" s="381"/>
      <c r="FZU115" s="381"/>
      <c r="FZV115" s="381"/>
      <c r="FZW115" s="381"/>
      <c r="FZX115" s="381"/>
      <c r="FZY115" s="381"/>
      <c r="FZZ115" s="381"/>
      <c r="GAA115" s="381"/>
      <c r="GAB115" s="381"/>
      <c r="GAC115" s="381"/>
      <c r="GAD115" s="381"/>
      <c r="GAE115" s="381"/>
      <c r="GAF115" s="381"/>
      <c r="GAG115" s="381"/>
      <c r="GAH115" s="381"/>
      <c r="GAI115" s="381"/>
      <c r="GAJ115" s="381"/>
      <c r="GAK115" s="381"/>
      <c r="GAL115" s="381"/>
      <c r="GAM115" s="381"/>
      <c r="GAN115" s="381"/>
      <c r="GAO115" s="381"/>
      <c r="GAP115" s="381"/>
      <c r="GAQ115" s="381"/>
      <c r="GAR115" s="381"/>
      <c r="GAS115" s="381"/>
      <c r="GAT115" s="381"/>
      <c r="GAU115" s="381"/>
      <c r="GAV115" s="381"/>
      <c r="GAW115" s="381"/>
      <c r="GAX115" s="381"/>
      <c r="GAY115" s="381"/>
      <c r="GAZ115" s="381"/>
      <c r="GBA115" s="381"/>
      <c r="GBB115" s="381"/>
      <c r="GBC115" s="381"/>
      <c r="GBD115" s="381"/>
      <c r="GBE115" s="381"/>
      <c r="GBF115" s="381"/>
      <c r="GBG115" s="381"/>
      <c r="GBH115" s="381"/>
      <c r="GBI115" s="381"/>
      <c r="GBJ115" s="381"/>
      <c r="GBK115" s="381"/>
      <c r="GBL115" s="381"/>
      <c r="GBM115" s="381"/>
      <c r="GBN115" s="381"/>
      <c r="GBO115" s="381"/>
      <c r="GBP115" s="381"/>
      <c r="GBQ115" s="381"/>
      <c r="GBR115" s="381"/>
      <c r="GBS115" s="381"/>
      <c r="GBT115" s="381"/>
      <c r="GBU115" s="381"/>
      <c r="GBV115" s="381"/>
      <c r="GBW115" s="381"/>
      <c r="GBX115" s="381"/>
      <c r="GBY115" s="381"/>
      <c r="GBZ115" s="381"/>
      <c r="GCA115" s="381"/>
      <c r="GCB115" s="381"/>
      <c r="GCC115" s="381"/>
      <c r="GCD115" s="381"/>
      <c r="GCE115" s="381"/>
      <c r="GCF115" s="381"/>
      <c r="GCG115" s="381"/>
      <c r="GCH115" s="381"/>
      <c r="GCI115" s="381"/>
      <c r="GCJ115" s="381"/>
      <c r="GCK115" s="381"/>
      <c r="GCL115" s="381"/>
      <c r="GCM115" s="381"/>
      <c r="GCN115" s="381"/>
      <c r="GCO115" s="381"/>
      <c r="GCP115" s="381"/>
      <c r="GCQ115" s="381"/>
      <c r="GCR115" s="381"/>
      <c r="GCS115" s="381"/>
      <c r="GCT115" s="381"/>
      <c r="GCU115" s="381"/>
      <c r="GCV115" s="381"/>
      <c r="GCW115" s="381"/>
      <c r="GCX115" s="381"/>
      <c r="GCY115" s="381"/>
      <c r="GCZ115" s="381"/>
      <c r="GDA115" s="381"/>
      <c r="GDB115" s="381"/>
      <c r="GDC115" s="381"/>
      <c r="GDD115" s="381"/>
      <c r="GDE115" s="381"/>
      <c r="GDF115" s="381"/>
      <c r="GDG115" s="381"/>
      <c r="GDH115" s="381"/>
      <c r="GDI115" s="381"/>
      <c r="GDJ115" s="381"/>
      <c r="GDK115" s="381"/>
      <c r="GDL115" s="381"/>
      <c r="GDM115" s="381"/>
      <c r="GDN115" s="381"/>
      <c r="GDO115" s="381"/>
      <c r="GDP115" s="381"/>
      <c r="GDQ115" s="381"/>
      <c r="GDR115" s="381"/>
      <c r="GDS115" s="381"/>
      <c r="GDT115" s="381"/>
      <c r="GDU115" s="381"/>
      <c r="GDV115" s="381"/>
      <c r="GDW115" s="381"/>
      <c r="GDX115" s="381"/>
      <c r="GDY115" s="381"/>
      <c r="GDZ115" s="381"/>
      <c r="GEA115" s="381"/>
      <c r="GEB115" s="381"/>
      <c r="GEC115" s="381"/>
      <c r="GED115" s="381"/>
      <c r="GEE115" s="381"/>
      <c r="GEF115" s="381"/>
      <c r="GEG115" s="381"/>
      <c r="GEH115" s="381"/>
      <c r="GEI115" s="381"/>
      <c r="GEJ115" s="381"/>
      <c r="GEK115" s="381"/>
      <c r="GEL115" s="381"/>
      <c r="GEM115" s="381"/>
      <c r="GEN115" s="381"/>
      <c r="GEO115" s="381"/>
      <c r="GEP115" s="381"/>
      <c r="GEQ115" s="381"/>
      <c r="GER115" s="381"/>
      <c r="GES115" s="381"/>
      <c r="GET115" s="381"/>
      <c r="GEU115" s="381"/>
      <c r="GEV115" s="381"/>
      <c r="GEW115" s="381"/>
      <c r="GEX115" s="381"/>
      <c r="GEY115" s="381"/>
      <c r="GEZ115" s="381"/>
      <c r="GFA115" s="381"/>
      <c r="GFB115" s="381"/>
      <c r="GFC115" s="381"/>
      <c r="GFD115" s="381"/>
      <c r="GFE115" s="381"/>
      <c r="GFF115" s="381"/>
      <c r="GFG115" s="381"/>
      <c r="GFH115" s="381"/>
      <c r="GFI115" s="381"/>
      <c r="GFJ115" s="381"/>
      <c r="GFK115" s="381"/>
      <c r="GFL115" s="381"/>
      <c r="GFM115" s="381"/>
      <c r="GFN115" s="381"/>
      <c r="GFO115" s="381"/>
      <c r="GFP115" s="381"/>
      <c r="GFQ115" s="381"/>
      <c r="GFR115" s="381"/>
      <c r="GFS115" s="381"/>
      <c r="GFT115" s="381"/>
      <c r="GFU115" s="381"/>
      <c r="GFV115" s="381"/>
      <c r="GFW115" s="381"/>
      <c r="GFX115" s="381"/>
      <c r="GFY115" s="381"/>
      <c r="GFZ115" s="381"/>
      <c r="GGA115" s="381"/>
      <c r="GGB115" s="381"/>
      <c r="GGC115" s="381"/>
      <c r="GGD115" s="381"/>
      <c r="GGE115" s="381"/>
      <c r="GGF115" s="381"/>
      <c r="GGG115" s="381"/>
      <c r="GGH115" s="381"/>
      <c r="GGI115" s="381"/>
      <c r="GGJ115" s="381"/>
      <c r="GGK115" s="381"/>
      <c r="GGL115" s="381"/>
      <c r="GGM115" s="381"/>
      <c r="GGN115" s="381"/>
      <c r="GGO115" s="381"/>
      <c r="GGP115" s="381"/>
      <c r="GGQ115" s="381"/>
      <c r="GGR115" s="381"/>
      <c r="GGS115" s="381"/>
      <c r="GGT115" s="381"/>
      <c r="GGU115" s="381"/>
      <c r="GGV115" s="381"/>
      <c r="GGW115" s="381"/>
      <c r="GGX115" s="381"/>
      <c r="GGY115" s="381"/>
      <c r="GGZ115" s="381"/>
      <c r="GHA115" s="381"/>
      <c r="GHB115" s="381"/>
      <c r="GHC115" s="381"/>
      <c r="GHD115" s="381"/>
      <c r="GHE115" s="381"/>
      <c r="GHF115" s="381"/>
      <c r="GHG115" s="381"/>
      <c r="GHH115" s="381"/>
      <c r="GHI115" s="381"/>
      <c r="GHJ115" s="381"/>
      <c r="GHK115" s="381"/>
      <c r="GHL115" s="381"/>
      <c r="GHM115" s="381"/>
      <c r="GHN115" s="381"/>
      <c r="GHO115" s="381"/>
      <c r="GHP115" s="381"/>
      <c r="GHQ115" s="381"/>
      <c r="GHR115" s="381"/>
      <c r="GHS115" s="381"/>
      <c r="GHT115" s="381"/>
      <c r="GHU115" s="381"/>
      <c r="GHV115" s="381"/>
      <c r="GHW115" s="381"/>
      <c r="GHX115" s="381"/>
      <c r="GHY115" s="381"/>
      <c r="GHZ115" s="381"/>
      <c r="GIA115" s="381"/>
      <c r="GIB115" s="381"/>
      <c r="GIC115" s="381"/>
      <c r="GID115" s="381"/>
      <c r="GIE115" s="381"/>
      <c r="GIF115" s="381"/>
      <c r="GIG115" s="381"/>
      <c r="GIH115" s="381"/>
      <c r="GII115" s="381"/>
      <c r="GIJ115" s="381"/>
      <c r="GIK115" s="381"/>
      <c r="GIL115" s="381"/>
      <c r="GIM115" s="381"/>
      <c r="GIN115" s="381"/>
      <c r="GIO115" s="381"/>
      <c r="GIP115" s="381"/>
      <c r="GIQ115" s="381"/>
      <c r="GIR115" s="381"/>
      <c r="GIS115" s="381"/>
      <c r="GIT115" s="381"/>
      <c r="GIU115" s="381"/>
      <c r="GIV115" s="381"/>
      <c r="GIW115" s="381"/>
      <c r="GIX115" s="381"/>
      <c r="GIY115" s="381"/>
      <c r="GIZ115" s="381"/>
      <c r="GJA115" s="381"/>
      <c r="GJB115" s="381"/>
      <c r="GJC115" s="381"/>
      <c r="GJD115" s="381"/>
      <c r="GJE115" s="381"/>
      <c r="GJF115" s="381"/>
      <c r="GJG115" s="381"/>
      <c r="GJH115" s="381"/>
      <c r="GJI115" s="381"/>
      <c r="GJJ115" s="381"/>
      <c r="GJK115" s="381"/>
      <c r="GJL115" s="381"/>
      <c r="GJM115" s="381"/>
      <c r="GJN115" s="381"/>
      <c r="GJO115" s="381"/>
      <c r="GJP115" s="381"/>
      <c r="GJQ115" s="381"/>
      <c r="GJR115" s="381"/>
      <c r="GJS115" s="381"/>
      <c r="GJT115" s="381"/>
      <c r="GJU115" s="381"/>
      <c r="GJV115" s="381"/>
      <c r="GJW115" s="381"/>
      <c r="GJX115" s="381"/>
      <c r="GJY115" s="381"/>
      <c r="GJZ115" s="381"/>
      <c r="GKA115" s="381"/>
      <c r="GKB115" s="381"/>
      <c r="GKC115" s="381"/>
      <c r="GKD115" s="381"/>
      <c r="GKE115" s="381"/>
      <c r="GKF115" s="381"/>
      <c r="GKG115" s="381"/>
      <c r="GKH115" s="381"/>
      <c r="GKI115" s="381"/>
      <c r="GKJ115" s="381"/>
      <c r="GKK115" s="381"/>
      <c r="GKL115" s="381"/>
      <c r="GKM115" s="381"/>
      <c r="GKN115" s="381"/>
      <c r="GKO115" s="381"/>
      <c r="GKP115" s="381"/>
      <c r="GKQ115" s="381"/>
      <c r="GKR115" s="381"/>
      <c r="GKS115" s="381"/>
      <c r="GKT115" s="381"/>
      <c r="GKU115" s="381"/>
      <c r="GKV115" s="381"/>
      <c r="GKW115" s="381"/>
      <c r="GKX115" s="381"/>
      <c r="GKY115" s="381"/>
      <c r="GKZ115" s="381"/>
      <c r="GLA115" s="381"/>
      <c r="GLB115" s="381"/>
      <c r="GLC115" s="381"/>
      <c r="GLD115" s="381"/>
      <c r="GLE115" s="381"/>
      <c r="GLF115" s="381"/>
      <c r="GLG115" s="381"/>
      <c r="GLH115" s="381"/>
      <c r="GLI115" s="381"/>
      <c r="GLJ115" s="381"/>
      <c r="GLK115" s="381"/>
      <c r="GLL115" s="381"/>
      <c r="GLM115" s="381"/>
      <c r="GLN115" s="381"/>
      <c r="GLO115" s="381"/>
      <c r="GLP115" s="381"/>
      <c r="GLQ115" s="381"/>
      <c r="GLR115" s="381"/>
      <c r="GLS115" s="381"/>
      <c r="GLT115" s="381"/>
      <c r="GLU115" s="381"/>
      <c r="GLV115" s="381"/>
      <c r="GLW115" s="381"/>
      <c r="GLX115" s="381"/>
      <c r="GLY115" s="381"/>
      <c r="GLZ115" s="381"/>
      <c r="GMA115" s="381"/>
      <c r="GMB115" s="381"/>
      <c r="GMC115" s="381"/>
      <c r="GMD115" s="381"/>
      <c r="GME115" s="381"/>
      <c r="GMF115" s="381"/>
      <c r="GMG115" s="381"/>
      <c r="GMH115" s="381"/>
      <c r="GMI115" s="381"/>
      <c r="GMJ115" s="381"/>
      <c r="GMK115" s="381"/>
      <c r="GML115" s="381"/>
      <c r="GMM115" s="381"/>
      <c r="GMN115" s="381"/>
      <c r="GMO115" s="381"/>
      <c r="GMP115" s="381"/>
      <c r="GMQ115" s="381"/>
      <c r="GMR115" s="381"/>
      <c r="GMS115" s="381"/>
      <c r="GMT115" s="381"/>
      <c r="GMU115" s="381"/>
      <c r="GMV115" s="381"/>
      <c r="GMW115" s="381"/>
      <c r="GMX115" s="381"/>
      <c r="GMY115" s="381"/>
      <c r="GMZ115" s="381"/>
      <c r="GNA115" s="381"/>
      <c r="GNB115" s="381"/>
      <c r="GNC115" s="381"/>
      <c r="GND115" s="381"/>
      <c r="GNE115" s="381"/>
      <c r="GNF115" s="381"/>
      <c r="GNG115" s="381"/>
      <c r="GNH115" s="381"/>
      <c r="GNI115" s="381"/>
      <c r="GNJ115" s="381"/>
      <c r="GNK115" s="381"/>
      <c r="GNL115" s="381"/>
      <c r="GNM115" s="381"/>
      <c r="GNN115" s="381"/>
      <c r="GNO115" s="381"/>
      <c r="GNP115" s="381"/>
      <c r="GNQ115" s="381"/>
      <c r="GNR115" s="381"/>
      <c r="GNS115" s="381"/>
      <c r="GNT115" s="381"/>
      <c r="GNU115" s="381"/>
      <c r="GNV115" s="381"/>
      <c r="GNW115" s="381"/>
      <c r="GNX115" s="381"/>
      <c r="GNY115" s="381"/>
      <c r="GNZ115" s="381"/>
      <c r="GOA115" s="381"/>
      <c r="GOB115" s="381"/>
      <c r="GOC115" s="381"/>
      <c r="GOD115" s="381"/>
      <c r="GOE115" s="381"/>
      <c r="GOF115" s="381"/>
      <c r="GOG115" s="381"/>
      <c r="GOH115" s="381"/>
      <c r="GOI115" s="381"/>
      <c r="GOJ115" s="381"/>
      <c r="GOK115" s="381"/>
      <c r="GOL115" s="381"/>
      <c r="GOM115" s="381"/>
      <c r="GON115" s="381"/>
      <c r="GOO115" s="381"/>
      <c r="GOP115" s="381"/>
      <c r="GOQ115" s="381"/>
      <c r="GOR115" s="381"/>
      <c r="GOS115" s="381"/>
      <c r="GOT115" s="381"/>
      <c r="GOU115" s="381"/>
      <c r="GOV115" s="381"/>
      <c r="GOW115" s="381"/>
      <c r="GOX115" s="381"/>
      <c r="GOY115" s="381"/>
      <c r="GOZ115" s="381"/>
      <c r="GPA115" s="381"/>
      <c r="GPB115" s="381"/>
      <c r="GPC115" s="381"/>
      <c r="GPD115" s="381"/>
      <c r="GPE115" s="381"/>
      <c r="GPF115" s="381"/>
      <c r="GPG115" s="381"/>
      <c r="GPH115" s="381"/>
      <c r="GPI115" s="381"/>
      <c r="GPJ115" s="381"/>
      <c r="GPK115" s="381"/>
      <c r="GPL115" s="381"/>
      <c r="GPM115" s="381"/>
      <c r="GPN115" s="381"/>
      <c r="GPO115" s="381"/>
      <c r="GPP115" s="381"/>
      <c r="GPQ115" s="381"/>
      <c r="GPR115" s="381"/>
      <c r="GPS115" s="381"/>
      <c r="GPT115" s="381"/>
      <c r="GPU115" s="381"/>
      <c r="GPV115" s="381"/>
      <c r="GPW115" s="381"/>
      <c r="GPX115" s="381"/>
      <c r="GPY115" s="381"/>
      <c r="GPZ115" s="381"/>
      <c r="GQA115" s="381"/>
      <c r="GQB115" s="381"/>
      <c r="GQC115" s="381"/>
      <c r="GQD115" s="381"/>
      <c r="GQE115" s="381"/>
      <c r="GQF115" s="381"/>
      <c r="GQG115" s="381"/>
      <c r="GQH115" s="381"/>
      <c r="GQI115" s="381"/>
      <c r="GQJ115" s="381"/>
      <c r="GQK115" s="381"/>
      <c r="GQL115" s="381"/>
      <c r="GQM115" s="381"/>
      <c r="GQN115" s="381"/>
      <c r="GQO115" s="381"/>
      <c r="GQP115" s="381"/>
      <c r="GQQ115" s="381"/>
      <c r="GQR115" s="381"/>
      <c r="GQS115" s="381"/>
      <c r="GQT115" s="381"/>
      <c r="GQU115" s="381"/>
      <c r="GQV115" s="381"/>
      <c r="GQW115" s="381"/>
      <c r="GQX115" s="381"/>
      <c r="GQY115" s="381"/>
      <c r="GQZ115" s="381"/>
      <c r="GRA115" s="381"/>
      <c r="GRB115" s="381"/>
      <c r="GRC115" s="381"/>
      <c r="GRD115" s="381"/>
      <c r="GRE115" s="381"/>
      <c r="GRF115" s="381"/>
      <c r="GRG115" s="381"/>
      <c r="GRH115" s="381"/>
      <c r="GRI115" s="381"/>
      <c r="GRJ115" s="381"/>
      <c r="GRK115" s="381"/>
      <c r="GRL115" s="381"/>
      <c r="GRM115" s="381"/>
      <c r="GRN115" s="381"/>
      <c r="GRO115" s="381"/>
      <c r="GRP115" s="381"/>
      <c r="GRQ115" s="381"/>
      <c r="GRR115" s="381"/>
      <c r="GRS115" s="381"/>
      <c r="GRT115" s="381"/>
      <c r="GRU115" s="381"/>
      <c r="GRV115" s="381"/>
      <c r="GRW115" s="381"/>
      <c r="GRX115" s="381"/>
      <c r="GRY115" s="381"/>
      <c r="GRZ115" s="381"/>
      <c r="GSA115" s="381"/>
      <c r="GSB115" s="381"/>
      <c r="GSC115" s="381"/>
      <c r="GSD115" s="381"/>
      <c r="GSE115" s="381"/>
      <c r="GSF115" s="381"/>
      <c r="GSG115" s="381"/>
      <c r="GSH115" s="381"/>
      <c r="GSI115" s="381"/>
      <c r="GSJ115" s="381"/>
      <c r="GSK115" s="381"/>
      <c r="GSL115" s="381"/>
      <c r="GSM115" s="381"/>
      <c r="GSN115" s="381"/>
      <c r="GSO115" s="381"/>
      <c r="GSP115" s="381"/>
      <c r="GSQ115" s="381"/>
      <c r="GSR115" s="381"/>
      <c r="GSS115" s="381"/>
      <c r="GST115" s="381"/>
      <c r="GSU115" s="381"/>
      <c r="GSV115" s="381"/>
      <c r="GSW115" s="381"/>
      <c r="GSX115" s="381"/>
      <c r="GSY115" s="381"/>
      <c r="GSZ115" s="381"/>
      <c r="GTA115" s="381"/>
      <c r="GTB115" s="381"/>
      <c r="GTC115" s="381"/>
      <c r="GTD115" s="381"/>
      <c r="GTE115" s="381"/>
      <c r="GTF115" s="381"/>
      <c r="GTG115" s="381"/>
      <c r="GTH115" s="381"/>
      <c r="GTI115" s="381"/>
      <c r="GTJ115" s="381"/>
      <c r="GTK115" s="381"/>
      <c r="GTL115" s="381"/>
      <c r="GTM115" s="381"/>
      <c r="GTN115" s="381"/>
      <c r="GTO115" s="381"/>
      <c r="GTP115" s="381"/>
      <c r="GTQ115" s="381"/>
      <c r="GTR115" s="381"/>
      <c r="GTS115" s="381"/>
      <c r="GTT115" s="381"/>
      <c r="GTU115" s="381"/>
      <c r="GTV115" s="381"/>
      <c r="GTW115" s="381"/>
      <c r="GTX115" s="381"/>
      <c r="GTY115" s="381"/>
      <c r="GTZ115" s="381"/>
      <c r="GUA115" s="381"/>
      <c r="GUB115" s="381"/>
      <c r="GUC115" s="381"/>
      <c r="GUD115" s="381"/>
      <c r="GUE115" s="381"/>
      <c r="GUF115" s="381"/>
      <c r="GUG115" s="381"/>
      <c r="GUH115" s="381"/>
      <c r="GUI115" s="381"/>
      <c r="GUJ115" s="381"/>
      <c r="GUK115" s="381"/>
      <c r="GUL115" s="381"/>
      <c r="GUM115" s="381"/>
      <c r="GUN115" s="381"/>
      <c r="GUO115" s="381"/>
      <c r="GUP115" s="381"/>
      <c r="GUQ115" s="381"/>
      <c r="GUR115" s="381"/>
      <c r="GUS115" s="381"/>
      <c r="GUT115" s="381"/>
      <c r="GUU115" s="381"/>
      <c r="GUV115" s="381"/>
      <c r="GUW115" s="381"/>
      <c r="GUX115" s="381"/>
      <c r="GUY115" s="381"/>
      <c r="GUZ115" s="381"/>
      <c r="GVA115" s="381"/>
      <c r="GVB115" s="381"/>
      <c r="GVC115" s="381"/>
      <c r="GVD115" s="381"/>
      <c r="GVE115" s="381"/>
      <c r="GVF115" s="381"/>
      <c r="GVG115" s="381"/>
      <c r="GVH115" s="381"/>
      <c r="GVI115" s="381"/>
      <c r="GVJ115" s="381"/>
      <c r="GVK115" s="381"/>
      <c r="GVL115" s="381"/>
      <c r="GVM115" s="381"/>
      <c r="GVN115" s="381"/>
      <c r="GVO115" s="381"/>
      <c r="GVP115" s="381"/>
      <c r="GVQ115" s="381"/>
      <c r="GVR115" s="381"/>
      <c r="GVS115" s="381"/>
      <c r="GVT115" s="381"/>
      <c r="GVU115" s="381"/>
      <c r="GVV115" s="381"/>
      <c r="GVW115" s="381"/>
      <c r="GVX115" s="381"/>
      <c r="GVY115" s="381"/>
      <c r="GVZ115" s="381"/>
      <c r="GWA115" s="381"/>
      <c r="GWB115" s="381"/>
      <c r="GWC115" s="381"/>
      <c r="GWD115" s="381"/>
      <c r="GWE115" s="381"/>
      <c r="GWF115" s="381"/>
      <c r="GWG115" s="381"/>
      <c r="GWH115" s="381"/>
      <c r="GWI115" s="381"/>
      <c r="GWJ115" s="381"/>
      <c r="GWK115" s="381"/>
      <c r="GWL115" s="381"/>
      <c r="GWM115" s="381"/>
      <c r="GWN115" s="381"/>
      <c r="GWO115" s="381"/>
      <c r="GWP115" s="381"/>
      <c r="GWQ115" s="381"/>
      <c r="GWR115" s="381"/>
      <c r="GWS115" s="381"/>
      <c r="GWT115" s="381"/>
      <c r="GWU115" s="381"/>
      <c r="GWV115" s="381"/>
      <c r="GWW115" s="381"/>
      <c r="GWX115" s="381"/>
      <c r="GWY115" s="381"/>
      <c r="GWZ115" s="381"/>
      <c r="GXA115" s="381"/>
      <c r="GXB115" s="381"/>
      <c r="GXC115" s="381"/>
      <c r="GXD115" s="381"/>
      <c r="GXE115" s="381"/>
      <c r="GXF115" s="381"/>
      <c r="GXG115" s="381"/>
      <c r="GXH115" s="381"/>
      <c r="GXI115" s="381"/>
      <c r="GXJ115" s="381"/>
      <c r="GXK115" s="381"/>
      <c r="GXL115" s="381"/>
      <c r="GXM115" s="381"/>
      <c r="GXN115" s="381"/>
      <c r="GXO115" s="381"/>
      <c r="GXP115" s="381"/>
      <c r="GXQ115" s="381"/>
      <c r="GXR115" s="381"/>
      <c r="GXS115" s="381"/>
      <c r="GXT115" s="381"/>
      <c r="GXU115" s="381"/>
      <c r="GXV115" s="381"/>
      <c r="GXW115" s="381"/>
      <c r="GXX115" s="381"/>
      <c r="GXY115" s="381"/>
      <c r="GXZ115" s="381"/>
      <c r="GYA115" s="381"/>
      <c r="GYB115" s="381"/>
      <c r="GYC115" s="381"/>
      <c r="GYD115" s="381"/>
      <c r="GYE115" s="381"/>
      <c r="GYF115" s="381"/>
      <c r="GYG115" s="381"/>
      <c r="GYH115" s="381"/>
      <c r="GYI115" s="381"/>
      <c r="GYJ115" s="381"/>
      <c r="GYK115" s="381"/>
      <c r="GYL115" s="381"/>
      <c r="GYM115" s="381"/>
      <c r="GYN115" s="381"/>
      <c r="GYO115" s="381"/>
      <c r="GYP115" s="381"/>
      <c r="GYQ115" s="381"/>
      <c r="GYR115" s="381"/>
      <c r="GYS115" s="381"/>
      <c r="GYT115" s="381"/>
      <c r="GYU115" s="381"/>
      <c r="GYV115" s="381"/>
      <c r="GYW115" s="381"/>
      <c r="GYX115" s="381"/>
      <c r="GYY115" s="381"/>
      <c r="GYZ115" s="381"/>
      <c r="GZA115" s="381"/>
      <c r="GZB115" s="381"/>
      <c r="GZC115" s="381"/>
      <c r="GZD115" s="381"/>
      <c r="GZE115" s="381"/>
      <c r="GZF115" s="381"/>
      <c r="GZG115" s="381"/>
      <c r="GZH115" s="381"/>
      <c r="GZI115" s="381"/>
      <c r="GZJ115" s="381"/>
      <c r="GZK115" s="381"/>
      <c r="GZL115" s="381"/>
      <c r="GZM115" s="381"/>
      <c r="GZN115" s="381"/>
      <c r="GZO115" s="381"/>
      <c r="GZP115" s="381"/>
      <c r="GZQ115" s="381"/>
      <c r="GZR115" s="381"/>
      <c r="GZS115" s="381"/>
      <c r="GZT115" s="381"/>
      <c r="GZU115" s="381"/>
      <c r="GZV115" s="381"/>
      <c r="GZW115" s="381"/>
      <c r="GZX115" s="381"/>
      <c r="GZY115" s="381"/>
      <c r="GZZ115" s="381"/>
      <c r="HAA115" s="381"/>
      <c r="HAB115" s="381"/>
      <c r="HAC115" s="381"/>
      <c r="HAD115" s="381"/>
      <c r="HAE115" s="381"/>
      <c r="HAF115" s="381"/>
      <c r="HAG115" s="381"/>
      <c r="HAH115" s="381"/>
      <c r="HAI115" s="381"/>
      <c r="HAJ115" s="381"/>
      <c r="HAK115" s="381"/>
      <c r="HAL115" s="381"/>
      <c r="HAM115" s="381"/>
      <c r="HAN115" s="381"/>
      <c r="HAO115" s="381"/>
      <c r="HAP115" s="381"/>
      <c r="HAQ115" s="381"/>
      <c r="HAR115" s="381"/>
      <c r="HAS115" s="381"/>
      <c r="HAT115" s="381"/>
      <c r="HAU115" s="381"/>
      <c r="HAV115" s="381"/>
      <c r="HAW115" s="381"/>
      <c r="HAX115" s="381"/>
      <c r="HAY115" s="381"/>
      <c r="HAZ115" s="381"/>
      <c r="HBA115" s="381"/>
      <c r="HBB115" s="381"/>
      <c r="HBC115" s="381"/>
      <c r="HBD115" s="381"/>
      <c r="HBE115" s="381"/>
      <c r="HBF115" s="381"/>
      <c r="HBG115" s="381"/>
      <c r="HBH115" s="381"/>
      <c r="HBI115" s="381"/>
      <c r="HBJ115" s="381"/>
      <c r="HBK115" s="381"/>
      <c r="HBL115" s="381"/>
      <c r="HBM115" s="381"/>
      <c r="HBN115" s="381"/>
      <c r="HBO115" s="381"/>
      <c r="HBP115" s="381"/>
      <c r="HBQ115" s="381"/>
      <c r="HBR115" s="381"/>
      <c r="HBS115" s="381"/>
      <c r="HBT115" s="381"/>
      <c r="HBU115" s="381"/>
      <c r="HBV115" s="381"/>
      <c r="HBW115" s="381"/>
      <c r="HBX115" s="381"/>
      <c r="HBY115" s="381"/>
      <c r="HBZ115" s="381"/>
      <c r="HCA115" s="381"/>
      <c r="HCB115" s="381"/>
      <c r="HCC115" s="381"/>
      <c r="HCD115" s="381"/>
      <c r="HCE115" s="381"/>
      <c r="HCF115" s="381"/>
      <c r="HCG115" s="381"/>
      <c r="HCH115" s="381"/>
      <c r="HCI115" s="381"/>
      <c r="HCJ115" s="381"/>
      <c r="HCK115" s="381"/>
      <c r="HCL115" s="381"/>
      <c r="HCM115" s="381"/>
      <c r="HCN115" s="381"/>
      <c r="HCO115" s="381"/>
      <c r="HCP115" s="381"/>
      <c r="HCQ115" s="381"/>
      <c r="HCR115" s="381"/>
      <c r="HCS115" s="381"/>
      <c r="HCT115" s="381"/>
      <c r="HCU115" s="381"/>
      <c r="HCV115" s="381"/>
      <c r="HCW115" s="381"/>
      <c r="HCX115" s="381"/>
      <c r="HCY115" s="381"/>
      <c r="HCZ115" s="381"/>
      <c r="HDA115" s="381"/>
      <c r="HDB115" s="381"/>
      <c r="HDC115" s="381"/>
      <c r="HDD115" s="381"/>
      <c r="HDE115" s="381"/>
      <c r="HDF115" s="381"/>
      <c r="HDG115" s="381"/>
      <c r="HDH115" s="381"/>
      <c r="HDI115" s="381"/>
      <c r="HDJ115" s="381"/>
      <c r="HDK115" s="381"/>
      <c r="HDL115" s="381"/>
      <c r="HDM115" s="381"/>
      <c r="HDN115" s="381"/>
      <c r="HDO115" s="381"/>
      <c r="HDP115" s="381"/>
      <c r="HDQ115" s="381"/>
      <c r="HDR115" s="381"/>
      <c r="HDS115" s="381"/>
      <c r="HDT115" s="381"/>
      <c r="HDU115" s="381"/>
      <c r="HDV115" s="381"/>
      <c r="HDW115" s="381"/>
      <c r="HDX115" s="381"/>
      <c r="HDY115" s="381"/>
      <c r="HDZ115" s="381"/>
      <c r="HEA115" s="381"/>
      <c r="HEB115" s="381"/>
      <c r="HEC115" s="381"/>
      <c r="HED115" s="381"/>
      <c r="HEE115" s="381"/>
      <c r="HEF115" s="381"/>
      <c r="HEG115" s="381"/>
      <c r="HEH115" s="381"/>
      <c r="HEI115" s="381"/>
      <c r="HEJ115" s="381"/>
      <c r="HEK115" s="381"/>
      <c r="HEL115" s="381"/>
      <c r="HEM115" s="381"/>
      <c r="HEN115" s="381"/>
      <c r="HEO115" s="381"/>
      <c r="HEP115" s="381"/>
      <c r="HEQ115" s="381"/>
      <c r="HER115" s="381"/>
      <c r="HES115" s="381"/>
      <c r="HET115" s="381"/>
      <c r="HEU115" s="381"/>
      <c r="HEV115" s="381"/>
      <c r="HEW115" s="381"/>
      <c r="HEX115" s="381"/>
      <c r="HEY115" s="381"/>
      <c r="HEZ115" s="381"/>
      <c r="HFA115" s="381"/>
      <c r="HFB115" s="381"/>
      <c r="HFC115" s="381"/>
      <c r="HFD115" s="381"/>
      <c r="HFE115" s="381"/>
      <c r="HFF115" s="381"/>
      <c r="HFG115" s="381"/>
      <c r="HFH115" s="381"/>
      <c r="HFI115" s="381"/>
      <c r="HFJ115" s="381"/>
      <c r="HFK115" s="381"/>
      <c r="HFL115" s="381"/>
      <c r="HFM115" s="381"/>
      <c r="HFN115" s="381"/>
      <c r="HFO115" s="381"/>
      <c r="HFP115" s="381"/>
      <c r="HFQ115" s="381"/>
      <c r="HFR115" s="381"/>
      <c r="HFS115" s="381"/>
      <c r="HFT115" s="381"/>
      <c r="HFU115" s="381"/>
      <c r="HFV115" s="381"/>
      <c r="HFW115" s="381"/>
      <c r="HFX115" s="381"/>
      <c r="HFY115" s="381"/>
      <c r="HFZ115" s="381"/>
      <c r="HGA115" s="381"/>
      <c r="HGB115" s="381"/>
      <c r="HGC115" s="381"/>
      <c r="HGD115" s="381"/>
      <c r="HGE115" s="381"/>
      <c r="HGF115" s="381"/>
      <c r="HGG115" s="381"/>
      <c r="HGH115" s="381"/>
      <c r="HGI115" s="381"/>
      <c r="HGJ115" s="381"/>
      <c r="HGK115" s="381"/>
      <c r="HGL115" s="381"/>
      <c r="HGM115" s="381"/>
      <c r="HGN115" s="381"/>
      <c r="HGO115" s="381"/>
      <c r="HGP115" s="381"/>
      <c r="HGQ115" s="381"/>
      <c r="HGR115" s="381"/>
      <c r="HGS115" s="381"/>
      <c r="HGT115" s="381"/>
      <c r="HGU115" s="381"/>
      <c r="HGV115" s="381"/>
      <c r="HGW115" s="381"/>
      <c r="HGX115" s="381"/>
      <c r="HGY115" s="381"/>
      <c r="HGZ115" s="381"/>
      <c r="HHA115" s="381"/>
      <c r="HHB115" s="381"/>
      <c r="HHC115" s="381"/>
      <c r="HHD115" s="381"/>
      <c r="HHE115" s="381"/>
      <c r="HHF115" s="381"/>
      <c r="HHG115" s="381"/>
      <c r="HHH115" s="381"/>
      <c r="HHI115" s="381"/>
      <c r="HHJ115" s="381"/>
      <c r="HHK115" s="381"/>
      <c r="HHL115" s="381"/>
      <c r="HHM115" s="381"/>
      <c r="HHN115" s="381"/>
      <c r="HHO115" s="381"/>
      <c r="HHP115" s="381"/>
      <c r="HHQ115" s="381"/>
      <c r="HHR115" s="381"/>
      <c r="HHS115" s="381"/>
      <c r="HHT115" s="381"/>
      <c r="HHU115" s="381"/>
      <c r="HHV115" s="381"/>
      <c r="HHW115" s="381"/>
      <c r="HHX115" s="381"/>
      <c r="HHY115" s="381"/>
      <c r="HHZ115" s="381"/>
      <c r="HIA115" s="381"/>
      <c r="HIB115" s="381"/>
      <c r="HIC115" s="381"/>
      <c r="HID115" s="381"/>
      <c r="HIE115" s="381"/>
      <c r="HIF115" s="381"/>
      <c r="HIG115" s="381"/>
      <c r="HIH115" s="381"/>
      <c r="HII115" s="381"/>
      <c r="HIJ115" s="381"/>
      <c r="HIK115" s="381"/>
      <c r="HIL115" s="381"/>
      <c r="HIM115" s="381"/>
      <c r="HIN115" s="381"/>
      <c r="HIO115" s="381"/>
      <c r="HIP115" s="381"/>
      <c r="HIQ115" s="381"/>
      <c r="HIR115" s="381"/>
      <c r="HIS115" s="381"/>
      <c r="HIT115" s="381"/>
      <c r="HIU115" s="381"/>
      <c r="HIV115" s="381"/>
      <c r="HIW115" s="381"/>
      <c r="HIX115" s="381"/>
      <c r="HIY115" s="381"/>
      <c r="HIZ115" s="381"/>
      <c r="HJA115" s="381"/>
      <c r="HJB115" s="381"/>
      <c r="HJC115" s="381"/>
      <c r="HJD115" s="381"/>
      <c r="HJE115" s="381"/>
      <c r="HJF115" s="381"/>
      <c r="HJG115" s="381"/>
      <c r="HJH115" s="381"/>
      <c r="HJI115" s="381"/>
      <c r="HJJ115" s="381"/>
      <c r="HJK115" s="381"/>
      <c r="HJL115" s="381"/>
      <c r="HJM115" s="381"/>
      <c r="HJN115" s="381"/>
      <c r="HJO115" s="381"/>
      <c r="HJP115" s="381"/>
      <c r="HJQ115" s="381"/>
      <c r="HJR115" s="381"/>
      <c r="HJS115" s="381"/>
      <c r="HJT115" s="381"/>
      <c r="HJU115" s="381"/>
      <c r="HJV115" s="381"/>
      <c r="HJW115" s="381"/>
      <c r="HJX115" s="381"/>
      <c r="HJY115" s="381"/>
      <c r="HJZ115" s="381"/>
      <c r="HKA115" s="381"/>
      <c r="HKB115" s="381"/>
      <c r="HKC115" s="381"/>
      <c r="HKD115" s="381"/>
      <c r="HKE115" s="381"/>
      <c r="HKF115" s="381"/>
      <c r="HKG115" s="381"/>
      <c r="HKH115" s="381"/>
      <c r="HKI115" s="381"/>
      <c r="HKJ115" s="381"/>
      <c r="HKK115" s="381"/>
      <c r="HKL115" s="381"/>
      <c r="HKM115" s="381"/>
      <c r="HKN115" s="381"/>
      <c r="HKO115" s="381"/>
      <c r="HKP115" s="381"/>
      <c r="HKQ115" s="381"/>
      <c r="HKR115" s="381"/>
      <c r="HKS115" s="381"/>
      <c r="HKT115" s="381"/>
      <c r="HKU115" s="381"/>
      <c r="HKV115" s="381"/>
      <c r="HKW115" s="381"/>
      <c r="HKX115" s="381"/>
      <c r="HKY115" s="381"/>
      <c r="HKZ115" s="381"/>
      <c r="HLA115" s="381"/>
      <c r="HLB115" s="381"/>
      <c r="HLC115" s="381"/>
      <c r="HLD115" s="381"/>
      <c r="HLE115" s="381"/>
      <c r="HLF115" s="381"/>
      <c r="HLG115" s="381"/>
      <c r="HLH115" s="381"/>
      <c r="HLI115" s="381"/>
      <c r="HLJ115" s="381"/>
      <c r="HLK115" s="381"/>
      <c r="HLL115" s="381"/>
      <c r="HLM115" s="381"/>
      <c r="HLN115" s="381"/>
      <c r="HLO115" s="381"/>
      <c r="HLP115" s="381"/>
      <c r="HLQ115" s="381"/>
      <c r="HLR115" s="381"/>
      <c r="HLS115" s="381"/>
      <c r="HLT115" s="381"/>
      <c r="HLU115" s="381"/>
      <c r="HLV115" s="381"/>
      <c r="HLW115" s="381"/>
      <c r="HLX115" s="381"/>
      <c r="HLY115" s="381"/>
      <c r="HLZ115" s="381"/>
      <c r="HMA115" s="381"/>
      <c r="HMB115" s="381"/>
      <c r="HMC115" s="381"/>
      <c r="HMD115" s="381"/>
      <c r="HME115" s="381"/>
      <c r="HMF115" s="381"/>
      <c r="HMG115" s="381"/>
      <c r="HMH115" s="381"/>
      <c r="HMI115" s="381"/>
      <c r="HMJ115" s="381"/>
      <c r="HMK115" s="381"/>
      <c r="HML115" s="381"/>
      <c r="HMM115" s="381"/>
      <c r="HMN115" s="381"/>
      <c r="HMO115" s="381"/>
      <c r="HMP115" s="381"/>
      <c r="HMQ115" s="381"/>
      <c r="HMR115" s="381"/>
      <c r="HMS115" s="381"/>
      <c r="HMT115" s="381"/>
      <c r="HMU115" s="381"/>
      <c r="HMV115" s="381"/>
      <c r="HMW115" s="381"/>
      <c r="HMX115" s="381"/>
      <c r="HMY115" s="381"/>
      <c r="HMZ115" s="381"/>
      <c r="HNA115" s="381"/>
      <c r="HNB115" s="381"/>
      <c r="HNC115" s="381"/>
      <c r="HND115" s="381"/>
      <c r="HNE115" s="381"/>
      <c r="HNF115" s="381"/>
      <c r="HNG115" s="381"/>
      <c r="HNH115" s="381"/>
      <c r="HNI115" s="381"/>
      <c r="HNJ115" s="381"/>
      <c r="HNK115" s="381"/>
      <c r="HNL115" s="381"/>
      <c r="HNM115" s="381"/>
      <c r="HNN115" s="381"/>
      <c r="HNO115" s="381"/>
      <c r="HNP115" s="381"/>
      <c r="HNQ115" s="381"/>
      <c r="HNR115" s="381"/>
      <c r="HNS115" s="381"/>
      <c r="HNT115" s="381"/>
      <c r="HNU115" s="381"/>
      <c r="HNV115" s="381"/>
      <c r="HNW115" s="381"/>
      <c r="HNX115" s="381"/>
      <c r="HNY115" s="381"/>
      <c r="HNZ115" s="381"/>
      <c r="HOA115" s="381"/>
      <c r="HOB115" s="381"/>
      <c r="HOC115" s="381"/>
      <c r="HOD115" s="381"/>
      <c r="HOE115" s="381"/>
      <c r="HOF115" s="381"/>
      <c r="HOG115" s="381"/>
      <c r="HOH115" s="381"/>
      <c r="HOI115" s="381"/>
      <c r="HOJ115" s="381"/>
      <c r="HOK115" s="381"/>
      <c r="HOL115" s="381"/>
      <c r="HOM115" s="381"/>
      <c r="HON115" s="381"/>
      <c r="HOO115" s="381"/>
      <c r="HOP115" s="381"/>
      <c r="HOQ115" s="381"/>
      <c r="HOR115" s="381"/>
      <c r="HOS115" s="381"/>
      <c r="HOT115" s="381"/>
      <c r="HOU115" s="381"/>
      <c r="HOV115" s="381"/>
      <c r="HOW115" s="381"/>
      <c r="HOX115" s="381"/>
      <c r="HOY115" s="381"/>
      <c r="HOZ115" s="381"/>
      <c r="HPA115" s="381"/>
      <c r="HPB115" s="381"/>
      <c r="HPC115" s="381"/>
      <c r="HPD115" s="381"/>
      <c r="HPE115" s="381"/>
      <c r="HPF115" s="381"/>
      <c r="HPG115" s="381"/>
      <c r="HPH115" s="381"/>
      <c r="HPI115" s="381"/>
      <c r="HPJ115" s="381"/>
      <c r="HPK115" s="381"/>
      <c r="HPL115" s="381"/>
      <c r="HPM115" s="381"/>
      <c r="HPN115" s="381"/>
      <c r="HPO115" s="381"/>
      <c r="HPP115" s="381"/>
      <c r="HPQ115" s="381"/>
      <c r="HPR115" s="381"/>
      <c r="HPS115" s="381"/>
      <c r="HPT115" s="381"/>
      <c r="HPU115" s="381"/>
      <c r="HPV115" s="381"/>
      <c r="HPW115" s="381"/>
      <c r="HPX115" s="381"/>
      <c r="HPY115" s="381"/>
      <c r="HPZ115" s="381"/>
      <c r="HQA115" s="381"/>
      <c r="HQB115" s="381"/>
      <c r="HQC115" s="381"/>
      <c r="HQD115" s="381"/>
      <c r="HQE115" s="381"/>
      <c r="HQF115" s="381"/>
      <c r="HQG115" s="381"/>
      <c r="HQH115" s="381"/>
      <c r="HQI115" s="381"/>
      <c r="HQJ115" s="381"/>
      <c r="HQK115" s="381"/>
      <c r="HQL115" s="381"/>
      <c r="HQM115" s="381"/>
      <c r="HQN115" s="381"/>
      <c r="HQO115" s="381"/>
      <c r="HQP115" s="381"/>
      <c r="HQQ115" s="381"/>
      <c r="HQR115" s="381"/>
      <c r="HQS115" s="381"/>
      <c r="HQT115" s="381"/>
      <c r="HQU115" s="381"/>
      <c r="HQV115" s="381"/>
      <c r="HQW115" s="381"/>
      <c r="HQX115" s="381"/>
      <c r="HQY115" s="381"/>
      <c r="HQZ115" s="381"/>
      <c r="HRA115" s="381"/>
      <c r="HRB115" s="381"/>
      <c r="HRC115" s="381"/>
      <c r="HRD115" s="381"/>
      <c r="HRE115" s="381"/>
      <c r="HRF115" s="381"/>
      <c r="HRG115" s="381"/>
      <c r="HRH115" s="381"/>
      <c r="HRI115" s="381"/>
      <c r="HRJ115" s="381"/>
      <c r="HRK115" s="381"/>
      <c r="HRL115" s="381"/>
      <c r="HRM115" s="381"/>
      <c r="HRN115" s="381"/>
      <c r="HRO115" s="381"/>
      <c r="HRP115" s="381"/>
      <c r="HRQ115" s="381"/>
      <c r="HRR115" s="381"/>
      <c r="HRS115" s="381"/>
      <c r="HRT115" s="381"/>
      <c r="HRU115" s="381"/>
      <c r="HRV115" s="381"/>
      <c r="HRW115" s="381"/>
      <c r="HRX115" s="381"/>
      <c r="HRY115" s="381"/>
      <c r="HRZ115" s="381"/>
      <c r="HSA115" s="381"/>
      <c r="HSB115" s="381"/>
      <c r="HSC115" s="381"/>
      <c r="HSD115" s="381"/>
      <c r="HSE115" s="381"/>
      <c r="HSF115" s="381"/>
      <c r="HSG115" s="381"/>
      <c r="HSH115" s="381"/>
      <c r="HSI115" s="381"/>
      <c r="HSJ115" s="381"/>
      <c r="HSK115" s="381"/>
      <c r="HSL115" s="381"/>
      <c r="HSM115" s="381"/>
      <c r="HSN115" s="381"/>
      <c r="HSO115" s="381"/>
      <c r="HSP115" s="381"/>
      <c r="HSQ115" s="381"/>
      <c r="HSR115" s="381"/>
      <c r="HSS115" s="381"/>
      <c r="HST115" s="381"/>
      <c r="HSU115" s="381"/>
      <c r="HSV115" s="381"/>
      <c r="HSW115" s="381"/>
      <c r="HSX115" s="381"/>
      <c r="HSY115" s="381"/>
      <c r="HSZ115" s="381"/>
      <c r="HTA115" s="381"/>
      <c r="HTB115" s="381"/>
      <c r="HTC115" s="381"/>
      <c r="HTD115" s="381"/>
      <c r="HTE115" s="381"/>
      <c r="HTF115" s="381"/>
      <c r="HTG115" s="381"/>
      <c r="HTH115" s="381"/>
      <c r="HTI115" s="381"/>
      <c r="HTJ115" s="381"/>
      <c r="HTK115" s="381"/>
      <c r="HTL115" s="381"/>
      <c r="HTM115" s="381"/>
      <c r="HTN115" s="381"/>
      <c r="HTO115" s="381"/>
      <c r="HTP115" s="381"/>
      <c r="HTQ115" s="381"/>
      <c r="HTR115" s="381"/>
      <c r="HTS115" s="381"/>
      <c r="HTT115" s="381"/>
      <c r="HTU115" s="381"/>
      <c r="HTV115" s="381"/>
      <c r="HTW115" s="381"/>
      <c r="HTX115" s="381"/>
      <c r="HTY115" s="381"/>
      <c r="HTZ115" s="381"/>
      <c r="HUA115" s="381"/>
      <c r="HUB115" s="381"/>
      <c r="HUC115" s="381"/>
      <c r="HUD115" s="381"/>
      <c r="HUE115" s="381"/>
      <c r="HUF115" s="381"/>
      <c r="HUG115" s="381"/>
      <c r="HUH115" s="381"/>
      <c r="HUI115" s="381"/>
      <c r="HUJ115" s="381"/>
      <c r="HUK115" s="381"/>
      <c r="HUL115" s="381"/>
      <c r="HUM115" s="381"/>
      <c r="HUN115" s="381"/>
      <c r="HUO115" s="381"/>
      <c r="HUP115" s="381"/>
      <c r="HUQ115" s="381"/>
      <c r="HUR115" s="381"/>
      <c r="HUS115" s="381"/>
      <c r="HUT115" s="381"/>
      <c r="HUU115" s="381"/>
      <c r="HUV115" s="381"/>
      <c r="HUW115" s="381"/>
      <c r="HUX115" s="381"/>
      <c r="HUY115" s="381"/>
      <c r="HUZ115" s="381"/>
      <c r="HVA115" s="381"/>
      <c r="HVB115" s="381"/>
      <c r="HVC115" s="381"/>
      <c r="HVD115" s="381"/>
      <c r="HVE115" s="381"/>
      <c r="HVF115" s="381"/>
      <c r="HVG115" s="381"/>
      <c r="HVH115" s="381"/>
      <c r="HVI115" s="381"/>
      <c r="HVJ115" s="381"/>
      <c r="HVK115" s="381"/>
      <c r="HVL115" s="381"/>
      <c r="HVM115" s="381"/>
      <c r="HVN115" s="381"/>
      <c r="HVO115" s="381"/>
      <c r="HVP115" s="381"/>
      <c r="HVQ115" s="381"/>
      <c r="HVR115" s="381"/>
      <c r="HVS115" s="381"/>
      <c r="HVT115" s="381"/>
      <c r="HVU115" s="381"/>
      <c r="HVV115" s="381"/>
      <c r="HVW115" s="381"/>
      <c r="HVX115" s="381"/>
      <c r="HVY115" s="381"/>
      <c r="HVZ115" s="381"/>
      <c r="HWA115" s="381"/>
      <c r="HWB115" s="381"/>
      <c r="HWC115" s="381"/>
      <c r="HWD115" s="381"/>
      <c r="HWE115" s="381"/>
      <c r="HWF115" s="381"/>
      <c r="HWG115" s="381"/>
      <c r="HWH115" s="381"/>
      <c r="HWI115" s="381"/>
      <c r="HWJ115" s="381"/>
      <c r="HWK115" s="381"/>
      <c r="HWL115" s="381"/>
      <c r="HWM115" s="381"/>
      <c r="HWN115" s="381"/>
      <c r="HWO115" s="381"/>
      <c r="HWP115" s="381"/>
      <c r="HWQ115" s="381"/>
      <c r="HWR115" s="381"/>
      <c r="HWS115" s="381"/>
      <c r="HWT115" s="381"/>
      <c r="HWU115" s="381"/>
      <c r="HWV115" s="381"/>
      <c r="HWW115" s="381"/>
      <c r="HWX115" s="381"/>
      <c r="HWY115" s="381"/>
      <c r="HWZ115" s="381"/>
      <c r="HXA115" s="381"/>
      <c r="HXB115" s="381"/>
      <c r="HXC115" s="381"/>
      <c r="HXD115" s="381"/>
      <c r="HXE115" s="381"/>
      <c r="HXF115" s="381"/>
      <c r="HXG115" s="381"/>
      <c r="HXH115" s="381"/>
      <c r="HXI115" s="381"/>
      <c r="HXJ115" s="381"/>
      <c r="HXK115" s="381"/>
      <c r="HXL115" s="381"/>
      <c r="HXM115" s="381"/>
      <c r="HXN115" s="381"/>
      <c r="HXO115" s="381"/>
      <c r="HXP115" s="381"/>
      <c r="HXQ115" s="381"/>
      <c r="HXR115" s="381"/>
      <c r="HXS115" s="381"/>
      <c r="HXT115" s="381"/>
      <c r="HXU115" s="381"/>
      <c r="HXV115" s="381"/>
      <c r="HXW115" s="381"/>
      <c r="HXX115" s="381"/>
      <c r="HXY115" s="381"/>
      <c r="HXZ115" s="381"/>
      <c r="HYA115" s="381"/>
      <c r="HYB115" s="381"/>
      <c r="HYC115" s="381"/>
      <c r="HYD115" s="381"/>
      <c r="HYE115" s="381"/>
      <c r="HYF115" s="381"/>
      <c r="HYG115" s="381"/>
      <c r="HYH115" s="381"/>
      <c r="HYI115" s="381"/>
      <c r="HYJ115" s="381"/>
      <c r="HYK115" s="381"/>
      <c r="HYL115" s="381"/>
      <c r="HYM115" s="381"/>
      <c r="HYN115" s="381"/>
      <c r="HYO115" s="381"/>
      <c r="HYP115" s="381"/>
      <c r="HYQ115" s="381"/>
      <c r="HYR115" s="381"/>
      <c r="HYS115" s="381"/>
      <c r="HYT115" s="381"/>
      <c r="HYU115" s="381"/>
      <c r="HYV115" s="381"/>
      <c r="HYW115" s="381"/>
      <c r="HYX115" s="381"/>
      <c r="HYY115" s="381"/>
      <c r="HYZ115" s="381"/>
      <c r="HZA115" s="381"/>
      <c r="HZB115" s="381"/>
      <c r="HZC115" s="381"/>
      <c r="HZD115" s="381"/>
      <c r="HZE115" s="381"/>
      <c r="HZF115" s="381"/>
      <c r="HZG115" s="381"/>
      <c r="HZH115" s="381"/>
      <c r="HZI115" s="381"/>
      <c r="HZJ115" s="381"/>
      <c r="HZK115" s="381"/>
      <c r="HZL115" s="381"/>
      <c r="HZM115" s="381"/>
      <c r="HZN115" s="381"/>
      <c r="HZO115" s="381"/>
      <c r="HZP115" s="381"/>
      <c r="HZQ115" s="381"/>
      <c r="HZR115" s="381"/>
      <c r="HZS115" s="381"/>
      <c r="HZT115" s="381"/>
      <c r="HZU115" s="381"/>
      <c r="HZV115" s="381"/>
      <c r="HZW115" s="381"/>
      <c r="HZX115" s="381"/>
      <c r="HZY115" s="381"/>
      <c r="HZZ115" s="381"/>
      <c r="IAA115" s="381"/>
      <c r="IAB115" s="381"/>
      <c r="IAC115" s="381"/>
      <c r="IAD115" s="381"/>
      <c r="IAE115" s="381"/>
      <c r="IAF115" s="381"/>
      <c r="IAG115" s="381"/>
      <c r="IAH115" s="381"/>
      <c r="IAI115" s="381"/>
      <c r="IAJ115" s="381"/>
      <c r="IAK115" s="381"/>
      <c r="IAL115" s="381"/>
      <c r="IAM115" s="381"/>
      <c r="IAN115" s="381"/>
      <c r="IAO115" s="381"/>
      <c r="IAP115" s="381"/>
      <c r="IAQ115" s="381"/>
      <c r="IAR115" s="381"/>
      <c r="IAS115" s="381"/>
      <c r="IAT115" s="381"/>
      <c r="IAU115" s="381"/>
      <c r="IAV115" s="381"/>
      <c r="IAW115" s="381"/>
      <c r="IAX115" s="381"/>
      <c r="IAY115" s="381"/>
      <c r="IAZ115" s="381"/>
      <c r="IBA115" s="381"/>
      <c r="IBB115" s="381"/>
      <c r="IBC115" s="381"/>
      <c r="IBD115" s="381"/>
      <c r="IBE115" s="381"/>
      <c r="IBF115" s="381"/>
      <c r="IBG115" s="381"/>
      <c r="IBH115" s="381"/>
      <c r="IBI115" s="381"/>
      <c r="IBJ115" s="381"/>
      <c r="IBK115" s="381"/>
      <c r="IBL115" s="381"/>
      <c r="IBM115" s="381"/>
      <c r="IBN115" s="381"/>
      <c r="IBO115" s="381"/>
      <c r="IBP115" s="381"/>
      <c r="IBQ115" s="381"/>
      <c r="IBR115" s="381"/>
      <c r="IBS115" s="381"/>
      <c r="IBT115" s="381"/>
      <c r="IBU115" s="381"/>
      <c r="IBV115" s="381"/>
      <c r="IBW115" s="381"/>
      <c r="IBX115" s="381"/>
      <c r="IBY115" s="381"/>
      <c r="IBZ115" s="381"/>
      <c r="ICA115" s="381"/>
      <c r="ICB115" s="381"/>
      <c r="ICC115" s="381"/>
      <c r="ICD115" s="381"/>
      <c r="ICE115" s="381"/>
      <c r="ICF115" s="381"/>
      <c r="ICG115" s="381"/>
      <c r="ICH115" s="381"/>
      <c r="ICI115" s="381"/>
      <c r="ICJ115" s="381"/>
      <c r="ICK115" s="381"/>
      <c r="ICL115" s="381"/>
      <c r="ICM115" s="381"/>
      <c r="ICN115" s="381"/>
      <c r="ICO115" s="381"/>
      <c r="ICP115" s="381"/>
      <c r="ICQ115" s="381"/>
      <c r="ICR115" s="381"/>
      <c r="ICS115" s="381"/>
      <c r="ICT115" s="381"/>
      <c r="ICU115" s="381"/>
      <c r="ICV115" s="381"/>
      <c r="ICW115" s="381"/>
      <c r="ICX115" s="381"/>
      <c r="ICY115" s="381"/>
      <c r="ICZ115" s="381"/>
      <c r="IDA115" s="381"/>
      <c r="IDB115" s="381"/>
      <c r="IDC115" s="381"/>
      <c r="IDD115" s="381"/>
      <c r="IDE115" s="381"/>
      <c r="IDF115" s="381"/>
      <c r="IDG115" s="381"/>
      <c r="IDH115" s="381"/>
      <c r="IDI115" s="381"/>
      <c r="IDJ115" s="381"/>
      <c r="IDK115" s="381"/>
      <c r="IDL115" s="381"/>
      <c r="IDM115" s="381"/>
      <c r="IDN115" s="381"/>
      <c r="IDO115" s="381"/>
      <c r="IDP115" s="381"/>
      <c r="IDQ115" s="381"/>
      <c r="IDR115" s="381"/>
      <c r="IDS115" s="381"/>
      <c r="IDT115" s="381"/>
      <c r="IDU115" s="381"/>
      <c r="IDV115" s="381"/>
      <c r="IDW115" s="381"/>
      <c r="IDX115" s="381"/>
      <c r="IDY115" s="381"/>
      <c r="IDZ115" s="381"/>
      <c r="IEA115" s="381"/>
      <c r="IEB115" s="381"/>
      <c r="IEC115" s="381"/>
      <c r="IED115" s="381"/>
      <c r="IEE115" s="381"/>
      <c r="IEF115" s="381"/>
      <c r="IEG115" s="381"/>
      <c r="IEH115" s="381"/>
      <c r="IEI115" s="381"/>
      <c r="IEJ115" s="381"/>
      <c r="IEK115" s="381"/>
      <c r="IEL115" s="381"/>
      <c r="IEM115" s="381"/>
      <c r="IEN115" s="381"/>
      <c r="IEO115" s="381"/>
      <c r="IEP115" s="381"/>
      <c r="IEQ115" s="381"/>
      <c r="IER115" s="381"/>
      <c r="IES115" s="381"/>
      <c r="IET115" s="381"/>
      <c r="IEU115" s="381"/>
      <c r="IEV115" s="381"/>
      <c r="IEW115" s="381"/>
      <c r="IEX115" s="381"/>
      <c r="IEY115" s="381"/>
      <c r="IEZ115" s="381"/>
      <c r="IFA115" s="381"/>
      <c r="IFB115" s="381"/>
      <c r="IFC115" s="381"/>
      <c r="IFD115" s="381"/>
      <c r="IFE115" s="381"/>
      <c r="IFF115" s="381"/>
      <c r="IFG115" s="381"/>
      <c r="IFH115" s="381"/>
      <c r="IFI115" s="381"/>
      <c r="IFJ115" s="381"/>
      <c r="IFK115" s="381"/>
      <c r="IFL115" s="381"/>
      <c r="IFM115" s="381"/>
      <c r="IFN115" s="381"/>
      <c r="IFO115" s="381"/>
      <c r="IFP115" s="381"/>
      <c r="IFQ115" s="381"/>
      <c r="IFR115" s="381"/>
      <c r="IFS115" s="381"/>
      <c r="IFT115" s="381"/>
      <c r="IFU115" s="381"/>
      <c r="IFV115" s="381"/>
      <c r="IFW115" s="381"/>
      <c r="IFX115" s="381"/>
      <c r="IFY115" s="381"/>
      <c r="IFZ115" s="381"/>
      <c r="IGA115" s="381"/>
      <c r="IGB115" s="381"/>
      <c r="IGC115" s="381"/>
      <c r="IGD115" s="381"/>
      <c r="IGE115" s="381"/>
      <c r="IGF115" s="381"/>
      <c r="IGG115" s="381"/>
      <c r="IGH115" s="381"/>
      <c r="IGI115" s="381"/>
      <c r="IGJ115" s="381"/>
      <c r="IGK115" s="381"/>
      <c r="IGL115" s="381"/>
      <c r="IGM115" s="381"/>
      <c r="IGN115" s="381"/>
      <c r="IGO115" s="381"/>
      <c r="IGP115" s="381"/>
      <c r="IGQ115" s="381"/>
      <c r="IGR115" s="381"/>
      <c r="IGS115" s="381"/>
      <c r="IGT115" s="381"/>
      <c r="IGU115" s="381"/>
      <c r="IGV115" s="381"/>
      <c r="IGW115" s="381"/>
      <c r="IGX115" s="381"/>
      <c r="IGY115" s="381"/>
      <c r="IGZ115" s="381"/>
      <c r="IHA115" s="381"/>
      <c r="IHB115" s="381"/>
      <c r="IHC115" s="381"/>
      <c r="IHD115" s="381"/>
      <c r="IHE115" s="381"/>
      <c r="IHF115" s="381"/>
      <c r="IHG115" s="381"/>
      <c r="IHH115" s="381"/>
      <c r="IHI115" s="381"/>
      <c r="IHJ115" s="381"/>
      <c r="IHK115" s="381"/>
      <c r="IHL115" s="381"/>
      <c r="IHM115" s="381"/>
      <c r="IHN115" s="381"/>
      <c r="IHO115" s="381"/>
      <c r="IHP115" s="381"/>
      <c r="IHQ115" s="381"/>
      <c r="IHR115" s="381"/>
      <c r="IHS115" s="381"/>
      <c r="IHT115" s="381"/>
      <c r="IHU115" s="381"/>
      <c r="IHV115" s="381"/>
      <c r="IHW115" s="381"/>
      <c r="IHX115" s="381"/>
      <c r="IHY115" s="381"/>
      <c r="IHZ115" s="381"/>
      <c r="IIA115" s="381"/>
      <c r="IIB115" s="381"/>
      <c r="IIC115" s="381"/>
      <c r="IID115" s="381"/>
      <c r="IIE115" s="381"/>
      <c r="IIF115" s="381"/>
      <c r="IIG115" s="381"/>
      <c r="IIH115" s="381"/>
      <c r="III115" s="381"/>
      <c r="IIJ115" s="381"/>
      <c r="IIK115" s="381"/>
      <c r="IIL115" s="381"/>
      <c r="IIM115" s="381"/>
      <c r="IIN115" s="381"/>
      <c r="IIO115" s="381"/>
      <c r="IIP115" s="381"/>
      <c r="IIQ115" s="381"/>
      <c r="IIR115" s="381"/>
      <c r="IIS115" s="381"/>
      <c r="IIT115" s="381"/>
      <c r="IIU115" s="381"/>
      <c r="IIV115" s="381"/>
      <c r="IIW115" s="381"/>
      <c r="IIX115" s="381"/>
      <c r="IIY115" s="381"/>
      <c r="IIZ115" s="381"/>
      <c r="IJA115" s="381"/>
      <c r="IJB115" s="381"/>
      <c r="IJC115" s="381"/>
      <c r="IJD115" s="381"/>
      <c r="IJE115" s="381"/>
      <c r="IJF115" s="381"/>
      <c r="IJG115" s="381"/>
      <c r="IJH115" s="381"/>
      <c r="IJI115" s="381"/>
      <c r="IJJ115" s="381"/>
      <c r="IJK115" s="381"/>
      <c r="IJL115" s="381"/>
      <c r="IJM115" s="381"/>
      <c r="IJN115" s="381"/>
      <c r="IJO115" s="381"/>
      <c r="IJP115" s="381"/>
      <c r="IJQ115" s="381"/>
      <c r="IJR115" s="381"/>
      <c r="IJS115" s="381"/>
      <c r="IJT115" s="381"/>
      <c r="IJU115" s="381"/>
      <c r="IJV115" s="381"/>
      <c r="IJW115" s="381"/>
      <c r="IJX115" s="381"/>
      <c r="IJY115" s="381"/>
      <c r="IJZ115" s="381"/>
      <c r="IKA115" s="381"/>
      <c r="IKB115" s="381"/>
      <c r="IKC115" s="381"/>
      <c r="IKD115" s="381"/>
      <c r="IKE115" s="381"/>
      <c r="IKF115" s="381"/>
      <c r="IKG115" s="381"/>
      <c r="IKH115" s="381"/>
      <c r="IKI115" s="381"/>
      <c r="IKJ115" s="381"/>
      <c r="IKK115" s="381"/>
      <c r="IKL115" s="381"/>
      <c r="IKM115" s="381"/>
      <c r="IKN115" s="381"/>
      <c r="IKO115" s="381"/>
      <c r="IKP115" s="381"/>
      <c r="IKQ115" s="381"/>
      <c r="IKR115" s="381"/>
      <c r="IKS115" s="381"/>
      <c r="IKT115" s="381"/>
      <c r="IKU115" s="381"/>
      <c r="IKV115" s="381"/>
      <c r="IKW115" s="381"/>
      <c r="IKX115" s="381"/>
      <c r="IKY115" s="381"/>
      <c r="IKZ115" s="381"/>
      <c r="ILA115" s="381"/>
      <c r="ILB115" s="381"/>
      <c r="ILC115" s="381"/>
      <c r="ILD115" s="381"/>
      <c r="ILE115" s="381"/>
      <c r="ILF115" s="381"/>
      <c r="ILG115" s="381"/>
      <c r="ILH115" s="381"/>
      <c r="ILI115" s="381"/>
      <c r="ILJ115" s="381"/>
      <c r="ILK115" s="381"/>
      <c r="ILL115" s="381"/>
      <c r="ILM115" s="381"/>
      <c r="ILN115" s="381"/>
      <c r="ILO115" s="381"/>
      <c r="ILP115" s="381"/>
      <c r="ILQ115" s="381"/>
      <c r="ILR115" s="381"/>
      <c r="ILS115" s="381"/>
      <c r="ILT115" s="381"/>
      <c r="ILU115" s="381"/>
      <c r="ILV115" s="381"/>
      <c r="ILW115" s="381"/>
      <c r="ILX115" s="381"/>
      <c r="ILY115" s="381"/>
      <c r="ILZ115" s="381"/>
      <c r="IMA115" s="381"/>
      <c r="IMB115" s="381"/>
      <c r="IMC115" s="381"/>
      <c r="IMD115" s="381"/>
      <c r="IME115" s="381"/>
      <c r="IMF115" s="381"/>
      <c r="IMG115" s="381"/>
      <c r="IMH115" s="381"/>
      <c r="IMI115" s="381"/>
      <c r="IMJ115" s="381"/>
      <c r="IMK115" s="381"/>
      <c r="IML115" s="381"/>
      <c r="IMM115" s="381"/>
      <c r="IMN115" s="381"/>
      <c r="IMO115" s="381"/>
      <c r="IMP115" s="381"/>
      <c r="IMQ115" s="381"/>
      <c r="IMR115" s="381"/>
      <c r="IMS115" s="381"/>
      <c r="IMT115" s="381"/>
      <c r="IMU115" s="381"/>
      <c r="IMV115" s="381"/>
      <c r="IMW115" s="381"/>
      <c r="IMX115" s="381"/>
      <c r="IMY115" s="381"/>
      <c r="IMZ115" s="381"/>
      <c r="INA115" s="381"/>
      <c r="INB115" s="381"/>
      <c r="INC115" s="381"/>
      <c r="IND115" s="381"/>
      <c r="INE115" s="381"/>
      <c r="INF115" s="381"/>
      <c r="ING115" s="381"/>
      <c r="INH115" s="381"/>
      <c r="INI115" s="381"/>
      <c r="INJ115" s="381"/>
      <c r="INK115" s="381"/>
      <c r="INL115" s="381"/>
      <c r="INM115" s="381"/>
      <c r="INN115" s="381"/>
      <c r="INO115" s="381"/>
      <c r="INP115" s="381"/>
      <c r="INQ115" s="381"/>
      <c r="INR115" s="381"/>
      <c r="INS115" s="381"/>
      <c r="INT115" s="381"/>
      <c r="INU115" s="381"/>
      <c r="INV115" s="381"/>
      <c r="INW115" s="381"/>
      <c r="INX115" s="381"/>
      <c r="INY115" s="381"/>
      <c r="INZ115" s="381"/>
      <c r="IOA115" s="381"/>
      <c r="IOB115" s="381"/>
      <c r="IOC115" s="381"/>
      <c r="IOD115" s="381"/>
      <c r="IOE115" s="381"/>
      <c r="IOF115" s="381"/>
      <c r="IOG115" s="381"/>
      <c r="IOH115" s="381"/>
      <c r="IOI115" s="381"/>
      <c r="IOJ115" s="381"/>
      <c r="IOK115" s="381"/>
      <c r="IOL115" s="381"/>
      <c r="IOM115" s="381"/>
      <c r="ION115" s="381"/>
      <c r="IOO115" s="381"/>
      <c r="IOP115" s="381"/>
      <c r="IOQ115" s="381"/>
      <c r="IOR115" s="381"/>
      <c r="IOS115" s="381"/>
      <c r="IOT115" s="381"/>
      <c r="IOU115" s="381"/>
      <c r="IOV115" s="381"/>
      <c r="IOW115" s="381"/>
      <c r="IOX115" s="381"/>
      <c r="IOY115" s="381"/>
      <c r="IOZ115" s="381"/>
      <c r="IPA115" s="381"/>
      <c r="IPB115" s="381"/>
      <c r="IPC115" s="381"/>
      <c r="IPD115" s="381"/>
      <c r="IPE115" s="381"/>
      <c r="IPF115" s="381"/>
      <c r="IPG115" s="381"/>
      <c r="IPH115" s="381"/>
      <c r="IPI115" s="381"/>
      <c r="IPJ115" s="381"/>
      <c r="IPK115" s="381"/>
      <c r="IPL115" s="381"/>
      <c r="IPM115" s="381"/>
      <c r="IPN115" s="381"/>
      <c r="IPO115" s="381"/>
      <c r="IPP115" s="381"/>
      <c r="IPQ115" s="381"/>
      <c r="IPR115" s="381"/>
      <c r="IPS115" s="381"/>
      <c r="IPT115" s="381"/>
      <c r="IPU115" s="381"/>
      <c r="IPV115" s="381"/>
      <c r="IPW115" s="381"/>
      <c r="IPX115" s="381"/>
      <c r="IPY115" s="381"/>
      <c r="IPZ115" s="381"/>
      <c r="IQA115" s="381"/>
      <c r="IQB115" s="381"/>
      <c r="IQC115" s="381"/>
      <c r="IQD115" s="381"/>
      <c r="IQE115" s="381"/>
      <c r="IQF115" s="381"/>
      <c r="IQG115" s="381"/>
      <c r="IQH115" s="381"/>
      <c r="IQI115" s="381"/>
      <c r="IQJ115" s="381"/>
      <c r="IQK115" s="381"/>
      <c r="IQL115" s="381"/>
      <c r="IQM115" s="381"/>
      <c r="IQN115" s="381"/>
      <c r="IQO115" s="381"/>
      <c r="IQP115" s="381"/>
      <c r="IQQ115" s="381"/>
      <c r="IQR115" s="381"/>
      <c r="IQS115" s="381"/>
      <c r="IQT115" s="381"/>
      <c r="IQU115" s="381"/>
      <c r="IQV115" s="381"/>
      <c r="IQW115" s="381"/>
      <c r="IQX115" s="381"/>
      <c r="IQY115" s="381"/>
      <c r="IQZ115" s="381"/>
      <c r="IRA115" s="381"/>
      <c r="IRB115" s="381"/>
      <c r="IRC115" s="381"/>
      <c r="IRD115" s="381"/>
      <c r="IRE115" s="381"/>
      <c r="IRF115" s="381"/>
      <c r="IRG115" s="381"/>
      <c r="IRH115" s="381"/>
      <c r="IRI115" s="381"/>
      <c r="IRJ115" s="381"/>
      <c r="IRK115" s="381"/>
      <c r="IRL115" s="381"/>
      <c r="IRM115" s="381"/>
      <c r="IRN115" s="381"/>
      <c r="IRO115" s="381"/>
      <c r="IRP115" s="381"/>
      <c r="IRQ115" s="381"/>
      <c r="IRR115" s="381"/>
      <c r="IRS115" s="381"/>
      <c r="IRT115" s="381"/>
      <c r="IRU115" s="381"/>
      <c r="IRV115" s="381"/>
      <c r="IRW115" s="381"/>
      <c r="IRX115" s="381"/>
      <c r="IRY115" s="381"/>
      <c r="IRZ115" s="381"/>
      <c r="ISA115" s="381"/>
      <c r="ISB115" s="381"/>
      <c r="ISC115" s="381"/>
      <c r="ISD115" s="381"/>
      <c r="ISE115" s="381"/>
      <c r="ISF115" s="381"/>
      <c r="ISG115" s="381"/>
      <c r="ISH115" s="381"/>
      <c r="ISI115" s="381"/>
      <c r="ISJ115" s="381"/>
      <c r="ISK115" s="381"/>
      <c r="ISL115" s="381"/>
      <c r="ISM115" s="381"/>
      <c r="ISN115" s="381"/>
      <c r="ISO115" s="381"/>
      <c r="ISP115" s="381"/>
      <c r="ISQ115" s="381"/>
      <c r="ISR115" s="381"/>
      <c r="ISS115" s="381"/>
      <c r="IST115" s="381"/>
      <c r="ISU115" s="381"/>
      <c r="ISV115" s="381"/>
      <c r="ISW115" s="381"/>
      <c r="ISX115" s="381"/>
      <c r="ISY115" s="381"/>
      <c r="ISZ115" s="381"/>
      <c r="ITA115" s="381"/>
      <c r="ITB115" s="381"/>
      <c r="ITC115" s="381"/>
      <c r="ITD115" s="381"/>
      <c r="ITE115" s="381"/>
      <c r="ITF115" s="381"/>
      <c r="ITG115" s="381"/>
      <c r="ITH115" s="381"/>
      <c r="ITI115" s="381"/>
      <c r="ITJ115" s="381"/>
      <c r="ITK115" s="381"/>
      <c r="ITL115" s="381"/>
      <c r="ITM115" s="381"/>
      <c r="ITN115" s="381"/>
      <c r="ITO115" s="381"/>
      <c r="ITP115" s="381"/>
      <c r="ITQ115" s="381"/>
      <c r="ITR115" s="381"/>
      <c r="ITS115" s="381"/>
      <c r="ITT115" s="381"/>
      <c r="ITU115" s="381"/>
      <c r="ITV115" s="381"/>
      <c r="ITW115" s="381"/>
      <c r="ITX115" s="381"/>
      <c r="ITY115" s="381"/>
      <c r="ITZ115" s="381"/>
      <c r="IUA115" s="381"/>
      <c r="IUB115" s="381"/>
      <c r="IUC115" s="381"/>
      <c r="IUD115" s="381"/>
      <c r="IUE115" s="381"/>
      <c r="IUF115" s="381"/>
      <c r="IUG115" s="381"/>
      <c r="IUH115" s="381"/>
      <c r="IUI115" s="381"/>
      <c r="IUJ115" s="381"/>
      <c r="IUK115" s="381"/>
      <c r="IUL115" s="381"/>
      <c r="IUM115" s="381"/>
      <c r="IUN115" s="381"/>
      <c r="IUO115" s="381"/>
      <c r="IUP115" s="381"/>
      <c r="IUQ115" s="381"/>
      <c r="IUR115" s="381"/>
      <c r="IUS115" s="381"/>
      <c r="IUT115" s="381"/>
      <c r="IUU115" s="381"/>
      <c r="IUV115" s="381"/>
      <c r="IUW115" s="381"/>
      <c r="IUX115" s="381"/>
      <c r="IUY115" s="381"/>
      <c r="IUZ115" s="381"/>
      <c r="IVA115" s="381"/>
      <c r="IVB115" s="381"/>
      <c r="IVC115" s="381"/>
      <c r="IVD115" s="381"/>
      <c r="IVE115" s="381"/>
      <c r="IVF115" s="381"/>
      <c r="IVG115" s="381"/>
      <c r="IVH115" s="381"/>
      <c r="IVI115" s="381"/>
      <c r="IVJ115" s="381"/>
      <c r="IVK115" s="381"/>
      <c r="IVL115" s="381"/>
      <c r="IVM115" s="381"/>
      <c r="IVN115" s="381"/>
      <c r="IVO115" s="381"/>
      <c r="IVP115" s="381"/>
      <c r="IVQ115" s="381"/>
      <c r="IVR115" s="381"/>
      <c r="IVS115" s="381"/>
      <c r="IVT115" s="381"/>
      <c r="IVU115" s="381"/>
      <c r="IVV115" s="381"/>
      <c r="IVW115" s="381"/>
      <c r="IVX115" s="381"/>
      <c r="IVY115" s="381"/>
      <c r="IVZ115" s="381"/>
      <c r="IWA115" s="381"/>
      <c r="IWB115" s="381"/>
      <c r="IWC115" s="381"/>
      <c r="IWD115" s="381"/>
      <c r="IWE115" s="381"/>
      <c r="IWF115" s="381"/>
      <c r="IWG115" s="381"/>
      <c r="IWH115" s="381"/>
      <c r="IWI115" s="381"/>
      <c r="IWJ115" s="381"/>
      <c r="IWK115" s="381"/>
      <c r="IWL115" s="381"/>
      <c r="IWM115" s="381"/>
      <c r="IWN115" s="381"/>
      <c r="IWO115" s="381"/>
      <c r="IWP115" s="381"/>
      <c r="IWQ115" s="381"/>
      <c r="IWR115" s="381"/>
      <c r="IWS115" s="381"/>
      <c r="IWT115" s="381"/>
      <c r="IWU115" s="381"/>
      <c r="IWV115" s="381"/>
      <c r="IWW115" s="381"/>
      <c r="IWX115" s="381"/>
      <c r="IWY115" s="381"/>
      <c r="IWZ115" s="381"/>
      <c r="IXA115" s="381"/>
      <c r="IXB115" s="381"/>
      <c r="IXC115" s="381"/>
      <c r="IXD115" s="381"/>
      <c r="IXE115" s="381"/>
      <c r="IXF115" s="381"/>
      <c r="IXG115" s="381"/>
      <c r="IXH115" s="381"/>
      <c r="IXI115" s="381"/>
      <c r="IXJ115" s="381"/>
      <c r="IXK115" s="381"/>
      <c r="IXL115" s="381"/>
      <c r="IXM115" s="381"/>
      <c r="IXN115" s="381"/>
      <c r="IXO115" s="381"/>
      <c r="IXP115" s="381"/>
      <c r="IXQ115" s="381"/>
      <c r="IXR115" s="381"/>
      <c r="IXS115" s="381"/>
      <c r="IXT115" s="381"/>
      <c r="IXU115" s="381"/>
      <c r="IXV115" s="381"/>
      <c r="IXW115" s="381"/>
      <c r="IXX115" s="381"/>
      <c r="IXY115" s="381"/>
      <c r="IXZ115" s="381"/>
      <c r="IYA115" s="381"/>
      <c r="IYB115" s="381"/>
      <c r="IYC115" s="381"/>
      <c r="IYD115" s="381"/>
      <c r="IYE115" s="381"/>
      <c r="IYF115" s="381"/>
      <c r="IYG115" s="381"/>
      <c r="IYH115" s="381"/>
      <c r="IYI115" s="381"/>
      <c r="IYJ115" s="381"/>
      <c r="IYK115" s="381"/>
      <c r="IYL115" s="381"/>
      <c r="IYM115" s="381"/>
      <c r="IYN115" s="381"/>
      <c r="IYO115" s="381"/>
      <c r="IYP115" s="381"/>
      <c r="IYQ115" s="381"/>
      <c r="IYR115" s="381"/>
      <c r="IYS115" s="381"/>
      <c r="IYT115" s="381"/>
      <c r="IYU115" s="381"/>
      <c r="IYV115" s="381"/>
      <c r="IYW115" s="381"/>
      <c r="IYX115" s="381"/>
      <c r="IYY115" s="381"/>
      <c r="IYZ115" s="381"/>
      <c r="IZA115" s="381"/>
      <c r="IZB115" s="381"/>
      <c r="IZC115" s="381"/>
      <c r="IZD115" s="381"/>
      <c r="IZE115" s="381"/>
      <c r="IZF115" s="381"/>
      <c r="IZG115" s="381"/>
      <c r="IZH115" s="381"/>
      <c r="IZI115" s="381"/>
      <c r="IZJ115" s="381"/>
      <c r="IZK115" s="381"/>
      <c r="IZL115" s="381"/>
      <c r="IZM115" s="381"/>
      <c r="IZN115" s="381"/>
      <c r="IZO115" s="381"/>
      <c r="IZP115" s="381"/>
      <c r="IZQ115" s="381"/>
      <c r="IZR115" s="381"/>
      <c r="IZS115" s="381"/>
      <c r="IZT115" s="381"/>
      <c r="IZU115" s="381"/>
      <c r="IZV115" s="381"/>
      <c r="IZW115" s="381"/>
      <c r="IZX115" s="381"/>
      <c r="IZY115" s="381"/>
      <c r="IZZ115" s="381"/>
      <c r="JAA115" s="381"/>
      <c r="JAB115" s="381"/>
      <c r="JAC115" s="381"/>
      <c r="JAD115" s="381"/>
      <c r="JAE115" s="381"/>
      <c r="JAF115" s="381"/>
      <c r="JAG115" s="381"/>
      <c r="JAH115" s="381"/>
      <c r="JAI115" s="381"/>
      <c r="JAJ115" s="381"/>
      <c r="JAK115" s="381"/>
      <c r="JAL115" s="381"/>
      <c r="JAM115" s="381"/>
      <c r="JAN115" s="381"/>
      <c r="JAO115" s="381"/>
      <c r="JAP115" s="381"/>
      <c r="JAQ115" s="381"/>
      <c r="JAR115" s="381"/>
      <c r="JAS115" s="381"/>
      <c r="JAT115" s="381"/>
      <c r="JAU115" s="381"/>
      <c r="JAV115" s="381"/>
      <c r="JAW115" s="381"/>
      <c r="JAX115" s="381"/>
      <c r="JAY115" s="381"/>
      <c r="JAZ115" s="381"/>
      <c r="JBA115" s="381"/>
      <c r="JBB115" s="381"/>
      <c r="JBC115" s="381"/>
      <c r="JBD115" s="381"/>
      <c r="JBE115" s="381"/>
      <c r="JBF115" s="381"/>
      <c r="JBG115" s="381"/>
      <c r="JBH115" s="381"/>
      <c r="JBI115" s="381"/>
      <c r="JBJ115" s="381"/>
      <c r="JBK115" s="381"/>
      <c r="JBL115" s="381"/>
      <c r="JBM115" s="381"/>
      <c r="JBN115" s="381"/>
      <c r="JBO115" s="381"/>
      <c r="JBP115" s="381"/>
      <c r="JBQ115" s="381"/>
      <c r="JBR115" s="381"/>
      <c r="JBS115" s="381"/>
      <c r="JBT115" s="381"/>
      <c r="JBU115" s="381"/>
      <c r="JBV115" s="381"/>
      <c r="JBW115" s="381"/>
      <c r="JBX115" s="381"/>
      <c r="JBY115" s="381"/>
      <c r="JBZ115" s="381"/>
      <c r="JCA115" s="381"/>
      <c r="JCB115" s="381"/>
      <c r="JCC115" s="381"/>
      <c r="JCD115" s="381"/>
      <c r="JCE115" s="381"/>
      <c r="JCF115" s="381"/>
      <c r="JCG115" s="381"/>
      <c r="JCH115" s="381"/>
      <c r="JCI115" s="381"/>
      <c r="JCJ115" s="381"/>
      <c r="JCK115" s="381"/>
      <c r="JCL115" s="381"/>
      <c r="JCM115" s="381"/>
      <c r="JCN115" s="381"/>
      <c r="JCO115" s="381"/>
      <c r="JCP115" s="381"/>
      <c r="JCQ115" s="381"/>
      <c r="JCR115" s="381"/>
      <c r="JCS115" s="381"/>
      <c r="JCT115" s="381"/>
      <c r="JCU115" s="381"/>
      <c r="JCV115" s="381"/>
      <c r="JCW115" s="381"/>
      <c r="JCX115" s="381"/>
      <c r="JCY115" s="381"/>
      <c r="JCZ115" s="381"/>
      <c r="JDA115" s="381"/>
      <c r="JDB115" s="381"/>
      <c r="JDC115" s="381"/>
      <c r="JDD115" s="381"/>
      <c r="JDE115" s="381"/>
      <c r="JDF115" s="381"/>
      <c r="JDG115" s="381"/>
      <c r="JDH115" s="381"/>
      <c r="JDI115" s="381"/>
      <c r="JDJ115" s="381"/>
      <c r="JDK115" s="381"/>
      <c r="JDL115" s="381"/>
      <c r="JDM115" s="381"/>
      <c r="JDN115" s="381"/>
      <c r="JDO115" s="381"/>
      <c r="JDP115" s="381"/>
      <c r="JDQ115" s="381"/>
      <c r="JDR115" s="381"/>
      <c r="JDS115" s="381"/>
      <c r="JDT115" s="381"/>
      <c r="JDU115" s="381"/>
      <c r="JDV115" s="381"/>
      <c r="JDW115" s="381"/>
      <c r="JDX115" s="381"/>
      <c r="JDY115" s="381"/>
      <c r="JDZ115" s="381"/>
      <c r="JEA115" s="381"/>
      <c r="JEB115" s="381"/>
      <c r="JEC115" s="381"/>
      <c r="JED115" s="381"/>
      <c r="JEE115" s="381"/>
      <c r="JEF115" s="381"/>
      <c r="JEG115" s="381"/>
      <c r="JEH115" s="381"/>
      <c r="JEI115" s="381"/>
      <c r="JEJ115" s="381"/>
      <c r="JEK115" s="381"/>
      <c r="JEL115" s="381"/>
      <c r="JEM115" s="381"/>
      <c r="JEN115" s="381"/>
      <c r="JEO115" s="381"/>
      <c r="JEP115" s="381"/>
      <c r="JEQ115" s="381"/>
      <c r="JER115" s="381"/>
      <c r="JES115" s="381"/>
      <c r="JET115" s="381"/>
      <c r="JEU115" s="381"/>
      <c r="JEV115" s="381"/>
      <c r="JEW115" s="381"/>
      <c r="JEX115" s="381"/>
      <c r="JEY115" s="381"/>
      <c r="JEZ115" s="381"/>
      <c r="JFA115" s="381"/>
      <c r="JFB115" s="381"/>
      <c r="JFC115" s="381"/>
      <c r="JFD115" s="381"/>
      <c r="JFE115" s="381"/>
      <c r="JFF115" s="381"/>
      <c r="JFG115" s="381"/>
      <c r="JFH115" s="381"/>
      <c r="JFI115" s="381"/>
      <c r="JFJ115" s="381"/>
      <c r="JFK115" s="381"/>
      <c r="JFL115" s="381"/>
      <c r="JFM115" s="381"/>
      <c r="JFN115" s="381"/>
      <c r="JFO115" s="381"/>
      <c r="JFP115" s="381"/>
      <c r="JFQ115" s="381"/>
      <c r="JFR115" s="381"/>
      <c r="JFS115" s="381"/>
      <c r="JFT115" s="381"/>
      <c r="JFU115" s="381"/>
      <c r="JFV115" s="381"/>
      <c r="JFW115" s="381"/>
      <c r="JFX115" s="381"/>
      <c r="JFY115" s="381"/>
      <c r="JFZ115" s="381"/>
      <c r="JGA115" s="381"/>
      <c r="JGB115" s="381"/>
      <c r="JGC115" s="381"/>
      <c r="JGD115" s="381"/>
      <c r="JGE115" s="381"/>
      <c r="JGF115" s="381"/>
      <c r="JGG115" s="381"/>
      <c r="JGH115" s="381"/>
      <c r="JGI115" s="381"/>
      <c r="JGJ115" s="381"/>
      <c r="JGK115" s="381"/>
      <c r="JGL115" s="381"/>
      <c r="JGM115" s="381"/>
      <c r="JGN115" s="381"/>
      <c r="JGO115" s="381"/>
      <c r="JGP115" s="381"/>
      <c r="JGQ115" s="381"/>
      <c r="JGR115" s="381"/>
      <c r="JGS115" s="381"/>
      <c r="JGT115" s="381"/>
      <c r="JGU115" s="381"/>
      <c r="JGV115" s="381"/>
      <c r="JGW115" s="381"/>
      <c r="JGX115" s="381"/>
      <c r="JGY115" s="381"/>
      <c r="JGZ115" s="381"/>
      <c r="JHA115" s="381"/>
      <c r="JHB115" s="381"/>
      <c r="JHC115" s="381"/>
      <c r="JHD115" s="381"/>
      <c r="JHE115" s="381"/>
      <c r="JHF115" s="381"/>
      <c r="JHG115" s="381"/>
      <c r="JHH115" s="381"/>
      <c r="JHI115" s="381"/>
      <c r="JHJ115" s="381"/>
      <c r="JHK115" s="381"/>
      <c r="JHL115" s="381"/>
      <c r="JHM115" s="381"/>
      <c r="JHN115" s="381"/>
      <c r="JHO115" s="381"/>
      <c r="JHP115" s="381"/>
      <c r="JHQ115" s="381"/>
      <c r="JHR115" s="381"/>
      <c r="JHS115" s="381"/>
      <c r="JHT115" s="381"/>
      <c r="JHU115" s="381"/>
      <c r="JHV115" s="381"/>
      <c r="JHW115" s="381"/>
      <c r="JHX115" s="381"/>
      <c r="JHY115" s="381"/>
      <c r="JHZ115" s="381"/>
      <c r="JIA115" s="381"/>
      <c r="JIB115" s="381"/>
      <c r="JIC115" s="381"/>
      <c r="JID115" s="381"/>
      <c r="JIE115" s="381"/>
      <c r="JIF115" s="381"/>
      <c r="JIG115" s="381"/>
      <c r="JIH115" s="381"/>
      <c r="JII115" s="381"/>
      <c r="JIJ115" s="381"/>
      <c r="JIK115" s="381"/>
      <c r="JIL115" s="381"/>
      <c r="JIM115" s="381"/>
      <c r="JIN115" s="381"/>
      <c r="JIO115" s="381"/>
      <c r="JIP115" s="381"/>
      <c r="JIQ115" s="381"/>
      <c r="JIR115" s="381"/>
      <c r="JIS115" s="381"/>
      <c r="JIT115" s="381"/>
      <c r="JIU115" s="381"/>
      <c r="JIV115" s="381"/>
      <c r="JIW115" s="381"/>
      <c r="JIX115" s="381"/>
      <c r="JIY115" s="381"/>
      <c r="JIZ115" s="381"/>
      <c r="JJA115" s="381"/>
      <c r="JJB115" s="381"/>
      <c r="JJC115" s="381"/>
      <c r="JJD115" s="381"/>
      <c r="JJE115" s="381"/>
      <c r="JJF115" s="381"/>
      <c r="JJG115" s="381"/>
      <c r="JJH115" s="381"/>
      <c r="JJI115" s="381"/>
      <c r="JJJ115" s="381"/>
      <c r="JJK115" s="381"/>
      <c r="JJL115" s="381"/>
      <c r="JJM115" s="381"/>
      <c r="JJN115" s="381"/>
      <c r="JJO115" s="381"/>
      <c r="JJP115" s="381"/>
      <c r="JJQ115" s="381"/>
      <c r="JJR115" s="381"/>
      <c r="JJS115" s="381"/>
      <c r="JJT115" s="381"/>
      <c r="JJU115" s="381"/>
      <c r="JJV115" s="381"/>
      <c r="JJW115" s="381"/>
      <c r="JJX115" s="381"/>
      <c r="JJY115" s="381"/>
      <c r="JJZ115" s="381"/>
      <c r="JKA115" s="381"/>
      <c r="JKB115" s="381"/>
      <c r="JKC115" s="381"/>
      <c r="JKD115" s="381"/>
      <c r="JKE115" s="381"/>
      <c r="JKF115" s="381"/>
      <c r="JKG115" s="381"/>
      <c r="JKH115" s="381"/>
      <c r="JKI115" s="381"/>
      <c r="JKJ115" s="381"/>
      <c r="JKK115" s="381"/>
      <c r="JKL115" s="381"/>
      <c r="JKM115" s="381"/>
      <c r="JKN115" s="381"/>
      <c r="JKO115" s="381"/>
      <c r="JKP115" s="381"/>
      <c r="JKQ115" s="381"/>
      <c r="JKR115" s="381"/>
      <c r="JKS115" s="381"/>
      <c r="JKT115" s="381"/>
      <c r="JKU115" s="381"/>
      <c r="JKV115" s="381"/>
      <c r="JKW115" s="381"/>
      <c r="JKX115" s="381"/>
      <c r="JKY115" s="381"/>
      <c r="JKZ115" s="381"/>
      <c r="JLA115" s="381"/>
      <c r="JLB115" s="381"/>
      <c r="JLC115" s="381"/>
      <c r="JLD115" s="381"/>
      <c r="JLE115" s="381"/>
      <c r="JLF115" s="381"/>
      <c r="JLG115" s="381"/>
      <c r="JLH115" s="381"/>
      <c r="JLI115" s="381"/>
      <c r="JLJ115" s="381"/>
      <c r="JLK115" s="381"/>
      <c r="JLL115" s="381"/>
      <c r="JLM115" s="381"/>
      <c r="JLN115" s="381"/>
      <c r="JLO115" s="381"/>
      <c r="JLP115" s="381"/>
      <c r="JLQ115" s="381"/>
      <c r="JLR115" s="381"/>
      <c r="JLS115" s="381"/>
      <c r="JLT115" s="381"/>
      <c r="JLU115" s="381"/>
      <c r="JLV115" s="381"/>
      <c r="JLW115" s="381"/>
      <c r="JLX115" s="381"/>
      <c r="JLY115" s="381"/>
      <c r="JLZ115" s="381"/>
      <c r="JMA115" s="381"/>
      <c r="JMB115" s="381"/>
      <c r="JMC115" s="381"/>
      <c r="JMD115" s="381"/>
      <c r="JME115" s="381"/>
      <c r="JMF115" s="381"/>
      <c r="JMG115" s="381"/>
      <c r="JMH115" s="381"/>
      <c r="JMI115" s="381"/>
      <c r="JMJ115" s="381"/>
      <c r="JMK115" s="381"/>
      <c r="JML115" s="381"/>
      <c r="JMM115" s="381"/>
      <c r="JMN115" s="381"/>
      <c r="JMO115" s="381"/>
      <c r="JMP115" s="381"/>
      <c r="JMQ115" s="381"/>
      <c r="JMR115" s="381"/>
      <c r="JMS115" s="381"/>
      <c r="JMT115" s="381"/>
      <c r="JMU115" s="381"/>
      <c r="JMV115" s="381"/>
      <c r="JMW115" s="381"/>
      <c r="JMX115" s="381"/>
      <c r="JMY115" s="381"/>
      <c r="JMZ115" s="381"/>
      <c r="JNA115" s="381"/>
      <c r="JNB115" s="381"/>
      <c r="JNC115" s="381"/>
      <c r="JND115" s="381"/>
      <c r="JNE115" s="381"/>
      <c r="JNF115" s="381"/>
      <c r="JNG115" s="381"/>
      <c r="JNH115" s="381"/>
      <c r="JNI115" s="381"/>
      <c r="JNJ115" s="381"/>
      <c r="JNK115" s="381"/>
      <c r="JNL115" s="381"/>
      <c r="JNM115" s="381"/>
      <c r="JNN115" s="381"/>
      <c r="JNO115" s="381"/>
      <c r="JNP115" s="381"/>
      <c r="JNQ115" s="381"/>
      <c r="JNR115" s="381"/>
      <c r="JNS115" s="381"/>
      <c r="JNT115" s="381"/>
      <c r="JNU115" s="381"/>
      <c r="JNV115" s="381"/>
      <c r="JNW115" s="381"/>
      <c r="JNX115" s="381"/>
      <c r="JNY115" s="381"/>
      <c r="JNZ115" s="381"/>
      <c r="JOA115" s="381"/>
      <c r="JOB115" s="381"/>
      <c r="JOC115" s="381"/>
      <c r="JOD115" s="381"/>
      <c r="JOE115" s="381"/>
      <c r="JOF115" s="381"/>
      <c r="JOG115" s="381"/>
      <c r="JOH115" s="381"/>
      <c r="JOI115" s="381"/>
      <c r="JOJ115" s="381"/>
      <c r="JOK115" s="381"/>
      <c r="JOL115" s="381"/>
      <c r="JOM115" s="381"/>
      <c r="JON115" s="381"/>
      <c r="JOO115" s="381"/>
      <c r="JOP115" s="381"/>
      <c r="JOQ115" s="381"/>
      <c r="JOR115" s="381"/>
      <c r="JOS115" s="381"/>
      <c r="JOT115" s="381"/>
      <c r="JOU115" s="381"/>
      <c r="JOV115" s="381"/>
      <c r="JOW115" s="381"/>
      <c r="JOX115" s="381"/>
      <c r="JOY115" s="381"/>
      <c r="JOZ115" s="381"/>
      <c r="JPA115" s="381"/>
      <c r="JPB115" s="381"/>
      <c r="JPC115" s="381"/>
      <c r="JPD115" s="381"/>
      <c r="JPE115" s="381"/>
      <c r="JPF115" s="381"/>
      <c r="JPG115" s="381"/>
      <c r="JPH115" s="381"/>
      <c r="JPI115" s="381"/>
      <c r="JPJ115" s="381"/>
      <c r="JPK115" s="381"/>
      <c r="JPL115" s="381"/>
      <c r="JPM115" s="381"/>
      <c r="JPN115" s="381"/>
      <c r="JPO115" s="381"/>
      <c r="JPP115" s="381"/>
      <c r="JPQ115" s="381"/>
      <c r="JPR115" s="381"/>
      <c r="JPS115" s="381"/>
      <c r="JPT115" s="381"/>
      <c r="JPU115" s="381"/>
      <c r="JPV115" s="381"/>
      <c r="JPW115" s="381"/>
      <c r="JPX115" s="381"/>
      <c r="JPY115" s="381"/>
      <c r="JPZ115" s="381"/>
      <c r="JQA115" s="381"/>
      <c r="JQB115" s="381"/>
      <c r="JQC115" s="381"/>
      <c r="JQD115" s="381"/>
      <c r="JQE115" s="381"/>
      <c r="JQF115" s="381"/>
      <c r="JQG115" s="381"/>
      <c r="JQH115" s="381"/>
      <c r="JQI115" s="381"/>
      <c r="JQJ115" s="381"/>
      <c r="JQK115" s="381"/>
      <c r="JQL115" s="381"/>
      <c r="JQM115" s="381"/>
      <c r="JQN115" s="381"/>
      <c r="JQO115" s="381"/>
      <c r="JQP115" s="381"/>
      <c r="JQQ115" s="381"/>
      <c r="JQR115" s="381"/>
      <c r="JQS115" s="381"/>
      <c r="JQT115" s="381"/>
      <c r="JQU115" s="381"/>
      <c r="JQV115" s="381"/>
      <c r="JQW115" s="381"/>
      <c r="JQX115" s="381"/>
      <c r="JQY115" s="381"/>
      <c r="JQZ115" s="381"/>
      <c r="JRA115" s="381"/>
      <c r="JRB115" s="381"/>
      <c r="JRC115" s="381"/>
      <c r="JRD115" s="381"/>
      <c r="JRE115" s="381"/>
      <c r="JRF115" s="381"/>
      <c r="JRG115" s="381"/>
      <c r="JRH115" s="381"/>
      <c r="JRI115" s="381"/>
      <c r="JRJ115" s="381"/>
      <c r="JRK115" s="381"/>
      <c r="JRL115" s="381"/>
      <c r="JRM115" s="381"/>
      <c r="JRN115" s="381"/>
      <c r="JRO115" s="381"/>
      <c r="JRP115" s="381"/>
      <c r="JRQ115" s="381"/>
      <c r="JRR115" s="381"/>
      <c r="JRS115" s="381"/>
      <c r="JRT115" s="381"/>
      <c r="JRU115" s="381"/>
      <c r="JRV115" s="381"/>
      <c r="JRW115" s="381"/>
      <c r="JRX115" s="381"/>
      <c r="JRY115" s="381"/>
      <c r="JRZ115" s="381"/>
      <c r="JSA115" s="381"/>
      <c r="JSB115" s="381"/>
      <c r="JSC115" s="381"/>
      <c r="JSD115" s="381"/>
      <c r="JSE115" s="381"/>
      <c r="JSF115" s="381"/>
      <c r="JSG115" s="381"/>
      <c r="JSH115" s="381"/>
      <c r="JSI115" s="381"/>
      <c r="JSJ115" s="381"/>
      <c r="JSK115" s="381"/>
      <c r="JSL115" s="381"/>
      <c r="JSM115" s="381"/>
      <c r="JSN115" s="381"/>
      <c r="JSO115" s="381"/>
      <c r="JSP115" s="381"/>
      <c r="JSQ115" s="381"/>
      <c r="JSR115" s="381"/>
      <c r="JSS115" s="381"/>
      <c r="JST115" s="381"/>
      <c r="JSU115" s="381"/>
      <c r="JSV115" s="381"/>
      <c r="JSW115" s="381"/>
      <c r="JSX115" s="381"/>
      <c r="JSY115" s="381"/>
      <c r="JSZ115" s="381"/>
      <c r="JTA115" s="381"/>
      <c r="JTB115" s="381"/>
      <c r="JTC115" s="381"/>
      <c r="JTD115" s="381"/>
      <c r="JTE115" s="381"/>
      <c r="JTF115" s="381"/>
      <c r="JTG115" s="381"/>
      <c r="JTH115" s="381"/>
      <c r="JTI115" s="381"/>
      <c r="JTJ115" s="381"/>
      <c r="JTK115" s="381"/>
      <c r="JTL115" s="381"/>
      <c r="JTM115" s="381"/>
      <c r="JTN115" s="381"/>
      <c r="JTO115" s="381"/>
      <c r="JTP115" s="381"/>
      <c r="JTQ115" s="381"/>
      <c r="JTR115" s="381"/>
      <c r="JTS115" s="381"/>
      <c r="JTT115" s="381"/>
      <c r="JTU115" s="381"/>
      <c r="JTV115" s="381"/>
      <c r="JTW115" s="381"/>
      <c r="JTX115" s="381"/>
      <c r="JTY115" s="381"/>
      <c r="JTZ115" s="381"/>
      <c r="JUA115" s="381"/>
      <c r="JUB115" s="381"/>
      <c r="JUC115" s="381"/>
      <c r="JUD115" s="381"/>
      <c r="JUE115" s="381"/>
      <c r="JUF115" s="381"/>
      <c r="JUG115" s="381"/>
      <c r="JUH115" s="381"/>
      <c r="JUI115" s="381"/>
      <c r="JUJ115" s="381"/>
      <c r="JUK115" s="381"/>
      <c r="JUL115" s="381"/>
      <c r="JUM115" s="381"/>
      <c r="JUN115" s="381"/>
      <c r="JUO115" s="381"/>
      <c r="JUP115" s="381"/>
      <c r="JUQ115" s="381"/>
      <c r="JUR115" s="381"/>
      <c r="JUS115" s="381"/>
      <c r="JUT115" s="381"/>
      <c r="JUU115" s="381"/>
      <c r="JUV115" s="381"/>
      <c r="JUW115" s="381"/>
      <c r="JUX115" s="381"/>
      <c r="JUY115" s="381"/>
      <c r="JUZ115" s="381"/>
      <c r="JVA115" s="381"/>
      <c r="JVB115" s="381"/>
      <c r="JVC115" s="381"/>
      <c r="JVD115" s="381"/>
      <c r="JVE115" s="381"/>
      <c r="JVF115" s="381"/>
      <c r="JVG115" s="381"/>
      <c r="JVH115" s="381"/>
      <c r="JVI115" s="381"/>
      <c r="JVJ115" s="381"/>
      <c r="JVK115" s="381"/>
      <c r="JVL115" s="381"/>
      <c r="JVM115" s="381"/>
      <c r="JVN115" s="381"/>
      <c r="JVO115" s="381"/>
      <c r="JVP115" s="381"/>
      <c r="JVQ115" s="381"/>
      <c r="JVR115" s="381"/>
      <c r="JVS115" s="381"/>
      <c r="JVT115" s="381"/>
      <c r="JVU115" s="381"/>
      <c r="JVV115" s="381"/>
      <c r="JVW115" s="381"/>
      <c r="JVX115" s="381"/>
      <c r="JVY115" s="381"/>
      <c r="JVZ115" s="381"/>
      <c r="JWA115" s="381"/>
      <c r="JWB115" s="381"/>
      <c r="JWC115" s="381"/>
      <c r="JWD115" s="381"/>
      <c r="JWE115" s="381"/>
      <c r="JWF115" s="381"/>
      <c r="JWG115" s="381"/>
      <c r="JWH115" s="381"/>
      <c r="JWI115" s="381"/>
      <c r="JWJ115" s="381"/>
      <c r="JWK115" s="381"/>
      <c r="JWL115" s="381"/>
      <c r="JWM115" s="381"/>
      <c r="JWN115" s="381"/>
      <c r="JWO115" s="381"/>
      <c r="JWP115" s="381"/>
      <c r="JWQ115" s="381"/>
      <c r="JWR115" s="381"/>
      <c r="JWS115" s="381"/>
      <c r="JWT115" s="381"/>
      <c r="JWU115" s="381"/>
      <c r="JWV115" s="381"/>
      <c r="JWW115" s="381"/>
      <c r="JWX115" s="381"/>
      <c r="JWY115" s="381"/>
      <c r="JWZ115" s="381"/>
      <c r="JXA115" s="381"/>
      <c r="JXB115" s="381"/>
      <c r="JXC115" s="381"/>
      <c r="JXD115" s="381"/>
      <c r="JXE115" s="381"/>
      <c r="JXF115" s="381"/>
      <c r="JXG115" s="381"/>
      <c r="JXH115" s="381"/>
      <c r="JXI115" s="381"/>
      <c r="JXJ115" s="381"/>
      <c r="JXK115" s="381"/>
      <c r="JXL115" s="381"/>
      <c r="JXM115" s="381"/>
      <c r="JXN115" s="381"/>
      <c r="JXO115" s="381"/>
      <c r="JXP115" s="381"/>
      <c r="JXQ115" s="381"/>
      <c r="JXR115" s="381"/>
      <c r="JXS115" s="381"/>
      <c r="JXT115" s="381"/>
      <c r="JXU115" s="381"/>
      <c r="JXV115" s="381"/>
      <c r="JXW115" s="381"/>
      <c r="JXX115" s="381"/>
      <c r="JXY115" s="381"/>
      <c r="JXZ115" s="381"/>
      <c r="JYA115" s="381"/>
      <c r="JYB115" s="381"/>
      <c r="JYC115" s="381"/>
      <c r="JYD115" s="381"/>
      <c r="JYE115" s="381"/>
      <c r="JYF115" s="381"/>
      <c r="JYG115" s="381"/>
      <c r="JYH115" s="381"/>
      <c r="JYI115" s="381"/>
      <c r="JYJ115" s="381"/>
      <c r="JYK115" s="381"/>
      <c r="JYL115" s="381"/>
      <c r="JYM115" s="381"/>
      <c r="JYN115" s="381"/>
      <c r="JYO115" s="381"/>
      <c r="JYP115" s="381"/>
      <c r="JYQ115" s="381"/>
      <c r="JYR115" s="381"/>
      <c r="JYS115" s="381"/>
      <c r="JYT115" s="381"/>
      <c r="JYU115" s="381"/>
      <c r="JYV115" s="381"/>
      <c r="JYW115" s="381"/>
      <c r="JYX115" s="381"/>
      <c r="JYY115" s="381"/>
      <c r="JYZ115" s="381"/>
      <c r="JZA115" s="381"/>
      <c r="JZB115" s="381"/>
      <c r="JZC115" s="381"/>
      <c r="JZD115" s="381"/>
      <c r="JZE115" s="381"/>
      <c r="JZF115" s="381"/>
      <c r="JZG115" s="381"/>
      <c r="JZH115" s="381"/>
      <c r="JZI115" s="381"/>
      <c r="JZJ115" s="381"/>
      <c r="JZK115" s="381"/>
      <c r="JZL115" s="381"/>
      <c r="JZM115" s="381"/>
      <c r="JZN115" s="381"/>
      <c r="JZO115" s="381"/>
      <c r="JZP115" s="381"/>
      <c r="JZQ115" s="381"/>
      <c r="JZR115" s="381"/>
      <c r="JZS115" s="381"/>
      <c r="JZT115" s="381"/>
      <c r="JZU115" s="381"/>
      <c r="JZV115" s="381"/>
      <c r="JZW115" s="381"/>
      <c r="JZX115" s="381"/>
      <c r="JZY115" s="381"/>
      <c r="JZZ115" s="381"/>
      <c r="KAA115" s="381"/>
      <c r="KAB115" s="381"/>
      <c r="KAC115" s="381"/>
      <c r="KAD115" s="381"/>
      <c r="KAE115" s="381"/>
      <c r="KAF115" s="381"/>
      <c r="KAG115" s="381"/>
      <c r="KAH115" s="381"/>
      <c r="KAI115" s="381"/>
      <c r="KAJ115" s="381"/>
      <c r="KAK115" s="381"/>
      <c r="KAL115" s="381"/>
      <c r="KAM115" s="381"/>
      <c r="KAN115" s="381"/>
      <c r="KAO115" s="381"/>
      <c r="KAP115" s="381"/>
      <c r="KAQ115" s="381"/>
      <c r="KAR115" s="381"/>
      <c r="KAS115" s="381"/>
      <c r="KAT115" s="381"/>
      <c r="KAU115" s="381"/>
      <c r="KAV115" s="381"/>
      <c r="KAW115" s="381"/>
      <c r="KAX115" s="381"/>
      <c r="KAY115" s="381"/>
      <c r="KAZ115" s="381"/>
      <c r="KBA115" s="381"/>
      <c r="KBB115" s="381"/>
      <c r="KBC115" s="381"/>
      <c r="KBD115" s="381"/>
      <c r="KBE115" s="381"/>
      <c r="KBF115" s="381"/>
      <c r="KBG115" s="381"/>
      <c r="KBH115" s="381"/>
      <c r="KBI115" s="381"/>
      <c r="KBJ115" s="381"/>
      <c r="KBK115" s="381"/>
      <c r="KBL115" s="381"/>
      <c r="KBM115" s="381"/>
      <c r="KBN115" s="381"/>
      <c r="KBO115" s="381"/>
      <c r="KBP115" s="381"/>
      <c r="KBQ115" s="381"/>
      <c r="KBR115" s="381"/>
      <c r="KBS115" s="381"/>
      <c r="KBT115" s="381"/>
      <c r="KBU115" s="381"/>
      <c r="KBV115" s="381"/>
      <c r="KBW115" s="381"/>
      <c r="KBX115" s="381"/>
      <c r="KBY115" s="381"/>
      <c r="KBZ115" s="381"/>
      <c r="KCA115" s="381"/>
      <c r="KCB115" s="381"/>
      <c r="KCC115" s="381"/>
      <c r="KCD115" s="381"/>
      <c r="KCE115" s="381"/>
      <c r="KCF115" s="381"/>
      <c r="KCG115" s="381"/>
      <c r="KCH115" s="381"/>
      <c r="KCI115" s="381"/>
      <c r="KCJ115" s="381"/>
      <c r="KCK115" s="381"/>
      <c r="KCL115" s="381"/>
      <c r="KCM115" s="381"/>
      <c r="KCN115" s="381"/>
      <c r="KCO115" s="381"/>
      <c r="KCP115" s="381"/>
      <c r="KCQ115" s="381"/>
      <c r="KCR115" s="381"/>
      <c r="KCS115" s="381"/>
      <c r="KCT115" s="381"/>
      <c r="KCU115" s="381"/>
      <c r="KCV115" s="381"/>
      <c r="KCW115" s="381"/>
      <c r="KCX115" s="381"/>
      <c r="KCY115" s="381"/>
      <c r="KCZ115" s="381"/>
      <c r="KDA115" s="381"/>
      <c r="KDB115" s="381"/>
      <c r="KDC115" s="381"/>
      <c r="KDD115" s="381"/>
      <c r="KDE115" s="381"/>
      <c r="KDF115" s="381"/>
      <c r="KDG115" s="381"/>
      <c r="KDH115" s="381"/>
      <c r="KDI115" s="381"/>
      <c r="KDJ115" s="381"/>
      <c r="KDK115" s="381"/>
      <c r="KDL115" s="381"/>
      <c r="KDM115" s="381"/>
      <c r="KDN115" s="381"/>
      <c r="KDO115" s="381"/>
      <c r="KDP115" s="381"/>
      <c r="KDQ115" s="381"/>
      <c r="KDR115" s="381"/>
      <c r="KDS115" s="381"/>
      <c r="KDT115" s="381"/>
      <c r="KDU115" s="381"/>
      <c r="KDV115" s="381"/>
      <c r="KDW115" s="381"/>
      <c r="KDX115" s="381"/>
      <c r="KDY115" s="381"/>
      <c r="KDZ115" s="381"/>
      <c r="KEA115" s="381"/>
      <c r="KEB115" s="381"/>
      <c r="KEC115" s="381"/>
      <c r="KED115" s="381"/>
      <c r="KEE115" s="381"/>
      <c r="KEF115" s="381"/>
      <c r="KEG115" s="381"/>
      <c r="KEH115" s="381"/>
      <c r="KEI115" s="381"/>
      <c r="KEJ115" s="381"/>
      <c r="KEK115" s="381"/>
      <c r="KEL115" s="381"/>
      <c r="KEM115" s="381"/>
      <c r="KEN115" s="381"/>
      <c r="KEO115" s="381"/>
      <c r="KEP115" s="381"/>
      <c r="KEQ115" s="381"/>
      <c r="KER115" s="381"/>
      <c r="KES115" s="381"/>
      <c r="KET115" s="381"/>
      <c r="KEU115" s="381"/>
      <c r="KEV115" s="381"/>
      <c r="KEW115" s="381"/>
      <c r="KEX115" s="381"/>
      <c r="KEY115" s="381"/>
      <c r="KEZ115" s="381"/>
      <c r="KFA115" s="381"/>
      <c r="KFB115" s="381"/>
      <c r="KFC115" s="381"/>
      <c r="KFD115" s="381"/>
      <c r="KFE115" s="381"/>
      <c r="KFF115" s="381"/>
      <c r="KFG115" s="381"/>
      <c r="KFH115" s="381"/>
      <c r="KFI115" s="381"/>
      <c r="KFJ115" s="381"/>
      <c r="KFK115" s="381"/>
      <c r="KFL115" s="381"/>
      <c r="KFM115" s="381"/>
      <c r="KFN115" s="381"/>
      <c r="KFO115" s="381"/>
      <c r="KFP115" s="381"/>
      <c r="KFQ115" s="381"/>
      <c r="KFR115" s="381"/>
      <c r="KFS115" s="381"/>
      <c r="KFT115" s="381"/>
      <c r="KFU115" s="381"/>
      <c r="KFV115" s="381"/>
      <c r="KFW115" s="381"/>
      <c r="KFX115" s="381"/>
      <c r="KFY115" s="381"/>
      <c r="KFZ115" s="381"/>
      <c r="KGA115" s="381"/>
      <c r="KGB115" s="381"/>
      <c r="KGC115" s="381"/>
      <c r="KGD115" s="381"/>
      <c r="KGE115" s="381"/>
      <c r="KGF115" s="381"/>
      <c r="KGG115" s="381"/>
      <c r="KGH115" s="381"/>
      <c r="KGI115" s="381"/>
      <c r="KGJ115" s="381"/>
      <c r="KGK115" s="381"/>
      <c r="KGL115" s="381"/>
      <c r="KGM115" s="381"/>
      <c r="KGN115" s="381"/>
      <c r="KGO115" s="381"/>
      <c r="KGP115" s="381"/>
      <c r="KGQ115" s="381"/>
      <c r="KGR115" s="381"/>
      <c r="KGS115" s="381"/>
      <c r="KGT115" s="381"/>
      <c r="KGU115" s="381"/>
      <c r="KGV115" s="381"/>
      <c r="KGW115" s="381"/>
      <c r="KGX115" s="381"/>
      <c r="KGY115" s="381"/>
      <c r="KGZ115" s="381"/>
      <c r="KHA115" s="381"/>
      <c r="KHB115" s="381"/>
      <c r="KHC115" s="381"/>
      <c r="KHD115" s="381"/>
      <c r="KHE115" s="381"/>
      <c r="KHF115" s="381"/>
      <c r="KHG115" s="381"/>
      <c r="KHH115" s="381"/>
      <c r="KHI115" s="381"/>
      <c r="KHJ115" s="381"/>
      <c r="KHK115" s="381"/>
      <c r="KHL115" s="381"/>
      <c r="KHM115" s="381"/>
      <c r="KHN115" s="381"/>
      <c r="KHO115" s="381"/>
      <c r="KHP115" s="381"/>
      <c r="KHQ115" s="381"/>
      <c r="KHR115" s="381"/>
      <c r="KHS115" s="381"/>
      <c r="KHT115" s="381"/>
      <c r="KHU115" s="381"/>
      <c r="KHV115" s="381"/>
      <c r="KHW115" s="381"/>
      <c r="KHX115" s="381"/>
      <c r="KHY115" s="381"/>
      <c r="KHZ115" s="381"/>
      <c r="KIA115" s="381"/>
      <c r="KIB115" s="381"/>
      <c r="KIC115" s="381"/>
      <c r="KID115" s="381"/>
      <c r="KIE115" s="381"/>
      <c r="KIF115" s="381"/>
      <c r="KIG115" s="381"/>
      <c r="KIH115" s="381"/>
      <c r="KII115" s="381"/>
      <c r="KIJ115" s="381"/>
      <c r="KIK115" s="381"/>
      <c r="KIL115" s="381"/>
      <c r="KIM115" s="381"/>
      <c r="KIN115" s="381"/>
      <c r="KIO115" s="381"/>
      <c r="KIP115" s="381"/>
      <c r="KIQ115" s="381"/>
      <c r="KIR115" s="381"/>
      <c r="KIS115" s="381"/>
      <c r="KIT115" s="381"/>
      <c r="KIU115" s="381"/>
      <c r="KIV115" s="381"/>
      <c r="KIW115" s="381"/>
      <c r="KIX115" s="381"/>
      <c r="KIY115" s="381"/>
      <c r="KIZ115" s="381"/>
      <c r="KJA115" s="381"/>
      <c r="KJB115" s="381"/>
      <c r="KJC115" s="381"/>
      <c r="KJD115" s="381"/>
      <c r="KJE115" s="381"/>
      <c r="KJF115" s="381"/>
      <c r="KJG115" s="381"/>
      <c r="KJH115" s="381"/>
      <c r="KJI115" s="381"/>
      <c r="KJJ115" s="381"/>
      <c r="KJK115" s="381"/>
      <c r="KJL115" s="381"/>
      <c r="KJM115" s="381"/>
      <c r="KJN115" s="381"/>
      <c r="KJO115" s="381"/>
      <c r="KJP115" s="381"/>
      <c r="KJQ115" s="381"/>
      <c r="KJR115" s="381"/>
      <c r="KJS115" s="381"/>
      <c r="KJT115" s="381"/>
      <c r="KJU115" s="381"/>
      <c r="KJV115" s="381"/>
      <c r="KJW115" s="381"/>
      <c r="KJX115" s="381"/>
      <c r="KJY115" s="381"/>
      <c r="KJZ115" s="381"/>
      <c r="KKA115" s="381"/>
      <c r="KKB115" s="381"/>
      <c r="KKC115" s="381"/>
      <c r="KKD115" s="381"/>
      <c r="KKE115" s="381"/>
      <c r="KKF115" s="381"/>
      <c r="KKG115" s="381"/>
      <c r="KKH115" s="381"/>
      <c r="KKI115" s="381"/>
      <c r="KKJ115" s="381"/>
      <c r="KKK115" s="381"/>
      <c r="KKL115" s="381"/>
      <c r="KKM115" s="381"/>
      <c r="KKN115" s="381"/>
      <c r="KKO115" s="381"/>
      <c r="KKP115" s="381"/>
      <c r="KKQ115" s="381"/>
      <c r="KKR115" s="381"/>
      <c r="KKS115" s="381"/>
      <c r="KKT115" s="381"/>
      <c r="KKU115" s="381"/>
      <c r="KKV115" s="381"/>
      <c r="KKW115" s="381"/>
      <c r="KKX115" s="381"/>
      <c r="KKY115" s="381"/>
      <c r="KKZ115" s="381"/>
      <c r="KLA115" s="381"/>
      <c r="KLB115" s="381"/>
      <c r="KLC115" s="381"/>
      <c r="KLD115" s="381"/>
      <c r="KLE115" s="381"/>
      <c r="KLF115" s="381"/>
      <c r="KLG115" s="381"/>
      <c r="KLH115" s="381"/>
      <c r="KLI115" s="381"/>
      <c r="KLJ115" s="381"/>
      <c r="KLK115" s="381"/>
      <c r="KLL115" s="381"/>
      <c r="KLM115" s="381"/>
      <c r="KLN115" s="381"/>
      <c r="KLO115" s="381"/>
      <c r="KLP115" s="381"/>
      <c r="KLQ115" s="381"/>
      <c r="KLR115" s="381"/>
      <c r="KLS115" s="381"/>
      <c r="KLT115" s="381"/>
      <c r="KLU115" s="381"/>
      <c r="KLV115" s="381"/>
      <c r="KLW115" s="381"/>
      <c r="KLX115" s="381"/>
      <c r="KLY115" s="381"/>
      <c r="KLZ115" s="381"/>
      <c r="KMA115" s="381"/>
      <c r="KMB115" s="381"/>
      <c r="KMC115" s="381"/>
      <c r="KMD115" s="381"/>
      <c r="KME115" s="381"/>
      <c r="KMF115" s="381"/>
      <c r="KMG115" s="381"/>
      <c r="KMH115" s="381"/>
      <c r="KMI115" s="381"/>
      <c r="KMJ115" s="381"/>
      <c r="KMK115" s="381"/>
      <c r="KML115" s="381"/>
      <c r="KMM115" s="381"/>
      <c r="KMN115" s="381"/>
      <c r="KMO115" s="381"/>
      <c r="KMP115" s="381"/>
      <c r="KMQ115" s="381"/>
      <c r="KMR115" s="381"/>
      <c r="KMS115" s="381"/>
      <c r="KMT115" s="381"/>
      <c r="KMU115" s="381"/>
      <c r="KMV115" s="381"/>
      <c r="KMW115" s="381"/>
      <c r="KMX115" s="381"/>
      <c r="KMY115" s="381"/>
      <c r="KMZ115" s="381"/>
      <c r="KNA115" s="381"/>
      <c r="KNB115" s="381"/>
      <c r="KNC115" s="381"/>
      <c r="KND115" s="381"/>
      <c r="KNE115" s="381"/>
      <c r="KNF115" s="381"/>
      <c r="KNG115" s="381"/>
      <c r="KNH115" s="381"/>
      <c r="KNI115" s="381"/>
      <c r="KNJ115" s="381"/>
      <c r="KNK115" s="381"/>
      <c r="KNL115" s="381"/>
      <c r="KNM115" s="381"/>
      <c r="KNN115" s="381"/>
      <c r="KNO115" s="381"/>
      <c r="KNP115" s="381"/>
      <c r="KNQ115" s="381"/>
      <c r="KNR115" s="381"/>
      <c r="KNS115" s="381"/>
      <c r="KNT115" s="381"/>
      <c r="KNU115" s="381"/>
      <c r="KNV115" s="381"/>
      <c r="KNW115" s="381"/>
      <c r="KNX115" s="381"/>
      <c r="KNY115" s="381"/>
      <c r="KNZ115" s="381"/>
      <c r="KOA115" s="381"/>
      <c r="KOB115" s="381"/>
      <c r="KOC115" s="381"/>
      <c r="KOD115" s="381"/>
      <c r="KOE115" s="381"/>
      <c r="KOF115" s="381"/>
      <c r="KOG115" s="381"/>
      <c r="KOH115" s="381"/>
      <c r="KOI115" s="381"/>
      <c r="KOJ115" s="381"/>
      <c r="KOK115" s="381"/>
      <c r="KOL115" s="381"/>
      <c r="KOM115" s="381"/>
      <c r="KON115" s="381"/>
      <c r="KOO115" s="381"/>
      <c r="KOP115" s="381"/>
      <c r="KOQ115" s="381"/>
      <c r="KOR115" s="381"/>
      <c r="KOS115" s="381"/>
      <c r="KOT115" s="381"/>
      <c r="KOU115" s="381"/>
      <c r="KOV115" s="381"/>
      <c r="KOW115" s="381"/>
      <c r="KOX115" s="381"/>
      <c r="KOY115" s="381"/>
      <c r="KOZ115" s="381"/>
      <c r="KPA115" s="381"/>
      <c r="KPB115" s="381"/>
      <c r="KPC115" s="381"/>
      <c r="KPD115" s="381"/>
      <c r="KPE115" s="381"/>
      <c r="KPF115" s="381"/>
      <c r="KPG115" s="381"/>
      <c r="KPH115" s="381"/>
      <c r="KPI115" s="381"/>
      <c r="KPJ115" s="381"/>
      <c r="KPK115" s="381"/>
      <c r="KPL115" s="381"/>
      <c r="KPM115" s="381"/>
      <c r="KPN115" s="381"/>
      <c r="KPO115" s="381"/>
      <c r="KPP115" s="381"/>
      <c r="KPQ115" s="381"/>
      <c r="KPR115" s="381"/>
      <c r="KPS115" s="381"/>
      <c r="KPT115" s="381"/>
      <c r="KPU115" s="381"/>
      <c r="KPV115" s="381"/>
      <c r="KPW115" s="381"/>
      <c r="KPX115" s="381"/>
      <c r="KPY115" s="381"/>
      <c r="KPZ115" s="381"/>
      <c r="KQA115" s="381"/>
      <c r="KQB115" s="381"/>
      <c r="KQC115" s="381"/>
      <c r="KQD115" s="381"/>
      <c r="KQE115" s="381"/>
      <c r="KQF115" s="381"/>
      <c r="KQG115" s="381"/>
      <c r="KQH115" s="381"/>
      <c r="KQI115" s="381"/>
      <c r="KQJ115" s="381"/>
      <c r="KQK115" s="381"/>
      <c r="KQL115" s="381"/>
      <c r="KQM115" s="381"/>
      <c r="KQN115" s="381"/>
      <c r="KQO115" s="381"/>
      <c r="KQP115" s="381"/>
      <c r="KQQ115" s="381"/>
      <c r="KQR115" s="381"/>
      <c r="KQS115" s="381"/>
      <c r="KQT115" s="381"/>
      <c r="KQU115" s="381"/>
      <c r="KQV115" s="381"/>
      <c r="KQW115" s="381"/>
      <c r="KQX115" s="381"/>
      <c r="KQY115" s="381"/>
      <c r="KQZ115" s="381"/>
      <c r="KRA115" s="381"/>
      <c r="KRB115" s="381"/>
      <c r="KRC115" s="381"/>
      <c r="KRD115" s="381"/>
      <c r="KRE115" s="381"/>
      <c r="KRF115" s="381"/>
      <c r="KRG115" s="381"/>
      <c r="KRH115" s="381"/>
      <c r="KRI115" s="381"/>
      <c r="KRJ115" s="381"/>
      <c r="KRK115" s="381"/>
      <c r="KRL115" s="381"/>
      <c r="KRM115" s="381"/>
      <c r="KRN115" s="381"/>
      <c r="KRO115" s="381"/>
      <c r="KRP115" s="381"/>
      <c r="KRQ115" s="381"/>
      <c r="KRR115" s="381"/>
      <c r="KRS115" s="381"/>
      <c r="KRT115" s="381"/>
      <c r="KRU115" s="381"/>
      <c r="KRV115" s="381"/>
      <c r="KRW115" s="381"/>
      <c r="KRX115" s="381"/>
      <c r="KRY115" s="381"/>
      <c r="KRZ115" s="381"/>
      <c r="KSA115" s="381"/>
      <c r="KSB115" s="381"/>
      <c r="KSC115" s="381"/>
      <c r="KSD115" s="381"/>
      <c r="KSE115" s="381"/>
      <c r="KSF115" s="381"/>
      <c r="KSG115" s="381"/>
      <c r="KSH115" s="381"/>
      <c r="KSI115" s="381"/>
      <c r="KSJ115" s="381"/>
      <c r="KSK115" s="381"/>
      <c r="KSL115" s="381"/>
      <c r="KSM115" s="381"/>
      <c r="KSN115" s="381"/>
      <c r="KSO115" s="381"/>
      <c r="KSP115" s="381"/>
      <c r="KSQ115" s="381"/>
      <c r="KSR115" s="381"/>
      <c r="KSS115" s="381"/>
      <c r="KST115" s="381"/>
      <c r="KSU115" s="381"/>
      <c r="KSV115" s="381"/>
      <c r="KSW115" s="381"/>
      <c r="KSX115" s="381"/>
      <c r="KSY115" s="381"/>
      <c r="KSZ115" s="381"/>
      <c r="KTA115" s="381"/>
      <c r="KTB115" s="381"/>
      <c r="KTC115" s="381"/>
      <c r="KTD115" s="381"/>
      <c r="KTE115" s="381"/>
      <c r="KTF115" s="381"/>
      <c r="KTG115" s="381"/>
      <c r="KTH115" s="381"/>
      <c r="KTI115" s="381"/>
      <c r="KTJ115" s="381"/>
      <c r="KTK115" s="381"/>
      <c r="KTL115" s="381"/>
      <c r="KTM115" s="381"/>
      <c r="KTN115" s="381"/>
      <c r="KTO115" s="381"/>
      <c r="KTP115" s="381"/>
      <c r="KTQ115" s="381"/>
      <c r="KTR115" s="381"/>
      <c r="KTS115" s="381"/>
      <c r="KTT115" s="381"/>
      <c r="KTU115" s="381"/>
      <c r="KTV115" s="381"/>
      <c r="KTW115" s="381"/>
      <c r="KTX115" s="381"/>
      <c r="KTY115" s="381"/>
      <c r="KTZ115" s="381"/>
      <c r="KUA115" s="381"/>
      <c r="KUB115" s="381"/>
      <c r="KUC115" s="381"/>
      <c r="KUD115" s="381"/>
      <c r="KUE115" s="381"/>
      <c r="KUF115" s="381"/>
      <c r="KUG115" s="381"/>
      <c r="KUH115" s="381"/>
      <c r="KUI115" s="381"/>
      <c r="KUJ115" s="381"/>
      <c r="KUK115" s="381"/>
      <c r="KUL115" s="381"/>
      <c r="KUM115" s="381"/>
      <c r="KUN115" s="381"/>
      <c r="KUO115" s="381"/>
      <c r="KUP115" s="381"/>
      <c r="KUQ115" s="381"/>
      <c r="KUR115" s="381"/>
      <c r="KUS115" s="381"/>
      <c r="KUT115" s="381"/>
      <c r="KUU115" s="381"/>
      <c r="KUV115" s="381"/>
      <c r="KUW115" s="381"/>
      <c r="KUX115" s="381"/>
      <c r="KUY115" s="381"/>
      <c r="KUZ115" s="381"/>
      <c r="KVA115" s="381"/>
      <c r="KVB115" s="381"/>
      <c r="KVC115" s="381"/>
      <c r="KVD115" s="381"/>
      <c r="KVE115" s="381"/>
      <c r="KVF115" s="381"/>
      <c r="KVG115" s="381"/>
      <c r="KVH115" s="381"/>
      <c r="KVI115" s="381"/>
      <c r="KVJ115" s="381"/>
      <c r="KVK115" s="381"/>
      <c r="KVL115" s="381"/>
      <c r="KVM115" s="381"/>
      <c r="KVN115" s="381"/>
      <c r="KVO115" s="381"/>
      <c r="KVP115" s="381"/>
      <c r="KVQ115" s="381"/>
      <c r="KVR115" s="381"/>
      <c r="KVS115" s="381"/>
      <c r="KVT115" s="381"/>
      <c r="KVU115" s="381"/>
      <c r="KVV115" s="381"/>
      <c r="KVW115" s="381"/>
      <c r="KVX115" s="381"/>
      <c r="KVY115" s="381"/>
      <c r="KVZ115" s="381"/>
      <c r="KWA115" s="381"/>
      <c r="KWB115" s="381"/>
      <c r="KWC115" s="381"/>
      <c r="KWD115" s="381"/>
      <c r="KWE115" s="381"/>
      <c r="KWF115" s="381"/>
      <c r="KWG115" s="381"/>
      <c r="KWH115" s="381"/>
      <c r="KWI115" s="381"/>
      <c r="KWJ115" s="381"/>
      <c r="KWK115" s="381"/>
      <c r="KWL115" s="381"/>
      <c r="KWM115" s="381"/>
      <c r="KWN115" s="381"/>
      <c r="KWO115" s="381"/>
      <c r="KWP115" s="381"/>
      <c r="KWQ115" s="381"/>
      <c r="KWR115" s="381"/>
      <c r="KWS115" s="381"/>
      <c r="KWT115" s="381"/>
      <c r="KWU115" s="381"/>
      <c r="KWV115" s="381"/>
      <c r="KWW115" s="381"/>
      <c r="KWX115" s="381"/>
      <c r="KWY115" s="381"/>
      <c r="KWZ115" s="381"/>
      <c r="KXA115" s="381"/>
      <c r="KXB115" s="381"/>
      <c r="KXC115" s="381"/>
      <c r="KXD115" s="381"/>
      <c r="KXE115" s="381"/>
      <c r="KXF115" s="381"/>
      <c r="KXG115" s="381"/>
      <c r="KXH115" s="381"/>
      <c r="KXI115" s="381"/>
      <c r="KXJ115" s="381"/>
      <c r="KXK115" s="381"/>
      <c r="KXL115" s="381"/>
      <c r="KXM115" s="381"/>
      <c r="KXN115" s="381"/>
      <c r="KXO115" s="381"/>
      <c r="KXP115" s="381"/>
      <c r="KXQ115" s="381"/>
      <c r="KXR115" s="381"/>
      <c r="KXS115" s="381"/>
      <c r="KXT115" s="381"/>
      <c r="KXU115" s="381"/>
      <c r="KXV115" s="381"/>
      <c r="KXW115" s="381"/>
      <c r="KXX115" s="381"/>
      <c r="KXY115" s="381"/>
      <c r="KXZ115" s="381"/>
      <c r="KYA115" s="381"/>
      <c r="KYB115" s="381"/>
      <c r="KYC115" s="381"/>
      <c r="KYD115" s="381"/>
      <c r="KYE115" s="381"/>
      <c r="KYF115" s="381"/>
      <c r="KYG115" s="381"/>
      <c r="KYH115" s="381"/>
      <c r="KYI115" s="381"/>
      <c r="KYJ115" s="381"/>
      <c r="KYK115" s="381"/>
      <c r="KYL115" s="381"/>
      <c r="KYM115" s="381"/>
      <c r="KYN115" s="381"/>
      <c r="KYO115" s="381"/>
      <c r="KYP115" s="381"/>
      <c r="KYQ115" s="381"/>
      <c r="KYR115" s="381"/>
      <c r="KYS115" s="381"/>
      <c r="KYT115" s="381"/>
      <c r="KYU115" s="381"/>
      <c r="KYV115" s="381"/>
      <c r="KYW115" s="381"/>
      <c r="KYX115" s="381"/>
      <c r="KYY115" s="381"/>
      <c r="KYZ115" s="381"/>
      <c r="KZA115" s="381"/>
      <c r="KZB115" s="381"/>
      <c r="KZC115" s="381"/>
      <c r="KZD115" s="381"/>
      <c r="KZE115" s="381"/>
      <c r="KZF115" s="381"/>
      <c r="KZG115" s="381"/>
      <c r="KZH115" s="381"/>
      <c r="KZI115" s="381"/>
      <c r="KZJ115" s="381"/>
      <c r="KZK115" s="381"/>
      <c r="KZL115" s="381"/>
      <c r="KZM115" s="381"/>
      <c r="KZN115" s="381"/>
      <c r="KZO115" s="381"/>
      <c r="KZP115" s="381"/>
      <c r="KZQ115" s="381"/>
      <c r="KZR115" s="381"/>
      <c r="KZS115" s="381"/>
      <c r="KZT115" s="381"/>
      <c r="KZU115" s="381"/>
      <c r="KZV115" s="381"/>
      <c r="KZW115" s="381"/>
      <c r="KZX115" s="381"/>
      <c r="KZY115" s="381"/>
      <c r="KZZ115" s="381"/>
      <c r="LAA115" s="381"/>
      <c r="LAB115" s="381"/>
      <c r="LAC115" s="381"/>
      <c r="LAD115" s="381"/>
      <c r="LAE115" s="381"/>
      <c r="LAF115" s="381"/>
      <c r="LAG115" s="381"/>
      <c r="LAH115" s="381"/>
      <c r="LAI115" s="381"/>
      <c r="LAJ115" s="381"/>
      <c r="LAK115" s="381"/>
      <c r="LAL115" s="381"/>
      <c r="LAM115" s="381"/>
      <c r="LAN115" s="381"/>
      <c r="LAO115" s="381"/>
      <c r="LAP115" s="381"/>
      <c r="LAQ115" s="381"/>
      <c r="LAR115" s="381"/>
      <c r="LAS115" s="381"/>
      <c r="LAT115" s="381"/>
      <c r="LAU115" s="381"/>
      <c r="LAV115" s="381"/>
      <c r="LAW115" s="381"/>
      <c r="LAX115" s="381"/>
      <c r="LAY115" s="381"/>
      <c r="LAZ115" s="381"/>
      <c r="LBA115" s="381"/>
      <c r="LBB115" s="381"/>
      <c r="LBC115" s="381"/>
      <c r="LBD115" s="381"/>
      <c r="LBE115" s="381"/>
      <c r="LBF115" s="381"/>
      <c r="LBG115" s="381"/>
      <c r="LBH115" s="381"/>
      <c r="LBI115" s="381"/>
      <c r="LBJ115" s="381"/>
      <c r="LBK115" s="381"/>
      <c r="LBL115" s="381"/>
      <c r="LBM115" s="381"/>
      <c r="LBN115" s="381"/>
      <c r="LBO115" s="381"/>
      <c r="LBP115" s="381"/>
      <c r="LBQ115" s="381"/>
      <c r="LBR115" s="381"/>
      <c r="LBS115" s="381"/>
      <c r="LBT115" s="381"/>
      <c r="LBU115" s="381"/>
      <c r="LBV115" s="381"/>
      <c r="LBW115" s="381"/>
      <c r="LBX115" s="381"/>
      <c r="LBY115" s="381"/>
      <c r="LBZ115" s="381"/>
      <c r="LCA115" s="381"/>
      <c r="LCB115" s="381"/>
      <c r="LCC115" s="381"/>
      <c r="LCD115" s="381"/>
      <c r="LCE115" s="381"/>
      <c r="LCF115" s="381"/>
      <c r="LCG115" s="381"/>
      <c r="LCH115" s="381"/>
      <c r="LCI115" s="381"/>
      <c r="LCJ115" s="381"/>
      <c r="LCK115" s="381"/>
      <c r="LCL115" s="381"/>
      <c r="LCM115" s="381"/>
      <c r="LCN115" s="381"/>
      <c r="LCO115" s="381"/>
      <c r="LCP115" s="381"/>
      <c r="LCQ115" s="381"/>
      <c r="LCR115" s="381"/>
      <c r="LCS115" s="381"/>
      <c r="LCT115" s="381"/>
      <c r="LCU115" s="381"/>
      <c r="LCV115" s="381"/>
      <c r="LCW115" s="381"/>
      <c r="LCX115" s="381"/>
      <c r="LCY115" s="381"/>
      <c r="LCZ115" s="381"/>
      <c r="LDA115" s="381"/>
      <c r="LDB115" s="381"/>
      <c r="LDC115" s="381"/>
      <c r="LDD115" s="381"/>
      <c r="LDE115" s="381"/>
      <c r="LDF115" s="381"/>
      <c r="LDG115" s="381"/>
      <c r="LDH115" s="381"/>
      <c r="LDI115" s="381"/>
      <c r="LDJ115" s="381"/>
      <c r="LDK115" s="381"/>
      <c r="LDL115" s="381"/>
      <c r="LDM115" s="381"/>
      <c r="LDN115" s="381"/>
      <c r="LDO115" s="381"/>
      <c r="LDP115" s="381"/>
      <c r="LDQ115" s="381"/>
      <c r="LDR115" s="381"/>
      <c r="LDS115" s="381"/>
      <c r="LDT115" s="381"/>
      <c r="LDU115" s="381"/>
      <c r="LDV115" s="381"/>
      <c r="LDW115" s="381"/>
      <c r="LDX115" s="381"/>
      <c r="LDY115" s="381"/>
      <c r="LDZ115" s="381"/>
      <c r="LEA115" s="381"/>
      <c r="LEB115" s="381"/>
      <c r="LEC115" s="381"/>
      <c r="LED115" s="381"/>
      <c r="LEE115" s="381"/>
      <c r="LEF115" s="381"/>
      <c r="LEG115" s="381"/>
      <c r="LEH115" s="381"/>
      <c r="LEI115" s="381"/>
      <c r="LEJ115" s="381"/>
      <c r="LEK115" s="381"/>
      <c r="LEL115" s="381"/>
      <c r="LEM115" s="381"/>
      <c r="LEN115" s="381"/>
      <c r="LEO115" s="381"/>
      <c r="LEP115" s="381"/>
      <c r="LEQ115" s="381"/>
      <c r="LER115" s="381"/>
      <c r="LES115" s="381"/>
      <c r="LET115" s="381"/>
      <c r="LEU115" s="381"/>
      <c r="LEV115" s="381"/>
      <c r="LEW115" s="381"/>
      <c r="LEX115" s="381"/>
      <c r="LEY115" s="381"/>
      <c r="LEZ115" s="381"/>
      <c r="LFA115" s="381"/>
      <c r="LFB115" s="381"/>
      <c r="LFC115" s="381"/>
      <c r="LFD115" s="381"/>
      <c r="LFE115" s="381"/>
      <c r="LFF115" s="381"/>
      <c r="LFG115" s="381"/>
      <c r="LFH115" s="381"/>
      <c r="LFI115" s="381"/>
      <c r="LFJ115" s="381"/>
      <c r="LFK115" s="381"/>
      <c r="LFL115" s="381"/>
      <c r="LFM115" s="381"/>
      <c r="LFN115" s="381"/>
      <c r="LFO115" s="381"/>
      <c r="LFP115" s="381"/>
      <c r="LFQ115" s="381"/>
      <c r="LFR115" s="381"/>
      <c r="LFS115" s="381"/>
      <c r="LFT115" s="381"/>
      <c r="LFU115" s="381"/>
      <c r="LFV115" s="381"/>
      <c r="LFW115" s="381"/>
      <c r="LFX115" s="381"/>
      <c r="LFY115" s="381"/>
      <c r="LFZ115" s="381"/>
      <c r="LGA115" s="381"/>
      <c r="LGB115" s="381"/>
      <c r="LGC115" s="381"/>
      <c r="LGD115" s="381"/>
      <c r="LGE115" s="381"/>
      <c r="LGF115" s="381"/>
      <c r="LGG115" s="381"/>
      <c r="LGH115" s="381"/>
      <c r="LGI115" s="381"/>
      <c r="LGJ115" s="381"/>
      <c r="LGK115" s="381"/>
      <c r="LGL115" s="381"/>
      <c r="LGM115" s="381"/>
      <c r="LGN115" s="381"/>
      <c r="LGO115" s="381"/>
      <c r="LGP115" s="381"/>
      <c r="LGQ115" s="381"/>
      <c r="LGR115" s="381"/>
      <c r="LGS115" s="381"/>
      <c r="LGT115" s="381"/>
      <c r="LGU115" s="381"/>
      <c r="LGV115" s="381"/>
      <c r="LGW115" s="381"/>
      <c r="LGX115" s="381"/>
      <c r="LGY115" s="381"/>
      <c r="LGZ115" s="381"/>
      <c r="LHA115" s="381"/>
      <c r="LHB115" s="381"/>
      <c r="LHC115" s="381"/>
      <c r="LHD115" s="381"/>
      <c r="LHE115" s="381"/>
      <c r="LHF115" s="381"/>
      <c r="LHG115" s="381"/>
      <c r="LHH115" s="381"/>
      <c r="LHI115" s="381"/>
      <c r="LHJ115" s="381"/>
      <c r="LHK115" s="381"/>
      <c r="LHL115" s="381"/>
      <c r="LHM115" s="381"/>
      <c r="LHN115" s="381"/>
      <c r="LHO115" s="381"/>
      <c r="LHP115" s="381"/>
      <c r="LHQ115" s="381"/>
      <c r="LHR115" s="381"/>
      <c r="LHS115" s="381"/>
      <c r="LHT115" s="381"/>
      <c r="LHU115" s="381"/>
      <c r="LHV115" s="381"/>
      <c r="LHW115" s="381"/>
      <c r="LHX115" s="381"/>
      <c r="LHY115" s="381"/>
      <c r="LHZ115" s="381"/>
      <c r="LIA115" s="381"/>
      <c r="LIB115" s="381"/>
      <c r="LIC115" s="381"/>
      <c r="LID115" s="381"/>
      <c r="LIE115" s="381"/>
      <c r="LIF115" s="381"/>
      <c r="LIG115" s="381"/>
      <c r="LIH115" s="381"/>
      <c r="LII115" s="381"/>
      <c r="LIJ115" s="381"/>
      <c r="LIK115" s="381"/>
      <c r="LIL115" s="381"/>
      <c r="LIM115" s="381"/>
      <c r="LIN115" s="381"/>
      <c r="LIO115" s="381"/>
      <c r="LIP115" s="381"/>
      <c r="LIQ115" s="381"/>
      <c r="LIR115" s="381"/>
      <c r="LIS115" s="381"/>
      <c r="LIT115" s="381"/>
      <c r="LIU115" s="381"/>
      <c r="LIV115" s="381"/>
      <c r="LIW115" s="381"/>
      <c r="LIX115" s="381"/>
      <c r="LIY115" s="381"/>
      <c r="LIZ115" s="381"/>
      <c r="LJA115" s="381"/>
      <c r="LJB115" s="381"/>
      <c r="LJC115" s="381"/>
      <c r="LJD115" s="381"/>
      <c r="LJE115" s="381"/>
      <c r="LJF115" s="381"/>
      <c r="LJG115" s="381"/>
      <c r="LJH115" s="381"/>
      <c r="LJI115" s="381"/>
      <c r="LJJ115" s="381"/>
      <c r="LJK115" s="381"/>
      <c r="LJL115" s="381"/>
      <c r="LJM115" s="381"/>
      <c r="LJN115" s="381"/>
      <c r="LJO115" s="381"/>
      <c r="LJP115" s="381"/>
      <c r="LJQ115" s="381"/>
      <c r="LJR115" s="381"/>
      <c r="LJS115" s="381"/>
      <c r="LJT115" s="381"/>
      <c r="LJU115" s="381"/>
      <c r="LJV115" s="381"/>
      <c r="LJW115" s="381"/>
      <c r="LJX115" s="381"/>
      <c r="LJY115" s="381"/>
      <c r="LJZ115" s="381"/>
      <c r="LKA115" s="381"/>
      <c r="LKB115" s="381"/>
      <c r="LKC115" s="381"/>
      <c r="LKD115" s="381"/>
      <c r="LKE115" s="381"/>
      <c r="LKF115" s="381"/>
      <c r="LKG115" s="381"/>
      <c r="LKH115" s="381"/>
      <c r="LKI115" s="381"/>
      <c r="LKJ115" s="381"/>
      <c r="LKK115" s="381"/>
      <c r="LKL115" s="381"/>
      <c r="LKM115" s="381"/>
      <c r="LKN115" s="381"/>
      <c r="LKO115" s="381"/>
      <c r="LKP115" s="381"/>
      <c r="LKQ115" s="381"/>
      <c r="LKR115" s="381"/>
      <c r="LKS115" s="381"/>
      <c r="LKT115" s="381"/>
      <c r="LKU115" s="381"/>
      <c r="LKV115" s="381"/>
      <c r="LKW115" s="381"/>
      <c r="LKX115" s="381"/>
      <c r="LKY115" s="381"/>
      <c r="LKZ115" s="381"/>
      <c r="LLA115" s="381"/>
      <c r="LLB115" s="381"/>
      <c r="LLC115" s="381"/>
      <c r="LLD115" s="381"/>
      <c r="LLE115" s="381"/>
      <c r="LLF115" s="381"/>
      <c r="LLG115" s="381"/>
      <c r="LLH115" s="381"/>
      <c r="LLI115" s="381"/>
      <c r="LLJ115" s="381"/>
      <c r="LLK115" s="381"/>
      <c r="LLL115" s="381"/>
      <c r="LLM115" s="381"/>
      <c r="LLN115" s="381"/>
      <c r="LLO115" s="381"/>
      <c r="LLP115" s="381"/>
      <c r="LLQ115" s="381"/>
      <c r="LLR115" s="381"/>
      <c r="LLS115" s="381"/>
      <c r="LLT115" s="381"/>
      <c r="LLU115" s="381"/>
      <c r="LLV115" s="381"/>
      <c r="LLW115" s="381"/>
      <c r="LLX115" s="381"/>
      <c r="LLY115" s="381"/>
      <c r="LLZ115" s="381"/>
      <c r="LMA115" s="381"/>
      <c r="LMB115" s="381"/>
      <c r="LMC115" s="381"/>
      <c r="LMD115" s="381"/>
      <c r="LME115" s="381"/>
      <c r="LMF115" s="381"/>
      <c r="LMG115" s="381"/>
      <c r="LMH115" s="381"/>
      <c r="LMI115" s="381"/>
      <c r="LMJ115" s="381"/>
      <c r="LMK115" s="381"/>
      <c r="LML115" s="381"/>
      <c r="LMM115" s="381"/>
      <c r="LMN115" s="381"/>
      <c r="LMO115" s="381"/>
      <c r="LMP115" s="381"/>
      <c r="LMQ115" s="381"/>
      <c r="LMR115" s="381"/>
      <c r="LMS115" s="381"/>
      <c r="LMT115" s="381"/>
      <c r="LMU115" s="381"/>
      <c r="LMV115" s="381"/>
      <c r="LMW115" s="381"/>
      <c r="LMX115" s="381"/>
      <c r="LMY115" s="381"/>
      <c r="LMZ115" s="381"/>
      <c r="LNA115" s="381"/>
      <c r="LNB115" s="381"/>
      <c r="LNC115" s="381"/>
      <c r="LND115" s="381"/>
      <c r="LNE115" s="381"/>
      <c r="LNF115" s="381"/>
      <c r="LNG115" s="381"/>
      <c r="LNH115" s="381"/>
      <c r="LNI115" s="381"/>
      <c r="LNJ115" s="381"/>
      <c r="LNK115" s="381"/>
      <c r="LNL115" s="381"/>
      <c r="LNM115" s="381"/>
      <c r="LNN115" s="381"/>
      <c r="LNO115" s="381"/>
      <c r="LNP115" s="381"/>
      <c r="LNQ115" s="381"/>
      <c r="LNR115" s="381"/>
      <c r="LNS115" s="381"/>
      <c r="LNT115" s="381"/>
      <c r="LNU115" s="381"/>
      <c r="LNV115" s="381"/>
      <c r="LNW115" s="381"/>
      <c r="LNX115" s="381"/>
      <c r="LNY115" s="381"/>
      <c r="LNZ115" s="381"/>
      <c r="LOA115" s="381"/>
      <c r="LOB115" s="381"/>
      <c r="LOC115" s="381"/>
      <c r="LOD115" s="381"/>
      <c r="LOE115" s="381"/>
      <c r="LOF115" s="381"/>
      <c r="LOG115" s="381"/>
      <c r="LOH115" s="381"/>
      <c r="LOI115" s="381"/>
      <c r="LOJ115" s="381"/>
      <c r="LOK115" s="381"/>
      <c r="LOL115" s="381"/>
      <c r="LOM115" s="381"/>
      <c r="LON115" s="381"/>
      <c r="LOO115" s="381"/>
      <c r="LOP115" s="381"/>
      <c r="LOQ115" s="381"/>
      <c r="LOR115" s="381"/>
      <c r="LOS115" s="381"/>
      <c r="LOT115" s="381"/>
      <c r="LOU115" s="381"/>
      <c r="LOV115" s="381"/>
      <c r="LOW115" s="381"/>
      <c r="LOX115" s="381"/>
      <c r="LOY115" s="381"/>
      <c r="LOZ115" s="381"/>
      <c r="LPA115" s="381"/>
      <c r="LPB115" s="381"/>
      <c r="LPC115" s="381"/>
      <c r="LPD115" s="381"/>
      <c r="LPE115" s="381"/>
      <c r="LPF115" s="381"/>
      <c r="LPG115" s="381"/>
      <c r="LPH115" s="381"/>
      <c r="LPI115" s="381"/>
      <c r="LPJ115" s="381"/>
      <c r="LPK115" s="381"/>
      <c r="LPL115" s="381"/>
      <c r="LPM115" s="381"/>
      <c r="LPN115" s="381"/>
      <c r="LPO115" s="381"/>
      <c r="LPP115" s="381"/>
      <c r="LPQ115" s="381"/>
      <c r="LPR115" s="381"/>
      <c r="LPS115" s="381"/>
      <c r="LPT115" s="381"/>
      <c r="LPU115" s="381"/>
      <c r="LPV115" s="381"/>
      <c r="LPW115" s="381"/>
      <c r="LPX115" s="381"/>
      <c r="LPY115" s="381"/>
      <c r="LPZ115" s="381"/>
      <c r="LQA115" s="381"/>
      <c r="LQB115" s="381"/>
      <c r="LQC115" s="381"/>
      <c r="LQD115" s="381"/>
      <c r="LQE115" s="381"/>
      <c r="LQF115" s="381"/>
      <c r="LQG115" s="381"/>
      <c r="LQH115" s="381"/>
      <c r="LQI115" s="381"/>
      <c r="LQJ115" s="381"/>
      <c r="LQK115" s="381"/>
      <c r="LQL115" s="381"/>
      <c r="LQM115" s="381"/>
      <c r="LQN115" s="381"/>
      <c r="LQO115" s="381"/>
      <c r="LQP115" s="381"/>
      <c r="LQQ115" s="381"/>
      <c r="LQR115" s="381"/>
      <c r="LQS115" s="381"/>
      <c r="LQT115" s="381"/>
      <c r="LQU115" s="381"/>
      <c r="LQV115" s="381"/>
      <c r="LQW115" s="381"/>
      <c r="LQX115" s="381"/>
      <c r="LQY115" s="381"/>
      <c r="LQZ115" s="381"/>
      <c r="LRA115" s="381"/>
      <c r="LRB115" s="381"/>
      <c r="LRC115" s="381"/>
      <c r="LRD115" s="381"/>
      <c r="LRE115" s="381"/>
      <c r="LRF115" s="381"/>
      <c r="LRG115" s="381"/>
      <c r="LRH115" s="381"/>
      <c r="LRI115" s="381"/>
      <c r="LRJ115" s="381"/>
      <c r="LRK115" s="381"/>
      <c r="LRL115" s="381"/>
      <c r="LRM115" s="381"/>
      <c r="LRN115" s="381"/>
      <c r="LRO115" s="381"/>
      <c r="LRP115" s="381"/>
      <c r="LRQ115" s="381"/>
      <c r="LRR115" s="381"/>
      <c r="LRS115" s="381"/>
      <c r="LRT115" s="381"/>
      <c r="LRU115" s="381"/>
      <c r="LRV115" s="381"/>
      <c r="LRW115" s="381"/>
      <c r="LRX115" s="381"/>
      <c r="LRY115" s="381"/>
      <c r="LRZ115" s="381"/>
      <c r="LSA115" s="381"/>
      <c r="LSB115" s="381"/>
      <c r="LSC115" s="381"/>
      <c r="LSD115" s="381"/>
      <c r="LSE115" s="381"/>
      <c r="LSF115" s="381"/>
      <c r="LSG115" s="381"/>
      <c r="LSH115" s="381"/>
      <c r="LSI115" s="381"/>
      <c r="LSJ115" s="381"/>
      <c r="LSK115" s="381"/>
      <c r="LSL115" s="381"/>
      <c r="LSM115" s="381"/>
      <c r="LSN115" s="381"/>
      <c r="LSO115" s="381"/>
      <c r="LSP115" s="381"/>
      <c r="LSQ115" s="381"/>
      <c r="LSR115" s="381"/>
      <c r="LSS115" s="381"/>
      <c r="LST115" s="381"/>
      <c r="LSU115" s="381"/>
      <c r="LSV115" s="381"/>
      <c r="LSW115" s="381"/>
      <c r="LSX115" s="381"/>
      <c r="LSY115" s="381"/>
      <c r="LSZ115" s="381"/>
      <c r="LTA115" s="381"/>
      <c r="LTB115" s="381"/>
      <c r="LTC115" s="381"/>
      <c r="LTD115" s="381"/>
      <c r="LTE115" s="381"/>
      <c r="LTF115" s="381"/>
      <c r="LTG115" s="381"/>
      <c r="LTH115" s="381"/>
      <c r="LTI115" s="381"/>
      <c r="LTJ115" s="381"/>
      <c r="LTK115" s="381"/>
      <c r="LTL115" s="381"/>
      <c r="LTM115" s="381"/>
      <c r="LTN115" s="381"/>
      <c r="LTO115" s="381"/>
      <c r="LTP115" s="381"/>
      <c r="LTQ115" s="381"/>
      <c r="LTR115" s="381"/>
      <c r="LTS115" s="381"/>
      <c r="LTT115" s="381"/>
      <c r="LTU115" s="381"/>
      <c r="LTV115" s="381"/>
      <c r="LTW115" s="381"/>
      <c r="LTX115" s="381"/>
      <c r="LTY115" s="381"/>
      <c r="LTZ115" s="381"/>
      <c r="LUA115" s="381"/>
      <c r="LUB115" s="381"/>
      <c r="LUC115" s="381"/>
      <c r="LUD115" s="381"/>
      <c r="LUE115" s="381"/>
      <c r="LUF115" s="381"/>
      <c r="LUG115" s="381"/>
      <c r="LUH115" s="381"/>
      <c r="LUI115" s="381"/>
      <c r="LUJ115" s="381"/>
      <c r="LUK115" s="381"/>
      <c r="LUL115" s="381"/>
      <c r="LUM115" s="381"/>
      <c r="LUN115" s="381"/>
      <c r="LUO115" s="381"/>
      <c r="LUP115" s="381"/>
      <c r="LUQ115" s="381"/>
      <c r="LUR115" s="381"/>
      <c r="LUS115" s="381"/>
      <c r="LUT115" s="381"/>
      <c r="LUU115" s="381"/>
      <c r="LUV115" s="381"/>
      <c r="LUW115" s="381"/>
      <c r="LUX115" s="381"/>
      <c r="LUY115" s="381"/>
      <c r="LUZ115" s="381"/>
      <c r="LVA115" s="381"/>
      <c r="LVB115" s="381"/>
      <c r="LVC115" s="381"/>
      <c r="LVD115" s="381"/>
      <c r="LVE115" s="381"/>
      <c r="LVF115" s="381"/>
      <c r="LVG115" s="381"/>
      <c r="LVH115" s="381"/>
      <c r="LVI115" s="381"/>
      <c r="LVJ115" s="381"/>
      <c r="LVK115" s="381"/>
      <c r="LVL115" s="381"/>
      <c r="LVM115" s="381"/>
      <c r="LVN115" s="381"/>
      <c r="LVO115" s="381"/>
      <c r="LVP115" s="381"/>
      <c r="LVQ115" s="381"/>
      <c r="LVR115" s="381"/>
      <c r="LVS115" s="381"/>
      <c r="LVT115" s="381"/>
      <c r="LVU115" s="381"/>
      <c r="LVV115" s="381"/>
      <c r="LVW115" s="381"/>
      <c r="LVX115" s="381"/>
      <c r="LVY115" s="381"/>
      <c r="LVZ115" s="381"/>
      <c r="LWA115" s="381"/>
      <c r="LWB115" s="381"/>
      <c r="LWC115" s="381"/>
      <c r="LWD115" s="381"/>
      <c r="LWE115" s="381"/>
      <c r="LWF115" s="381"/>
      <c r="LWG115" s="381"/>
      <c r="LWH115" s="381"/>
      <c r="LWI115" s="381"/>
      <c r="LWJ115" s="381"/>
      <c r="LWK115" s="381"/>
      <c r="LWL115" s="381"/>
      <c r="LWM115" s="381"/>
      <c r="LWN115" s="381"/>
      <c r="LWO115" s="381"/>
      <c r="LWP115" s="381"/>
      <c r="LWQ115" s="381"/>
      <c r="LWR115" s="381"/>
      <c r="LWS115" s="381"/>
      <c r="LWT115" s="381"/>
      <c r="LWU115" s="381"/>
      <c r="LWV115" s="381"/>
      <c r="LWW115" s="381"/>
      <c r="LWX115" s="381"/>
      <c r="LWY115" s="381"/>
      <c r="LWZ115" s="381"/>
      <c r="LXA115" s="381"/>
      <c r="LXB115" s="381"/>
      <c r="LXC115" s="381"/>
      <c r="LXD115" s="381"/>
      <c r="LXE115" s="381"/>
      <c r="LXF115" s="381"/>
      <c r="LXG115" s="381"/>
      <c r="LXH115" s="381"/>
      <c r="LXI115" s="381"/>
      <c r="LXJ115" s="381"/>
      <c r="LXK115" s="381"/>
      <c r="LXL115" s="381"/>
      <c r="LXM115" s="381"/>
      <c r="LXN115" s="381"/>
      <c r="LXO115" s="381"/>
      <c r="LXP115" s="381"/>
      <c r="LXQ115" s="381"/>
      <c r="LXR115" s="381"/>
      <c r="LXS115" s="381"/>
      <c r="LXT115" s="381"/>
      <c r="LXU115" s="381"/>
      <c r="LXV115" s="381"/>
      <c r="LXW115" s="381"/>
      <c r="LXX115" s="381"/>
      <c r="LXY115" s="381"/>
      <c r="LXZ115" s="381"/>
      <c r="LYA115" s="381"/>
      <c r="LYB115" s="381"/>
      <c r="LYC115" s="381"/>
      <c r="LYD115" s="381"/>
      <c r="LYE115" s="381"/>
      <c r="LYF115" s="381"/>
      <c r="LYG115" s="381"/>
      <c r="LYH115" s="381"/>
      <c r="LYI115" s="381"/>
      <c r="LYJ115" s="381"/>
      <c r="LYK115" s="381"/>
      <c r="LYL115" s="381"/>
      <c r="LYM115" s="381"/>
      <c r="LYN115" s="381"/>
      <c r="LYO115" s="381"/>
      <c r="LYP115" s="381"/>
      <c r="LYQ115" s="381"/>
      <c r="LYR115" s="381"/>
      <c r="LYS115" s="381"/>
      <c r="LYT115" s="381"/>
      <c r="LYU115" s="381"/>
      <c r="LYV115" s="381"/>
      <c r="LYW115" s="381"/>
      <c r="LYX115" s="381"/>
      <c r="LYY115" s="381"/>
      <c r="LYZ115" s="381"/>
      <c r="LZA115" s="381"/>
      <c r="LZB115" s="381"/>
      <c r="LZC115" s="381"/>
      <c r="LZD115" s="381"/>
      <c r="LZE115" s="381"/>
      <c r="LZF115" s="381"/>
      <c r="LZG115" s="381"/>
      <c r="LZH115" s="381"/>
      <c r="LZI115" s="381"/>
      <c r="LZJ115" s="381"/>
      <c r="LZK115" s="381"/>
      <c r="LZL115" s="381"/>
      <c r="LZM115" s="381"/>
      <c r="LZN115" s="381"/>
      <c r="LZO115" s="381"/>
      <c r="LZP115" s="381"/>
      <c r="LZQ115" s="381"/>
      <c r="LZR115" s="381"/>
      <c r="LZS115" s="381"/>
      <c r="LZT115" s="381"/>
      <c r="LZU115" s="381"/>
      <c r="LZV115" s="381"/>
      <c r="LZW115" s="381"/>
      <c r="LZX115" s="381"/>
      <c r="LZY115" s="381"/>
      <c r="LZZ115" s="381"/>
      <c r="MAA115" s="381"/>
      <c r="MAB115" s="381"/>
      <c r="MAC115" s="381"/>
      <c r="MAD115" s="381"/>
      <c r="MAE115" s="381"/>
      <c r="MAF115" s="381"/>
      <c r="MAG115" s="381"/>
      <c r="MAH115" s="381"/>
      <c r="MAI115" s="381"/>
      <c r="MAJ115" s="381"/>
      <c r="MAK115" s="381"/>
      <c r="MAL115" s="381"/>
      <c r="MAM115" s="381"/>
      <c r="MAN115" s="381"/>
      <c r="MAO115" s="381"/>
      <c r="MAP115" s="381"/>
      <c r="MAQ115" s="381"/>
      <c r="MAR115" s="381"/>
      <c r="MAS115" s="381"/>
      <c r="MAT115" s="381"/>
      <c r="MAU115" s="381"/>
      <c r="MAV115" s="381"/>
      <c r="MAW115" s="381"/>
      <c r="MAX115" s="381"/>
      <c r="MAY115" s="381"/>
      <c r="MAZ115" s="381"/>
      <c r="MBA115" s="381"/>
      <c r="MBB115" s="381"/>
      <c r="MBC115" s="381"/>
      <c r="MBD115" s="381"/>
      <c r="MBE115" s="381"/>
      <c r="MBF115" s="381"/>
      <c r="MBG115" s="381"/>
      <c r="MBH115" s="381"/>
      <c r="MBI115" s="381"/>
      <c r="MBJ115" s="381"/>
      <c r="MBK115" s="381"/>
      <c r="MBL115" s="381"/>
      <c r="MBM115" s="381"/>
      <c r="MBN115" s="381"/>
      <c r="MBO115" s="381"/>
      <c r="MBP115" s="381"/>
      <c r="MBQ115" s="381"/>
      <c r="MBR115" s="381"/>
      <c r="MBS115" s="381"/>
      <c r="MBT115" s="381"/>
      <c r="MBU115" s="381"/>
      <c r="MBV115" s="381"/>
      <c r="MBW115" s="381"/>
      <c r="MBX115" s="381"/>
      <c r="MBY115" s="381"/>
      <c r="MBZ115" s="381"/>
      <c r="MCA115" s="381"/>
      <c r="MCB115" s="381"/>
      <c r="MCC115" s="381"/>
      <c r="MCD115" s="381"/>
      <c r="MCE115" s="381"/>
      <c r="MCF115" s="381"/>
      <c r="MCG115" s="381"/>
      <c r="MCH115" s="381"/>
      <c r="MCI115" s="381"/>
      <c r="MCJ115" s="381"/>
      <c r="MCK115" s="381"/>
      <c r="MCL115" s="381"/>
      <c r="MCM115" s="381"/>
      <c r="MCN115" s="381"/>
      <c r="MCO115" s="381"/>
      <c r="MCP115" s="381"/>
      <c r="MCQ115" s="381"/>
      <c r="MCR115" s="381"/>
      <c r="MCS115" s="381"/>
      <c r="MCT115" s="381"/>
      <c r="MCU115" s="381"/>
      <c r="MCV115" s="381"/>
      <c r="MCW115" s="381"/>
      <c r="MCX115" s="381"/>
      <c r="MCY115" s="381"/>
      <c r="MCZ115" s="381"/>
      <c r="MDA115" s="381"/>
      <c r="MDB115" s="381"/>
      <c r="MDC115" s="381"/>
      <c r="MDD115" s="381"/>
      <c r="MDE115" s="381"/>
      <c r="MDF115" s="381"/>
      <c r="MDG115" s="381"/>
      <c r="MDH115" s="381"/>
      <c r="MDI115" s="381"/>
      <c r="MDJ115" s="381"/>
      <c r="MDK115" s="381"/>
      <c r="MDL115" s="381"/>
      <c r="MDM115" s="381"/>
      <c r="MDN115" s="381"/>
      <c r="MDO115" s="381"/>
      <c r="MDP115" s="381"/>
      <c r="MDQ115" s="381"/>
      <c r="MDR115" s="381"/>
      <c r="MDS115" s="381"/>
      <c r="MDT115" s="381"/>
      <c r="MDU115" s="381"/>
      <c r="MDV115" s="381"/>
      <c r="MDW115" s="381"/>
      <c r="MDX115" s="381"/>
      <c r="MDY115" s="381"/>
      <c r="MDZ115" s="381"/>
      <c r="MEA115" s="381"/>
      <c r="MEB115" s="381"/>
      <c r="MEC115" s="381"/>
      <c r="MED115" s="381"/>
      <c r="MEE115" s="381"/>
      <c r="MEF115" s="381"/>
      <c r="MEG115" s="381"/>
      <c r="MEH115" s="381"/>
      <c r="MEI115" s="381"/>
      <c r="MEJ115" s="381"/>
      <c r="MEK115" s="381"/>
      <c r="MEL115" s="381"/>
      <c r="MEM115" s="381"/>
      <c r="MEN115" s="381"/>
      <c r="MEO115" s="381"/>
      <c r="MEP115" s="381"/>
      <c r="MEQ115" s="381"/>
      <c r="MER115" s="381"/>
      <c r="MES115" s="381"/>
      <c r="MET115" s="381"/>
      <c r="MEU115" s="381"/>
      <c r="MEV115" s="381"/>
      <c r="MEW115" s="381"/>
      <c r="MEX115" s="381"/>
      <c r="MEY115" s="381"/>
      <c r="MEZ115" s="381"/>
      <c r="MFA115" s="381"/>
      <c r="MFB115" s="381"/>
      <c r="MFC115" s="381"/>
      <c r="MFD115" s="381"/>
      <c r="MFE115" s="381"/>
      <c r="MFF115" s="381"/>
      <c r="MFG115" s="381"/>
      <c r="MFH115" s="381"/>
      <c r="MFI115" s="381"/>
      <c r="MFJ115" s="381"/>
      <c r="MFK115" s="381"/>
      <c r="MFL115" s="381"/>
      <c r="MFM115" s="381"/>
      <c r="MFN115" s="381"/>
      <c r="MFO115" s="381"/>
      <c r="MFP115" s="381"/>
      <c r="MFQ115" s="381"/>
      <c r="MFR115" s="381"/>
      <c r="MFS115" s="381"/>
      <c r="MFT115" s="381"/>
      <c r="MFU115" s="381"/>
      <c r="MFV115" s="381"/>
      <c r="MFW115" s="381"/>
      <c r="MFX115" s="381"/>
      <c r="MFY115" s="381"/>
      <c r="MFZ115" s="381"/>
      <c r="MGA115" s="381"/>
      <c r="MGB115" s="381"/>
      <c r="MGC115" s="381"/>
      <c r="MGD115" s="381"/>
      <c r="MGE115" s="381"/>
      <c r="MGF115" s="381"/>
      <c r="MGG115" s="381"/>
      <c r="MGH115" s="381"/>
      <c r="MGI115" s="381"/>
      <c r="MGJ115" s="381"/>
      <c r="MGK115" s="381"/>
      <c r="MGL115" s="381"/>
      <c r="MGM115" s="381"/>
      <c r="MGN115" s="381"/>
      <c r="MGO115" s="381"/>
      <c r="MGP115" s="381"/>
      <c r="MGQ115" s="381"/>
      <c r="MGR115" s="381"/>
      <c r="MGS115" s="381"/>
      <c r="MGT115" s="381"/>
      <c r="MGU115" s="381"/>
      <c r="MGV115" s="381"/>
      <c r="MGW115" s="381"/>
      <c r="MGX115" s="381"/>
      <c r="MGY115" s="381"/>
      <c r="MGZ115" s="381"/>
      <c r="MHA115" s="381"/>
      <c r="MHB115" s="381"/>
      <c r="MHC115" s="381"/>
      <c r="MHD115" s="381"/>
      <c r="MHE115" s="381"/>
      <c r="MHF115" s="381"/>
      <c r="MHG115" s="381"/>
      <c r="MHH115" s="381"/>
      <c r="MHI115" s="381"/>
      <c r="MHJ115" s="381"/>
      <c r="MHK115" s="381"/>
      <c r="MHL115" s="381"/>
      <c r="MHM115" s="381"/>
      <c r="MHN115" s="381"/>
      <c r="MHO115" s="381"/>
      <c r="MHP115" s="381"/>
      <c r="MHQ115" s="381"/>
      <c r="MHR115" s="381"/>
      <c r="MHS115" s="381"/>
      <c r="MHT115" s="381"/>
      <c r="MHU115" s="381"/>
      <c r="MHV115" s="381"/>
      <c r="MHW115" s="381"/>
      <c r="MHX115" s="381"/>
      <c r="MHY115" s="381"/>
      <c r="MHZ115" s="381"/>
      <c r="MIA115" s="381"/>
      <c r="MIB115" s="381"/>
      <c r="MIC115" s="381"/>
      <c r="MID115" s="381"/>
      <c r="MIE115" s="381"/>
      <c r="MIF115" s="381"/>
      <c r="MIG115" s="381"/>
      <c r="MIH115" s="381"/>
      <c r="MII115" s="381"/>
      <c r="MIJ115" s="381"/>
      <c r="MIK115" s="381"/>
      <c r="MIL115" s="381"/>
      <c r="MIM115" s="381"/>
      <c r="MIN115" s="381"/>
      <c r="MIO115" s="381"/>
      <c r="MIP115" s="381"/>
      <c r="MIQ115" s="381"/>
      <c r="MIR115" s="381"/>
      <c r="MIS115" s="381"/>
      <c r="MIT115" s="381"/>
      <c r="MIU115" s="381"/>
      <c r="MIV115" s="381"/>
      <c r="MIW115" s="381"/>
      <c r="MIX115" s="381"/>
      <c r="MIY115" s="381"/>
      <c r="MIZ115" s="381"/>
      <c r="MJA115" s="381"/>
      <c r="MJB115" s="381"/>
      <c r="MJC115" s="381"/>
      <c r="MJD115" s="381"/>
      <c r="MJE115" s="381"/>
      <c r="MJF115" s="381"/>
      <c r="MJG115" s="381"/>
      <c r="MJH115" s="381"/>
      <c r="MJI115" s="381"/>
      <c r="MJJ115" s="381"/>
      <c r="MJK115" s="381"/>
      <c r="MJL115" s="381"/>
      <c r="MJM115" s="381"/>
      <c r="MJN115" s="381"/>
      <c r="MJO115" s="381"/>
      <c r="MJP115" s="381"/>
      <c r="MJQ115" s="381"/>
      <c r="MJR115" s="381"/>
      <c r="MJS115" s="381"/>
      <c r="MJT115" s="381"/>
      <c r="MJU115" s="381"/>
      <c r="MJV115" s="381"/>
      <c r="MJW115" s="381"/>
      <c r="MJX115" s="381"/>
      <c r="MJY115" s="381"/>
      <c r="MJZ115" s="381"/>
      <c r="MKA115" s="381"/>
      <c r="MKB115" s="381"/>
      <c r="MKC115" s="381"/>
      <c r="MKD115" s="381"/>
      <c r="MKE115" s="381"/>
      <c r="MKF115" s="381"/>
      <c r="MKG115" s="381"/>
      <c r="MKH115" s="381"/>
      <c r="MKI115" s="381"/>
      <c r="MKJ115" s="381"/>
      <c r="MKK115" s="381"/>
      <c r="MKL115" s="381"/>
      <c r="MKM115" s="381"/>
      <c r="MKN115" s="381"/>
      <c r="MKO115" s="381"/>
      <c r="MKP115" s="381"/>
      <c r="MKQ115" s="381"/>
      <c r="MKR115" s="381"/>
      <c r="MKS115" s="381"/>
      <c r="MKT115" s="381"/>
      <c r="MKU115" s="381"/>
      <c r="MKV115" s="381"/>
      <c r="MKW115" s="381"/>
      <c r="MKX115" s="381"/>
      <c r="MKY115" s="381"/>
      <c r="MKZ115" s="381"/>
      <c r="MLA115" s="381"/>
      <c r="MLB115" s="381"/>
      <c r="MLC115" s="381"/>
      <c r="MLD115" s="381"/>
      <c r="MLE115" s="381"/>
      <c r="MLF115" s="381"/>
      <c r="MLG115" s="381"/>
      <c r="MLH115" s="381"/>
      <c r="MLI115" s="381"/>
      <c r="MLJ115" s="381"/>
      <c r="MLK115" s="381"/>
      <c r="MLL115" s="381"/>
      <c r="MLM115" s="381"/>
      <c r="MLN115" s="381"/>
      <c r="MLO115" s="381"/>
      <c r="MLP115" s="381"/>
      <c r="MLQ115" s="381"/>
      <c r="MLR115" s="381"/>
      <c r="MLS115" s="381"/>
      <c r="MLT115" s="381"/>
      <c r="MLU115" s="381"/>
      <c r="MLV115" s="381"/>
      <c r="MLW115" s="381"/>
      <c r="MLX115" s="381"/>
      <c r="MLY115" s="381"/>
      <c r="MLZ115" s="381"/>
      <c r="MMA115" s="381"/>
      <c r="MMB115" s="381"/>
      <c r="MMC115" s="381"/>
      <c r="MMD115" s="381"/>
      <c r="MME115" s="381"/>
      <c r="MMF115" s="381"/>
      <c r="MMG115" s="381"/>
      <c r="MMH115" s="381"/>
      <c r="MMI115" s="381"/>
      <c r="MMJ115" s="381"/>
      <c r="MMK115" s="381"/>
      <c r="MML115" s="381"/>
      <c r="MMM115" s="381"/>
      <c r="MMN115" s="381"/>
      <c r="MMO115" s="381"/>
      <c r="MMP115" s="381"/>
      <c r="MMQ115" s="381"/>
      <c r="MMR115" s="381"/>
      <c r="MMS115" s="381"/>
      <c r="MMT115" s="381"/>
      <c r="MMU115" s="381"/>
      <c r="MMV115" s="381"/>
      <c r="MMW115" s="381"/>
      <c r="MMX115" s="381"/>
      <c r="MMY115" s="381"/>
      <c r="MMZ115" s="381"/>
      <c r="MNA115" s="381"/>
      <c r="MNB115" s="381"/>
      <c r="MNC115" s="381"/>
      <c r="MND115" s="381"/>
      <c r="MNE115" s="381"/>
      <c r="MNF115" s="381"/>
      <c r="MNG115" s="381"/>
      <c r="MNH115" s="381"/>
      <c r="MNI115" s="381"/>
      <c r="MNJ115" s="381"/>
      <c r="MNK115" s="381"/>
      <c r="MNL115" s="381"/>
      <c r="MNM115" s="381"/>
      <c r="MNN115" s="381"/>
      <c r="MNO115" s="381"/>
      <c r="MNP115" s="381"/>
      <c r="MNQ115" s="381"/>
      <c r="MNR115" s="381"/>
      <c r="MNS115" s="381"/>
      <c r="MNT115" s="381"/>
      <c r="MNU115" s="381"/>
      <c r="MNV115" s="381"/>
      <c r="MNW115" s="381"/>
      <c r="MNX115" s="381"/>
      <c r="MNY115" s="381"/>
      <c r="MNZ115" s="381"/>
      <c r="MOA115" s="381"/>
      <c r="MOB115" s="381"/>
      <c r="MOC115" s="381"/>
      <c r="MOD115" s="381"/>
      <c r="MOE115" s="381"/>
      <c r="MOF115" s="381"/>
      <c r="MOG115" s="381"/>
      <c r="MOH115" s="381"/>
      <c r="MOI115" s="381"/>
      <c r="MOJ115" s="381"/>
      <c r="MOK115" s="381"/>
      <c r="MOL115" s="381"/>
      <c r="MOM115" s="381"/>
      <c r="MON115" s="381"/>
      <c r="MOO115" s="381"/>
      <c r="MOP115" s="381"/>
      <c r="MOQ115" s="381"/>
      <c r="MOR115" s="381"/>
      <c r="MOS115" s="381"/>
      <c r="MOT115" s="381"/>
      <c r="MOU115" s="381"/>
      <c r="MOV115" s="381"/>
      <c r="MOW115" s="381"/>
      <c r="MOX115" s="381"/>
      <c r="MOY115" s="381"/>
      <c r="MOZ115" s="381"/>
      <c r="MPA115" s="381"/>
      <c r="MPB115" s="381"/>
      <c r="MPC115" s="381"/>
      <c r="MPD115" s="381"/>
      <c r="MPE115" s="381"/>
      <c r="MPF115" s="381"/>
      <c r="MPG115" s="381"/>
      <c r="MPH115" s="381"/>
      <c r="MPI115" s="381"/>
      <c r="MPJ115" s="381"/>
      <c r="MPK115" s="381"/>
      <c r="MPL115" s="381"/>
      <c r="MPM115" s="381"/>
      <c r="MPN115" s="381"/>
      <c r="MPO115" s="381"/>
      <c r="MPP115" s="381"/>
      <c r="MPQ115" s="381"/>
      <c r="MPR115" s="381"/>
      <c r="MPS115" s="381"/>
      <c r="MPT115" s="381"/>
      <c r="MPU115" s="381"/>
      <c r="MPV115" s="381"/>
      <c r="MPW115" s="381"/>
      <c r="MPX115" s="381"/>
      <c r="MPY115" s="381"/>
      <c r="MPZ115" s="381"/>
      <c r="MQA115" s="381"/>
      <c r="MQB115" s="381"/>
      <c r="MQC115" s="381"/>
      <c r="MQD115" s="381"/>
      <c r="MQE115" s="381"/>
      <c r="MQF115" s="381"/>
      <c r="MQG115" s="381"/>
      <c r="MQH115" s="381"/>
      <c r="MQI115" s="381"/>
      <c r="MQJ115" s="381"/>
      <c r="MQK115" s="381"/>
      <c r="MQL115" s="381"/>
      <c r="MQM115" s="381"/>
      <c r="MQN115" s="381"/>
      <c r="MQO115" s="381"/>
      <c r="MQP115" s="381"/>
      <c r="MQQ115" s="381"/>
      <c r="MQR115" s="381"/>
      <c r="MQS115" s="381"/>
      <c r="MQT115" s="381"/>
      <c r="MQU115" s="381"/>
      <c r="MQV115" s="381"/>
      <c r="MQW115" s="381"/>
      <c r="MQX115" s="381"/>
      <c r="MQY115" s="381"/>
      <c r="MQZ115" s="381"/>
      <c r="MRA115" s="381"/>
      <c r="MRB115" s="381"/>
      <c r="MRC115" s="381"/>
      <c r="MRD115" s="381"/>
      <c r="MRE115" s="381"/>
      <c r="MRF115" s="381"/>
      <c r="MRG115" s="381"/>
      <c r="MRH115" s="381"/>
      <c r="MRI115" s="381"/>
      <c r="MRJ115" s="381"/>
      <c r="MRK115" s="381"/>
      <c r="MRL115" s="381"/>
      <c r="MRM115" s="381"/>
      <c r="MRN115" s="381"/>
      <c r="MRO115" s="381"/>
      <c r="MRP115" s="381"/>
      <c r="MRQ115" s="381"/>
      <c r="MRR115" s="381"/>
      <c r="MRS115" s="381"/>
      <c r="MRT115" s="381"/>
      <c r="MRU115" s="381"/>
      <c r="MRV115" s="381"/>
      <c r="MRW115" s="381"/>
      <c r="MRX115" s="381"/>
      <c r="MRY115" s="381"/>
      <c r="MRZ115" s="381"/>
      <c r="MSA115" s="381"/>
      <c r="MSB115" s="381"/>
      <c r="MSC115" s="381"/>
      <c r="MSD115" s="381"/>
      <c r="MSE115" s="381"/>
      <c r="MSF115" s="381"/>
      <c r="MSG115" s="381"/>
      <c r="MSH115" s="381"/>
      <c r="MSI115" s="381"/>
      <c r="MSJ115" s="381"/>
      <c r="MSK115" s="381"/>
      <c r="MSL115" s="381"/>
      <c r="MSM115" s="381"/>
      <c r="MSN115" s="381"/>
      <c r="MSO115" s="381"/>
      <c r="MSP115" s="381"/>
      <c r="MSQ115" s="381"/>
      <c r="MSR115" s="381"/>
      <c r="MSS115" s="381"/>
      <c r="MST115" s="381"/>
      <c r="MSU115" s="381"/>
      <c r="MSV115" s="381"/>
      <c r="MSW115" s="381"/>
      <c r="MSX115" s="381"/>
      <c r="MSY115" s="381"/>
      <c r="MSZ115" s="381"/>
      <c r="MTA115" s="381"/>
      <c r="MTB115" s="381"/>
      <c r="MTC115" s="381"/>
      <c r="MTD115" s="381"/>
      <c r="MTE115" s="381"/>
      <c r="MTF115" s="381"/>
      <c r="MTG115" s="381"/>
      <c r="MTH115" s="381"/>
      <c r="MTI115" s="381"/>
      <c r="MTJ115" s="381"/>
      <c r="MTK115" s="381"/>
      <c r="MTL115" s="381"/>
      <c r="MTM115" s="381"/>
      <c r="MTN115" s="381"/>
      <c r="MTO115" s="381"/>
      <c r="MTP115" s="381"/>
      <c r="MTQ115" s="381"/>
      <c r="MTR115" s="381"/>
      <c r="MTS115" s="381"/>
      <c r="MTT115" s="381"/>
      <c r="MTU115" s="381"/>
      <c r="MTV115" s="381"/>
      <c r="MTW115" s="381"/>
      <c r="MTX115" s="381"/>
      <c r="MTY115" s="381"/>
      <c r="MTZ115" s="381"/>
      <c r="MUA115" s="381"/>
      <c r="MUB115" s="381"/>
      <c r="MUC115" s="381"/>
      <c r="MUD115" s="381"/>
      <c r="MUE115" s="381"/>
      <c r="MUF115" s="381"/>
      <c r="MUG115" s="381"/>
      <c r="MUH115" s="381"/>
      <c r="MUI115" s="381"/>
      <c r="MUJ115" s="381"/>
      <c r="MUK115" s="381"/>
      <c r="MUL115" s="381"/>
      <c r="MUM115" s="381"/>
      <c r="MUN115" s="381"/>
      <c r="MUO115" s="381"/>
      <c r="MUP115" s="381"/>
      <c r="MUQ115" s="381"/>
      <c r="MUR115" s="381"/>
      <c r="MUS115" s="381"/>
      <c r="MUT115" s="381"/>
      <c r="MUU115" s="381"/>
      <c r="MUV115" s="381"/>
      <c r="MUW115" s="381"/>
      <c r="MUX115" s="381"/>
      <c r="MUY115" s="381"/>
      <c r="MUZ115" s="381"/>
      <c r="MVA115" s="381"/>
      <c r="MVB115" s="381"/>
      <c r="MVC115" s="381"/>
      <c r="MVD115" s="381"/>
      <c r="MVE115" s="381"/>
      <c r="MVF115" s="381"/>
      <c r="MVG115" s="381"/>
      <c r="MVH115" s="381"/>
      <c r="MVI115" s="381"/>
      <c r="MVJ115" s="381"/>
      <c r="MVK115" s="381"/>
      <c r="MVL115" s="381"/>
      <c r="MVM115" s="381"/>
      <c r="MVN115" s="381"/>
      <c r="MVO115" s="381"/>
      <c r="MVP115" s="381"/>
      <c r="MVQ115" s="381"/>
      <c r="MVR115" s="381"/>
      <c r="MVS115" s="381"/>
      <c r="MVT115" s="381"/>
      <c r="MVU115" s="381"/>
      <c r="MVV115" s="381"/>
      <c r="MVW115" s="381"/>
      <c r="MVX115" s="381"/>
      <c r="MVY115" s="381"/>
      <c r="MVZ115" s="381"/>
      <c r="MWA115" s="381"/>
      <c r="MWB115" s="381"/>
      <c r="MWC115" s="381"/>
      <c r="MWD115" s="381"/>
      <c r="MWE115" s="381"/>
      <c r="MWF115" s="381"/>
      <c r="MWG115" s="381"/>
      <c r="MWH115" s="381"/>
      <c r="MWI115" s="381"/>
      <c r="MWJ115" s="381"/>
      <c r="MWK115" s="381"/>
      <c r="MWL115" s="381"/>
      <c r="MWM115" s="381"/>
      <c r="MWN115" s="381"/>
      <c r="MWO115" s="381"/>
      <c r="MWP115" s="381"/>
      <c r="MWQ115" s="381"/>
      <c r="MWR115" s="381"/>
      <c r="MWS115" s="381"/>
      <c r="MWT115" s="381"/>
      <c r="MWU115" s="381"/>
      <c r="MWV115" s="381"/>
      <c r="MWW115" s="381"/>
      <c r="MWX115" s="381"/>
      <c r="MWY115" s="381"/>
      <c r="MWZ115" s="381"/>
      <c r="MXA115" s="381"/>
      <c r="MXB115" s="381"/>
      <c r="MXC115" s="381"/>
      <c r="MXD115" s="381"/>
      <c r="MXE115" s="381"/>
      <c r="MXF115" s="381"/>
      <c r="MXG115" s="381"/>
      <c r="MXH115" s="381"/>
      <c r="MXI115" s="381"/>
      <c r="MXJ115" s="381"/>
      <c r="MXK115" s="381"/>
      <c r="MXL115" s="381"/>
      <c r="MXM115" s="381"/>
      <c r="MXN115" s="381"/>
      <c r="MXO115" s="381"/>
      <c r="MXP115" s="381"/>
      <c r="MXQ115" s="381"/>
      <c r="MXR115" s="381"/>
      <c r="MXS115" s="381"/>
      <c r="MXT115" s="381"/>
      <c r="MXU115" s="381"/>
      <c r="MXV115" s="381"/>
      <c r="MXW115" s="381"/>
      <c r="MXX115" s="381"/>
      <c r="MXY115" s="381"/>
      <c r="MXZ115" s="381"/>
      <c r="MYA115" s="381"/>
      <c r="MYB115" s="381"/>
      <c r="MYC115" s="381"/>
      <c r="MYD115" s="381"/>
      <c r="MYE115" s="381"/>
      <c r="MYF115" s="381"/>
      <c r="MYG115" s="381"/>
      <c r="MYH115" s="381"/>
      <c r="MYI115" s="381"/>
      <c r="MYJ115" s="381"/>
      <c r="MYK115" s="381"/>
      <c r="MYL115" s="381"/>
      <c r="MYM115" s="381"/>
      <c r="MYN115" s="381"/>
      <c r="MYO115" s="381"/>
      <c r="MYP115" s="381"/>
      <c r="MYQ115" s="381"/>
      <c r="MYR115" s="381"/>
      <c r="MYS115" s="381"/>
      <c r="MYT115" s="381"/>
      <c r="MYU115" s="381"/>
      <c r="MYV115" s="381"/>
      <c r="MYW115" s="381"/>
      <c r="MYX115" s="381"/>
      <c r="MYY115" s="381"/>
      <c r="MYZ115" s="381"/>
      <c r="MZA115" s="381"/>
      <c r="MZB115" s="381"/>
      <c r="MZC115" s="381"/>
      <c r="MZD115" s="381"/>
      <c r="MZE115" s="381"/>
      <c r="MZF115" s="381"/>
      <c r="MZG115" s="381"/>
      <c r="MZH115" s="381"/>
      <c r="MZI115" s="381"/>
      <c r="MZJ115" s="381"/>
      <c r="MZK115" s="381"/>
      <c r="MZL115" s="381"/>
      <c r="MZM115" s="381"/>
      <c r="MZN115" s="381"/>
      <c r="MZO115" s="381"/>
      <c r="MZP115" s="381"/>
      <c r="MZQ115" s="381"/>
      <c r="MZR115" s="381"/>
      <c r="MZS115" s="381"/>
      <c r="MZT115" s="381"/>
      <c r="MZU115" s="381"/>
      <c r="MZV115" s="381"/>
      <c r="MZW115" s="381"/>
      <c r="MZX115" s="381"/>
      <c r="MZY115" s="381"/>
      <c r="MZZ115" s="381"/>
      <c r="NAA115" s="381"/>
      <c r="NAB115" s="381"/>
      <c r="NAC115" s="381"/>
      <c r="NAD115" s="381"/>
      <c r="NAE115" s="381"/>
      <c r="NAF115" s="381"/>
      <c r="NAG115" s="381"/>
      <c r="NAH115" s="381"/>
      <c r="NAI115" s="381"/>
      <c r="NAJ115" s="381"/>
      <c r="NAK115" s="381"/>
      <c r="NAL115" s="381"/>
      <c r="NAM115" s="381"/>
      <c r="NAN115" s="381"/>
      <c r="NAO115" s="381"/>
      <c r="NAP115" s="381"/>
      <c r="NAQ115" s="381"/>
      <c r="NAR115" s="381"/>
      <c r="NAS115" s="381"/>
      <c r="NAT115" s="381"/>
      <c r="NAU115" s="381"/>
      <c r="NAV115" s="381"/>
      <c r="NAW115" s="381"/>
      <c r="NAX115" s="381"/>
      <c r="NAY115" s="381"/>
      <c r="NAZ115" s="381"/>
      <c r="NBA115" s="381"/>
      <c r="NBB115" s="381"/>
      <c r="NBC115" s="381"/>
      <c r="NBD115" s="381"/>
      <c r="NBE115" s="381"/>
      <c r="NBF115" s="381"/>
      <c r="NBG115" s="381"/>
      <c r="NBH115" s="381"/>
      <c r="NBI115" s="381"/>
      <c r="NBJ115" s="381"/>
      <c r="NBK115" s="381"/>
      <c r="NBL115" s="381"/>
      <c r="NBM115" s="381"/>
      <c r="NBN115" s="381"/>
      <c r="NBO115" s="381"/>
      <c r="NBP115" s="381"/>
      <c r="NBQ115" s="381"/>
      <c r="NBR115" s="381"/>
      <c r="NBS115" s="381"/>
      <c r="NBT115" s="381"/>
      <c r="NBU115" s="381"/>
      <c r="NBV115" s="381"/>
      <c r="NBW115" s="381"/>
      <c r="NBX115" s="381"/>
      <c r="NBY115" s="381"/>
      <c r="NBZ115" s="381"/>
      <c r="NCA115" s="381"/>
      <c r="NCB115" s="381"/>
      <c r="NCC115" s="381"/>
      <c r="NCD115" s="381"/>
      <c r="NCE115" s="381"/>
      <c r="NCF115" s="381"/>
      <c r="NCG115" s="381"/>
      <c r="NCH115" s="381"/>
      <c r="NCI115" s="381"/>
      <c r="NCJ115" s="381"/>
      <c r="NCK115" s="381"/>
      <c r="NCL115" s="381"/>
      <c r="NCM115" s="381"/>
      <c r="NCN115" s="381"/>
      <c r="NCO115" s="381"/>
      <c r="NCP115" s="381"/>
      <c r="NCQ115" s="381"/>
      <c r="NCR115" s="381"/>
      <c r="NCS115" s="381"/>
      <c r="NCT115" s="381"/>
      <c r="NCU115" s="381"/>
      <c r="NCV115" s="381"/>
      <c r="NCW115" s="381"/>
      <c r="NCX115" s="381"/>
      <c r="NCY115" s="381"/>
      <c r="NCZ115" s="381"/>
      <c r="NDA115" s="381"/>
      <c r="NDB115" s="381"/>
      <c r="NDC115" s="381"/>
      <c r="NDD115" s="381"/>
      <c r="NDE115" s="381"/>
      <c r="NDF115" s="381"/>
      <c r="NDG115" s="381"/>
      <c r="NDH115" s="381"/>
      <c r="NDI115" s="381"/>
      <c r="NDJ115" s="381"/>
      <c r="NDK115" s="381"/>
      <c r="NDL115" s="381"/>
      <c r="NDM115" s="381"/>
      <c r="NDN115" s="381"/>
      <c r="NDO115" s="381"/>
      <c r="NDP115" s="381"/>
      <c r="NDQ115" s="381"/>
      <c r="NDR115" s="381"/>
      <c r="NDS115" s="381"/>
      <c r="NDT115" s="381"/>
      <c r="NDU115" s="381"/>
      <c r="NDV115" s="381"/>
      <c r="NDW115" s="381"/>
      <c r="NDX115" s="381"/>
      <c r="NDY115" s="381"/>
      <c r="NDZ115" s="381"/>
      <c r="NEA115" s="381"/>
      <c r="NEB115" s="381"/>
      <c r="NEC115" s="381"/>
      <c r="NED115" s="381"/>
      <c r="NEE115" s="381"/>
      <c r="NEF115" s="381"/>
      <c r="NEG115" s="381"/>
      <c r="NEH115" s="381"/>
      <c r="NEI115" s="381"/>
      <c r="NEJ115" s="381"/>
      <c r="NEK115" s="381"/>
      <c r="NEL115" s="381"/>
      <c r="NEM115" s="381"/>
      <c r="NEN115" s="381"/>
      <c r="NEO115" s="381"/>
      <c r="NEP115" s="381"/>
      <c r="NEQ115" s="381"/>
      <c r="NER115" s="381"/>
      <c r="NES115" s="381"/>
      <c r="NET115" s="381"/>
      <c r="NEU115" s="381"/>
      <c r="NEV115" s="381"/>
      <c r="NEW115" s="381"/>
      <c r="NEX115" s="381"/>
      <c r="NEY115" s="381"/>
      <c r="NEZ115" s="381"/>
      <c r="NFA115" s="381"/>
      <c r="NFB115" s="381"/>
      <c r="NFC115" s="381"/>
      <c r="NFD115" s="381"/>
      <c r="NFE115" s="381"/>
      <c r="NFF115" s="381"/>
      <c r="NFG115" s="381"/>
      <c r="NFH115" s="381"/>
      <c r="NFI115" s="381"/>
      <c r="NFJ115" s="381"/>
      <c r="NFK115" s="381"/>
      <c r="NFL115" s="381"/>
      <c r="NFM115" s="381"/>
      <c r="NFN115" s="381"/>
      <c r="NFO115" s="381"/>
      <c r="NFP115" s="381"/>
      <c r="NFQ115" s="381"/>
      <c r="NFR115" s="381"/>
      <c r="NFS115" s="381"/>
      <c r="NFT115" s="381"/>
      <c r="NFU115" s="381"/>
      <c r="NFV115" s="381"/>
      <c r="NFW115" s="381"/>
      <c r="NFX115" s="381"/>
      <c r="NFY115" s="381"/>
      <c r="NFZ115" s="381"/>
      <c r="NGA115" s="381"/>
      <c r="NGB115" s="381"/>
      <c r="NGC115" s="381"/>
      <c r="NGD115" s="381"/>
      <c r="NGE115" s="381"/>
      <c r="NGF115" s="381"/>
      <c r="NGG115" s="381"/>
      <c r="NGH115" s="381"/>
      <c r="NGI115" s="381"/>
      <c r="NGJ115" s="381"/>
      <c r="NGK115" s="381"/>
      <c r="NGL115" s="381"/>
      <c r="NGM115" s="381"/>
      <c r="NGN115" s="381"/>
      <c r="NGO115" s="381"/>
      <c r="NGP115" s="381"/>
      <c r="NGQ115" s="381"/>
      <c r="NGR115" s="381"/>
      <c r="NGS115" s="381"/>
      <c r="NGT115" s="381"/>
      <c r="NGU115" s="381"/>
      <c r="NGV115" s="381"/>
      <c r="NGW115" s="381"/>
      <c r="NGX115" s="381"/>
      <c r="NGY115" s="381"/>
      <c r="NGZ115" s="381"/>
      <c r="NHA115" s="381"/>
      <c r="NHB115" s="381"/>
      <c r="NHC115" s="381"/>
      <c r="NHD115" s="381"/>
      <c r="NHE115" s="381"/>
      <c r="NHF115" s="381"/>
      <c r="NHG115" s="381"/>
      <c r="NHH115" s="381"/>
      <c r="NHI115" s="381"/>
      <c r="NHJ115" s="381"/>
      <c r="NHK115" s="381"/>
      <c r="NHL115" s="381"/>
      <c r="NHM115" s="381"/>
      <c r="NHN115" s="381"/>
      <c r="NHO115" s="381"/>
      <c r="NHP115" s="381"/>
      <c r="NHQ115" s="381"/>
      <c r="NHR115" s="381"/>
      <c r="NHS115" s="381"/>
      <c r="NHT115" s="381"/>
      <c r="NHU115" s="381"/>
      <c r="NHV115" s="381"/>
      <c r="NHW115" s="381"/>
      <c r="NHX115" s="381"/>
      <c r="NHY115" s="381"/>
      <c r="NHZ115" s="381"/>
      <c r="NIA115" s="381"/>
      <c r="NIB115" s="381"/>
      <c r="NIC115" s="381"/>
      <c r="NID115" s="381"/>
      <c r="NIE115" s="381"/>
      <c r="NIF115" s="381"/>
      <c r="NIG115" s="381"/>
      <c r="NIH115" s="381"/>
      <c r="NII115" s="381"/>
      <c r="NIJ115" s="381"/>
      <c r="NIK115" s="381"/>
      <c r="NIL115" s="381"/>
      <c r="NIM115" s="381"/>
      <c r="NIN115" s="381"/>
      <c r="NIO115" s="381"/>
      <c r="NIP115" s="381"/>
      <c r="NIQ115" s="381"/>
      <c r="NIR115" s="381"/>
      <c r="NIS115" s="381"/>
      <c r="NIT115" s="381"/>
      <c r="NIU115" s="381"/>
      <c r="NIV115" s="381"/>
      <c r="NIW115" s="381"/>
      <c r="NIX115" s="381"/>
      <c r="NIY115" s="381"/>
      <c r="NIZ115" s="381"/>
      <c r="NJA115" s="381"/>
      <c r="NJB115" s="381"/>
      <c r="NJC115" s="381"/>
      <c r="NJD115" s="381"/>
      <c r="NJE115" s="381"/>
      <c r="NJF115" s="381"/>
      <c r="NJG115" s="381"/>
      <c r="NJH115" s="381"/>
      <c r="NJI115" s="381"/>
      <c r="NJJ115" s="381"/>
      <c r="NJK115" s="381"/>
      <c r="NJL115" s="381"/>
      <c r="NJM115" s="381"/>
      <c r="NJN115" s="381"/>
      <c r="NJO115" s="381"/>
      <c r="NJP115" s="381"/>
      <c r="NJQ115" s="381"/>
      <c r="NJR115" s="381"/>
      <c r="NJS115" s="381"/>
      <c r="NJT115" s="381"/>
      <c r="NJU115" s="381"/>
      <c r="NJV115" s="381"/>
      <c r="NJW115" s="381"/>
      <c r="NJX115" s="381"/>
      <c r="NJY115" s="381"/>
      <c r="NJZ115" s="381"/>
      <c r="NKA115" s="381"/>
      <c r="NKB115" s="381"/>
      <c r="NKC115" s="381"/>
      <c r="NKD115" s="381"/>
      <c r="NKE115" s="381"/>
      <c r="NKF115" s="381"/>
      <c r="NKG115" s="381"/>
      <c r="NKH115" s="381"/>
      <c r="NKI115" s="381"/>
      <c r="NKJ115" s="381"/>
      <c r="NKK115" s="381"/>
      <c r="NKL115" s="381"/>
      <c r="NKM115" s="381"/>
      <c r="NKN115" s="381"/>
      <c r="NKO115" s="381"/>
      <c r="NKP115" s="381"/>
      <c r="NKQ115" s="381"/>
      <c r="NKR115" s="381"/>
      <c r="NKS115" s="381"/>
      <c r="NKT115" s="381"/>
      <c r="NKU115" s="381"/>
      <c r="NKV115" s="381"/>
      <c r="NKW115" s="381"/>
      <c r="NKX115" s="381"/>
      <c r="NKY115" s="381"/>
      <c r="NKZ115" s="381"/>
      <c r="NLA115" s="381"/>
      <c r="NLB115" s="381"/>
      <c r="NLC115" s="381"/>
      <c r="NLD115" s="381"/>
      <c r="NLE115" s="381"/>
      <c r="NLF115" s="381"/>
      <c r="NLG115" s="381"/>
      <c r="NLH115" s="381"/>
      <c r="NLI115" s="381"/>
      <c r="NLJ115" s="381"/>
      <c r="NLK115" s="381"/>
      <c r="NLL115" s="381"/>
      <c r="NLM115" s="381"/>
      <c r="NLN115" s="381"/>
      <c r="NLO115" s="381"/>
      <c r="NLP115" s="381"/>
      <c r="NLQ115" s="381"/>
      <c r="NLR115" s="381"/>
      <c r="NLS115" s="381"/>
      <c r="NLT115" s="381"/>
      <c r="NLU115" s="381"/>
      <c r="NLV115" s="381"/>
      <c r="NLW115" s="381"/>
      <c r="NLX115" s="381"/>
      <c r="NLY115" s="381"/>
      <c r="NLZ115" s="381"/>
      <c r="NMA115" s="381"/>
      <c r="NMB115" s="381"/>
      <c r="NMC115" s="381"/>
      <c r="NMD115" s="381"/>
      <c r="NME115" s="381"/>
      <c r="NMF115" s="381"/>
      <c r="NMG115" s="381"/>
      <c r="NMH115" s="381"/>
      <c r="NMI115" s="381"/>
      <c r="NMJ115" s="381"/>
      <c r="NMK115" s="381"/>
      <c r="NML115" s="381"/>
      <c r="NMM115" s="381"/>
      <c r="NMN115" s="381"/>
      <c r="NMO115" s="381"/>
      <c r="NMP115" s="381"/>
      <c r="NMQ115" s="381"/>
      <c r="NMR115" s="381"/>
      <c r="NMS115" s="381"/>
      <c r="NMT115" s="381"/>
      <c r="NMU115" s="381"/>
      <c r="NMV115" s="381"/>
      <c r="NMW115" s="381"/>
      <c r="NMX115" s="381"/>
      <c r="NMY115" s="381"/>
      <c r="NMZ115" s="381"/>
      <c r="NNA115" s="381"/>
      <c r="NNB115" s="381"/>
      <c r="NNC115" s="381"/>
      <c r="NND115" s="381"/>
      <c r="NNE115" s="381"/>
      <c r="NNF115" s="381"/>
      <c r="NNG115" s="381"/>
      <c r="NNH115" s="381"/>
      <c r="NNI115" s="381"/>
      <c r="NNJ115" s="381"/>
      <c r="NNK115" s="381"/>
      <c r="NNL115" s="381"/>
      <c r="NNM115" s="381"/>
      <c r="NNN115" s="381"/>
      <c r="NNO115" s="381"/>
      <c r="NNP115" s="381"/>
      <c r="NNQ115" s="381"/>
      <c r="NNR115" s="381"/>
      <c r="NNS115" s="381"/>
      <c r="NNT115" s="381"/>
      <c r="NNU115" s="381"/>
      <c r="NNV115" s="381"/>
      <c r="NNW115" s="381"/>
      <c r="NNX115" s="381"/>
      <c r="NNY115" s="381"/>
      <c r="NNZ115" s="381"/>
      <c r="NOA115" s="381"/>
      <c r="NOB115" s="381"/>
      <c r="NOC115" s="381"/>
      <c r="NOD115" s="381"/>
      <c r="NOE115" s="381"/>
      <c r="NOF115" s="381"/>
      <c r="NOG115" s="381"/>
      <c r="NOH115" s="381"/>
      <c r="NOI115" s="381"/>
      <c r="NOJ115" s="381"/>
      <c r="NOK115" s="381"/>
      <c r="NOL115" s="381"/>
      <c r="NOM115" s="381"/>
      <c r="NON115" s="381"/>
      <c r="NOO115" s="381"/>
      <c r="NOP115" s="381"/>
      <c r="NOQ115" s="381"/>
      <c r="NOR115" s="381"/>
      <c r="NOS115" s="381"/>
      <c r="NOT115" s="381"/>
      <c r="NOU115" s="381"/>
      <c r="NOV115" s="381"/>
      <c r="NOW115" s="381"/>
      <c r="NOX115" s="381"/>
      <c r="NOY115" s="381"/>
      <c r="NOZ115" s="381"/>
      <c r="NPA115" s="381"/>
      <c r="NPB115" s="381"/>
      <c r="NPC115" s="381"/>
      <c r="NPD115" s="381"/>
      <c r="NPE115" s="381"/>
      <c r="NPF115" s="381"/>
      <c r="NPG115" s="381"/>
      <c r="NPH115" s="381"/>
      <c r="NPI115" s="381"/>
      <c r="NPJ115" s="381"/>
      <c r="NPK115" s="381"/>
      <c r="NPL115" s="381"/>
      <c r="NPM115" s="381"/>
      <c r="NPN115" s="381"/>
      <c r="NPO115" s="381"/>
      <c r="NPP115" s="381"/>
      <c r="NPQ115" s="381"/>
      <c r="NPR115" s="381"/>
      <c r="NPS115" s="381"/>
      <c r="NPT115" s="381"/>
      <c r="NPU115" s="381"/>
      <c r="NPV115" s="381"/>
      <c r="NPW115" s="381"/>
      <c r="NPX115" s="381"/>
      <c r="NPY115" s="381"/>
      <c r="NPZ115" s="381"/>
      <c r="NQA115" s="381"/>
      <c r="NQB115" s="381"/>
      <c r="NQC115" s="381"/>
      <c r="NQD115" s="381"/>
      <c r="NQE115" s="381"/>
      <c r="NQF115" s="381"/>
      <c r="NQG115" s="381"/>
      <c r="NQH115" s="381"/>
      <c r="NQI115" s="381"/>
      <c r="NQJ115" s="381"/>
      <c r="NQK115" s="381"/>
      <c r="NQL115" s="381"/>
      <c r="NQM115" s="381"/>
      <c r="NQN115" s="381"/>
      <c r="NQO115" s="381"/>
      <c r="NQP115" s="381"/>
      <c r="NQQ115" s="381"/>
      <c r="NQR115" s="381"/>
      <c r="NQS115" s="381"/>
      <c r="NQT115" s="381"/>
      <c r="NQU115" s="381"/>
      <c r="NQV115" s="381"/>
      <c r="NQW115" s="381"/>
      <c r="NQX115" s="381"/>
      <c r="NQY115" s="381"/>
      <c r="NQZ115" s="381"/>
      <c r="NRA115" s="381"/>
      <c r="NRB115" s="381"/>
      <c r="NRC115" s="381"/>
      <c r="NRD115" s="381"/>
      <c r="NRE115" s="381"/>
      <c r="NRF115" s="381"/>
      <c r="NRG115" s="381"/>
      <c r="NRH115" s="381"/>
      <c r="NRI115" s="381"/>
      <c r="NRJ115" s="381"/>
      <c r="NRK115" s="381"/>
      <c r="NRL115" s="381"/>
      <c r="NRM115" s="381"/>
      <c r="NRN115" s="381"/>
      <c r="NRO115" s="381"/>
      <c r="NRP115" s="381"/>
      <c r="NRQ115" s="381"/>
      <c r="NRR115" s="381"/>
      <c r="NRS115" s="381"/>
      <c r="NRT115" s="381"/>
      <c r="NRU115" s="381"/>
      <c r="NRV115" s="381"/>
      <c r="NRW115" s="381"/>
      <c r="NRX115" s="381"/>
      <c r="NRY115" s="381"/>
      <c r="NRZ115" s="381"/>
      <c r="NSA115" s="381"/>
      <c r="NSB115" s="381"/>
      <c r="NSC115" s="381"/>
      <c r="NSD115" s="381"/>
      <c r="NSE115" s="381"/>
      <c r="NSF115" s="381"/>
      <c r="NSG115" s="381"/>
      <c r="NSH115" s="381"/>
      <c r="NSI115" s="381"/>
      <c r="NSJ115" s="381"/>
      <c r="NSK115" s="381"/>
      <c r="NSL115" s="381"/>
      <c r="NSM115" s="381"/>
      <c r="NSN115" s="381"/>
      <c r="NSO115" s="381"/>
      <c r="NSP115" s="381"/>
      <c r="NSQ115" s="381"/>
      <c r="NSR115" s="381"/>
      <c r="NSS115" s="381"/>
      <c r="NST115" s="381"/>
      <c r="NSU115" s="381"/>
      <c r="NSV115" s="381"/>
      <c r="NSW115" s="381"/>
      <c r="NSX115" s="381"/>
      <c r="NSY115" s="381"/>
      <c r="NSZ115" s="381"/>
      <c r="NTA115" s="381"/>
      <c r="NTB115" s="381"/>
      <c r="NTC115" s="381"/>
      <c r="NTD115" s="381"/>
      <c r="NTE115" s="381"/>
      <c r="NTF115" s="381"/>
      <c r="NTG115" s="381"/>
      <c r="NTH115" s="381"/>
      <c r="NTI115" s="381"/>
      <c r="NTJ115" s="381"/>
      <c r="NTK115" s="381"/>
      <c r="NTL115" s="381"/>
      <c r="NTM115" s="381"/>
      <c r="NTN115" s="381"/>
      <c r="NTO115" s="381"/>
      <c r="NTP115" s="381"/>
      <c r="NTQ115" s="381"/>
      <c r="NTR115" s="381"/>
      <c r="NTS115" s="381"/>
      <c r="NTT115" s="381"/>
      <c r="NTU115" s="381"/>
      <c r="NTV115" s="381"/>
      <c r="NTW115" s="381"/>
      <c r="NTX115" s="381"/>
      <c r="NTY115" s="381"/>
      <c r="NTZ115" s="381"/>
      <c r="NUA115" s="381"/>
      <c r="NUB115" s="381"/>
      <c r="NUC115" s="381"/>
      <c r="NUD115" s="381"/>
      <c r="NUE115" s="381"/>
      <c r="NUF115" s="381"/>
      <c r="NUG115" s="381"/>
      <c r="NUH115" s="381"/>
      <c r="NUI115" s="381"/>
      <c r="NUJ115" s="381"/>
      <c r="NUK115" s="381"/>
      <c r="NUL115" s="381"/>
      <c r="NUM115" s="381"/>
      <c r="NUN115" s="381"/>
      <c r="NUO115" s="381"/>
      <c r="NUP115" s="381"/>
      <c r="NUQ115" s="381"/>
      <c r="NUR115" s="381"/>
      <c r="NUS115" s="381"/>
      <c r="NUT115" s="381"/>
      <c r="NUU115" s="381"/>
      <c r="NUV115" s="381"/>
      <c r="NUW115" s="381"/>
      <c r="NUX115" s="381"/>
      <c r="NUY115" s="381"/>
      <c r="NUZ115" s="381"/>
      <c r="NVA115" s="381"/>
      <c r="NVB115" s="381"/>
      <c r="NVC115" s="381"/>
      <c r="NVD115" s="381"/>
      <c r="NVE115" s="381"/>
      <c r="NVF115" s="381"/>
      <c r="NVG115" s="381"/>
      <c r="NVH115" s="381"/>
      <c r="NVI115" s="381"/>
      <c r="NVJ115" s="381"/>
      <c r="NVK115" s="381"/>
      <c r="NVL115" s="381"/>
      <c r="NVM115" s="381"/>
      <c r="NVN115" s="381"/>
      <c r="NVO115" s="381"/>
      <c r="NVP115" s="381"/>
      <c r="NVQ115" s="381"/>
      <c r="NVR115" s="381"/>
      <c r="NVS115" s="381"/>
      <c r="NVT115" s="381"/>
      <c r="NVU115" s="381"/>
      <c r="NVV115" s="381"/>
      <c r="NVW115" s="381"/>
      <c r="NVX115" s="381"/>
      <c r="NVY115" s="381"/>
      <c r="NVZ115" s="381"/>
      <c r="NWA115" s="381"/>
      <c r="NWB115" s="381"/>
      <c r="NWC115" s="381"/>
      <c r="NWD115" s="381"/>
      <c r="NWE115" s="381"/>
      <c r="NWF115" s="381"/>
      <c r="NWG115" s="381"/>
      <c r="NWH115" s="381"/>
      <c r="NWI115" s="381"/>
      <c r="NWJ115" s="381"/>
      <c r="NWK115" s="381"/>
      <c r="NWL115" s="381"/>
      <c r="NWM115" s="381"/>
      <c r="NWN115" s="381"/>
      <c r="NWO115" s="381"/>
      <c r="NWP115" s="381"/>
      <c r="NWQ115" s="381"/>
      <c r="NWR115" s="381"/>
      <c r="NWS115" s="381"/>
      <c r="NWT115" s="381"/>
      <c r="NWU115" s="381"/>
      <c r="NWV115" s="381"/>
      <c r="NWW115" s="381"/>
      <c r="NWX115" s="381"/>
      <c r="NWY115" s="381"/>
      <c r="NWZ115" s="381"/>
      <c r="NXA115" s="381"/>
      <c r="NXB115" s="381"/>
      <c r="NXC115" s="381"/>
      <c r="NXD115" s="381"/>
      <c r="NXE115" s="381"/>
      <c r="NXF115" s="381"/>
      <c r="NXG115" s="381"/>
      <c r="NXH115" s="381"/>
      <c r="NXI115" s="381"/>
      <c r="NXJ115" s="381"/>
      <c r="NXK115" s="381"/>
      <c r="NXL115" s="381"/>
      <c r="NXM115" s="381"/>
      <c r="NXN115" s="381"/>
      <c r="NXO115" s="381"/>
      <c r="NXP115" s="381"/>
      <c r="NXQ115" s="381"/>
      <c r="NXR115" s="381"/>
      <c r="NXS115" s="381"/>
      <c r="NXT115" s="381"/>
      <c r="NXU115" s="381"/>
      <c r="NXV115" s="381"/>
      <c r="NXW115" s="381"/>
      <c r="NXX115" s="381"/>
      <c r="NXY115" s="381"/>
      <c r="NXZ115" s="381"/>
      <c r="NYA115" s="381"/>
      <c r="NYB115" s="381"/>
      <c r="NYC115" s="381"/>
      <c r="NYD115" s="381"/>
      <c r="NYE115" s="381"/>
      <c r="NYF115" s="381"/>
      <c r="NYG115" s="381"/>
      <c r="NYH115" s="381"/>
      <c r="NYI115" s="381"/>
      <c r="NYJ115" s="381"/>
      <c r="NYK115" s="381"/>
      <c r="NYL115" s="381"/>
      <c r="NYM115" s="381"/>
      <c r="NYN115" s="381"/>
      <c r="NYO115" s="381"/>
      <c r="NYP115" s="381"/>
      <c r="NYQ115" s="381"/>
      <c r="NYR115" s="381"/>
      <c r="NYS115" s="381"/>
      <c r="NYT115" s="381"/>
      <c r="NYU115" s="381"/>
      <c r="NYV115" s="381"/>
      <c r="NYW115" s="381"/>
      <c r="NYX115" s="381"/>
      <c r="NYY115" s="381"/>
      <c r="NYZ115" s="381"/>
      <c r="NZA115" s="381"/>
      <c r="NZB115" s="381"/>
      <c r="NZC115" s="381"/>
      <c r="NZD115" s="381"/>
      <c r="NZE115" s="381"/>
      <c r="NZF115" s="381"/>
      <c r="NZG115" s="381"/>
      <c r="NZH115" s="381"/>
      <c r="NZI115" s="381"/>
      <c r="NZJ115" s="381"/>
      <c r="NZK115" s="381"/>
      <c r="NZL115" s="381"/>
      <c r="NZM115" s="381"/>
      <c r="NZN115" s="381"/>
      <c r="NZO115" s="381"/>
      <c r="NZP115" s="381"/>
      <c r="NZQ115" s="381"/>
      <c r="NZR115" s="381"/>
      <c r="NZS115" s="381"/>
      <c r="NZT115" s="381"/>
      <c r="NZU115" s="381"/>
      <c r="NZV115" s="381"/>
      <c r="NZW115" s="381"/>
      <c r="NZX115" s="381"/>
      <c r="NZY115" s="381"/>
      <c r="NZZ115" s="381"/>
      <c r="OAA115" s="381"/>
      <c r="OAB115" s="381"/>
      <c r="OAC115" s="381"/>
      <c r="OAD115" s="381"/>
      <c r="OAE115" s="381"/>
      <c r="OAF115" s="381"/>
      <c r="OAG115" s="381"/>
      <c r="OAH115" s="381"/>
      <c r="OAI115" s="381"/>
      <c r="OAJ115" s="381"/>
      <c r="OAK115" s="381"/>
      <c r="OAL115" s="381"/>
      <c r="OAM115" s="381"/>
      <c r="OAN115" s="381"/>
      <c r="OAO115" s="381"/>
      <c r="OAP115" s="381"/>
      <c r="OAQ115" s="381"/>
      <c r="OAR115" s="381"/>
      <c r="OAS115" s="381"/>
      <c r="OAT115" s="381"/>
      <c r="OAU115" s="381"/>
      <c r="OAV115" s="381"/>
      <c r="OAW115" s="381"/>
      <c r="OAX115" s="381"/>
      <c r="OAY115" s="381"/>
      <c r="OAZ115" s="381"/>
      <c r="OBA115" s="381"/>
      <c r="OBB115" s="381"/>
      <c r="OBC115" s="381"/>
      <c r="OBD115" s="381"/>
      <c r="OBE115" s="381"/>
      <c r="OBF115" s="381"/>
      <c r="OBG115" s="381"/>
      <c r="OBH115" s="381"/>
      <c r="OBI115" s="381"/>
      <c r="OBJ115" s="381"/>
      <c r="OBK115" s="381"/>
      <c r="OBL115" s="381"/>
      <c r="OBM115" s="381"/>
      <c r="OBN115" s="381"/>
      <c r="OBO115" s="381"/>
      <c r="OBP115" s="381"/>
      <c r="OBQ115" s="381"/>
      <c r="OBR115" s="381"/>
      <c r="OBS115" s="381"/>
      <c r="OBT115" s="381"/>
      <c r="OBU115" s="381"/>
      <c r="OBV115" s="381"/>
      <c r="OBW115" s="381"/>
      <c r="OBX115" s="381"/>
      <c r="OBY115" s="381"/>
      <c r="OBZ115" s="381"/>
      <c r="OCA115" s="381"/>
      <c r="OCB115" s="381"/>
      <c r="OCC115" s="381"/>
      <c r="OCD115" s="381"/>
      <c r="OCE115" s="381"/>
      <c r="OCF115" s="381"/>
      <c r="OCG115" s="381"/>
      <c r="OCH115" s="381"/>
      <c r="OCI115" s="381"/>
      <c r="OCJ115" s="381"/>
      <c r="OCK115" s="381"/>
      <c r="OCL115" s="381"/>
      <c r="OCM115" s="381"/>
      <c r="OCN115" s="381"/>
      <c r="OCO115" s="381"/>
      <c r="OCP115" s="381"/>
      <c r="OCQ115" s="381"/>
      <c r="OCR115" s="381"/>
      <c r="OCS115" s="381"/>
      <c r="OCT115" s="381"/>
      <c r="OCU115" s="381"/>
      <c r="OCV115" s="381"/>
      <c r="OCW115" s="381"/>
      <c r="OCX115" s="381"/>
      <c r="OCY115" s="381"/>
      <c r="OCZ115" s="381"/>
      <c r="ODA115" s="381"/>
      <c r="ODB115" s="381"/>
      <c r="ODC115" s="381"/>
      <c r="ODD115" s="381"/>
      <c r="ODE115" s="381"/>
      <c r="ODF115" s="381"/>
      <c r="ODG115" s="381"/>
      <c r="ODH115" s="381"/>
      <c r="ODI115" s="381"/>
      <c r="ODJ115" s="381"/>
      <c r="ODK115" s="381"/>
      <c r="ODL115" s="381"/>
      <c r="ODM115" s="381"/>
      <c r="ODN115" s="381"/>
      <c r="ODO115" s="381"/>
      <c r="ODP115" s="381"/>
      <c r="ODQ115" s="381"/>
      <c r="ODR115" s="381"/>
      <c r="ODS115" s="381"/>
      <c r="ODT115" s="381"/>
      <c r="ODU115" s="381"/>
      <c r="ODV115" s="381"/>
      <c r="ODW115" s="381"/>
      <c r="ODX115" s="381"/>
      <c r="ODY115" s="381"/>
      <c r="ODZ115" s="381"/>
      <c r="OEA115" s="381"/>
      <c r="OEB115" s="381"/>
      <c r="OEC115" s="381"/>
      <c r="OED115" s="381"/>
      <c r="OEE115" s="381"/>
      <c r="OEF115" s="381"/>
      <c r="OEG115" s="381"/>
      <c r="OEH115" s="381"/>
      <c r="OEI115" s="381"/>
      <c r="OEJ115" s="381"/>
      <c r="OEK115" s="381"/>
      <c r="OEL115" s="381"/>
      <c r="OEM115" s="381"/>
      <c r="OEN115" s="381"/>
      <c r="OEO115" s="381"/>
      <c r="OEP115" s="381"/>
      <c r="OEQ115" s="381"/>
      <c r="OER115" s="381"/>
      <c r="OES115" s="381"/>
      <c r="OET115" s="381"/>
      <c r="OEU115" s="381"/>
      <c r="OEV115" s="381"/>
      <c r="OEW115" s="381"/>
      <c r="OEX115" s="381"/>
      <c r="OEY115" s="381"/>
      <c r="OEZ115" s="381"/>
      <c r="OFA115" s="381"/>
      <c r="OFB115" s="381"/>
      <c r="OFC115" s="381"/>
      <c r="OFD115" s="381"/>
      <c r="OFE115" s="381"/>
      <c r="OFF115" s="381"/>
      <c r="OFG115" s="381"/>
      <c r="OFH115" s="381"/>
      <c r="OFI115" s="381"/>
      <c r="OFJ115" s="381"/>
      <c r="OFK115" s="381"/>
      <c r="OFL115" s="381"/>
      <c r="OFM115" s="381"/>
      <c r="OFN115" s="381"/>
      <c r="OFO115" s="381"/>
      <c r="OFP115" s="381"/>
      <c r="OFQ115" s="381"/>
      <c r="OFR115" s="381"/>
      <c r="OFS115" s="381"/>
      <c r="OFT115" s="381"/>
      <c r="OFU115" s="381"/>
      <c r="OFV115" s="381"/>
      <c r="OFW115" s="381"/>
      <c r="OFX115" s="381"/>
      <c r="OFY115" s="381"/>
      <c r="OFZ115" s="381"/>
      <c r="OGA115" s="381"/>
      <c r="OGB115" s="381"/>
      <c r="OGC115" s="381"/>
      <c r="OGD115" s="381"/>
      <c r="OGE115" s="381"/>
      <c r="OGF115" s="381"/>
      <c r="OGG115" s="381"/>
      <c r="OGH115" s="381"/>
      <c r="OGI115" s="381"/>
      <c r="OGJ115" s="381"/>
      <c r="OGK115" s="381"/>
      <c r="OGL115" s="381"/>
      <c r="OGM115" s="381"/>
      <c r="OGN115" s="381"/>
      <c r="OGO115" s="381"/>
      <c r="OGP115" s="381"/>
      <c r="OGQ115" s="381"/>
      <c r="OGR115" s="381"/>
      <c r="OGS115" s="381"/>
      <c r="OGT115" s="381"/>
      <c r="OGU115" s="381"/>
      <c r="OGV115" s="381"/>
      <c r="OGW115" s="381"/>
      <c r="OGX115" s="381"/>
      <c r="OGY115" s="381"/>
      <c r="OGZ115" s="381"/>
      <c r="OHA115" s="381"/>
      <c r="OHB115" s="381"/>
      <c r="OHC115" s="381"/>
      <c r="OHD115" s="381"/>
      <c r="OHE115" s="381"/>
      <c r="OHF115" s="381"/>
      <c r="OHG115" s="381"/>
      <c r="OHH115" s="381"/>
      <c r="OHI115" s="381"/>
      <c r="OHJ115" s="381"/>
      <c r="OHK115" s="381"/>
      <c r="OHL115" s="381"/>
      <c r="OHM115" s="381"/>
      <c r="OHN115" s="381"/>
      <c r="OHO115" s="381"/>
      <c r="OHP115" s="381"/>
      <c r="OHQ115" s="381"/>
      <c r="OHR115" s="381"/>
      <c r="OHS115" s="381"/>
      <c r="OHT115" s="381"/>
      <c r="OHU115" s="381"/>
      <c r="OHV115" s="381"/>
      <c r="OHW115" s="381"/>
      <c r="OHX115" s="381"/>
      <c r="OHY115" s="381"/>
      <c r="OHZ115" s="381"/>
      <c r="OIA115" s="381"/>
      <c r="OIB115" s="381"/>
      <c r="OIC115" s="381"/>
      <c r="OID115" s="381"/>
      <c r="OIE115" s="381"/>
      <c r="OIF115" s="381"/>
      <c r="OIG115" s="381"/>
      <c r="OIH115" s="381"/>
      <c r="OII115" s="381"/>
      <c r="OIJ115" s="381"/>
      <c r="OIK115" s="381"/>
      <c r="OIL115" s="381"/>
      <c r="OIM115" s="381"/>
      <c r="OIN115" s="381"/>
      <c r="OIO115" s="381"/>
      <c r="OIP115" s="381"/>
      <c r="OIQ115" s="381"/>
      <c r="OIR115" s="381"/>
      <c r="OIS115" s="381"/>
      <c r="OIT115" s="381"/>
      <c r="OIU115" s="381"/>
      <c r="OIV115" s="381"/>
      <c r="OIW115" s="381"/>
      <c r="OIX115" s="381"/>
      <c r="OIY115" s="381"/>
      <c r="OIZ115" s="381"/>
      <c r="OJA115" s="381"/>
      <c r="OJB115" s="381"/>
      <c r="OJC115" s="381"/>
      <c r="OJD115" s="381"/>
      <c r="OJE115" s="381"/>
      <c r="OJF115" s="381"/>
      <c r="OJG115" s="381"/>
      <c r="OJH115" s="381"/>
      <c r="OJI115" s="381"/>
      <c r="OJJ115" s="381"/>
      <c r="OJK115" s="381"/>
      <c r="OJL115" s="381"/>
      <c r="OJM115" s="381"/>
      <c r="OJN115" s="381"/>
      <c r="OJO115" s="381"/>
      <c r="OJP115" s="381"/>
      <c r="OJQ115" s="381"/>
      <c r="OJR115" s="381"/>
      <c r="OJS115" s="381"/>
      <c r="OJT115" s="381"/>
      <c r="OJU115" s="381"/>
      <c r="OJV115" s="381"/>
      <c r="OJW115" s="381"/>
      <c r="OJX115" s="381"/>
      <c r="OJY115" s="381"/>
      <c r="OJZ115" s="381"/>
      <c r="OKA115" s="381"/>
      <c r="OKB115" s="381"/>
      <c r="OKC115" s="381"/>
      <c r="OKD115" s="381"/>
      <c r="OKE115" s="381"/>
      <c r="OKF115" s="381"/>
      <c r="OKG115" s="381"/>
      <c r="OKH115" s="381"/>
      <c r="OKI115" s="381"/>
      <c r="OKJ115" s="381"/>
      <c r="OKK115" s="381"/>
      <c r="OKL115" s="381"/>
      <c r="OKM115" s="381"/>
      <c r="OKN115" s="381"/>
      <c r="OKO115" s="381"/>
      <c r="OKP115" s="381"/>
      <c r="OKQ115" s="381"/>
      <c r="OKR115" s="381"/>
      <c r="OKS115" s="381"/>
      <c r="OKT115" s="381"/>
      <c r="OKU115" s="381"/>
      <c r="OKV115" s="381"/>
      <c r="OKW115" s="381"/>
      <c r="OKX115" s="381"/>
      <c r="OKY115" s="381"/>
      <c r="OKZ115" s="381"/>
      <c r="OLA115" s="381"/>
      <c r="OLB115" s="381"/>
      <c r="OLC115" s="381"/>
      <c r="OLD115" s="381"/>
      <c r="OLE115" s="381"/>
      <c r="OLF115" s="381"/>
      <c r="OLG115" s="381"/>
      <c r="OLH115" s="381"/>
      <c r="OLI115" s="381"/>
      <c r="OLJ115" s="381"/>
      <c r="OLK115" s="381"/>
      <c r="OLL115" s="381"/>
      <c r="OLM115" s="381"/>
      <c r="OLN115" s="381"/>
      <c r="OLO115" s="381"/>
      <c r="OLP115" s="381"/>
      <c r="OLQ115" s="381"/>
      <c r="OLR115" s="381"/>
      <c r="OLS115" s="381"/>
      <c r="OLT115" s="381"/>
      <c r="OLU115" s="381"/>
      <c r="OLV115" s="381"/>
      <c r="OLW115" s="381"/>
      <c r="OLX115" s="381"/>
      <c r="OLY115" s="381"/>
      <c r="OLZ115" s="381"/>
      <c r="OMA115" s="381"/>
      <c r="OMB115" s="381"/>
      <c r="OMC115" s="381"/>
      <c r="OMD115" s="381"/>
      <c r="OME115" s="381"/>
      <c r="OMF115" s="381"/>
      <c r="OMG115" s="381"/>
      <c r="OMH115" s="381"/>
      <c r="OMI115" s="381"/>
      <c r="OMJ115" s="381"/>
      <c r="OMK115" s="381"/>
      <c r="OML115" s="381"/>
      <c r="OMM115" s="381"/>
      <c r="OMN115" s="381"/>
      <c r="OMO115" s="381"/>
      <c r="OMP115" s="381"/>
      <c r="OMQ115" s="381"/>
      <c r="OMR115" s="381"/>
      <c r="OMS115" s="381"/>
      <c r="OMT115" s="381"/>
      <c r="OMU115" s="381"/>
      <c r="OMV115" s="381"/>
      <c r="OMW115" s="381"/>
      <c r="OMX115" s="381"/>
      <c r="OMY115" s="381"/>
      <c r="OMZ115" s="381"/>
      <c r="ONA115" s="381"/>
      <c r="ONB115" s="381"/>
      <c r="ONC115" s="381"/>
      <c r="OND115" s="381"/>
      <c r="ONE115" s="381"/>
      <c r="ONF115" s="381"/>
      <c r="ONG115" s="381"/>
      <c r="ONH115" s="381"/>
      <c r="ONI115" s="381"/>
      <c r="ONJ115" s="381"/>
      <c r="ONK115" s="381"/>
      <c r="ONL115" s="381"/>
      <c r="ONM115" s="381"/>
      <c r="ONN115" s="381"/>
      <c r="ONO115" s="381"/>
      <c r="ONP115" s="381"/>
      <c r="ONQ115" s="381"/>
      <c r="ONR115" s="381"/>
      <c r="ONS115" s="381"/>
      <c r="ONT115" s="381"/>
      <c r="ONU115" s="381"/>
      <c r="ONV115" s="381"/>
      <c r="ONW115" s="381"/>
      <c r="ONX115" s="381"/>
      <c r="ONY115" s="381"/>
      <c r="ONZ115" s="381"/>
      <c r="OOA115" s="381"/>
      <c r="OOB115" s="381"/>
      <c r="OOC115" s="381"/>
      <c r="OOD115" s="381"/>
      <c r="OOE115" s="381"/>
      <c r="OOF115" s="381"/>
      <c r="OOG115" s="381"/>
      <c r="OOH115" s="381"/>
      <c r="OOI115" s="381"/>
      <c r="OOJ115" s="381"/>
      <c r="OOK115" s="381"/>
      <c r="OOL115" s="381"/>
      <c r="OOM115" s="381"/>
      <c r="OON115" s="381"/>
      <c r="OOO115" s="381"/>
      <c r="OOP115" s="381"/>
      <c r="OOQ115" s="381"/>
      <c r="OOR115" s="381"/>
      <c r="OOS115" s="381"/>
      <c r="OOT115" s="381"/>
      <c r="OOU115" s="381"/>
      <c r="OOV115" s="381"/>
      <c r="OOW115" s="381"/>
      <c r="OOX115" s="381"/>
      <c r="OOY115" s="381"/>
      <c r="OOZ115" s="381"/>
      <c r="OPA115" s="381"/>
      <c r="OPB115" s="381"/>
      <c r="OPC115" s="381"/>
      <c r="OPD115" s="381"/>
      <c r="OPE115" s="381"/>
      <c r="OPF115" s="381"/>
      <c r="OPG115" s="381"/>
      <c r="OPH115" s="381"/>
      <c r="OPI115" s="381"/>
      <c r="OPJ115" s="381"/>
      <c r="OPK115" s="381"/>
      <c r="OPL115" s="381"/>
      <c r="OPM115" s="381"/>
      <c r="OPN115" s="381"/>
      <c r="OPO115" s="381"/>
      <c r="OPP115" s="381"/>
      <c r="OPQ115" s="381"/>
      <c r="OPR115" s="381"/>
      <c r="OPS115" s="381"/>
      <c r="OPT115" s="381"/>
      <c r="OPU115" s="381"/>
      <c r="OPV115" s="381"/>
      <c r="OPW115" s="381"/>
      <c r="OPX115" s="381"/>
      <c r="OPY115" s="381"/>
      <c r="OPZ115" s="381"/>
      <c r="OQA115" s="381"/>
      <c r="OQB115" s="381"/>
      <c r="OQC115" s="381"/>
      <c r="OQD115" s="381"/>
      <c r="OQE115" s="381"/>
      <c r="OQF115" s="381"/>
      <c r="OQG115" s="381"/>
      <c r="OQH115" s="381"/>
      <c r="OQI115" s="381"/>
      <c r="OQJ115" s="381"/>
      <c r="OQK115" s="381"/>
      <c r="OQL115" s="381"/>
      <c r="OQM115" s="381"/>
      <c r="OQN115" s="381"/>
      <c r="OQO115" s="381"/>
      <c r="OQP115" s="381"/>
      <c r="OQQ115" s="381"/>
      <c r="OQR115" s="381"/>
      <c r="OQS115" s="381"/>
      <c r="OQT115" s="381"/>
      <c r="OQU115" s="381"/>
      <c r="OQV115" s="381"/>
      <c r="OQW115" s="381"/>
      <c r="OQX115" s="381"/>
      <c r="OQY115" s="381"/>
      <c r="OQZ115" s="381"/>
      <c r="ORA115" s="381"/>
      <c r="ORB115" s="381"/>
      <c r="ORC115" s="381"/>
      <c r="ORD115" s="381"/>
      <c r="ORE115" s="381"/>
      <c r="ORF115" s="381"/>
      <c r="ORG115" s="381"/>
      <c r="ORH115" s="381"/>
      <c r="ORI115" s="381"/>
      <c r="ORJ115" s="381"/>
      <c r="ORK115" s="381"/>
      <c r="ORL115" s="381"/>
      <c r="ORM115" s="381"/>
      <c r="ORN115" s="381"/>
      <c r="ORO115" s="381"/>
      <c r="ORP115" s="381"/>
      <c r="ORQ115" s="381"/>
      <c r="ORR115" s="381"/>
      <c r="ORS115" s="381"/>
      <c r="ORT115" s="381"/>
      <c r="ORU115" s="381"/>
      <c r="ORV115" s="381"/>
      <c r="ORW115" s="381"/>
      <c r="ORX115" s="381"/>
      <c r="ORY115" s="381"/>
      <c r="ORZ115" s="381"/>
      <c r="OSA115" s="381"/>
      <c r="OSB115" s="381"/>
      <c r="OSC115" s="381"/>
      <c r="OSD115" s="381"/>
      <c r="OSE115" s="381"/>
      <c r="OSF115" s="381"/>
      <c r="OSG115" s="381"/>
      <c r="OSH115" s="381"/>
      <c r="OSI115" s="381"/>
      <c r="OSJ115" s="381"/>
      <c r="OSK115" s="381"/>
      <c r="OSL115" s="381"/>
      <c r="OSM115" s="381"/>
      <c r="OSN115" s="381"/>
      <c r="OSO115" s="381"/>
      <c r="OSP115" s="381"/>
      <c r="OSQ115" s="381"/>
      <c r="OSR115" s="381"/>
      <c r="OSS115" s="381"/>
      <c r="OST115" s="381"/>
      <c r="OSU115" s="381"/>
      <c r="OSV115" s="381"/>
      <c r="OSW115" s="381"/>
      <c r="OSX115" s="381"/>
      <c r="OSY115" s="381"/>
      <c r="OSZ115" s="381"/>
      <c r="OTA115" s="381"/>
      <c r="OTB115" s="381"/>
      <c r="OTC115" s="381"/>
      <c r="OTD115" s="381"/>
      <c r="OTE115" s="381"/>
      <c r="OTF115" s="381"/>
      <c r="OTG115" s="381"/>
      <c r="OTH115" s="381"/>
      <c r="OTI115" s="381"/>
      <c r="OTJ115" s="381"/>
      <c r="OTK115" s="381"/>
      <c r="OTL115" s="381"/>
      <c r="OTM115" s="381"/>
      <c r="OTN115" s="381"/>
      <c r="OTO115" s="381"/>
      <c r="OTP115" s="381"/>
      <c r="OTQ115" s="381"/>
      <c r="OTR115" s="381"/>
      <c r="OTS115" s="381"/>
      <c r="OTT115" s="381"/>
      <c r="OTU115" s="381"/>
      <c r="OTV115" s="381"/>
      <c r="OTW115" s="381"/>
      <c r="OTX115" s="381"/>
      <c r="OTY115" s="381"/>
      <c r="OTZ115" s="381"/>
      <c r="OUA115" s="381"/>
      <c r="OUB115" s="381"/>
      <c r="OUC115" s="381"/>
      <c r="OUD115" s="381"/>
      <c r="OUE115" s="381"/>
      <c r="OUF115" s="381"/>
      <c r="OUG115" s="381"/>
      <c r="OUH115" s="381"/>
      <c r="OUI115" s="381"/>
      <c r="OUJ115" s="381"/>
      <c r="OUK115" s="381"/>
      <c r="OUL115" s="381"/>
      <c r="OUM115" s="381"/>
      <c r="OUN115" s="381"/>
      <c r="OUO115" s="381"/>
      <c r="OUP115" s="381"/>
      <c r="OUQ115" s="381"/>
      <c r="OUR115" s="381"/>
      <c r="OUS115" s="381"/>
      <c r="OUT115" s="381"/>
      <c r="OUU115" s="381"/>
      <c r="OUV115" s="381"/>
      <c r="OUW115" s="381"/>
      <c r="OUX115" s="381"/>
      <c r="OUY115" s="381"/>
      <c r="OUZ115" s="381"/>
      <c r="OVA115" s="381"/>
      <c r="OVB115" s="381"/>
      <c r="OVC115" s="381"/>
      <c r="OVD115" s="381"/>
      <c r="OVE115" s="381"/>
      <c r="OVF115" s="381"/>
      <c r="OVG115" s="381"/>
      <c r="OVH115" s="381"/>
      <c r="OVI115" s="381"/>
      <c r="OVJ115" s="381"/>
      <c r="OVK115" s="381"/>
      <c r="OVL115" s="381"/>
      <c r="OVM115" s="381"/>
      <c r="OVN115" s="381"/>
      <c r="OVO115" s="381"/>
      <c r="OVP115" s="381"/>
      <c r="OVQ115" s="381"/>
      <c r="OVR115" s="381"/>
      <c r="OVS115" s="381"/>
      <c r="OVT115" s="381"/>
      <c r="OVU115" s="381"/>
      <c r="OVV115" s="381"/>
      <c r="OVW115" s="381"/>
      <c r="OVX115" s="381"/>
      <c r="OVY115" s="381"/>
      <c r="OVZ115" s="381"/>
      <c r="OWA115" s="381"/>
      <c r="OWB115" s="381"/>
      <c r="OWC115" s="381"/>
      <c r="OWD115" s="381"/>
      <c r="OWE115" s="381"/>
      <c r="OWF115" s="381"/>
      <c r="OWG115" s="381"/>
      <c r="OWH115" s="381"/>
      <c r="OWI115" s="381"/>
      <c r="OWJ115" s="381"/>
      <c r="OWK115" s="381"/>
      <c r="OWL115" s="381"/>
      <c r="OWM115" s="381"/>
      <c r="OWN115" s="381"/>
      <c r="OWO115" s="381"/>
      <c r="OWP115" s="381"/>
      <c r="OWQ115" s="381"/>
      <c r="OWR115" s="381"/>
      <c r="OWS115" s="381"/>
      <c r="OWT115" s="381"/>
      <c r="OWU115" s="381"/>
      <c r="OWV115" s="381"/>
      <c r="OWW115" s="381"/>
      <c r="OWX115" s="381"/>
      <c r="OWY115" s="381"/>
      <c r="OWZ115" s="381"/>
      <c r="OXA115" s="381"/>
      <c r="OXB115" s="381"/>
      <c r="OXC115" s="381"/>
      <c r="OXD115" s="381"/>
      <c r="OXE115" s="381"/>
      <c r="OXF115" s="381"/>
      <c r="OXG115" s="381"/>
      <c r="OXH115" s="381"/>
      <c r="OXI115" s="381"/>
      <c r="OXJ115" s="381"/>
      <c r="OXK115" s="381"/>
      <c r="OXL115" s="381"/>
      <c r="OXM115" s="381"/>
      <c r="OXN115" s="381"/>
      <c r="OXO115" s="381"/>
      <c r="OXP115" s="381"/>
      <c r="OXQ115" s="381"/>
      <c r="OXR115" s="381"/>
      <c r="OXS115" s="381"/>
      <c r="OXT115" s="381"/>
      <c r="OXU115" s="381"/>
      <c r="OXV115" s="381"/>
      <c r="OXW115" s="381"/>
      <c r="OXX115" s="381"/>
      <c r="OXY115" s="381"/>
      <c r="OXZ115" s="381"/>
      <c r="OYA115" s="381"/>
      <c r="OYB115" s="381"/>
      <c r="OYC115" s="381"/>
      <c r="OYD115" s="381"/>
      <c r="OYE115" s="381"/>
      <c r="OYF115" s="381"/>
      <c r="OYG115" s="381"/>
      <c r="OYH115" s="381"/>
      <c r="OYI115" s="381"/>
      <c r="OYJ115" s="381"/>
      <c r="OYK115" s="381"/>
      <c r="OYL115" s="381"/>
      <c r="OYM115" s="381"/>
      <c r="OYN115" s="381"/>
      <c r="OYO115" s="381"/>
      <c r="OYP115" s="381"/>
      <c r="OYQ115" s="381"/>
      <c r="OYR115" s="381"/>
      <c r="OYS115" s="381"/>
      <c r="OYT115" s="381"/>
      <c r="OYU115" s="381"/>
      <c r="OYV115" s="381"/>
      <c r="OYW115" s="381"/>
      <c r="OYX115" s="381"/>
      <c r="OYY115" s="381"/>
      <c r="OYZ115" s="381"/>
      <c r="OZA115" s="381"/>
      <c r="OZB115" s="381"/>
      <c r="OZC115" s="381"/>
      <c r="OZD115" s="381"/>
      <c r="OZE115" s="381"/>
      <c r="OZF115" s="381"/>
      <c r="OZG115" s="381"/>
      <c r="OZH115" s="381"/>
      <c r="OZI115" s="381"/>
      <c r="OZJ115" s="381"/>
      <c r="OZK115" s="381"/>
      <c r="OZL115" s="381"/>
      <c r="OZM115" s="381"/>
      <c r="OZN115" s="381"/>
      <c r="OZO115" s="381"/>
      <c r="OZP115" s="381"/>
      <c r="OZQ115" s="381"/>
      <c r="OZR115" s="381"/>
      <c r="OZS115" s="381"/>
      <c r="OZT115" s="381"/>
      <c r="OZU115" s="381"/>
      <c r="OZV115" s="381"/>
      <c r="OZW115" s="381"/>
      <c r="OZX115" s="381"/>
      <c r="OZY115" s="381"/>
      <c r="OZZ115" s="381"/>
      <c r="PAA115" s="381"/>
      <c r="PAB115" s="381"/>
      <c r="PAC115" s="381"/>
      <c r="PAD115" s="381"/>
      <c r="PAE115" s="381"/>
      <c r="PAF115" s="381"/>
      <c r="PAG115" s="381"/>
      <c r="PAH115" s="381"/>
      <c r="PAI115" s="381"/>
      <c r="PAJ115" s="381"/>
      <c r="PAK115" s="381"/>
      <c r="PAL115" s="381"/>
      <c r="PAM115" s="381"/>
      <c r="PAN115" s="381"/>
      <c r="PAO115" s="381"/>
      <c r="PAP115" s="381"/>
      <c r="PAQ115" s="381"/>
      <c r="PAR115" s="381"/>
      <c r="PAS115" s="381"/>
      <c r="PAT115" s="381"/>
      <c r="PAU115" s="381"/>
      <c r="PAV115" s="381"/>
      <c r="PAW115" s="381"/>
      <c r="PAX115" s="381"/>
      <c r="PAY115" s="381"/>
      <c r="PAZ115" s="381"/>
      <c r="PBA115" s="381"/>
      <c r="PBB115" s="381"/>
      <c r="PBC115" s="381"/>
      <c r="PBD115" s="381"/>
      <c r="PBE115" s="381"/>
      <c r="PBF115" s="381"/>
      <c r="PBG115" s="381"/>
      <c r="PBH115" s="381"/>
      <c r="PBI115" s="381"/>
      <c r="PBJ115" s="381"/>
      <c r="PBK115" s="381"/>
      <c r="PBL115" s="381"/>
      <c r="PBM115" s="381"/>
      <c r="PBN115" s="381"/>
      <c r="PBO115" s="381"/>
      <c r="PBP115" s="381"/>
      <c r="PBQ115" s="381"/>
      <c r="PBR115" s="381"/>
      <c r="PBS115" s="381"/>
      <c r="PBT115" s="381"/>
      <c r="PBU115" s="381"/>
      <c r="PBV115" s="381"/>
      <c r="PBW115" s="381"/>
      <c r="PBX115" s="381"/>
      <c r="PBY115" s="381"/>
      <c r="PBZ115" s="381"/>
      <c r="PCA115" s="381"/>
      <c r="PCB115" s="381"/>
      <c r="PCC115" s="381"/>
      <c r="PCD115" s="381"/>
      <c r="PCE115" s="381"/>
      <c r="PCF115" s="381"/>
      <c r="PCG115" s="381"/>
      <c r="PCH115" s="381"/>
      <c r="PCI115" s="381"/>
      <c r="PCJ115" s="381"/>
      <c r="PCK115" s="381"/>
      <c r="PCL115" s="381"/>
      <c r="PCM115" s="381"/>
      <c r="PCN115" s="381"/>
      <c r="PCO115" s="381"/>
      <c r="PCP115" s="381"/>
      <c r="PCQ115" s="381"/>
      <c r="PCR115" s="381"/>
      <c r="PCS115" s="381"/>
      <c r="PCT115" s="381"/>
      <c r="PCU115" s="381"/>
      <c r="PCV115" s="381"/>
      <c r="PCW115" s="381"/>
      <c r="PCX115" s="381"/>
      <c r="PCY115" s="381"/>
      <c r="PCZ115" s="381"/>
      <c r="PDA115" s="381"/>
      <c r="PDB115" s="381"/>
      <c r="PDC115" s="381"/>
      <c r="PDD115" s="381"/>
      <c r="PDE115" s="381"/>
      <c r="PDF115" s="381"/>
      <c r="PDG115" s="381"/>
      <c r="PDH115" s="381"/>
      <c r="PDI115" s="381"/>
      <c r="PDJ115" s="381"/>
      <c r="PDK115" s="381"/>
      <c r="PDL115" s="381"/>
      <c r="PDM115" s="381"/>
      <c r="PDN115" s="381"/>
      <c r="PDO115" s="381"/>
      <c r="PDP115" s="381"/>
      <c r="PDQ115" s="381"/>
      <c r="PDR115" s="381"/>
      <c r="PDS115" s="381"/>
      <c r="PDT115" s="381"/>
      <c r="PDU115" s="381"/>
      <c r="PDV115" s="381"/>
      <c r="PDW115" s="381"/>
      <c r="PDX115" s="381"/>
      <c r="PDY115" s="381"/>
      <c r="PDZ115" s="381"/>
      <c r="PEA115" s="381"/>
      <c r="PEB115" s="381"/>
      <c r="PEC115" s="381"/>
      <c r="PED115" s="381"/>
      <c r="PEE115" s="381"/>
      <c r="PEF115" s="381"/>
      <c r="PEG115" s="381"/>
      <c r="PEH115" s="381"/>
      <c r="PEI115" s="381"/>
      <c r="PEJ115" s="381"/>
      <c r="PEK115" s="381"/>
      <c r="PEL115" s="381"/>
      <c r="PEM115" s="381"/>
      <c r="PEN115" s="381"/>
      <c r="PEO115" s="381"/>
      <c r="PEP115" s="381"/>
      <c r="PEQ115" s="381"/>
      <c r="PER115" s="381"/>
      <c r="PES115" s="381"/>
      <c r="PET115" s="381"/>
      <c r="PEU115" s="381"/>
      <c r="PEV115" s="381"/>
      <c r="PEW115" s="381"/>
      <c r="PEX115" s="381"/>
      <c r="PEY115" s="381"/>
      <c r="PEZ115" s="381"/>
      <c r="PFA115" s="381"/>
      <c r="PFB115" s="381"/>
      <c r="PFC115" s="381"/>
      <c r="PFD115" s="381"/>
      <c r="PFE115" s="381"/>
      <c r="PFF115" s="381"/>
      <c r="PFG115" s="381"/>
      <c r="PFH115" s="381"/>
      <c r="PFI115" s="381"/>
      <c r="PFJ115" s="381"/>
      <c r="PFK115" s="381"/>
      <c r="PFL115" s="381"/>
      <c r="PFM115" s="381"/>
      <c r="PFN115" s="381"/>
      <c r="PFO115" s="381"/>
      <c r="PFP115" s="381"/>
      <c r="PFQ115" s="381"/>
      <c r="PFR115" s="381"/>
      <c r="PFS115" s="381"/>
      <c r="PFT115" s="381"/>
      <c r="PFU115" s="381"/>
      <c r="PFV115" s="381"/>
      <c r="PFW115" s="381"/>
      <c r="PFX115" s="381"/>
      <c r="PFY115" s="381"/>
      <c r="PFZ115" s="381"/>
      <c r="PGA115" s="381"/>
      <c r="PGB115" s="381"/>
      <c r="PGC115" s="381"/>
      <c r="PGD115" s="381"/>
      <c r="PGE115" s="381"/>
      <c r="PGF115" s="381"/>
      <c r="PGG115" s="381"/>
      <c r="PGH115" s="381"/>
      <c r="PGI115" s="381"/>
      <c r="PGJ115" s="381"/>
      <c r="PGK115" s="381"/>
      <c r="PGL115" s="381"/>
      <c r="PGM115" s="381"/>
      <c r="PGN115" s="381"/>
      <c r="PGO115" s="381"/>
      <c r="PGP115" s="381"/>
      <c r="PGQ115" s="381"/>
      <c r="PGR115" s="381"/>
      <c r="PGS115" s="381"/>
      <c r="PGT115" s="381"/>
      <c r="PGU115" s="381"/>
      <c r="PGV115" s="381"/>
      <c r="PGW115" s="381"/>
      <c r="PGX115" s="381"/>
      <c r="PGY115" s="381"/>
      <c r="PGZ115" s="381"/>
      <c r="PHA115" s="381"/>
      <c r="PHB115" s="381"/>
      <c r="PHC115" s="381"/>
      <c r="PHD115" s="381"/>
      <c r="PHE115" s="381"/>
      <c r="PHF115" s="381"/>
      <c r="PHG115" s="381"/>
      <c r="PHH115" s="381"/>
      <c r="PHI115" s="381"/>
      <c r="PHJ115" s="381"/>
      <c r="PHK115" s="381"/>
      <c r="PHL115" s="381"/>
      <c r="PHM115" s="381"/>
      <c r="PHN115" s="381"/>
      <c r="PHO115" s="381"/>
      <c r="PHP115" s="381"/>
      <c r="PHQ115" s="381"/>
      <c r="PHR115" s="381"/>
      <c r="PHS115" s="381"/>
      <c r="PHT115" s="381"/>
      <c r="PHU115" s="381"/>
      <c r="PHV115" s="381"/>
      <c r="PHW115" s="381"/>
      <c r="PHX115" s="381"/>
      <c r="PHY115" s="381"/>
      <c r="PHZ115" s="381"/>
      <c r="PIA115" s="381"/>
      <c r="PIB115" s="381"/>
      <c r="PIC115" s="381"/>
      <c r="PID115" s="381"/>
      <c r="PIE115" s="381"/>
      <c r="PIF115" s="381"/>
      <c r="PIG115" s="381"/>
      <c r="PIH115" s="381"/>
      <c r="PII115" s="381"/>
      <c r="PIJ115" s="381"/>
      <c r="PIK115" s="381"/>
      <c r="PIL115" s="381"/>
      <c r="PIM115" s="381"/>
      <c r="PIN115" s="381"/>
      <c r="PIO115" s="381"/>
      <c r="PIP115" s="381"/>
      <c r="PIQ115" s="381"/>
      <c r="PIR115" s="381"/>
      <c r="PIS115" s="381"/>
      <c r="PIT115" s="381"/>
      <c r="PIU115" s="381"/>
      <c r="PIV115" s="381"/>
      <c r="PIW115" s="381"/>
      <c r="PIX115" s="381"/>
      <c r="PIY115" s="381"/>
      <c r="PIZ115" s="381"/>
      <c r="PJA115" s="381"/>
      <c r="PJB115" s="381"/>
      <c r="PJC115" s="381"/>
      <c r="PJD115" s="381"/>
      <c r="PJE115" s="381"/>
      <c r="PJF115" s="381"/>
      <c r="PJG115" s="381"/>
      <c r="PJH115" s="381"/>
      <c r="PJI115" s="381"/>
      <c r="PJJ115" s="381"/>
      <c r="PJK115" s="381"/>
      <c r="PJL115" s="381"/>
      <c r="PJM115" s="381"/>
      <c r="PJN115" s="381"/>
      <c r="PJO115" s="381"/>
      <c r="PJP115" s="381"/>
      <c r="PJQ115" s="381"/>
      <c r="PJR115" s="381"/>
      <c r="PJS115" s="381"/>
      <c r="PJT115" s="381"/>
      <c r="PJU115" s="381"/>
      <c r="PJV115" s="381"/>
      <c r="PJW115" s="381"/>
      <c r="PJX115" s="381"/>
      <c r="PJY115" s="381"/>
      <c r="PJZ115" s="381"/>
      <c r="PKA115" s="381"/>
      <c r="PKB115" s="381"/>
      <c r="PKC115" s="381"/>
      <c r="PKD115" s="381"/>
      <c r="PKE115" s="381"/>
      <c r="PKF115" s="381"/>
      <c r="PKG115" s="381"/>
      <c r="PKH115" s="381"/>
      <c r="PKI115" s="381"/>
      <c r="PKJ115" s="381"/>
      <c r="PKK115" s="381"/>
      <c r="PKL115" s="381"/>
      <c r="PKM115" s="381"/>
      <c r="PKN115" s="381"/>
      <c r="PKO115" s="381"/>
      <c r="PKP115" s="381"/>
      <c r="PKQ115" s="381"/>
      <c r="PKR115" s="381"/>
      <c r="PKS115" s="381"/>
      <c r="PKT115" s="381"/>
      <c r="PKU115" s="381"/>
      <c r="PKV115" s="381"/>
      <c r="PKW115" s="381"/>
      <c r="PKX115" s="381"/>
      <c r="PKY115" s="381"/>
      <c r="PKZ115" s="381"/>
      <c r="PLA115" s="381"/>
      <c r="PLB115" s="381"/>
      <c r="PLC115" s="381"/>
      <c r="PLD115" s="381"/>
      <c r="PLE115" s="381"/>
      <c r="PLF115" s="381"/>
      <c r="PLG115" s="381"/>
      <c r="PLH115" s="381"/>
      <c r="PLI115" s="381"/>
      <c r="PLJ115" s="381"/>
      <c r="PLK115" s="381"/>
      <c r="PLL115" s="381"/>
      <c r="PLM115" s="381"/>
      <c r="PLN115" s="381"/>
      <c r="PLO115" s="381"/>
      <c r="PLP115" s="381"/>
      <c r="PLQ115" s="381"/>
      <c r="PLR115" s="381"/>
      <c r="PLS115" s="381"/>
      <c r="PLT115" s="381"/>
      <c r="PLU115" s="381"/>
      <c r="PLV115" s="381"/>
      <c r="PLW115" s="381"/>
      <c r="PLX115" s="381"/>
      <c r="PLY115" s="381"/>
      <c r="PLZ115" s="381"/>
      <c r="PMA115" s="381"/>
      <c r="PMB115" s="381"/>
      <c r="PMC115" s="381"/>
      <c r="PMD115" s="381"/>
      <c r="PME115" s="381"/>
      <c r="PMF115" s="381"/>
      <c r="PMG115" s="381"/>
      <c r="PMH115" s="381"/>
      <c r="PMI115" s="381"/>
      <c r="PMJ115" s="381"/>
      <c r="PMK115" s="381"/>
      <c r="PML115" s="381"/>
      <c r="PMM115" s="381"/>
      <c r="PMN115" s="381"/>
      <c r="PMO115" s="381"/>
      <c r="PMP115" s="381"/>
      <c r="PMQ115" s="381"/>
      <c r="PMR115" s="381"/>
      <c r="PMS115" s="381"/>
      <c r="PMT115" s="381"/>
      <c r="PMU115" s="381"/>
      <c r="PMV115" s="381"/>
      <c r="PMW115" s="381"/>
      <c r="PMX115" s="381"/>
      <c r="PMY115" s="381"/>
      <c r="PMZ115" s="381"/>
      <c r="PNA115" s="381"/>
      <c r="PNB115" s="381"/>
      <c r="PNC115" s="381"/>
      <c r="PND115" s="381"/>
      <c r="PNE115" s="381"/>
      <c r="PNF115" s="381"/>
      <c r="PNG115" s="381"/>
      <c r="PNH115" s="381"/>
      <c r="PNI115" s="381"/>
      <c r="PNJ115" s="381"/>
      <c r="PNK115" s="381"/>
      <c r="PNL115" s="381"/>
      <c r="PNM115" s="381"/>
      <c r="PNN115" s="381"/>
      <c r="PNO115" s="381"/>
      <c r="PNP115" s="381"/>
      <c r="PNQ115" s="381"/>
      <c r="PNR115" s="381"/>
      <c r="PNS115" s="381"/>
      <c r="PNT115" s="381"/>
      <c r="PNU115" s="381"/>
      <c r="PNV115" s="381"/>
      <c r="PNW115" s="381"/>
      <c r="PNX115" s="381"/>
      <c r="PNY115" s="381"/>
      <c r="PNZ115" s="381"/>
      <c r="POA115" s="381"/>
      <c r="POB115" s="381"/>
      <c r="POC115" s="381"/>
      <c r="POD115" s="381"/>
      <c r="POE115" s="381"/>
      <c r="POF115" s="381"/>
      <c r="POG115" s="381"/>
      <c r="POH115" s="381"/>
      <c r="POI115" s="381"/>
      <c r="POJ115" s="381"/>
      <c r="POK115" s="381"/>
      <c r="POL115" s="381"/>
      <c r="POM115" s="381"/>
      <c r="PON115" s="381"/>
      <c r="POO115" s="381"/>
      <c r="POP115" s="381"/>
      <c r="POQ115" s="381"/>
      <c r="POR115" s="381"/>
      <c r="POS115" s="381"/>
      <c r="POT115" s="381"/>
      <c r="POU115" s="381"/>
      <c r="POV115" s="381"/>
      <c r="POW115" s="381"/>
      <c r="POX115" s="381"/>
      <c r="POY115" s="381"/>
      <c r="POZ115" s="381"/>
      <c r="PPA115" s="381"/>
      <c r="PPB115" s="381"/>
      <c r="PPC115" s="381"/>
      <c r="PPD115" s="381"/>
      <c r="PPE115" s="381"/>
      <c r="PPF115" s="381"/>
      <c r="PPG115" s="381"/>
      <c r="PPH115" s="381"/>
      <c r="PPI115" s="381"/>
      <c r="PPJ115" s="381"/>
      <c r="PPK115" s="381"/>
      <c r="PPL115" s="381"/>
      <c r="PPM115" s="381"/>
      <c r="PPN115" s="381"/>
      <c r="PPO115" s="381"/>
      <c r="PPP115" s="381"/>
      <c r="PPQ115" s="381"/>
      <c r="PPR115" s="381"/>
      <c r="PPS115" s="381"/>
      <c r="PPT115" s="381"/>
      <c r="PPU115" s="381"/>
      <c r="PPV115" s="381"/>
      <c r="PPW115" s="381"/>
      <c r="PPX115" s="381"/>
      <c r="PPY115" s="381"/>
      <c r="PPZ115" s="381"/>
      <c r="PQA115" s="381"/>
      <c r="PQB115" s="381"/>
      <c r="PQC115" s="381"/>
      <c r="PQD115" s="381"/>
      <c r="PQE115" s="381"/>
      <c r="PQF115" s="381"/>
      <c r="PQG115" s="381"/>
      <c r="PQH115" s="381"/>
      <c r="PQI115" s="381"/>
      <c r="PQJ115" s="381"/>
      <c r="PQK115" s="381"/>
      <c r="PQL115" s="381"/>
      <c r="PQM115" s="381"/>
      <c r="PQN115" s="381"/>
      <c r="PQO115" s="381"/>
      <c r="PQP115" s="381"/>
      <c r="PQQ115" s="381"/>
      <c r="PQR115" s="381"/>
      <c r="PQS115" s="381"/>
      <c r="PQT115" s="381"/>
      <c r="PQU115" s="381"/>
      <c r="PQV115" s="381"/>
      <c r="PQW115" s="381"/>
      <c r="PQX115" s="381"/>
      <c r="PQY115" s="381"/>
      <c r="PQZ115" s="381"/>
      <c r="PRA115" s="381"/>
      <c r="PRB115" s="381"/>
      <c r="PRC115" s="381"/>
      <c r="PRD115" s="381"/>
      <c r="PRE115" s="381"/>
      <c r="PRF115" s="381"/>
      <c r="PRG115" s="381"/>
      <c r="PRH115" s="381"/>
      <c r="PRI115" s="381"/>
      <c r="PRJ115" s="381"/>
      <c r="PRK115" s="381"/>
      <c r="PRL115" s="381"/>
      <c r="PRM115" s="381"/>
      <c r="PRN115" s="381"/>
      <c r="PRO115" s="381"/>
      <c r="PRP115" s="381"/>
      <c r="PRQ115" s="381"/>
      <c r="PRR115" s="381"/>
      <c r="PRS115" s="381"/>
      <c r="PRT115" s="381"/>
      <c r="PRU115" s="381"/>
      <c r="PRV115" s="381"/>
      <c r="PRW115" s="381"/>
      <c r="PRX115" s="381"/>
      <c r="PRY115" s="381"/>
      <c r="PRZ115" s="381"/>
      <c r="PSA115" s="381"/>
      <c r="PSB115" s="381"/>
      <c r="PSC115" s="381"/>
      <c r="PSD115" s="381"/>
      <c r="PSE115" s="381"/>
      <c r="PSF115" s="381"/>
      <c r="PSG115" s="381"/>
      <c r="PSH115" s="381"/>
      <c r="PSI115" s="381"/>
      <c r="PSJ115" s="381"/>
      <c r="PSK115" s="381"/>
      <c r="PSL115" s="381"/>
      <c r="PSM115" s="381"/>
      <c r="PSN115" s="381"/>
      <c r="PSO115" s="381"/>
      <c r="PSP115" s="381"/>
      <c r="PSQ115" s="381"/>
      <c r="PSR115" s="381"/>
      <c r="PSS115" s="381"/>
      <c r="PST115" s="381"/>
      <c r="PSU115" s="381"/>
      <c r="PSV115" s="381"/>
      <c r="PSW115" s="381"/>
      <c r="PSX115" s="381"/>
      <c r="PSY115" s="381"/>
      <c r="PSZ115" s="381"/>
      <c r="PTA115" s="381"/>
      <c r="PTB115" s="381"/>
      <c r="PTC115" s="381"/>
      <c r="PTD115" s="381"/>
      <c r="PTE115" s="381"/>
      <c r="PTF115" s="381"/>
      <c r="PTG115" s="381"/>
      <c r="PTH115" s="381"/>
      <c r="PTI115" s="381"/>
      <c r="PTJ115" s="381"/>
      <c r="PTK115" s="381"/>
      <c r="PTL115" s="381"/>
      <c r="PTM115" s="381"/>
      <c r="PTN115" s="381"/>
      <c r="PTO115" s="381"/>
      <c r="PTP115" s="381"/>
      <c r="PTQ115" s="381"/>
      <c r="PTR115" s="381"/>
      <c r="PTS115" s="381"/>
      <c r="PTT115" s="381"/>
      <c r="PTU115" s="381"/>
      <c r="PTV115" s="381"/>
      <c r="PTW115" s="381"/>
      <c r="PTX115" s="381"/>
      <c r="PTY115" s="381"/>
      <c r="PTZ115" s="381"/>
      <c r="PUA115" s="381"/>
      <c r="PUB115" s="381"/>
      <c r="PUC115" s="381"/>
      <c r="PUD115" s="381"/>
      <c r="PUE115" s="381"/>
      <c r="PUF115" s="381"/>
      <c r="PUG115" s="381"/>
      <c r="PUH115" s="381"/>
      <c r="PUI115" s="381"/>
      <c r="PUJ115" s="381"/>
      <c r="PUK115" s="381"/>
      <c r="PUL115" s="381"/>
      <c r="PUM115" s="381"/>
      <c r="PUN115" s="381"/>
      <c r="PUO115" s="381"/>
      <c r="PUP115" s="381"/>
      <c r="PUQ115" s="381"/>
      <c r="PUR115" s="381"/>
      <c r="PUS115" s="381"/>
      <c r="PUT115" s="381"/>
      <c r="PUU115" s="381"/>
      <c r="PUV115" s="381"/>
      <c r="PUW115" s="381"/>
      <c r="PUX115" s="381"/>
      <c r="PUY115" s="381"/>
      <c r="PUZ115" s="381"/>
      <c r="PVA115" s="381"/>
      <c r="PVB115" s="381"/>
      <c r="PVC115" s="381"/>
      <c r="PVD115" s="381"/>
      <c r="PVE115" s="381"/>
      <c r="PVF115" s="381"/>
      <c r="PVG115" s="381"/>
      <c r="PVH115" s="381"/>
      <c r="PVI115" s="381"/>
      <c r="PVJ115" s="381"/>
      <c r="PVK115" s="381"/>
      <c r="PVL115" s="381"/>
      <c r="PVM115" s="381"/>
      <c r="PVN115" s="381"/>
      <c r="PVO115" s="381"/>
      <c r="PVP115" s="381"/>
      <c r="PVQ115" s="381"/>
      <c r="PVR115" s="381"/>
      <c r="PVS115" s="381"/>
      <c r="PVT115" s="381"/>
      <c r="PVU115" s="381"/>
      <c r="PVV115" s="381"/>
      <c r="PVW115" s="381"/>
      <c r="PVX115" s="381"/>
      <c r="PVY115" s="381"/>
      <c r="PVZ115" s="381"/>
      <c r="PWA115" s="381"/>
      <c r="PWB115" s="381"/>
      <c r="PWC115" s="381"/>
      <c r="PWD115" s="381"/>
      <c r="PWE115" s="381"/>
      <c r="PWF115" s="381"/>
      <c r="PWG115" s="381"/>
      <c r="PWH115" s="381"/>
      <c r="PWI115" s="381"/>
      <c r="PWJ115" s="381"/>
      <c r="PWK115" s="381"/>
      <c r="PWL115" s="381"/>
      <c r="PWM115" s="381"/>
      <c r="PWN115" s="381"/>
      <c r="PWO115" s="381"/>
      <c r="PWP115" s="381"/>
      <c r="PWQ115" s="381"/>
      <c r="PWR115" s="381"/>
      <c r="PWS115" s="381"/>
      <c r="PWT115" s="381"/>
      <c r="PWU115" s="381"/>
      <c r="PWV115" s="381"/>
      <c r="PWW115" s="381"/>
      <c r="PWX115" s="381"/>
      <c r="PWY115" s="381"/>
      <c r="PWZ115" s="381"/>
      <c r="PXA115" s="381"/>
      <c r="PXB115" s="381"/>
      <c r="PXC115" s="381"/>
      <c r="PXD115" s="381"/>
      <c r="PXE115" s="381"/>
      <c r="PXF115" s="381"/>
      <c r="PXG115" s="381"/>
      <c r="PXH115" s="381"/>
      <c r="PXI115" s="381"/>
      <c r="PXJ115" s="381"/>
      <c r="PXK115" s="381"/>
      <c r="PXL115" s="381"/>
      <c r="PXM115" s="381"/>
      <c r="PXN115" s="381"/>
      <c r="PXO115" s="381"/>
      <c r="PXP115" s="381"/>
      <c r="PXQ115" s="381"/>
      <c r="PXR115" s="381"/>
      <c r="PXS115" s="381"/>
      <c r="PXT115" s="381"/>
      <c r="PXU115" s="381"/>
      <c r="PXV115" s="381"/>
      <c r="PXW115" s="381"/>
      <c r="PXX115" s="381"/>
      <c r="PXY115" s="381"/>
      <c r="PXZ115" s="381"/>
      <c r="PYA115" s="381"/>
      <c r="PYB115" s="381"/>
      <c r="PYC115" s="381"/>
      <c r="PYD115" s="381"/>
      <c r="PYE115" s="381"/>
      <c r="PYF115" s="381"/>
      <c r="PYG115" s="381"/>
      <c r="PYH115" s="381"/>
      <c r="PYI115" s="381"/>
      <c r="PYJ115" s="381"/>
      <c r="PYK115" s="381"/>
      <c r="PYL115" s="381"/>
      <c r="PYM115" s="381"/>
      <c r="PYN115" s="381"/>
      <c r="PYO115" s="381"/>
      <c r="PYP115" s="381"/>
      <c r="PYQ115" s="381"/>
      <c r="PYR115" s="381"/>
      <c r="PYS115" s="381"/>
      <c r="PYT115" s="381"/>
      <c r="PYU115" s="381"/>
      <c r="PYV115" s="381"/>
      <c r="PYW115" s="381"/>
      <c r="PYX115" s="381"/>
      <c r="PYY115" s="381"/>
      <c r="PYZ115" s="381"/>
      <c r="PZA115" s="381"/>
      <c r="PZB115" s="381"/>
      <c r="PZC115" s="381"/>
      <c r="PZD115" s="381"/>
      <c r="PZE115" s="381"/>
      <c r="PZF115" s="381"/>
      <c r="PZG115" s="381"/>
      <c r="PZH115" s="381"/>
      <c r="PZI115" s="381"/>
      <c r="PZJ115" s="381"/>
      <c r="PZK115" s="381"/>
      <c r="PZL115" s="381"/>
      <c r="PZM115" s="381"/>
      <c r="PZN115" s="381"/>
      <c r="PZO115" s="381"/>
      <c r="PZP115" s="381"/>
      <c r="PZQ115" s="381"/>
      <c r="PZR115" s="381"/>
      <c r="PZS115" s="381"/>
      <c r="PZT115" s="381"/>
      <c r="PZU115" s="381"/>
      <c r="PZV115" s="381"/>
      <c r="PZW115" s="381"/>
      <c r="PZX115" s="381"/>
      <c r="PZY115" s="381"/>
      <c r="PZZ115" s="381"/>
      <c r="QAA115" s="381"/>
      <c r="QAB115" s="381"/>
      <c r="QAC115" s="381"/>
      <c r="QAD115" s="381"/>
      <c r="QAE115" s="381"/>
      <c r="QAF115" s="381"/>
      <c r="QAG115" s="381"/>
      <c r="QAH115" s="381"/>
      <c r="QAI115" s="381"/>
      <c r="QAJ115" s="381"/>
      <c r="QAK115" s="381"/>
      <c r="QAL115" s="381"/>
      <c r="QAM115" s="381"/>
      <c r="QAN115" s="381"/>
      <c r="QAO115" s="381"/>
      <c r="QAP115" s="381"/>
      <c r="QAQ115" s="381"/>
      <c r="QAR115" s="381"/>
      <c r="QAS115" s="381"/>
      <c r="QAT115" s="381"/>
      <c r="QAU115" s="381"/>
      <c r="QAV115" s="381"/>
      <c r="QAW115" s="381"/>
      <c r="QAX115" s="381"/>
      <c r="QAY115" s="381"/>
      <c r="QAZ115" s="381"/>
      <c r="QBA115" s="381"/>
      <c r="QBB115" s="381"/>
      <c r="QBC115" s="381"/>
      <c r="QBD115" s="381"/>
      <c r="QBE115" s="381"/>
      <c r="QBF115" s="381"/>
      <c r="QBG115" s="381"/>
      <c r="QBH115" s="381"/>
      <c r="QBI115" s="381"/>
      <c r="QBJ115" s="381"/>
      <c r="QBK115" s="381"/>
      <c r="QBL115" s="381"/>
      <c r="QBM115" s="381"/>
      <c r="QBN115" s="381"/>
      <c r="QBO115" s="381"/>
      <c r="QBP115" s="381"/>
      <c r="QBQ115" s="381"/>
      <c r="QBR115" s="381"/>
      <c r="QBS115" s="381"/>
      <c r="QBT115" s="381"/>
      <c r="QBU115" s="381"/>
      <c r="QBV115" s="381"/>
      <c r="QBW115" s="381"/>
      <c r="QBX115" s="381"/>
      <c r="QBY115" s="381"/>
      <c r="QBZ115" s="381"/>
      <c r="QCA115" s="381"/>
      <c r="QCB115" s="381"/>
      <c r="QCC115" s="381"/>
      <c r="QCD115" s="381"/>
      <c r="QCE115" s="381"/>
      <c r="QCF115" s="381"/>
      <c r="QCG115" s="381"/>
      <c r="QCH115" s="381"/>
      <c r="QCI115" s="381"/>
      <c r="QCJ115" s="381"/>
      <c r="QCK115" s="381"/>
      <c r="QCL115" s="381"/>
      <c r="QCM115" s="381"/>
      <c r="QCN115" s="381"/>
      <c r="QCO115" s="381"/>
      <c r="QCP115" s="381"/>
      <c r="QCQ115" s="381"/>
      <c r="QCR115" s="381"/>
      <c r="QCS115" s="381"/>
      <c r="QCT115" s="381"/>
      <c r="QCU115" s="381"/>
      <c r="QCV115" s="381"/>
      <c r="QCW115" s="381"/>
      <c r="QCX115" s="381"/>
      <c r="QCY115" s="381"/>
      <c r="QCZ115" s="381"/>
      <c r="QDA115" s="381"/>
      <c r="QDB115" s="381"/>
      <c r="QDC115" s="381"/>
      <c r="QDD115" s="381"/>
      <c r="QDE115" s="381"/>
      <c r="QDF115" s="381"/>
      <c r="QDG115" s="381"/>
      <c r="QDH115" s="381"/>
      <c r="QDI115" s="381"/>
      <c r="QDJ115" s="381"/>
      <c r="QDK115" s="381"/>
      <c r="QDL115" s="381"/>
      <c r="QDM115" s="381"/>
      <c r="QDN115" s="381"/>
      <c r="QDO115" s="381"/>
      <c r="QDP115" s="381"/>
      <c r="QDQ115" s="381"/>
      <c r="QDR115" s="381"/>
      <c r="QDS115" s="381"/>
      <c r="QDT115" s="381"/>
      <c r="QDU115" s="381"/>
      <c r="QDV115" s="381"/>
      <c r="QDW115" s="381"/>
      <c r="QDX115" s="381"/>
      <c r="QDY115" s="381"/>
      <c r="QDZ115" s="381"/>
      <c r="QEA115" s="381"/>
      <c r="QEB115" s="381"/>
      <c r="QEC115" s="381"/>
      <c r="QED115" s="381"/>
      <c r="QEE115" s="381"/>
      <c r="QEF115" s="381"/>
      <c r="QEG115" s="381"/>
      <c r="QEH115" s="381"/>
      <c r="QEI115" s="381"/>
      <c r="QEJ115" s="381"/>
      <c r="QEK115" s="381"/>
      <c r="QEL115" s="381"/>
      <c r="QEM115" s="381"/>
      <c r="QEN115" s="381"/>
      <c r="QEO115" s="381"/>
      <c r="QEP115" s="381"/>
      <c r="QEQ115" s="381"/>
      <c r="QER115" s="381"/>
      <c r="QES115" s="381"/>
      <c r="QET115" s="381"/>
      <c r="QEU115" s="381"/>
      <c r="QEV115" s="381"/>
      <c r="QEW115" s="381"/>
      <c r="QEX115" s="381"/>
      <c r="QEY115" s="381"/>
      <c r="QEZ115" s="381"/>
      <c r="QFA115" s="381"/>
      <c r="QFB115" s="381"/>
      <c r="QFC115" s="381"/>
      <c r="QFD115" s="381"/>
      <c r="QFE115" s="381"/>
      <c r="QFF115" s="381"/>
      <c r="QFG115" s="381"/>
      <c r="QFH115" s="381"/>
      <c r="QFI115" s="381"/>
      <c r="QFJ115" s="381"/>
      <c r="QFK115" s="381"/>
      <c r="QFL115" s="381"/>
      <c r="QFM115" s="381"/>
      <c r="QFN115" s="381"/>
      <c r="QFO115" s="381"/>
      <c r="QFP115" s="381"/>
      <c r="QFQ115" s="381"/>
      <c r="QFR115" s="381"/>
      <c r="QFS115" s="381"/>
      <c r="QFT115" s="381"/>
      <c r="QFU115" s="381"/>
      <c r="QFV115" s="381"/>
      <c r="QFW115" s="381"/>
      <c r="QFX115" s="381"/>
      <c r="QFY115" s="381"/>
      <c r="QFZ115" s="381"/>
      <c r="QGA115" s="381"/>
      <c r="QGB115" s="381"/>
      <c r="QGC115" s="381"/>
      <c r="QGD115" s="381"/>
      <c r="QGE115" s="381"/>
      <c r="QGF115" s="381"/>
      <c r="QGG115" s="381"/>
      <c r="QGH115" s="381"/>
      <c r="QGI115" s="381"/>
      <c r="QGJ115" s="381"/>
      <c r="QGK115" s="381"/>
      <c r="QGL115" s="381"/>
      <c r="QGM115" s="381"/>
      <c r="QGN115" s="381"/>
      <c r="QGO115" s="381"/>
      <c r="QGP115" s="381"/>
      <c r="QGQ115" s="381"/>
      <c r="QGR115" s="381"/>
      <c r="QGS115" s="381"/>
      <c r="QGT115" s="381"/>
      <c r="QGU115" s="381"/>
      <c r="QGV115" s="381"/>
      <c r="QGW115" s="381"/>
      <c r="QGX115" s="381"/>
      <c r="QGY115" s="381"/>
      <c r="QGZ115" s="381"/>
      <c r="QHA115" s="381"/>
      <c r="QHB115" s="381"/>
      <c r="QHC115" s="381"/>
      <c r="QHD115" s="381"/>
      <c r="QHE115" s="381"/>
      <c r="QHF115" s="381"/>
      <c r="QHG115" s="381"/>
      <c r="QHH115" s="381"/>
      <c r="QHI115" s="381"/>
      <c r="QHJ115" s="381"/>
      <c r="QHK115" s="381"/>
      <c r="QHL115" s="381"/>
      <c r="QHM115" s="381"/>
      <c r="QHN115" s="381"/>
      <c r="QHO115" s="381"/>
      <c r="QHP115" s="381"/>
      <c r="QHQ115" s="381"/>
      <c r="QHR115" s="381"/>
      <c r="QHS115" s="381"/>
      <c r="QHT115" s="381"/>
      <c r="QHU115" s="381"/>
      <c r="QHV115" s="381"/>
      <c r="QHW115" s="381"/>
      <c r="QHX115" s="381"/>
      <c r="QHY115" s="381"/>
      <c r="QHZ115" s="381"/>
      <c r="QIA115" s="381"/>
      <c r="QIB115" s="381"/>
      <c r="QIC115" s="381"/>
      <c r="QID115" s="381"/>
      <c r="QIE115" s="381"/>
      <c r="QIF115" s="381"/>
      <c r="QIG115" s="381"/>
      <c r="QIH115" s="381"/>
      <c r="QII115" s="381"/>
      <c r="QIJ115" s="381"/>
      <c r="QIK115" s="381"/>
      <c r="QIL115" s="381"/>
      <c r="QIM115" s="381"/>
      <c r="QIN115" s="381"/>
      <c r="QIO115" s="381"/>
      <c r="QIP115" s="381"/>
      <c r="QIQ115" s="381"/>
      <c r="QIR115" s="381"/>
      <c r="QIS115" s="381"/>
      <c r="QIT115" s="381"/>
      <c r="QIU115" s="381"/>
      <c r="QIV115" s="381"/>
      <c r="QIW115" s="381"/>
      <c r="QIX115" s="381"/>
      <c r="QIY115" s="381"/>
      <c r="QIZ115" s="381"/>
      <c r="QJA115" s="381"/>
      <c r="QJB115" s="381"/>
      <c r="QJC115" s="381"/>
      <c r="QJD115" s="381"/>
      <c r="QJE115" s="381"/>
      <c r="QJF115" s="381"/>
      <c r="QJG115" s="381"/>
      <c r="QJH115" s="381"/>
      <c r="QJI115" s="381"/>
      <c r="QJJ115" s="381"/>
      <c r="QJK115" s="381"/>
      <c r="QJL115" s="381"/>
      <c r="QJM115" s="381"/>
      <c r="QJN115" s="381"/>
      <c r="QJO115" s="381"/>
      <c r="QJP115" s="381"/>
      <c r="QJQ115" s="381"/>
      <c r="QJR115" s="381"/>
      <c r="QJS115" s="381"/>
      <c r="QJT115" s="381"/>
      <c r="QJU115" s="381"/>
      <c r="QJV115" s="381"/>
      <c r="QJW115" s="381"/>
      <c r="QJX115" s="381"/>
      <c r="QJY115" s="381"/>
      <c r="QJZ115" s="381"/>
      <c r="QKA115" s="381"/>
      <c r="QKB115" s="381"/>
      <c r="QKC115" s="381"/>
      <c r="QKD115" s="381"/>
      <c r="QKE115" s="381"/>
      <c r="QKF115" s="381"/>
      <c r="QKG115" s="381"/>
      <c r="QKH115" s="381"/>
      <c r="QKI115" s="381"/>
      <c r="QKJ115" s="381"/>
      <c r="QKK115" s="381"/>
      <c r="QKL115" s="381"/>
      <c r="QKM115" s="381"/>
      <c r="QKN115" s="381"/>
      <c r="QKO115" s="381"/>
      <c r="QKP115" s="381"/>
      <c r="QKQ115" s="381"/>
      <c r="QKR115" s="381"/>
      <c r="QKS115" s="381"/>
      <c r="QKT115" s="381"/>
      <c r="QKU115" s="381"/>
      <c r="QKV115" s="381"/>
      <c r="QKW115" s="381"/>
      <c r="QKX115" s="381"/>
      <c r="QKY115" s="381"/>
      <c r="QKZ115" s="381"/>
      <c r="QLA115" s="381"/>
      <c r="QLB115" s="381"/>
      <c r="QLC115" s="381"/>
      <c r="QLD115" s="381"/>
      <c r="QLE115" s="381"/>
      <c r="QLF115" s="381"/>
      <c r="QLG115" s="381"/>
      <c r="QLH115" s="381"/>
      <c r="QLI115" s="381"/>
      <c r="QLJ115" s="381"/>
      <c r="QLK115" s="381"/>
      <c r="QLL115" s="381"/>
      <c r="QLM115" s="381"/>
      <c r="QLN115" s="381"/>
      <c r="QLO115" s="381"/>
      <c r="QLP115" s="381"/>
      <c r="QLQ115" s="381"/>
      <c r="QLR115" s="381"/>
      <c r="QLS115" s="381"/>
      <c r="QLT115" s="381"/>
      <c r="QLU115" s="381"/>
      <c r="QLV115" s="381"/>
      <c r="QLW115" s="381"/>
      <c r="QLX115" s="381"/>
      <c r="QLY115" s="381"/>
      <c r="QLZ115" s="381"/>
      <c r="QMA115" s="381"/>
      <c r="QMB115" s="381"/>
      <c r="QMC115" s="381"/>
      <c r="QMD115" s="381"/>
      <c r="QME115" s="381"/>
      <c r="QMF115" s="381"/>
      <c r="QMG115" s="381"/>
      <c r="QMH115" s="381"/>
      <c r="QMI115" s="381"/>
      <c r="QMJ115" s="381"/>
      <c r="QMK115" s="381"/>
      <c r="QML115" s="381"/>
      <c r="QMM115" s="381"/>
      <c r="QMN115" s="381"/>
      <c r="QMO115" s="381"/>
      <c r="QMP115" s="381"/>
      <c r="QMQ115" s="381"/>
      <c r="QMR115" s="381"/>
      <c r="QMS115" s="381"/>
      <c r="QMT115" s="381"/>
      <c r="QMU115" s="381"/>
      <c r="QMV115" s="381"/>
      <c r="QMW115" s="381"/>
      <c r="QMX115" s="381"/>
      <c r="QMY115" s="381"/>
      <c r="QMZ115" s="381"/>
      <c r="QNA115" s="381"/>
      <c r="QNB115" s="381"/>
      <c r="QNC115" s="381"/>
      <c r="QND115" s="381"/>
      <c r="QNE115" s="381"/>
      <c r="QNF115" s="381"/>
      <c r="QNG115" s="381"/>
      <c r="QNH115" s="381"/>
      <c r="QNI115" s="381"/>
      <c r="QNJ115" s="381"/>
      <c r="QNK115" s="381"/>
      <c r="QNL115" s="381"/>
      <c r="QNM115" s="381"/>
      <c r="QNN115" s="381"/>
      <c r="QNO115" s="381"/>
      <c r="QNP115" s="381"/>
      <c r="QNQ115" s="381"/>
      <c r="QNR115" s="381"/>
      <c r="QNS115" s="381"/>
      <c r="QNT115" s="381"/>
      <c r="QNU115" s="381"/>
      <c r="QNV115" s="381"/>
      <c r="QNW115" s="381"/>
      <c r="QNX115" s="381"/>
      <c r="QNY115" s="381"/>
      <c r="QNZ115" s="381"/>
      <c r="QOA115" s="381"/>
      <c r="QOB115" s="381"/>
      <c r="QOC115" s="381"/>
      <c r="QOD115" s="381"/>
      <c r="QOE115" s="381"/>
      <c r="QOF115" s="381"/>
      <c r="QOG115" s="381"/>
      <c r="QOH115" s="381"/>
      <c r="QOI115" s="381"/>
      <c r="QOJ115" s="381"/>
      <c r="QOK115" s="381"/>
      <c r="QOL115" s="381"/>
      <c r="QOM115" s="381"/>
      <c r="QON115" s="381"/>
      <c r="QOO115" s="381"/>
      <c r="QOP115" s="381"/>
      <c r="QOQ115" s="381"/>
      <c r="QOR115" s="381"/>
      <c r="QOS115" s="381"/>
      <c r="QOT115" s="381"/>
      <c r="QOU115" s="381"/>
      <c r="QOV115" s="381"/>
      <c r="QOW115" s="381"/>
      <c r="QOX115" s="381"/>
      <c r="QOY115" s="381"/>
      <c r="QOZ115" s="381"/>
      <c r="QPA115" s="381"/>
      <c r="QPB115" s="381"/>
      <c r="QPC115" s="381"/>
      <c r="QPD115" s="381"/>
      <c r="QPE115" s="381"/>
      <c r="QPF115" s="381"/>
      <c r="QPG115" s="381"/>
      <c r="QPH115" s="381"/>
      <c r="QPI115" s="381"/>
      <c r="QPJ115" s="381"/>
      <c r="QPK115" s="381"/>
      <c r="QPL115" s="381"/>
      <c r="QPM115" s="381"/>
      <c r="QPN115" s="381"/>
      <c r="QPO115" s="381"/>
      <c r="QPP115" s="381"/>
      <c r="QPQ115" s="381"/>
      <c r="QPR115" s="381"/>
      <c r="QPS115" s="381"/>
      <c r="QPT115" s="381"/>
      <c r="QPU115" s="381"/>
      <c r="QPV115" s="381"/>
      <c r="QPW115" s="381"/>
      <c r="QPX115" s="381"/>
      <c r="QPY115" s="381"/>
      <c r="QPZ115" s="381"/>
      <c r="QQA115" s="381"/>
      <c r="QQB115" s="381"/>
      <c r="QQC115" s="381"/>
      <c r="QQD115" s="381"/>
      <c r="QQE115" s="381"/>
      <c r="QQF115" s="381"/>
      <c r="QQG115" s="381"/>
      <c r="QQH115" s="381"/>
      <c r="QQI115" s="381"/>
      <c r="QQJ115" s="381"/>
      <c r="QQK115" s="381"/>
      <c r="QQL115" s="381"/>
      <c r="QQM115" s="381"/>
      <c r="QQN115" s="381"/>
      <c r="QQO115" s="381"/>
      <c r="QQP115" s="381"/>
      <c r="QQQ115" s="381"/>
      <c r="QQR115" s="381"/>
      <c r="QQS115" s="381"/>
      <c r="QQT115" s="381"/>
      <c r="QQU115" s="381"/>
      <c r="QQV115" s="381"/>
      <c r="QQW115" s="381"/>
      <c r="QQX115" s="381"/>
      <c r="QQY115" s="381"/>
      <c r="QQZ115" s="381"/>
      <c r="QRA115" s="381"/>
      <c r="QRB115" s="381"/>
      <c r="QRC115" s="381"/>
      <c r="QRD115" s="381"/>
      <c r="QRE115" s="381"/>
      <c r="QRF115" s="381"/>
      <c r="QRG115" s="381"/>
      <c r="QRH115" s="381"/>
      <c r="QRI115" s="381"/>
      <c r="QRJ115" s="381"/>
      <c r="QRK115" s="381"/>
      <c r="QRL115" s="381"/>
      <c r="QRM115" s="381"/>
      <c r="QRN115" s="381"/>
      <c r="QRO115" s="381"/>
      <c r="QRP115" s="381"/>
      <c r="QRQ115" s="381"/>
      <c r="QRR115" s="381"/>
      <c r="QRS115" s="381"/>
      <c r="QRT115" s="381"/>
      <c r="QRU115" s="381"/>
      <c r="QRV115" s="381"/>
      <c r="QRW115" s="381"/>
      <c r="QRX115" s="381"/>
      <c r="QRY115" s="381"/>
      <c r="QRZ115" s="381"/>
      <c r="QSA115" s="381"/>
      <c r="QSB115" s="381"/>
      <c r="QSC115" s="381"/>
      <c r="QSD115" s="381"/>
      <c r="QSE115" s="381"/>
      <c r="QSF115" s="381"/>
      <c r="QSG115" s="381"/>
      <c r="QSH115" s="381"/>
      <c r="QSI115" s="381"/>
      <c r="QSJ115" s="381"/>
      <c r="QSK115" s="381"/>
      <c r="QSL115" s="381"/>
      <c r="QSM115" s="381"/>
      <c r="QSN115" s="381"/>
      <c r="QSO115" s="381"/>
      <c r="QSP115" s="381"/>
      <c r="QSQ115" s="381"/>
      <c r="QSR115" s="381"/>
      <c r="QSS115" s="381"/>
      <c r="QST115" s="381"/>
      <c r="QSU115" s="381"/>
      <c r="QSV115" s="381"/>
      <c r="QSW115" s="381"/>
      <c r="QSX115" s="381"/>
      <c r="QSY115" s="381"/>
      <c r="QSZ115" s="381"/>
      <c r="QTA115" s="381"/>
      <c r="QTB115" s="381"/>
      <c r="QTC115" s="381"/>
      <c r="QTD115" s="381"/>
      <c r="QTE115" s="381"/>
      <c r="QTF115" s="381"/>
      <c r="QTG115" s="381"/>
      <c r="QTH115" s="381"/>
      <c r="QTI115" s="381"/>
      <c r="QTJ115" s="381"/>
      <c r="QTK115" s="381"/>
      <c r="QTL115" s="381"/>
      <c r="QTM115" s="381"/>
      <c r="QTN115" s="381"/>
      <c r="QTO115" s="381"/>
      <c r="QTP115" s="381"/>
      <c r="QTQ115" s="381"/>
      <c r="QTR115" s="381"/>
      <c r="QTS115" s="381"/>
      <c r="QTT115" s="381"/>
      <c r="QTU115" s="381"/>
      <c r="QTV115" s="381"/>
      <c r="QTW115" s="381"/>
      <c r="QTX115" s="381"/>
      <c r="QTY115" s="381"/>
      <c r="QTZ115" s="381"/>
      <c r="QUA115" s="381"/>
      <c r="QUB115" s="381"/>
      <c r="QUC115" s="381"/>
      <c r="QUD115" s="381"/>
      <c r="QUE115" s="381"/>
      <c r="QUF115" s="381"/>
      <c r="QUG115" s="381"/>
      <c r="QUH115" s="381"/>
      <c r="QUI115" s="381"/>
      <c r="QUJ115" s="381"/>
      <c r="QUK115" s="381"/>
      <c r="QUL115" s="381"/>
      <c r="QUM115" s="381"/>
      <c r="QUN115" s="381"/>
      <c r="QUO115" s="381"/>
      <c r="QUP115" s="381"/>
      <c r="QUQ115" s="381"/>
      <c r="QUR115" s="381"/>
      <c r="QUS115" s="381"/>
      <c r="QUT115" s="381"/>
      <c r="QUU115" s="381"/>
      <c r="QUV115" s="381"/>
      <c r="QUW115" s="381"/>
      <c r="QUX115" s="381"/>
      <c r="QUY115" s="381"/>
      <c r="QUZ115" s="381"/>
      <c r="QVA115" s="381"/>
      <c r="QVB115" s="381"/>
      <c r="QVC115" s="381"/>
      <c r="QVD115" s="381"/>
      <c r="QVE115" s="381"/>
      <c r="QVF115" s="381"/>
      <c r="QVG115" s="381"/>
      <c r="QVH115" s="381"/>
      <c r="QVI115" s="381"/>
      <c r="QVJ115" s="381"/>
      <c r="QVK115" s="381"/>
      <c r="QVL115" s="381"/>
      <c r="QVM115" s="381"/>
      <c r="QVN115" s="381"/>
      <c r="QVO115" s="381"/>
      <c r="QVP115" s="381"/>
      <c r="QVQ115" s="381"/>
      <c r="QVR115" s="381"/>
      <c r="QVS115" s="381"/>
      <c r="QVT115" s="381"/>
      <c r="QVU115" s="381"/>
      <c r="QVV115" s="381"/>
      <c r="QVW115" s="381"/>
      <c r="QVX115" s="381"/>
      <c r="QVY115" s="381"/>
      <c r="QVZ115" s="381"/>
      <c r="QWA115" s="381"/>
      <c r="QWB115" s="381"/>
      <c r="QWC115" s="381"/>
      <c r="QWD115" s="381"/>
      <c r="QWE115" s="381"/>
      <c r="QWF115" s="381"/>
      <c r="QWG115" s="381"/>
      <c r="QWH115" s="381"/>
      <c r="QWI115" s="381"/>
      <c r="QWJ115" s="381"/>
      <c r="QWK115" s="381"/>
      <c r="QWL115" s="381"/>
      <c r="QWM115" s="381"/>
      <c r="QWN115" s="381"/>
      <c r="QWO115" s="381"/>
      <c r="QWP115" s="381"/>
      <c r="QWQ115" s="381"/>
      <c r="QWR115" s="381"/>
      <c r="QWS115" s="381"/>
      <c r="QWT115" s="381"/>
      <c r="QWU115" s="381"/>
      <c r="QWV115" s="381"/>
      <c r="QWW115" s="381"/>
      <c r="QWX115" s="381"/>
      <c r="QWY115" s="381"/>
      <c r="QWZ115" s="381"/>
      <c r="QXA115" s="381"/>
      <c r="QXB115" s="381"/>
      <c r="QXC115" s="381"/>
      <c r="QXD115" s="381"/>
      <c r="QXE115" s="381"/>
      <c r="QXF115" s="381"/>
      <c r="QXG115" s="381"/>
      <c r="QXH115" s="381"/>
      <c r="QXI115" s="381"/>
      <c r="QXJ115" s="381"/>
      <c r="QXK115" s="381"/>
      <c r="QXL115" s="381"/>
      <c r="QXM115" s="381"/>
      <c r="QXN115" s="381"/>
      <c r="QXO115" s="381"/>
      <c r="QXP115" s="381"/>
      <c r="QXQ115" s="381"/>
      <c r="QXR115" s="381"/>
      <c r="QXS115" s="381"/>
      <c r="QXT115" s="381"/>
      <c r="QXU115" s="381"/>
      <c r="QXV115" s="381"/>
      <c r="QXW115" s="381"/>
      <c r="QXX115" s="381"/>
      <c r="QXY115" s="381"/>
      <c r="QXZ115" s="381"/>
      <c r="QYA115" s="381"/>
      <c r="QYB115" s="381"/>
      <c r="QYC115" s="381"/>
      <c r="QYD115" s="381"/>
      <c r="QYE115" s="381"/>
      <c r="QYF115" s="381"/>
      <c r="QYG115" s="381"/>
      <c r="QYH115" s="381"/>
      <c r="QYI115" s="381"/>
      <c r="QYJ115" s="381"/>
      <c r="QYK115" s="381"/>
      <c r="QYL115" s="381"/>
      <c r="QYM115" s="381"/>
      <c r="QYN115" s="381"/>
      <c r="QYO115" s="381"/>
      <c r="QYP115" s="381"/>
      <c r="QYQ115" s="381"/>
      <c r="QYR115" s="381"/>
      <c r="QYS115" s="381"/>
      <c r="QYT115" s="381"/>
      <c r="QYU115" s="381"/>
      <c r="QYV115" s="381"/>
      <c r="QYW115" s="381"/>
      <c r="QYX115" s="381"/>
      <c r="QYY115" s="381"/>
      <c r="QYZ115" s="381"/>
      <c r="QZA115" s="381"/>
      <c r="QZB115" s="381"/>
      <c r="QZC115" s="381"/>
      <c r="QZD115" s="381"/>
      <c r="QZE115" s="381"/>
      <c r="QZF115" s="381"/>
      <c r="QZG115" s="381"/>
      <c r="QZH115" s="381"/>
      <c r="QZI115" s="381"/>
      <c r="QZJ115" s="381"/>
      <c r="QZK115" s="381"/>
      <c r="QZL115" s="381"/>
      <c r="QZM115" s="381"/>
      <c r="QZN115" s="381"/>
      <c r="QZO115" s="381"/>
      <c r="QZP115" s="381"/>
      <c r="QZQ115" s="381"/>
      <c r="QZR115" s="381"/>
      <c r="QZS115" s="381"/>
      <c r="QZT115" s="381"/>
      <c r="QZU115" s="381"/>
      <c r="QZV115" s="381"/>
      <c r="QZW115" s="381"/>
      <c r="QZX115" s="381"/>
      <c r="QZY115" s="381"/>
      <c r="QZZ115" s="381"/>
      <c r="RAA115" s="381"/>
      <c r="RAB115" s="381"/>
      <c r="RAC115" s="381"/>
      <c r="RAD115" s="381"/>
      <c r="RAE115" s="381"/>
      <c r="RAF115" s="381"/>
      <c r="RAG115" s="381"/>
      <c r="RAH115" s="381"/>
      <c r="RAI115" s="381"/>
      <c r="RAJ115" s="381"/>
      <c r="RAK115" s="381"/>
      <c r="RAL115" s="381"/>
      <c r="RAM115" s="381"/>
      <c r="RAN115" s="381"/>
      <c r="RAO115" s="381"/>
      <c r="RAP115" s="381"/>
      <c r="RAQ115" s="381"/>
      <c r="RAR115" s="381"/>
      <c r="RAS115" s="381"/>
      <c r="RAT115" s="381"/>
      <c r="RAU115" s="381"/>
      <c r="RAV115" s="381"/>
      <c r="RAW115" s="381"/>
      <c r="RAX115" s="381"/>
      <c r="RAY115" s="381"/>
      <c r="RAZ115" s="381"/>
      <c r="RBA115" s="381"/>
      <c r="RBB115" s="381"/>
      <c r="RBC115" s="381"/>
      <c r="RBD115" s="381"/>
      <c r="RBE115" s="381"/>
      <c r="RBF115" s="381"/>
      <c r="RBG115" s="381"/>
      <c r="RBH115" s="381"/>
      <c r="RBI115" s="381"/>
      <c r="RBJ115" s="381"/>
      <c r="RBK115" s="381"/>
      <c r="RBL115" s="381"/>
      <c r="RBM115" s="381"/>
      <c r="RBN115" s="381"/>
      <c r="RBO115" s="381"/>
      <c r="RBP115" s="381"/>
      <c r="RBQ115" s="381"/>
      <c r="RBR115" s="381"/>
      <c r="RBS115" s="381"/>
      <c r="RBT115" s="381"/>
      <c r="RBU115" s="381"/>
      <c r="RBV115" s="381"/>
      <c r="RBW115" s="381"/>
      <c r="RBX115" s="381"/>
      <c r="RBY115" s="381"/>
      <c r="RBZ115" s="381"/>
      <c r="RCA115" s="381"/>
      <c r="RCB115" s="381"/>
      <c r="RCC115" s="381"/>
      <c r="RCD115" s="381"/>
      <c r="RCE115" s="381"/>
      <c r="RCF115" s="381"/>
      <c r="RCG115" s="381"/>
      <c r="RCH115" s="381"/>
      <c r="RCI115" s="381"/>
      <c r="RCJ115" s="381"/>
      <c r="RCK115" s="381"/>
      <c r="RCL115" s="381"/>
      <c r="RCM115" s="381"/>
      <c r="RCN115" s="381"/>
      <c r="RCO115" s="381"/>
      <c r="RCP115" s="381"/>
      <c r="RCQ115" s="381"/>
      <c r="RCR115" s="381"/>
      <c r="RCS115" s="381"/>
      <c r="RCT115" s="381"/>
      <c r="RCU115" s="381"/>
      <c r="RCV115" s="381"/>
      <c r="RCW115" s="381"/>
      <c r="RCX115" s="381"/>
      <c r="RCY115" s="381"/>
      <c r="RCZ115" s="381"/>
      <c r="RDA115" s="381"/>
      <c r="RDB115" s="381"/>
      <c r="RDC115" s="381"/>
      <c r="RDD115" s="381"/>
      <c r="RDE115" s="381"/>
      <c r="RDF115" s="381"/>
      <c r="RDG115" s="381"/>
      <c r="RDH115" s="381"/>
      <c r="RDI115" s="381"/>
      <c r="RDJ115" s="381"/>
      <c r="RDK115" s="381"/>
      <c r="RDL115" s="381"/>
      <c r="RDM115" s="381"/>
      <c r="RDN115" s="381"/>
      <c r="RDO115" s="381"/>
      <c r="RDP115" s="381"/>
      <c r="RDQ115" s="381"/>
      <c r="RDR115" s="381"/>
      <c r="RDS115" s="381"/>
      <c r="RDT115" s="381"/>
      <c r="RDU115" s="381"/>
      <c r="RDV115" s="381"/>
      <c r="RDW115" s="381"/>
      <c r="RDX115" s="381"/>
      <c r="RDY115" s="381"/>
      <c r="RDZ115" s="381"/>
      <c r="REA115" s="381"/>
      <c r="REB115" s="381"/>
      <c r="REC115" s="381"/>
      <c r="RED115" s="381"/>
      <c r="REE115" s="381"/>
      <c r="REF115" s="381"/>
      <c r="REG115" s="381"/>
      <c r="REH115" s="381"/>
      <c r="REI115" s="381"/>
      <c r="REJ115" s="381"/>
      <c r="REK115" s="381"/>
      <c r="REL115" s="381"/>
      <c r="REM115" s="381"/>
      <c r="REN115" s="381"/>
      <c r="REO115" s="381"/>
      <c r="REP115" s="381"/>
      <c r="REQ115" s="381"/>
      <c r="RER115" s="381"/>
      <c r="RES115" s="381"/>
      <c r="RET115" s="381"/>
      <c r="REU115" s="381"/>
      <c r="REV115" s="381"/>
      <c r="REW115" s="381"/>
      <c r="REX115" s="381"/>
      <c r="REY115" s="381"/>
      <c r="REZ115" s="381"/>
      <c r="RFA115" s="381"/>
      <c r="RFB115" s="381"/>
      <c r="RFC115" s="381"/>
      <c r="RFD115" s="381"/>
      <c r="RFE115" s="381"/>
      <c r="RFF115" s="381"/>
      <c r="RFG115" s="381"/>
      <c r="RFH115" s="381"/>
      <c r="RFI115" s="381"/>
      <c r="RFJ115" s="381"/>
      <c r="RFK115" s="381"/>
      <c r="RFL115" s="381"/>
      <c r="RFM115" s="381"/>
      <c r="RFN115" s="381"/>
      <c r="RFO115" s="381"/>
      <c r="RFP115" s="381"/>
      <c r="RFQ115" s="381"/>
      <c r="RFR115" s="381"/>
      <c r="RFS115" s="381"/>
      <c r="RFT115" s="381"/>
      <c r="RFU115" s="381"/>
      <c r="RFV115" s="381"/>
      <c r="RFW115" s="381"/>
      <c r="RFX115" s="381"/>
      <c r="RFY115" s="381"/>
      <c r="RFZ115" s="381"/>
      <c r="RGA115" s="381"/>
      <c r="RGB115" s="381"/>
      <c r="RGC115" s="381"/>
      <c r="RGD115" s="381"/>
      <c r="RGE115" s="381"/>
      <c r="RGF115" s="381"/>
      <c r="RGG115" s="381"/>
      <c r="RGH115" s="381"/>
      <c r="RGI115" s="381"/>
      <c r="RGJ115" s="381"/>
      <c r="RGK115" s="381"/>
      <c r="RGL115" s="381"/>
      <c r="RGM115" s="381"/>
      <c r="RGN115" s="381"/>
      <c r="RGO115" s="381"/>
      <c r="RGP115" s="381"/>
      <c r="RGQ115" s="381"/>
      <c r="RGR115" s="381"/>
      <c r="RGS115" s="381"/>
      <c r="RGT115" s="381"/>
      <c r="RGU115" s="381"/>
      <c r="RGV115" s="381"/>
      <c r="RGW115" s="381"/>
      <c r="RGX115" s="381"/>
      <c r="RGY115" s="381"/>
      <c r="RGZ115" s="381"/>
      <c r="RHA115" s="381"/>
      <c r="RHB115" s="381"/>
      <c r="RHC115" s="381"/>
      <c r="RHD115" s="381"/>
      <c r="RHE115" s="381"/>
      <c r="RHF115" s="381"/>
      <c r="RHG115" s="381"/>
      <c r="RHH115" s="381"/>
      <c r="RHI115" s="381"/>
      <c r="RHJ115" s="381"/>
      <c r="RHK115" s="381"/>
      <c r="RHL115" s="381"/>
      <c r="RHM115" s="381"/>
      <c r="RHN115" s="381"/>
      <c r="RHO115" s="381"/>
      <c r="RHP115" s="381"/>
      <c r="RHQ115" s="381"/>
      <c r="RHR115" s="381"/>
      <c r="RHS115" s="381"/>
      <c r="RHT115" s="381"/>
      <c r="RHU115" s="381"/>
      <c r="RHV115" s="381"/>
      <c r="RHW115" s="381"/>
      <c r="RHX115" s="381"/>
      <c r="RHY115" s="381"/>
      <c r="RHZ115" s="381"/>
      <c r="RIA115" s="381"/>
      <c r="RIB115" s="381"/>
      <c r="RIC115" s="381"/>
      <c r="RID115" s="381"/>
      <c r="RIE115" s="381"/>
      <c r="RIF115" s="381"/>
      <c r="RIG115" s="381"/>
      <c r="RIH115" s="381"/>
      <c r="RII115" s="381"/>
      <c r="RIJ115" s="381"/>
      <c r="RIK115" s="381"/>
      <c r="RIL115" s="381"/>
      <c r="RIM115" s="381"/>
      <c r="RIN115" s="381"/>
      <c r="RIO115" s="381"/>
      <c r="RIP115" s="381"/>
      <c r="RIQ115" s="381"/>
      <c r="RIR115" s="381"/>
      <c r="RIS115" s="381"/>
      <c r="RIT115" s="381"/>
      <c r="RIU115" s="381"/>
      <c r="RIV115" s="381"/>
      <c r="RIW115" s="381"/>
      <c r="RIX115" s="381"/>
      <c r="RIY115" s="381"/>
      <c r="RIZ115" s="381"/>
      <c r="RJA115" s="381"/>
      <c r="RJB115" s="381"/>
      <c r="RJC115" s="381"/>
      <c r="RJD115" s="381"/>
      <c r="RJE115" s="381"/>
      <c r="RJF115" s="381"/>
      <c r="RJG115" s="381"/>
      <c r="RJH115" s="381"/>
      <c r="RJI115" s="381"/>
      <c r="RJJ115" s="381"/>
      <c r="RJK115" s="381"/>
      <c r="RJL115" s="381"/>
      <c r="RJM115" s="381"/>
      <c r="RJN115" s="381"/>
      <c r="RJO115" s="381"/>
      <c r="RJP115" s="381"/>
      <c r="RJQ115" s="381"/>
      <c r="RJR115" s="381"/>
      <c r="RJS115" s="381"/>
      <c r="RJT115" s="381"/>
      <c r="RJU115" s="381"/>
      <c r="RJV115" s="381"/>
      <c r="RJW115" s="381"/>
      <c r="RJX115" s="381"/>
      <c r="RJY115" s="381"/>
      <c r="RJZ115" s="381"/>
      <c r="RKA115" s="381"/>
      <c r="RKB115" s="381"/>
      <c r="RKC115" s="381"/>
      <c r="RKD115" s="381"/>
      <c r="RKE115" s="381"/>
      <c r="RKF115" s="381"/>
      <c r="RKG115" s="381"/>
      <c r="RKH115" s="381"/>
      <c r="RKI115" s="381"/>
      <c r="RKJ115" s="381"/>
      <c r="RKK115" s="381"/>
      <c r="RKL115" s="381"/>
      <c r="RKM115" s="381"/>
      <c r="RKN115" s="381"/>
      <c r="RKO115" s="381"/>
      <c r="RKP115" s="381"/>
      <c r="RKQ115" s="381"/>
      <c r="RKR115" s="381"/>
      <c r="RKS115" s="381"/>
      <c r="RKT115" s="381"/>
      <c r="RKU115" s="381"/>
      <c r="RKV115" s="381"/>
      <c r="RKW115" s="381"/>
      <c r="RKX115" s="381"/>
      <c r="RKY115" s="381"/>
      <c r="RKZ115" s="381"/>
      <c r="RLA115" s="381"/>
      <c r="RLB115" s="381"/>
      <c r="RLC115" s="381"/>
      <c r="RLD115" s="381"/>
      <c r="RLE115" s="381"/>
      <c r="RLF115" s="381"/>
      <c r="RLG115" s="381"/>
      <c r="RLH115" s="381"/>
      <c r="RLI115" s="381"/>
      <c r="RLJ115" s="381"/>
      <c r="RLK115" s="381"/>
      <c r="RLL115" s="381"/>
      <c r="RLM115" s="381"/>
      <c r="RLN115" s="381"/>
      <c r="RLO115" s="381"/>
      <c r="RLP115" s="381"/>
      <c r="RLQ115" s="381"/>
      <c r="RLR115" s="381"/>
      <c r="RLS115" s="381"/>
      <c r="RLT115" s="381"/>
      <c r="RLU115" s="381"/>
      <c r="RLV115" s="381"/>
      <c r="RLW115" s="381"/>
      <c r="RLX115" s="381"/>
      <c r="RLY115" s="381"/>
      <c r="RLZ115" s="381"/>
      <c r="RMA115" s="381"/>
      <c r="RMB115" s="381"/>
      <c r="RMC115" s="381"/>
      <c r="RMD115" s="381"/>
      <c r="RME115" s="381"/>
      <c r="RMF115" s="381"/>
      <c r="RMG115" s="381"/>
      <c r="RMH115" s="381"/>
      <c r="RMI115" s="381"/>
      <c r="RMJ115" s="381"/>
      <c r="RMK115" s="381"/>
      <c r="RML115" s="381"/>
      <c r="RMM115" s="381"/>
      <c r="RMN115" s="381"/>
      <c r="RMO115" s="381"/>
      <c r="RMP115" s="381"/>
      <c r="RMQ115" s="381"/>
      <c r="RMR115" s="381"/>
      <c r="RMS115" s="381"/>
      <c r="RMT115" s="381"/>
      <c r="RMU115" s="381"/>
      <c r="RMV115" s="381"/>
      <c r="RMW115" s="381"/>
      <c r="RMX115" s="381"/>
      <c r="RMY115" s="381"/>
      <c r="RMZ115" s="381"/>
      <c r="RNA115" s="381"/>
      <c r="RNB115" s="381"/>
      <c r="RNC115" s="381"/>
      <c r="RND115" s="381"/>
      <c r="RNE115" s="381"/>
      <c r="RNF115" s="381"/>
      <c r="RNG115" s="381"/>
      <c r="RNH115" s="381"/>
      <c r="RNI115" s="381"/>
      <c r="RNJ115" s="381"/>
      <c r="RNK115" s="381"/>
      <c r="RNL115" s="381"/>
      <c r="RNM115" s="381"/>
      <c r="RNN115" s="381"/>
      <c r="RNO115" s="381"/>
      <c r="RNP115" s="381"/>
      <c r="RNQ115" s="381"/>
      <c r="RNR115" s="381"/>
      <c r="RNS115" s="381"/>
      <c r="RNT115" s="381"/>
      <c r="RNU115" s="381"/>
      <c r="RNV115" s="381"/>
      <c r="RNW115" s="381"/>
      <c r="RNX115" s="381"/>
      <c r="RNY115" s="381"/>
      <c r="RNZ115" s="381"/>
      <c r="ROA115" s="381"/>
      <c r="ROB115" s="381"/>
      <c r="ROC115" s="381"/>
      <c r="ROD115" s="381"/>
      <c r="ROE115" s="381"/>
      <c r="ROF115" s="381"/>
      <c r="ROG115" s="381"/>
      <c r="ROH115" s="381"/>
      <c r="ROI115" s="381"/>
      <c r="ROJ115" s="381"/>
      <c r="ROK115" s="381"/>
      <c r="ROL115" s="381"/>
      <c r="ROM115" s="381"/>
      <c r="RON115" s="381"/>
      <c r="ROO115" s="381"/>
      <c r="ROP115" s="381"/>
      <c r="ROQ115" s="381"/>
      <c r="ROR115" s="381"/>
      <c r="ROS115" s="381"/>
      <c r="ROT115" s="381"/>
      <c r="ROU115" s="381"/>
      <c r="ROV115" s="381"/>
      <c r="ROW115" s="381"/>
      <c r="ROX115" s="381"/>
      <c r="ROY115" s="381"/>
      <c r="ROZ115" s="381"/>
      <c r="RPA115" s="381"/>
      <c r="RPB115" s="381"/>
      <c r="RPC115" s="381"/>
      <c r="RPD115" s="381"/>
      <c r="RPE115" s="381"/>
      <c r="RPF115" s="381"/>
      <c r="RPG115" s="381"/>
      <c r="RPH115" s="381"/>
      <c r="RPI115" s="381"/>
      <c r="RPJ115" s="381"/>
      <c r="RPK115" s="381"/>
      <c r="RPL115" s="381"/>
      <c r="RPM115" s="381"/>
      <c r="RPN115" s="381"/>
      <c r="RPO115" s="381"/>
      <c r="RPP115" s="381"/>
      <c r="RPQ115" s="381"/>
      <c r="RPR115" s="381"/>
      <c r="RPS115" s="381"/>
      <c r="RPT115" s="381"/>
      <c r="RPU115" s="381"/>
      <c r="RPV115" s="381"/>
      <c r="RPW115" s="381"/>
      <c r="RPX115" s="381"/>
      <c r="RPY115" s="381"/>
      <c r="RPZ115" s="381"/>
      <c r="RQA115" s="381"/>
      <c r="RQB115" s="381"/>
      <c r="RQC115" s="381"/>
      <c r="RQD115" s="381"/>
      <c r="RQE115" s="381"/>
      <c r="RQF115" s="381"/>
      <c r="RQG115" s="381"/>
      <c r="RQH115" s="381"/>
      <c r="RQI115" s="381"/>
      <c r="RQJ115" s="381"/>
      <c r="RQK115" s="381"/>
      <c r="RQL115" s="381"/>
      <c r="RQM115" s="381"/>
      <c r="RQN115" s="381"/>
      <c r="RQO115" s="381"/>
      <c r="RQP115" s="381"/>
      <c r="RQQ115" s="381"/>
      <c r="RQR115" s="381"/>
      <c r="RQS115" s="381"/>
      <c r="RQT115" s="381"/>
      <c r="RQU115" s="381"/>
      <c r="RQV115" s="381"/>
      <c r="RQW115" s="381"/>
      <c r="RQX115" s="381"/>
      <c r="RQY115" s="381"/>
      <c r="RQZ115" s="381"/>
      <c r="RRA115" s="381"/>
      <c r="RRB115" s="381"/>
      <c r="RRC115" s="381"/>
      <c r="RRD115" s="381"/>
      <c r="RRE115" s="381"/>
      <c r="RRF115" s="381"/>
      <c r="RRG115" s="381"/>
      <c r="RRH115" s="381"/>
      <c r="RRI115" s="381"/>
      <c r="RRJ115" s="381"/>
      <c r="RRK115" s="381"/>
      <c r="RRL115" s="381"/>
      <c r="RRM115" s="381"/>
      <c r="RRN115" s="381"/>
      <c r="RRO115" s="381"/>
      <c r="RRP115" s="381"/>
      <c r="RRQ115" s="381"/>
      <c r="RRR115" s="381"/>
      <c r="RRS115" s="381"/>
      <c r="RRT115" s="381"/>
      <c r="RRU115" s="381"/>
      <c r="RRV115" s="381"/>
      <c r="RRW115" s="381"/>
      <c r="RRX115" s="381"/>
      <c r="RRY115" s="381"/>
      <c r="RRZ115" s="381"/>
      <c r="RSA115" s="381"/>
      <c r="RSB115" s="381"/>
      <c r="RSC115" s="381"/>
      <c r="RSD115" s="381"/>
      <c r="RSE115" s="381"/>
      <c r="RSF115" s="381"/>
      <c r="RSG115" s="381"/>
      <c r="RSH115" s="381"/>
      <c r="RSI115" s="381"/>
      <c r="RSJ115" s="381"/>
      <c r="RSK115" s="381"/>
      <c r="RSL115" s="381"/>
      <c r="RSM115" s="381"/>
      <c r="RSN115" s="381"/>
      <c r="RSO115" s="381"/>
      <c r="RSP115" s="381"/>
      <c r="RSQ115" s="381"/>
      <c r="RSR115" s="381"/>
      <c r="RSS115" s="381"/>
      <c r="RST115" s="381"/>
      <c r="RSU115" s="381"/>
      <c r="RSV115" s="381"/>
      <c r="RSW115" s="381"/>
      <c r="RSX115" s="381"/>
      <c r="RSY115" s="381"/>
      <c r="RSZ115" s="381"/>
      <c r="RTA115" s="381"/>
      <c r="RTB115" s="381"/>
      <c r="RTC115" s="381"/>
      <c r="RTD115" s="381"/>
      <c r="RTE115" s="381"/>
      <c r="RTF115" s="381"/>
      <c r="RTG115" s="381"/>
      <c r="RTH115" s="381"/>
      <c r="RTI115" s="381"/>
      <c r="RTJ115" s="381"/>
      <c r="RTK115" s="381"/>
      <c r="RTL115" s="381"/>
      <c r="RTM115" s="381"/>
      <c r="RTN115" s="381"/>
      <c r="RTO115" s="381"/>
      <c r="RTP115" s="381"/>
      <c r="RTQ115" s="381"/>
      <c r="RTR115" s="381"/>
      <c r="RTS115" s="381"/>
      <c r="RTT115" s="381"/>
      <c r="RTU115" s="381"/>
      <c r="RTV115" s="381"/>
      <c r="RTW115" s="381"/>
      <c r="RTX115" s="381"/>
      <c r="RTY115" s="381"/>
      <c r="RTZ115" s="381"/>
      <c r="RUA115" s="381"/>
      <c r="RUB115" s="381"/>
      <c r="RUC115" s="381"/>
      <c r="RUD115" s="381"/>
      <c r="RUE115" s="381"/>
      <c r="RUF115" s="381"/>
      <c r="RUG115" s="381"/>
      <c r="RUH115" s="381"/>
      <c r="RUI115" s="381"/>
      <c r="RUJ115" s="381"/>
      <c r="RUK115" s="381"/>
      <c r="RUL115" s="381"/>
      <c r="RUM115" s="381"/>
      <c r="RUN115" s="381"/>
      <c r="RUO115" s="381"/>
      <c r="RUP115" s="381"/>
      <c r="RUQ115" s="381"/>
      <c r="RUR115" s="381"/>
      <c r="RUS115" s="381"/>
      <c r="RUT115" s="381"/>
      <c r="RUU115" s="381"/>
      <c r="RUV115" s="381"/>
      <c r="RUW115" s="381"/>
      <c r="RUX115" s="381"/>
      <c r="RUY115" s="381"/>
      <c r="RUZ115" s="381"/>
      <c r="RVA115" s="381"/>
      <c r="RVB115" s="381"/>
      <c r="RVC115" s="381"/>
      <c r="RVD115" s="381"/>
      <c r="RVE115" s="381"/>
      <c r="RVF115" s="381"/>
      <c r="RVG115" s="381"/>
      <c r="RVH115" s="381"/>
      <c r="RVI115" s="381"/>
      <c r="RVJ115" s="381"/>
      <c r="RVK115" s="381"/>
      <c r="RVL115" s="381"/>
      <c r="RVM115" s="381"/>
      <c r="RVN115" s="381"/>
      <c r="RVO115" s="381"/>
      <c r="RVP115" s="381"/>
      <c r="RVQ115" s="381"/>
      <c r="RVR115" s="381"/>
      <c r="RVS115" s="381"/>
      <c r="RVT115" s="381"/>
      <c r="RVU115" s="381"/>
      <c r="RVV115" s="381"/>
      <c r="RVW115" s="381"/>
      <c r="RVX115" s="381"/>
      <c r="RVY115" s="381"/>
      <c r="RVZ115" s="381"/>
      <c r="RWA115" s="381"/>
      <c r="RWB115" s="381"/>
      <c r="RWC115" s="381"/>
      <c r="RWD115" s="381"/>
      <c r="RWE115" s="381"/>
      <c r="RWF115" s="381"/>
      <c r="RWG115" s="381"/>
      <c r="RWH115" s="381"/>
      <c r="RWI115" s="381"/>
      <c r="RWJ115" s="381"/>
      <c r="RWK115" s="381"/>
      <c r="RWL115" s="381"/>
      <c r="RWM115" s="381"/>
      <c r="RWN115" s="381"/>
      <c r="RWO115" s="381"/>
      <c r="RWP115" s="381"/>
      <c r="RWQ115" s="381"/>
      <c r="RWR115" s="381"/>
      <c r="RWS115" s="381"/>
      <c r="RWT115" s="381"/>
      <c r="RWU115" s="381"/>
      <c r="RWV115" s="381"/>
      <c r="RWW115" s="381"/>
      <c r="RWX115" s="381"/>
      <c r="RWY115" s="381"/>
      <c r="RWZ115" s="381"/>
      <c r="RXA115" s="381"/>
      <c r="RXB115" s="381"/>
      <c r="RXC115" s="381"/>
      <c r="RXD115" s="381"/>
      <c r="RXE115" s="381"/>
      <c r="RXF115" s="381"/>
      <c r="RXG115" s="381"/>
      <c r="RXH115" s="381"/>
      <c r="RXI115" s="381"/>
      <c r="RXJ115" s="381"/>
      <c r="RXK115" s="381"/>
      <c r="RXL115" s="381"/>
      <c r="RXM115" s="381"/>
      <c r="RXN115" s="381"/>
      <c r="RXO115" s="381"/>
      <c r="RXP115" s="381"/>
      <c r="RXQ115" s="381"/>
      <c r="RXR115" s="381"/>
      <c r="RXS115" s="381"/>
      <c r="RXT115" s="381"/>
      <c r="RXU115" s="381"/>
      <c r="RXV115" s="381"/>
      <c r="RXW115" s="381"/>
      <c r="RXX115" s="381"/>
      <c r="RXY115" s="381"/>
      <c r="RXZ115" s="381"/>
      <c r="RYA115" s="381"/>
      <c r="RYB115" s="381"/>
      <c r="RYC115" s="381"/>
      <c r="RYD115" s="381"/>
      <c r="RYE115" s="381"/>
      <c r="RYF115" s="381"/>
      <c r="RYG115" s="381"/>
      <c r="RYH115" s="381"/>
      <c r="RYI115" s="381"/>
      <c r="RYJ115" s="381"/>
      <c r="RYK115" s="381"/>
      <c r="RYL115" s="381"/>
      <c r="RYM115" s="381"/>
      <c r="RYN115" s="381"/>
      <c r="RYO115" s="381"/>
      <c r="RYP115" s="381"/>
      <c r="RYQ115" s="381"/>
      <c r="RYR115" s="381"/>
      <c r="RYS115" s="381"/>
      <c r="RYT115" s="381"/>
      <c r="RYU115" s="381"/>
      <c r="RYV115" s="381"/>
      <c r="RYW115" s="381"/>
      <c r="RYX115" s="381"/>
      <c r="RYY115" s="381"/>
      <c r="RYZ115" s="381"/>
      <c r="RZA115" s="381"/>
      <c r="RZB115" s="381"/>
      <c r="RZC115" s="381"/>
      <c r="RZD115" s="381"/>
      <c r="RZE115" s="381"/>
      <c r="RZF115" s="381"/>
      <c r="RZG115" s="381"/>
      <c r="RZH115" s="381"/>
      <c r="RZI115" s="381"/>
      <c r="RZJ115" s="381"/>
      <c r="RZK115" s="381"/>
      <c r="RZL115" s="381"/>
      <c r="RZM115" s="381"/>
      <c r="RZN115" s="381"/>
      <c r="RZO115" s="381"/>
      <c r="RZP115" s="381"/>
      <c r="RZQ115" s="381"/>
      <c r="RZR115" s="381"/>
      <c r="RZS115" s="381"/>
      <c r="RZT115" s="381"/>
      <c r="RZU115" s="381"/>
      <c r="RZV115" s="381"/>
      <c r="RZW115" s="381"/>
      <c r="RZX115" s="381"/>
      <c r="RZY115" s="381"/>
      <c r="RZZ115" s="381"/>
      <c r="SAA115" s="381"/>
      <c r="SAB115" s="381"/>
      <c r="SAC115" s="381"/>
      <c r="SAD115" s="381"/>
      <c r="SAE115" s="381"/>
      <c r="SAF115" s="381"/>
      <c r="SAG115" s="381"/>
      <c r="SAH115" s="381"/>
      <c r="SAI115" s="381"/>
      <c r="SAJ115" s="381"/>
      <c r="SAK115" s="381"/>
      <c r="SAL115" s="381"/>
      <c r="SAM115" s="381"/>
      <c r="SAN115" s="381"/>
      <c r="SAO115" s="381"/>
      <c r="SAP115" s="381"/>
      <c r="SAQ115" s="381"/>
      <c r="SAR115" s="381"/>
      <c r="SAS115" s="381"/>
      <c r="SAT115" s="381"/>
      <c r="SAU115" s="381"/>
      <c r="SAV115" s="381"/>
      <c r="SAW115" s="381"/>
      <c r="SAX115" s="381"/>
      <c r="SAY115" s="381"/>
      <c r="SAZ115" s="381"/>
      <c r="SBA115" s="381"/>
      <c r="SBB115" s="381"/>
      <c r="SBC115" s="381"/>
      <c r="SBD115" s="381"/>
      <c r="SBE115" s="381"/>
      <c r="SBF115" s="381"/>
      <c r="SBG115" s="381"/>
      <c r="SBH115" s="381"/>
      <c r="SBI115" s="381"/>
      <c r="SBJ115" s="381"/>
      <c r="SBK115" s="381"/>
      <c r="SBL115" s="381"/>
      <c r="SBM115" s="381"/>
      <c r="SBN115" s="381"/>
      <c r="SBO115" s="381"/>
      <c r="SBP115" s="381"/>
      <c r="SBQ115" s="381"/>
      <c r="SBR115" s="381"/>
      <c r="SBS115" s="381"/>
      <c r="SBT115" s="381"/>
      <c r="SBU115" s="381"/>
      <c r="SBV115" s="381"/>
      <c r="SBW115" s="381"/>
      <c r="SBX115" s="381"/>
      <c r="SBY115" s="381"/>
      <c r="SBZ115" s="381"/>
      <c r="SCA115" s="381"/>
      <c r="SCB115" s="381"/>
      <c r="SCC115" s="381"/>
      <c r="SCD115" s="381"/>
      <c r="SCE115" s="381"/>
      <c r="SCF115" s="381"/>
      <c r="SCG115" s="381"/>
      <c r="SCH115" s="381"/>
      <c r="SCI115" s="381"/>
      <c r="SCJ115" s="381"/>
      <c r="SCK115" s="381"/>
      <c r="SCL115" s="381"/>
      <c r="SCM115" s="381"/>
      <c r="SCN115" s="381"/>
      <c r="SCO115" s="381"/>
      <c r="SCP115" s="381"/>
      <c r="SCQ115" s="381"/>
      <c r="SCR115" s="381"/>
      <c r="SCS115" s="381"/>
      <c r="SCT115" s="381"/>
      <c r="SCU115" s="381"/>
      <c r="SCV115" s="381"/>
      <c r="SCW115" s="381"/>
      <c r="SCX115" s="381"/>
      <c r="SCY115" s="381"/>
      <c r="SCZ115" s="381"/>
      <c r="SDA115" s="381"/>
      <c r="SDB115" s="381"/>
      <c r="SDC115" s="381"/>
      <c r="SDD115" s="381"/>
      <c r="SDE115" s="381"/>
      <c r="SDF115" s="381"/>
      <c r="SDG115" s="381"/>
      <c r="SDH115" s="381"/>
      <c r="SDI115" s="381"/>
      <c r="SDJ115" s="381"/>
      <c r="SDK115" s="381"/>
      <c r="SDL115" s="381"/>
      <c r="SDM115" s="381"/>
      <c r="SDN115" s="381"/>
      <c r="SDO115" s="381"/>
      <c r="SDP115" s="381"/>
      <c r="SDQ115" s="381"/>
      <c r="SDR115" s="381"/>
      <c r="SDS115" s="381"/>
      <c r="SDT115" s="381"/>
      <c r="SDU115" s="381"/>
      <c r="SDV115" s="381"/>
      <c r="SDW115" s="381"/>
      <c r="SDX115" s="381"/>
      <c r="SDY115" s="381"/>
      <c r="SDZ115" s="381"/>
      <c r="SEA115" s="381"/>
      <c r="SEB115" s="381"/>
      <c r="SEC115" s="381"/>
      <c r="SED115" s="381"/>
      <c r="SEE115" s="381"/>
      <c r="SEF115" s="381"/>
      <c r="SEG115" s="381"/>
      <c r="SEH115" s="381"/>
      <c r="SEI115" s="381"/>
      <c r="SEJ115" s="381"/>
      <c r="SEK115" s="381"/>
      <c r="SEL115" s="381"/>
      <c r="SEM115" s="381"/>
      <c r="SEN115" s="381"/>
      <c r="SEO115" s="381"/>
      <c r="SEP115" s="381"/>
      <c r="SEQ115" s="381"/>
      <c r="SER115" s="381"/>
      <c r="SES115" s="381"/>
      <c r="SET115" s="381"/>
      <c r="SEU115" s="381"/>
      <c r="SEV115" s="381"/>
      <c r="SEW115" s="381"/>
      <c r="SEX115" s="381"/>
      <c r="SEY115" s="381"/>
      <c r="SEZ115" s="381"/>
      <c r="SFA115" s="381"/>
      <c r="SFB115" s="381"/>
      <c r="SFC115" s="381"/>
      <c r="SFD115" s="381"/>
      <c r="SFE115" s="381"/>
      <c r="SFF115" s="381"/>
      <c r="SFG115" s="381"/>
      <c r="SFH115" s="381"/>
      <c r="SFI115" s="381"/>
      <c r="SFJ115" s="381"/>
      <c r="SFK115" s="381"/>
      <c r="SFL115" s="381"/>
      <c r="SFM115" s="381"/>
      <c r="SFN115" s="381"/>
      <c r="SFO115" s="381"/>
      <c r="SFP115" s="381"/>
      <c r="SFQ115" s="381"/>
      <c r="SFR115" s="381"/>
      <c r="SFS115" s="381"/>
      <c r="SFT115" s="381"/>
      <c r="SFU115" s="381"/>
      <c r="SFV115" s="381"/>
      <c r="SFW115" s="381"/>
      <c r="SFX115" s="381"/>
      <c r="SFY115" s="381"/>
      <c r="SFZ115" s="381"/>
      <c r="SGA115" s="381"/>
      <c r="SGB115" s="381"/>
      <c r="SGC115" s="381"/>
      <c r="SGD115" s="381"/>
      <c r="SGE115" s="381"/>
      <c r="SGF115" s="381"/>
      <c r="SGG115" s="381"/>
      <c r="SGH115" s="381"/>
      <c r="SGI115" s="381"/>
      <c r="SGJ115" s="381"/>
      <c r="SGK115" s="381"/>
      <c r="SGL115" s="381"/>
      <c r="SGM115" s="381"/>
      <c r="SGN115" s="381"/>
      <c r="SGO115" s="381"/>
      <c r="SGP115" s="381"/>
      <c r="SGQ115" s="381"/>
      <c r="SGR115" s="381"/>
      <c r="SGS115" s="381"/>
      <c r="SGT115" s="381"/>
      <c r="SGU115" s="381"/>
      <c r="SGV115" s="381"/>
      <c r="SGW115" s="381"/>
      <c r="SGX115" s="381"/>
      <c r="SGY115" s="381"/>
      <c r="SGZ115" s="381"/>
      <c r="SHA115" s="381"/>
      <c r="SHB115" s="381"/>
      <c r="SHC115" s="381"/>
      <c r="SHD115" s="381"/>
      <c r="SHE115" s="381"/>
      <c r="SHF115" s="381"/>
      <c r="SHG115" s="381"/>
      <c r="SHH115" s="381"/>
      <c r="SHI115" s="381"/>
      <c r="SHJ115" s="381"/>
      <c r="SHK115" s="381"/>
      <c r="SHL115" s="381"/>
      <c r="SHM115" s="381"/>
      <c r="SHN115" s="381"/>
      <c r="SHO115" s="381"/>
      <c r="SHP115" s="381"/>
      <c r="SHQ115" s="381"/>
      <c r="SHR115" s="381"/>
      <c r="SHS115" s="381"/>
      <c r="SHT115" s="381"/>
      <c r="SHU115" s="381"/>
      <c r="SHV115" s="381"/>
      <c r="SHW115" s="381"/>
      <c r="SHX115" s="381"/>
      <c r="SHY115" s="381"/>
      <c r="SHZ115" s="381"/>
      <c r="SIA115" s="381"/>
      <c r="SIB115" s="381"/>
      <c r="SIC115" s="381"/>
      <c r="SID115" s="381"/>
      <c r="SIE115" s="381"/>
      <c r="SIF115" s="381"/>
      <c r="SIG115" s="381"/>
      <c r="SIH115" s="381"/>
      <c r="SII115" s="381"/>
      <c r="SIJ115" s="381"/>
      <c r="SIK115" s="381"/>
      <c r="SIL115" s="381"/>
      <c r="SIM115" s="381"/>
      <c r="SIN115" s="381"/>
      <c r="SIO115" s="381"/>
      <c r="SIP115" s="381"/>
      <c r="SIQ115" s="381"/>
      <c r="SIR115" s="381"/>
      <c r="SIS115" s="381"/>
      <c r="SIT115" s="381"/>
      <c r="SIU115" s="381"/>
      <c r="SIV115" s="381"/>
      <c r="SIW115" s="381"/>
      <c r="SIX115" s="381"/>
      <c r="SIY115" s="381"/>
      <c r="SIZ115" s="381"/>
      <c r="SJA115" s="381"/>
      <c r="SJB115" s="381"/>
      <c r="SJC115" s="381"/>
      <c r="SJD115" s="381"/>
      <c r="SJE115" s="381"/>
      <c r="SJF115" s="381"/>
      <c r="SJG115" s="381"/>
      <c r="SJH115" s="381"/>
      <c r="SJI115" s="381"/>
      <c r="SJJ115" s="381"/>
      <c r="SJK115" s="381"/>
      <c r="SJL115" s="381"/>
      <c r="SJM115" s="381"/>
      <c r="SJN115" s="381"/>
      <c r="SJO115" s="381"/>
      <c r="SJP115" s="381"/>
      <c r="SJQ115" s="381"/>
      <c r="SJR115" s="381"/>
      <c r="SJS115" s="381"/>
      <c r="SJT115" s="381"/>
      <c r="SJU115" s="381"/>
      <c r="SJV115" s="381"/>
      <c r="SJW115" s="381"/>
      <c r="SJX115" s="381"/>
      <c r="SJY115" s="381"/>
      <c r="SJZ115" s="381"/>
      <c r="SKA115" s="381"/>
      <c r="SKB115" s="381"/>
      <c r="SKC115" s="381"/>
      <c r="SKD115" s="381"/>
      <c r="SKE115" s="381"/>
      <c r="SKF115" s="381"/>
      <c r="SKG115" s="381"/>
      <c r="SKH115" s="381"/>
      <c r="SKI115" s="381"/>
      <c r="SKJ115" s="381"/>
      <c r="SKK115" s="381"/>
      <c r="SKL115" s="381"/>
      <c r="SKM115" s="381"/>
      <c r="SKN115" s="381"/>
      <c r="SKO115" s="381"/>
      <c r="SKP115" s="381"/>
      <c r="SKQ115" s="381"/>
      <c r="SKR115" s="381"/>
      <c r="SKS115" s="381"/>
      <c r="SKT115" s="381"/>
      <c r="SKU115" s="381"/>
      <c r="SKV115" s="381"/>
      <c r="SKW115" s="381"/>
      <c r="SKX115" s="381"/>
      <c r="SKY115" s="381"/>
      <c r="SKZ115" s="381"/>
      <c r="SLA115" s="381"/>
      <c r="SLB115" s="381"/>
      <c r="SLC115" s="381"/>
      <c r="SLD115" s="381"/>
      <c r="SLE115" s="381"/>
      <c r="SLF115" s="381"/>
      <c r="SLG115" s="381"/>
      <c r="SLH115" s="381"/>
      <c r="SLI115" s="381"/>
      <c r="SLJ115" s="381"/>
      <c r="SLK115" s="381"/>
      <c r="SLL115" s="381"/>
      <c r="SLM115" s="381"/>
      <c r="SLN115" s="381"/>
      <c r="SLO115" s="381"/>
      <c r="SLP115" s="381"/>
      <c r="SLQ115" s="381"/>
      <c r="SLR115" s="381"/>
      <c r="SLS115" s="381"/>
      <c r="SLT115" s="381"/>
      <c r="SLU115" s="381"/>
      <c r="SLV115" s="381"/>
      <c r="SLW115" s="381"/>
      <c r="SLX115" s="381"/>
      <c r="SLY115" s="381"/>
      <c r="SLZ115" s="381"/>
      <c r="SMA115" s="381"/>
      <c r="SMB115" s="381"/>
      <c r="SMC115" s="381"/>
      <c r="SMD115" s="381"/>
      <c r="SME115" s="381"/>
      <c r="SMF115" s="381"/>
      <c r="SMG115" s="381"/>
      <c r="SMH115" s="381"/>
      <c r="SMI115" s="381"/>
      <c r="SMJ115" s="381"/>
      <c r="SMK115" s="381"/>
      <c r="SML115" s="381"/>
      <c r="SMM115" s="381"/>
      <c r="SMN115" s="381"/>
      <c r="SMO115" s="381"/>
      <c r="SMP115" s="381"/>
      <c r="SMQ115" s="381"/>
      <c r="SMR115" s="381"/>
      <c r="SMS115" s="381"/>
      <c r="SMT115" s="381"/>
      <c r="SMU115" s="381"/>
      <c r="SMV115" s="381"/>
      <c r="SMW115" s="381"/>
      <c r="SMX115" s="381"/>
      <c r="SMY115" s="381"/>
      <c r="SMZ115" s="381"/>
      <c r="SNA115" s="381"/>
      <c r="SNB115" s="381"/>
      <c r="SNC115" s="381"/>
      <c r="SND115" s="381"/>
      <c r="SNE115" s="381"/>
      <c r="SNF115" s="381"/>
      <c r="SNG115" s="381"/>
      <c r="SNH115" s="381"/>
      <c r="SNI115" s="381"/>
      <c r="SNJ115" s="381"/>
      <c r="SNK115" s="381"/>
      <c r="SNL115" s="381"/>
      <c r="SNM115" s="381"/>
      <c r="SNN115" s="381"/>
      <c r="SNO115" s="381"/>
      <c r="SNP115" s="381"/>
      <c r="SNQ115" s="381"/>
      <c r="SNR115" s="381"/>
      <c r="SNS115" s="381"/>
      <c r="SNT115" s="381"/>
      <c r="SNU115" s="381"/>
      <c r="SNV115" s="381"/>
      <c r="SNW115" s="381"/>
      <c r="SNX115" s="381"/>
      <c r="SNY115" s="381"/>
      <c r="SNZ115" s="381"/>
      <c r="SOA115" s="381"/>
      <c r="SOB115" s="381"/>
      <c r="SOC115" s="381"/>
      <c r="SOD115" s="381"/>
      <c r="SOE115" s="381"/>
      <c r="SOF115" s="381"/>
      <c r="SOG115" s="381"/>
      <c r="SOH115" s="381"/>
      <c r="SOI115" s="381"/>
      <c r="SOJ115" s="381"/>
      <c r="SOK115" s="381"/>
      <c r="SOL115" s="381"/>
      <c r="SOM115" s="381"/>
      <c r="SON115" s="381"/>
      <c r="SOO115" s="381"/>
      <c r="SOP115" s="381"/>
      <c r="SOQ115" s="381"/>
      <c r="SOR115" s="381"/>
      <c r="SOS115" s="381"/>
      <c r="SOT115" s="381"/>
      <c r="SOU115" s="381"/>
      <c r="SOV115" s="381"/>
      <c r="SOW115" s="381"/>
      <c r="SOX115" s="381"/>
      <c r="SOY115" s="381"/>
      <c r="SOZ115" s="381"/>
      <c r="SPA115" s="381"/>
      <c r="SPB115" s="381"/>
      <c r="SPC115" s="381"/>
      <c r="SPD115" s="381"/>
      <c r="SPE115" s="381"/>
      <c r="SPF115" s="381"/>
      <c r="SPG115" s="381"/>
      <c r="SPH115" s="381"/>
      <c r="SPI115" s="381"/>
      <c r="SPJ115" s="381"/>
      <c r="SPK115" s="381"/>
      <c r="SPL115" s="381"/>
      <c r="SPM115" s="381"/>
      <c r="SPN115" s="381"/>
      <c r="SPO115" s="381"/>
      <c r="SPP115" s="381"/>
      <c r="SPQ115" s="381"/>
      <c r="SPR115" s="381"/>
      <c r="SPS115" s="381"/>
      <c r="SPT115" s="381"/>
      <c r="SPU115" s="381"/>
      <c r="SPV115" s="381"/>
      <c r="SPW115" s="381"/>
      <c r="SPX115" s="381"/>
      <c r="SPY115" s="381"/>
      <c r="SPZ115" s="381"/>
      <c r="SQA115" s="381"/>
      <c r="SQB115" s="381"/>
      <c r="SQC115" s="381"/>
      <c r="SQD115" s="381"/>
      <c r="SQE115" s="381"/>
      <c r="SQF115" s="381"/>
      <c r="SQG115" s="381"/>
      <c r="SQH115" s="381"/>
      <c r="SQI115" s="381"/>
      <c r="SQJ115" s="381"/>
      <c r="SQK115" s="381"/>
      <c r="SQL115" s="381"/>
      <c r="SQM115" s="381"/>
      <c r="SQN115" s="381"/>
      <c r="SQO115" s="381"/>
      <c r="SQP115" s="381"/>
      <c r="SQQ115" s="381"/>
      <c r="SQR115" s="381"/>
      <c r="SQS115" s="381"/>
      <c r="SQT115" s="381"/>
      <c r="SQU115" s="381"/>
      <c r="SQV115" s="381"/>
      <c r="SQW115" s="381"/>
      <c r="SQX115" s="381"/>
      <c r="SQY115" s="381"/>
      <c r="SQZ115" s="381"/>
      <c r="SRA115" s="381"/>
      <c r="SRB115" s="381"/>
      <c r="SRC115" s="381"/>
      <c r="SRD115" s="381"/>
      <c r="SRE115" s="381"/>
      <c r="SRF115" s="381"/>
      <c r="SRG115" s="381"/>
      <c r="SRH115" s="381"/>
      <c r="SRI115" s="381"/>
      <c r="SRJ115" s="381"/>
      <c r="SRK115" s="381"/>
      <c r="SRL115" s="381"/>
      <c r="SRM115" s="381"/>
      <c r="SRN115" s="381"/>
      <c r="SRO115" s="381"/>
      <c r="SRP115" s="381"/>
      <c r="SRQ115" s="381"/>
      <c r="SRR115" s="381"/>
      <c r="SRS115" s="381"/>
      <c r="SRT115" s="381"/>
      <c r="SRU115" s="381"/>
      <c r="SRV115" s="381"/>
      <c r="SRW115" s="381"/>
      <c r="SRX115" s="381"/>
      <c r="SRY115" s="381"/>
      <c r="SRZ115" s="381"/>
      <c r="SSA115" s="381"/>
      <c r="SSB115" s="381"/>
      <c r="SSC115" s="381"/>
      <c r="SSD115" s="381"/>
      <c r="SSE115" s="381"/>
      <c r="SSF115" s="381"/>
      <c r="SSG115" s="381"/>
      <c r="SSH115" s="381"/>
      <c r="SSI115" s="381"/>
      <c r="SSJ115" s="381"/>
      <c r="SSK115" s="381"/>
      <c r="SSL115" s="381"/>
      <c r="SSM115" s="381"/>
      <c r="SSN115" s="381"/>
      <c r="SSO115" s="381"/>
      <c r="SSP115" s="381"/>
      <c r="SSQ115" s="381"/>
      <c r="SSR115" s="381"/>
      <c r="SSS115" s="381"/>
      <c r="SST115" s="381"/>
      <c r="SSU115" s="381"/>
      <c r="SSV115" s="381"/>
      <c r="SSW115" s="381"/>
      <c r="SSX115" s="381"/>
      <c r="SSY115" s="381"/>
      <c r="SSZ115" s="381"/>
      <c r="STA115" s="381"/>
      <c r="STB115" s="381"/>
      <c r="STC115" s="381"/>
      <c r="STD115" s="381"/>
      <c r="STE115" s="381"/>
      <c r="STF115" s="381"/>
      <c r="STG115" s="381"/>
      <c r="STH115" s="381"/>
      <c r="STI115" s="381"/>
      <c r="STJ115" s="381"/>
      <c r="STK115" s="381"/>
      <c r="STL115" s="381"/>
      <c r="STM115" s="381"/>
      <c r="STN115" s="381"/>
      <c r="STO115" s="381"/>
      <c r="STP115" s="381"/>
      <c r="STQ115" s="381"/>
      <c r="STR115" s="381"/>
      <c r="STS115" s="381"/>
      <c r="STT115" s="381"/>
      <c r="STU115" s="381"/>
      <c r="STV115" s="381"/>
      <c r="STW115" s="381"/>
      <c r="STX115" s="381"/>
      <c r="STY115" s="381"/>
      <c r="STZ115" s="381"/>
      <c r="SUA115" s="381"/>
      <c r="SUB115" s="381"/>
      <c r="SUC115" s="381"/>
      <c r="SUD115" s="381"/>
      <c r="SUE115" s="381"/>
      <c r="SUF115" s="381"/>
      <c r="SUG115" s="381"/>
      <c r="SUH115" s="381"/>
      <c r="SUI115" s="381"/>
      <c r="SUJ115" s="381"/>
      <c r="SUK115" s="381"/>
      <c r="SUL115" s="381"/>
      <c r="SUM115" s="381"/>
      <c r="SUN115" s="381"/>
      <c r="SUO115" s="381"/>
      <c r="SUP115" s="381"/>
      <c r="SUQ115" s="381"/>
      <c r="SUR115" s="381"/>
      <c r="SUS115" s="381"/>
      <c r="SUT115" s="381"/>
      <c r="SUU115" s="381"/>
      <c r="SUV115" s="381"/>
      <c r="SUW115" s="381"/>
      <c r="SUX115" s="381"/>
      <c r="SUY115" s="381"/>
      <c r="SUZ115" s="381"/>
      <c r="SVA115" s="381"/>
      <c r="SVB115" s="381"/>
      <c r="SVC115" s="381"/>
      <c r="SVD115" s="381"/>
      <c r="SVE115" s="381"/>
      <c r="SVF115" s="381"/>
      <c r="SVG115" s="381"/>
      <c r="SVH115" s="381"/>
      <c r="SVI115" s="381"/>
      <c r="SVJ115" s="381"/>
      <c r="SVK115" s="381"/>
      <c r="SVL115" s="381"/>
      <c r="SVM115" s="381"/>
      <c r="SVN115" s="381"/>
      <c r="SVO115" s="381"/>
      <c r="SVP115" s="381"/>
      <c r="SVQ115" s="381"/>
      <c r="SVR115" s="381"/>
      <c r="SVS115" s="381"/>
      <c r="SVT115" s="381"/>
      <c r="SVU115" s="381"/>
      <c r="SVV115" s="381"/>
      <c r="SVW115" s="381"/>
      <c r="SVX115" s="381"/>
      <c r="SVY115" s="381"/>
      <c r="SVZ115" s="381"/>
      <c r="SWA115" s="381"/>
      <c r="SWB115" s="381"/>
      <c r="SWC115" s="381"/>
      <c r="SWD115" s="381"/>
      <c r="SWE115" s="381"/>
      <c r="SWF115" s="381"/>
      <c r="SWG115" s="381"/>
      <c r="SWH115" s="381"/>
      <c r="SWI115" s="381"/>
      <c r="SWJ115" s="381"/>
      <c r="SWK115" s="381"/>
      <c r="SWL115" s="381"/>
      <c r="SWM115" s="381"/>
      <c r="SWN115" s="381"/>
      <c r="SWO115" s="381"/>
      <c r="SWP115" s="381"/>
      <c r="SWQ115" s="381"/>
      <c r="SWR115" s="381"/>
      <c r="SWS115" s="381"/>
      <c r="SWT115" s="381"/>
      <c r="SWU115" s="381"/>
      <c r="SWV115" s="381"/>
      <c r="SWW115" s="381"/>
      <c r="SWX115" s="381"/>
      <c r="SWY115" s="381"/>
      <c r="SWZ115" s="381"/>
      <c r="SXA115" s="381"/>
      <c r="SXB115" s="381"/>
      <c r="SXC115" s="381"/>
      <c r="SXD115" s="381"/>
      <c r="SXE115" s="381"/>
      <c r="SXF115" s="381"/>
      <c r="SXG115" s="381"/>
      <c r="SXH115" s="381"/>
      <c r="SXI115" s="381"/>
      <c r="SXJ115" s="381"/>
      <c r="SXK115" s="381"/>
      <c r="SXL115" s="381"/>
      <c r="SXM115" s="381"/>
      <c r="SXN115" s="381"/>
      <c r="SXO115" s="381"/>
      <c r="SXP115" s="381"/>
      <c r="SXQ115" s="381"/>
      <c r="SXR115" s="381"/>
      <c r="SXS115" s="381"/>
      <c r="SXT115" s="381"/>
      <c r="SXU115" s="381"/>
      <c r="SXV115" s="381"/>
      <c r="SXW115" s="381"/>
      <c r="SXX115" s="381"/>
      <c r="SXY115" s="381"/>
      <c r="SXZ115" s="381"/>
      <c r="SYA115" s="381"/>
      <c r="SYB115" s="381"/>
      <c r="SYC115" s="381"/>
      <c r="SYD115" s="381"/>
      <c r="SYE115" s="381"/>
      <c r="SYF115" s="381"/>
      <c r="SYG115" s="381"/>
      <c r="SYH115" s="381"/>
      <c r="SYI115" s="381"/>
      <c r="SYJ115" s="381"/>
      <c r="SYK115" s="381"/>
      <c r="SYL115" s="381"/>
      <c r="SYM115" s="381"/>
      <c r="SYN115" s="381"/>
      <c r="SYO115" s="381"/>
      <c r="SYP115" s="381"/>
      <c r="SYQ115" s="381"/>
      <c r="SYR115" s="381"/>
      <c r="SYS115" s="381"/>
      <c r="SYT115" s="381"/>
      <c r="SYU115" s="381"/>
      <c r="SYV115" s="381"/>
      <c r="SYW115" s="381"/>
      <c r="SYX115" s="381"/>
      <c r="SYY115" s="381"/>
      <c r="SYZ115" s="381"/>
      <c r="SZA115" s="381"/>
      <c r="SZB115" s="381"/>
      <c r="SZC115" s="381"/>
      <c r="SZD115" s="381"/>
      <c r="SZE115" s="381"/>
      <c r="SZF115" s="381"/>
      <c r="SZG115" s="381"/>
      <c r="SZH115" s="381"/>
      <c r="SZI115" s="381"/>
      <c r="SZJ115" s="381"/>
      <c r="SZK115" s="381"/>
      <c r="SZL115" s="381"/>
      <c r="SZM115" s="381"/>
      <c r="SZN115" s="381"/>
      <c r="SZO115" s="381"/>
      <c r="SZP115" s="381"/>
      <c r="SZQ115" s="381"/>
      <c r="SZR115" s="381"/>
      <c r="SZS115" s="381"/>
      <c r="SZT115" s="381"/>
      <c r="SZU115" s="381"/>
      <c r="SZV115" s="381"/>
      <c r="SZW115" s="381"/>
      <c r="SZX115" s="381"/>
      <c r="SZY115" s="381"/>
      <c r="SZZ115" s="381"/>
      <c r="TAA115" s="381"/>
      <c r="TAB115" s="381"/>
      <c r="TAC115" s="381"/>
      <c r="TAD115" s="381"/>
      <c r="TAE115" s="381"/>
      <c r="TAF115" s="381"/>
      <c r="TAG115" s="381"/>
      <c r="TAH115" s="381"/>
      <c r="TAI115" s="381"/>
      <c r="TAJ115" s="381"/>
      <c r="TAK115" s="381"/>
      <c r="TAL115" s="381"/>
      <c r="TAM115" s="381"/>
      <c r="TAN115" s="381"/>
      <c r="TAO115" s="381"/>
      <c r="TAP115" s="381"/>
      <c r="TAQ115" s="381"/>
      <c r="TAR115" s="381"/>
      <c r="TAS115" s="381"/>
      <c r="TAT115" s="381"/>
      <c r="TAU115" s="381"/>
      <c r="TAV115" s="381"/>
      <c r="TAW115" s="381"/>
      <c r="TAX115" s="381"/>
      <c r="TAY115" s="381"/>
      <c r="TAZ115" s="381"/>
      <c r="TBA115" s="381"/>
      <c r="TBB115" s="381"/>
      <c r="TBC115" s="381"/>
      <c r="TBD115" s="381"/>
      <c r="TBE115" s="381"/>
      <c r="TBF115" s="381"/>
      <c r="TBG115" s="381"/>
      <c r="TBH115" s="381"/>
      <c r="TBI115" s="381"/>
      <c r="TBJ115" s="381"/>
      <c r="TBK115" s="381"/>
      <c r="TBL115" s="381"/>
      <c r="TBM115" s="381"/>
      <c r="TBN115" s="381"/>
      <c r="TBO115" s="381"/>
      <c r="TBP115" s="381"/>
      <c r="TBQ115" s="381"/>
      <c r="TBR115" s="381"/>
      <c r="TBS115" s="381"/>
      <c r="TBT115" s="381"/>
      <c r="TBU115" s="381"/>
      <c r="TBV115" s="381"/>
      <c r="TBW115" s="381"/>
      <c r="TBX115" s="381"/>
      <c r="TBY115" s="381"/>
      <c r="TBZ115" s="381"/>
      <c r="TCA115" s="381"/>
      <c r="TCB115" s="381"/>
      <c r="TCC115" s="381"/>
      <c r="TCD115" s="381"/>
      <c r="TCE115" s="381"/>
      <c r="TCF115" s="381"/>
      <c r="TCG115" s="381"/>
      <c r="TCH115" s="381"/>
      <c r="TCI115" s="381"/>
      <c r="TCJ115" s="381"/>
      <c r="TCK115" s="381"/>
      <c r="TCL115" s="381"/>
      <c r="TCM115" s="381"/>
      <c r="TCN115" s="381"/>
      <c r="TCO115" s="381"/>
      <c r="TCP115" s="381"/>
      <c r="TCQ115" s="381"/>
      <c r="TCR115" s="381"/>
      <c r="TCS115" s="381"/>
      <c r="TCT115" s="381"/>
      <c r="TCU115" s="381"/>
      <c r="TCV115" s="381"/>
      <c r="TCW115" s="381"/>
      <c r="TCX115" s="381"/>
      <c r="TCY115" s="381"/>
      <c r="TCZ115" s="381"/>
      <c r="TDA115" s="381"/>
      <c r="TDB115" s="381"/>
      <c r="TDC115" s="381"/>
      <c r="TDD115" s="381"/>
      <c r="TDE115" s="381"/>
      <c r="TDF115" s="381"/>
      <c r="TDG115" s="381"/>
      <c r="TDH115" s="381"/>
      <c r="TDI115" s="381"/>
      <c r="TDJ115" s="381"/>
      <c r="TDK115" s="381"/>
      <c r="TDL115" s="381"/>
      <c r="TDM115" s="381"/>
      <c r="TDN115" s="381"/>
      <c r="TDO115" s="381"/>
      <c r="TDP115" s="381"/>
      <c r="TDQ115" s="381"/>
      <c r="TDR115" s="381"/>
      <c r="TDS115" s="381"/>
      <c r="TDT115" s="381"/>
      <c r="TDU115" s="381"/>
      <c r="TDV115" s="381"/>
      <c r="TDW115" s="381"/>
      <c r="TDX115" s="381"/>
      <c r="TDY115" s="381"/>
      <c r="TDZ115" s="381"/>
      <c r="TEA115" s="381"/>
      <c r="TEB115" s="381"/>
      <c r="TEC115" s="381"/>
      <c r="TED115" s="381"/>
      <c r="TEE115" s="381"/>
      <c r="TEF115" s="381"/>
      <c r="TEG115" s="381"/>
      <c r="TEH115" s="381"/>
      <c r="TEI115" s="381"/>
      <c r="TEJ115" s="381"/>
      <c r="TEK115" s="381"/>
      <c r="TEL115" s="381"/>
      <c r="TEM115" s="381"/>
      <c r="TEN115" s="381"/>
      <c r="TEO115" s="381"/>
      <c r="TEP115" s="381"/>
      <c r="TEQ115" s="381"/>
      <c r="TER115" s="381"/>
      <c r="TES115" s="381"/>
      <c r="TET115" s="381"/>
      <c r="TEU115" s="381"/>
      <c r="TEV115" s="381"/>
      <c r="TEW115" s="381"/>
      <c r="TEX115" s="381"/>
      <c r="TEY115" s="381"/>
      <c r="TEZ115" s="381"/>
      <c r="TFA115" s="381"/>
      <c r="TFB115" s="381"/>
      <c r="TFC115" s="381"/>
      <c r="TFD115" s="381"/>
      <c r="TFE115" s="381"/>
      <c r="TFF115" s="381"/>
      <c r="TFG115" s="381"/>
      <c r="TFH115" s="381"/>
      <c r="TFI115" s="381"/>
      <c r="TFJ115" s="381"/>
      <c r="TFK115" s="381"/>
      <c r="TFL115" s="381"/>
      <c r="TFM115" s="381"/>
      <c r="TFN115" s="381"/>
      <c r="TFO115" s="381"/>
      <c r="TFP115" s="381"/>
      <c r="TFQ115" s="381"/>
      <c r="TFR115" s="381"/>
      <c r="TFS115" s="381"/>
      <c r="TFT115" s="381"/>
      <c r="TFU115" s="381"/>
      <c r="TFV115" s="381"/>
      <c r="TFW115" s="381"/>
      <c r="TFX115" s="381"/>
      <c r="TFY115" s="381"/>
      <c r="TFZ115" s="381"/>
      <c r="TGA115" s="381"/>
      <c r="TGB115" s="381"/>
      <c r="TGC115" s="381"/>
      <c r="TGD115" s="381"/>
      <c r="TGE115" s="381"/>
      <c r="TGF115" s="381"/>
      <c r="TGG115" s="381"/>
      <c r="TGH115" s="381"/>
      <c r="TGI115" s="381"/>
      <c r="TGJ115" s="381"/>
      <c r="TGK115" s="381"/>
      <c r="TGL115" s="381"/>
      <c r="TGM115" s="381"/>
      <c r="TGN115" s="381"/>
      <c r="TGO115" s="381"/>
      <c r="TGP115" s="381"/>
      <c r="TGQ115" s="381"/>
      <c r="TGR115" s="381"/>
      <c r="TGS115" s="381"/>
      <c r="TGT115" s="381"/>
      <c r="TGU115" s="381"/>
      <c r="TGV115" s="381"/>
      <c r="TGW115" s="381"/>
      <c r="TGX115" s="381"/>
      <c r="TGY115" s="381"/>
      <c r="TGZ115" s="381"/>
      <c r="THA115" s="381"/>
      <c r="THB115" s="381"/>
      <c r="THC115" s="381"/>
      <c r="THD115" s="381"/>
      <c r="THE115" s="381"/>
      <c r="THF115" s="381"/>
      <c r="THG115" s="381"/>
      <c r="THH115" s="381"/>
      <c r="THI115" s="381"/>
      <c r="THJ115" s="381"/>
      <c r="THK115" s="381"/>
      <c r="THL115" s="381"/>
      <c r="THM115" s="381"/>
      <c r="THN115" s="381"/>
      <c r="THO115" s="381"/>
      <c r="THP115" s="381"/>
      <c r="THQ115" s="381"/>
      <c r="THR115" s="381"/>
      <c r="THS115" s="381"/>
      <c r="THT115" s="381"/>
      <c r="THU115" s="381"/>
      <c r="THV115" s="381"/>
      <c r="THW115" s="381"/>
      <c r="THX115" s="381"/>
      <c r="THY115" s="381"/>
      <c r="THZ115" s="381"/>
      <c r="TIA115" s="381"/>
      <c r="TIB115" s="381"/>
      <c r="TIC115" s="381"/>
      <c r="TID115" s="381"/>
      <c r="TIE115" s="381"/>
      <c r="TIF115" s="381"/>
      <c r="TIG115" s="381"/>
      <c r="TIH115" s="381"/>
      <c r="TII115" s="381"/>
      <c r="TIJ115" s="381"/>
      <c r="TIK115" s="381"/>
      <c r="TIL115" s="381"/>
      <c r="TIM115" s="381"/>
      <c r="TIN115" s="381"/>
      <c r="TIO115" s="381"/>
      <c r="TIP115" s="381"/>
      <c r="TIQ115" s="381"/>
      <c r="TIR115" s="381"/>
      <c r="TIS115" s="381"/>
      <c r="TIT115" s="381"/>
      <c r="TIU115" s="381"/>
      <c r="TIV115" s="381"/>
      <c r="TIW115" s="381"/>
      <c r="TIX115" s="381"/>
      <c r="TIY115" s="381"/>
      <c r="TIZ115" s="381"/>
      <c r="TJA115" s="381"/>
      <c r="TJB115" s="381"/>
      <c r="TJC115" s="381"/>
      <c r="TJD115" s="381"/>
      <c r="TJE115" s="381"/>
      <c r="TJF115" s="381"/>
      <c r="TJG115" s="381"/>
      <c r="TJH115" s="381"/>
      <c r="TJI115" s="381"/>
      <c r="TJJ115" s="381"/>
      <c r="TJK115" s="381"/>
      <c r="TJL115" s="381"/>
      <c r="TJM115" s="381"/>
      <c r="TJN115" s="381"/>
      <c r="TJO115" s="381"/>
      <c r="TJP115" s="381"/>
      <c r="TJQ115" s="381"/>
      <c r="TJR115" s="381"/>
      <c r="TJS115" s="381"/>
      <c r="TJT115" s="381"/>
      <c r="TJU115" s="381"/>
      <c r="TJV115" s="381"/>
      <c r="TJW115" s="381"/>
      <c r="TJX115" s="381"/>
      <c r="TJY115" s="381"/>
      <c r="TJZ115" s="381"/>
      <c r="TKA115" s="381"/>
      <c r="TKB115" s="381"/>
      <c r="TKC115" s="381"/>
      <c r="TKD115" s="381"/>
      <c r="TKE115" s="381"/>
      <c r="TKF115" s="381"/>
      <c r="TKG115" s="381"/>
      <c r="TKH115" s="381"/>
      <c r="TKI115" s="381"/>
      <c r="TKJ115" s="381"/>
      <c r="TKK115" s="381"/>
      <c r="TKL115" s="381"/>
      <c r="TKM115" s="381"/>
      <c r="TKN115" s="381"/>
      <c r="TKO115" s="381"/>
      <c r="TKP115" s="381"/>
      <c r="TKQ115" s="381"/>
      <c r="TKR115" s="381"/>
      <c r="TKS115" s="381"/>
      <c r="TKT115" s="381"/>
      <c r="TKU115" s="381"/>
      <c r="TKV115" s="381"/>
      <c r="TKW115" s="381"/>
      <c r="TKX115" s="381"/>
      <c r="TKY115" s="381"/>
      <c r="TKZ115" s="381"/>
      <c r="TLA115" s="381"/>
      <c r="TLB115" s="381"/>
      <c r="TLC115" s="381"/>
      <c r="TLD115" s="381"/>
      <c r="TLE115" s="381"/>
      <c r="TLF115" s="381"/>
      <c r="TLG115" s="381"/>
      <c r="TLH115" s="381"/>
      <c r="TLI115" s="381"/>
      <c r="TLJ115" s="381"/>
      <c r="TLK115" s="381"/>
      <c r="TLL115" s="381"/>
      <c r="TLM115" s="381"/>
      <c r="TLN115" s="381"/>
      <c r="TLO115" s="381"/>
      <c r="TLP115" s="381"/>
      <c r="TLQ115" s="381"/>
      <c r="TLR115" s="381"/>
      <c r="TLS115" s="381"/>
      <c r="TLT115" s="381"/>
      <c r="TLU115" s="381"/>
      <c r="TLV115" s="381"/>
      <c r="TLW115" s="381"/>
      <c r="TLX115" s="381"/>
      <c r="TLY115" s="381"/>
      <c r="TLZ115" s="381"/>
      <c r="TMA115" s="381"/>
      <c r="TMB115" s="381"/>
      <c r="TMC115" s="381"/>
      <c r="TMD115" s="381"/>
      <c r="TME115" s="381"/>
      <c r="TMF115" s="381"/>
      <c r="TMG115" s="381"/>
      <c r="TMH115" s="381"/>
      <c r="TMI115" s="381"/>
      <c r="TMJ115" s="381"/>
      <c r="TMK115" s="381"/>
      <c r="TML115" s="381"/>
      <c r="TMM115" s="381"/>
      <c r="TMN115" s="381"/>
      <c r="TMO115" s="381"/>
      <c r="TMP115" s="381"/>
      <c r="TMQ115" s="381"/>
      <c r="TMR115" s="381"/>
      <c r="TMS115" s="381"/>
      <c r="TMT115" s="381"/>
      <c r="TMU115" s="381"/>
      <c r="TMV115" s="381"/>
      <c r="TMW115" s="381"/>
      <c r="TMX115" s="381"/>
      <c r="TMY115" s="381"/>
      <c r="TMZ115" s="381"/>
      <c r="TNA115" s="381"/>
      <c r="TNB115" s="381"/>
      <c r="TNC115" s="381"/>
      <c r="TND115" s="381"/>
      <c r="TNE115" s="381"/>
      <c r="TNF115" s="381"/>
      <c r="TNG115" s="381"/>
      <c r="TNH115" s="381"/>
      <c r="TNI115" s="381"/>
      <c r="TNJ115" s="381"/>
      <c r="TNK115" s="381"/>
      <c r="TNL115" s="381"/>
      <c r="TNM115" s="381"/>
      <c r="TNN115" s="381"/>
      <c r="TNO115" s="381"/>
      <c r="TNP115" s="381"/>
      <c r="TNQ115" s="381"/>
      <c r="TNR115" s="381"/>
      <c r="TNS115" s="381"/>
      <c r="TNT115" s="381"/>
      <c r="TNU115" s="381"/>
      <c r="TNV115" s="381"/>
      <c r="TNW115" s="381"/>
      <c r="TNX115" s="381"/>
      <c r="TNY115" s="381"/>
      <c r="TNZ115" s="381"/>
      <c r="TOA115" s="381"/>
      <c r="TOB115" s="381"/>
      <c r="TOC115" s="381"/>
      <c r="TOD115" s="381"/>
      <c r="TOE115" s="381"/>
      <c r="TOF115" s="381"/>
      <c r="TOG115" s="381"/>
      <c r="TOH115" s="381"/>
      <c r="TOI115" s="381"/>
      <c r="TOJ115" s="381"/>
      <c r="TOK115" s="381"/>
      <c r="TOL115" s="381"/>
      <c r="TOM115" s="381"/>
      <c r="TON115" s="381"/>
      <c r="TOO115" s="381"/>
      <c r="TOP115" s="381"/>
      <c r="TOQ115" s="381"/>
      <c r="TOR115" s="381"/>
      <c r="TOS115" s="381"/>
      <c r="TOT115" s="381"/>
      <c r="TOU115" s="381"/>
      <c r="TOV115" s="381"/>
      <c r="TOW115" s="381"/>
      <c r="TOX115" s="381"/>
      <c r="TOY115" s="381"/>
      <c r="TOZ115" s="381"/>
      <c r="TPA115" s="381"/>
      <c r="TPB115" s="381"/>
      <c r="TPC115" s="381"/>
      <c r="TPD115" s="381"/>
      <c r="TPE115" s="381"/>
      <c r="TPF115" s="381"/>
      <c r="TPG115" s="381"/>
      <c r="TPH115" s="381"/>
      <c r="TPI115" s="381"/>
      <c r="TPJ115" s="381"/>
      <c r="TPK115" s="381"/>
      <c r="TPL115" s="381"/>
      <c r="TPM115" s="381"/>
      <c r="TPN115" s="381"/>
      <c r="TPO115" s="381"/>
      <c r="TPP115" s="381"/>
      <c r="TPQ115" s="381"/>
      <c r="TPR115" s="381"/>
      <c r="TPS115" s="381"/>
      <c r="TPT115" s="381"/>
      <c r="TPU115" s="381"/>
      <c r="TPV115" s="381"/>
      <c r="TPW115" s="381"/>
      <c r="TPX115" s="381"/>
      <c r="TPY115" s="381"/>
      <c r="TPZ115" s="381"/>
      <c r="TQA115" s="381"/>
      <c r="TQB115" s="381"/>
      <c r="TQC115" s="381"/>
      <c r="TQD115" s="381"/>
      <c r="TQE115" s="381"/>
      <c r="TQF115" s="381"/>
      <c r="TQG115" s="381"/>
      <c r="TQH115" s="381"/>
      <c r="TQI115" s="381"/>
      <c r="TQJ115" s="381"/>
      <c r="TQK115" s="381"/>
      <c r="TQL115" s="381"/>
      <c r="TQM115" s="381"/>
      <c r="TQN115" s="381"/>
      <c r="TQO115" s="381"/>
      <c r="TQP115" s="381"/>
      <c r="TQQ115" s="381"/>
      <c r="TQR115" s="381"/>
      <c r="TQS115" s="381"/>
      <c r="TQT115" s="381"/>
      <c r="TQU115" s="381"/>
      <c r="TQV115" s="381"/>
      <c r="TQW115" s="381"/>
      <c r="TQX115" s="381"/>
      <c r="TQY115" s="381"/>
      <c r="TQZ115" s="381"/>
      <c r="TRA115" s="381"/>
      <c r="TRB115" s="381"/>
      <c r="TRC115" s="381"/>
      <c r="TRD115" s="381"/>
      <c r="TRE115" s="381"/>
      <c r="TRF115" s="381"/>
      <c r="TRG115" s="381"/>
      <c r="TRH115" s="381"/>
      <c r="TRI115" s="381"/>
      <c r="TRJ115" s="381"/>
      <c r="TRK115" s="381"/>
      <c r="TRL115" s="381"/>
      <c r="TRM115" s="381"/>
      <c r="TRN115" s="381"/>
      <c r="TRO115" s="381"/>
      <c r="TRP115" s="381"/>
      <c r="TRQ115" s="381"/>
      <c r="TRR115" s="381"/>
      <c r="TRS115" s="381"/>
      <c r="TRT115" s="381"/>
      <c r="TRU115" s="381"/>
      <c r="TRV115" s="381"/>
      <c r="TRW115" s="381"/>
      <c r="TRX115" s="381"/>
      <c r="TRY115" s="381"/>
      <c r="TRZ115" s="381"/>
      <c r="TSA115" s="381"/>
      <c r="TSB115" s="381"/>
      <c r="TSC115" s="381"/>
      <c r="TSD115" s="381"/>
      <c r="TSE115" s="381"/>
      <c r="TSF115" s="381"/>
      <c r="TSG115" s="381"/>
      <c r="TSH115" s="381"/>
      <c r="TSI115" s="381"/>
      <c r="TSJ115" s="381"/>
      <c r="TSK115" s="381"/>
      <c r="TSL115" s="381"/>
      <c r="TSM115" s="381"/>
      <c r="TSN115" s="381"/>
      <c r="TSO115" s="381"/>
      <c r="TSP115" s="381"/>
      <c r="TSQ115" s="381"/>
      <c r="TSR115" s="381"/>
      <c r="TSS115" s="381"/>
      <c r="TST115" s="381"/>
      <c r="TSU115" s="381"/>
      <c r="TSV115" s="381"/>
      <c r="TSW115" s="381"/>
      <c r="TSX115" s="381"/>
      <c r="TSY115" s="381"/>
      <c r="TSZ115" s="381"/>
      <c r="TTA115" s="381"/>
      <c r="TTB115" s="381"/>
      <c r="TTC115" s="381"/>
      <c r="TTD115" s="381"/>
      <c r="TTE115" s="381"/>
      <c r="TTF115" s="381"/>
      <c r="TTG115" s="381"/>
      <c r="TTH115" s="381"/>
      <c r="TTI115" s="381"/>
      <c r="TTJ115" s="381"/>
      <c r="TTK115" s="381"/>
      <c r="TTL115" s="381"/>
      <c r="TTM115" s="381"/>
      <c r="TTN115" s="381"/>
      <c r="TTO115" s="381"/>
      <c r="TTP115" s="381"/>
      <c r="TTQ115" s="381"/>
      <c r="TTR115" s="381"/>
      <c r="TTS115" s="381"/>
      <c r="TTT115" s="381"/>
      <c r="TTU115" s="381"/>
      <c r="TTV115" s="381"/>
      <c r="TTW115" s="381"/>
      <c r="TTX115" s="381"/>
      <c r="TTY115" s="381"/>
      <c r="TTZ115" s="381"/>
      <c r="TUA115" s="381"/>
      <c r="TUB115" s="381"/>
      <c r="TUC115" s="381"/>
      <c r="TUD115" s="381"/>
      <c r="TUE115" s="381"/>
      <c r="TUF115" s="381"/>
      <c r="TUG115" s="381"/>
      <c r="TUH115" s="381"/>
      <c r="TUI115" s="381"/>
      <c r="TUJ115" s="381"/>
      <c r="TUK115" s="381"/>
      <c r="TUL115" s="381"/>
      <c r="TUM115" s="381"/>
      <c r="TUN115" s="381"/>
      <c r="TUO115" s="381"/>
      <c r="TUP115" s="381"/>
      <c r="TUQ115" s="381"/>
      <c r="TUR115" s="381"/>
      <c r="TUS115" s="381"/>
      <c r="TUT115" s="381"/>
      <c r="TUU115" s="381"/>
      <c r="TUV115" s="381"/>
      <c r="TUW115" s="381"/>
      <c r="TUX115" s="381"/>
      <c r="TUY115" s="381"/>
      <c r="TUZ115" s="381"/>
      <c r="TVA115" s="381"/>
      <c r="TVB115" s="381"/>
      <c r="TVC115" s="381"/>
      <c r="TVD115" s="381"/>
      <c r="TVE115" s="381"/>
      <c r="TVF115" s="381"/>
      <c r="TVG115" s="381"/>
      <c r="TVH115" s="381"/>
      <c r="TVI115" s="381"/>
      <c r="TVJ115" s="381"/>
      <c r="TVK115" s="381"/>
      <c r="TVL115" s="381"/>
      <c r="TVM115" s="381"/>
      <c r="TVN115" s="381"/>
      <c r="TVO115" s="381"/>
      <c r="TVP115" s="381"/>
      <c r="TVQ115" s="381"/>
      <c r="TVR115" s="381"/>
      <c r="TVS115" s="381"/>
      <c r="TVT115" s="381"/>
      <c r="TVU115" s="381"/>
      <c r="TVV115" s="381"/>
      <c r="TVW115" s="381"/>
      <c r="TVX115" s="381"/>
      <c r="TVY115" s="381"/>
      <c r="TVZ115" s="381"/>
      <c r="TWA115" s="381"/>
      <c r="TWB115" s="381"/>
      <c r="TWC115" s="381"/>
      <c r="TWD115" s="381"/>
      <c r="TWE115" s="381"/>
      <c r="TWF115" s="381"/>
      <c r="TWG115" s="381"/>
      <c r="TWH115" s="381"/>
      <c r="TWI115" s="381"/>
      <c r="TWJ115" s="381"/>
      <c r="TWK115" s="381"/>
      <c r="TWL115" s="381"/>
      <c r="TWM115" s="381"/>
      <c r="TWN115" s="381"/>
      <c r="TWO115" s="381"/>
      <c r="TWP115" s="381"/>
      <c r="TWQ115" s="381"/>
      <c r="TWR115" s="381"/>
      <c r="TWS115" s="381"/>
      <c r="TWT115" s="381"/>
      <c r="TWU115" s="381"/>
      <c r="TWV115" s="381"/>
      <c r="TWW115" s="381"/>
      <c r="TWX115" s="381"/>
      <c r="TWY115" s="381"/>
      <c r="TWZ115" s="381"/>
      <c r="TXA115" s="381"/>
      <c r="TXB115" s="381"/>
      <c r="TXC115" s="381"/>
      <c r="TXD115" s="381"/>
      <c r="TXE115" s="381"/>
      <c r="TXF115" s="381"/>
      <c r="TXG115" s="381"/>
      <c r="TXH115" s="381"/>
      <c r="TXI115" s="381"/>
      <c r="TXJ115" s="381"/>
      <c r="TXK115" s="381"/>
      <c r="TXL115" s="381"/>
      <c r="TXM115" s="381"/>
      <c r="TXN115" s="381"/>
      <c r="TXO115" s="381"/>
      <c r="TXP115" s="381"/>
      <c r="TXQ115" s="381"/>
      <c r="TXR115" s="381"/>
      <c r="TXS115" s="381"/>
      <c r="TXT115" s="381"/>
      <c r="TXU115" s="381"/>
      <c r="TXV115" s="381"/>
      <c r="TXW115" s="381"/>
      <c r="TXX115" s="381"/>
      <c r="TXY115" s="381"/>
      <c r="TXZ115" s="381"/>
      <c r="TYA115" s="381"/>
      <c r="TYB115" s="381"/>
      <c r="TYC115" s="381"/>
      <c r="TYD115" s="381"/>
      <c r="TYE115" s="381"/>
      <c r="TYF115" s="381"/>
      <c r="TYG115" s="381"/>
      <c r="TYH115" s="381"/>
      <c r="TYI115" s="381"/>
      <c r="TYJ115" s="381"/>
      <c r="TYK115" s="381"/>
      <c r="TYL115" s="381"/>
      <c r="TYM115" s="381"/>
      <c r="TYN115" s="381"/>
      <c r="TYO115" s="381"/>
      <c r="TYP115" s="381"/>
      <c r="TYQ115" s="381"/>
      <c r="TYR115" s="381"/>
      <c r="TYS115" s="381"/>
      <c r="TYT115" s="381"/>
      <c r="TYU115" s="381"/>
      <c r="TYV115" s="381"/>
      <c r="TYW115" s="381"/>
      <c r="TYX115" s="381"/>
      <c r="TYY115" s="381"/>
      <c r="TYZ115" s="381"/>
      <c r="TZA115" s="381"/>
      <c r="TZB115" s="381"/>
      <c r="TZC115" s="381"/>
      <c r="TZD115" s="381"/>
      <c r="TZE115" s="381"/>
      <c r="TZF115" s="381"/>
      <c r="TZG115" s="381"/>
      <c r="TZH115" s="381"/>
      <c r="TZI115" s="381"/>
      <c r="TZJ115" s="381"/>
      <c r="TZK115" s="381"/>
      <c r="TZL115" s="381"/>
      <c r="TZM115" s="381"/>
      <c r="TZN115" s="381"/>
      <c r="TZO115" s="381"/>
      <c r="TZP115" s="381"/>
      <c r="TZQ115" s="381"/>
      <c r="TZR115" s="381"/>
      <c r="TZS115" s="381"/>
      <c r="TZT115" s="381"/>
      <c r="TZU115" s="381"/>
      <c r="TZV115" s="381"/>
      <c r="TZW115" s="381"/>
      <c r="TZX115" s="381"/>
      <c r="TZY115" s="381"/>
      <c r="TZZ115" s="381"/>
      <c r="UAA115" s="381"/>
      <c r="UAB115" s="381"/>
      <c r="UAC115" s="381"/>
      <c r="UAD115" s="381"/>
      <c r="UAE115" s="381"/>
      <c r="UAF115" s="381"/>
      <c r="UAG115" s="381"/>
      <c r="UAH115" s="381"/>
      <c r="UAI115" s="381"/>
      <c r="UAJ115" s="381"/>
      <c r="UAK115" s="381"/>
      <c r="UAL115" s="381"/>
      <c r="UAM115" s="381"/>
      <c r="UAN115" s="381"/>
      <c r="UAO115" s="381"/>
      <c r="UAP115" s="381"/>
      <c r="UAQ115" s="381"/>
      <c r="UAR115" s="381"/>
      <c r="UAS115" s="381"/>
      <c r="UAT115" s="381"/>
      <c r="UAU115" s="381"/>
      <c r="UAV115" s="381"/>
      <c r="UAW115" s="381"/>
      <c r="UAX115" s="381"/>
      <c r="UAY115" s="381"/>
      <c r="UAZ115" s="381"/>
      <c r="UBA115" s="381"/>
      <c r="UBB115" s="381"/>
      <c r="UBC115" s="381"/>
      <c r="UBD115" s="381"/>
      <c r="UBE115" s="381"/>
      <c r="UBF115" s="381"/>
      <c r="UBG115" s="381"/>
      <c r="UBH115" s="381"/>
      <c r="UBI115" s="381"/>
      <c r="UBJ115" s="381"/>
      <c r="UBK115" s="381"/>
      <c r="UBL115" s="381"/>
      <c r="UBM115" s="381"/>
      <c r="UBN115" s="381"/>
      <c r="UBO115" s="381"/>
      <c r="UBP115" s="381"/>
      <c r="UBQ115" s="381"/>
      <c r="UBR115" s="381"/>
      <c r="UBS115" s="381"/>
      <c r="UBT115" s="381"/>
      <c r="UBU115" s="381"/>
      <c r="UBV115" s="381"/>
      <c r="UBW115" s="381"/>
      <c r="UBX115" s="381"/>
      <c r="UBY115" s="381"/>
      <c r="UBZ115" s="381"/>
      <c r="UCA115" s="381"/>
      <c r="UCB115" s="381"/>
      <c r="UCC115" s="381"/>
      <c r="UCD115" s="381"/>
      <c r="UCE115" s="381"/>
      <c r="UCF115" s="381"/>
      <c r="UCG115" s="381"/>
      <c r="UCH115" s="381"/>
      <c r="UCI115" s="381"/>
      <c r="UCJ115" s="381"/>
      <c r="UCK115" s="381"/>
      <c r="UCL115" s="381"/>
      <c r="UCM115" s="381"/>
      <c r="UCN115" s="381"/>
      <c r="UCO115" s="381"/>
      <c r="UCP115" s="381"/>
      <c r="UCQ115" s="381"/>
      <c r="UCR115" s="381"/>
      <c r="UCS115" s="381"/>
      <c r="UCT115" s="381"/>
      <c r="UCU115" s="381"/>
      <c r="UCV115" s="381"/>
      <c r="UCW115" s="381"/>
      <c r="UCX115" s="381"/>
      <c r="UCY115" s="381"/>
      <c r="UCZ115" s="381"/>
      <c r="UDA115" s="381"/>
      <c r="UDB115" s="381"/>
      <c r="UDC115" s="381"/>
      <c r="UDD115" s="381"/>
      <c r="UDE115" s="381"/>
      <c r="UDF115" s="381"/>
      <c r="UDG115" s="381"/>
      <c r="UDH115" s="381"/>
      <c r="UDI115" s="381"/>
      <c r="UDJ115" s="381"/>
      <c r="UDK115" s="381"/>
      <c r="UDL115" s="381"/>
      <c r="UDM115" s="381"/>
      <c r="UDN115" s="381"/>
      <c r="UDO115" s="381"/>
      <c r="UDP115" s="381"/>
      <c r="UDQ115" s="381"/>
      <c r="UDR115" s="381"/>
      <c r="UDS115" s="381"/>
      <c r="UDT115" s="381"/>
      <c r="UDU115" s="381"/>
      <c r="UDV115" s="381"/>
      <c r="UDW115" s="381"/>
      <c r="UDX115" s="381"/>
      <c r="UDY115" s="381"/>
      <c r="UDZ115" s="381"/>
      <c r="UEA115" s="381"/>
      <c r="UEB115" s="381"/>
      <c r="UEC115" s="381"/>
      <c r="UED115" s="381"/>
      <c r="UEE115" s="381"/>
      <c r="UEF115" s="381"/>
      <c r="UEG115" s="381"/>
      <c r="UEH115" s="381"/>
      <c r="UEI115" s="381"/>
      <c r="UEJ115" s="381"/>
      <c r="UEK115" s="381"/>
      <c r="UEL115" s="381"/>
      <c r="UEM115" s="381"/>
      <c r="UEN115" s="381"/>
      <c r="UEO115" s="381"/>
      <c r="UEP115" s="381"/>
      <c r="UEQ115" s="381"/>
      <c r="UER115" s="381"/>
      <c r="UES115" s="381"/>
      <c r="UET115" s="381"/>
      <c r="UEU115" s="381"/>
      <c r="UEV115" s="381"/>
      <c r="UEW115" s="381"/>
      <c r="UEX115" s="381"/>
      <c r="UEY115" s="381"/>
      <c r="UEZ115" s="381"/>
      <c r="UFA115" s="381"/>
      <c r="UFB115" s="381"/>
      <c r="UFC115" s="381"/>
      <c r="UFD115" s="381"/>
      <c r="UFE115" s="381"/>
      <c r="UFF115" s="381"/>
      <c r="UFG115" s="381"/>
      <c r="UFH115" s="381"/>
      <c r="UFI115" s="381"/>
      <c r="UFJ115" s="381"/>
      <c r="UFK115" s="381"/>
      <c r="UFL115" s="381"/>
      <c r="UFM115" s="381"/>
      <c r="UFN115" s="381"/>
      <c r="UFO115" s="381"/>
      <c r="UFP115" s="381"/>
      <c r="UFQ115" s="381"/>
      <c r="UFR115" s="381"/>
      <c r="UFS115" s="381"/>
      <c r="UFT115" s="381"/>
      <c r="UFU115" s="381"/>
      <c r="UFV115" s="381"/>
      <c r="UFW115" s="381"/>
      <c r="UFX115" s="381"/>
      <c r="UFY115" s="381"/>
      <c r="UFZ115" s="381"/>
      <c r="UGA115" s="381"/>
      <c r="UGB115" s="381"/>
      <c r="UGC115" s="381"/>
      <c r="UGD115" s="381"/>
      <c r="UGE115" s="381"/>
      <c r="UGF115" s="381"/>
      <c r="UGG115" s="381"/>
      <c r="UGH115" s="381"/>
      <c r="UGI115" s="381"/>
      <c r="UGJ115" s="381"/>
      <c r="UGK115" s="381"/>
      <c r="UGL115" s="381"/>
      <c r="UGM115" s="381"/>
      <c r="UGN115" s="381"/>
      <c r="UGO115" s="381"/>
      <c r="UGP115" s="381"/>
      <c r="UGQ115" s="381"/>
      <c r="UGR115" s="381"/>
      <c r="UGS115" s="381"/>
      <c r="UGT115" s="381"/>
      <c r="UGU115" s="381"/>
      <c r="UGV115" s="381"/>
      <c r="UGW115" s="381"/>
      <c r="UGX115" s="381"/>
      <c r="UGY115" s="381"/>
      <c r="UGZ115" s="381"/>
      <c r="UHA115" s="381"/>
      <c r="UHB115" s="381"/>
      <c r="UHC115" s="381"/>
      <c r="UHD115" s="381"/>
      <c r="UHE115" s="381"/>
      <c r="UHF115" s="381"/>
      <c r="UHG115" s="381"/>
      <c r="UHH115" s="381"/>
      <c r="UHI115" s="381"/>
      <c r="UHJ115" s="381"/>
      <c r="UHK115" s="381"/>
      <c r="UHL115" s="381"/>
      <c r="UHM115" s="381"/>
      <c r="UHN115" s="381"/>
      <c r="UHO115" s="381"/>
      <c r="UHP115" s="381"/>
      <c r="UHQ115" s="381"/>
      <c r="UHR115" s="381"/>
      <c r="UHS115" s="381"/>
      <c r="UHT115" s="381"/>
      <c r="UHU115" s="381"/>
      <c r="UHV115" s="381"/>
      <c r="UHW115" s="381"/>
      <c r="UHX115" s="381"/>
      <c r="UHY115" s="381"/>
      <c r="UHZ115" s="381"/>
      <c r="UIA115" s="381"/>
      <c r="UIB115" s="381"/>
      <c r="UIC115" s="381"/>
      <c r="UID115" s="381"/>
      <c r="UIE115" s="381"/>
      <c r="UIF115" s="381"/>
      <c r="UIG115" s="381"/>
      <c r="UIH115" s="381"/>
      <c r="UII115" s="381"/>
      <c r="UIJ115" s="381"/>
      <c r="UIK115" s="381"/>
      <c r="UIL115" s="381"/>
      <c r="UIM115" s="381"/>
      <c r="UIN115" s="381"/>
      <c r="UIO115" s="381"/>
      <c r="UIP115" s="381"/>
      <c r="UIQ115" s="381"/>
      <c r="UIR115" s="381"/>
      <c r="UIS115" s="381"/>
      <c r="UIT115" s="381"/>
      <c r="UIU115" s="381"/>
      <c r="UIV115" s="381"/>
      <c r="UIW115" s="381"/>
      <c r="UIX115" s="381"/>
      <c r="UIY115" s="381"/>
      <c r="UIZ115" s="381"/>
      <c r="UJA115" s="381"/>
      <c r="UJB115" s="381"/>
      <c r="UJC115" s="381"/>
      <c r="UJD115" s="381"/>
      <c r="UJE115" s="381"/>
      <c r="UJF115" s="381"/>
      <c r="UJG115" s="381"/>
      <c r="UJH115" s="381"/>
      <c r="UJI115" s="381"/>
      <c r="UJJ115" s="381"/>
      <c r="UJK115" s="381"/>
      <c r="UJL115" s="381"/>
      <c r="UJM115" s="381"/>
      <c r="UJN115" s="381"/>
      <c r="UJO115" s="381"/>
      <c r="UJP115" s="381"/>
      <c r="UJQ115" s="381"/>
      <c r="UJR115" s="381"/>
      <c r="UJS115" s="381"/>
      <c r="UJT115" s="381"/>
      <c r="UJU115" s="381"/>
      <c r="UJV115" s="381"/>
      <c r="UJW115" s="381"/>
      <c r="UJX115" s="381"/>
      <c r="UJY115" s="381"/>
      <c r="UJZ115" s="381"/>
      <c r="UKA115" s="381"/>
      <c r="UKB115" s="381"/>
      <c r="UKC115" s="381"/>
      <c r="UKD115" s="381"/>
      <c r="UKE115" s="381"/>
      <c r="UKF115" s="381"/>
      <c r="UKG115" s="381"/>
      <c r="UKH115" s="381"/>
      <c r="UKI115" s="381"/>
      <c r="UKJ115" s="381"/>
      <c r="UKK115" s="381"/>
      <c r="UKL115" s="381"/>
      <c r="UKM115" s="381"/>
      <c r="UKN115" s="381"/>
      <c r="UKO115" s="381"/>
      <c r="UKP115" s="381"/>
      <c r="UKQ115" s="381"/>
      <c r="UKR115" s="381"/>
      <c r="UKS115" s="381"/>
      <c r="UKT115" s="381"/>
      <c r="UKU115" s="381"/>
      <c r="UKV115" s="381"/>
      <c r="UKW115" s="381"/>
      <c r="UKX115" s="381"/>
      <c r="UKY115" s="381"/>
      <c r="UKZ115" s="381"/>
      <c r="ULA115" s="381"/>
      <c r="ULB115" s="381"/>
      <c r="ULC115" s="381"/>
      <c r="ULD115" s="381"/>
      <c r="ULE115" s="381"/>
      <c r="ULF115" s="381"/>
      <c r="ULG115" s="381"/>
      <c r="ULH115" s="381"/>
      <c r="ULI115" s="381"/>
      <c r="ULJ115" s="381"/>
      <c r="ULK115" s="381"/>
      <c r="ULL115" s="381"/>
      <c r="ULM115" s="381"/>
      <c r="ULN115" s="381"/>
      <c r="ULO115" s="381"/>
      <c r="ULP115" s="381"/>
      <c r="ULQ115" s="381"/>
      <c r="ULR115" s="381"/>
      <c r="ULS115" s="381"/>
      <c r="ULT115" s="381"/>
      <c r="ULU115" s="381"/>
      <c r="ULV115" s="381"/>
      <c r="ULW115" s="381"/>
      <c r="ULX115" s="381"/>
      <c r="ULY115" s="381"/>
      <c r="ULZ115" s="381"/>
      <c r="UMA115" s="381"/>
      <c r="UMB115" s="381"/>
      <c r="UMC115" s="381"/>
      <c r="UMD115" s="381"/>
      <c r="UME115" s="381"/>
      <c r="UMF115" s="381"/>
      <c r="UMG115" s="381"/>
      <c r="UMH115" s="381"/>
      <c r="UMI115" s="381"/>
      <c r="UMJ115" s="381"/>
      <c r="UMK115" s="381"/>
      <c r="UML115" s="381"/>
      <c r="UMM115" s="381"/>
      <c r="UMN115" s="381"/>
      <c r="UMO115" s="381"/>
      <c r="UMP115" s="381"/>
      <c r="UMQ115" s="381"/>
      <c r="UMR115" s="381"/>
      <c r="UMS115" s="381"/>
      <c r="UMT115" s="381"/>
      <c r="UMU115" s="381"/>
      <c r="UMV115" s="381"/>
      <c r="UMW115" s="381"/>
      <c r="UMX115" s="381"/>
      <c r="UMY115" s="381"/>
      <c r="UMZ115" s="381"/>
      <c r="UNA115" s="381"/>
      <c r="UNB115" s="381"/>
      <c r="UNC115" s="381"/>
      <c r="UND115" s="381"/>
      <c r="UNE115" s="381"/>
      <c r="UNF115" s="381"/>
      <c r="UNG115" s="381"/>
      <c r="UNH115" s="381"/>
      <c r="UNI115" s="381"/>
      <c r="UNJ115" s="381"/>
      <c r="UNK115" s="381"/>
      <c r="UNL115" s="381"/>
      <c r="UNM115" s="381"/>
      <c r="UNN115" s="381"/>
      <c r="UNO115" s="381"/>
      <c r="UNP115" s="381"/>
      <c r="UNQ115" s="381"/>
      <c r="UNR115" s="381"/>
      <c r="UNS115" s="381"/>
      <c r="UNT115" s="381"/>
      <c r="UNU115" s="381"/>
      <c r="UNV115" s="381"/>
      <c r="UNW115" s="381"/>
      <c r="UNX115" s="381"/>
      <c r="UNY115" s="381"/>
      <c r="UNZ115" s="381"/>
      <c r="UOA115" s="381"/>
      <c r="UOB115" s="381"/>
      <c r="UOC115" s="381"/>
      <c r="UOD115" s="381"/>
      <c r="UOE115" s="381"/>
      <c r="UOF115" s="381"/>
      <c r="UOG115" s="381"/>
      <c r="UOH115" s="381"/>
      <c r="UOI115" s="381"/>
      <c r="UOJ115" s="381"/>
      <c r="UOK115" s="381"/>
      <c r="UOL115" s="381"/>
      <c r="UOM115" s="381"/>
      <c r="UON115" s="381"/>
      <c r="UOO115" s="381"/>
      <c r="UOP115" s="381"/>
      <c r="UOQ115" s="381"/>
      <c r="UOR115" s="381"/>
      <c r="UOS115" s="381"/>
      <c r="UOT115" s="381"/>
      <c r="UOU115" s="381"/>
      <c r="UOV115" s="381"/>
      <c r="UOW115" s="381"/>
      <c r="UOX115" s="381"/>
      <c r="UOY115" s="381"/>
      <c r="UOZ115" s="381"/>
      <c r="UPA115" s="381"/>
      <c r="UPB115" s="381"/>
      <c r="UPC115" s="381"/>
      <c r="UPD115" s="381"/>
      <c r="UPE115" s="381"/>
      <c r="UPF115" s="381"/>
      <c r="UPG115" s="381"/>
      <c r="UPH115" s="381"/>
      <c r="UPI115" s="381"/>
      <c r="UPJ115" s="381"/>
      <c r="UPK115" s="381"/>
      <c r="UPL115" s="381"/>
      <c r="UPM115" s="381"/>
      <c r="UPN115" s="381"/>
      <c r="UPO115" s="381"/>
      <c r="UPP115" s="381"/>
      <c r="UPQ115" s="381"/>
      <c r="UPR115" s="381"/>
      <c r="UPS115" s="381"/>
      <c r="UPT115" s="381"/>
      <c r="UPU115" s="381"/>
      <c r="UPV115" s="381"/>
      <c r="UPW115" s="381"/>
      <c r="UPX115" s="381"/>
      <c r="UPY115" s="381"/>
      <c r="UPZ115" s="381"/>
      <c r="UQA115" s="381"/>
      <c r="UQB115" s="381"/>
      <c r="UQC115" s="381"/>
      <c r="UQD115" s="381"/>
      <c r="UQE115" s="381"/>
      <c r="UQF115" s="381"/>
      <c r="UQG115" s="381"/>
      <c r="UQH115" s="381"/>
      <c r="UQI115" s="381"/>
      <c r="UQJ115" s="381"/>
      <c r="UQK115" s="381"/>
      <c r="UQL115" s="381"/>
      <c r="UQM115" s="381"/>
      <c r="UQN115" s="381"/>
      <c r="UQO115" s="381"/>
      <c r="UQP115" s="381"/>
      <c r="UQQ115" s="381"/>
      <c r="UQR115" s="381"/>
      <c r="UQS115" s="381"/>
      <c r="UQT115" s="381"/>
      <c r="UQU115" s="381"/>
      <c r="UQV115" s="381"/>
      <c r="UQW115" s="381"/>
      <c r="UQX115" s="381"/>
      <c r="UQY115" s="381"/>
      <c r="UQZ115" s="381"/>
      <c r="URA115" s="381"/>
      <c r="URB115" s="381"/>
      <c r="URC115" s="381"/>
      <c r="URD115" s="381"/>
      <c r="URE115" s="381"/>
      <c r="URF115" s="381"/>
      <c r="URG115" s="381"/>
      <c r="URH115" s="381"/>
      <c r="URI115" s="381"/>
      <c r="URJ115" s="381"/>
      <c r="URK115" s="381"/>
      <c r="URL115" s="381"/>
      <c r="URM115" s="381"/>
      <c r="URN115" s="381"/>
      <c r="URO115" s="381"/>
      <c r="URP115" s="381"/>
      <c r="URQ115" s="381"/>
      <c r="URR115" s="381"/>
      <c r="URS115" s="381"/>
      <c r="URT115" s="381"/>
      <c r="URU115" s="381"/>
      <c r="URV115" s="381"/>
      <c r="URW115" s="381"/>
      <c r="URX115" s="381"/>
      <c r="URY115" s="381"/>
      <c r="URZ115" s="381"/>
      <c r="USA115" s="381"/>
      <c r="USB115" s="381"/>
      <c r="USC115" s="381"/>
      <c r="USD115" s="381"/>
      <c r="USE115" s="381"/>
      <c r="USF115" s="381"/>
      <c r="USG115" s="381"/>
      <c r="USH115" s="381"/>
      <c r="USI115" s="381"/>
      <c r="USJ115" s="381"/>
      <c r="USK115" s="381"/>
      <c r="USL115" s="381"/>
      <c r="USM115" s="381"/>
      <c r="USN115" s="381"/>
      <c r="USO115" s="381"/>
      <c r="USP115" s="381"/>
      <c r="USQ115" s="381"/>
      <c r="USR115" s="381"/>
      <c r="USS115" s="381"/>
      <c r="UST115" s="381"/>
      <c r="USU115" s="381"/>
      <c r="USV115" s="381"/>
      <c r="USW115" s="381"/>
      <c r="USX115" s="381"/>
      <c r="USY115" s="381"/>
      <c r="USZ115" s="381"/>
      <c r="UTA115" s="381"/>
      <c r="UTB115" s="381"/>
      <c r="UTC115" s="381"/>
      <c r="UTD115" s="381"/>
      <c r="UTE115" s="381"/>
      <c r="UTF115" s="381"/>
      <c r="UTG115" s="381"/>
      <c r="UTH115" s="381"/>
      <c r="UTI115" s="381"/>
      <c r="UTJ115" s="381"/>
      <c r="UTK115" s="381"/>
      <c r="UTL115" s="381"/>
      <c r="UTM115" s="381"/>
      <c r="UTN115" s="381"/>
      <c r="UTO115" s="381"/>
      <c r="UTP115" s="381"/>
      <c r="UTQ115" s="381"/>
      <c r="UTR115" s="381"/>
      <c r="UTS115" s="381"/>
      <c r="UTT115" s="381"/>
      <c r="UTU115" s="381"/>
      <c r="UTV115" s="381"/>
      <c r="UTW115" s="381"/>
      <c r="UTX115" s="381"/>
      <c r="UTY115" s="381"/>
      <c r="UTZ115" s="381"/>
      <c r="UUA115" s="381"/>
      <c r="UUB115" s="381"/>
      <c r="UUC115" s="381"/>
      <c r="UUD115" s="381"/>
      <c r="UUE115" s="381"/>
      <c r="UUF115" s="381"/>
      <c r="UUG115" s="381"/>
      <c r="UUH115" s="381"/>
      <c r="UUI115" s="381"/>
      <c r="UUJ115" s="381"/>
      <c r="UUK115" s="381"/>
      <c r="UUL115" s="381"/>
      <c r="UUM115" s="381"/>
      <c r="UUN115" s="381"/>
      <c r="UUO115" s="381"/>
      <c r="UUP115" s="381"/>
      <c r="UUQ115" s="381"/>
      <c r="UUR115" s="381"/>
      <c r="UUS115" s="381"/>
      <c r="UUT115" s="381"/>
      <c r="UUU115" s="381"/>
      <c r="UUV115" s="381"/>
      <c r="UUW115" s="381"/>
      <c r="UUX115" s="381"/>
      <c r="UUY115" s="381"/>
      <c r="UUZ115" s="381"/>
      <c r="UVA115" s="381"/>
      <c r="UVB115" s="381"/>
      <c r="UVC115" s="381"/>
      <c r="UVD115" s="381"/>
      <c r="UVE115" s="381"/>
      <c r="UVF115" s="381"/>
      <c r="UVG115" s="381"/>
      <c r="UVH115" s="381"/>
      <c r="UVI115" s="381"/>
      <c r="UVJ115" s="381"/>
      <c r="UVK115" s="381"/>
      <c r="UVL115" s="381"/>
      <c r="UVM115" s="381"/>
      <c r="UVN115" s="381"/>
      <c r="UVO115" s="381"/>
      <c r="UVP115" s="381"/>
      <c r="UVQ115" s="381"/>
      <c r="UVR115" s="381"/>
      <c r="UVS115" s="381"/>
      <c r="UVT115" s="381"/>
      <c r="UVU115" s="381"/>
      <c r="UVV115" s="381"/>
      <c r="UVW115" s="381"/>
      <c r="UVX115" s="381"/>
      <c r="UVY115" s="381"/>
      <c r="UVZ115" s="381"/>
      <c r="UWA115" s="381"/>
      <c r="UWB115" s="381"/>
      <c r="UWC115" s="381"/>
      <c r="UWD115" s="381"/>
      <c r="UWE115" s="381"/>
      <c r="UWF115" s="381"/>
      <c r="UWG115" s="381"/>
      <c r="UWH115" s="381"/>
      <c r="UWI115" s="381"/>
      <c r="UWJ115" s="381"/>
      <c r="UWK115" s="381"/>
      <c r="UWL115" s="381"/>
      <c r="UWM115" s="381"/>
      <c r="UWN115" s="381"/>
      <c r="UWO115" s="381"/>
      <c r="UWP115" s="381"/>
      <c r="UWQ115" s="381"/>
      <c r="UWR115" s="381"/>
      <c r="UWS115" s="381"/>
      <c r="UWT115" s="381"/>
      <c r="UWU115" s="381"/>
      <c r="UWV115" s="381"/>
      <c r="UWW115" s="381"/>
      <c r="UWX115" s="381"/>
      <c r="UWY115" s="381"/>
      <c r="UWZ115" s="381"/>
      <c r="UXA115" s="381"/>
      <c r="UXB115" s="381"/>
      <c r="UXC115" s="381"/>
      <c r="UXD115" s="381"/>
      <c r="UXE115" s="381"/>
      <c r="UXF115" s="381"/>
      <c r="UXG115" s="381"/>
      <c r="UXH115" s="381"/>
      <c r="UXI115" s="381"/>
      <c r="UXJ115" s="381"/>
      <c r="UXK115" s="381"/>
      <c r="UXL115" s="381"/>
      <c r="UXM115" s="381"/>
      <c r="UXN115" s="381"/>
      <c r="UXO115" s="381"/>
      <c r="UXP115" s="381"/>
      <c r="UXQ115" s="381"/>
      <c r="UXR115" s="381"/>
      <c r="UXS115" s="381"/>
      <c r="UXT115" s="381"/>
      <c r="UXU115" s="381"/>
      <c r="UXV115" s="381"/>
      <c r="UXW115" s="381"/>
      <c r="UXX115" s="381"/>
      <c r="UXY115" s="381"/>
      <c r="UXZ115" s="381"/>
      <c r="UYA115" s="381"/>
      <c r="UYB115" s="381"/>
      <c r="UYC115" s="381"/>
      <c r="UYD115" s="381"/>
      <c r="UYE115" s="381"/>
      <c r="UYF115" s="381"/>
      <c r="UYG115" s="381"/>
      <c r="UYH115" s="381"/>
      <c r="UYI115" s="381"/>
      <c r="UYJ115" s="381"/>
      <c r="UYK115" s="381"/>
      <c r="UYL115" s="381"/>
      <c r="UYM115" s="381"/>
      <c r="UYN115" s="381"/>
      <c r="UYO115" s="381"/>
      <c r="UYP115" s="381"/>
      <c r="UYQ115" s="381"/>
      <c r="UYR115" s="381"/>
      <c r="UYS115" s="381"/>
      <c r="UYT115" s="381"/>
      <c r="UYU115" s="381"/>
      <c r="UYV115" s="381"/>
      <c r="UYW115" s="381"/>
      <c r="UYX115" s="381"/>
      <c r="UYY115" s="381"/>
      <c r="UYZ115" s="381"/>
      <c r="UZA115" s="381"/>
      <c r="UZB115" s="381"/>
      <c r="UZC115" s="381"/>
      <c r="UZD115" s="381"/>
      <c r="UZE115" s="381"/>
      <c r="UZF115" s="381"/>
      <c r="UZG115" s="381"/>
      <c r="UZH115" s="381"/>
      <c r="UZI115" s="381"/>
      <c r="UZJ115" s="381"/>
      <c r="UZK115" s="381"/>
      <c r="UZL115" s="381"/>
      <c r="UZM115" s="381"/>
      <c r="UZN115" s="381"/>
      <c r="UZO115" s="381"/>
      <c r="UZP115" s="381"/>
      <c r="UZQ115" s="381"/>
      <c r="UZR115" s="381"/>
      <c r="UZS115" s="381"/>
      <c r="UZT115" s="381"/>
      <c r="UZU115" s="381"/>
      <c r="UZV115" s="381"/>
      <c r="UZW115" s="381"/>
      <c r="UZX115" s="381"/>
      <c r="UZY115" s="381"/>
      <c r="UZZ115" s="381"/>
      <c r="VAA115" s="381"/>
      <c r="VAB115" s="381"/>
      <c r="VAC115" s="381"/>
      <c r="VAD115" s="381"/>
      <c r="VAE115" s="381"/>
      <c r="VAF115" s="381"/>
      <c r="VAG115" s="381"/>
      <c r="VAH115" s="381"/>
      <c r="VAI115" s="381"/>
      <c r="VAJ115" s="381"/>
      <c r="VAK115" s="381"/>
      <c r="VAL115" s="381"/>
      <c r="VAM115" s="381"/>
      <c r="VAN115" s="381"/>
      <c r="VAO115" s="381"/>
      <c r="VAP115" s="381"/>
      <c r="VAQ115" s="381"/>
      <c r="VAR115" s="381"/>
      <c r="VAS115" s="381"/>
      <c r="VAT115" s="381"/>
      <c r="VAU115" s="381"/>
      <c r="VAV115" s="381"/>
      <c r="VAW115" s="381"/>
      <c r="VAX115" s="381"/>
      <c r="VAY115" s="381"/>
      <c r="VAZ115" s="381"/>
      <c r="VBA115" s="381"/>
      <c r="VBB115" s="381"/>
      <c r="VBC115" s="381"/>
      <c r="VBD115" s="381"/>
      <c r="VBE115" s="381"/>
      <c r="VBF115" s="381"/>
      <c r="VBG115" s="381"/>
      <c r="VBH115" s="381"/>
      <c r="VBI115" s="381"/>
      <c r="VBJ115" s="381"/>
      <c r="VBK115" s="381"/>
      <c r="VBL115" s="381"/>
      <c r="VBM115" s="381"/>
      <c r="VBN115" s="381"/>
      <c r="VBO115" s="381"/>
      <c r="VBP115" s="381"/>
      <c r="VBQ115" s="381"/>
      <c r="VBR115" s="381"/>
      <c r="VBS115" s="381"/>
      <c r="VBT115" s="381"/>
      <c r="VBU115" s="381"/>
      <c r="VBV115" s="381"/>
      <c r="VBW115" s="381"/>
      <c r="VBX115" s="381"/>
      <c r="VBY115" s="381"/>
      <c r="VBZ115" s="381"/>
      <c r="VCA115" s="381"/>
      <c r="VCB115" s="381"/>
      <c r="VCC115" s="381"/>
      <c r="VCD115" s="381"/>
      <c r="VCE115" s="381"/>
      <c r="VCF115" s="381"/>
      <c r="VCG115" s="381"/>
      <c r="VCH115" s="381"/>
      <c r="VCI115" s="381"/>
      <c r="VCJ115" s="381"/>
      <c r="VCK115" s="381"/>
      <c r="VCL115" s="381"/>
      <c r="VCM115" s="381"/>
      <c r="VCN115" s="381"/>
      <c r="VCO115" s="381"/>
      <c r="VCP115" s="381"/>
      <c r="VCQ115" s="381"/>
      <c r="VCR115" s="381"/>
      <c r="VCS115" s="381"/>
      <c r="VCT115" s="381"/>
      <c r="VCU115" s="381"/>
      <c r="VCV115" s="381"/>
      <c r="VCW115" s="381"/>
      <c r="VCX115" s="381"/>
      <c r="VCY115" s="381"/>
      <c r="VCZ115" s="381"/>
      <c r="VDA115" s="381"/>
      <c r="VDB115" s="381"/>
      <c r="VDC115" s="381"/>
      <c r="VDD115" s="381"/>
      <c r="VDE115" s="381"/>
      <c r="VDF115" s="381"/>
      <c r="VDG115" s="381"/>
      <c r="VDH115" s="381"/>
      <c r="VDI115" s="381"/>
      <c r="VDJ115" s="381"/>
      <c r="VDK115" s="381"/>
      <c r="VDL115" s="381"/>
      <c r="VDM115" s="381"/>
      <c r="VDN115" s="381"/>
      <c r="VDO115" s="381"/>
      <c r="VDP115" s="381"/>
      <c r="VDQ115" s="381"/>
      <c r="VDR115" s="381"/>
      <c r="VDS115" s="381"/>
      <c r="VDT115" s="381"/>
      <c r="VDU115" s="381"/>
      <c r="VDV115" s="381"/>
      <c r="VDW115" s="381"/>
      <c r="VDX115" s="381"/>
      <c r="VDY115" s="381"/>
      <c r="VDZ115" s="381"/>
      <c r="VEA115" s="381"/>
      <c r="VEB115" s="381"/>
      <c r="VEC115" s="381"/>
      <c r="VED115" s="381"/>
      <c r="VEE115" s="381"/>
      <c r="VEF115" s="381"/>
      <c r="VEG115" s="381"/>
      <c r="VEH115" s="381"/>
      <c r="VEI115" s="381"/>
      <c r="VEJ115" s="381"/>
      <c r="VEK115" s="381"/>
      <c r="VEL115" s="381"/>
      <c r="VEM115" s="381"/>
      <c r="VEN115" s="381"/>
      <c r="VEO115" s="381"/>
      <c r="VEP115" s="381"/>
      <c r="VEQ115" s="381"/>
      <c r="VER115" s="381"/>
      <c r="VES115" s="381"/>
      <c r="VET115" s="381"/>
      <c r="VEU115" s="381"/>
      <c r="VEV115" s="381"/>
      <c r="VEW115" s="381"/>
      <c r="VEX115" s="381"/>
      <c r="VEY115" s="381"/>
      <c r="VEZ115" s="381"/>
      <c r="VFA115" s="381"/>
      <c r="VFB115" s="381"/>
      <c r="VFC115" s="381"/>
      <c r="VFD115" s="381"/>
      <c r="VFE115" s="381"/>
      <c r="VFF115" s="381"/>
      <c r="VFG115" s="381"/>
      <c r="VFH115" s="381"/>
      <c r="VFI115" s="381"/>
      <c r="VFJ115" s="381"/>
      <c r="VFK115" s="381"/>
      <c r="VFL115" s="381"/>
      <c r="VFM115" s="381"/>
      <c r="VFN115" s="381"/>
      <c r="VFO115" s="381"/>
      <c r="VFP115" s="381"/>
      <c r="VFQ115" s="381"/>
      <c r="VFR115" s="381"/>
      <c r="VFS115" s="381"/>
      <c r="VFT115" s="381"/>
      <c r="VFU115" s="381"/>
      <c r="VFV115" s="381"/>
      <c r="VFW115" s="381"/>
      <c r="VFX115" s="381"/>
      <c r="VFY115" s="381"/>
      <c r="VFZ115" s="381"/>
      <c r="VGA115" s="381"/>
      <c r="VGB115" s="381"/>
      <c r="VGC115" s="381"/>
      <c r="VGD115" s="381"/>
      <c r="VGE115" s="381"/>
      <c r="VGF115" s="381"/>
      <c r="VGG115" s="381"/>
      <c r="VGH115" s="381"/>
      <c r="VGI115" s="381"/>
      <c r="VGJ115" s="381"/>
      <c r="VGK115" s="381"/>
      <c r="VGL115" s="381"/>
      <c r="VGM115" s="381"/>
      <c r="VGN115" s="381"/>
      <c r="VGO115" s="381"/>
      <c r="VGP115" s="381"/>
      <c r="VGQ115" s="381"/>
      <c r="VGR115" s="381"/>
      <c r="VGS115" s="381"/>
      <c r="VGT115" s="381"/>
      <c r="VGU115" s="381"/>
      <c r="VGV115" s="381"/>
      <c r="VGW115" s="381"/>
      <c r="VGX115" s="381"/>
      <c r="VGY115" s="381"/>
      <c r="VGZ115" s="381"/>
      <c r="VHA115" s="381"/>
      <c r="VHB115" s="381"/>
      <c r="VHC115" s="381"/>
      <c r="VHD115" s="381"/>
      <c r="VHE115" s="381"/>
      <c r="VHF115" s="381"/>
      <c r="VHG115" s="381"/>
      <c r="VHH115" s="381"/>
      <c r="VHI115" s="381"/>
      <c r="VHJ115" s="381"/>
      <c r="VHK115" s="381"/>
      <c r="VHL115" s="381"/>
      <c r="VHM115" s="381"/>
      <c r="VHN115" s="381"/>
      <c r="VHO115" s="381"/>
      <c r="VHP115" s="381"/>
      <c r="VHQ115" s="381"/>
      <c r="VHR115" s="381"/>
      <c r="VHS115" s="381"/>
      <c r="VHT115" s="381"/>
      <c r="VHU115" s="381"/>
      <c r="VHV115" s="381"/>
      <c r="VHW115" s="381"/>
      <c r="VHX115" s="381"/>
      <c r="VHY115" s="381"/>
      <c r="VHZ115" s="381"/>
      <c r="VIA115" s="381"/>
      <c r="VIB115" s="381"/>
      <c r="VIC115" s="381"/>
      <c r="VID115" s="381"/>
      <c r="VIE115" s="381"/>
      <c r="VIF115" s="381"/>
      <c r="VIG115" s="381"/>
      <c r="VIH115" s="381"/>
      <c r="VII115" s="381"/>
      <c r="VIJ115" s="381"/>
      <c r="VIK115" s="381"/>
      <c r="VIL115" s="381"/>
      <c r="VIM115" s="381"/>
      <c r="VIN115" s="381"/>
      <c r="VIO115" s="381"/>
      <c r="VIP115" s="381"/>
      <c r="VIQ115" s="381"/>
      <c r="VIR115" s="381"/>
      <c r="VIS115" s="381"/>
      <c r="VIT115" s="381"/>
      <c r="VIU115" s="381"/>
      <c r="VIV115" s="381"/>
      <c r="VIW115" s="381"/>
      <c r="VIX115" s="381"/>
      <c r="VIY115" s="381"/>
      <c r="VIZ115" s="381"/>
      <c r="VJA115" s="381"/>
      <c r="VJB115" s="381"/>
      <c r="VJC115" s="381"/>
      <c r="VJD115" s="381"/>
      <c r="VJE115" s="381"/>
      <c r="VJF115" s="381"/>
      <c r="VJG115" s="381"/>
      <c r="VJH115" s="381"/>
      <c r="VJI115" s="381"/>
      <c r="VJJ115" s="381"/>
      <c r="VJK115" s="381"/>
      <c r="VJL115" s="381"/>
      <c r="VJM115" s="381"/>
      <c r="VJN115" s="381"/>
      <c r="VJO115" s="381"/>
      <c r="VJP115" s="381"/>
      <c r="VJQ115" s="381"/>
      <c r="VJR115" s="381"/>
      <c r="VJS115" s="381"/>
      <c r="VJT115" s="381"/>
      <c r="VJU115" s="381"/>
      <c r="VJV115" s="381"/>
      <c r="VJW115" s="381"/>
      <c r="VJX115" s="381"/>
      <c r="VJY115" s="381"/>
      <c r="VJZ115" s="381"/>
      <c r="VKA115" s="381"/>
      <c r="VKB115" s="381"/>
      <c r="VKC115" s="381"/>
      <c r="VKD115" s="381"/>
      <c r="VKE115" s="381"/>
      <c r="VKF115" s="381"/>
      <c r="VKG115" s="381"/>
      <c r="VKH115" s="381"/>
      <c r="VKI115" s="381"/>
      <c r="VKJ115" s="381"/>
      <c r="VKK115" s="381"/>
      <c r="VKL115" s="381"/>
      <c r="VKM115" s="381"/>
      <c r="VKN115" s="381"/>
      <c r="VKO115" s="381"/>
      <c r="VKP115" s="381"/>
      <c r="VKQ115" s="381"/>
      <c r="VKR115" s="381"/>
      <c r="VKS115" s="381"/>
      <c r="VKT115" s="381"/>
      <c r="VKU115" s="381"/>
      <c r="VKV115" s="381"/>
      <c r="VKW115" s="381"/>
      <c r="VKX115" s="381"/>
      <c r="VKY115" s="381"/>
      <c r="VKZ115" s="381"/>
      <c r="VLA115" s="381"/>
      <c r="VLB115" s="381"/>
      <c r="VLC115" s="381"/>
      <c r="VLD115" s="381"/>
      <c r="VLE115" s="381"/>
      <c r="VLF115" s="381"/>
      <c r="VLG115" s="381"/>
      <c r="VLH115" s="381"/>
      <c r="VLI115" s="381"/>
      <c r="VLJ115" s="381"/>
      <c r="VLK115" s="381"/>
      <c r="VLL115" s="381"/>
      <c r="VLM115" s="381"/>
      <c r="VLN115" s="381"/>
      <c r="VLO115" s="381"/>
      <c r="VLP115" s="381"/>
      <c r="VLQ115" s="381"/>
      <c r="VLR115" s="381"/>
      <c r="VLS115" s="381"/>
      <c r="VLT115" s="381"/>
      <c r="VLU115" s="381"/>
      <c r="VLV115" s="381"/>
      <c r="VLW115" s="381"/>
      <c r="VLX115" s="381"/>
      <c r="VLY115" s="381"/>
      <c r="VLZ115" s="381"/>
      <c r="VMA115" s="381"/>
      <c r="VMB115" s="381"/>
      <c r="VMC115" s="381"/>
      <c r="VMD115" s="381"/>
      <c r="VME115" s="381"/>
      <c r="VMF115" s="381"/>
      <c r="VMG115" s="381"/>
      <c r="VMH115" s="381"/>
      <c r="VMI115" s="381"/>
      <c r="VMJ115" s="381"/>
      <c r="VMK115" s="381"/>
      <c r="VML115" s="381"/>
      <c r="VMM115" s="381"/>
      <c r="VMN115" s="381"/>
      <c r="VMO115" s="381"/>
      <c r="VMP115" s="381"/>
      <c r="VMQ115" s="381"/>
      <c r="VMR115" s="381"/>
      <c r="VMS115" s="381"/>
      <c r="VMT115" s="381"/>
      <c r="VMU115" s="381"/>
      <c r="VMV115" s="381"/>
      <c r="VMW115" s="381"/>
      <c r="VMX115" s="381"/>
      <c r="VMY115" s="381"/>
      <c r="VMZ115" s="381"/>
      <c r="VNA115" s="381"/>
      <c r="VNB115" s="381"/>
      <c r="VNC115" s="381"/>
      <c r="VND115" s="381"/>
      <c r="VNE115" s="381"/>
      <c r="VNF115" s="381"/>
      <c r="VNG115" s="381"/>
      <c r="VNH115" s="381"/>
      <c r="VNI115" s="381"/>
      <c r="VNJ115" s="381"/>
      <c r="VNK115" s="381"/>
      <c r="VNL115" s="381"/>
      <c r="VNM115" s="381"/>
      <c r="VNN115" s="381"/>
      <c r="VNO115" s="381"/>
      <c r="VNP115" s="381"/>
      <c r="VNQ115" s="381"/>
      <c r="VNR115" s="381"/>
      <c r="VNS115" s="381"/>
      <c r="VNT115" s="381"/>
      <c r="VNU115" s="381"/>
      <c r="VNV115" s="381"/>
      <c r="VNW115" s="381"/>
      <c r="VNX115" s="381"/>
      <c r="VNY115" s="381"/>
      <c r="VNZ115" s="381"/>
      <c r="VOA115" s="381"/>
      <c r="VOB115" s="381"/>
      <c r="VOC115" s="381"/>
      <c r="VOD115" s="381"/>
      <c r="VOE115" s="381"/>
      <c r="VOF115" s="381"/>
      <c r="VOG115" s="381"/>
      <c r="VOH115" s="381"/>
      <c r="VOI115" s="381"/>
      <c r="VOJ115" s="381"/>
      <c r="VOK115" s="381"/>
      <c r="VOL115" s="381"/>
      <c r="VOM115" s="381"/>
      <c r="VON115" s="381"/>
      <c r="VOO115" s="381"/>
      <c r="VOP115" s="381"/>
      <c r="VOQ115" s="381"/>
      <c r="VOR115" s="381"/>
      <c r="VOS115" s="381"/>
      <c r="VOT115" s="381"/>
      <c r="VOU115" s="381"/>
      <c r="VOV115" s="381"/>
      <c r="VOW115" s="381"/>
      <c r="VOX115" s="381"/>
      <c r="VOY115" s="381"/>
      <c r="VOZ115" s="381"/>
      <c r="VPA115" s="381"/>
      <c r="VPB115" s="381"/>
      <c r="VPC115" s="381"/>
      <c r="VPD115" s="381"/>
      <c r="VPE115" s="381"/>
      <c r="VPF115" s="381"/>
      <c r="VPG115" s="381"/>
      <c r="VPH115" s="381"/>
      <c r="VPI115" s="381"/>
      <c r="VPJ115" s="381"/>
      <c r="VPK115" s="381"/>
      <c r="VPL115" s="381"/>
      <c r="VPM115" s="381"/>
      <c r="VPN115" s="381"/>
      <c r="VPO115" s="381"/>
      <c r="VPP115" s="381"/>
      <c r="VPQ115" s="381"/>
      <c r="VPR115" s="381"/>
      <c r="VPS115" s="381"/>
      <c r="VPT115" s="381"/>
      <c r="VPU115" s="381"/>
      <c r="VPV115" s="381"/>
      <c r="VPW115" s="381"/>
      <c r="VPX115" s="381"/>
      <c r="VPY115" s="381"/>
      <c r="VPZ115" s="381"/>
      <c r="VQA115" s="381"/>
      <c r="VQB115" s="381"/>
      <c r="VQC115" s="381"/>
      <c r="VQD115" s="381"/>
      <c r="VQE115" s="381"/>
      <c r="VQF115" s="381"/>
      <c r="VQG115" s="381"/>
      <c r="VQH115" s="381"/>
      <c r="VQI115" s="381"/>
      <c r="VQJ115" s="381"/>
      <c r="VQK115" s="381"/>
      <c r="VQL115" s="381"/>
      <c r="VQM115" s="381"/>
      <c r="VQN115" s="381"/>
      <c r="VQO115" s="381"/>
      <c r="VQP115" s="381"/>
      <c r="VQQ115" s="381"/>
      <c r="VQR115" s="381"/>
      <c r="VQS115" s="381"/>
      <c r="VQT115" s="381"/>
      <c r="VQU115" s="381"/>
      <c r="VQV115" s="381"/>
      <c r="VQW115" s="381"/>
      <c r="VQX115" s="381"/>
      <c r="VQY115" s="381"/>
      <c r="VQZ115" s="381"/>
      <c r="VRA115" s="381"/>
      <c r="VRB115" s="381"/>
      <c r="VRC115" s="381"/>
      <c r="VRD115" s="381"/>
      <c r="VRE115" s="381"/>
      <c r="VRF115" s="381"/>
      <c r="VRG115" s="381"/>
      <c r="VRH115" s="381"/>
      <c r="VRI115" s="381"/>
      <c r="VRJ115" s="381"/>
      <c r="VRK115" s="381"/>
      <c r="VRL115" s="381"/>
      <c r="VRM115" s="381"/>
      <c r="VRN115" s="381"/>
      <c r="VRO115" s="381"/>
      <c r="VRP115" s="381"/>
      <c r="VRQ115" s="381"/>
      <c r="VRR115" s="381"/>
      <c r="VRS115" s="381"/>
      <c r="VRT115" s="381"/>
      <c r="VRU115" s="381"/>
      <c r="VRV115" s="381"/>
      <c r="VRW115" s="381"/>
      <c r="VRX115" s="381"/>
      <c r="VRY115" s="381"/>
      <c r="VRZ115" s="381"/>
      <c r="VSA115" s="381"/>
      <c r="VSB115" s="381"/>
      <c r="VSC115" s="381"/>
      <c r="VSD115" s="381"/>
      <c r="VSE115" s="381"/>
      <c r="VSF115" s="381"/>
      <c r="VSG115" s="381"/>
      <c r="VSH115" s="381"/>
      <c r="VSI115" s="381"/>
      <c r="VSJ115" s="381"/>
      <c r="VSK115" s="381"/>
      <c r="VSL115" s="381"/>
      <c r="VSM115" s="381"/>
      <c r="VSN115" s="381"/>
      <c r="VSO115" s="381"/>
      <c r="VSP115" s="381"/>
      <c r="VSQ115" s="381"/>
      <c r="VSR115" s="381"/>
      <c r="VSS115" s="381"/>
      <c r="VST115" s="381"/>
      <c r="VSU115" s="381"/>
      <c r="VSV115" s="381"/>
      <c r="VSW115" s="381"/>
      <c r="VSX115" s="381"/>
      <c r="VSY115" s="381"/>
      <c r="VSZ115" s="381"/>
      <c r="VTA115" s="381"/>
      <c r="VTB115" s="381"/>
      <c r="VTC115" s="381"/>
      <c r="VTD115" s="381"/>
      <c r="VTE115" s="381"/>
      <c r="VTF115" s="381"/>
      <c r="VTG115" s="381"/>
      <c r="VTH115" s="381"/>
      <c r="VTI115" s="381"/>
      <c r="VTJ115" s="381"/>
      <c r="VTK115" s="381"/>
      <c r="VTL115" s="381"/>
      <c r="VTM115" s="381"/>
      <c r="VTN115" s="381"/>
      <c r="VTO115" s="381"/>
      <c r="VTP115" s="381"/>
      <c r="VTQ115" s="381"/>
      <c r="VTR115" s="381"/>
      <c r="VTS115" s="381"/>
      <c r="VTT115" s="381"/>
      <c r="VTU115" s="381"/>
      <c r="VTV115" s="381"/>
      <c r="VTW115" s="381"/>
      <c r="VTX115" s="381"/>
      <c r="VTY115" s="381"/>
      <c r="VTZ115" s="381"/>
      <c r="VUA115" s="381"/>
      <c r="VUB115" s="381"/>
      <c r="VUC115" s="381"/>
      <c r="VUD115" s="381"/>
      <c r="VUE115" s="381"/>
      <c r="VUF115" s="381"/>
      <c r="VUG115" s="381"/>
      <c r="VUH115" s="381"/>
      <c r="VUI115" s="381"/>
      <c r="VUJ115" s="381"/>
      <c r="VUK115" s="381"/>
      <c r="VUL115" s="381"/>
      <c r="VUM115" s="381"/>
      <c r="VUN115" s="381"/>
      <c r="VUO115" s="381"/>
      <c r="VUP115" s="381"/>
      <c r="VUQ115" s="381"/>
      <c r="VUR115" s="381"/>
      <c r="VUS115" s="381"/>
      <c r="VUT115" s="381"/>
      <c r="VUU115" s="381"/>
      <c r="VUV115" s="381"/>
      <c r="VUW115" s="381"/>
      <c r="VUX115" s="381"/>
      <c r="VUY115" s="381"/>
      <c r="VUZ115" s="381"/>
      <c r="VVA115" s="381"/>
      <c r="VVB115" s="381"/>
      <c r="VVC115" s="381"/>
      <c r="VVD115" s="381"/>
      <c r="VVE115" s="381"/>
      <c r="VVF115" s="381"/>
      <c r="VVG115" s="381"/>
      <c r="VVH115" s="381"/>
      <c r="VVI115" s="381"/>
      <c r="VVJ115" s="381"/>
      <c r="VVK115" s="381"/>
      <c r="VVL115" s="381"/>
      <c r="VVM115" s="381"/>
      <c r="VVN115" s="381"/>
      <c r="VVO115" s="381"/>
      <c r="VVP115" s="381"/>
      <c r="VVQ115" s="381"/>
      <c r="VVR115" s="381"/>
      <c r="VVS115" s="381"/>
      <c r="VVT115" s="381"/>
      <c r="VVU115" s="381"/>
      <c r="VVV115" s="381"/>
      <c r="VVW115" s="381"/>
      <c r="VVX115" s="381"/>
      <c r="VVY115" s="381"/>
      <c r="VVZ115" s="381"/>
      <c r="VWA115" s="381"/>
      <c r="VWB115" s="381"/>
      <c r="VWC115" s="381"/>
      <c r="VWD115" s="381"/>
      <c r="VWE115" s="381"/>
      <c r="VWF115" s="381"/>
      <c r="VWG115" s="381"/>
      <c r="VWH115" s="381"/>
      <c r="VWI115" s="381"/>
      <c r="VWJ115" s="381"/>
      <c r="VWK115" s="381"/>
      <c r="VWL115" s="381"/>
      <c r="VWM115" s="381"/>
      <c r="VWN115" s="381"/>
      <c r="VWO115" s="381"/>
      <c r="VWP115" s="381"/>
      <c r="VWQ115" s="381"/>
      <c r="VWR115" s="381"/>
      <c r="VWS115" s="381"/>
      <c r="VWT115" s="381"/>
      <c r="VWU115" s="381"/>
      <c r="VWV115" s="381"/>
      <c r="VWW115" s="381"/>
      <c r="VWX115" s="381"/>
      <c r="VWY115" s="381"/>
      <c r="VWZ115" s="381"/>
      <c r="VXA115" s="381"/>
      <c r="VXB115" s="381"/>
      <c r="VXC115" s="381"/>
      <c r="VXD115" s="381"/>
      <c r="VXE115" s="381"/>
      <c r="VXF115" s="381"/>
      <c r="VXG115" s="381"/>
      <c r="VXH115" s="381"/>
      <c r="VXI115" s="381"/>
      <c r="VXJ115" s="381"/>
      <c r="VXK115" s="381"/>
      <c r="VXL115" s="381"/>
      <c r="VXM115" s="381"/>
      <c r="VXN115" s="381"/>
      <c r="VXO115" s="381"/>
      <c r="VXP115" s="381"/>
      <c r="VXQ115" s="381"/>
      <c r="VXR115" s="381"/>
      <c r="VXS115" s="381"/>
      <c r="VXT115" s="381"/>
      <c r="VXU115" s="381"/>
      <c r="VXV115" s="381"/>
      <c r="VXW115" s="381"/>
      <c r="VXX115" s="381"/>
      <c r="VXY115" s="381"/>
      <c r="VXZ115" s="381"/>
      <c r="VYA115" s="381"/>
      <c r="VYB115" s="381"/>
      <c r="VYC115" s="381"/>
      <c r="VYD115" s="381"/>
      <c r="VYE115" s="381"/>
      <c r="VYF115" s="381"/>
      <c r="VYG115" s="381"/>
      <c r="VYH115" s="381"/>
      <c r="VYI115" s="381"/>
      <c r="VYJ115" s="381"/>
      <c r="VYK115" s="381"/>
      <c r="VYL115" s="381"/>
      <c r="VYM115" s="381"/>
      <c r="VYN115" s="381"/>
      <c r="VYO115" s="381"/>
      <c r="VYP115" s="381"/>
      <c r="VYQ115" s="381"/>
      <c r="VYR115" s="381"/>
      <c r="VYS115" s="381"/>
      <c r="VYT115" s="381"/>
      <c r="VYU115" s="381"/>
      <c r="VYV115" s="381"/>
      <c r="VYW115" s="381"/>
      <c r="VYX115" s="381"/>
      <c r="VYY115" s="381"/>
      <c r="VYZ115" s="381"/>
      <c r="VZA115" s="381"/>
      <c r="VZB115" s="381"/>
      <c r="VZC115" s="381"/>
      <c r="VZD115" s="381"/>
      <c r="VZE115" s="381"/>
      <c r="VZF115" s="381"/>
      <c r="VZG115" s="381"/>
      <c r="VZH115" s="381"/>
      <c r="VZI115" s="381"/>
      <c r="VZJ115" s="381"/>
      <c r="VZK115" s="381"/>
      <c r="VZL115" s="381"/>
      <c r="VZM115" s="381"/>
      <c r="VZN115" s="381"/>
      <c r="VZO115" s="381"/>
      <c r="VZP115" s="381"/>
      <c r="VZQ115" s="381"/>
      <c r="VZR115" s="381"/>
      <c r="VZS115" s="381"/>
      <c r="VZT115" s="381"/>
      <c r="VZU115" s="381"/>
      <c r="VZV115" s="381"/>
      <c r="VZW115" s="381"/>
      <c r="VZX115" s="381"/>
      <c r="VZY115" s="381"/>
      <c r="VZZ115" s="381"/>
      <c r="WAA115" s="381"/>
      <c r="WAB115" s="381"/>
      <c r="WAC115" s="381"/>
      <c r="WAD115" s="381"/>
      <c r="WAE115" s="381"/>
      <c r="WAF115" s="381"/>
      <c r="WAG115" s="381"/>
      <c r="WAH115" s="381"/>
      <c r="WAI115" s="381"/>
      <c r="WAJ115" s="381"/>
      <c r="WAK115" s="381"/>
      <c r="WAL115" s="381"/>
      <c r="WAM115" s="381"/>
      <c r="WAN115" s="381"/>
      <c r="WAO115" s="381"/>
      <c r="WAP115" s="381"/>
      <c r="WAQ115" s="381"/>
      <c r="WAR115" s="381"/>
      <c r="WAS115" s="381"/>
      <c r="WAT115" s="381"/>
      <c r="WAU115" s="381"/>
      <c r="WAV115" s="381"/>
      <c r="WAW115" s="381"/>
      <c r="WAX115" s="381"/>
      <c r="WAY115" s="381"/>
      <c r="WAZ115" s="381"/>
      <c r="WBA115" s="381"/>
      <c r="WBB115" s="381"/>
      <c r="WBC115" s="381"/>
      <c r="WBD115" s="381"/>
      <c r="WBE115" s="381"/>
      <c r="WBF115" s="381"/>
      <c r="WBG115" s="381"/>
      <c r="WBH115" s="381"/>
      <c r="WBI115" s="381"/>
      <c r="WBJ115" s="381"/>
      <c r="WBK115" s="381"/>
      <c r="WBL115" s="381"/>
      <c r="WBM115" s="381"/>
      <c r="WBN115" s="381"/>
      <c r="WBO115" s="381"/>
      <c r="WBP115" s="381"/>
      <c r="WBQ115" s="381"/>
      <c r="WBR115" s="381"/>
      <c r="WBS115" s="381"/>
      <c r="WBT115" s="381"/>
      <c r="WBU115" s="381"/>
      <c r="WBV115" s="381"/>
      <c r="WBW115" s="381"/>
      <c r="WBX115" s="381"/>
      <c r="WBY115" s="381"/>
      <c r="WBZ115" s="381"/>
      <c r="WCA115" s="381"/>
      <c r="WCB115" s="381"/>
      <c r="WCC115" s="381"/>
      <c r="WCD115" s="381"/>
      <c r="WCE115" s="381"/>
      <c r="WCF115" s="381"/>
      <c r="WCG115" s="381"/>
      <c r="WCH115" s="381"/>
      <c r="WCI115" s="381"/>
      <c r="WCJ115" s="381"/>
      <c r="WCK115" s="381"/>
      <c r="WCL115" s="381"/>
      <c r="WCM115" s="381"/>
      <c r="WCN115" s="381"/>
      <c r="WCO115" s="381"/>
      <c r="WCP115" s="381"/>
      <c r="WCQ115" s="381"/>
      <c r="WCR115" s="381"/>
      <c r="WCS115" s="381"/>
      <c r="WCT115" s="381"/>
      <c r="WCU115" s="381"/>
      <c r="WCV115" s="381"/>
      <c r="WCW115" s="381"/>
      <c r="WCX115" s="381"/>
      <c r="WCY115" s="381"/>
      <c r="WCZ115" s="381"/>
      <c r="WDA115" s="381"/>
      <c r="WDB115" s="381"/>
      <c r="WDC115" s="381"/>
      <c r="WDD115" s="381"/>
      <c r="WDE115" s="381"/>
      <c r="WDF115" s="381"/>
      <c r="WDG115" s="381"/>
      <c r="WDH115" s="381"/>
      <c r="WDI115" s="381"/>
      <c r="WDJ115" s="381"/>
      <c r="WDK115" s="381"/>
      <c r="WDL115" s="381"/>
      <c r="WDM115" s="381"/>
      <c r="WDN115" s="381"/>
      <c r="WDO115" s="381"/>
      <c r="WDP115" s="381"/>
      <c r="WDQ115" s="381"/>
      <c r="WDR115" s="381"/>
      <c r="WDS115" s="381"/>
      <c r="WDT115" s="381"/>
      <c r="WDU115" s="381"/>
      <c r="WDV115" s="381"/>
      <c r="WDW115" s="381"/>
      <c r="WDX115" s="381"/>
      <c r="WDY115" s="381"/>
      <c r="WDZ115" s="381"/>
      <c r="WEA115" s="381"/>
      <c r="WEB115" s="381"/>
      <c r="WEC115" s="381"/>
      <c r="WED115" s="381"/>
      <c r="WEE115" s="381"/>
      <c r="WEF115" s="381"/>
      <c r="WEG115" s="381"/>
      <c r="WEH115" s="381"/>
      <c r="WEI115" s="381"/>
      <c r="WEJ115" s="381"/>
      <c r="WEK115" s="381"/>
      <c r="WEL115" s="381"/>
      <c r="WEM115" s="381"/>
      <c r="WEN115" s="381"/>
      <c r="WEO115" s="381"/>
      <c r="WEP115" s="381"/>
      <c r="WEQ115" s="381"/>
      <c r="WER115" s="381"/>
      <c r="WES115" s="381"/>
      <c r="WET115" s="381"/>
      <c r="WEU115" s="381"/>
      <c r="WEV115" s="381"/>
      <c r="WEW115" s="381"/>
      <c r="WEX115" s="381"/>
      <c r="WEY115" s="381"/>
      <c r="WEZ115" s="381"/>
      <c r="WFA115" s="381"/>
      <c r="WFB115" s="381"/>
      <c r="WFC115" s="381"/>
      <c r="WFD115" s="381"/>
      <c r="WFE115" s="381"/>
      <c r="WFF115" s="381"/>
      <c r="WFG115" s="381"/>
      <c r="WFH115" s="381"/>
      <c r="WFI115" s="381"/>
      <c r="WFJ115" s="381"/>
      <c r="WFK115" s="381"/>
      <c r="WFL115" s="381"/>
      <c r="WFM115" s="381"/>
      <c r="WFN115" s="381"/>
      <c r="WFO115" s="381"/>
      <c r="WFP115" s="381"/>
      <c r="WFQ115" s="381"/>
      <c r="WFR115" s="381"/>
      <c r="WFS115" s="381"/>
      <c r="WFT115" s="381"/>
      <c r="WFU115" s="381"/>
      <c r="WFV115" s="381"/>
      <c r="WFW115" s="381"/>
      <c r="WFX115" s="381"/>
      <c r="WFY115" s="381"/>
      <c r="WFZ115" s="381"/>
      <c r="WGA115" s="381"/>
      <c r="WGB115" s="381"/>
      <c r="WGC115" s="381"/>
      <c r="WGD115" s="381"/>
      <c r="WGE115" s="381"/>
      <c r="WGF115" s="381"/>
      <c r="WGG115" s="381"/>
      <c r="WGH115" s="381"/>
      <c r="WGI115" s="381"/>
      <c r="WGJ115" s="381"/>
      <c r="WGK115" s="381"/>
      <c r="WGL115" s="381"/>
      <c r="WGM115" s="381"/>
      <c r="WGN115" s="381"/>
      <c r="WGO115" s="381"/>
      <c r="WGP115" s="381"/>
      <c r="WGQ115" s="381"/>
      <c r="WGR115" s="381"/>
      <c r="WGS115" s="381"/>
      <c r="WGT115" s="381"/>
      <c r="WGU115" s="381"/>
      <c r="WGV115" s="381"/>
      <c r="WGW115" s="381"/>
      <c r="WGX115" s="381"/>
      <c r="WGY115" s="381"/>
      <c r="WGZ115" s="381"/>
      <c r="WHA115" s="381"/>
      <c r="WHB115" s="381"/>
      <c r="WHC115" s="381"/>
      <c r="WHD115" s="381"/>
      <c r="WHE115" s="381"/>
      <c r="WHF115" s="381"/>
      <c r="WHG115" s="381"/>
      <c r="WHH115" s="381"/>
      <c r="WHI115" s="381"/>
      <c r="WHJ115" s="381"/>
      <c r="WHK115" s="381"/>
      <c r="WHL115" s="381"/>
      <c r="WHM115" s="381"/>
      <c r="WHN115" s="381"/>
      <c r="WHO115" s="381"/>
      <c r="WHP115" s="381"/>
      <c r="WHQ115" s="381"/>
      <c r="WHR115" s="381"/>
      <c r="WHS115" s="381"/>
      <c r="WHT115" s="381"/>
      <c r="WHU115" s="381"/>
      <c r="WHV115" s="381"/>
      <c r="WHW115" s="381"/>
      <c r="WHX115" s="381"/>
      <c r="WHY115" s="381"/>
      <c r="WHZ115" s="381"/>
      <c r="WIA115" s="381"/>
      <c r="WIB115" s="381"/>
      <c r="WIC115" s="381"/>
      <c r="WID115" s="381"/>
      <c r="WIE115" s="381"/>
      <c r="WIF115" s="381"/>
      <c r="WIG115" s="381"/>
      <c r="WIH115" s="381"/>
      <c r="WII115" s="381"/>
      <c r="WIJ115" s="381"/>
      <c r="WIK115" s="381"/>
      <c r="WIL115" s="381"/>
      <c r="WIM115" s="381"/>
      <c r="WIN115" s="381"/>
      <c r="WIO115" s="381"/>
      <c r="WIP115" s="381"/>
      <c r="WIQ115" s="381"/>
      <c r="WIR115" s="381"/>
      <c r="WIS115" s="381"/>
      <c r="WIT115" s="381"/>
      <c r="WIU115" s="381"/>
      <c r="WIV115" s="381"/>
      <c r="WIW115" s="381"/>
      <c r="WIX115" s="381"/>
      <c r="WIY115" s="381"/>
      <c r="WIZ115" s="381"/>
      <c r="WJA115" s="381"/>
      <c r="WJB115" s="381"/>
      <c r="WJC115" s="381"/>
      <c r="WJD115" s="381"/>
      <c r="WJE115" s="381"/>
      <c r="WJF115" s="381"/>
      <c r="WJG115" s="381"/>
      <c r="WJH115" s="381"/>
      <c r="WJI115" s="381"/>
      <c r="WJJ115" s="381"/>
      <c r="WJK115" s="381"/>
      <c r="WJL115" s="381"/>
      <c r="WJM115" s="381"/>
      <c r="WJN115" s="381"/>
      <c r="WJO115" s="381"/>
      <c r="WJP115" s="381"/>
      <c r="WJQ115" s="381"/>
      <c r="WJR115" s="381"/>
      <c r="WJS115" s="381"/>
      <c r="WJT115" s="381"/>
      <c r="WJU115" s="381"/>
      <c r="WJV115" s="381"/>
      <c r="WJW115" s="381"/>
      <c r="WJX115" s="381"/>
      <c r="WJY115" s="381"/>
      <c r="WJZ115" s="381"/>
      <c r="WKA115" s="381"/>
      <c r="WKB115" s="381"/>
      <c r="WKC115" s="381"/>
      <c r="WKD115" s="381"/>
      <c r="WKE115" s="381"/>
      <c r="WKF115" s="381"/>
      <c r="WKG115" s="381"/>
      <c r="WKH115" s="381"/>
      <c r="WKI115" s="381"/>
      <c r="WKJ115" s="381"/>
      <c r="WKK115" s="381"/>
      <c r="WKL115" s="381"/>
      <c r="WKM115" s="381"/>
      <c r="WKN115" s="381"/>
      <c r="WKO115" s="381"/>
      <c r="WKP115" s="381"/>
      <c r="WKQ115" s="381"/>
      <c r="WKR115" s="381"/>
      <c r="WKS115" s="381"/>
      <c r="WKT115" s="381"/>
      <c r="WKU115" s="381"/>
      <c r="WKV115" s="381"/>
      <c r="WKW115" s="381"/>
      <c r="WKX115" s="381"/>
      <c r="WKY115" s="381"/>
      <c r="WKZ115" s="381"/>
      <c r="WLA115" s="381"/>
      <c r="WLB115" s="381"/>
      <c r="WLC115" s="381"/>
      <c r="WLD115" s="381"/>
      <c r="WLE115" s="381"/>
      <c r="WLF115" s="381"/>
      <c r="WLG115" s="381"/>
      <c r="WLH115" s="381"/>
      <c r="WLI115" s="381"/>
      <c r="WLJ115" s="381"/>
      <c r="WLK115" s="381"/>
      <c r="WLL115" s="381"/>
      <c r="WLM115" s="381"/>
      <c r="WLN115" s="381"/>
      <c r="WLO115" s="381"/>
      <c r="WLP115" s="381"/>
      <c r="WLQ115" s="381"/>
      <c r="WLR115" s="381"/>
      <c r="WLS115" s="381"/>
      <c r="WLT115" s="381"/>
      <c r="WLU115" s="381"/>
      <c r="WLV115" s="381"/>
      <c r="WLW115" s="381"/>
      <c r="WLX115" s="381"/>
      <c r="WLY115" s="381"/>
      <c r="WLZ115" s="381"/>
      <c r="WMA115" s="381"/>
      <c r="WMB115" s="381"/>
      <c r="WMC115" s="381"/>
      <c r="WMD115" s="381"/>
      <c r="WME115" s="381"/>
      <c r="WMF115" s="381"/>
      <c r="WMG115" s="381"/>
      <c r="WMH115" s="381"/>
      <c r="WMI115" s="381"/>
      <c r="WMJ115" s="381"/>
      <c r="WMK115" s="381"/>
      <c r="WML115" s="381"/>
      <c r="WMM115" s="381"/>
      <c r="WMN115" s="381"/>
      <c r="WMO115" s="381"/>
      <c r="WMP115" s="381"/>
      <c r="WMQ115" s="381"/>
      <c r="WMR115" s="381"/>
      <c r="WMS115" s="381"/>
      <c r="WMT115" s="381"/>
      <c r="WMU115" s="381"/>
      <c r="WMV115" s="381"/>
      <c r="WMW115" s="381"/>
      <c r="WMX115" s="381"/>
      <c r="WMY115" s="381"/>
      <c r="WMZ115" s="381"/>
      <c r="WNA115" s="381"/>
      <c r="WNB115" s="381"/>
      <c r="WNC115" s="381"/>
      <c r="WND115" s="381"/>
      <c r="WNE115" s="381"/>
      <c r="WNF115" s="381"/>
      <c r="WNG115" s="381"/>
      <c r="WNH115" s="381"/>
      <c r="WNI115" s="381"/>
      <c r="WNJ115" s="381"/>
      <c r="WNK115" s="381"/>
      <c r="WNL115" s="381"/>
      <c r="WNM115" s="381"/>
      <c r="WNN115" s="381"/>
      <c r="WNO115" s="381"/>
      <c r="WNP115" s="381"/>
      <c r="WNQ115" s="381"/>
      <c r="WNR115" s="381"/>
      <c r="WNS115" s="381"/>
      <c r="WNT115" s="381"/>
      <c r="WNU115" s="381"/>
      <c r="WNV115" s="381"/>
      <c r="WNW115" s="381"/>
      <c r="WNX115" s="381"/>
      <c r="WNY115" s="381"/>
      <c r="WNZ115" s="381"/>
      <c r="WOA115" s="381"/>
      <c r="WOB115" s="381"/>
      <c r="WOC115" s="381"/>
      <c r="WOD115" s="381"/>
      <c r="WOE115" s="381"/>
      <c r="WOF115" s="381"/>
      <c r="WOG115" s="381"/>
      <c r="WOH115" s="381"/>
      <c r="WOI115" s="381"/>
      <c r="WOJ115" s="381"/>
      <c r="WOK115" s="381"/>
      <c r="WOL115" s="381"/>
      <c r="WOM115" s="381"/>
      <c r="WON115" s="381"/>
      <c r="WOO115" s="381"/>
      <c r="WOP115" s="381"/>
      <c r="WOQ115" s="381"/>
      <c r="WOR115" s="381"/>
      <c r="WOS115" s="381"/>
      <c r="WOT115" s="381"/>
      <c r="WOU115" s="381"/>
      <c r="WOV115" s="381"/>
      <c r="WOW115" s="381"/>
      <c r="WOX115" s="381"/>
      <c r="WOY115" s="381"/>
      <c r="WOZ115" s="381"/>
      <c r="WPA115" s="381"/>
      <c r="WPB115" s="381"/>
      <c r="WPC115" s="381"/>
      <c r="WPD115" s="381"/>
      <c r="WPE115" s="381"/>
      <c r="WPF115" s="381"/>
      <c r="WPG115" s="381"/>
      <c r="WPH115" s="381"/>
      <c r="WPI115" s="381"/>
      <c r="WPJ115" s="381"/>
      <c r="WPK115" s="381"/>
      <c r="WPL115" s="381"/>
      <c r="WPM115" s="381"/>
      <c r="WPN115" s="381"/>
      <c r="WPO115" s="381"/>
      <c r="WPP115" s="381"/>
      <c r="WPQ115" s="381"/>
      <c r="WPR115" s="381"/>
      <c r="WPS115" s="381"/>
      <c r="WPT115" s="381"/>
      <c r="WPU115" s="381"/>
      <c r="WPV115" s="381"/>
      <c r="WPW115" s="381"/>
      <c r="WPX115" s="381"/>
      <c r="WPY115" s="381"/>
      <c r="WPZ115" s="381"/>
      <c r="WQA115" s="381"/>
      <c r="WQB115" s="381"/>
      <c r="WQC115" s="381"/>
      <c r="WQD115" s="381"/>
      <c r="WQE115" s="381"/>
      <c r="WQF115" s="381"/>
      <c r="WQG115" s="381"/>
      <c r="WQH115" s="381"/>
      <c r="WQI115" s="381"/>
      <c r="WQJ115" s="381"/>
      <c r="WQK115" s="381"/>
      <c r="WQL115" s="381"/>
      <c r="WQM115" s="381"/>
      <c r="WQN115" s="381"/>
      <c r="WQO115" s="381"/>
      <c r="WQP115" s="381"/>
      <c r="WQQ115" s="381"/>
      <c r="WQR115" s="381"/>
      <c r="WQS115" s="381"/>
      <c r="WQT115" s="381"/>
      <c r="WQU115" s="381"/>
      <c r="WQV115" s="381"/>
      <c r="WQW115" s="381"/>
      <c r="WQX115" s="381"/>
      <c r="WQY115" s="381"/>
      <c r="WQZ115" s="381"/>
      <c r="WRA115" s="381"/>
      <c r="WRB115" s="381"/>
      <c r="WRC115" s="381"/>
      <c r="WRD115" s="381"/>
      <c r="WRE115" s="381"/>
      <c r="WRF115" s="381"/>
      <c r="WRG115" s="381"/>
      <c r="WRH115" s="381"/>
      <c r="WRI115" s="381"/>
      <c r="WRJ115" s="381"/>
      <c r="WRK115" s="381"/>
      <c r="WRL115" s="381"/>
      <c r="WRM115" s="381"/>
      <c r="WRN115" s="381"/>
      <c r="WRO115" s="381"/>
      <c r="WRP115" s="381"/>
      <c r="WRQ115" s="381"/>
      <c r="WRR115" s="381"/>
      <c r="WRS115" s="381"/>
      <c r="WRT115" s="381"/>
      <c r="WRU115" s="381"/>
      <c r="WRV115" s="381"/>
      <c r="WRW115" s="381"/>
      <c r="WRX115" s="381"/>
      <c r="WRY115" s="381"/>
      <c r="WRZ115" s="381"/>
      <c r="WSA115" s="381"/>
      <c r="WSB115" s="381"/>
      <c r="WSC115" s="381"/>
      <c r="WSD115" s="381"/>
      <c r="WSE115" s="381"/>
      <c r="WSF115" s="381"/>
      <c r="WSG115" s="381"/>
      <c r="WSH115" s="381"/>
      <c r="WSI115" s="381"/>
      <c r="WSJ115" s="381"/>
      <c r="WSK115" s="381"/>
      <c r="WSL115" s="381"/>
      <c r="WSM115" s="381"/>
      <c r="WSN115" s="381"/>
      <c r="WSO115" s="381"/>
      <c r="WSP115" s="381"/>
      <c r="WSQ115" s="381"/>
      <c r="WSR115" s="381"/>
      <c r="WSS115" s="381"/>
      <c r="WST115" s="381"/>
      <c r="WSU115" s="381"/>
      <c r="WSV115" s="381"/>
      <c r="WSW115" s="381"/>
      <c r="WSX115" s="381"/>
      <c r="WSY115" s="381"/>
      <c r="WSZ115" s="381"/>
      <c r="WTA115" s="381"/>
      <c r="WTB115" s="381"/>
      <c r="WTC115" s="381"/>
      <c r="WTD115" s="381"/>
      <c r="WTE115" s="381"/>
      <c r="WTF115" s="381"/>
      <c r="WTG115" s="381"/>
      <c r="WTH115" s="381"/>
      <c r="WTI115" s="381"/>
      <c r="WTJ115" s="381"/>
      <c r="WTK115" s="381"/>
      <c r="WTL115" s="381"/>
      <c r="WTM115" s="381"/>
      <c r="WTN115" s="381"/>
      <c r="WTO115" s="381"/>
      <c r="WTP115" s="381"/>
      <c r="WTQ115" s="381"/>
      <c r="WTR115" s="381"/>
      <c r="WTS115" s="381"/>
      <c r="WTT115" s="381"/>
      <c r="WTU115" s="381"/>
      <c r="WTV115" s="381"/>
      <c r="WTW115" s="381"/>
      <c r="WTX115" s="381"/>
      <c r="WTY115" s="381"/>
      <c r="WTZ115" s="381"/>
      <c r="WUA115" s="381"/>
      <c r="WUB115" s="381"/>
      <c r="WUC115" s="381"/>
      <c r="WUD115" s="381"/>
      <c r="WUE115" s="381"/>
      <c r="WUF115" s="381"/>
      <c r="WUG115" s="381"/>
      <c r="WUH115" s="381"/>
      <c r="WUI115" s="381"/>
      <c r="WUJ115" s="381"/>
      <c r="WUK115" s="381"/>
      <c r="WUL115" s="381"/>
      <c r="WUM115" s="381"/>
      <c r="WUN115" s="381"/>
      <c r="WUO115" s="381"/>
      <c r="WUP115" s="381"/>
      <c r="WUQ115" s="381"/>
      <c r="WUR115" s="381"/>
      <c r="WUS115" s="381"/>
      <c r="WUT115" s="381"/>
      <c r="WUU115" s="381"/>
      <c r="WUV115" s="381"/>
      <c r="WUW115" s="381"/>
      <c r="WUX115" s="381"/>
      <c r="WUY115" s="381"/>
      <c r="WUZ115" s="381"/>
      <c r="WVA115" s="381"/>
      <c r="WVB115" s="381"/>
      <c r="WVC115" s="381"/>
      <c r="WVD115" s="381"/>
      <c r="WVE115" s="381"/>
      <c r="WVF115" s="381"/>
      <c r="WVG115" s="381"/>
      <c r="WVH115" s="381"/>
      <c r="WVI115" s="381"/>
      <c r="WVJ115" s="381"/>
      <c r="WVK115" s="381"/>
      <c r="WVL115" s="381"/>
      <c r="WVM115" s="381"/>
      <c r="WVN115" s="381"/>
      <c r="WVO115" s="381"/>
      <c r="WVP115" s="381"/>
      <c r="WVQ115" s="381"/>
      <c r="WVR115" s="381"/>
      <c r="WVS115" s="381"/>
      <c r="WVT115" s="381"/>
      <c r="WVU115" s="381"/>
      <c r="WVV115" s="381"/>
      <c r="WVW115" s="381"/>
      <c r="WVX115" s="381"/>
      <c r="WVY115" s="381"/>
      <c r="WVZ115" s="381"/>
      <c r="WWA115" s="381"/>
      <c r="WWB115" s="381"/>
      <c r="WWC115" s="381"/>
      <c r="WWD115" s="381"/>
      <c r="WWE115" s="381"/>
      <c r="WWF115" s="381"/>
      <c r="WWG115" s="381"/>
      <c r="WWH115" s="381"/>
      <c r="WWI115" s="381"/>
      <c r="WWJ115" s="381"/>
      <c r="WWK115" s="381"/>
      <c r="WWL115" s="381"/>
      <c r="WWM115" s="381"/>
      <c r="WWN115" s="381"/>
      <c r="WWO115" s="381"/>
      <c r="WWP115" s="381"/>
      <c r="WWQ115" s="381"/>
      <c r="WWR115" s="381"/>
      <c r="WWS115" s="381"/>
      <c r="WWT115" s="381"/>
      <c r="WWU115" s="381"/>
      <c r="WWV115" s="381"/>
      <c r="WWW115" s="381"/>
      <c r="WWX115" s="381"/>
      <c r="WWY115" s="381"/>
      <c r="WWZ115" s="381"/>
      <c r="WXA115" s="381"/>
      <c r="WXB115" s="381"/>
      <c r="WXC115" s="381"/>
      <c r="WXD115" s="381"/>
      <c r="WXE115" s="381"/>
      <c r="WXF115" s="381"/>
      <c r="WXG115" s="381"/>
      <c r="WXH115" s="381"/>
      <c r="WXI115" s="381"/>
      <c r="WXJ115" s="381"/>
      <c r="WXK115" s="381"/>
      <c r="WXL115" s="381"/>
      <c r="WXM115" s="381"/>
      <c r="WXN115" s="381"/>
      <c r="WXO115" s="381"/>
      <c r="WXP115" s="381"/>
      <c r="WXQ115" s="381"/>
      <c r="WXR115" s="381"/>
      <c r="WXS115" s="381"/>
      <c r="WXT115" s="381"/>
      <c r="WXU115" s="381"/>
      <c r="WXV115" s="381"/>
      <c r="WXW115" s="381"/>
      <c r="WXX115" s="381"/>
      <c r="WXY115" s="381"/>
      <c r="WXZ115" s="381"/>
      <c r="WYA115" s="381"/>
      <c r="WYB115" s="381"/>
      <c r="WYC115" s="381"/>
      <c r="WYD115" s="381"/>
      <c r="WYE115" s="381"/>
      <c r="WYF115" s="381"/>
      <c r="WYG115" s="381"/>
      <c r="WYH115" s="381"/>
      <c r="WYI115" s="381"/>
      <c r="WYJ115" s="381"/>
      <c r="WYK115" s="381"/>
      <c r="WYL115" s="381"/>
      <c r="WYM115" s="381"/>
      <c r="WYN115" s="381"/>
      <c r="WYO115" s="381"/>
      <c r="WYP115" s="381"/>
      <c r="WYQ115" s="381"/>
      <c r="WYR115" s="381"/>
      <c r="WYS115" s="381"/>
      <c r="WYT115" s="381"/>
      <c r="WYU115" s="381"/>
      <c r="WYV115" s="381"/>
      <c r="WYW115" s="381"/>
      <c r="WYX115" s="381"/>
      <c r="WYY115" s="381"/>
      <c r="WYZ115" s="381"/>
      <c r="WZA115" s="381"/>
      <c r="WZB115" s="381"/>
      <c r="WZC115" s="381"/>
      <c r="WZD115" s="381"/>
      <c r="WZE115" s="381"/>
      <c r="WZF115" s="381"/>
      <c r="WZG115" s="381"/>
      <c r="WZH115" s="381"/>
      <c r="WZI115" s="381"/>
      <c r="WZJ115" s="381"/>
      <c r="WZK115" s="381"/>
      <c r="WZL115" s="381"/>
      <c r="WZM115" s="381"/>
      <c r="WZN115" s="381"/>
      <c r="WZO115" s="381"/>
      <c r="WZP115" s="381"/>
      <c r="WZQ115" s="381"/>
      <c r="WZR115" s="381"/>
      <c r="WZS115" s="381"/>
      <c r="WZT115" s="381"/>
      <c r="WZU115" s="381"/>
      <c r="WZV115" s="381"/>
      <c r="WZW115" s="381"/>
      <c r="WZX115" s="381"/>
      <c r="WZY115" s="381"/>
      <c r="WZZ115" s="381"/>
      <c r="XAA115" s="381"/>
      <c r="XAB115" s="381"/>
      <c r="XAC115" s="381"/>
      <c r="XAD115" s="381"/>
      <c r="XAE115" s="381"/>
      <c r="XAF115" s="381"/>
      <c r="XAG115" s="381"/>
      <c r="XAH115" s="381"/>
      <c r="XAI115" s="381"/>
      <c r="XAJ115" s="381"/>
      <c r="XAK115" s="381"/>
      <c r="XAL115" s="381"/>
      <c r="XAM115" s="381"/>
      <c r="XAN115" s="381"/>
      <c r="XAO115" s="381"/>
      <c r="XAP115" s="381"/>
      <c r="XAQ115" s="381"/>
      <c r="XAR115" s="381"/>
      <c r="XAS115" s="381"/>
      <c r="XAT115" s="381"/>
      <c r="XAU115" s="381"/>
      <c r="XAV115" s="381"/>
      <c r="XAW115" s="381"/>
      <c r="XAX115" s="381"/>
      <c r="XAY115" s="381"/>
      <c r="XAZ115" s="381"/>
      <c r="XBA115" s="381"/>
      <c r="XBB115" s="381"/>
      <c r="XBC115" s="381"/>
      <c r="XBD115" s="381"/>
      <c r="XBE115" s="381"/>
      <c r="XBF115" s="381"/>
      <c r="XBG115" s="381"/>
      <c r="XBH115" s="381"/>
      <c r="XBI115" s="381"/>
      <c r="XBJ115" s="381"/>
      <c r="XBK115" s="381"/>
      <c r="XBL115" s="381"/>
      <c r="XBM115" s="381"/>
      <c r="XBN115" s="381"/>
      <c r="XBO115" s="381"/>
      <c r="XBP115" s="381"/>
      <c r="XBQ115" s="381"/>
      <c r="XBR115" s="381"/>
      <c r="XBS115" s="381"/>
      <c r="XBT115" s="381"/>
      <c r="XBU115" s="381"/>
      <c r="XBV115" s="381"/>
      <c r="XBW115" s="381"/>
      <c r="XBX115" s="381"/>
      <c r="XBY115" s="381"/>
      <c r="XBZ115" s="381"/>
      <c r="XCA115" s="381"/>
      <c r="XCB115" s="381"/>
      <c r="XCC115" s="381"/>
      <c r="XCD115" s="381"/>
      <c r="XCE115" s="381"/>
      <c r="XCF115" s="381"/>
      <c r="XCG115" s="381"/>
      <c r="XCH115" s="381"/>
      <c r="XCI115" s="381"/>
      <c r="XCJ115" s="381"/>
      <c r="XCK115" s="381"/>
      <c r="XCL115" s="381"/>
      <c r="XCM115" s="381"/>
      <c r="XCN115" s="381"/>
      <c r="XCO115" s="381"/>
      <c r="XCP115" s="381"/>
      <c r="XCQ115" s="381"/>
      <c r="XCR115" s="381"/>
      <c r="XCS115" s="381"/>
      <c r="XCT115" s="381"/>
      <c r="XCU115" s="381"/>
      <c r="XCV115" s="381"/>
      <c r="XCW115" s="381"/>
      <c r="XCX115" s="381"/>
      <c r="XCY115" s="381"/>
      <c r="XCZ115" s="381"/>
      <c r="XDA115" s="381"/>
      <c r="XDB115" s="381"/>
      <c r="XDC115" s="381"/>
      <c r="XDD115" s="381"/>
      <c r="XDE115" s="381"/>
      <c r="XDF115" s="381"/>
      <c r="XDG115" s="381"/>
      <c r="XDH115" s="381"/>
      <c r="XDI115" s="381"/>
      <c r="XDJ115" s="381"/>
      <c r="XDK115" s="381"/>
      <c r="XDL115" s="381"/>
      <c r="XDM115" s="381"/>
      <c r="XDN115" s="381"/>
      <c r="XDO115" s="381"/>
      <c r="XDP115" s="381"/>
      <c r="XDQ115" s="381"/>
      <c r="XDR115" s="381"/>
      <c r="XDS115" s="381"/>
      <c r="XDT115" s="381"/>
      <c r="XDU115" s="381"/>
      <c r="XDV115" s="381"/>
      <c r="XDW115" s="381"/>
      <c r="XDX115" s="381"/>
      <c r="XDY115" s="381"/>
      <c r="XDZ115" s="381"/>
      <c r="XEA115" s="381"/>
      <c r="XEB115" s="381"/>
      <c r="XEC115" s="381"/>
      <c r="XED115" s="381"/>
      <c r="XEE115" s="381"/>
      <c r="XEF115" s="381"/>
      <c r="XEG115" s="381"/>
      <c r="XEH115" s="381"/>
      <c r="XEI115" s="381"/>
      <c r="XEJ115" s="381"/>
      <c r="XEK115" s="381"/>
      <c r="XEL115" s="381"/>
      <c r="XEM115" s="381"/>
      <c r="XEN115" s="381"/>
      <c r="XEO115" s="381"/>
      <c r="XEP115" s="381"/>
      <c r="XEQ115" s="381"/>
      <c r="XER115" s="381"/>
      <c r="XES115" s="381"/>
      <c r="XET115" s="381"/>
      <c r="XEU115" s="381"/>
      <c r="XEV115" s="381"/>
      <c r="XEW115" s="381"/>
      <c r="XEX115" s="381"/>
      <c r="XEY115" s="381"/>
      <c r="XEZ115" s="381"/>
      <c r="XFA115" s="381"/>
      <c r="XFB115" s="381"/>
      <c r="XFC115" s="381"/>
      <c r="XFD115" s="381"/>
    </row>
    <row r="116" spans="1:16384" x14ac:dyDescent="0.2">
      <c r="A116" s="440" t="str">
        <f>CONCATENATE(CHAR(34),CHAR(34),CHAR(34),"]]")</f>
        <v>"""]]</v>
      </c>
    </row>
    <row r="117" spans="1:16384" x14ac:dyDescent="0.2">
      <c r="A117" s="440" t="str">
        <f>CONCATENATE("&lt;br style=",CHAR(34),"clear:left;",CHAR(34)," /&gt;")</f>
        <v>&lt;br style="clear:left;" /&gt;</v>
      </c>
    </row>
    <row r="118" spans="1:16384" x14ac:dyDescent="0.2">
      <c r="A118" s="440" t="str">
        <f>CONCATENATE("[[!template id=divbox content=",CHAR(34),CHAR(34),CHAR(34))</f>
        <v>[[!template id=divbox content="""</v>
      </c>
    </row>
    <row r="119" spans="1:16384" x14ac:dyDescent="0.2">
      <c r="A119" s="440" t="str">
        <f>CONCATENATE("&lt;a id=",CHAR(34),RIGHT(LEFT(A120,LEN(A120)-10),LEN(LEFT(A120,LEN(A120)-10))-4),CHAR(34)," /&gt;")</f>
        <v>&lt;a id="General" /&gt;</v>
      </c>
    </row>
    <row r="120" spans="1:16384" x14ac:dyDescent="0.2">
      <c r="A120" s="440" t="str">
        <f>CONCATENATE("### ",Character!A44)</f>
        <v>### General Abilities</v>
      </c>
    </row>
    <row r="121" spans="1:16384" x14ac:dyDescent="0.2">
      <c r="A121" s="440" t="str">
        <f>CONCATENATE(":--|:--|:--")</f>
        <v>:--|:--|:--</v>
      </c>
    </row>
    <row r="122" spans="1:16384" x14ac:dyDescent="0.2">
      <c r="A122" s="440" t="str">
        <f>IF(Character!A45=" "," ",CONCATENATE(IF(ISBLANK(Character!A45)," ",Character!A45),"|",IF(ISBLANK(Character!B45)," ",Character!B45),"|",IF(ISBLANK(Character!C45)," ",Character!C45)))</f>
        <v xml:space="preserve">Animal Handling|Yes| </v>
      </c>
    </row>
    <row r="123" spans="1:16384" x14ac:dyDescent="0.2">
      <c r="A123" s="440" t="str">
        <f>IF(Character!A46=" "," ",CONCATENATE(IF(ISBLANK(Character!A46)," ",Character!A46),"|",IF(ISBLANK(Character!B46)," ",Character!B46),"|",IF(ISBLANK(Character!C46)," ",Character!C46)))</f>
        <v xml:space="preserve">Athletics|Yes| </v>
      </c>
    </row>
    <row r="124" spans="1:16384" x14ac:dyDescent="0.2">
      <c r="A124" s="440" t="str">
        <f>IF(Character!A47=" "," ",CONCATENATE(IF(ISBLANK(Character!A47)," ",Character!A47),"|",IF(ISBLANK(Character!B47)," ",Character!B47),"|",IF(ISBLANK(Character!C47)," ",Character!C47)))</f>
        <v xml:space="preserve">Awareness|Yes| </v>
      </c>
    </row>
    <row r="125" spans="1:16384" x14ac:dyDescent="0.2">
      <c r="A125" s="440" t="str">
        <f>IF(Character!A48=" "," ",CONCATENATE(IF(ISBLANK(Character!A48)," ",Character!A48),"|",IF(ISBLANK(Character!B48)," ",Character!B48),"|",IF(ISBLANK(Character!C48)," ",Character!C48)))</f>
        <v xml:space="preserve">Bargain|Yes| </v>
      </c>
    </row>
    <row r="126" spans="1:16384" x14ac:dyDescent="0.2">
      <c r="A126" s="440" t="str">
        <f>IF(Character!A49=" "," ",CONCATENATE(IF(ISBLANK(Character!A49)," ",Character!A49),"|",IF(ISBLANK(Character!B49)," ",Character!B49),"|",IF(ISBLANK(Character!C49)," ",Character!C49)))</f>
        <v xml:space="preserve">Brawl|Yes| </v>
      </c>
    </row>
    <row r="127" spans="1:16384" x14ac:dyDescent="0.2">
      <c r="A127" s="440" t="str">
        <f>IF(Character!A50=" "," ",CONCATENATE(IF(ISBLANK(Character!A50)," ",Character!A50),"|",IF(ISBLANK(Character!B50)," ",Character!B50),"|",IF(ISBLANK(Character!C50)," ",Character!C50)))</f>
        <v xml:space="preserve">Carouse|Yes| </v>
      </c>
    </row>
    <row r="128" spans="1:16384" x14ac:dyDescent="0.2">
      <c r="A128" s="440" t="str">
        <f>IF(Character!A51=" "," ",CONCATENATE(IF(ISBLANK(Character!A51)," ",Character!A51),"|",IF(ISBLANK(Character!B51)," ",Character!B51),"|",IF(ISBLANK(Character!C51)," ",Character!C51)))</f>
        <v xml:space="preserve">Charm|Yes| </v>
      </c>
    </row>
    <row r="129" spans="1:14" x14ac:dyDescent="0.2">
      <c r="A129" s="440" t="str">
        <f>IF(Character!A52=" "," ",CONCATENATE(IF(ISBLANK(Character!A52)," ",Character!A52),"|",IF(ISBLANK(Character!B52)," ",Character!B52),"|",IF(ISBLANK(Character!C52)," ",Character!C52)))</f>
        <v xml:space="preserve">Chirurgy|No| </v>
      </c>
    </row>
    <row r="130" spans="1:14" x14ac:dyDescent="0.2">
      <c r="A130" s="440" t="str">
        <f>IF(Character!A53=" "," ",CONCATENATE(IF(ISBLANK(Character!A53)," ",Character!A53),"|",IF(ISBLANK(Character!B53)," ",Character!B53),"|",IF(ISBLANK(Character!C53)," ",Character!C53)))</f>
        <v xml:space="preserve">Concentration|Yes| </v>
      </c>
    </row>
    <row r="131" spans="1:14" x14ac:dyDescent="0.2">
      <c r="A131" s="440" t="str">
        <f>IF(Character!A54=" "," ",CONCATENATE(IF(ISBLANK(Character!A54)," ",Character!A54),"|",IF(ISBLANK(Character!B54)," ",Character!B54),"|",IF(ISBLANK(Character!C54)," ",Character!C54)))</f>
        <v xml:space="preserve">Etiquette|Yes| </v>
      </c>
    </row>
    <row r="132" spans="1:14" x14ac:dyDescent="0.2">
      <c r="A132" s="440" t="str">
        <f>IF(Character!A55=" "," ",CONCATENATE(IF(ISBLANK(Character!A55)," ",Character!A55),"|",IF(ISBLANK(Character!B55)," ",Character!B55),"|",IF(ISBLANK(Character!C55)," ",Character!C55)))</f>
        <v xml:space="preserve">Folk Ken|Yes| </v>
      </c>
      <c r="H132" s="70"/>
      <c r="J132" s="70"/>
      <c r="K132" s="70"/>
      <c r="L132" s="70"/>
      <c r="N132" s="70"/>
    </row>
    <row r="133" spans="1:14" x14ac:dyDescent="0.2">
      <c r="A133" s="440" t="str">
        <f>IF(Character!A56=" "," ",CONCATENATE(IF(ISBLANK(Character!A56)," ",Character!A56),"|",IF(ISBLANK(Character!B56)," ",Character!B56),"|",IF(ISBLANK(Character!C56)," ",Character!C56)))</f>
        <v xml:space="preserve">Guile |Yes| </v>
      </c>
    </row>
    <row r="134" spans="1:14" x14ac:dyDescent="0.2">
      <c r="A134" s="440" t="str">
        <f>IF(Character!A57=" "," ",CONCATENATE(IF(ISBLANK(Character!A57)," ",Character!A57),"|",IF(ISBLANK(Character!B57)," ",Character!B57),"|",IF(ISBLANK(Character!C57)," ",Character!C57)))</f>
        <v xml:space="preserve">Hunt|Yes| </v>
      </c>
    </row>
    <row r="135" spans="1:14" x14ac:dyDescent="0.2">
      <c r="A135" s="440" t="str">
        <f>IF(Character!A58=" "," ",CONCATENATE(IF(ISBLANK(Character!A58)," ",Character!A58),"|",IF(ISBLANK(Character!B58)," ",Character!B58),"|",IF(ISBLANK(Character!C58)," ",Character!C58)))</f>
        <v xml:space="preserve">Intrigue|Yes| </v>
      </c>
    </row>
    <row r="136" spans="1:14" x14ac:dyDescent="0.2">
      <c r="A136" s="440" t="str">
        <f>IF(Character!A59=" "," ",CONCATENATE(IF(ISBLANK(Character!A59)," ",Character!A59),"|",IF(ISBLANK(Character!B59)," ",Character!B59),"|",IF(ISBLANK(Character!C59)," ",Character!C59)))</f>
        <v xml:space="preserve">Leadership|Yes| </v>
      </c>
    </row>
    <row r="137" spans="1:14" x14ac:dyDescent="0.2">
      <c r="A137" s="440" t="str">
        <f>IF(Character!A60=" "," ",CONCATENATE(IF(ISBLANK(Character!A60)," ",Character!A60),"|",IF(ISBLANK(Character!B60)," ",Character!B60),"|",IF(ISBLANK(Character!C60)," ",Character!C60)))</f>
        <v xml:space="preserve">Legerdemain|No| </v>
      </c>
    </row>
    <row r="138" spans="1:14" x14ac:dyDescent="0.2">
      <c r="A138" s="440" t="str">
        <f>IF(Character!A61=" "," ",CONCATENATE(IF(ISBLANK(Character!A61)," ",Character!A61),"|",IF(ISBLANK(Character!B61)," ",Character!B61),"|",IF(ISBLANK(Character!C61)," ",Character!C61)))</f>
        <v xml:space="preserve">Music|Yes| </v>
      </c>
    </row>
    <row r="139" spans="1:14" x14ac:dyDescent="0.2">
      <c r="A139" s="440" t="str">
        <f>IF(Character!A62=" "," ",CONCATENATE(IF(ISBLANK(Character!A62)," ",Character!A62),"|",IF(ISBLANK(Character!B62)," ",Character!B62),"|",IF(ISBLANK(Character!C62)," ",Character!C62)))</f>
        <v xml:space="preserve">Ride|Yes| </v>
      </c>
    </row>
    <row r="140" spans="1:14" x14ac:dyDescent="0.2">
      <c r="A140" s="440" t="str">
        <f>IF(Character!A63=" "," ",CONCATENATE(IF(ISBLANK(Character!A63)," ",Character!A63),"|",IF(ISBLANK(Character!B63)," ",Character!B63),"|",IF(ISBLANK(Character!C63)," ",Character!C63)))</f>
        <v xml:space="preserve">Stealth|Yes| </v>
      </c>
    </row>
    <row r="141" spans="1:14" x14ac:dyDescent="0.2">
      <c r="A141" s="440" t="str">
        <f>IF(Character!A64=" "," ",CONCATENATE(IF(ISBLANK(Character!A64)," ",Character!A64),"|",IF(ISBLANK(Character!B64)," ",Character!B64),"|",IF(ISBLANK(Character!C64)," ",Character!C64)))</f>
        <v xml:space="preserve">Survival|Yes| </v>
      </c>
    </row>
    <row r="142" spans="1:14" x14ac:dyDescent="0.2">
      <c r="A142" s="440" t="str">
        <f>IF(Character!A65=" "," ",CONCATENATE(IF(ISBLANK(Character!A65)," ",Character!A65),"|",IF(ISBLANK(Character!B65)," ",Character!B65),"|",IF(ISBLANK(Character!C65)," ",Character!C65)))</f>
        <v xml:space="preserve">Swim|Yes| </v>
      </c>
    </row>
    <row r="143" spans="1:14" x14ac:dyDescent="0.2">
      <c r="A143" s="440" t="str">
        <f>IF(Character!A66=" "," ",CONCATENATE(IF(ISBLANK(Character!A66)," ",Character!A66),"|",IF(ISBLANK(Character!B66)," ",Character!B66),"|",IF(ISBLANK(Character!C66)," ",Character!C66)))</f>
        <v xml:space="preserve">Teaching|Yes| </v>
      </c>
    </row>
    <row r="144" spans="1:14" x14ac:dyDescent="0.2">
      <c r="A144" s="440" t="s">
        <v>478</v>
      </c>
    </row>
    <row r="145" spans="1:1" x14ac:dyDescent="0.2">
      <c r="A145" s="440" t="str">
        <f>CONCATENATE(CHAR(34),CHAR(34),CHAR(34),"]]")</f>
        <v>"""]]</v>
      </c>
    </row>
    <row r="146" spans="1:1" x14ac:dyDescent="0.2">
      <c r="A146" s="440" t="str">
        <f>CONCATENATE("[[!template id=divbox content=",CHAR(34),CHAR(34),CHAR(34))</f>
        <v>[[!template id=divbox content="""</v>
      </c>
    </row>
    <row r="147" spans="1:1" x14ac:dyDescent="0.2">
      <c r="A147" s="440" t="str">
        <f>CONCATENATE("&lt;a id=",CHAR(34),RIGHT(LEFT(A148,LEN(A148)-10),LEN(LEFT(A148,LEN(A148)-10))-4),CHAR(34)," /&gt;")</f>
        <v>&lt;a id="Arcane" /&gt;</v>
      </c>
    </row>
    <row r="148" spans="1:1" x14ac:dyDescent="0.2">
      <c r="A148" s="440" t="str">
        <f>CONCATENATE("### ",Character!I44)</f>
        <v>### Arcane Abilities</v>
      </c>
    </row>
    <row r="149" spans="1:1" x14ac:dyDescent="0.2">
      <c r="A149" s="440" t="str">
        <f>CONCATENATE(":--|:--|:--")</f>
        <v>:--|:--|:--</v>
      </c>
    </row>
    <row r="150" spans="1:1" x14ac:dyDescent="0.2">
      <c r="A150" s="440" t="str">
        <f>IF(Character!I45=" "," ",CONCATENATE(IF(ISBLANK(Character!I45)," ",Character!I45),"|",IF(ISBLANK(Character!J45)," ",Character!J45),"|",IF(ISBLANK(Character!K45)," ",Character!K45)))</f>
        <v xml:space="preserve">Code of Hermes|No| </v>
      </c>
    </row>
    <row r="151" spans="1:1" x14ac:dyDescent="0.2">
      <c r="A151" s="440" t="str">
        <f>IF(Character!I46=" "," ",CONCATENATE(IF(ISBLANK(Character!I46)," ",Character!I46),"|",IF(ISBLANK(Character!J46)," ",Character!J46),"|",IF(ISBLANK(Character!K46)," ",Character!K46)))</f>
        <v xml:space="preserve">Dominion Lore|No| </v>
      </c>
    </row>
    <row r="152" spans="1:1" x14ac:dyDescent="0.2">
      <c r="A152" s="440" t="str">
        <f>IF(Character!I47=" "," ",CONCATENATE(IF(ISBLANK(Character!I47)," ",Character!I47),"|",IF(ISBLANK(Character!J47)," ",Character!J47),"|",IF(ISBLANK(Character!K47)," ",Character!K47)))</f>
        <v xml:space="preserve">Faerie Lore|No| </v>
      </c>
    </row>
    <row r="153" spans="1:1" x14ac:dyDescent="0.2">
      <c r="A153" s="440" t="str">
        <f>IF(Character!I48=" "," ",CONCATENATE(IF(ISBLANK(Character!I48)," ",Character!I48),"|",IF(ISBLANK(Character!J48)," ",Character!J48),"|",IF(ISBLANK(Character!K48)," ",Character!K48)))</f>
        <v xml:space="preserve">Finesse|Yes| </v>
      </c>
    </row>
    <row r="154" spans="1:1" x14ac:dyDescent="0.2">
      <c r="A154" s="440" t="str">
        <f>IF(Character!I49=" "," ",CONCATENATE(IF(ISBLANK(Character!I49)," ",Character!I49),"|",IF(ISBLANK(Character!J49)," ",Character!J49),"|",IF(ISBLANK(Character!K49)," ",Character!K49)))</f>
        <v xml:space="preserve">Infernal Lore|No| </v>
      </c>
    </row>
    <row r="155" spans="1:1" x14ac:dyDescent="0.2">
      <c r="A155" s="440" t="str">
        <f>IF(Character!I50=" "," ",CONCATENATE(IF(ISBLANK(Character!I50)," ",Character!I50),"|",IF(ISBLANK(Character!J50)," ",Character!J50),"|",IF(ISBLANK(Character!K50)," ",Character!K50)))</f>
        <v xml:space="preserve">Magic Lore|No| </v>
      </c>
    </row>
    <row r="156" spans="1:1" x14ac:dyDescent="0.2">
      <c r="A156" s="440" t="str">
        <f>IF(Character!I51=" "," ",CONCATENATE(IF(ISBLANK(Character!I51)," ",Character!I51),"|",IF(ISBLANK(Character!J51)," ",Character!J51),"|",IF(ISBLANK(Character!K51)," ",Character!K51)))</f>
        <v xml:space="preserve">Magic Theory|Yes| </v>
      </c>
    </row>
    <row r="157" spans="1:1" x14ac:dyDescent="0.2">
      <c r="A157" s="440" t="str">
        <f>IF(Character!I52=" "," ",CONCATENATE(IF(ISBLANK(Character!I52)," ",Character!I52),"|",IF(ISBLANK(Character!J52)," ",Character!J52),"|",IF(ISBLANK(Character!K52)," ",Character!K52)))</f>
        <v xml:space="preserve">Parma Magica|No| </v>
      </c>
    </row>
    <row r="158" spans="1:1" x14ac:dyDescent="0.2">
      <c r="A158" s="440" t="str">
        <f>IF(Character!I53=" "," ",CONCATENATE(IF(ISBLANK(Character!I53)," ",Character!I53),"|",IF(ISBLANK(Character!J53)," ",Character!J53),"|",IF(ISBLANK(Character!K53)," ",Character!K53)))</f>
        <v xml:space="preserve">Penetration|Yes| </v>
      </c>
    </row>
    <row r="159" spans="1:1" x14ac:dyDescent="0.2">
      <c r="A159" s="440" t="s">
        <v>478</v>
      </c>
    </row>
    <row r="160" spans="1:1" x14ac:dyDescent="0.2">
      <c r="A160" s="440" t="str">
        <f>CONCATENATE(CHAR(34),CHAR(34),CHAR(34),"]]")</f>
        <v>"""]]</v>
      </c>
    </row>
    <row r="161" spans="1:10" x14ac:dyDescent="0.2">
      <c r="A161" s="440" t="str">
        <f>CONCATENATE("[[!template id=divbox content=",CHAR(34),CHAR(34),CHAR(34))</f>
        <v>[[!template id=divbox content="""</v>
      </c>
      <c r="B161" s="70"/>
      <c r="C161" s="70"/>
      <c r="D161" s="70"/>
      <c r="F161" s="70"/>
      <c r="G161" s="70"/>
      <c r="H161" s="70"/>
    </row>
    <row r="162" spans="1:10" x14ac:dyDescent="0.2">
      <c r="A162" s="440" t="str">
        <f>CONCATENATE("&lt;a id=",CHAR(34),RIGHT(LEFT(A163,LEN(A163)-10),LEN(LEFT(A163,LEN(A163)-10))-4),CHAR(34)," /&gt;")</f>
        <v>&lt;a id="Academic" /&gt;</v>
      </c>
      <c r="B162" s="70"/>
      <c r="C162" s="70"/>
      <c r="D162" s="70"/>
      <c r="F162" s="70"/>
      <c r="G162" s="70"/>
      <c r="H162" s="70"/>
      <c r="J162" s="70"/>
    </row>
    <row r="163" spans="1:10" x14ac:dyDescent="0.2">
      <c r="A163" s="440" t="str">
        <f>CONCATENATE("### ",Character!E44)</f>
        <v>### Academic Abilities</v>
      </c>
      <c r="B163" s="70"/>
      <c r="C163" s="70"/>
      <c r="D163" s="70"/>
      <c r="F163" s="70"/>
      <c r="G163" s="70"/>
      <c r="H163" s="70"/>
      <c r="J163" s="70"/>
    </row>
    <row r="164" spans="1:10" x14ac:dyDescent="0.2">
      <c r="A164" s="440" t="str">
        <f>CONCATENATE(":--|:--|:--")</f>
        <v>:--|:--|:--</v>
      </c>
      <c r="B164" s="70"/>
      <c r="C164" s="70"/>
      <c r="D164" s="70"/>
      <c r="F164" s="70"/>
      <c r="G164" s="70"/>
      <c r="H164" s="70"/>
      <c r="J164" s="70"/>
    </row>
    <row r="165" spans="1:10" x14ac:dyDescent="0.2">
      <c r="A165" s="440" t="str">
        <f>IF(Character!E45=" "," ",CONCATENATE(IF(ISBLANK(Character!E45)," ",Character!E45),"|",IF(ISBLANK(Character!F45)," ",Character!F45),"|",IF(ISBLANK(Character!G45)," ",Character!G45)))</f>
        <v xml:space="preserve">Artes Liberales|No| </v>
      </c>
      <c r="B165" s="70"/>
      <c r="C165" s="70"/>
      <c r="D165" s="70"/>
      <c r="F165" s="70"/>
      <c r="G165" s="70"/>
      <c r="H165" s="70"/>
      <c r="J165" s="70"/>
    </row>
    <row r="166" spans="1:10" x14ac:dyDescent="0.2">
      <c r="A166" s="440" t="str">
        <f>IF(Character!E46=" "," ",CONCATENATE(IF(ISBLANK(Character!E46)," ",Character!E46),"|",IF(ISBLANK(Character!F46)," ",Character!F46),"|",IF(ISBLANK(Character!G46)," ",Character!G46)))</f>
        <v xml:space="preserve">Civil and Canon Law|No| </v>
      </c>
      <c r="B166" s="70"/>
      <c r="C166" s="70"/>
      <c r="D166" s="70"/>
      <c r="F166" s="70"/>
      <c r="G166" s="70"/>
      <c r="H166" s="70"/>
      <c r="J166" s="70"/>
    </row>
    <row r="167" spans="1:10" x14ac:dyDescent="0.2">
      <c r="A167" s="440" t="str">
        <f>IF(Character!E47=" "," ",CONCATENATE(IF(ISBLANK(Character!E47)," ",Character!E47),"|",IF(ISBLANK(Character!F47)," ",Character!F47),"|",IF(ISBLANK(Character!G47)," ",Character!G47)))</f>
        <v xml:space="preserve">Common Law|No| </v>
      </c>
      <c r="B167" s="70"/>
      <c r="C167" s="70"/>
      <c r="D167" s="70"/>
      <c r="F167" s="70"/>
      <c r="G167" s="70"/>
      <c r="H167" s="70"/>
      <c r="J167" s="70"/>
    </row>
    <row r="168" spans="1:10" x14ac:dyDescent="0.2">
      <c r="A168" s="440" t="str">
        <f>IF(Character!E48=" "," ",CONCATENATE(IF(ISBLANK(Character!E48)," ",Character!E48),"|",IF(ISBLANK(Character!F48)," ",Character!F48),"|",IF(ISBLANK(Character!G48)," ",Character!G48)))</f>
        <v xml:space="preserve">Medicine|No| </v>
      </c>
      <c r="B168" s="70"/>
      <c r="C168" s="70"/>
      <c r="D168" s="70"/>
      <c r="F168" s="70"/>
      <c r="G168" s="70"/>
      <c r="H168" s="70"/>
      <c r="J168" s="70"/>
    </row>
    <row r="169" spans="1:10" x14ac:dyDescent="0.2">
      <c r="A169" s="440" t="str">
        <f>IF(Character!E49=" "," ",CONCATENATE(IF(ISBLANK(Character!E49)," ",Character!E49),"|",IF(ISBLANK(Character!F49)," ",Character!F49),"|",IF(ISBLANK(Character!G49)," ",Character!G49)))</f>
        <v xml:space="preserve">Philosophiae|No| </v>
      </c>
      <c r="B169" s="70"/>
      <c r="C169" s="70"/>
      <c r="D169" s="70"/>
      <c r="E169" s="70"/>
      <c r="F169" s="70"/>
      <c r="G169" s="70"/>
      <c r="H169" s="70"/>
      <c r="J169" s="70"/>
    </row>
    <row r="170" spans="1:10" x14ac:dyDescent="0.2">
      <c r="A170" s="440" t="str">
        <f>IF(Character!E50=" "," ",CONCATENATE(IF(ISBLANK(Character!E50)," ",Character!E50),"|",IF(ISBLANK(Character!F50)," ",Character!F50),"|",IF(ISBLANK(Character!G50)," ",Character!G50)))</f>
        <v xml:space="preserve">Theology|No| </v>
      </c>
      <c r="B170" s="70"/>
      <c r="C170" s="70"/>
      <c r="D170" s="70"/>
      <c r="E170" s="70"/>
      <c r="F170" s="70"/>
      <c r="G170" s="70"/>
      <c r="H170" s="70"/>
      <c r="I170" s="70"/>
      <c r="J170" s="70"/>
    </row>
    <row r="171" spans="1:10" x14ac:dyDescent="0.2">
      <c r="A171" s="440" t="s">
        <v>478</v>
      </c>
      <c r="B171" s="70"/>
      <c r="C171" s="70"/>
      <c r="D171" s="70"/>
      <c r="E171" s="70"/>
      <c r="F171" s="70"/>
      <c r="G171" s="70"/>
      <c r="H171" s="70"/>
      <c r="I171" s="70"/>
      <c r="J171" s="70"/>
    </row>
    <row r="172" spans="1:10" x14ac:dyDescent="0.2">
      <c r="A172" s="440" t="str">
        <f>CONCATENATE(CHAR(34),CHAR(34),CHAR(34),"]]")</f>
        <v>"""]]</v>
      </c>
      <c r="B172" s="70"/>
      <c r="C172" s="70"/>
      <c r="D172" s="70"/>
      <c r="E172" s="70"/>
      <c r="F172" s="70"/>
      <c r="G172" s="70"/>
      <c r="H172" s="70"/>
      <c r="I172" s="70"/>
      <c r="J172" s="70"/>
    </row>
    <row r="173" spans="1:10" x14ac:dyDescent="0.2">
      <c r="A173" s="440" t="str">
        <f>CONCATENATE("[[!template id=divbox content=",CHAR(34),CHAR(34),CHAR(34))</f>
        <v>[[!template id=divbox content="""</v>
      </c>
    </row>
    <row r="174" spans="1:10" x14ac:dyDescent="0.2">
      <c r="A174" s="440" t="str">
        <f>CONCATENATE("&lt;a id=",CHAR(34),RIGHT(LEFT(A175,LEN(A175)-10),LEN(LEFT(A175,LEN(A175)-10))-4),CHAR(34)," /&gt;")</f>
        <v>&lt;a id="Martial" /&gt;</v>
      </c>
    </row>
    <row r="175" spans="1:10" x14ac:dyDescent="0.2">
      <c r="A175" s="440" t="str">
        <f>CONCATENATE("### ",Character!I55)</f>
        <v>### Martial Abilities</v>
      </c>
    </row>
    <row r="176" spans="1:10" x14ac:dyDescent="0.2">
      <c r="A176" s="440" t="str">
        <f>CONCATENATE(":--|:--|:--")</f>
        <v>:--|:--|:--</v>
      </c>
    </row>
    <row r="177" spans="1:10" x14ac:dyDescent="0.2">
      <c r="A177" s="440" t="str">
        <f>IF(Character!I56=" "," ",CONCATENATE(IF(ISBLANK(Character!I56)," ",Character!I56),"|",IF(ISBLANK(Character!J56)," ",Character!J56),"|",IF(ISBLANK(Character!K56)," ",Character!K56)))</f>
        <v xml:space="preserve">Bows|Yes| </v>
      </c>
    </row>
    <row r="178" spans="1:10" x14ac:dyDescent="0.2">
      <c r="A178" s="440" t="str">
        <f>IF(Character!I57=" "," ",CONCATENATE(IF(ISBLANK(Character!I57)," ",Character!I57),"|",IF(ISBLANK(Character!J57)," ",Character!J57),"|",IF(ISBLANK(Character!K57)," ",Character!K57)))</f>
        <v xml:space="preserve">Great Weapon|Yes| </v>
      </c>
    </row>
    <row r="179" spans="1:10" x14ac:dyDescent="0.2">
      <c r="A179" s="440" t="str">
        <f>IF(Character!I58=" "," ",CONCATENATE(IF(ISBLANK(Character!I58)," ",Character!I58),"|",IF(ISBLANK(Character!J58)," ",Character!J58),"|",IF(ISBLANK(Character!K58)," ",Character!K58)))</f>
        <v xml:space="preserve">Single Weapon|Yes| </v>
      </c>
    </row>
    <row r="180" spans="1:10" x14ac:dyDescent="0.2">
      <c r="A180" s="440" t="str">
        <f>IF(Character!I59=" "," ",CONCATENATE(IF(ISBLANK(Character!I59)," ",Character!I59),"|",IF(ISBLANK(Character!J59)," ",Character!J59),"|",IF(ISBLANK(Character!K59)," ",Character!K59)))</f>
        <v xml:space="preserve">Thrown Weapon|Yes| </v>
      </c>
    </row>
    <row r="181" spans="1:10" x14ac:dyDescent="0.2">
      <c r="A181" s="440" t="s">
        <v>478</v>
      </c>
    </row>
    <row r="182" spans="1:10" x14ac:dyDescent="0.2">
      <c r="A182" s="440" t="str">
        <f>CONCATENATE(CHAR(34),CHAR(34),CHAR(34),"]]")</f>
        <v>"""]]</v>
      </c>
    </row>
    <row r="183" spans="1:10" x14ac:dyDescent="0.2">
      <c r="A183" s="440" t="str">
        <f>CONCATENATE("&lt;br style=",CHAR(34),"clear:left;",CHAR(34)," /&gt;")</f>
        <v>&lt;br style="clear:left;" /&gt;</v>
      </c>
      <c r="B183" s="70"/>
      <c r="C183" s="70"/>
      <c r="D183" s="70"/>
      <c r="E183" s="70"/>
      <c r="F183" s="70"/>
      <c r="G183" s="70"/>
      <c r="H183" s="70"/>
      <c r="I183" s="70"/>
      <c r="J183" s="70"/>
    </row>
    <row r="184" spans="1:10" x14ac:dyDescent="0.2">
      <c r="A184" s="440" t="str">
        <f>CONCATENATE("[[!template id=divbox content=",CHAR(34),CHAR(34),CHAR(34))</f>
        <v>[[!template id=divbox content="""</v>
      </c>
      <c r="B184" s="70"/>
      <c r="C184" s="70"/>
      <c r="D184" s="70"/>
      <c r="E184" s="70"/>
      <c r="F184" s="70"/>
      <c r="G184" s="70"/>
      <c r="H184" s="70"/>
      <c r="I184" s="70"/>
      <c r="J184" s="70"/>
    </row>
    <row r="185" spans="1:10" x14ac:dyDescent="0.2">
      <c r="A185" s="440" t="str">
        <f>CONCATENATE("&lt;a id=",CHAR(34),"Lores",CHAR(34)," /&gt;")</f>
        <v>&lt;a id="Lores" /&gt;</v>
      </c>
    </row>
    <row r="186" spans="1:10" x14ac:dyDescent="0.2">
      <c r="A186" s="440" t="str">
        <f>CONCATENATE("### ","Lores")</f>
        <v>### Lores</v>
      </c>
    </row>
    <row r="187" spans="1:10" x14ac:dyDescent="0.2">
      <c r="A187" s="440" t="str">
        <f>IF(Character!E53=" "," ",CONCATENATE(":--|:--|:--"))</f>
        <v xml:space="preserve"> </v>
      </c>
    </row>
    <row r="188" spans="1:10" x14ac:dyDescent="0.2">
      <c r="A188" s="440" t="str">
        <f>IF(Character!E53=" ","||",CONCATENATE(IF(ISBLANK(Character!E53)," ",Character!E53),"|",IF(ISBLANK(Character!F53)," ",Character!F53),"|",IF(ISBLANK(Character!G53)," ",Character!G53)))</f>
        <v>||</v>
      </c>
    </row>
    <row r="189" spans="1:10" x14ac:dyDescent="0.2">
      <c r="A189" s="440" t="str">
        <f>IF(Character!E54=" ","||",CONCATENATE(IF(ISBLANK(Character!E54)," ",Character!E54),"|",IF(ISBLANK(Character!F54)," ",Character!F54),"|",IF(ISBLANK(Character!G54)," ",Character!G54)))</f>
        <v>||</v>
      </c>
    </row>
    <row r="190" spans="1:10" x14ac:dyDescent="0.2">
      <c r="A190" s="440" t="str">
        <f>IF(Character!E55=" ","||",CONCATENATE(IF(ISBLANK(Character!E55)," ",Character!E55),"|",IF(ISBLANK(Character!F55)," ",Character!F55),"|",IF(ISBLANK(Character!G55)," ",Character!G55)))</f>
        <v>||</v>
      </c>
    </row>
    <row r="191" spans="1:10" x14ac:dyDescent="0.2">
      <c r="A191" s="440" t="str">
        <f>IF(Character!E56=" ","||",CONCATENATE(IF(ISBLANK(Character!E56)," ",Character!E56),"|",IF(ISBLANK(Character!F56)," ",Character!F56),"|",IF(ISBLANK(Character!G56)," ",Character!G56)))</f>
        <v>||</v>
      </c>
    </row>
    <row r="192" spans="1:10" x14ac:dyDescent="0.2">
      <c r="A192" s="440" t="str">
        <f>IF(Character!E57=" ","||",CONCATENATE(IF(ISBLANK(Character!E57)," ",Character!E57),"|",IF(ISBLANK(Character!F57)," ",Character!F57),"|",IF(ISBLANK(Character!G57)," ",Character!G57)))</f>
        <v>||</v>
      </c>
    </row>
    <row r="193" spans="1:1" x14ac:dyDescent="0.2">
      <c r="A193" s="440" t="str">
        <f>IF(Character!E58=" ","||",CONCATENATE(IF(ISBLANK(Character!E58)," ",Character!E58),"|",IF(ISBLANK(Character!F58)," ",Character!F58),"|",IF(ISBLANK(Character!G58)," ",Character!G58)))</f>
        <v>||</v>
      </c>
    </row>
    <row r="194" spans="1:1" x14ac:dyDescent="0.2">
      <c r="A194" s="440" t="s">
        <v>478</v>
      </c>
    </row>
    <row r="195" spans="1:1" x14ac:dyDescent="0.2">
      <c r="A195" s="440" t="str">
        <f>CONCATENATE(CHAR(34),CHAR(34),CHAR(34),"]]")</f>
        <v>"""]]</v>
      </c>
    </row>
    <row r="196" spans="1:1" x14ac:dyDescent="0.2">
      <c r="A196" s="440" t="str">
        <f>CONCATENATE("[[!template id=divbox content=",CHAR(34),CHAR(34),CHAR(34))</f>
        <v>[[!template id=divbox content="""</v>
      </c>
    </row>
    <row r="197" spans="1:1" x14ac:dyDescent="0.2">
      <c r="A197" s="440" t="str">
        <f>CONCATENATE("&lt;a id=",CHAR(34),RIGHT(A198,LEN(A198)-4),CHAR(34)," /&gt;")</f>
        <v>&lt;a id="Languages" /&gt;</v>
      </c>
    </row>
    <row r="198" spans="1:1" x14ac:dyDescent="0.2">
      <c r="A198" s="440" t="str">
        <f>CONCATENATE("### ",Character!M44)</f>
        <v>### Languages</v>
      </c>
    </row>
    <row r="199" spans="1:1" x14ac:dyDescent="0.2">
      <c r="A199" s="440" t="str">
        <f>IF(Character!M45=" "," ",CONCATENATE(":--|:--|:--"))</f>
        <v xml:space="preserve"> </v>
      </c>
    </row>
    <row r="200" spans="1:1" x14ac:dyDescent="0.2">
      <c r="A200" s="440" t="str">
        <f>IF(Character!M45=" ","||",CONCATENATE(IF(ISBLANK(Character!M45)," ",Character!M45),"|",IF(ISBLANK(Character!N45)," ",Character!N45),"|",IF(ISBLANK(Character!O45)," ",Character!O45)))</f>
        <v>||</v>
      </c>
    </row>
    <row r="201" spans="1:1" x14ac:dyDescent="0.2">
      <c r="A201" s="440" t="str">
        <f>IF(Character!M46=" ","||",CONCATENATE(IF(ISBLANK(Character!M46)," ",Character!M46),"|",IF(ISBLANK(Character!N46)," ",Character!N46),"|",IF(ISBLANK(Character!O46)," ",Character!O46)))</f>
        <v>||</v>
      </c>
    </row>
    <row r="202" spans="1:1" x14ac:dyDescent="0.2">
      <c r="A202" s="440" t="str">
        <f>IF(Character!M47=" ","||",CONCATENATE(IF(ISBLANK(Character!M47)," ",Character!M47),"|",IF(ISBLANK(Character!N47)," ",Character!N47),"|",IF(ISBLANK(Character!O47)," ",Character!O47)))</f>
        <v>||</v>
      </c>
    </row>
    <row r="203" spans="1:1" x14ac:dyDescent="0.2">
      <c r="A203" s="440" t="str">
        <f>IF(Character!M48=" ","||",CONCATENATE(IF(ISBLANK(Character!M48)," ",Character!M48),"|",IF(ISBLANK(Character!N48)," ",Character!N48),"|",IF(ISBLANK(Character!O48)," ",Character!O48)))</f>
        <v>||</v>
      </c>
    </row>
    <row r="204" spans="1:1" x14ac:dyDescent="0.2">
      <c r="A204" s="440" t="str">
        <f>IF(Character!M49=" ","||",CONCATENATE(IF(ISBLANK(Character!M49)," ",Character!M49),"|",IF(ISBLANK(Character!N49)," ",Character!N49),"|",IF(ISBLANK(Character!O49)," ",Character!O49)))</f>
        <v>||</v>
      </c>
    </row>
    <row r="205" spans="1:1" x14ac:dyDescent="0.2">
      <c r="A205" s="440" t="str">
        <f>IF(Character!M50=" ","||",CONCATENATE(IF(ISBLANK(Character!M50)," ",Character!M50),"|",IF(ISBLANK(Character!N50)," ",Character!N50),"|",IF(ISBLANK(Character!O50)," ",Character!O50)))</f>
        <v>||</v>
      </c>
    </row>
    <row r="206" spans="1:1" x14ac:dyDescent="0.2">
      <c r="A206" s="440" t="str">
        <f>IF(Character!M51=" ","||",CONCATENATE(IF(ISBLANK(Character!M51)," ",Character!M51),"|",IF(ISBLANK(Character!N51)," ",Character!N51),"|",IF(ISBLANK(Character!O51)," ",Character!O51)))</f>
        <v>||</v>
      </c>
    </row>
    <row r="207" spans="1:1" x14ac:dyDescent="0.2">
      <c r="A207" s="440" t="str">
        <f>IF(Character!M52=" ","||",CONCATENATE(IF(ISBLANK(Character!M52)," ",Character!M52),"|",IF(ISBLANK(Character!N52)," ",Character!N52),"|",IF(ISBLANK(Character!O52)," ",Character!O52)))</f>
        <v>||</v>
      </c>
    </row>
    <row r="208" spans="1:1" x14ac:dyDescent="0.2">
      <c r="A208" s="440" t="str">
        <f>IF(Character!M53=" ","||",CONCATENATE(IF(ISBLANK(Character!M53)," ",Character!M53),"|",IF(ISBLANK(Character!N53)," ",Character!N53),"|",IF(ISBLANK(Character!O53)," ",Character!O53)))</f>
        <v>||</v>
      </c>
    </row>
    <row r="209" spans="1:1" x14ac:dyDescent="0.2">
      <c r="A209" s="440" t="s">
        <v>478</v>
      </c>
    </row>
    <row r="210" spans="1:1" x14ac:dyDescent="0.2">
      <c r="A210" s="440" t="str">
        <f>CONCATENATE(CHAR(34),CHAR(34),CHAR(34),"]]")</f>
        <v>"""]]</v>
      </c>
    </row>
    <row r="211" spans="1:1" x14ac:dyDescent="0.2">
      <c r="A211" s="440" t="str">
        <f>CONCATENATE("[[!template id=divbox content=",CHAR(34),CHAR(34),CHAR(34))</f>
        <v>[[!template id=divbox content="""</v>
      </c>
    </row>
    <row r="212" spans="1:1" x14ac:dyDescent="0.2">
      <c r="A212" s="440" t="str">
        <f>CONCATENATE("&lt;a id=",CHAR(34),"Crafts",CHAR(34)," /&gt;")</f>
        <v>&lt;a id="Crafts" /&gt;</v>
      </c>
    </row>
    <row r="213" spans="1:1" x14ac:dyDescent="0.2">
      <c r="A213" s="440" t="str">
        <f>CONCATENATE("### ","Crafts/Professions")</f>
        <v>### Crafts/Professions</v>
      </c>
    </row>
    <row r="214" spans="1:1" x14ac:dyDescent="0.2">
      <c r="A214" s="440" t="str">
        <f>IF(Character!E61=" "," ",CONCATENATE(":--|:--|:--"))</f>
        <v xml:space="preserve"> </v>
      </c>
    </row>
    <row r="215" spans="1:1" x14ac:dyDescent="0.2">
      <c r="A215" s="440" t="str">
        <f>IF(Character!E61=" ","||",CONCATENATE(IF(ISBLANK(Character!E61)," ",Character!E61),"|",IF(ISBLANK(Character!F61)," ",Character!F61),"|",IF(ISBLANK(Character!G61)," ",Character!G61)))</f>
        <v>||</v>
      </c>
    </row>
    <row r="216" spans="1:1" x14ac:dyDescent="0.2">
      <c r="A216" s="440" t="str">
        <f>IF(Character!E62=" ","||",CONCATENATE(IF(ISBLANK(Character!E62)," ",Character!E62),"|",IF(ISBLANK(Character!F62)," ",Character!F62),"|",IF(ISBLANK(Character!G62)," ",Character!G62)))</f>
        <v>||</v>
      </c>
    </row>
    <row r="217" spans="1:1" x14ac:dyDescent="0.2">
      <c r="A217" s="440" t="str">
        <f>IF(Character!E63=" ","||",CONCATENATE(IF(ISBLANK(Character!E63)," ",Character!E63),"|",IF(ISBLANK(Character!F63)," ",Character!F63),"|",IF(ISBLANK(Character!G63)," ",Character!G63)))</f>
        <v>||</v>
      </c>
    </row>
    <row r="218" spans="1:1" x14ac:dyDescent="0.2">
      <c r="A218" s="440" t="str">
        <f>IF(Character!E64=" ","||",CONCATENATE(IF(ISBLANK(Character!E64)," ",Character!E64),"|",IF(ISBLANK(Character!F64)," ",Character!F64),"|",IF(ISBLANK(Character!G64)," ",Character!G64)))</f>
        <v>||</v>
      </c>
    </row>
    <row r="219" spans="1:1" x14ac:dyDescent="0.2">
      <c r="A219" s="440" t="str">
        <f>IF(Character!E65=" ","||",CONCATENATE(IF(ISBLANK(Character!E65)," ",Character!E65),"|",IF(ISBLANK(Character!F65)," ",Character!F65),"|",IF(ISBLANK(Character!G65)," ",Character!G65)))</f>
        <v>||</v>
      </c>
    </row>
    <row r="220" spans="1:1" x14ac:dyDescent="0.2">
      <c r="A220" s="440" t="str">
        <f>IF(Character!E66=" ","||",CONCATENATE(IF(ISBLANK(Character!E66)," ",Character!E66),"|",IF(ISBLANK(Character!F66)," ",Character!F66),"|",IF(ISBLANK(Character!G66)," ",Character!G66)))</f>
        <v>||</v>
      </c>
    </row>
    <row r="221" spans="1:1" x14ac:dyDescent="0.2">
      <c r="A221" s="440" t="s">
        <v>478</v>
      </c>
    </row>
    <row r="222" spans="1:1" x14ac:dyDescent="0.2">
      <c r="A222" s="440" t="str">
        <f>CONCATENATE(CHAR(34),CHAR(34),CHAR(34),"]]")</f>
        <v>"""]]</v>
      </c>
    </row>
    <row r="223" spans="1:1" x14ac:dyDescent="0.2">
      <c r="A223" s="440" t="str">
        <f>CONCATENATE("[[!template id=divbox content=",CHAR(34),CHAR(34),CHAR(34))</f>
        <v>[[!template id=divbox content="""</v>
      </c>
    </row>
    <row r="224" spans="1:1" x14ac:dyDescent="0.2">
      <c r="A224" s="440" t="str">
        <f>CONCATENATE("&lt;a id=",CHAR(34),"Supernatural",CHAR(34)," /&gt;")</f>
        <v>&lt;a id="Supernatural" /&gt;</v>
      </c>
    </row>
    <row r="225" spans="1:1" x14ac:dyDescent="0.2">
      <c r="A225" s="440" t="str">
        <f>CONCATENATE("### ","Supernatural")</f>
        <v>### Supernatural</v>
      </c>
    </row>
    <row r="226" spans="1:1" x14ac:dyDescent="0.2">
      <c r="A226" s="440" t="str">
        <f>IF(Character!M56=" "," ",CONCATENATE(":--|:--|:--"))</f>
        <v xml:space="preserve"> </v>
      </c>
    </row>
    <row r="227" spans="1:1" x14ac:dyDescent="0.2">
      <c r="A227" s="440" t="str">
        <f>IF(Character!M56=" ","||",CONCATENATE(IF(ISBLANK(Character!M56)," ",Character!M56),"|",IF(ISBLANK(Character!N56)," ",Character!N56),"|",IF(ISBLANK(Character!O56)," ",Character!O56)))</f>
        <v>||</v>
      </c>
    </row>
    <row r="228" spans="1:1" x14ac:dyDescent="0.2">
      <c r="A228" s="440" t="str">
        <f>IF(Character!M57=" ","||",CONCATENATE(IF(ISBLANK(Character!M57)," ",Character!M57),"|",IF(ISBLANK(Character!N57)," ",Character!N57),"|",IF(ISBLANK(Character!O57)," ",Character!O57)))</f>
        <v>||</v>
      </c>
    </row>
    <row r="229" spans="1:1" x14ac:dyDescent="0.2">
      <c r="A229" s="440" t="str">
        <f>IF(Character!M58=" ","||",CONCATENATE(IF(ISBLANK(Character!M58)," ",Character!M58),"|",IF(ISBLANK(Character!N58)," ",Character!N58),"|",IF(ISBLANK(Character!O58)," ",Character!O58)))</f>
        <v>||</v>
      </c>
    </row>
    <row r="230" spans="1:1" x14ac:dyDescent="0.2">
      <c r="A230" s="440" t="str">
        <f>IF(Character!M59=" ","||",CONCATENATE(IF(ISBLANK(Character!M59)," ",Character!M59),"|",IF(ISBLANK(Character!N59)," ",Character!N59),"|",IF(ISBLANK(Character!O59)," ",Character!O59)))</f>
        <v>||</v>
      </c>
    </row>
    <row r="231" spans="1:1" x14ac:dyDescent="0.2">
      <c r="A231" s="440" t="str">
        <f>IF(Character!M60=" ","||",CONCATENATE(IF(ISBLANK(Character!M60)," ",Character!M60),"|",IF(ISBLANK(Character!N60)," ",Character!N60),"|",IF(ISBLANK(Character!O60)," ",Character!O60)))</f>
        <v>||</v>
      </c>
    </row>
    <row r="232" spans="1:1" x14ac:dyDescent="0.2">
      <c r="A232" s="440" t="str">
        <f>IF(Character!M61=" ","||",CONCATENATE(IF(ISBLANK(Character!M61)," ",Character!M61),"|",IF(ISBLANK(Character!N61)," ",Character!N61),"|",IF(ISBLANK(Character!O61)," ",Character!O61)))</f>
        <v>||</v>
      </c>
    </row>
    <row r="233" spans="1:1" x14ac:dyDescent="0.2">
      <c r="A233" s="440" t="str">
        <f>IF(Character!M62=" ","||",CONCATENATE(IF(ISBLANK(Character!M62)," ",Character!M62),"|",IF(ISBLANK(Character!N62)," ",Character!N62),"|",IF(ISBLANK(Character!O62)," ",Character!O62)))</f>
        <v>||</v>
      </c>
    </row>
    <row r="234" spans="1:1" x14ac:dyDescent="0.2">
      <c r="A234" s="440" t="str">
        <f>IF(Character!M63=" ","||",CONCATENATE(IF(ISBLANK(Character!M63)," ",Character!M63),"|",IF(ISBLANK(Character!N63)," ",Character!N63),"|",IF(ISBLANK(Character!O63)," ",Character!O63)))</f>
        <v>||</v>
      </c>
    </row>
    <row r="235" spans="1:1" x14ac:dyDescent="0.2">
      <c r="A235" s="440" t="str">
        <f>IF(Character!M64=" ","||",CONCATENATE(IF(ISBLANK(Character!M64)," ",Character!M64),"|",IF(ISBLANK(Character!N64)," ",Character!N64),"|",IF(ISBLANK(Character!O64)," ",Character!O64)))</f>
        <v>||</v>
      </c>
    </row>
    <row r="236" spans="1:1" x14ac:dyDescent="0.2">
      <c r="A236" s="440" t="str">
        <f>IF(Character!M65=" ","||",CONCATENATE(IF(ISBLANK(Character!M65)," ",Character!M65),"|",IF(ISBLANK(Character!N65)," ",Character!N65),"|",IF(ISBLANK(Character!O65)," ",Character!O65)))</f>
        <v>||</v>
      </c>
    </row>
    <row r="237" spans="1:1" x14ac:dyDescent="0.2">
      <c r="A237" s="440" t="str">
        <f>IF(Character!M66=" ","||",CONCATENATE(IF(ISBLANK(Character!M66)," ",Character!M66),"|",IF(ISBLANK(Character!N66)," ",Character!N66),"|",IF(ISBLANK(Character!O66)," ",Character!O66)))</f>
        <v>||</v>
      </c>
    </row>
    <row r="238" spans="1:1" x14ac:dyDescent="0.2">
      <c r="A238" s="440" t="s">
        <v>478</v>
      </c>
    </row>
    <row r="239" spans="1:1" x14ac:dyDescent="0.2">
      <c r="A239" s="440" t="str">
        <f>CONCATENATE(CHAR(34),CHAR(34),CHAR(34),"]]")</f>
        <v>"""]]</v>
      </c>
    </row>
    <row r="240" spans="1:1" x14ac:dyDescent="0.2">
      <c r="A240" s="440" t="str">
        <f>CONCATENATE("[[!template id=divbox content=",CHAR(34),CHAR(34),CHAR(34))</f>
        <v>[[!template id=divbox content="""</v>
      </c>
    </row>
    <row r="241" spans="1:1" x14ac:dyDescent="0.2">
      <c r="A241" s="440" t="str">
        <f>CONCATENATE("&lt;a id=",CHAR(34),"Other",CHAR(34)," /&gt;")</f>
        <v>&lt;a id="Other" /&gt;</v>
      </c>
    </row>
    <row r="242" spans="1:1" x14ac:dyDescent="0.2">
      <c r="A242" s="440" t="str">
        <f>CONCATENATE("### ",Character!I61)</f>
        <v>### Other Abilities</v>
      </c>
    </row>
    <row r="243" spans="1:1" x14ac:dyDescent="0.2">
      <c r="A243" s="440" t="str">
        <f>CONCATENATE(":--|:--|:--")</f>
        <v>:--|:--|:--</v>
      </c>
    </row>
    <row r="244" spans="1:1" x14ac:dyDescent="0.2">
      <c r="A244" s="440" t="str">
        <f>IF(Character!I62=" ","||",CONCATENATE(IF(ISBLANK(Character!I62)," ",Character!I62),"|",IF(ISBLANK(Character!J62)," ",Character!J62),"|",IF(ISBLANK(Character!K62)," ",Character!K62)))</f>
        <v>||</v>
      </c>
    </row>
    <row r="245" spans="1:1" x14ac:dyDescent="0.2">
      <c r="A245" s="440" t="str">
        <f>IF(Character!I63=" ","||",CONCATENATE(IF(ISBLANK(Character!I63)," ",Character!I63),"|",IF(ISBLANK(Character!J63)," ",Character!J63),"|",IF(ISBLANK(Character!K63)," ",Character!K63)))</f>
        <v>||</v>
      </c>
    </row>
    <row r="246" spans="1:1" x14ac:dyDescent="0.2">
      <c r="A246" s="440" t="str">
        <f>IF(Character!I64=" ","||",CONCATENATE(IF(ISBLANK(Character!I64)," ",Character!I64),"|",IF(ISBLANK(Character!J64)," ",Character!J64),"|",IF(ISBLANK(Character!K64)," ",Character!K64)))</f>
        <v>||</v>
      </c>
    </row>
    <row r="247" spans="1:1" x14ac:dyDescent="0.2">
      <c r="A247" s="440" t="str">
        <f>IF(Character!I65=" ","||",CONCATENATE(IF(ISBLANK(Character!I65)," ",Character!I65),"|",IF(ISBLANK(Character!J65)," ",Character!J65),"|",IF(ISBLANK(Character!K65)," ",Character!K65)))</f>
        <v>||</v>
      </c>
    </row>
    <row r="248" spans="1:1" x14ac:dyDescent="0.2">
      <c r="A248" s="440" t="str">
        <f>IF(Character!I66=" ","||",CONCATENATE(IF(ISBLANK(Character!I66)," ",Character!I66),"|",IF(ISBLANK(Character!J66)," ",Character!J66),"|",IF(ISBLANK(Character!K66)," ",Character!K66)))</f>
        <v>||</v>
      </c>
    </row>
    <row r="249" spans="1:1" x14ac:dyDescent="0.2">
      <c r="A249" s="440" t="s">
        <v>478</v>
      </c>
    </row>
    <row r="250" spans="1:1" x14ac:dyDescent="0.2">
      <c r="A250" s="440" t="str">
        <f>CONCATENATE(CHAR(34),CHAR(34),CHAR(34),"]]")</f>
        <v>"""]]</v>
      </c>
    </row>
    <row r="251" spans="1:1" x14ac:dyDescent="0.2">
      <c r="A251" s="440" t="str">
        <f>CONCATENATE("&lt;br style=",CHAR(34),"clear:left;",CHAR(34)," /&gt;")</f>
        <v>&lt;br style="clear:left;" /&gt;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2"/>
  <sheetViews>
    <sheetView topLeftCell="A175" workbookViewId="0">
      <selection activeCell="A2" sqref="A2"/>
    </sheetView>
  </sheetViews>
  <sheetFormatPr defaultRowHeight="12.75" x14ac:dyDescent="0.2"/>
  <sheetData>
    <row r="1" spans="1:12" x14ac:dyDescent="0.2">
      <c r="A1" s="462" t="str">
        <f>'Wiki - Main'!A1</f>
        <v>[[!template id=character name=" " house=" " job=" " rank=" " appage=-683 born=/0/0 updated=1216/10/13 covenant=" " parens=" " origin=" " ethnicity=" " religion=" " age=-683 ]]</v>
      </c>
    </row>
    <row r="2" spans="1:12" x14ac:dyDescent="0.2">
      <c r="A2" s="440" t="str">
        <f>'Wiki - Main'!A2</f>
        <v xml:space="preserve">##  </v>
      </c>
    </row>
    <row r="3" spans="1:12" x14ac:dyDescent="0.2">
      <c r="A3" s="440"/>
    </row>
    <row r="4" spans="1:12" x14ac:dyDescent="0.2">
      <c r="A4" s="440" t="str">
        <f>CONCATENATE("----")</f>
        <v>----</v>
      </c>
    </row>
    <row r="5" spans="1:12" x14ac:dyDescent="0.2">
      <c r="A5" s="440" t="str">
        <f>'Wiki - Main'!A5</f>
        <v>[[Main|]] / [[Magic|/Magic]] / [[Skills|/Skills]] / [[Stats|/Stats]] / [[Additional Detail|/AdditionalDetail]]</v>
      </c>
    </row>
    <row r="6" spans="1:12" x14ac:dyDescent="0.2">
      <c r="A6" s="440"/>
    </row>
    <row r="7" spans="1:12" x14ac:dyDescent="0.2">
      <c r="A7" s="440" t="str">
        <f>CONCATENATE("----")</f>
        <v>----</v>
      </c>
    </row>
    <row r="8" spans="1:12" x14ac:dyDescent="0.2">
      <c r="A8" s="440" t="str">
        <f>CONCATENATE("[[Miscellaneous|",'Start Character'!B2,"/Stats#Miscellaneous]]"," | ","[[Characteristics|",'Start Character'!B2,"/Stats#Characteristics]]",IF(LEFT(A39,1)="[",CONCATENATE(" | ","[[Magical Characteristics|",'Start Character'!B2,"/Stats#Magical]]"," | ")," | "),"[[Weapons|",'Start Character'!B2,"/Stats#Weapons]]"," | ","[[Wounds|",'Start Character'!B2,"/Stats#Wounds]]"," | ","[[Fatigue|",'Start Character'!B2,"/Stats#Fatigue]]"," | ","[[Armour|",'Start Character'!B2,"/Stats#Armour]]"," | ","[[Other Combat|",'Start Character'!B2,"/Stats#Other]]",IF(LEFT(A118,1)="[",CONCATENATE(" | ","[[Mundane Qualities|",'Start Character'!B2,"/Stats#MundaneQualities]]")," "),IF(LEFT(A139,1)="[",CONCATENATE(" | ","[[Mundane Inferiorities|",'Start Character'!B2,"/Stats#MundaneInferiorities]]")," "),IF(LEFT(A160,1)="[",CONCATENATE(" | ","[[Supernatural Qualities|",'Start Character'!B2,"/Stats#SupernaturalQualities]]")," "),IF(LEFT(A181,1)="[",CONCATENATE(" | ","[[Supernatual Inferiorities|",'Start Character'!B2,"/Stats#SupernaturalInferiorities]]")," "))</f>
        <v xml:space="preserve">[[Miscellaneous|/Stats#Miscellaneous]] | [[Characteristics|/Stats#Characteristics]] | [[Weapons|/Stats#Weapons]] | [[Wounds|/Stats#Wounds]] | [[Fatigue|/Stats#Fatigue]] | [[Armour|/Stats#Armour]] | [[Other Combat|/Stats#Other]]    </v>
      </c>
    </row>
    <row r="9" spans="1:12" x14ac:dyDescent="0.2">
      <c r="A9" s="440"/>
    </row>
    <row r="10" spans="1:12" x14ac:dyDescent="0.2">
      <c r="A10" s="440" t="str">
        <f>CONCATENATE("----")</f>
        <v>----</v>
      </c>
    </row>
    <row r="11" spans="1:12" x14ac:dyDescent="0.2">
      <c r="A11" s="440" t="str">
        <f>CONCATENATE("[[!template id=divbox content=",CHAR(34),CHAR(34),CHAR(34))</f>
        <v>[[!template id=divbox content="""</v>
      </c>
      <c r="F11" s="70"/>
      <c r="G11" s="70"/>
      <c r="I11" s="70"/>
      <c r="J11" s="70"/>
      <c r="K11" s="70"/>
      <c r="L11" s="70"/>
    </row>
    <row r="12" spans="1:12" x14ac:dyDescent="0.2">
      <c r="A12" s="440" t="str">
        <f>CONCATENATE("&lt;a id=",CHAR(34),RIGHT(A13,LEN(A13)-4),CHAR(34)," /&gt;")</f>
        <v>&lt;a id="Miscellaneous" /&gt;</v>
      </c>
      <c r="F12" s="70"/>
      <c r="G12" s="70"/>
      <c r="I12" s="70"/>
      <c r="J12" s="70"/>
      <c r="K12" s="70"/>
      <c r="L12" s="70"/>
    </row>
    <row r="13" spans="1:12" x14ac:dyDescent="0.2">
      <c r="A13" s="440" t="str">
        <f>CONCATENATE("### ",IF(ISBLANK(Character!E8)," ",Character!E8))</f>
        <v>### Miscellaneous</v>
      </c>
      <c r="F13" s="70"/>
      <c r="G13" s="70"/>
      <c r="I13" s="70"/>
      <c r="J13" s="70"/>
      <c r="K13" s="70"/>
      <c r="L13" s="70"/>
    </row>
    <row r="14" spans="1:12" x14ac:dyDescent="0.2">
      <c r="A14" s="440" t="str">
        <f>CONCATENATE(":--|:--|:--")</f>
        <v>:--|:--|:--</v>
      </c>
      <c r="F14" s="70"/>
      <c r="G14" s="70"/>
      <c r="I14" s="70"/>
      <c r="J14" s="70"/>
      <c r="K14" s="70"/>
      <c r="L14" s="70"/>
    </row>
    <row r="15" spans="1:12" x14ac:dyDescent="0.2">
      <c r="A15" s="440" t="str">
        <f>IF(Character!I9=" "," ",CONCATENATE(IF(ISBLANK(Character!E9)," ",Character!E9),"|",IF(ISBLANK(Character!F9)," ",Character!F9),"|",IF(ISBLANK(Character!G9)," ",Character!G9)))</f>
        <v xml:space="preserve">Type| | </v>
      </c>
      <c r="F15" s="70"/>
      <c r="G15" s="70"/>
      <c r="I15" s="70"/>
      <c r="J15" s="70"/>
      <c r="K15" s="70"/>
      <c r="L15" s="70"/>
    </row>
    <row r="16" spans="1:12" x14ac:dyDescent="0.2">
      <c r="A16" s="440" t="str">
        <f>IF(Character!I10=" "," ",CONCATENATE(IF(ISBLANK(Character!E10)," ",Character!E10),"|",IF(ISBLANK(Character!F10)," ",Character!F10),"|",IF(ISBLANK(Character!G10)," ",Character!G10)))</f>
        <v xml:space="preserve">Gift|Gifted| </v>
      </c>
      <c r="F16" s="70"/>
      <c r="G16" s="70"/>
      <c r="I16" s="70"/>
      <c r="J16" s="70"/>
      <c r="K16" s="70"/>
      <c r="L16" s="70"/>
    </row>
    <row r="17" spans="1:20" x14ac:dyDescent="0.2">
      <c r="A17" s="440" t="str">
        <f>IF(Character!I11=" "," ",CONCATENATE(IF(ISBLANK(Character!E11)," ",Character!E11),"|",IF(ISBLANK(Character!F11)," ",Character!F11),"|",IF(ISBLANK(Character!G11)," ",Character!G11)))</f>
        <v xml:space="preserve">Size|0| 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</row>
    <row r="18" spans="1:20" x14ac:dyDescent="0.2">
      <c r="A18" s="440" t="str">
        <f>IF(Character!I12=" "," ",CONCATENATE(IF(ISBLANK(Character!E12)," ",Character!E12),"|",IF(ISBLANK(Character!F12)," ",Character!F12),"|",IF(ISBLANK(Character!G12)," ",Character!G12)))</f>
        <v xml:space="preserve">Decrepitude|0| </v>
      </c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</row>
    <row r="19" spans="1:20" x14ac:dyDescent="0.2">
      <c r="A19" s="440" t="str">
        <f>IF(Character!I13=" "," ",CONCATENATE(IF(ISBLANK(Character!E13)," ",Character!E13),"|",IF(ISBLANK(Character!F13)," ",Character!F13),"|",IF(ISBLANK(Character!G13)," ",Character!G13)))</f>
        <v xml:space="preserve">Warping Score|0| </v>
      </c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</row>
    <row r="20" spans="1:20" x14ac:dyDescent="0.2">
      <c r="A20" s="440" t="str">
        <f>IF(Character!I14=" "," ",CONCATENATE(IF(ISBLANK(Character!E14)," ",Character!E14),"|",IF(ISBLANK(Character!F14)," ",Character!F14),"|",IF(ISBLANK(Character!G14)," ",Character!G14)))</f>
        <v xml:space="preserve">Confidence Score|1| </v>
      </c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</row>
    <row r="21" spans="1:20" x14ac:dyDescent="0.2">
      <c r="A21" s="440" t="str">
        <f>IF(Character!I15=" "," ",CONCATENATE(IF(ISBLANK(Character!E15)," ",Character!E15),"|",IF(ISBLANK(Character!F15)," ",Character!F15),"|",IF(ISBLANK(Character!G15)," ",Character!G15)))</f>
        <v xml:space="preserve">Confidence Points|3| </v>
      </c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</row>
    <row r="22" spans="1:20" x14ac:dyDescent="0.2">
      <c r="A22" s="440" t="str">
        <f>IF(Character!I16=" "," ",CONCATENATE(IF(ISBLANK(Character!E16)," ",Character!E16),"|",IF(ISBLANK(Character!F16)," ",Character!F16),"|",IF(ISBLANK(Character!G16)," ",Character!G16)))</f>
        <v xml:space="preserve">Faith Points|0| </v>
      </c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</row>
    <row r="23" spans="1:20" x14ac:dyDescent="0.2">
      <c r="A23" s="440" t="s">
        <v>478</v>
      </c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</row>
    <row r="24" spans="1:20" x14ac:dyDescent="0.2">
      <c r="A24" s="440" t="str">
        <f>CONCATENATE(CHAR(34),CHAR(34),CHAR(34),"]]")</f>
        <v>"""]]</v>
      </c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</row>
    <row r="25" spans="1:20" x14ac:dyDescent="0.2">
      <c r="A25" s="440" t="str">
        <f>CONCATENATE("[[!template id=divbox content=",CHAR(34),CHAR(34),CHAR(34))</f>
        <v>[[!template id=divbox content="""</v>
      </c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</row>
    <row r="26" spans="1:20" x14ac:dyDescent="0.2">
      <c r="A26" s="440" t="str">
        <f>CONCATENATE("&lt;a id=",CHAR(34),RIGHT(A27,LEN(A27)-4),CHAR(34)," /&gt;")</f>
        <v>&lt;a id="Characteristics" /&gt;</v>
      </c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</row>
    <row r="27" spans="1:20" x14ac:dyDescent="0.2">
      <c r="A27" s="440" t="str">
        <f>CONCATENATE("### ",IF(ISBLANK(Character!A8)," ",Character!A8))</f>
        <v>### Characteristics</v>
      </c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</row>
    <row r="28" spans="1:20" x14ac:dyDescent="0.2">
      <c r="A28" s="440" t="str">
        <f>CONCATENATE(":--|:--")</f>
        <v>:--|:--</v>
      </c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</row>
    <row r="29" spans="1:20" x14ac:dyDescent="0.2">
      <c r="A29" s="440" t="str">
        <f>IF((Character!A9=" ")," ",CONCATENATE(IF(ISBLANK(Character!A9)," ",Character!A9),"|",IF(ISBLANK(Character!B9)," ",Character!B9)))</f>
        <v>Intellect|0</v>
      </c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</row>
    <row r="30" spans="1:20" x14ac:dyDescent="0.2">
      <c r="A30" s="440" t="str">
        <f>IF((Character!A10=" ")," ",CONCATENATE(IF(ISBLANK(Character!A10)," ",Character!A10),"|",IF(ISBLANK(Character!B10)," ",Character!B10)))</f>
        <v>Perception|0</v>
      </c>
      <c r="E30" s="70"/>
      <c r="F30" s="70"/>
      <c r="G30" s="70"/>
      <c r="H30" s="70"/>
      <c r="I30" s="70"/>
      <c r="J30" s="70"/>
      <c r="L30" s="70"/>
      <c r="M30" s="70"/>
      <c r="N30" s="70"/>
      <c r="O30" s="70"/>
      <c r="P30" s="70"/>
      <c r="Q30" s="70"/>
      <c r="R30" s="70"/>
      <c r="S30" s="70"/>
      <c r="T30" s="70"/>
    </row>
    <row r="31" spans="1:20" x14ac:dyDescent="0.2">
      <c r="A31" s="440" t="str">
        <f>IF((Character!A11=" ")," ",CONCATENATE(IF(ISBLANK(Character!A11)," ",Character!A11),"|",IF(ISBLANK(Character!B11)," ",Character!B11)))</f>
        <v>Presence|0</v>
      </c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</row>
    <row r="32" spans="1:20" x14ac:dyDescent="0.2">
      <c r="A32" s="440" t="str">
        <f>IF((Character!A12=" ")," ",CONCATENATE(IF(ISBLANK(Character!A12)," ",Character!A12),"|",IF(ISBLANK(Character!B12)," ",Character!B12)))</f>
        <v>Communication|0</v>
      </c>
      <c r="Q32" s="70"/>
      <c r="S32" s="70"/>
      <c r="T32" s="70"/>
    </row>
    <row r="33" spans="1:20" x14ac:dyDescent="0.2">
      <c r="A33" s="440" t="str">
        <f>IF((Character!A13=" ")," ",CONCATENATE(IF(ISBLANK(Character!A13)," ",Character!A13),"|",IF(ISBLANK(Character!B13)," ",Character!B13)))</f>
        <v>Strength|0</v>
      </c>
      <c r="Q33" s="70"/>
      <c r="S33" s="70"/>
      <c r="T33" s="70"/>
    </row>
    <row r="34" spans="1:20" x14ac:dyDescent="0.2">
      <c r="A34" s="440" t="str">
        <f>IF((Character!A14=" ")," ",CONCATENATE(IF(ISBLANK(Character!A14)," ",Character!A14),"|",IF(ISBLANK(Character!B14)," ",Character!B14)))</f>
        <v>Stamina|0</v>
      </c>
      <c r="Q34" s="70"/>
      <c r="S34" s="70"/>
      <c r="T34" s="70"/>
    </row>
    <row r="35" spans="1:20" x14ac:dyDescent="0.2">
      <c r="A35" s="440" t="str">
        <f>IF((Character!A15=" ")," ",CONCATENATE(IF(ISBLANK(Character!A15)," ",Character!A15),"|",IF(ISBLANK(Character!B15)," ",Character!B15)))</f>
        <v>Dexterity|0</v>
      </c>
      <c r="Q35" s="70"/>
      <c r="S35" s="70"/>
      <c r="T35" s="70"/>
    </row>
    <row r="36" spans="1:20" x14ac:dyDescent="0.2">
      <c r="A36" s="440" t="str">
        <f>IF((Character!A16=" ")," ",CONCATENATE(IF(ISBLANK(Character!A16)," ",Character!A16),"|",IF(ISBLANK(Character!B16)," ",Character!B16)))</f>
        <v>Quickness|0</v>
      </c>
      <c r="Q36" s="70"/>
      <c r="S36" s="70"/>
      <c r="T36" s="70"/>
    </row>
    <row r="37" spans="1:20" x14ac:dyDescent="0.2">
      <c r="A37" s="440" t="s">
        <v>482</v>
      </c>
      <c r="Q37" s="70"/>
      <c r="S37" s="70"/>
      <c r="T37" s="70"/>
    </row>
    <row r="38" spans="1:20" x14ac:dyDescent="0.2">
      <c r="A38" s="440" t="str">
        <f>CONCATENATE(CHAR(34),CHAR(34),CHAR(34),"]]")</f>
        <v>"""]]</v>
      </c>
      <c r="Q38" s="70"/>
      <c r="S38" s="70"/>
      <c r="T38" s="70"/>
    </row>
    <row r="39" spans="1:20" x14ac:dyDescent="0.2">
      <c r="A39" s="440" t="str">
        <f>IF('Non-Human'!B2=Calcs!I29," ",CONCATENATE("[[!template id=divbox content=",CHAR(34),CHAR(34),CHAR(34)))</f>
        <v xml:space="preserve"> </v>
      </c>
      <c r="Q39" s="70"/>
      <c r="S39" s="70"/>
      <c r="T39" s="70"/>
    </row>
    <row r="40" spans="1:20" x14ac:dyDescent="0.2">
      <c r="A40" s="440" t="str">
        <f>IF('Non-Human'!B2=Calcs!I29," ",CONCATENATE("&lt;a id=",CHAR(34),"Magical",CHAR(34)," /&gt;"))</f>
        <v xml:space="preserve"> </v>
      </c>
      <c r="Q40" s="70"/>
      <c r="S40" s="70"/>
      <c r="T40" s="70"/>
    </row>
    <row r="41" spans="1:20" x14ac:dyDescent="0.2">
      <c r="A41" s="440" t="str">
        <f>IF('Non-Human'!B2=Calcs!I29," ","### Magical Characteristics")</f>
        <v xml:space="preserve"> </v>
      </c>
      <c r="Q41" s="70"/>
      <c r="S41" s="70"/>
      <c r="T41" s="70"/>
    </row>
    <row r="42" spans="1:20" x14ac:dyDescent="0.2">
      <c r="A42" s="440" t="str">
        <f>IF('Non-Human'!B2=Calcs!I29," ",":--|:--")</f>
        <v xml:space="preserve"> </v>
      </c>
      <c r="Q42" s="70"/>
      <c r="S42" s="70"/>
      <c r="T42" s="70"/>
    </row>
    <row r="43" spans="1:20" x14ac:dyDescent="0.2">
      <c r="A43" s="440" t="str">
        <f>IF('Non-Human'!$B$2=Calcs!$I$29," ",CONCATENATE('Non-Human'!A3,"| ",'Non-Human'!B3))</f>
        <v xml:space="preserve"> </v>
      </c>
      <c r="Q43" s="70"/>
      <c r="S43" s="70"/>
      <c r="T43" s="70"/>
    </row>
    <row r="44" spans="1:20" x14ac:dyDescent="0.2">
      <c r="A44" s="440" t="str">
        <f>IF('Non-Human'!$B$2=Calcs!$I$29," ",CONCATENATE('Non-Human'!A5,"| ",'Non-Human'!B5))</f>
        <v xml:space="preserve"> </v>
      </c>
      <c r="Q44" s="70"/>
      <c r="S44" s="70"/>
      <c r="T44" s="70"/>
    </row>
    <row r="45" spans="1:20" x14ac:dyDescent="0.2">
      <c r="A45" s="440" t="str">
        <f>IF('Non-Human'!$B$2=Calcs!$I$29," ",CONCATENATE('Non-Human'!A6,"| ",'Non-Human'!B6))</f>
        <v xml:space="preserve"> </v>
      </c>
      <c r="Q45" s="70"/>
      <c r="S45" s="70"/>
      <c r="T45" s="70"/>
    </row>
    <row r="46" spans="1:20" x14ac:dyDescent="0.2">
      <c r="A46" s="440" t="str">
        <f>IF('Non-Human'!$B$2=Calcs!$I$29," ",CONCATENATE('Non-Human'!A7,"| ",'Non-Human'!B7))</f>
        <v xml:space="preserve"> </v>
      </c>
      <c r="Q46" s="70"/>
      <c r="S46" s="70"/>
      <c r="T46" s="70"/>
    </row>
    <row r="47" spans="1:20" x14ac:dyDescent="0.2">
      <c r="A47" s="440" t="str">
        <f>IF('Non-Human'!$B$2=Calcs!$I$29," ",CONCATENATE('Non-Human'!E2,"| ",'Non-Human'!F2))</f>
        <v xml:space="preserve"> </v>
      </c>
      <c r="Q47" s="70"/>
      <c r="S47" s="70"/>
      <c r="T47" s="70"/>
    </row>
    <row r="48" spans="1:20" x14ac:dyDescent="0.2">
      <c r="A48" s="440" t="str">
        <f>IF('Non-Human'!$B$2=Calcs!$I$29," ",CONCATENATE('Non-Human'!E3,"| ",'Non-Human'!F3))</f>
        <v xml:space="preserve"> </v>
      </c>
      <c r="Q48" s="70"/>
      <c r="S48" s="70"/>
      <c r="T48" s="70"/>
    </row>
    <row r="49" spans="1:20" x14ac:dyDescent="0.2">
      <c r="A49" s="440" t="str">
        <f>IF('Non-Human'!$B$2=Calcs!$I$29," ",CONCATENATE('Non-Human'!E4,"| ",'Non-Human'!F4," of ",'Non-Human'!G4))</f>
        <v xml:space="preserve"> </v>
      </c>
      <c r="Q49" s="70"/>
      <c r="S49" s="70"/>
      <c r="T49" s="70"/>
    </row>
    <row r="50" spans="1:20" x14ac:dyDescent="0.2">
      <c r="A50" s="440" t="str">
        <f>IF('Non-Human'!$B$2=Calcs!$I$29," ",CONCATENATE('Non-Human'!E5,"| ",'Non-Human'!F5))</f>
        <v xml:space="preserve"> </v>
      </c>
      <c r="Q50" s="70"/>
      <c r="S50" s="70"/>
      <c r="T50" s="70"/>
    </row>
    <row r="51" spans="1:20" x14ac:dyDescent="0.2">
      <c r="A51" s="440" t="str">
        <f>IF('Non-Human'!$B$2=Calcs!$I$29," ",CONCATENATE('Non-Human'!E6,"| ",'Non-Human'!F6))</f>
        <v xml:space="preserve"> </v>
      </c>
      <c r="Q51" s="70"/>
      <c r="S51" s="70"/>
      <c r="T51" s="70"/>
    </row>
    <row r="52" spans="1:20" x14ac:dyDescent="0.2">
      <c r="A52" s="440" t="str">
        <f>IF('Non-Human'!$B$2=Calcs!$I$29," ",CONCATENATE('Non-Human'!E7,"||",'Non-Human'!F7))</f>
        <v xml:space="preserve"> </v>
      </c>
      <c r="Q52" s="70"/>
      <c r="S52" s="70"/>
      <c r="T52" s="70"/>
    </row>
    <row r="53" spans="1:20" x14ac:dyDescent="0.2">
      <c r="A53" s="440" t="str">
        <f>IF('Non-Human'!B2=Calcs!I29," ","&amp;nbsp;|")</f>
        <v xml:space="preserve"> </v>
      </c>
      <c r="Q53" s="70"/>
      <c r="S53" s="70"/>
      <c r="T53" s="70"/>
    </row>
    <row r="54" spans="1:20" x14ac:dyDescent="0.2">
      <c r="A54" s="440" t="str">
        <f>IF('Non-Human'!$B$2=Calcs!$I$29," ",CONCATENATE(CHAR(34),CHAR(34),CHAR(34),"]]"))</f>
        <v xml:space="preserve"> </v>
      </c>
      <c r="Q54" s="70"/>
      <c r="S54" s="70"/>
      <c r="T54" s="70"/>
    </row>
    <row r="55" spans="1:20" x14ac:dyDescent="0.2">
      <c r="A55" s="440" t="str">
        <f>CONCATENATE("&lt;br style=",CHAR(34),"clear:left;",CHAR(34)," /&gt;")</f>
        <v>&lt;br style="clear:left;" /&gt;</v>
      </c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</row>
    <row r="56" spans="1:20" x14ac:dyDescent="0.2">
      <c r="A56" s="440" t="str">
        <f>CONCATENATE("[[!template id=divbox content=",CHAR(34),CHAR(34),CHAR(34))</f>
        <v>[[!template id=divbox content="""</v>
      </c>
    </row>
    <row r="57" spans="1:20" x14ac:dyDescent="0.2">
      <c r="A57" s="440" t="str">
        <f>CONCATENATE("&lt;a id=",CHAR(34),RIGHT(A58,LEN(A58)-4),CHAR(34)," /&gt;")</f>
        <v>&lt;a id="Weapons" /&gt;</v>
      </c>
    </row>
    <row r="58" spans="1:20" x14ac:dyDescent="0.2">
      <c r="A58" s="440" t="str">
        <f>CONCATENATE("### ",Character!A25)</f>
        <v>### Weapons</v>
      </c>
    </row>
    <row r="59" spans="1:20" x14ac:dyDescent="0.2">
      <c r="A59" s="440" t="str">
        <f>IF(ISBLANK(Character!A25)," ",CONCATENATE(IF(ISBLANK(Character!A25)," ",Character!A25),"|",IF(ISBLANK(Character!B25)," ",Character!B25),"|",IF(ISBLANK(Character!C25)," ",Character!C25),"|",IF(ISBLANK(Character!D25)," ",Character!D25),"|",IF(ISBLANK(Character!E25)," ",Character!E25),"|",IF(ISBLANK(Character!F25)," ",Character!F25),"|",IF(ISBLANK(Character!G25)," ",IF(Character!G25="No",Character!G25,CONCATENATE(Character!G25,"+dStress"))),"|",IF(ISBLANK(Character!H25)," ",Character!H25),"|",IF(ISBLANK(Character!I25)," ",IF(Character!I25="No",Character!I25,CONCATENATE(Character!I25,"+dStress"))),"|",IF(ISBLANK(Character!J25)," ",Character!J25),"|",IF(ISBLANK(Character!K25)," ",IF(Character!K25="No",Character!K25,CONCATENATE(Character!K25,"+dStress"))),"|",IF(ISBLANK(Character!L25)," ",Character!L25),"|",IF(ISBLANK(Character!M25)," ",IF(Character!M25="No",Character!M25,CONCATENATE(Character!M25,"+dStress"))),"|",IF(ISBLANK(Character!N25)," ",Character!N25)))</f>
        <v>Weapons|P?|Ability|S?|Speciality| |Initiative+dStress| |Attack+dStress| |Defense+dStress| |Base Damage+dStress|Range</v>
      </c>
    </row>
    <row r="60" spans="1:20" x14ac:dyDescent="0.2">
      <c r="A60" s="440" t="str">
        <f>CONCATENATE(":--|:--|:--|:--|:--|:--:|:--|:--:|:--|:--:|:--|:--:|:--|:--")</f>
        <v>:--|:--|:--|:--|:--|:--:|:--|:--:|:--|:--:|:--|:--:|:--|:--</v>
      </c>
    </row>
    <row r="61" spans="1:20" x14ac:dyDescent="0.2">
      <c r="A61" s="440" t="str">
        <f>IF(ISBLANK(Character!A26),"|||||||||||||",CONCATENATE(IF(ISBLANK(Character!A26)," ",Character!A26),"|",IF(ISBLANK(Character!B26)," ",Character!B26),"|",IF(ISBLANK(Character!C26)," ",Character!C26),"|",IF(ISBLANK(Character!D26)," ",Character!D26),"|",IF(ISBLANK(Character!E26)," ",Character!E26),"|",IF(ISBLANK(Character!F26)," ",Character!F26),"|",IF(ISBLANK(Character!G26)," ",IF(Character!G26="No",Character!G26,CONCATENATE(Character!G26,"+dStress"))),"|",IF(ISBLANK(Character!H26)," ",Character!H26),"|",IF(ISBLANK(Character!I26)," ",IF(Character!I26="No",Character!I26,CONCATENATE(Character!I26,"+dStress"))),"|",IF(ISBLANK(Character!J26)," ",Character!J26),"|",IF(ISBLANK(Character!K26)," ",IF(Character!K26="No",Character!K26,CONCATENATE(Character!K26,"+dStress"))),"|",IF(ISBLANK(Character!L26)," ",Character!L26),"|",IF(ISBLANK(Character!M26)," ",IF(Character!M26="No",Character!M26,CONCATENATE(Character!M26,"+dStress"))),"|",IF(ISBLANK(Character!N26)," ",Character!N26)))</f>
        <v>Dodge|No|Brawl|No| |0|0+dStress|No|No|0|0+dStress|No|No|Any</v>
      </c>
    </row>
    <row r="62" spans="1:20" x14ac:dyDescent="0.2">
      <c r="A62" s="440" t="str">
        <f>IF(ISBLANK(Character!A27),"|||||||||||||",CONCATENATE(IF(ISBLANK(Character!A27)," ",Character!A27),"|",IF(ISBLANK(Character!B27)," ",Character!B27),"|",IF(ISBLANK(Character!C27)," ",Character!C27),"|",IF(ISBLANK(Character!D27)," ",Character!D27),"|",IF(ISBLANK(Character!E27)," ",Character!E27),"|",IF(ISBLANK(Character!F27)," ",Character!F27),"|",IF(ISBLANK(Character!G27)," ",IF(Character!G27="No",Character!G27,CONCATENATE(Character!G27,"+dStress"))),"|",IF(ISBLANK(Character!H27)," ",Character!H27),"|",IF(ISBLANK(Character!I27)," ",IF(Character!I27="No",Character!I27,CONCATENATE(Character!I27,"+dStress"))),"|",IF(ISBLANK(Character!J27)," ",Character!J27),"|",IF(ISBLANK(Character!K27)," ",IF(Character!K27="No",Character!K27,CONCATENATE(Character!K27,"+dStress"))),"|",IF(ISBLANK(Character!L27)," ",Character!L27),"|",IF(ISBLANK(Character!M27)," ",IF(Character!M27="No",Character!M27,CONCATENATE(Character!M27,"+dStress"))),"|",IF(ISBLANK(Character!N27)," ",Character!N27)))</f>
        <v>Fist|No|Brawl|No| |0|0+dStress|0|0+dStress|0|0+dStress|0|0+dStress|Melee</v>
      </c>
    </row>
    <row r="63" spans="1:20" x14ac:dyDescent="0.2">
      <c r="A63" s="440" t="str">
        <f>IF(ISBLANK(Character!A28),"|||||||||||||",CONCATENATE(IF(ISBLANK(Character!A28)," ",Character!A28),"|",IF(ISBLANK(Character!B28)," ",Character!B28),"|",IF(ISBLANK(Character!C28)," ",Character!C28),"|",IF(ISBLANK(Character!D28)," ",Character!D28),"|",IF(ISBLANK(Character!E28)," ",Character!E28),"|",IF(ISBLANK(Character!F28)," ",Character!F28),"|",IF(ISBLANK(Character!G28)," ",IF(Character!G28="No",Character!G28,CONCATENATE(Character!G28,"+dStress"))),"|",IF(ISBLANK(Character!H28)," ",Character!H28),"|",IF(ISBLANK(Character!I28)," ",IF(Character!I28="No",Character!I28,CONCATENATE(Character!I28,"+dStress"))),"|",IF(ISBLANK(Character!J28)," ",Character!J28),"|",IF(ISBLANK(Character!K28)," ",IF(Character!K28="No",Character!K28,CONCATENATE(Character!K28,"+dStress"))),"|",IF(ISBLANK(Character!L28)," ",Character!L28),"|",IF(ISBLANK(Character!M28)," ",IF(Character!M28="No",Character!M28,CONCATENATE(Character!M28,"+dStress"))),"|",IF(ISBLANK(Character!N28)," ",Character!N28)))</f>
        <v>Kick|No|Brawl|No| |-1|-1+dStress|0|0+dStress|-1|-1+dStress|3|3+dStress|Melee</v>
      </c>
    </row>
    <row r="64" spans="1:20" x14ac:dyDescent="0.2">
      <c r="A64" s="440" t="str">
        <f>IF(ISBLANK(Character!A29),"|||||||||||||",CONCATENATE(IF(ISBLANK(Character!A29)," ",Character!A29),"|",IF(ISBLANK(Character!B29)," ",Character!B29),"|",IF(ISBLANK(Character!C29)," ",Character!C29),"|",IF(ISBLANK(Character!D29)," ",Character!D29),"|",IF(ISBLANK(Character!E29)," ",Character!E29),"|",IF(ISBLANK(Character!F29)," ",Character!F29),"|",IF(ISBLANK(Character!G29)," ",IF(Character!G29="No",Character!G29,CONCATENATE(Character!G29,"+dStress"))),"|",IF(ISBLANK(Character!H29)," ",Character!H29),"|",IF(ISBLANK(Character!I29)," ",IF(Character!I29="No",Character!I29,CONCATENATE(Character!I29,"+dStress"))),"|",IF(ISBLANK(Character!J29)," ",Character!J29),"|",IF(ISBLANK(Character!K29)," ",IF(Character!K29="No",Character!K29,CONCATENATE(Character!K29,"+dStress"))),"|",IF(ISBLANK(Character!L29)," ",Character!L29),"|",IF(ISBLANK(Character!M29)," ",IF(Character!M29="No",Character!M29,CONCATENATE(Character!M29,"+dStress"))),"|",IF(ISBLANK(Character!N29)," ",Character!N29)))</f>
        <v>Knife|No|Brawl|No| |0|0+dStress|1|1+dStress|0|0+dStress|2|2+dStress|Melee</v>
      </c>
    </row>
    <row r="65" spans="1:17" x14ac:dyDescent="0.2">
      <c r="A65" s="440" t="str">
        <f>IF(ISBLANK(Character!A30),"|||||||||||||",CONCATENATE(IF(ISBLANK(Character!A30)," ",Character!A30),"|",IF(ISBLANK(Character!B30)," ",Character!B30),"|",IF(ISBLANK(Character!C30)," ",Character!C30),"|",IF(ISBLANK(Character!D30)," ",Character!D30),"|",IF(ISBLANK(Character!E30)," ",Character!E30),"|",IF(ISBLANK(Character!F30)," ",Character!F30),"|",IF(ISBLANK(Character!G30)," ",IF(Character!G30="No",Character!G30,CONCATENATE(Character!G30,"+dStress"))),"|",IF(ISBLANK(Character!H30)," ",Character!H30),"|",IF(ISBLANK(Character!I30)," ",IF(Character!I30="No",Character!I30,CONCATENATE(Character!I30,"+dStress"))),"|",IF(ISBLANK(Character!J30)," ",Character!J30),"|",IF(ISBLANK(Character!K30)," ",IF(Character!K30="No",Character!K30,CONCATENATE(Character!K30,"+dStress"))),"|",IF(ISBLANK(Character!L30)," ",Character!L30),"|",IF(ISBLANK(Character!M30)," ",IF(Character!M30="No",Character!M30,CONCATENATE(Character!M30,"+dStress"))),"|",IF(ISBLANK(Character!N30)," ",Character!N30)))</f>
        <v>|||||||||||||</v>
      </c>
    </row>
    <row r="66" spans="1:17" x14ac:dyDescent="0.2">
      <c r="A66" s="440" t="str">
        <f>IF(ISBLANK(Character!A31),"|||||||||||||",CONCATENATE(IF(ISBLANK(Character!A31)," ",Character!A31),"|",IF(ISBLANK(Character!B31)," ",Character!B31),"|",IF(ISBLANK(Character!C31)," ",Character!C31),"|",IF(ISBLANK(Character!D31)," ",Character!D31),"|",IF(ISBLANK(Character!E31)," ",Character!E31),"|",IF(ISBLANK(Character!F31)," ",Character!F31),"|",IF(ISBLANK(Character!G31)," ",IF(Character!G31="No",Character!G31,CONCATENATE(Character!G31,"+dStress"))),"|",IF(ISBLANK(Character!H31)," ",Character!H31),"|",IF(ISBLANK(Character!I31)," ",IF(Character!I31="No",Character!I31,CONCATENATE(Character!I31,"+dStress"))),"|",IF(ISBLANK(Character!J31)," ",Character!J31),"|",IF(ISBLANK(Character!K31)," ",IF(Character!K31="No",Character!K31,CONCATENATE(Character!K31,"+dStress"))),"|",IF(ISBLANK(Character!L31)," ",Character!L31),"|",IF(ISBLANK(Character!M31)," ",IF(Character!M31="No",Character!M31,CONCATENATE(Character!M31,"+dStress"))),"|",IF(ISBLANK(Character!N31)," ",Character!N31)))</f>
        <v>|||||||||||||</v>
      </c>
    </row>
    <row r="67" spans="1:17" x14ac:dyDescent="0.2">
      <c r="A67" s="440" t="str">
        <f>IF(ISBLANK(Character!A32),"|||||||||||||",CONCATENATE(IF(ISBLANK(Character!A32)," ",Character!A32),"|",IF(ISBLANK(Character!B32)," ",Character!B32),"|",IF(ISBLANK(Character!C32)," ",Character!C32),"|",IF(ISBLANK(Character!D32)," ",Character!D32),"|",IF(ISBLANK(Character!E32)," ",Character!E32),"|",IF(ISBLANK(Character!F32)," ",Character!F32),"|",IF(ISBLANK(Character!G32)," ",IF(Character!G32="No",Character!G32,CONCATENATE(Character!G32,"+dStress"))),"|",IF(ISBLANK(Character!H32)," ",Character!H32),"|",IF(ISBLANK(Character!I32)," ",IF(Character!I32="No",Character!I32,CONCATENATE(Character!I32,"+dStress"))),"|",IF(ISBLANK(Character!J32)," ",Character!J32),"|",IF(ISBLANK(Character!K32)," ",IF(Character!K32="No",Character!K32,CONCATENATE(Character!K32,"+dStress"))),"|",IF(ISBLANK(Character!L32)," ",Character!L32),"|",IF(ISBLANK(Character!M32)," ",IF(Character!M32="No",Character!M32,CONCATENATE(Character!M32,"+dStress"))),"|",IF(ISBLANK(Character!N32)," ",Character!N32)))</f>
        <v>|||||||||||||</v>
      </c>
    </row>
    <row r="68" spans="1:17" x14ac:dyDescent="0.2">
      <c r="A68" s="440" t="str">
        <f>IF(ISBLANK(Character!A33),"|||||||||||||",CONCATENATE(IF(ISBLANK(Character!A33)," ",Character!A33),"|",IF(ISBLANK(Character!B33)," ",Character!B33),"|",IF(ISBLANK(Character!C33)," ",Character!C33),"|",IF(ISBLANK(Character!D33)," ",Character!D33),"|",IF(ISBLANK(Character!E33)," ",Character!E33),"|",IF(ISBLANK(Character!F33)," ",Character!F33),"|",IF(ISBLANK(Character!G33)," ",IF(Character!G33="No",Character!G33,CONCATENATE(Character!G33,"+dStress"))),"|",IF(ISBLANK(Character!H33)," ",Character!H33),"|",IF(ISBLANK(Character!I33)," ",IF(Character!I33="No",Character!I33,CONCATENATE(Character!I33,"+dStress"))),"|",IF(ISBLANK(Character!J33)," ",Character!J33),"|",IF(ISBLANK(Character!K33)," ",IF(Character!K33="No",Character!K33,CONCATENATE(Character!K33,"+dStress"))),"|",IF(ISBLANK(Character!L33)," ",Character!L33),"|",IF(ISBLANK(Character!M33)," ",IF(Character!M33="No",Character!M33,CONCATENATE(Character!M33,"+dStress"))),"|",IF(ISBLANK(Character!N33)," ",Character!N33)))</f>
        <v>|||||||||||||</v>
      </c>
    </row>
    <row r="69" spans="1:17" x14ac:dyDescent="0.2">
      <c r="A69" s="440" t="s">
        <v>561</v>
      </c>
    </row>
    <row r="70" spans="1:17" x14ac:dyDescent="0.2">
      <c r="A70" s="440" t="str">
        <f>CONCATENATE(CHAR(34),CHAR(34),CHAR(34),"]]")</f>
        <v>"""]]</v>
      </c>
    </row>
    <row r="71" spans="1:17" x14ac:dyDescent="0.2">
      <c r="A71" s="440" t="str">
        <f>CONCATENATE("&lt;br style=",CHAR(34),"clear:left;",CHAR(34)," /&gt;")</f>
        <v>&lt;br style="clear:left;" /&gt;</v>
      </c>
    </row>
    <row r="72" spans="1:17" x14ac:dyDescent="0.2">
      <c r="A72" s="440" t="str">
        <f>CONCATENATE("[[!template id=divbox content=",CHAR(34),CHAR(34),CHAR(34))</f>
        <v>[[!template id=divbox content="""</v>
      </c>
    </row>
    <row r="73" spans="1:17" x14ac:dyDescent="0.2">
      <c r="A73" s="440" t="str">
        <f>CONCATENATE("&lt;a id=",CHAR(34),RIGHT(A74,LEN(A74)-4),CHAR(34)," /&gt;")</f>
        <v>&lt;a id="Wounds" /&gt;</v>
      </c>
      <c r="G73" s="70"/>
      <c r="H73" s="70"/>
      <c r="I73" s="70"/>
      <c r="J73" s="70"/>
      <c r="K73" s="70"/>
      <c r="L73" s="70"/>
      <c r="M73" s="70"/>
    </row>
    <row r="74" spans="1:17" x14ac:dyDescent="0.2">
      <c r="A74" s="440" t="str">
        <f>CONCATENATE("### ",Character!A35)</f>
        <v>### Wounds</v>
      </c>
      <c r="G74" s="70"/>
      <c r="H74" s="70"/>
      <c r="I74" s="70"/>
      <c r="J74" s="70"/>
      <c r="K74" s="70"/>
      <c r="Q74" s="70"/>
    </row>
    <row r="75" spans="1:17" x14ac:dyDescent="0.2">
      <c r="A75" s="440" t="str">
        <f>CONCATENATE(IF(ISBLANK(Character!A36)," ",Character!A36),"|",IF(ISBLANK(Character!B36)," ",Character!B36),"|",IF(ISBLANK(Character!C36)," ",Character!C36))</f>
        <v>Wound Penalty| |0</v>
      </c>
      <c r="G75" s="70"/>
      <c r="H75" s="70"/>
      <c r="I75" s="70"/>
      <c r="J75" s="70"/>
      <c r="K75" s="70"/>
      <c r="Q75" s="70"/>
    </row>
    <row r="76" spans="1:17" x14ac:dyDescent="0.2">
      <c r="A76" s="440" t="str">
        <f>CONCATENATE(":--|:--:|:--")</f>
        <v>:--|:--:|:--</v>
      </c>
      <c r="G76" s="70"/>
      <c r="H76" s="70"/>
      <c r="I76" s="70"/>
      <c r="J76" s="70"/>
      <c r="K76" s="70"/>
      <c r="Q76" s="70"/>
    </row>
    <row r="77" spans="1:17" x14ac:dyDescent="0.2">
      <c r="A77" s="440" t="str">
        <f>CONCATENATE(IF(ISBLANK(Character!A37)," ",Character!A37),"|",IF(ISBLANK(Character!B37)," ",Character!B37),"|",IF(ISBLANK(Character!C37)," ",Character!C37))</f>
        <v xml:space="preserve">Light|-1| </v>
      </c>
      <c r="G77" s="70"/>
      <c r="H77" s="70"/>
      <c r="I77" s="70"/>
      <c r="J77" s="70"/>
      <c r="Q77" s="70"/>
    </row>
    <row r="78" spans="1:17" x14ac:dyDescent="0.2">
      <c r="A78" s="440" t="str">
        <f>CONCATENATE(IF(ISBLANK(Character!A38)," ",Character!A38),"|",IF(ISBLANK(Character!B38)," ",Character!B38),"|",IF(ISBLANK(Character!C38)," ",Character!C38))</f>
        <v xml:space="preserve">Medium|-3| </v>
      </c>
      <c r="G78" s="70"/>
      <c r="H78" s="70"/>
      <c r="I78" s="70"/>
      <c r="J78" s="70"/>
      <c r="K78" s="70"/>
      <c r="Q78" s="70"/>
    </row>
    <row r="79" spans="1:17" x14ac:dyDescent="0.2">
      <c r="A79" s="440" t="str">
        <f>CONCATENATE(IF(ISBLANK(Character!A39)," ",Character!A39),"|",IF(ISBLANK(Character!B39)," ",Character!B39),"|",IF(ISBLANK(Character!C39)," ",Character!C39))</f>
        <v xml:space="preserve">Heavy|-5| </v>
      </c>
      <c r="G79" s="70"/>
      <c r="H79" s="70"/>
      <c r="I79" s="70"/>
      <c r="J79" s="70"/>
      <c r="K79" s="70"/>
      <c r="Q79" s="70"/>
    </row>
    <row r="80" spans="1:17" x14ac:dyDescent="0.2">
      <c r="A80" s="440" t="str">
        <f>CONCATENATE(IF(ISBLANK(Character!A40)," ",Character!A40),"|",IF(ISBLANK(Character!B40)," ",Character!B40),"|",IF(ISBLANK(Character!C40)," ",Character!C40))</f>
        <v xml:space="preserve">Incapacitated|-| </v>
      </c>
      <c r="G80" s="70"/>
      <c r="H80" s="70"/>
      <c r="I80" s="70"/>
      <c r="J80" s="70"/>
      <c r="K80" s="70"/>
    </row>
    <row r="81" spans="1:11" x14ac:dyDescent="0.2">
      <c r="A81" s="440" t="s">
        <v>478</v>
      </c>
      <c r="G81" s="70"/>
      <c r="H81" s="70"/>
      <c r="I81" s="70"/>
      <c r="J81" s="70"/>
      <c r="K81" s="70"/>
    </row>
    <row r="82" spans="1:11" x14ac:dyDescent="0.2">
      <c r="A82" s="440" t="str">
        <f>CONCATENATE(CHAR(34),CHAR(34),CHAR(34),"]]")</f>
        <v>"""]]</v>
      </c>
      <c r="G82" s="70"/>
      <c r="H82" s="70"/>
      <c r="I82" s="70"/>
      <c r="J82" s="70"/>
      <c r="K82" s="70"/>
    </row>
    <row r="83" spans="1:11" x14ac:dyDescent="0.2">
      <c r="A83" s="440" t="str">
        <f>CONCATENATE("[[!template id=divbox content=",CHAR(34),CHAR(34),CHAR(34))</f>
        <v>[[!template id=divbox content="""</v>
      </c>
      <c r="H83" s="70"/>
      <c r="I83" s="70"/>
      <c r="J83" s="70"/>
      <c r="K83" s="70"/>
    </row>
    <row r="84" spans="1:11" x14ac:dyDescent="0.2">
      <c r="A84" s="440" t="str">
        <f>CONCATENATE("&lt;a id=",CHAR(34),RIGHT(A85,LEN(A85)-4),CHAR(34)," /&gt;")</f>
        <v>&lt;a id="Fatigue" /&gt;</v>
      </c>
      <c r="H84" s="70"/>
      <c r="I84" s="70"/>
      <c r="J84" s="70"/>
    </row>
    <row r="85" spans="1:11" x14ac:dyDescent="0.2">
      <c r="A85" s="440" t="str">
        <f>CONCATENATE("### ",Character!E35)</f>
        <v>### Fatigue</v>
      </c>
      <c r="H85" s="70"/>
      <c r="I85" s="70"/>
      <c r="J85" s="70"/>
    </row>
    <row r="86" spans="1:11" x14ac:dyDescent="0.2">
      <c r="A86" s="440" t="str">
        <f>CONCATENATE(IF(ISBLANK(Character!E36)," ",Character!E36),"|",IF(ISBLANK(Character!F36)," ",Character!F36),"|",IF(ISBLANK(Character!G36)," ",Character!G36))</f>
        <v>Fatigue Penalty|0|Fresh</v>
      </c>
      <c r="H86" s="70"/>
      <c r="I86" s="70"/>
      <c r="J86" s="70"/>
    </row>
    <row r="87" spans="1:11" x14ac:dyDescent="0.2">
      <c r="A87" s="440" t="str">
        <f>CONCATENATE(":--|:--:|:--")</f>
        <v>:--|:--:|:--</v>
      </c>
    </row>
    <row r="88" spans="1:11" x14ac:dyDescent="0.2">
      <c r="A88" s="440" t="str">
        <f>CONCATENATE(IF(ISBLANK(Character!E37)," ",Character!E37),"|",IF(ISBLANK(Character!F37)," ",Character!F37),"|",IF(ISBLANK(Character!G37)," ",Character!G37))</f>
        <v xml:space="preserve">Short Term| | </v>
      </c>
    </row>
    <row r="89" spans="1:11" x14ac:dyDescent="0.2">
      <c r="A89" s="440" t="str">
        <f>CONCATENATE(IF(ISBLANK(Character!E38)," ",Character!E38),"|",IF(ISBLANK(Character!F38)," ",Character!F38),"|",IF(ISBLANK(Character!G38)," ",Character!G38))</f>
        <v xml:space="preserve">Long Term| | </v>
      </c>
    </row>
    <row r="90" spans="1:11" x14ac:dyDescent="0.2">
      <c r="A90" s="440" t="s">
        <v>482</v>
      </c>
    </row>
    <row r="91" spans="1:11" x14ac:dyDescent="0.2">
      <c r="A91" s="440" t="str">
        <f>CONCATENATE(CHAR(34),CHAR(34),CHAR(34),"]]")</f>
        <v>"""]]</v>
      </c>
    </row>
    <row r="92" spans="1:11" x14ac:dyDescent="0.2">
      <c r="A92" s="440" t="str">
        <f>CONCATENATE("[[!template id=divbox content=",CHAR(34),CHAR(34),CHAR(34))</f>
        <v>[[!template id=divbox content="""</v>
      </c>
    </row>
    <row r="93" spans="1:11" x14ac:dyDescent="0.2">
      <c r="A93" s="440" t="str">
        <f>CONCATENATE("&lt;a id=",CHAR(34),RIGHT(A94,LEN(A94)-4),CHAR(34)," /&gt;")</f>
        <v>&lt;a id="Armour" /&gt;</v>
      </c>
    </row>
    <row r="94" spans="1:11" x14ac:dyDescent="0.2">
      <c r="A94" s="440" t="str">
        <f>CONCATENATE("### ",Character!I35)</f>
        <v>### Armour</v>
      </c>
    </row>
    <row r="95" spans="1:11" x14ac:dyDescent="0.2">
      <c r="A95" s="440" t="str">
        <f>IF(ISBLANK(Character!I35)," ",CONCATENATE(IF(ISBLANK(Character!I35)," ",Character!I35),"|",IF(ISBLANK(Character!J35)," ",Character!J35),"|",IF(ISBLANK(Character!K35)," ",CONCATENATE(Character!K35))))</f>
        <v>Armour| |Soak</v>
      </c>
    </row>
    <row r="96" spans="1:11" x14ac:dyDescent="0.2">
      <c r="A96" s="440" t="str">
        <f>CONCATENATE(":--|:--:|:--")</f>
        <v>:--|:--:|:--</v>
      </c>
    </row>
    <row r="97" spans="1:1" x14ac:dyDescent="0.2">
      <c r="A97" s="440" t="str">
        <f>IF(ISBLANK(Character!I36),"||",CONCATENATE(IF(ISBLANK(Character!I36)," ",Character!I36),"|",IF(ISBLANK(Character!J36)," ",Character!J36),"|",IF(ISBLANK(Character!K36)," ",CONCATENATE(Character!K36,"+dStress"))))</f>
        <v>None|0|0+dStress</v>
      </c>
    </row>
    <row r="98" spans="1:1" x14ac:dyDescent="0.2">
      <c r="A98" s="440" t="str">
        <f>IF(ISBLANK(Character!I37),"||",CONCATENATE(IF(ISBLANK(Character!I37)," ",Character!I37),"|",IF(ISBLANK(Character!J37)," ",Character!J37),"|",IF(ISBLANK(Character!K37)," ",CONCATENATE(Character!K37,"+dStress"))))</f>
        <v>||</v>
      </c>
    </row>
    <row r="99" spans="1:1" x14ac:dyDescent="0.2">
      <c r="A99" s="440" t="str">
        <f>IF(ISBLANK(Character!I38),"||",CONCATENATE(IF(ISBLANK(Character!I38)," ",Character!I38),"|",IF(ISBLANK(Character!J38)," ",Character!J38),"|",IF(ISBLANK(Character!K38)," ",CONCATENATE(Character!K38,"+dStress"))))</f>
        <v>||</v>
      </c>
    </row>
    <row r="100" spans="1:1" x14ac:dyDescent="0.2">
      <c r="A100" s="440" t="str">
        <f>IF(ISBLANK(Character!I39),"||",CONCATENATE(IF(ISBLANK(Character!I39)," ",Character!I39),"|",IF(ISBLANK(Character!J39)," ",Character!J39),"|",IF(ISBLANK(Character!K39)," ",CONCATENATE(Character!K39,"+dStress"))))</f>
        <v>||</v>
      </c>
    </row>
    <row r="101" spans="1:1" x14ac:dyDescent="0.2">
      <c r="A101" s="440" t="str">
        <f>IF(ISBLANK(Character!I40),"||",CONCATENATE(IF(ISBLANK(Character!I40)," ",Character!I40),"|",IF(ISBLANK(Character!J40)," ",Character!J40),"|",IF(ISBLANK(Character!K40)," ",CONCATENATE(Character!K40,"+dStress"))))</f>
        <v>||</v>
      </c>
    </row>
    <row r="102" spans="1:1" x14ac:dyDescent="0.2">
      <c r="A102" s="440" t="s">
        <v>478</v>
      </c>
    </row>
    <row r="103" spans="1:1" x14ac:dyDescent="0.2">
      <c r="A103" s="440" t="str">
        <f>CONCATENATE(CHAR(34),CHAR(34),CHAR(34),"]]")</f>
        <v>"""]]</v>
      </c>
    </row>
    <row r="104" spans="1:1" x14ac:dyDescent="0.2">
      <c r="A104" s="440" t="str">
        <f>CONCATENATE("[[!template id=divbox content=",CHAR(34),CHAR(34),CHAR(34))</f>
        <v>[[!template id=divbox content="""</v>
      </c>
    </row>
    <row r="105" spans="1:1" x14ac:dyDescent="0.2">
      <c r="A105" s="440" t="s">
        <v>457</v>
      </c>
    </row>
    <row r="106" spans="1:1" x14ac:dyDescent="0.2">
      <c r="A106" s="440" t="str">
        <f>CONCATENATE("### ",Character!M35)</f>
        <v>### Other Combat</v>
      </c>
    </row>
    <row r="107" spans="1:1" x14ac:dyDescent="0.2">
      <c r="A107" s="440" t="str">
        <f>CONCATENATE(":--|:--")</f>
        <v>:--|:--</v>
      </c>
    </row>
    <row r="108" spans="1:1" x14ac:dyDescent="0.2">
      <c r="A108" s="440" t="str">
        <f>CONCATENATE(IF(ISBLANK(Character!M36)," ",Character!M36),"|",IF(ISBLANK(Character!N36)," ",Character!N36))</f>
        <v>Load|0</v>
      </c>
    </row>
    <row r="109" spans="1:1" x14ac:dyDescent="0.2">
      <c r="A109" s="440" t="str">
        <f>CONCATENATE(IF(ISBLANK(Character!M37)," ",Character!M37),"|",IF(ISBLANK(Character!N37)," ",Character!N37))</f>
        <v>Burden|0</v>
      </c>
    </row>
    <row r="110" spans="1:1" x14ac:dyDescent="0.2">
      <c r="A110" s="440" t="str">
        <f>CONCATENATE(IF(ISBLANK(Character!M38)," ",Character!M38),"|",IF(ISBLANK(Character!N38)," ",Character!N38))</f>
        <v>Encumbrance|0</v>
      </c>
    </row>
    <row r="111" spans="1:1" x14ac:dyDescent="0.2">
      <c r="A111" s="440" t="s">
        <v>482</v>
      </c>
    </row>
    <row r="112" spans="1:1" x14ac:dyDescent="0.2">
      <c r="A112" s="440" t="str">
        <f>CONCATENATE(CHAR(34),CHAR(34),CHAR(34),"]]")</f>
        <v>"""]]</v>
      </c>
    </row>
    <row r="113" spans="1:1" x14ac:dyDescent="0.2">
      <c r="A113" s="440" t="str">
        <f>CONCATENATE("&lt;br style=",CHAR(34),"clear:left;",CHAR(34)," /&gt;")</f>
        <v>&lt;br style="clear:left;" /&gt;</v>
      </c>
    </row>
    <row r="114" spans="1:1" x14ac:dyDescent="0.2">
      <c r="A114" s="440"/>
    </row>
    <row r="115" spans="1:1" x14ac:dyDescent="0.2">
      <c r="A115" s="440"/>
    </row>
    <row r="116" spans="1:1" x14ac:dyDescent="0.2">
      <c r="A116" s="440"/>
    </row>
    <row r="117" spans="1:1" x14ac:dyDescent="0.2">
      <c r="A117" s="440"/>
    </row>
    <row r="118" spans="1:1" x14ac:dyDescent="0.2">
      <c r="A118" s="440" t="str">
        <f>IF(ISBLANK('Non-Human'!A10)," ",CONCATENATE("[[!template id=divbox content=",CHAR(34),CHAR(34),CHAR(34)))</f>
        <v xml:space="preserve"> </v>
      </c>
    </row>
    <row r="119" spans="1:1" x14ac:dyDescent="0.2">
      <c r="A119" s="440" t="str">
        <f>IF(ISBLANK('Non-Human'!A10)," ",CONCATENATE("&lt;a id=",CHAR(34),"MundaneQualities",CHAR(34)," /&gt;"))</f>
        <v xml:space="preserve"> </v>
      </c>
    </row>
    <row r="120" spans="1:1" x14ac:dyDescent="0.2">
      <c r="A120" s="440" t="str">
        <f>IF(ISBLANK('Non-Human'!A10)," ",CONCATENATE("### ",'Non-Human'!A9))</f>
        <v xml:space="preserve"> </v>
      </c>
    </row>
    <row r="121" spans="1:1" x14ac:dyDescent="0.2">
      <c r="A121" s="440" t="str">
        <f>IF(ISBLANK('Non-Human'!A10)," ",":--|:--|:--")</f>
        <v xml:space="preserve"> </v>
      </c>
    </row>
    <row r="122" spans="1:1" x14ac:dyDescent="0.2">
      <c r="A122" s="440" t="str">
        <f>IF(ISBLANK('Non-Human'!A10),IF(ISBLANK('Non-Human'!$A$10)," ","||"),CONCATENATE('Non-Human'!A10,"| ",'Non-Human'!B10,"| ",'Non-Human'!C10))</f>
        <v xml:space="preserve"> </v>
      </c>
    </row>
    <row r="123" spans="1:1" x14ac:dyDescent="0.2">
      <c r="A123" s="440" t="str">
        <f>IF(ISBLANK('Non-Human'!A11),IF(ISBLANK('Non-Human'!$A$10)," ","||"),CONCATENATE('Non-Human'!A11,"| ",'Non-Human'!B11,"| ",'Non-Human'!C11))</f>
        <v xml:space="preserve"> </v>
      </c>
    </row>
    <row r="124" spans="1:1" x14ac:dyDescent="0.2">
      <c r="A124" s="440" t="str">
        <f>IF(ISBLANK('Non-Human'!A12),IF(ISBLANK('Non-Human'!$A$10)," ","||"),CONCATENATE('Non-Human'!A12,"| ",'Non-Human'!B12,"| ",'Non-Human'!C12))</f>
        <v xml:space="preserve"> </v>
      </c>
    </row>
    <row r="125" spans="1:1" x14ac:dyDescent="0.2">
      <c r="A125" s="440" t="str">
        <f>IF(ISBLANK('Non-Human'!A13),IF(ISBLANK('Non-Human'!$A$10)," ","||"),CONCATENATE('Non-Human'!A13,"| ",'Non-Human'!B13,"| ",'Non-Human'!C13))</f>
        <v xml:space="preserve"> </v>
      </c>
    </row>
    <row r="126" spans="1:1" x14ac:dyDescent="0.2">
      <c r="A126" s="440" t="str">
        <f>IF(ISBLANK('Non-Human'!A14),IF(ISBLANK('Non-Human'!$A$10)," ","||"),CONCATENATE('Non-Human'!A14,"| ",'Non-Human'!B14,"| ",'Non-Human'!C14))</f>
        <v xml:space="preserve"> </v>
      </c>
    </row>
    <row r="127" spans="1:1" x14ac:dyDescent="0.2">
      <c r="A127" s="440" t="str">
        <f>IF(ISBLANK('Non-Human'!A15),IF(ISBLANK('Non-Human'!$A$10)," ","||"),CONCATENATE('Non-Human'!A15,"| ",'Non-Human'!B15,"| ",'Non-Human'!C15))</f>
        <v xml:space="preserve"> </v>
      </c>
    </row>
    <row r="128" spans="1:1" x14ac:dyDescent="0.2">
      <c r="A128" s="440" t="str">
        <f>IF(ISBLANK('Non-Human'!A16),IF(ISBLANK('Non-Human'!$A$10)," ","||"),CONCATENATE('Non-Human'!A16,"| ",'Non-Human'!B16,"| ",'Non-Human'!C16))</f>
        <v xml:space="preserve"> </v>
      </c>
    </row>
    <row r="129" spans="1:1" x14ac:dyDescent="0.2">
      <c r="A129" s="440" t="str">
        <f>IF(ISBLANK('Non-Human'!A17),IF(ISBLANK('Non-Human'!$A$10)," ","||"),CONCATENATE('Non-Human'!A17,"| ",'Non-Human'!B17,"| ",'Non-Human'!C17))</f>
        <v xml:space="preserve"> </v>
      </c>
    </row>
    <row r="130" spans="1:1" x14ac:dyDescent="0.2">
      <c r="A130" s="440" t="str">
        <f>IF(ISBLANK('Non-Human'!A18),IF(ISBLANK('Non-Human'!$A$10)," ","||"),CONCATENATE('Non-Human'!A18,"| ",'Non-Human'!B18,"| ",'Non-Human'!C18))</f>
        <v xml:space="preserve"> </v>
      </c>
    </row>
    <row r="131" spans="1:1" x14ac:dyDescent="0.2">
      <c r="A131" s="440" t="str">
        <f>IF(ISBLANK('Non-Human'!A19),IF(ISBLANK('Non-Human'!$A$10)," ","||"),CONCATENATE('Non-Human'!A19,"| ",'Non-Human'!B19,"| ",'Non-Human'!C19))</f>
        <v xml:space="preserve"> </v>
      </c>
    </row>
    <row r="132" spans="1:1" x14ac:dyDescent="0.2">
      <c r="A132" s="440" t="str">
        <f>IF(ISBLANK('Non-Human'!A20),IF(ISBLANK('Non-Human'!$A$10)," ","||"),CONCATENATE('Non-Human'!A20,"| ",'Non-Human'!B20,"| ",'Non-Human'!C20))</f>
        <v xml:space="preserve"> </v>
      </c>
    </row>
    <row r="133" spans="1:1" x14ac:dyDescent="0.2">
      <c r="A133" s="440" t="str">
        <f>IF(ISBLANK('Non-Human'!A21),IF(ISBLANK('Non-Human'!$A$10)," ","||"),CONCATENATE('Non-Human'!A21,"| ",'Non-Human'!B21,"| ",'Non-Human'!C21))</f>
        <v xml:space="preserve"> </v>
      </c>
    </row>
    <row r="134" spans="1:1" x14ac:dyDescent="0.2">
      <c r="A134" s="440" t="str">
        <f>IF(ISBLANK('Non-Human'!A22),IF(ISBLANK('Non-Human'!$A$10)," ","||"),CONCATENATE('Non-Human'!A22,"| ",'Non-Human'!B22,"| ",'Non-Human'!C22))</f>
        <v xml:space="preserve"> </v>
      </c>
    </row>
    <row r="135" spans="1:1" x14ac:dyDescent="0.2">
      <c r="A135" s="440" t="str">
        <f>IF(ISBLANK('Non-Human'!A23),IF(ISBLANK('Non-Human'!$A$10)," ","||"),CONCATENATE('Non-Human'!A23,"| ",'Non-Human'!B23,"| ",'Non-Human'!C23))</f>
        <v xml:space="preserve"> </v>
      </c>
    </row>
    <row r="136" spans="1:1" x14ac:dyDescent="0.2">
      <c r="A136" s="440" t="str">
        <f>IF(ISBLANK('Non-Human'!A24),IF(ISBLANK('Non-Human'!$A$10)," ","||"),CONCATENATE('Non-Human'!A24,"| ",'Non-Human'!B24,"| ",'Non-Human'!C24))</f>
        <v xml:space="preserve"> </v>
      </c>
    </row>
    <row r="137" spans="1:1" x14ac:dyDescent="0.2">
      <c r="A137" s="440" t="str">
        <f>IF(ISBLANK('Non-Human'!A10)," ","&amp;nbsp;||")</f>
        <v xml:space="preserve"> </v>
      </c>
    </row>
    <row r="138" spans="1:1" x14ac:dyDescent="0.2">
      <c r="A138" s="440" t="str">
        <f>IF(ISBLANK('Non-Human'!A10)," ",CONCATENATE(CHAR(34),CHAR(34),CHAR(34),"]]"))</f>
        <v xml:space="preserve"> </v>
      </c>
    </row>
    <row r="139" spans="1:1" x14ac:dyDescent="0.2">
      <c r="A139" s="440" t="str">
        <f>IF(ISBLANK('Non-Human'!E10)," ",CONCATENATE("[[!template id=divbox content=",CHAR(34),CHAR(34),CHAR(34)))</f>
        <v xml:space="preserve"> </v>
      </c>
    </row>
    <row r="140" spans="1:1" x14ac:dyDescent="0.2">
      <c r="A140" s="440" t="str">
        <f>IF(ISBLANK('Non-Human'!E10)," ",CONCATENATE("&lt;a id=",CHAR(34),"MundaneInferiorities",CHAR(34)," /&gt;"))</f>
        <v xml:space="preserve"> </v>
      </c>
    </row>
    <row r="141" spans="1:1" x14ac:dyDescent="0.2">
      <c r="A141" s="440" t="str">
        <f>IF(ISBLANK('Non-Human'!E10)," ",CONCATENATE("### ",'Non-Human'!E9))</f>
        <v xml:space="preserve"> </v>
      </c>
    </row>
    <row r="142" spans="1:1" x14ac:dyDescent="0.2">
      <c r="A142" s="440" t="str">
        <f>IF(ISBLANK('Non-Human'!E10)," ",":--|:--|:--")</f>
        <v xml:space="preserve"> </v>
      </c>
    </row>
    <row r="143" spans="1:1" x14ac:dyDescent="0.2">
      <c r="A143" s="440" t="str">
        <f>IF(ISBLANK('Non-Human'!E10),IF(ISBLANK('Non-Human'!$E$10)," ","||"),CONCATENATE('Non-Human'!E10,"| ",'Non-Human'!F10,"| ",'Non-Human'!G10))</f>
        <v xml:space="preserve"> </v>
      </c>
    </row>
    <row r="144" spans="1:1" x14ac:dyDescent="0.2">
      <c r="A144" s="440" t="str">
        <f>IF(ISBLANK('Non-Human'!E11),IF(ISBLANK('Non-Human'!$E$10)," ","||"),CONCATENATE('Non-Human'!E11,"| ",'Non-Human'!F11,"| ",'Non-Human'!G11))</f>
        <v xml:space="preserve"> </v>
      </c>
    </row>
    <row r="145" spans="1:1" x14ac:dyDescent="0.2">
      <c r="A145" s="440" t="str">
        <f>IF(ISBLANK('Non-Human'!E12),IF(ISBLANK('Non-Human'!$E$10)," ","||"),CONCATENATE('Non-Human'!E12,"| ",'Non-Human'!F12,"| ",'Non-Human'!G12))</f>
        <v xml:space="preserve"> </v>
      </c>
    </row>
    <row r="146" spans="1:1" x14ac:dyDescent="0.2">
      <c r="A146" s="440" t="str">
        <f>IF(ISBLANK('Non-Human'!E13),IF(ISBLANK('Non-Human'!$E$10)," ","||"),CONCATENATE('Non-Human'!E13,"| ",'Non-Human'!F13,"| ",'Non-Human'!G13))</f>
        <v xml:space="preserve"> </v>
      </c>
    </row>
    <row r="147" spans="1:1" x14ac:dyDescent="0.2">
      <c r="A147" s="440" t="str">
        <f>IF(ISBLANK('Non-Human'!E14),IF(ISBLANK('Non-Human'!$E$10)," ","||"),CONCATENATE('Non-Human'!E14,"| ",'Non-Human'!F14,"| ",'Non-Human'!G14))</f>
        <v xml:space="preserve"> </v>
      </c>
    </row>
    <row r="148" spans="1:1" x14ac:dyDescent="0.2">
      <c r="A148" s="440" t="str">
        <f>IF(ISBLANK('Non-Human'!E15),IF(ISBLANK('Non-Human'!$E$10)," ","||"),CONCATENATE('Non-Human'!E15,"| ",'Non-Human'!F15,"| ",'Non-Human'!G15))</f>
        <v xml:space="preserve"> </v>
      </c>
    </row>
    <row r="149" spans="1:1" x14ac:dyDescent="0.2">
      <c r="A149" s="440" t="str">
        <f>IF(ISBLANK('Non-Human'!E16),IF(ISBLANK('Non-Human'!$E$10)," ","||"),CONCATENATE('Non-Human'!E16,"| ",'Non-Human'!F16,"| ",'Non-Human'!G16))</f>
        <v xml:space="preserve"> </v>
      </c>
    </row>
    <row r="150" spans="1:1" x14ac:dyDescent="0.2">
      <c r="A150" s="440" t="str">
        <f>IF(ISBLANK('Non-Human'!E17),IF(ISBLANK('Non-Human'!$E$10)," ","||"),CONCATENATE('Non-Human'!E17,"| ",'Non-Human'!F17,"| ",'Non-Human'!G17))</f>
        <v xml:space="preserve"> </v>
      </c>
    </row>
    <row r="151" spans="1:1" x14ac:dyDescent="0.2">
      <c r="A151" s="440" t="str">
        <f>IF(ISBLANK('Non-Human'!E18),IF(ISBLANK('Non-Human'!$E$10)," ","||"),CONCATENATE('Non-Human'!E18,"| ",'Non-Human'!F18,"| ",'Non-Human'!G18))</f>
        <v xml:space="preserve"> </v>
      </c>
    </row>
    <row r="152" spans="1:1" x14ac:dyDescent="0.2">
      <c r="A152" s="440" t="str">
        <f>IF(ISBLANK('Non-Human'!E19),IF(ISBLANK('Non-Human'!$E$10)," ","||"),CONCATENATE('Non-Human'!E19,"| ",'Non-Human'!F19,"| ",'Non-Human'!G19))</f>
        <v xml:space="preserve"> </v>
      </c>
    </row>
    <row r="153" spans="1:1" x14ac:dyDescent="0.2">
      <c r="A153" s="440" t="str">
        <f>IF(ISBLANK('Non-Human'!E20),IF(ISBLANK('Non-Human'!$E$10)," ","||"),CONCATENATE('Non-Human'!E20,"| ",'Non-Human'!F20,"| ",'Non-Human'!G20))</f>
        <v xml:space="preserve"> </v>
      </c>
    </row>
    <row r="154" spans="1:1" x14ac:dyDescent="0.2">
      <c r="A154" s="440" t="str">
        <f>IF(ISBLANK('Non-Human'!E21),IF(ISBLANK('Non-Human'!$E$10)," ","||"),CONCATENATE('Non-Human'!E21,"| ",'Non-Human'!F21,"| ",'Non-Human'!G21))</f>
        <v xml:space="preserve"> </v>
      </c>
    </row>
    <row r="155" spans="1:1" x14ac:dyDescent="0.2">
      <c r="A155" s="440" t="str">
        <f>IF(ISBLANK('Non-Human'!E22),IF(ISBLANK('Non-Human'!$E$10)," ","||"),CONCATENATE('Non-Human'!E22,"| ",'Non-Human'!F22,"| ",'Non-Human'!G22))</f>
        <v xml:space="preserve"> </v>
      </c>
    </row>
    <row r="156" spans="1:1" x14ac:dyDescent="0.2">
      <c r="A156" s="440" t="str">
        <f>IF(ISBLANK('Non-Human'!E23),IF(ISBLANK('Non-Human'!$E$10)," ","||"),CONCATENATE('Non-Human'!E23,"| ",'Non-Human'!F23,"| ",'Non-Human'!G23))</f>
        <v xml:space="preserve"> </v>
      </c>
    </row>
    <row r="157" spans="1:1" x14ac:dyDescent="0.2">
      <c r="A157" s="440" t="str">
        <f>IF(ISBLANK('Non-Human'!E24),IF(ISBLANK('Non-Human'!$E$10)," ","||"),CONCATENATE('Non-Human'!E24,"| ",'Non-Human'!F24,"| ",'Non-Human'!G24))</f>
        <v xml:space="preserve"> </v>
      </c>
    </row>
    <row r="158" spans="1:1" x14ac:dyDescent="0.2">
      <c r="A158" s="440" t="str">
        <f>IF(ISBLANK('Non-Human'!E10)," ","&amp;nbsp;||")</f>
        <v xml:space="preserve"> </v>
      </c>
    </row>
    <row r="159" spans="1:1" x14ac:dyDescent="0.2">
      <c r="A159" s="440" t="str">
        <f>IF(ISBLANK('Non-Human'!E10)," ",CONCATENATE(CHAR(34),CHAR(34),CHAR(34),"]]"))</f>
        <v xml:space="preserve"> </v>
      </c>
    </row>
    <row r="160" spans="1:1" x14ac:dyDescent="0.2">
      <c r="A160" s="440" t="str">
        <f>IF(ISBLANK('Non-Human'!A28)," ",CONCATENATE("[[!template id=divbox content=",CHAR(34),CHAR(34),CHAR(34)))</f>
        <v xml:space="preserve"> </v>
      </c>
    </row>
    <row r="161" spans="1:1" x14ac:dyDescent="0.2">
      <c r="A161" s="440" t="str">
        <f>IF(ISBLANK('Non-Human'!A28)," ",CONCATENATE("&lt;a id=",CHAR(34),"SupernaturalQualities",CHAR(34)," /&gt;"))</f>
        <v xml:space="preserve"> </v>
      </c>
    </row>
    <row r="162" spans="1:1" x14ac:dyDescent="0.2">
      <c r="A162" s="440" t="str">
        <f>IF(ISBLANK('Non-Human'!A28)," ",CONCATENATE("### ",'Non-Human'!A27))</f>
        <v xml:space="preserve"> </v>
      </c>
    </row>
    <row r="163" spans="1:1" x14ac:dyDescent="0.2">
      <c r="A163" s="440" t="str">
        <f>IF(ISBLANK('Non-Human'!A28)," ",":--|:--|:--")</f>
        <v xml:space="preserve"> </v>
      </c>
    </row>
    <row r="164" spans="1:1" x14ac:dyDescent="0.2">
      <c r="A164" s="440" t="str">
        <f>IF(ISBLANK('Non-Human'!A28),IF(ISBLANK('Non-Human'!$A$28)," ","||"),CONCATENATE('Non-Human'!A28,"| ",'Non-Human'!B28,"| ",'Non-Human'!C28))</f>
        <v xml:space="preserve"> </v>
      </c>
    </row>
    <row r="165" spans="1:1" x14ac:dyDescent="0.2">
      <c r="A165" s="440" t="str">
        <f>IF(ISBLANK('Non-Human'!A29),IF(ISBLANK('Non-Human'!$A$28)," ","||"),CONCATENATE('Non-Human'!A29,"| ",'Non-Human'!B29,"| ",'Non-Human'!C29))</f>
        <v xml:space="preserve"> </v>
      </c>
    </row>
    <row r="166" spans="1:1" x14ac:dyDescent="0.2">
      <c r="A166" s="440" t="str">
        <f>IF(ISBLANK('Non-Human'!A30),IF(ISBLANK('Non-Human'!$A$28)," ","||"),CONCATENATE('Non-Human'!A30,"| ",'Non-Human'!B30,"| ",'Non-Human'!C30))</f>
        <v xml:space="preserve"> </v>
      </c>
    </row>
    <row r="167" spans="1:1" x14ac:dyDescent="0.2">
      <c r="A167" s="440" t="str">
        <f>IF(ISBLANK('Non-Human'!A31),IF(ISBLANK('Non-Human'!$A$28)," ","||"),CONCATENATE('Non-Human'!A31,"| ",'Non-Human'!B31,"| ",'Non-Human'!C31))</f>
        <v xml:space="preserve"> </v>
      </c>
    </row>
    <row r="168" spans="1:1" x14ac:dyDescent="0.2">
      <c r="A168" s="440" t="str">
        <f>IF(ISBLANK('Non-Human'!A32),IF(ISBLANK('Non-Human'!$A$28)," ","||"),CONCATENATE('Non-Human'!A32,"| ",'Non-Human'!B32,"| ",'Non-Human'!C32))</f>
        <v xml:space="preserve"> </v>
      </c>
    </row>
    <row r="169" spans="1:1" x14ac:dyDescent="0.2">
      <c r="A169" s="440" t="str">
        <f>IF(ISBLANK('Non-Human'!A33),IF(ISBLANK('Non-Human'!$A$28)," ","||"),CONCATENATE('Non-Human'!A33,"| ",'Non-Human'!B33,"| ",'Non-Human'!C33))</f>
        <v xml:space="preserve"> </v>
      </c>
    </row>
    <row r="170" spans="1:1" x14ac:dyDescent="0.2">
      <c r="A170" s="440" t="str">
        <f>IF(ISBLANK('Non-Human'!A34),IF(ISBLANK('Non-Human'!$A$28)," ","||"),CONCATENATE('Non-Human'!A34,"| ",'Non-Human'!B34,"| ",'Non-Human'!C34))</f>
        <v xml:space="preserve"> </v>
      </c>
    </row>
    <row r="171" spans="1:1" x14ac:dyDescent="0.2">
      <c r="A171" s="440" t="str">
        <f>IF(ISBLANK('Non-Human'!A35),IF(ISBLANK('Non-Human'!$A$28)," ","||"),CONCATENATE('Non-Human'!A35,"| ",'Non-Human'!B35,"| ",'Non-Human'!C35))</f>
        <v xml:space="preserve"> </v>
      </c>
    </row>
    <row r="172" spans="1:1" x14ac:dyDescent="0.2">
      <c r="A172" s="440" t="str">
        <f>IF(ISBLANK('Non-Human'!A36),IF(ISBLANK('Non-Human'!$A$28)," ","||"),CONCATENATE('Non-Human'!A36,"| ",'Non-Human'!B36,"| ",'Non-Human'!C36))</f>
        <v xml:space="preserve"> </v>
      </c>
    </row>
    <row r="173" spans="1:1" x14ac:dyDescent="0.2">
      <c r="A173" s="440" t="str">
        <f>IF(ISBLANK('Non-Human'!A37),IF(ISBLANK('Non-Human'!$A$28)," ","||"),CONCATENATE('Non-Human'!A37,"| ",'Non-Human'!B37,"| ",'Non-Human'!C37))</f>
        <v xml:space="preserve"> </v>
      </c>
    </row>
    <row r="174" spans="1:1" x14ac:dyDescent="0.2">
      <c r="A174" s="440" t="str">
        <f>IF(ISBLANK('Non-Human'!A38),IF(ISBLANK('Non-Human'!$A$28)," ","||"),CONCATENATE('Non-Human'!A38,"| ",'Non-Human'!B38,"| ",'Non-Human'!C38))</f>
        <v xml:space="preserve"> </v>
      </c>
    </row>
    <row r="175" spans="1:1" x14ac:dyDescent="0.2">
      <c r="A175" s="440" t="str">
        <f>IF(ISBLANK('Non-Human'!A39),IF(ISBLANK('Non-Human'!$A$28)," ","||"),CONCATENATE('Non-Human'!A39,"| ",'Non-Human'!B39,"| ",'Non-Human'!C39))</f>
        <v xml:space="preserve"> </v>
      </c>
    </row>
    <row r="176" spans="1:1" x14ac:dyDescent="0.2">
      <c r="A176" s="440" t="str">
        <f>IF(ISBLANK('Non-Human'!A40),IF(ISBLANK('Non-Human'!$A$28)," ","||"),CONCATENATE('Non-Human'!A40,"| ",'Non-Human'!B40,"| ",'Non-Human'!C40))</f>
        <v xml:space="preserve"> </v>
      </c>
    </row>
    <row r="177" spans="1:1" x14ac:dyDescent="0.2">
      <c r="A177" s="440" t="str">
        <f>IF(ISBLANK('Non-Human'!A41),IF(ISBLANK('Non-Human'!$A$28)," ","||"),CONCATENATE('Non-Human'!A41,"| ",'Non-Human'!B41,"| ",'Non-Human'!C41))</f>
        <v xml:space="preserve"> </v>
      </c>
    </row>
    <row r="178" spans="1:1" x14ac:dyDescent="0.2">
      <c r="A178" s="440" t="str">
        <f>IF(ISBLANK('Non-Human'!A42),IF(ISBLANK('Non-Human'!$A$28)," ","||"),CONCATENATE('Non-Human'!A42,"| ",'Non-Human'!B42,"| ",'Non-Human'!C42))</f>
        <v xml:space="preserve"> </v>
      </c>
    </row>
    <row r="179" spans="1:1" x14ac:dyDescent="0.2">
      <c r="A179" s="440" t="str">
        <f>IF(ISBLANK('Non-Human'!A28)," ","&amp;nbsp;||")</f>
        <v xml:space="preserve"> </v>
      </c>
    </row>
    <row r="180" spans="1:1" x14ac:dyDescent="0.2">
      <c r="A180" s="440" t="str">
        <f>IF(ISBLANK('Non-Human'!A28)," ",CONCATENATE(CHAR(34),CHAR(34),CHAR(34),"]]"))</f>
        <v xml:space="preserve"> </v>
      </c>
    </row>
    <row r="181" spans="1:1" x14ac:dyDescent="0.2">
      <c r="A181" s="440" t="str">
        <f>IF(ISBLANK('Non-Human'!E28)," ",CONCATENATE("[[!template id=divbox content=",CHAR(34),CHAR(34),CHAR(34)))</f>
        <v xml:space="preserve"> </v>
      </c>
    </row>
    <row r="182" spans="1:1" x14ac:dyDescent="0.2">
      <c r="A182" s="440" t="str">
        <f>IF(ISBLANK('Non-Human'!E28)," ",CONCATENATE("&lt;a id=",CHAR(34),"SupernaturalInferiorities",CHAR(34)," /&gt;"))</f>
        <v xml:space="preserve"> </v>
      </c>
    </row>
    <row r="183" spans="1:1" x14ac:dyDescent="0.2">
      <c r="A183" s="440" t="str">
        <f>IF(ISBLANK('Non-Human'!E28)," ",CONCATENATE("### ",'Non-Human'!E27))</f>
        <v xml:space="preserve"> </v>
      </c>
    </row>
    <row r="184" spans="1:1" x14ac:dyDescent="0.2">
      <c r="A184" s="440" t="str">
        <f>IF(ISBLANK('Non-Human'!E28)," ",":--|:--|:--")</f>
        <v xml:space="preserve"> </v>
      </c>
    </row>
    <row r="185" spans="1:1" x14ac:dyDescent="0.2">
      <c r="A185" s="440" t="str">
        <f>IF(ISBLANK('Non-Human'!E28),IF(ISBLANK('Non-Human'!$E$28)," ","||"),CONCATENATE('Non-Human'!E28,"| ",'Non-Human'!F28,"| ",'Non-Human'!G28))</f>
        <v xml:space="preserve"> </v>
      </c>
    </row>
    <row r="186" spans="1:1" x14ac:dyDescent="0.2">
      <c r="A186" s="440" t="str">
        <f>IF(ISBLANK('Non-Human'!E29),IF(ISBLANK('Non-Human'!$E$28)," ","||"),CONCATENATE('Non-Human'!E29,"| ",'Non-Human'!F29,"| ",'Non-Human'!G29))</f>
        <v xml:space="preserve"> </v>
      </c>
    </row>
    <row r="187" spans="1:1" x14ac:dyDescent="0.2">
      <c r="A187" s="440" t="str">
        <f>IF(ISBLANK('Non-Human'!E30),IF(ISBLANK('Non-Human'!$E$28)," ","||"),CONCATENATE('Non-Human'!E30,"| ",'Non-Human'!F30,"| ",'Non-Human'!G30))</f>
        <v xml:space="preserve"> </v>
      </c>
    </row>
    <row r="188" spans="1:1" x14ac:dyDescent="0.2">
      <c r="A188" s="440" t="str">
        <f>IF(ISBLANK('Non-Human'!E31),IF(ISBLANK('Non-Human'!$E$28)," ","||"),CONCATENATE('Non-Human'!E31,"| ",'Non-Human'!F31,"| ",'Non-Human'!G31))</f>
        <v xml:space="preserve"> </v>
      </c>
    </row>
    <row r="189" spans="1:1" x14ac:dyDescent="0.2">
      <c r="A189" s="440" t="str">
        <f>IF(ISBLANK('Non-Human'!E32),IF(ISBLANK('Non-Human'!$E$28)," ","||"),CONCATENATE('Non-Human'!E32,"| ",'Non-Human'!F32,"| ",'Non-Human'!G32))</f>
        <v xml:space="preserve"> </v>
      </c>
    </row>
    <row r="190" spans="1:1" x14ac:dyDescent="0.2">
      <c r="A190" s="440" t="str">
        <f>IF(ISBLANK('Non-Human'!E33),IF(ISBLANK('Non-Human'!$E$28)," ","||"),CONCATENATE('Non-Human'!E33,"| ",'Non-Human'!F33,"| ",'Non-Human'!G33))</f>
        <v xml:space="preserve"> </v>
      </c>
    </row>
    <row r="191" spans="1:1" x14ac:dyDescent="0.2">
      <c r="A191" s="440" t="str">
        <f>IF(ISBLANK('Non-Human'!E34),IF(ISBLANK('Non-Human'!$E$28)," ","||"),CONCATENATE('Non-Human'!E34,"| ",'Non-Human'!F34,"| ",'Non-Human'!G34))</f>
        <v xml:space="preserve"> </v>
      </c>
    </row>
    <row r="192" spans="1:1" x14ac:dyDescent="0.2">
      <c r="A192" s="440" t="str">
        <f>IF(ISBLANK('Non-Human'!E35),IF(ISBLANK('Non-Human'!$E$28)," ","||"),CONCATENATE('Non-Human'!E35,"| ",'Non-Human'!F35,"| ",'Non-Human'!G35))</f>
        <v xml:space="preserve"> </v>
      </c>
    </row>
    <row r="193" spans="1:1" x14ac:dyDescent="0.2">
      <c r="A193" s="440" t="str">
        <f>IF(ISBLANK('Non-Human'!E36),IF(ISBLANK('Non-Human'!$E$28)," ","||"),CONCATENATE('Non-Human'!E36,"| ",'Non-Human'!F36,"| ",'Non-Human'!G36))</f>
        <v xml:space="preserve"> </v>
      </c>
    </row>
    <row r="194" spans="1:1" x14ac:dyDescent="0.2">
      <c r="A194" s="440" t="str">
        <f>IF(ISBLANK('Non-Human'!E37),IF(ISBLANK('Non-Human'!$E$28)," ","||"),CONCATENATE('Non-Human'!E37,"| ",'Non-Human'!F37,"| ",'Non-Human'!G37))</f>
        <v xml:space="preserve"> </v>
      </c>
    </row>
    <row r="195" spans="1:1" x14ac:dyDescent="0.2">
      <c r="A195" s="440" t="str">
        <f>IF(ISBLANK('Non-Human'!E38),IF(ISBLANK('Non-Human'!$E$28)," ","||"),CONCATENATE('Non-Human'!E38,"| ",'Non-Human'!F38,"| ",'Non-Human'!G38))</f>
        <v xml:space="preserve"> </v>
      </c>
    </row>
    <row r="196" spans="1:1" x14ac:dyDescent="0.2">
      <c r="A196" s="440" t="str">
        <f>IF(ISBLANK('Non-Human'!E39),IF(ISBLANK('Non-Human'!$E$28)," ","||"),CONCATENATE('Non-Human'!E39,"| ",'Non-Human'!F39,"| ",'Non-Human'!G39))</f>
        <v xml:space="preserve"> </v>
      </c>
    </row>
    <row r="197" spans="1:1" x14ac:dyDescent="0.2">
      <c r="A197" s="440" t="str">
        <f>IF(ISBLANK('Non-Human'!E40),IF(ISBLANK('Non-Human'!$E$28)," ","||"),CONCATENATE('Non-Human'!E40,"| ",'Non-Human'!F40,"| ",'Non-Human'!G40))</f>
        <v xml:space="preserve"> </v>
      </c>
    </row>
    <row r="198" spans="1:1" x14ac:dyDescent="0.2">
      <c r="A198" s="440" t="str">
        <f>IF(ISBLANK('Non-Human'!E41),IF(ISBLANK('Non-Human'!$E$28)," ","||"),CONCATENATE('Non-Human'!E41,"| ",'Non-Human'!F41,"| ",'Non-Human'!G41))</f>
        <v xml:space="preserve"> </v>
      </c>
    </row>
    <row r="199" spans="1:1" x14ac:dyDescent="0.2">
      <c r="A199" s="440" t="str">
        <f>IF(ISBLANK('Non-Human'!E42),IF(ISBLANK('Non-Human'!$E$28)," ","||"),CONCATENATE('Non-Human'!E42,"| ",'Non-Human'!F42,"| ",'Non-Human'!G42))</f>
        <v xml:space="preserve"> </v>
      </c>
    </row>
    <row r="200" spans="1:1" x14ac:dyDescent="0.2">
      <c r="A200" s="440" t="str">
        <f>IF(ISBLANK('Non-Human'!E28)," ","&amp;nbsp;||")</f>
        <v xml:space="preserve"> </v>
      </c>
    </row>
    <row r="201" spans="1:1" x14ac:dyDescent="0.2">
      <c r="A201" s="440" t="str">
        <f>IF(ISBLANK('Non-Human'!E28)," ",CONCATENATE(CHAR(34),CHAR(34),CHAR(34),"]]"))</f>
        <v xml:space="preserve"> </v>
      </c>
    </row>
    <row r="202" spans="1:1" x14ac:dyDescent="0.2">
      <c r="A202" s="440" t="str">
        <f>CONCATENATE("&lt;br style=",CHAR(34),"clear:left;",CHAR(34)," /&gt;")</f>
        <v>&lt;br style="clear:left;" /&gt;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8"/>
  <sheetViews>
    <sheetView workbookViewId="0">
      <selection activeCell="B28" sqref="B28:B42"/>
    </sheetView>
  </sheetViews>
  <sheetFormatPr defaultRowHeight="12.75" x14ac:dyDescent="0.2"/>
  <cols>
    <col min="1" max="1" width="24.7109375" customWidth="1"/>
    <col min="2" max="4" width="7" customWidth="1"/>
    <col min="5" max="5" width="25" customWidth="1"/>
    <col min="6" max="6" width="9.42578125" customWidth="1"/>
    <col min="7" max="7" width="9.5703125" customWidth="1"/>
    <col min="9" max="9" width="26.42578125" customWidth="1"/>
    <col min="11" max="11" width="7.42578125" customWidth="1"/>
    <col min="12" max="12" width="5.85546875" customWidth="1"/>
    <col min="13" max="13" width="5.7109375" bestFit="1" customWidth="1"/>
    <col min="14" max="14" width="6.140625" customWidth="1"/>
    <col min="15" max="15" width="5.140625" bestFit="1" customWidth="1"/>
    <col min="16" max="16" width="21.140625" bestFit="1" customWidth="1"/>
    <col min="17" max="17" width="9.140625" customWidth="1"/>
    <col min="18" max="18" width="4.5703125" bestFit="1" customWidth="1"/>
    <col min="19" max="19" width="6.7109375" customWidth="1"/>
    <col min="20" max="20" width="7.85546875" bestFit="1" customWidth="1"/>
    <col min="21" max="21" width="42.140625" bestFit="1" customWidth="1"/>
  </cols>
  <sheetData>
    <row r="1" spans="1:22" ht="13.5" thickBot="1" x14ac:dyDescent="0.25">
      <c r="A1" s="783" t="s">
        <v>347</v>
      </c>
      <c r="B1" s="784"/>
      <c r="C1" s="784"/>
      <c r="D1" s="784"/>
      <c r="E1" s="784"/>
      <c r="F1" s="784"/>
      <c r="G1" s="785"/>
      <c r="I1" s="786" t="s">
        <v>522</v>
      </c>
      <c r="J1" s="787"/>
      <c r="K1" s="787"/>
      <c r="L1" s="787"/>
      <c r="M1" s="788"/>
      <c r="O1" s="769" t="s">
        <v>516</v>
      </c>
      <c r="P1" s="770"/>
      <c r="Q1" s="770"/>
      <c r="R1" s="770"/>
      <c r="S1" s="770"/>
      <c r="T1" s="770"/>
      <c r="U1" s="770"/>
      <c r="V1" s="771"/>
    </row>
    <row r="2" spans="1:22" x14ac:dyDescent="0.2">
      <c r="A2" s="682" t="s">
        <v>170</v>
      </c>
      <c r="B2" s="793" t="s">
        <v>489</v>
      </c>
      <c r="C2" s="794"/>
      <c r="D2" s="662"/>
      <c r="E2" s="489" t="s">
        <v>488</v>
      </c>
      <c r="F2" s="800">
        <f>B4-Character!F11-COUNTIF(V1:V4000,"Yes")</f>
        <v>0</v>
      </c>
      <c r="G2" s="801"/>
      <c r="I2" s="664"/>
      <c r="J2" s="3"/>
      <c r="K2" s="3"/>
      <c r="L2" s="3"/>
      <c r="M2" s="665"/>
      <c r="O2" s="776" t="s">
        <v>166</v>
      </c>
      <c r="P2" s="776" t="s">
        <v>517</v>
      </c>
      <c r="Q2" s="776" t="s">
        <v>545</v>
      </c>
      <c r="R2" s="776" t="s">
        <v>546</v>
      </c>
      <c r="S2" s="776" t="s">
        <v>547</v>
      </c>
      <c r="T2" s="776" t="s">
        <v>548</v>
      </c>
      <c r="U2" s="776" t="s">
        <v>391</v>
      </c>
      <c r="V2" s="792" t="s">
        <v>558</v>
      </c>
    </row>
    <row r="3" spans="1:22" x14ac:dyDescent="0.2">
      <c r="A3" s="675" t="s">
        <v>487</v>
      </c>
      <c r="B3" s="772" t="s">
        <v>453</v>
      </c>
      <c r="C3" s="773"/>
      <c r="D3" s="662"/>
      <c r="E3" s="654" t="s">
        <v>496</v>
      </c>
      <c r="F3" s="779"/>
      <c r="G3" s="780"/>
      <c r="I3" s="769" t="s">
        <v>518</v>
      </c>
      <c r="J3" s="771"/>
      <c r="K3" s="771"/>
      <c r="L3" s="771"/>
      <c r="M3" s="789"/>
      <c r="O3" s="776"/>
      <c r="P3" s="776"/>
      <c r="Q3" s="776"/>
      <c r="R3" s="776"/>
      <c r="S3" s="776"/>
      <c r="T3" s="776"/>
      <c r="U3" s="776"/>
      <c r="V3" s="792"/>
    </row>
    <row r="4" spans="1:22" x14ac:dyDescent="0.2">
      <c r="A4" s="675" t="s">
        <v>495</v>
      </c>
      <c r="B4" s="772"/>
      <c r="C4" s="773"/>
      <c r="D4" s="662"/>
      <c r="E4" s="654" t="s">
        <v>497</v>
      </c>
      <c r="F4" s="656"/>
      <c r="G4" s="676">
        <f>F2-F3</f>
        <v>0</v>
      </c>
      <c r="I4" s="666" t="s">
        <v>529</v>
      </c>
      <c r="J4" s="667">
        <f>VLOOKUP(F2,Calcs!$O$30:$R$42,2,TRUE)</f>
        <v>1</v>
      </c>
      <c r="K4" s="3"/>
      <c r="L4" s="3"/>
      <c r="M4" s="665"/>
      <c r="O4" s="654">
        <f>Timeline!A3</f>
        <v>1216</v>
      </c>
      <c r="P4" s="673"/>
      <c r="Q4" s="654" t="str">
        <f>IF(ISBLANK(P4)," ",IF(P4=Calcs!$I$46,"Yes","No"))</f>
        <v xml:space="preserve"> </v>
      </c>
      <c r="R4" s="654"/>
      <c r="S4" s="654" t="str">
        <f>IF(ISBLANK(R4)," ",IF(R4=0,$J$21," "))</f>
        <v xml:space="preserve"> </v>
      </c>
      <c r="T4" s="654"/>
      <c r="U4" s="655" t="str">
        <f>IF(ISBLANK(P4)," ",IF(P4=Calcs!$I$42,"Lose 1 point of Magic Might or 1 Magical Quality",IF(P4=Calcs!$I$46,IF(ISBLANK(R4)," ",IF(AND(R4=0,T4&gt;0),CONCATENATE("Gain ",T4," points of magical inferiorities. Discuss."),VLOOKUP(R4,Calcs!$O$57:$P$63,2,TRUE))),"No effect")))</f>
        <v xml:space="preserve"> </v>
      </c>
      <c r="V4" s="655"/>
    </row>
    <row r="5" spans="1:22" x14ac:dyDescent="0.2">
      <c r="A5" s="675" t="s">
        <v>503</v>
      </c>
      <c r="B5" s="781"/>
      <c r="C5" s="782"/>
      <c r="D5" s="674"/>
      <c r="E5" s="654" t="s">
        <v>505</v>
      </c>
      <c r="F5" s="777"/>
      <c r="G5" s="778"/>
      <c r="I5" s="666" t="s">
        <v>534</v>
      </c>
      <c r="J5" s="667">
        <f>VLOOKUP(F3,Calcs!$O$30:$R$42,3,TRUE)</f>
        <v>5</v>
      </c>
      <c r="K5" s="3"/>
      <c r="L5" s="3"/>
      <c r="M5" s="665"/>
      <c r="O5" s="654">
        <f>O4+1</f>
        <v>1217</v>
      </c>
      <c r="P5" s="673"/>
      <c r="Q5" s="654" t="str">
        <f>IF(ISBLANK(P5)," ",IF(P5=Calcs!$I$46,"Yes","No"))</f>
        <v xml:space="preserve"> </v>
      </c>
      <c r="R5" s="654"/>
      <c r="S5" s="654" t="str">
        <f t="shared" ref="S5:S68" si="0">IF(ISBLANK(R5)," ",IF(R5=0,$J$21," "))</f>
        <v xml:space="preserve"> </v>
      </c>
      <c r="T5" s="654"/>
      <c r="U5" s="655" t="str">
        <f>IF(ISBLANK(P5)," ",IF(P5=Calcs!$I$42,"Lose 1 point of Magic Might or 1 Magical Quality",IF(P5=Calcs!$I$46,IF(ISBLANK(R5)," ",IF(AND(R5=0,T5&gt;0),CONCATENATE("Gain ",T5," points of magical inferiorities. Discuss."),VLOOKUP(R5,Calcs!$O$57:$P$63,2,TRUE))),"No effect")))</f>
        <v xml:space="preserve"> </v>
      </c>
      <c r="V5" s="654"/>
    </row>
    <row r="6" spans="1:22" x14ac:dyDescent="0.2">
      <c r="A6" s="675" t="s">
        <v>502</v>
      </c>
      <c r="B6" s="798">
        <f>ROUNDUP(F2/5,0)</f>
        <v>0</v>
      </c>
      <c r="C6" s="799"/>
      <c r="D6" s="674"/>
      <c r="E6" s="654" t="s">
        <v>506</v>
      </c>
      <c r="F6" s="774">
        <f>F2</f>
        <v>0</v>
      </c>
      <c r="G6" s="775"/>
      <c r="I6" s="666" t="s">
        <v>530</v>
      </c>
      <c r="J6" s="667">
        <f>VLOOKUP(F4,Calcs!$O$30:$R$42,4,TRUE)</f>
        <v>8</v>
      </c>
      <c r="K6" s="3"/>
      <c r="L6" s="3"/>
      <c r="M6" s="665"/>
      <c r="O6" s="654">
        <f t="shared" ref="O6:O16" si="1">O5+1</f>
        <v>1218</v>
      </c>
      <c r="P6" s="673"/>
      <c r="Q6" s="654" t="str">
        <f>IF(ISBLANK(P6)," ",IF(P6=Calcs!$I$46,"Yes","No"))</f>
        <v xml:space="preserve"> </v>
      </c>
      <c r="R6" s="654"/>
      <c r="S6" s="654" t="str">
        <f t="shared" si="0"/>
        <v xml:space="preserve"> </v>
      </c>
      <c r="T6" s="654"/>
      <c r="U6" s="655" t="str">
        <f>IF(ISBLANK(P6)," ",IF(P6=Calcs!$I$42,"Lose 1 point of Magic Might or 1 Magical Quality",IF(P6=Calcs!$I$46,IF(ISBLANK(R6)," ",IF(AND(R6=0,T6&gt;0),CONCATENATE("Gain ",T6," points of magical inferiorities. Discuss."),VLOOKUP(R6,Calcs!$O$57:$P$63,2,TRUE))),"No effect")))</f>
        <v xml:space="preserve"> </v>
      </c>
      <c r="V6" s="654"/>
    </row>
    <row r="7" spans="1:22" ht="13.5" thickBot="1" x14ac:dyDescent="0.25">
      <c r="A7" s="677" t="s">
        <v>504</v>
      </c>
      <c r="B7" s="790"/>
      <c r="C7" s="791"/>
      <c r="D7" s="678"/>
      <c r="E7" s="679" t="s">
        <v>507</v>
      </c>
      <c r="F7" s="680"/>
      <c r="G7" s="681"/>
      <c r="I7" s="666"/>
      <c r="J7" s="667"/>
      <c r="K7" s="3"/>
      <c r="L7" s="3"/>
      <c r="M7" s="665"/>
      <c r="O7" s="654">
        <f t="shared" si="1"/>
        <v>1219</v>
      </c>
      <c r="P7" s="673"/>
      <c r="Q7" s="654" t="str">
        <f>IF(ISBLANK(P7)," ",IF(P7=Calcs!$I$46,"Yes","No"))</f>
        <v xml:space="preserve"> </v>
      </c>
      <c r="R7" s="654"/>
      <c r="S7" s="654" t="str">
        <f t="shared" si="0"/>
        <v xml:space="preserve"> </v>
      </c>
      <c r="T7" s="654"/>
      <c r="U7" s="655" t="str">
        <f>IF(ISBLANK(P7)," ",IF(P7=Calcs!$I$42,"Lose 1 point of Magic Might or 1 Magical Quality",IF(P7=Calcs!$I$46,IF(ISBLANK(R7)," ",IF(AND(R7=0,T7&gt;0),CONCATENATE("Gain ",T7," points of magical inferiorities. Discuss."),VLOOKUP(R7,Calcs!$O$57:$P$63,2,TRUE))),"No effect")))</f>
        <v xml:space="preserve"> </v>
      </c>
      <c r="V7" s="654"/>
    </row>
    <row r="8" spans="1:22" x14ac:dyDescent="0.2">
      <c r="D8" s="662"/>
      <c r="I8" s="664" t="s">
        <v>539</v>
      </c>
      <c r="J8" s="3"/>
      <c r="K8" s="3"/>
      <c r="L8" s="3"/>
      <c r="M8" s="665"/>
      <c r="O8" s="654">
        <f t="shared" si="1"/>
        <v>1220</v>
      </c>
      <c r="P8" s="673"/>
      <c r="Q8" s="654" t="str">
        <f>IF(ISBLANK(P8)," ",IF(P8=Calcs!$I$46,"Yes","No"))</f>
        <v xml:space="preserve"> </v>
      </c>
      <c r="R8" s="654"/>
      <c r="S8" s="654" t="str">
        <f t="shared" si="0"/>
        <v xml:space="preserve"> </v>
      </c>
      <c r="T8" s="654"/>
      <c r="U8" s="655" t="str">
        <f>IF(ISBLANK(P8)," ",IF(P8=Calcs!$I$42,"Lose 1 point of Magic Might or 1 Magical Quality",IF(P8=Calcs!$I$46,IF(ISBLANK(R8)," ",IF(AND(R8=0,T8&gt;0),CONCATENATE("Gain ",T8," points of magical inferiorities. Discuss."),VLOOKUP(R8,Calcs!$O$57:$P$63,2,TRUE))),"No effect")))</f>
        <v xml:space="preserve"> </v>
      </c>
      <c r="V8" s="654"/>
    </row>
    <row r="9" spans="1:22" x14ac:dyDescent="0.2">
      <c r="A9" s="649" t="s">
        <v>498</v>
      </c>
      <c r="B9" s="648"/>
      <c r="C9" s="54"/>
      <c r="E9" s="649" t="s">
        <v>499</v>
      </c>
      <c r="F9" s="648"/>
      <c r="G9" s="54"/>
      <c r="I9" s="666"/>
      <c r="J9" s="795" t="s">
        <v>540</v>
      </c>
      <c r="K9" s="771"/>
      <c r="L9" s="771"/>
      <c r="M9" s="789"/>
      <c r="O9" s="654">
        <f t="shared" si="1"/>
        <v>1221</v>
      </c>
      <c r="P9" s="673"/>
      <c r="Q9" s="654" t="str">
        <f>IF(ISBLANK(P9)," ",IF(P9=Calcs!$I$46,"Yes","No"))</f>
        <v xml:space="preserve"> </v>
      </c>
      <c r="R9" s="654"/>
      <c r="S9" s="654" t="str">
        <f t="shared" si="0"/>
        <v xml:space="preserve"> </v>
      </c>
      <c r="T9" s="654"/>
      <c r="U9" s="655" t="str">
        <f>IF(ISBLANK(P9)," ",IF(P9=Calcs!$I$42,"Lose 1 point of Magic Might or 1 Magical Quality",IF(P9=Calcs!$I$46,IF(ISBLANK(R9)," ",IF(AND(R9=0,T9&gt;0),CONCATENATE("Gain ",T9," points of magical inferiorities. Discuss."),VLOOKUP(R9,Calcs!$O$57:$P$63,2,TRUE))),"No effect")))</f>
        <v xml:space="preserve"> </v>
      </c>
      <c r="V9" s="654"/>
    </row>
    <row r="10" spans="1:22" x14ac:dyDescent="0.2">
      <c r="A10" s="653"/>
      <c r="B10" s="650" t="str">
        <f>IF(ISBLANK(C10)," ",VLOOKUP(C10,Calcs!$A$54:$B$59,2,FALSE))</f>
        <v xml:space="preserve"> </v>
      </c>
      <c r="C10" s="204"/>
      <c r="E10" s="653"/>
      <c r="F10" s="650" t="str">
        <f>IF(ISBLANK(G10)," ",VLOOKUP(G10,Calcs!$A$54:$B$59,2,FALSE))</f>
        <v xml:space="preserve"> </v>
      </c>
      <c r="G10" s="204"/>
      <c r="I10" s="666"/>
      <c r="J10" s="23">
        <v>4</v>
      </c>
      <c r="K10" s="23">
        <v>3</v>
      </c>
      <c r="L10" s="23">
        <v>2</v>
      </c>
      <c r="M10" s="668">
        <v>1</v>
      </c>
      <c r="O10" s="654">
        <f t="shared" si="1"/>
        <v>1222</v>
      </c>
      <c r="P10" s="673"/>
      <c r="Q10" s="654" t="str">
        <f>IF(ISBLANK(P10)," ",IF(P10=Calcs!$I$46,"Yes","No"))</f>
        <v xml:space="preserve"> </v>
      </c>
      <c r="R10" s="654"/>
      <c r="S10" s="654" t="str">
        <f t="shared" si="0"/>
        <v xml:space="preserve"> </v>
      </c>
      <c r="T10" s="654"/>
      <c r="U10" s="655" t="str">
        <f>IF(ISBLANK(P10)," ",IF(P10=Calcs!$I$42,"Lose 1 point of Magic Might or 1 Magical Quality",IF(P10=Calcs!$I$46,IF(ISBLANK(R10)," ",IF(AND(R10=0,T10&gt;0),CONCATENATE("Gain ",T10," points of magical inferiorities. Discuss."),VLOOKUP(R10,Calcs!$O$57:$P$63,2,TRUE))),"No effect")))</f>
        <v xml:space="preserve"> </v>
      </c>
      <c r="V10" s="654"/>
    </row>
    <row r="11" spans="1:22" x14ac:dyDescent="0.2">
      <c r="A11" s="651"/>
      <c r="B11" s="172" t="str">
        <f>IF(ISBLANK(C11)," ",VLOOKUP(C11,Calcs!$A$54:$B$59,2,FALSE))</f>
        <v xml:space="preserve"> </v>
      </c>
      <c r="C11" s="105"/>
      <c r="E11" s="651"/>
      <c r="F11" s="172" t="str">
        <f>IF(ISBLANK(G11)," ",VLOOKUP(G11,Calcs!$A$54:$B$59,2,FALSE))</f>
        <v xml:space="preserve"> </v>
      </c>
      <c r="G11" s="105"/>
      <c r="I11" s="666" t="s">
        <v>537</v>
      </c>
      <c r="J11" s="667">
        <v>1</v>
      </c>
      <c r="K11" s="667">
        <v>11</v>
      </c>
      <c r="L11" s="667">
        <v>21</v>
      </c>
      <c r="M11" s="669">
        <v>31</v>
      </c>
      <c r="O11" s="654">
        <f t="shared" si="1"/>
        <v>1223</v>
      </c>
      <c r="P11" s="673"/>
      <c r="Q11" s="654" t="str">
        <f>IF(ISBLANK(P11)," ",IF(P11=Calcs!$I$46,"Yes","No"))</f>
        <v xml:space="preserve"> </v>
      </c>
      <c r="R11" s="654"/>
      <c r="S11" s="654" t="str">
        <f t="shared" si="0"/>
        <v xml:space="preserve"> </v>
      </c>
      <c r="T11" s="654"/>
      <c r="U11" s="655" t="str">
        <f>IF(ISBLANK(P11)," ",IF(P11=Calcs!$I$42,"Lose 1 point of Magic Might or 1 Magical Quality",IF(P11=Calcs!$I$46,IF(ISBLANK(R11)," ",IF(AND(R11=0,T11&gt;0),CONCATENATE("Gain ",T11," points of magical inferiorities. Discuss."),VLOOKUP(R11,Calcs!$O$57:$P$63,2,TRUE))),"No effect")))</f>
        <v xml:space="preserve"> </v>
      </c>
      <c r="V11" s="654"/>
    </row>
    <row r="12" spans="1:22" x14ac:dyDescent="0.2">
      <c r="A12" s="651"/>
      <c r="B12" s="172" t="str">
        <f>IF(ISBLANK(C12)," ",VLOOKUP(C12,Calcs!$A$54:$B$59,2,FALSE))</f>
        <v xml:space="preserve"> </v>
      </c>
      <c r="C12" s="105"/>
      <c r="E12" s="651"/>
      <c r="F12" s="172" t="str">
        <f>IF(ISBLANK(G12)," ",VLOOKUP(G12,Calcs!$A$54:$B$59,2,FALSE))</f>
        <v xml:space="preserve"> </v>
      </c>
      <c r="G12" s="105"/>
      <c r="I12" s="666" t="s">
        <v>536</v>
      </c>
      <c r="J12" s="667">
        <v>21</v>
      </c>
      <c r="K12" s="667">
        <v>31</v>
      </c>
      <c r="L12" s="667">
        <v>31</v>
      </c>
      <c r="M12" s="669">
        <v>41</v>
      </c>
      <c r="O12" s="654">
        <f t="shared" si="1"/>
        <v>1224</v>
      </c>
      <c r="P12" s="673"/>
      <c r="Q12" s="654" t="str">
        <f>IF(ISBLANK(P12)," ",IF(P12=Calcs!$I$46,"Yes","No"))</f>
        <v xml:space="preserve"> </v>
      </c>
      <c r="R12" s="654"/>
      <c r="S12" s="654" t="str">
        <f t="shared" si="0"/>
        <v xml:space="preserve"> </v>
      </c>
      <c r="T12" s="654"/>
      <c r="U12" s="655" t="str">
        <f>IF(ISBLANK(P12)," ",IF(P12=Calcs!$I$42,"Lose 1 point of Magic Might or 1 Magical Quality",IF(P12=Calcs!$I$46,IF(ISBLANK(R12)," ",IF(AND(R12=0,T12&gt;0),CONCATENATE("Gain ",T12," points of magical inferiorities. Discuss."),VLOOKUP(R12,Calcs!$O$57:$P$63,2,TRUE))),"No effect")))</f>
        <v xml:space="preserve"> </v>
      </c>
      <c r="V12" s="654"/>
    </row>
    <row r="13" spans="1:22" x14ac:dyDescent="0.2">
      <c r="A13" s="651"/>
      <c r="B13" s="172" t="str">
        <f>IF(ISBLANK(C13)," ",VLOOKUP(C13,Calcs!$A$54:$B$59,2,FALSE))</f>
        <v xml:space="preserve"> </v>
      </c>
      <c r="C13" s="105"/>
      <c r="E13" s="651"/>
      <c r="F13" s="172" t="str">
        <f>IF(ISBLANK(G13)," ",VLOOKUP(G13,Calcs!$A$54:$B$59,2,FALSE))</f>
        <v xml:space="preserve"> </v>
      </c>
      <c r="G13" s="105"/>
      <c r="I13" s="666" t="s">
        <v>538</v>
      </c>
      <c r="J13" s="667">
        <v>31</v>
      </c>
      <c r="K13" s="667">
        <v>41</v>
      </c>
      <c r="L13" s="667">
        <v>41</v>
      </c>
      <c r="M13" s="669">
        <v>51</v>
      </c>
      <c r="O13" s="654">
        <f t="shared" si="1"/>
        <v>1225</v>
      </c>
      <c r="P13" s="673"/>
      <c r="Q13" s="654" t="str">
        <f>IF(ISBLANK(P13)," ",IF(P13=Calcs!$I$46,"Yes","No"))</f>
        <v xml:space="preserve"> </v>
      </c>
      <c r="R13" s="654"/>
      <c r="S13" s="654" t="str">
        <f t="shared" si="0"/>
        <v xml:space="preserve"> </v>
      </c>
      <c r="T13" s="654"/>
      <c r="U13" s="655" t="str">
        <f>IF(ISBLANK(P13)," ",IF(P13=Calcs!$I$42,"Lose 1 point of Magic Might or 1 Magical Quality",IF(P13=Calcs!$I$46,IF(ISBLANK(R13)," ",IF(AND(R13=0,T13&gt;0),CONCATENATE("Gain ",T13," points of magical inferiorities. Discuss."),VLOOKUP(R13,Calcs!$O$57:$P$63,2,TRUE))),"No effect")))</f>
        <v xml:space="preserve"> </v>
      </c>
      <c r="V13" s="654"/>
    </row>
    <row r="14" spans="1:22" x14ac:dyDescent="0.2">
      <c r="A14" s="651"/>
      <c r="B14" s="172" t="str">
        <f>IF(ISBLANK(C14)," ",VLOOKUP(C14,Calcs!$A$54:$B$59,2,FALSE))</f>
        <v xml:space="preserve"> </v>
      </c>
      <c r="C14" s="105"/>
      <c r="E14" s="651"/>
      <c r="F14" s="172" t="str">
        <f>IF(ISBLANK(G14)," ",VLOOKUP(G14,Calcs!$A$54:$B$59,2,FALSE))</f>
        <v xml:space="preserve"> </v>
      </c>
      <c r="G14" s="105"/>
      <c r="I14" s="666"/>
      <c r="J14" s="3"/>
      <c r="K14" s="3"/>
      <c r="L14" s="3"/>
      <c r="M14" s="665"/>
      <c r="O14" s="654">
        <f t="shared" si="1"/>
        <v>1226</v>
      </c>
      <c r="P14" s="673"/>
      <c r="Q14" s="654" t="str">
        <f>IF(ISBLANK(P14)," ",IF(P14=Calcs!$I$46,"Yes","No"))</f>
        <v xml:space="preserve"> </v>
      </c>
      <c r="R14" s="654"/>
      <c r="S14" s="654" t="str">
        <f t="shared" si="0"/>
        <v xml:space="preserve"> </v>
      </c>
      <c r="T14" s="654"/>
      <c r="U14" s="655" t="str">
        <f>IF(ISBLANK(P14)," ",IF(P14=Calcs!$I$42,"Lose 1 point of Magic Might or 1 Magical Quality",IF(P14=Calcs!$I$46,IF(ISBLANK(R14)," ",IF(AND(R14=0,T14&gt;0),CONCATENATE("Gain ",T14," points of magical inferiorities. Discuss."),VLOOKUP(R14,Calcs!$O$57:$P$63,2,TRUE))),"No effect")))</f>
        <v xml:space="preserve"> </v>
      </c>
      <c r="V14" s="654"/>
    </row>
    <row r="15" spans="1:22" x14ac:dyDescent="0.2">
      <c r="A15" s="651"/>
      <c r="B15" s="172" t="str">
        <f>IF(ISBLANK(C15)," ",VLOOKUP(C15,Calcs!$A$54:$B$59,2,FALSE))</f>
        <v xml:space="preserve"> </v>
      </c>
      <c r="C15" s="105"/>
      <c r="E15" s="651"/>
      <c r="F15" s="172" t="str">
        <f>IF(ISBLANK(G15)," ",VLOOKUP(G15,Calcs!$A$54:$B$59,2,FALSE))</f>
        <v xml:space="preserve"> </v>
      </c>
      <c r="G15" s="105"/>
      <c r="I15" s="769" t="s">
        <v>519</v>
      </c>
      <c r="J15" s="771"/>
      <c r="K15" s="771"/>
      <c r="L15" s="771"/>
      <c r="M15" s="789"/>
      <c r="O15" s="654">
        <f t="shared" si="1"/>
        <v>1227</v>
      </c>
      <c r="P15" s="673"/>
      <c r="Q15" s="654" t="str">
        <f>IF(ISBLANK(P15)," ",IF(P15=Calcs!$I$46,"Yes","No"))</f>
        <v xml:space="preserve"> </v>
      </c>
      <c r="R15" s="654"/>
      <c r="S15" s="654" t="str">
        <f t="shared" si="0"/>
        <v xml:space="preserve"> </v>
      </c>
      <c r="T15" s="654"/>
      <c r="U15" s="655" t="str">
        <f>IF(ISBLANK(P15)," ",IF(P15=Calcs!$I$42,"Lose 1 point of Magic Might or 1 Magical Quality",IF(P15=Calcs!$I$46,IF(ISBLANK(R15)," ",IF(AND(R15=0,T15&gt;0),CONCATENATE("Gain ",T15," points of magical inferiorities. Discuss."),VLOOKUP(R15,Calcs!$O$57:$P$63,2,TRUE))),"No effect")))</f>
        <v xml:space="preserve"> </v>
      </c>
      <c r="V15" s="654"/>
    </row>
    <row r="16" spans="1:22" x14ac:dyDescent="0.2">
      <c r="A16" s="651"/>
      <c r="B16" s="172" t="str">
        <f>IF(ISBLANK(C16)," ",VLOOKUP(C16,Calcs!$A$54:$B$59,2,FALSE))</f>
        <v xml:space="preserve"> </v>
      </c>
      <c r="C16" s="104"/>
      <c r="E16" s="651"/>
      <c r="F16" s="172" t="str">
        <f>IF(ISBLANK(G16)," ",VLOOKUP(G16,Calcs!$A$54:$B$59,2,FALSE))</f>
        <v xml:space="preserve"> </v>
      </c>
      <c r="G16" s="104"/>
      <c r="I16" s="666" t="s">
        <v>541</v>
      </c>
      <c r="J16" s="667" t="str">
        <f>VLOOKUP(F2,Calcs!$O$46:$R$53,2,TRUE)</f>
        <v>N/A</v>
      </c>
      <c r="K16" s="3"/>
      <c r="L16" s="3"/>
      <c r="M16" s="665"/>
      <c r="O16" s="654">
        <f t="shared" si="1"/>
        <v>1228</v>
      </c>
      <c r="P16" s="673"/>
      <c r="Q16" s="654" t="str">
        <f>IF(ISBLANK(P16)," ",IF(P16=Calcs!$I$46,"Yes","No"))</f>
        <v xml:space="preserve"> </v>
      </c>
      <c r="R16" s="654"/>
      <c r="S16" s="654" t="str">
        <f t="shared" si="0"/>
        <v xml:space="preserve"> </v>
      </c>
      <c r="T16" s="654"/>
      <c r="U16" s="655" t="str">
        <f>IF(ISBLANK(P16)," ",IF(P16=Calcs!$I$42,"Lose 1 point of Magic Might or 1 Magical Quality",IF(P16=Calcs!$I$46,IF(ISBLANK(R16)," ",IF(AND(R16=0,T16&gt;0),CONCATENATE("Gain ",T16," points of magical inferiorities. Discuss."),VLOOKUP(R16,Calcs!$O$57:$P$63,2,TRUE))),"No effect")))</f>
        <v xml:space="preserve"> </v>
      </c>
      <c r="V16" s="654"/>
    </row>
    <row r="17" spans="1:22" x14ac:dyDescent="0.2">
      <c r="A17" s="651"/>
      <c r="B17" s="172" t="str">
        <f>IF(ISBLANK(C17)," ",VLOOKUP(C17,Calcs!$A$54:$B$59,2,FALSE))</f>
        <v xml:space="preserve"> </v>
      </c>
      <c r="C17" s="104"/>
      <c r="E17" s="651"/>
      <c r="F17" s="172" t="str">
        <f>IF(ISBLANK(G17)," ",VLOOKUP(G17,Calcs!$A$54:$B$59,2,FALSE))</f>
        <v xml:space="preserve"> </v>
      </c>
      <c r="G17" s="104"/>
      <c r="I17" s="666" t="s">
        <v>542</v>
      </c>
      <c r="J17" s="667" t="str">
        <f>VLOOKUP(F3,Calcs!$O$46:$R$53,3,TRUE)</f>
        <v>N/A</v>
      </c>
      <c r="K17" s="3"/>
      <c r="L17" s="3"/>
      <c r="M17" s="665"/>
      <c r="O17" s="654">
        <f t="shared" ref="O17:O48" si="2">O16+1</f>
        <v>1229</v>
      </c>
      <c r="P17" s="673"/>
      <c r="Q17" s="654" t="str">
        <f>IF(ISBLANK(P17)," ",IF(P17=Calcs!$I$46,"Yes","No"))</f>
        <v xml:space="preserve"> </v>
      </c>
      <c r="R17" s="654"/>
      <c r="S17" s="654" t="str">
        <f t="shared" si="0"/>
        <v xml:space="preserve"> </v>
      </c>
      <c r="T17" s="654"/>
      <c r="U17" s="655" t="str">
        <f>IF(ISBLANK(P17)," ",IF(P17=Calcs!$I$42,"Lose 1 point of Magic Might or 1 Magical Quality",IF(P17=Calcs!$I$46,IF(ISBLANK(R17)," ",IF(AND(R17=0,T17&gt;0),CONCATENATE("Gain ",T17," points of magical inferiorities. Discuss."),VLOOKUP(R17,Calcs!$O$57:$P$63,2,TRUE))),"No effect")))</f>
        <v xml:space="preserve"> </v>
      </c>
      <c r="V17" s="654"/>
    </row>
    <row r="18" spans="1:22" x14ac:dyDescent="0.2">
      <c r="A18" s="651"/>
      <c r="B18" s="172" t="str">
        <f>IF(ISBLANK(C18)," ",VLOOKUP(C18,Calcs!$A$54:$B$59,2,FALSE))</f>
        <v xml:space="preserve"> </v>
      </c>
      <c r="C18" s="104"/>
      <c r="E18" s="651"/>
      <c r="F18" s="172" t="str">
        <f>IF(ISBLANK(G18)," ",VLOOKUP(G18,Calcs!$A$54:$B$59,2,FALSE))</f>
        <v xml:space="preserve"> </v>
      </c>
      <c r="G18" s="104"/>
      <c r="I18" s="666" t="s">
        <v>543</v>
      </c>
      <c r="J18" s="667" t="str">
        <f>VLOOKUP(F4,Calcs!$O$46:$R$53,4,TRUE)</f>
        <v>N/A</v>
      </c>
      <c r="K18" s="3"/>
      <c r="L18" s="3"/>
      <c r="M18" s="665"/>
      <c r="O18" s="654">
        <f t="shared" si="2"/>
        <v>1230</v>
      </c>
      <c r="P18" s="673"/>
      <c r="Q18" s="654" t="str">
        <f>IF(ISBLANK(P18)," ",IF(P18=Calcs!$I$46,"Yes","No"))</f>
        <v xml:space="preserve"> </v>
      </c>
      <c r="R18" s="654"/>
      <c r="S18" s="654" t="str">
        <f t="shared" si="0"/>
        <v xml:space="preserve"> </v>
      </c>
      <c r="T18" s="654"/>
      <c r="U18" s="655" t="str">
        <f>IF(ISBLANK(P18)," ",IF(P18=Calcs!$I$42,"Lose 1 point of Magic Might or 1 Magical Quality",IF(P18=Calcs!$I$46,IF(ISBLANK(R18)," ",IF(AND(R18=0,T18&gt;0),CONCATENATE("Gain ",T18," points of magical inferiorities. Discuss."),VLOOKUP(R18,Calcs!$O$57:$P$63,2,TRUE))),"No effect")))</f>
        <v xml:space="preserve"> </v>
      </c>
      <c r="V18" s="654"/>
    </row>
    <row r="19" spans="1:22" x14ac:dyDescent="0.2">
      <c r="A19" s="651"/>
      <c r="B19" s="172" t="str">
        <f>IF(ISBLANK(C19)," ",VLOOKUP(C19,Calcs!$A$54:$B$59,2,FALSE))</f>
        <v xml:space="preserve"> </v>
      </c>
      <c r="C19" s="104"/>
      <c r="E19" s="651"/>
      <c r="F19" s="172" t="str">
        <f>IF(ISBLANK(G19)," ",VLOOKUP(G19,Calcs!$A$54:$B$59,2,FALSE))</f>
        <v xml:space="preserve"> </v>
      </c>
      <c r="G19" s="104"/>
      <c r="I19" s="666"/>
      <c r="J19" s="667"/>
      <c r="K19" s="3"/>
      <c r="L19" s="3"/>
      <c r="M19" s="665"/>
      <c r="O19" s="654">
        <f t="shared" si="2"/>
        <v>1231</v>
      </c>
      <c r="P19" s="673"/>
      <c r="Q19" s="654" t="str">
        <f>IF(ISBLANK(P19)," ",IF(P19=Calcs!$I$46,"Yes","No"))</f>
        <v xml:space="preserve"> </v>
      </c>
      <c r="R19" s="654"/>
      <c r="S19" s="654" t="str">
        <f t="shared" si="0"/>
        <v xml:space="preserve"> </v>
      </c>
      <c r="T19" s="654"/>
      <c r="U19" s="655" t="str">
        <f>IF(ISBLANK(P19)," ",IF(P19=Calcs!$I$42,"Lose 1 point of Magic Might or 1 Magical Quality",IF(P19=Calcs!$I$46,IF(ISBLANK(R19)," ",IF(AND(R19=0,T19&gt;0),CONCATENATE("Gain ",T19," points of magical inferiorities. Discuss."),VLOOKUP(R19,Calcs!$O$57:$P$63,2,TRUE))),"No effect")))</f>
        <v xml:space="preserve"> </v>
      </c>
      <c r="V19" s="654"/>
    </row>
    <row r="20" spans="1:22" x14ac:dyDescent="0.2">
      <c r="A20" s="651"/>
      <c r="B20" s="172" t="str">
        <f>IF(ISBLANK(C20)," ",VLOOKUP(C20,Calcs!$A$54:$B$59,2,FALSE))</f>
        <v xml:space="preserve"> </v>
      </c>
      <c r="C20" s="105"/>
      <c r="E20" s="651"/>
      <c r="F20" s="172" t="str">
        <f>IF(ISBLANK(G20)," ",VLOOKUP(G20,Calcs!$A$54:$B$59,2,FALSE))</f>
        <v xml:space="preserve"> </v>
      </c>
      <c r="G20" s="105"/>
      <c r="I20" s="769" t="s">
        <v>520</v>
      </c>
      <c r="J20" s="771"/>
      <c r="K20" s="771"/>
      <c r="L20" s="771"/>
      <c r="M20" s="789"/>
      <c r="O20" s="654">
        <f t="shared" si="2"/>
        <v>1232</v>
      </c>
      <c r="P20" s="673"/>
      <c r="Q20" s="654" t="str">
        <f>IF(ISBLANK(P20)," ",IF(P20=Calcs!$I$46,"Yes","No"))</f>
        <v xml:space="preserve"> </v>
      </c>
      <c r="R20" s="654"/>
      <c r="S20" s="654" t="str">
        <f t="shared" si="0"/>
        <v xml:space="preserve"> </v>
      </c>
      <c r="T20" s="654"/>
      <c r="U20" s="655" t="str">
        <f>IF(ISBLANK(P20)," ",IF(P20=Calcs!$I$42,"Lose 1 point of Magic Might or 1 Magical Quality",IF(P20=Calcs!$I$46,IF(ISBLANK(R20)," ",IF(AND(R20=0,T20&gt;0),CONCATENATE("Gain ",T20," points of magical inferiorities. Discuss."),VLOOKUP(R20,Calcs!$O$57:$P$63,2,TRUE))),"No effect")))</f>
        <v xml:space="preserve"> </v>
      </c>
      <c r="V20" s="654"/>
    </row>
    <row r="21" spans="1:22" x14ac:dyDescent="0.2">
      <c r="A21" s="651"/>
      <c r="B21" s="172" t="str">
        <f>IF(ISBLANK(C21)," ",VLOOKUP(C21,Calcs!$A$54:$B$59,2,FALSE))</f>
        <v xml:space="preserve"> </v>
      </c>
      <c r="C21" s="105"/>
      <c r="E21" s="651"/>
      <c r="F21" s="172" t="str">
        <f>IF(ISBLANK(G21)," ",VLOOKUP(G21,Calcs!$A$54:$B$59,2,FALSE))</f>
        <v xml:space="preserve"> </v>
      </c>
      <c r="G21" s="105"/>
      <c r="I21" s="670" t="s">
        <v>544</v>
      </c>
      <c r="J21" s="672">
        <f>ROUNDUP(F2/2,0)</f>
        <v>0</v>
      </c>
      <c r="K21" s="29"/>
      <c r="L21" s="29"/>
      <c r="M21" s="671"/>
      <c r="O21" s="654">
        <f t="shared" si="2"/>
        <v>1233</v>
      </c>
      <c r="P21" s="673"/>
      <c r="Q21" s="654" t="str">
        <f>IF(ISBLANK(P21)," ",IF(P21=Calcs!$I$46,"Yes","No"))</f>
        <v xml:space="preserve"> </v>
      </c>
      <c r="R21" s="654"/>
      <c r="S21" s="654" t="str">
        <f t="shared" si="0"/>
        <v xml:space="preserve"> </v>
      </c>
      <c r="T21" s="654"/>
      <c r="U21" s="655" t="str">
        <f>IF(ISBLANK(P21)," ",IF(P21=Calcs!$I$42,"Lose 1 point of Magic Might or 1 Magical Quality",IF(P21=Calcs!$I$46,IF(ISBLANK(R21)," ",IF(AND(R21=0,T21&gt;0),CONCATENATE("Gain ",T21," points of magical inferiorities. Discuss."),VLOOKUP(R21,Calcs!$O$57:$P$63,2,TRUE))),"No effect")))</f>
        <v xml:space="preserve"> </v>
      </c>
      <c r="V21" s="654"/>
    </row>
    <row r="22" spans="1:22" x14ac:dyDescent="0.2">
      <c r="A22" s="651"/>
      <c r="B22" s="172" t="str">
        <f>IF(ISBLANK(C22)," ",VLOOKUP(C22,Calcs!$A$54:$B$59,2,FALSE))</f>
        <v xml:space="preserve"> </v>
      </c>
      <c r="C22" s="104"/>
      <c r="E22" s="651"/>
      <c r="F22" s="172" t="str">
        <f>IF(ISBLANK(G22)," ",VLOOKUP(G22,Calcs!$A$54:$B$59,2,FALSE))</f>
        <v xml:space="preserve"> </v>
      </c>
      <c r="G22" s="104"/>
      <c r="O22" s="654">
        <f t="shared" si="2"/>
        <v>1234</v>
      </c>
      <c r="P22" s="673"/>
      <c r="Q22" s="654" t="str">
        <f>IF(ISBLANK(P22)," ",IF(P22=Calcs!$I$46,"Yes","No"))</f>
        <v xml:space="preserve"> </v>
      </c>
      <c r="R22" s="654"/>
      <c r="S22" s="654" t="str">
        <f t="shared" si="0"/>
        <v xml:space="preserve"> </v>
      </c>
      <c r="T22" s="654"/>
      <c r="U22" s="655" t="str">
        <f>IF(ISBLANK(P22)," ",IF(P22=Calcs!$I$42,"Lose 1 point of Magic Might or 1 Magical Quality",IF(P22=Calcs!$I$46,IF(ISBLANK(R22)," ",IF(AND(R22=0,T22&gt;0),CONCATENATE("Gain ",T22," points of magical inferiorities. Discuss."),VLOOKUP(R22,Calcs!$O$57:$P$63,2,TRUE))),"No effect")))</f>
        <v xml:space="preserve"> </v>
      </c>
      <c r="V22" s="654"/>
    </row>
    <row r="23" spans="1:22" x14ac:dyDescent="0.2">
      <c r="A23" s="651"/>
      <c r="B23" s="172" t="str">
        <f>IF(ISBLANK(C23)," ",VLOOKUP(C23,Calcs!$A$54:$B$59,2,FALSE))</f>
        <v xml:space="preserve"> </v>
      </c>
      <c r="C23" s="105"/>
      <c r="E23" s="651"/>
      <c r="F23" s="172" t="str">
        <f>IF(ISBLANK(G23)," ",VLOOKUP(G23,Calcs!$A$54:$B$59,2,FALSE))</f>
        <v xml:space="preserve"> </v>
      </c>
      <c r="G23" s="105"/>
      <c r="O23" s="654">
        <f t="shared" si="2"/>
        <v>1235</v>
      </c>
      <c r="P23" s="673"/>
      <c r="Q23" s="654" t="str">
        <f>IF(ISBLANK(P23)," ",IF(P23=Calcs!$I$46,"Yes","No"))</f>
        <v xml:space="preserve"> </v>
      </c>
      <c r="R23" s="654"/>
      <c r="S23" s="654" t="str">
        <f t="shared" si="0"/>
        <v xml:space="preserve"> </v>
      </c>
      <c r="T23" s="654"/>
      <c r="U23" s="655" t="str">
        <f>IF(ISBLANK(P23)," ",IF(P23=Calcs!$I$42,"Lose 1 point of Magic Might or 1 Magical Quality",IF(P23=Calcs!$I$46,IF(ISBLANK(R23)," ",IF(AND(R23=0,T23&gt;0),CONCATENATE("Gain ",T23," points of magical inferiorities. Discuss."),VLOOKUP(R23,Calcs!$O$57:$P$63,2,TRUE))),"No effect")))</f>
        <v xml:space="preserve"> </v>
      </c>
      <c r="V23" s="654"/>
    </row>
    <row r="24" spans="1:22" x14ac:dyDescent="0.2">
      <c r="A24" s="652"/>
      <c r="B24" s="71" t="str">
        <f>IF(ISBLANK(C24)," ",VLOOKUP(C24,Calcs!$A$54:$B$59,2,FALSE))</f>
        <v xml:space="preserve"> </v>
      </c>
      <c r="C24" s="206"/>
      <c r="E24" s="652"/>
      <c r="F24" s="71" t="str">
        <f>IF(ISBLANK(G24)," ",VLOOKUP(G24,Calcs!$A$54:$B$59,2,FALSE))</f>
        <v xml:space="preserve"> </v>
      </c>
      <c r="G24" s="206"/>
      <c r="O24" s="654">
        <f t="shared" si="2"/>
        <v>1236</v>
      </c>
      <c r="P24" s="673"/>
      <c r="Q24" s="654" t="str">
        <f>IF(ISBLANK(P24)," ",IF(P24=Calcs!$I$46,"Yes","No"))</f>
        <v xml:space="preserve"> </v>
      </c>
      <c r="R24" s="654"/>
      <c r="S24" s="654" t="str">
        <f t="shared" si="0"/>
        <v xml:space="preserve"> </v>
      </c>
      <c r="T24" s="654"/>
      <c r="U24" s="655" t="str">
        <f>IF(ISBLANK(P24)," ",IF(P24=Calcs!$I$42,"Lose 1 point of Magic Might or 1 Magical Quality",IF(P24=Calcs!$I$46,IF(ISBLANK(R24)," ",IF(AND(R24=0,T24&gt;0),CONCATENATE("Gain ",T24," points of magical inferiorities. Discuss."),VLOOKUP(R24,Calcs!$O$57:$P$63,2,TRUE))),"No effect")))</f>
        <v xml:space="preserve"> </v>
      </c>
      <c r="V24" s="654"/>
    </row>
    <row r="25" spans="1:22" x14ac:dyDescent="0.2">
      <c r="O25" s="654">
        <f t="shared" si="2"/>
        <v>1237</v>
      </c>
      <c r="P25" s="673"/>
      <c r="Q25" s="654" t="str">
        <f>IF(ISBLANK(P25)," ",IF(P25=Calcs!$I$46,"Yes","No"))</f>
        <v xml:space="preserve"> </v>
      </c>
      <c r="R25" s="654"/>
      <c r="S25" s="654" t="str">
        <f t="shared" si="0"/>
        <v xml:space="preserve"> </v>
      </c>
      <c r="T25" s="654"/>
      <c r="U25" s="655" t="str">
        <f>IF(ISBLANK(P25)," ",IF(P25=Calcs!$I$42,"Lose 1 point of Magic Might or 1 Magical Quality",IF(P25=Calcs!$I$46,IF(ISBLANK(R25)," ",IF(AND(R25=0,T25&gt;0),CONCATENATE("Gain ",T25," points of magical inferiorities. Discuss."),VLOOKUP(R25,Calcs!$O$57:$P$63,2,TRUE))),"No effect")))</f>
        <v xml:space="preserve"> </v>
      </c>
      <c r="V25" s="654"/>
    </row>
    <row r="26" spans="1:22" x14ac:dyDescent="0.2">
      <c r="O26" s="654">
        <f t="shared" si="2"/>
        <v>1238</v>
      </c>
      <c r="P26" s="673"/>
      <c r="Q26" s="654" t="str">
        <f>IF(ISBLANK(P26)," ",IF(P26=Calcs!$I$46,"Yes","No"))</f>
        <v xml:space="preserve"> </v>
      </c>
      <c r="R26" s="654"/>
      <c r="S26" s="654" t="str">
        <f t="shared" si="0"/>
        <v xml:space="preserve"> </v>
      </c>
      <c r="T26" s="654"/>
      <c r="U26" s="655" t="str">
        <f>IF(ISBLANK(P26)," ",IF(P26=Calcs!$I$42,"Lose 1 point of Magic Might or 1 Magical Quality",IF(P26=Calcs!$I$46,IF(ISBLANK(R26)," ",IF(AND(R26=0,T26&gt;0),CONCATENATE("Gain ",T26," points of magical inferiorities. Discuss."),VLOOKUP(R26,Calcs!$O$57:$P$63,2,TRUE))),"No effect")))</f>
        <v xml:space="preserve"> </v>
      </c>
      <c r="V26" s="654"/>
    </row>
    <row r="27" spans="1:22" x14ac:dyDescent="0.2">
      <c r="A27" s="649" t="s">
        <v>501</v>
      </c>
      <c r="B27" s="648">
        <f>SUM(B28:B42)</f>
        <v>0</v>
      </c>
      <c r="C27" s="657">
        <f>B4+F27</f>
        <v>0</v>
      </c>
      <c r="E27" s="649" t="s">
        <v>500</v>
      </c>
      <c r="F27" s="648">
        <f>SUM(F28:F42)</f>
        <v>0</v>
      </c>
      <c r="G27" s="54"/>
      <c r="O27" s="654">
        <f t="shared" si="2"/>
        <v>1239</v>
      </c>
      <c r="P27" s="673"/>
      <c r="Q27" s="654" t="str">
        <f>IF(ISBLANK(P27)," ",IF(P27=Calcs!$I$46,"Yes","No"))</f>
        <v xml:space="preserve"> </v>
      </c>
      <c r="R27" s="654"/>
      <c r="S27" s="654" t="str">
        <f t="shared" si="0"/>
        <v xml:space="preserve"> </v>
      </c>
      <c r="T27" s="654"/>
      <c r="U27" s="655" t="str">
        <f>IF(ISBLANK(P27)," ",IF(P27=Calcs!$I$42,"Lose 1 point of Magic Might or 1 Magical Quality",IF(P27=Calcs!$I$46,IF(ISBLANK(R27)," ",IF(AND(R27=0,T27&gt;0),CONCATENATE("Gain ",T27," points of magical inferiorities. Discuss."),VLOOKUP(R27,Calcs!$O$57:$P$63,2,TRUE))),"No effect")))</f>
        <v xml:space="preserve"> </v>
      </c>
      <c r="V27" s="654"/>
    </row>
    <row r="28" spans="1:22" x14ac:dyDescent="0.2">
      <c r="A28" s="653"/>
      <c r="B28" s="650" t="str">
        <f>IF(ISBLANK(C28)," ",VLOOKUP(C28,Calcs!$A$54:$B$59,2,FALSE))</f>
        <v xml:space="preserve"> </v>
      </c>
      <c r="C28" s="204"/>
      <c r="E28" s="653"/>
      <c r="F28" s="647" t="str">
        <f>IF(ISBLANK(G28)," ",VLOOKUP(G28,Calcs!$A$54:$B$59,2,FALSE))</f>
        <v xml:space="preserve"> </v>
      </c>
      <c r="G28" s="204"/>
      <c r="O28" s="654">
        <f t="shared" si="2"/>
        <v>1240</v>
      </c>
      <c r="P28" s="673"/>
      <c r="Q28" s="654" t="str">
        <f>IF(ISBLANK(P28)," ",IF(P28=Calcs!$I$46,"Yes","No"))</f>
        <v xml:space="preserve"> </v>
      </c>
      <c r="R28" s="654"/>
      <c r="S28" s="654" t="str">
        <f t="shared" si="0"/>
        <v xml:space="preserve"> </v>
      </c>
      <c r="T28" s="654"/>
      <c r="U28" s="655" t="str">
        <f>IF(ISBLANK(P28)," ",IF(P28=Calcs!$I$42,"Lose 1 point of Magic Might or 1 Magical Quality",IF(P28=Calcs!$I$46,IF(ISBLANK(R28)," ",IF(AND(R28=0,T28&gt;0),CONCATENATE("Gain ",T28," points of magical inferiorities. Discuss."),VLOOKUP(R28,Calcs!$O$57:$P$63,2,TRUE))),"No effect")))</f>
        <v xml:space="preserve"> </v>
      </c>
      <c r="V28" s="654"/>
    </row>
    <row r="29" spans="1:22" x14ac:dyDescent="0.2">
      <c r="A29" s="651"/>
      <c r="B29" s="172" t="str">
        <f>IF(ISBLANK(C29)," ",VLOOKUP(C29,Calcs!$A$54:$B$59,2,FALSE))</f>
        <v xml:space="preserve"> </v>
      </c>
      <c r="C29" s="105"/>
      <c r="E29" s="651"/>
      <c r="F29" s="172" t="str">
        <f>IF(ISBLANK(G29)," ",VLOOKUP(G29,Calcs!$A$54:$B$59,2,FALSE))</f>
        <v xml:space="preserve"> </v>
      </c>
      <c r="G29" s="105"/>
      <c r="O29" s="654">
        <f t="shared" si="2"/>
        <v>1241</v>
      </c>
      <c r="P29" s="673"/>
      <c r="Q29" s="654" t="str">
        <f>IF(ISBLANK(P29)," ",IF(P29=Calcs!$I$46,"Yes","No"))</f>
        <v xml:space="preserve"> </v>
      </c>
      <c r="R29" s="654"/>
      <c r="S29" s="654" t="str">
        <f t="shared" si="0"/>
        <v xml:space="preserve"> </v>
      </c>
      <c r="T29" s="654"/>
      <c r="U29" s="655" t="str">
        <f>IF(ISBLANK(P29)," ",IF(P29=Calcs!$I$42,"Lose 1 point of Magic Might or 1 Magical Quality",IF(P29=Calcs!$I$46,IF(ISBLANK(R29)," ",IF(AND(R29=0,T29&gt;0),CONCATENATE("Gain ",T29," points of magical inferiorities. Discuss."),VLOOKUP(R29,Calcs!$O$57:$P$63,2,TRUE))),"No effect")))</f>
        <v xml:space="preserve"> </v>
      </c>
      <c r="V29" s="654"/>
    </row>
    <row r="30" spans="1:22" x14ac:dyDescent="0.2">
      <c r="A30" s="651"/>
      <c r="B30" s="172" t="str">
        <f>IF(ISBLANK(C30)," ",VLOOKUP(C30,Calcs!$A$54:$B$59,2,FALSE))</f>
        <v xml:space="preserve"> </v>
      </c>
      <c r="C30" s="105"/>
      <c r="E30" s="651"/>
      <c r="F30" s="172" t="str">
        <f>IF(ISBLANK(G30)," ",VLOOKUP(G30,Calcs!$A$54:$B$59,2,FALSE))</f>
        <v xml:space="preserve"> </v>
      </c>
      <c r="G30" s="105"/>
      <c r="O30" s="654">
        <f t="shared" si="2"/>
        <v>1242</v>
      </c>
      <c r="P30" s="673"/>
      <c r="Q30" s="654" t="str">
        <f>IF(ISBLANK(P30)," ",IF(P30=Calcs!$I$46,"Yes","No"))</f>
        <v xml:space="preserve"> </v>
      </c>
      <c r="R30" s="654"/>
      <c r="S30" s="654" t="str">
        <f t="shared" si="0"/>
        <v xml:space="preserve"> </v>
      </c>
      <c r="T30" s="654"/>
      <c r="U30" s="655" t="str">
        <f>IF(ISBLANK(P30)," ",IF(P30=Calcs!$I$42,"Lose 1 point of Magic Might or 1 Magical Quality",IF(P30=Calcs!$I$46,IF(ISBLANK(R30)," ",IF(AND(R30=0,T30&gt;0),CONCATENATE("Gain ",T30," points of magical inferiorities. Discuss."),VLOOKUP(R30,Calcs!$O$57:$P$63,2,TRUE))),"No effect")))</f>
        <v xml:space="preserve"> </v>
      </c>
      <c r="V30" s="654"/>
    </row>
    <row r="31" spans="1:22" x14ac:dyDescent="0.2">
      <c r="A31" s="651"/>
      <c r="B31" s="172" t="str">
        <f>IF(ISBLANK(C31)," ",VLOOKUP(C31,Calcs!$A$54:$B$59,2,FALSE))</f>
        <v xml:space="preserve"> </v>
      </c>
      <c r="C31" s="105"/>
      <c r="E31" s="651"/>
      <c r="F31" s="172" t="str">
        <f>IF(ISBLANK(G31)," ",VLOOKUP(G31,Calcs!$A$54:$B$59,2,FALSE))</f>
        <v xml:space="preserve"> </v>
      </c>
      <c r="G31" s="105"/>
      <c r="O31" s="654">
        <f t="shared" si="2"/>
        <v>1243</v>
      </c>
      <c r="P31" s="673"/>
      <c r="Q31" s="654" t="str">
        <f>IF(ISBLANK(P31)," ",IF(P31=Calcs!$I$46,"Yes","No"))</f>
        <v xml:space="preserve"> </v>
      </c>
      <c r="R31" s="654"/>
      <c r="S31" s="654" t="str">
        <f t="shared" si="0"/>
        <v xml:space="preserve"> </v>
      </c>
      <c r="T31" s="654"/>
      <c r="U31" s="655" t="str">
        <f>IF(ISBLANK(P31)," ",IF(P31=Calcs!$I$42,"Lose 1 point of Magic Might or 1 Magical Quality",IF(P31=Calcs!$I$46,IF(ISBLANK(R31)," ",IF(AND(R31=0,T31&gt;0),CONCATENATE("Gain ",T31," points of magical inferiorities. Discuss."),VLOOKUP(R31,Calcs!$O$57:$P$63,2,TRUE))),"No effect")))</f>
        <v xml:space="preserve"> </v>
      </c>
      <c r="V31" s="654"/>
    </row>
    <row r="32" spans="1:22" x14ac:dyDescent="0.2">
      <c r="A32" s="651"/>
      <c r="B32" s="172" t="str">
        <f>IF(ISBLANK(C32)," ",VLOOKUP(C32,Calcs!$A$54:$B$59,2,FALSE))</f>
        <v xml:space="preserve"> </v>
      </c>
      <c r="C32" s="105"/>
      <c r="E32" s="651"/>
      <c r="F32" s="172" t="str">
        <f>IF(ISBLANK(G32)," ",VLOOKUP(G32,Calcs!$A$54:$B$59,2,FALSE))</f>
        <v xml:space="preserve"> </v>
      </c>
      <c r="G32" s="105"/>
      <c r="O32" s="654">
        <f t="shared" si="2"/>
        <v>1244</v>
      </c>
      <c r="P32" s="673"/>
      <c r="Q32" s="654" t="str">
        <f>IF(ISBLANK(P32)," ",IF(P32=Calcs!$I$46,"Yes","No"))</f>
        <v xml:space="preserve"> </v>
      </c>
      <c r="R32" s="654"/>
      <c r="S32" s="654" t="str">
        <f t="shared" si="0"/>
        <v xml:space="preserve"> </v>
      </c>
      <c r="T32" s="654"/>
      <c r="U32" s="655" t="str">
        <f>IF(ISBLANK(P32)," ",IF(P32=Calcs!$I$42,"Lose 1 point of Magic Might or 1 Magical Quality",IF(P32=Calcs!$I$46,IF(ISBLANK(R32)," ",IF(AND(R32=0,T32&gt;0),CONCATENATE("Gain ",T32," points of magical inferiorities. Discuss."),VLOOKUP(R32,Calcs!$O$57:$P$63,2,TRUE))),"No effect")))</f>
        <v xml:space="preserve"> </v>
      </c>
      <c r="V32" s="654"/>
    </row>
    <row r="33" spans="1:22" x14ac:dyDescent="0.2">
      <c r="A33" s="651"/>
      <c r="B33" s="172" t="str">
        <f>IF(ISBLANK(C33)," ",VLOOKUP(C33,Calcs!$A$54:$B$59,2,FALSE))</f>
        <v xml:space="preserve"> </v>
      </c>
      <c r="C33" s="105"/>
      <c r="E33" s="651"/>
      <c r="F33" s="172" t="str">
        <f>IF(ISBLANK(G33)," ",VLOOKUP(G33,Calcs!$A$54:$B$59,2,FALSE))</f>
        <v xml:space="preserve"> </v>
      </c>
      <c r="G33" s="105"/>
      <c r="O33" s="654">
        <f t="shared" si="2"/>
        <v>1245</v>
      </c>
      <c r="P33" s="673"/>
      <c r="Q33" s="654" t="str">
        <f>IF(ISBLANK(P33)," ",IF(P33=Calcs!$I$46,"Yes","No"))</f>
        <v xml:space="preserve"> </v>
      </c>
      <c r="R33" s="654"/>
      <c r="S33" s="654" t="str">
        <f t="shared" si="0"/>
        <v xml:space="preserve"> </v>
      </c>
      <c r="T33" s="654"/>
      <c r="U33" s="655" t="str">
        <f>IF(ISBLANK(P33)," ",IF(P33=Calcs!$I$42,"Lose 1 point of Magic Might or 1 Magical Quality",IF(P33=Calcs!$I$46,IF(ISBLANK(R33)," ",IF(AND(R33=0,T33&gt;0),CONCATENATE("Gain ",T33," points of magical inferiorities. Discuss."),VLOOKUP(R33,Calcs!$O$57:$P$63,2,TRUE))),"No effect")))</f>
        <v xml:space="preserve"> </v>
      </c>
      <c r="V33" s="654"/>
    </row>
    <row r="34" spans="1:22" x14ac:dyDescent="0.2">
      <c r="A34" s="651"/>
      <c r="B34" s="172" t="str">
        <f>IF(ISBLANK(C34)," ",VLOOKUP(C34,Calcs!$A$54:$B$59,2,FALSE))</f>
        <v xml:space="preserve"> </v>
      </c>
      <c r="C34" s="104"/>
      <c r="E34" s="651"/>
      <c r="F34" s="172" t="str">
        <f>IF(ISBLANK(G34)," ",VLOOKUP(G34,Calcs!$A$54:$B$59,2,FALSE))</f>
        <v xml:space="preserve"> </v>
      </c>
      <c r="G34" s="104"/>
      <c r="O34" s="654">
        <f t="shared" si="2"/>
        <v>1246</v>
      </c>
      <c r="P34" s="673"/>
      <c r="Q34" s="654" t="str">
        <f>IF(ISBLANK(P34)," ",IF(P34=Calcs!$I$46,"Yes","No"))</f>
        <v xml:space="preserve"> </v>
      </c>
      <c r="R34" s="654"/>
      <c r="S34" s="654" t="str">
        <f t="shared" si="0"/>
        <v xml:space="preserve"> </v>
      </c>
      <c r="T34" s="654"/>
      <c r="U34" s="655" t="str">
        <f>IF(ISBLANK(P34)," ",IF(P34=Calcs!$I$42,"Lose 1 point of Magic Might or 1 Magical Quality",IF(P34=Calcs!$I$46,IF(ISBLANK(R34)," ",IF(AND(R34=0,T34&gt;0),CONCATENATE("Gain ",T34," points of magical inferiorities. Discuss."),VLOOKUP(R34,Calcs!$O$57:$P$63,2,TRUE))),"No effect")))</f>
        <v xml:space="preserve"> </v>
      </c>
      <c r="V34" s="654"/>
    </row>
    <row r="35" spans="1:22" x14ac:dyDescent="0.2">
      <c r="A35" s="651"/>
      <c r="B35" s="172" t="str">
        <f>IF(ISBLANK(C35)," ",VLOOKUP(C35,Calcs!$A$54:$B$59,2,FALSE))</f>
        <v xml:space="preserve"> </v>
      </c>
      <c r="C35" s="104"/>
      <c r="E35" s="651"/>
      <c r="F35" s="172" t="str">
        <f>IF(ISBLANK(G35)," ",VLOOKUP(G35,Calcs!$A$54:$B$59,2,FALSE))</f>
        <v xml:space="preserve"> </v>
      </c>
      <c r="G35" s="104"/>
      <c r="O35" s="654">
        <f t="shared" si="2"/>
        <v>1247</v>
      </c>
      <c r="P35" s="673"/>
      <c r="Q35" s="654" t="str">
        <f>IF(ISBLANK(P35)," ",IF(P35=Calcs!$I$46,"Yes","No"))</f>
        <v xml:space="preserve"> </v>
      </c>
      <c r="R35" s="654"/>
      <c r="S35" s="654" t="str">
        <f t="shared" si="0"/>
        <v xml:space="preserve"> </v>
      </c>
      <c r="T35" s="654"/>
      <c r="U35" s="655" t="str">
        <f>IF(ISBLANK(P35)," ",IF(P35=Calcs!$I$42,"Lose 1 point of Magic Might or 1 Magical Quality",IF(P35=Calcs!$I$46,IF(ISBLANK(R35)," ",IF(AND(R35=0,T35&gt;0),CONCATENATE("Gain ",T35," points of magical inferiorities. Discuss."),VLOOKUP(R35,Calcs!$O$57:$P$63,2,TRUE))),"No effect")))</f>
        <v xml:space="preserve"> </v>
      </c>
      <c r="V35" s="654"/>
    </row>
    <row r="36" spans="1:22" x14ac:dyDescent="0.2">
      <c r="A36" s="651"/>
      <c r="B36" s="172" t="str">
        <f>IF(ISBLANK(C36)," ",VLOOKUP(C36,Calcs!$A$54:$B$59,2,FALSE))</f>
        <v xml:space="preserve"> </v>
      </c>
      <c r="C36" s="104"/>
      <c r="E36" s="651"/>
      <c r="F36" s="172" t="str">
        <f>IF(ISBLANK(G36)," ",VLOOKUP(G36,Calcs!$A$54:$B$59,2,FALSE))</f>
        <v xml:space="preserve"> </v>
      </c>
      <c r="G36" s="104"/>
      <c r="O36" s="654">
        <f t="shared" si="2"/>
        <v>1248</v>
      </c>
      <c r="P36" s="673"/>
      <c r="Q36" s="654" t="str">
        <f>IF(ISBLANK(P36)," ",IF(P36=Calcs!$I$46,"Yes","No"))</f>
        <v xml:space="preserve"> </v>
      </c>
      <c r="R36" s="654"/>
      <c r="S36" s="654" t="str">
        <f t="shared" si="0"/>
        <v xml:space="preserve"> </v>
      </c>
      <c r="T36" s="654"/>
      <c r="U36" s="655" t="str">
        <f>IF(ISBLANK(P36)," ",IF(P36=Calcs!$I$42,"Lose 1 point of Magic Might or 1 Magical Quality",IF(P36=Calcs!$I$46,IF(ISBLANK(R36)," ",IF(AND(R36=0,T36&gt;0),CONCATENATE("Gain ",T36," points of magical inferiorities. Discuss."),VLOOKUP(R36,Calcs!$O$57:$P$63,2,TRUE))),"No effect")))</f>
        <v xml:space="preserve"> </v>
      </c>
      <c r="V36" s="654"/>
    </row>
    <row r="37" spans="1:22" x14ac:dyDescent="0.2">
      <c r="A37" s="651"/>
      <c r="B37" s="172" t="str">
        <f>IF(ISBLANK(C37)," ",VLOOKUP(C37,Calcs!$A$54:$B$59,2,FALSE))</f>
        <v xml:space="preserve"> </v>
      </c>
      <c r="C37" s="104"/>
      <c r="E37" s="651"/>
      <c r="F37" s="172" t="str">
        <f>IF(ISBLANK(G37)," ",VLOOKUP(G37,Calcs!$A$54:$B$59,2,FALSE))</f>
        <v xml:space="preserve"> </v>
      </c>
      <c r="G37" s="104"/>
      <c r="O37" s="654">
        <f t="shared" si="2"/>
        <v>1249</v>
      </c>
      <c r="P37" s="673"/>
      <c r="Q37" s="654" t="str">
        <f>IF(ISBLANK(P37)," ",IF(P37=Calcs!$I$46,"Yes","No"))</f>
        <v xml:space="preserve"> </v>
      </c>
      <c r="R37" s="654"/>
      <c r="S37" s="654" t="str">
        <f t="shared" si="0"/>
        <v xml:space="preserve"> </v>
      </c>
      <c r="T37" s="654"/>
      <c r="U37" s="655" t="str">
        <f>IF(ISBLANK(P37)," ",IF(P37=Calcs!$I$42,"Lose 1 point of Magic Might or 1 Magical Quality",IF(P37=Calcs!$I$46,IF(ISBLANK(R37)," ",IF(AND(R37=0,T37&gt;0),CONCATENATE("Gain ",T37," points of magical inferiorities. Discuss."),VLOOKUP(R37,Calcs!$O$57:$P$63,2,TRUE))),"No effect")))</f>
        <v xml:space="preserve"> </v>
      </c>
      <c r="V37" s="654"/>
    </row>
    <row r="38" spans="1:22" x14ac:dyDescent="0.2">
      <c r="A38" s="651"/>
      <c r="B38" s="172" t="str">
        <f>IF(ISBLANK(C38)," ",VLOOKUP(C38,Calcs!$A$54:$B$59,2,FALSE))</f>
        <v xml:space="preserve"> </v>
      </c>
      <c r="C38" s="105"/>
      <c r="E38" s="651"/>
      <c r="F38" s="172" t="str">
        <f>IF(ISBLANK(G38)," ",VLOOKUP(G38,Calcs!$A$54:$B$59,2,FALSE))</f>
        <v xml:space="preserve"> </v>
      </c>
      <c r="G38" s="105"/>
      <c r="O38" s="654">
        <f t="shared" si="2"/>
        <v>1250</v>
      </c>
      <c r="P38" s="673"/>
      <c r="Q38" s="654" t="str">
        <f>IF(ISBLANK(P38)," ",IF(P38=Calcs!$I$46,"Yes","No"))</f>
        <v xml:space="preserve"> </v>
      </c>
      <c r="R38" s="654"/>
      <c r="S38" s="654" t="str">
        <f t="shared" si="0"/>
        <v xml:space="preserve"> </v>
      </c>
      <c r="T38" s="654"/>
      <c r="U38" s="655" t="str">
        <f>IF(ISBLANK(P38)," ",IF(P38=Calcs!$I$42,"Lose 1 point of Magic Might or 1 Magical Quality",IF(P38=Calcs!$I$46,IF(ISBLANK(R38)," ",IF(AND(R38=0,T38&gt;0),CONCATENATE("Gain ",T38," points of magical inferiorities. Discuss."),VLOOKUP(R38,Calcs!$O$57:$P$63,2,TRUE))),"No effect")))</f>
        <v xml:space="preserve"> </v>
      </c>
      <c r="V38" s="654"/>
    </row>
    <row r="39" spans="1:22" x14ac:dyDescent="0.2">
      <c r="A39" s="651"/>
      <c r="B39" s="172" t="str">
        <f>IF(ISBLANK(C39)," ",VLOOKUP(C39,Calcs!$A$54:$B$59,2,FALSE))</f>
        <v xml:space="preserve"> </v>
      </c>
      <c r="C39" s="105"/>
      <c r="E39" s="651"/>
      <c r="F39" s="172" t="str">
        <f>IF(ISBLANK(G39)," ",VLOOKUP(G39,Calcs!$A$54:$B$59,2,FALSE))</f>
        <v xml:space="preserve"> </v>
      </c>
      <c r="G39" s="105"/>
      <c r="O39" s="654">
        <f t="shared" si="2"/>
        <v>1251</v>
      </c>
      <c r="P39" s="673"/>
      <c r="Q39" s="654" t="str">
        <f>IF(ISBLANK(P39)," ",IF(P39=Calcs!$I$46,"Yes","No"))</f>
        <v xml:space="preserve"> </v>
      </c>
      <c r="R39" s="654"/>
      <c r="S39" s="654" t="str">
        <f t="shared" si="0"/>
        <v xml:space="preserve"> </v>
      </c>
      <c r="T39" s="654"/>
      <c r="U39" s="655" t="str">
        <f>IF(ISBLANK(P39)," ",IF(P39=Calcs!$I$42,"Lose 1 point of Magic Might or 1 Magical Quality",IF(P39=Calcs!$I$46,IF(ISBLANK(R39)," ",IF(AND(R39=0,T39&gt;0),CONCATENATE("Gain ",T39," points of magical inferiorities. Discuss."),VLOOKUP(R39,Calcs!$O$57:$P$63,2,TRUE))),"No effect")))</f>
        <v xml:space="preserve"> </v>
      </c>
      <c r="V39" s="654"/>
    </row>
    <row r="40" spans="1:22" x14ac:dyDescent="0.2">
      <c r="A40" s="651"/>
      <c r="B40" s="172" t="str">
        <f>IF(ISBLANK(C40)," ",VLOOKUP(C40,Calcs!$A$54:$B$59,2,FALSE))</f>
        <v xml:space="preserve"> </v>
      </c>
      <c r="C40" s="104"/>
      <c r="E40" s="651"/>
      <c r="F40" s="172" t="str">
        <f>IF(ISBLANK(G40)," ",VLOOKUP(G40,Calcs!$A$54:$B$59,2,FALSE))</f>
        <v xml:space="preserve"> </v>
      </c>
      <c r="G40" s="104"/>
      <c r="O40" s="654">
        <f t="shared" si="2"/>
        <v>1252</v>
      </c>
      <c r="P40" s="673"/>
      <c r="Q40" s="654" t="str">
        <f>IF(ISBLANK(P40)," ",IF(P40=Calcs!$I$46,"Yes","No"))</f>
        <v xml:space="preserve"> </v>
      </c>
      <c r="R40" s="654"/>
      <c r="S40" s="654" t="str">
        <f t="shared" si="0"/>
        <v xml:space="preserve"> </v>
      </c>
      <c r="T40" s="654"/>
      <c r="U40" s="655" t="str">
        <f>IF(ISBLANK(P40)," ",IF(P40=Calcs!$I$42,"Lose 1 point of Magic Might or 1 Magical Quality",IF(P40=Calcs!$I$46,IF(ISBLANK(R40)," ",IF(AND(R40=0,T40&gt;0),CONCATENATE("Gain ",T40," points of magical inferiorities. Discuss."),VLOOKUP(R40,Calcs!$O$57:$P$63,2,TRUE))),"No effect")))</f>
        <v xml:space="preserve"> </v>
      </c>
      <c r="V40" s="654"/>
    </row>
    <row r="41" spans="1:22" x14ac:dyDescent="0.2">
      <c r="A41" s="651"/>
      <c r="B41" s="172" t="str">
        <f>IF(ISBLANK(C41)," ",VLOOKUP(C41,Calcs!$A$54:$B$59,2,FALSE))</f>
        <v xml:space="preserve"> </v>
      </c>
      <c r="C41" s="105"/>
      <c r="E41" s="651"/>
      <c r="F41" s="172" t="str">
        <f>IF(ISBLANK(G41)," ",VLOOKUP(G41,Calcs!$A$54:$B$59,2,FALSE))</f>
        <v xml:space="preserve"> </v>
      </c>
      <c r="G41" s="105"/>
      <c r="O41" s="654">
        <f t="shared" si="2"/>
        <v>1253</v>
      </c>
      <c r="P41" s="673"/>
      <c r="Q41" s="654" t="str">
        <f>IF(ISBLANK(P41)," ",IF(P41=Calcs!$I$46,"Yes","No"))</f>
        <v xml:space="preserve"> </v>
      </c>
      <c r="R41" s="654"/>
      <c r="S41" s="654" t="str">
        <f t="shared" si="0"/>
        <v xml:space="preserve"> </v>
      </c>
      <c r="T41" s="654"/>
      <c r="U41" s="655" t="str">
        <f>IF(ISBLANK(P41)," ",IF(P41=Calcs!$I$42,"Lose 1 point of Magic Might or 1 Magical Quality",IF(P41=Calcs!$I$46,IF(ISBLANK(R41)," ",IF(AND(R41=0,T41&gt;0),CONCATENATE("Gain ",T41," points of magical inferiorities. Discuss."),VLOOKUP(R41,Calcs!$O$57:$P$63,2,TRUE))),"No effect")))</f>
        <v xml:space="preserve"> </v>
      </c>
      <c r="V41" s="654"/>
    </row>
    <row r="42" spans="1:22" x14ac:dyDescent="0.2">
      <c r="A42" s="652"/>
      <c r="B42" s="71" t="str">
        <f>IF(ISBLANK(C42)," ",VLOOKUP(C42,Calcs!$A$54:$B$59,2,FALSE))</f>
        <v xml:space="preserve"> </v>
      </c>
      <c r="C42" s="206"/>
      <c r="E42" s="652"/>
      <c r="F42" s="71" t="str">
        <f>IF(ISBLANK(G42)," ",VLOOKUP(G42,Calcs!$A$54:$B$59,2,FALSE))</f>
        <v xml:space="preserve"> </v>
      </c>
      <c r="G42" s="206"/>
      <c r="O42" s="654">
        <f t="shared" si="2"/>
        <v>1254</v>
      </c>
      <c r="P42" s="673"/>
      <c r="Q42" s="654" t="str">
        <f>IF(ISBLANK(P42)," ",IF(P42=Calcs!$I$46,"Yes","No"))</f>
        <v xml:space="preserve"> </v>
      </c>
      <c r="R42" s="654"/>
      <c r="S42" s="654" t="str">
        <f t="shared" si="0"/>
        <v xml:space="preserve"> </v>
      </c>
      <c r="T42" s="654"/>
      <c r="U42" s="655" t="str">
        <f>IF(ISBLANK(P42)," ",IF(P42=Calcs!$I$42,"Lose 1 point of Magic Might or 1 Magical Quality",IF(P42=Calcs!$I$46,IF(ISBLANK(R42)," ",IF(AND(R42=0,T42&gt;0),CONCATENATE("Gain ",T42," points of magical inferiorities. Discuss."),VLOOKUP(R42,Calcs!$O$57:$P$63,2,TRUE))),"No effect")))</f>
        <v xml:space="preserve"> </v>
      </c>
      <c r="V42" s="654"/>
    </row>
    <row r="43" spans="1:22" x14ac:dyDescent="0.2">
      <c r="O43" s="654">
        <f t="shared" si="2"/>
        <v>1255</v>
      </c>
      <c r="P43" s="673"/>
      <c r="Q43" s="654" t="str">
        <f>IF(ISBLANK(P43)," ",IF(P43=Calcs!$I$46,"Yes","No"))</f>
        <v xml:space="preserve"> </v>
      </c>
      <c r="R43" s="654"/>
      <c r="S43" s="654" t="str">
        <f t="shared" si="0"/>
        <v xml:space="preserve"> </v>
      </c>
      <c r="T43" s="654"/>
      <c r="U43" s="655" t="str">
        <f>IF(ISBLANK(P43)," ",IF(P43=Calcs!$I$42,"Lose 1 point of Magic Might or 1 Magical Quality",IF(P43=Calcs!$I$46,IF(ISBLANK(R43)," ",IF(AND(R43=0,T43&gt;0),CONCATENATE("Gain ",T43," points of magical inferiorities. Discuss."),VLOOKUP(R43,Calcs!$O$57:$P$63,2,TRUE))),"No effect")))</f>
        <v xml:space="preserve"> </v>
      </c>
      <c r="V43" s="654"/>
    </row>
    <row r="44" spans="1:22" x14ac:dyDescent="0.2">
      <c r="A44" s="402" t="s">
        <v>221</v>
      </c>
      <c r="O44" s="654">
        <f t="shared" si="2"/>
        <v>1256</v>
      </c>
      <c r="P44" s="673"/>
      <c r="Q44" s="654" t="str">
        <f>IF(ISBLANK(P44)," ",IF(P44=Calcs!$I$46,"Yes","No"))</f>
        <v xml:space="preserve"> </v>
      </c>
      <c r="R44" s="654"/>
      <c r="S44" s="654" t="str">
        <f t="shared" si="0"/>
        <v xml:space="preserve"> </v>
      </c>
      <c r="T44" s="654"/>
      <c r="U44" s="655" t="str">
        <f>IF(ISBLANK(P44)," ",IF(P44=Calcs!$I$42,"Lose 1 point of Magic Might or 1 Magical Quality",IF(P44=Calcs!$I$46,IF(ISBLANK(R44)," ",IF(AND(R44=0,T44&gt;0),CONCATENATE("Gain ",T44," points of magical inferiorities. Discuss."),VLOOKUP(R44,Calcs!$O$57:$P$63,2,TRUE))),"No effect")))</f>
        <v xml:space="preserve"> </v>
      </c>
      <c r="V44" s="654"/>
    </row>
    <row r="45" spans="1:22" x14ac:dyDescent="0.2">
      <c r="A45" s="796" t="s">
        <v>559</v>
      </c>
      <c r="B45" s="714"/>
      <c r="C45" s="714"/>
      <c r="D45" s="714"/>
      <c r="E45" s="714"/>
      <c r="F45" s="714"/>
      <c r="G45" s="714"/>
      <c r="O45" s="654">
        <f t="shared" si="2"/>
        <v>1257</v>
      </c>
      <c r="P45" s="673"/>
      <c r="Q45" s="654" t="str">
        <f>IF(ISBLANK(P45)," ",IF(P45=Calcs!$I$46,"Yes","No"))</f>
        <v xml:space="preserve"> </v>
      </c>
      <c r="R45" s="654"/>
      <c r="S45" s="654" t="str">
        <f t="shared" si="0"/>
        <v xml:space="preserve"> </v>
      </c>
      <c r="T45" s="654"/>
      <c r="U45" s="655" t="str">
        <f>IF(ISBLANK(P45)," ",IF(P45=Calcs!$I$42,"Lose 1 point of Magic Might or 1 Magical Quality",IF(P45=Calcs!$I$46,IF(ISBLANK(R45)," ",IF(AND(R45=0,T45&gt;0),CONCATENATE("Gain ",T45," points of magical inferiorities. Discuss."),VLOOKUP(R45,Calcs!$O$57:$P$63,2,TRUE))),"No effect")))</f>
        <v xml:space="preserve"> </v>
      </c>
      <c r="V45" s="654"/>
    </row>
    <row r="46" spans="1:22" x14ac:dyDescent="0.2">
      <c r="A46" s="714"/>
      <c r="B46" s="714"/>
      <c r="C46" s="714"/>
      <c r="D46" s="714"/>
      <c r="E46" s="714"/>
      <c r="F46" s="714"/>
      <c r="G46" s="714"/>
      <c r="O46" s="654">
        <f t="shared" si="2"/>
        <v>1258</v>
      </c>
      <c r="P46" s="673"/>
      <c r="Q46" s="654" t="str">
        <f>IF(ISBLANK(P46)," ",IF(P46=Calcs!$I$46,"Yes","No"))</f>
        <v xml:space="preserve"> </v>
      </c>
      <c r="R46" s="654"/>
      <c r="S46" s="654" t="str">
        <f t="shared" si="0"/>
        <v xml:space="preserve"> </v>
      </c>
      <c r="T46" s="654"/>
      <c r="U46" s="655" t="str">
        <f>IF(ISBLANK(P46)," ",IF(P46=Calcs!$I$42,"Lose 1 point of Magic Might or 1 Magical Quality",IF(P46=Calcs!$I$46,IF(ISBLANK(R46)," ",IF(AND(R46=0,T46&gt;0),CONCATENATE("Gain ",T46," points of magical inferiorities. Discuss."),VLOOKUP(R46,Calcs!$O$57:$P$63,2,TRUE))),"No effect")))</f>
        <v xml:space="preserve"> </v>
      </c>
      <c r="V46" s="654"/>
    </row>
    <row r="47" spans="1:22" x14ac:dyDescent="0.2">
      <c r="A47" s="797" t="s">
        <v>560</v>
      </c>
      <c r="B47" s="771"/>
      <c r="C47" s="771"/>
      <c r="D47" s="771"/>
      <c r="E47" s="771"/>
      <c r="F47" s="771"/>
      <c r="G47" s="771"/>
      <c r="O47" s="654">
        <f t="shared" si="2"/>
        <v>1259</v>
      </c>
      <c r="P47" s="673"/>
      <c r="Q47" s="654" t="str">
        <f>IF(ISBLANK(P47)," ",IF(P47=Calcs!$I$46,"Yes","No"))</f>
        <v xml:space="preserve"> </v>
      </c>
      <c r="R47" s="654"/>
      <c r="S47" s="654" t="str">
        <f t="shared" si="0"/>
        <v xml:space="preserve"> </v>
      </c>
      <c r="T47" s="654"/>
      <c r="U47" s="655" t="str">
        <f>IF(ISBLANK(P47)," ",IF(P47=Calcs!$I$42,"Lose 1 point of Magic Might or 1 Magical Quality",IF(P47=Calcs!$I$46,IF(ISBLANK(R47)," ",IF(AND(R47=0,T47&gt;0),CONCATENATE("Gain ",T47," points of magical inferiorities. Discuss."),VLOOKUP(R47,Calcs!$O$57:$P$63,2,TRUE))),"No effect")))</f>
        <v xml:space="preserve"> </v>
      </c>
      <c r="V47" s="654"/>
    </row>
    <row r="48" spans="1:22" x14ac:dyDescent="0.2">
      <c r="O48" s="654">
        <f t="shared" si="2"/>
        <v>1260</v>
      </c>
      <c r="P48" s="673"/>
      <c r="Q48" s="654" t="str">
        <f>IF(ISBLANK(P48)," ",IF(P48=Calcs!$I$46,"Yes","No"))</f>
        <v xml:space="preserve"> </v>
      </c>
      <c r="R48" s="654"/>
      <c r="S48" s="654" t="str">
        <f t="shared" si="0"/>
        <v xml:space="preserve"> </v>
      </c>
      <c r="T48" s="654"/>
      <c r="U48" s="655" t="str">
        <f>IF(ISBLANK(P48)," ",IF(P48=Calcs!$I$42,"Lose 1 point of Magic Might or 1 Magical Quality",IF(P48=Calcs!$I$46,IF(ISBLANK(R48)," ",IF(AND(R48=0,T48&gt;0),CONCATENATE("Gain ",T48," points of magical inferiorities. Discuss."),VLOOKUP(R48,Calcs!$O$57:$P$63,2,TRUE))),"No effect")))</f>
        <v xml:space="preserve"> </v>
      </c>
      <c r="V48" s="654"/>
    </row>
    <row r="49" spans="1:22" x14ac:dyDescent="0.2">
      <c r="A49" s="2" t="s">
        <v>508</v>
      </c>
      <c r="O49" s="654">
        <f t="shared" ref="O49:O69" si="3">O48+1</f>
        <v>1261</v>
      </c>
      <c r="P49" s="673"/>
      <c r="Q49" s="654" t="str">
        <f>IF(ISBLANK(P49)," ",IF(P49=Calcs!$I$46,"Yes","No"))</f>
        <v xml:space="preserve"> </v>
      </c>
      <c r="R49" s="654"/>
      <c r="S49" s="654" t="str">
        <f t="shared" si="0"/>
        <v xml:space="preserve"> </v>
      </c>
      <c r="T49" s="654"/>
      <c r="U49" s="655" t="str">
        <f>IF(ISBLANK(P49)," ",IF(P49=Calcs!$I$42,"Lose 1 point of Magic Might or 1 Magical Quality",IF(P49=Calcs!$I$46,IF(ISBLANK(R49)," ",IF(AND(R49=0,T49&gt;0),CONCATENATE("Gain ",T49," points of magical inferiorities. Discuss."),VLOOKUP(R49,Calcs!$O$57:$P$63,2,TRUE))),"No effect")))</f>
        <v xml:space="preserve"> </v>
      </c>
      <c r="V49" s="654"/>
    </row>
    <row r="50" spans="1:22" x14ac:dyDescent="0.2">
      <c r="A50" s="7">
        <v>0</v>
      </c>
      <c r="B50" t="s">
        <v>509</v>
      </c>
      <c r="O50" s="654">
        <f t="shared" si="3"/>
        <v>1262</v>
      </c>
      <c r="P50" s="673"/>
      <c r="Q50" s="654" t="str">
        <f>IF(ISBLANK(P50)," ",IF(P50=Calcs!$I$46,"Yes","No"))</f>
        <v xml:space="preserve"> </v>
      </c>
      <c r="R50" s="654"/>
      <c r="S50" s="654" t="str">
        <f t="shared" si="0"/>
        <v xml:space="preserve"> </v>
      </c>
      <c r="T50" s="654"/>
      <c r="U50" s="655" t="str">
        <f>IF(ISBLANK(P50)," ",IF(P50=Calcs!$I$42,"Lose 1 point of Magic Might or 1 Magical Quality",IF(P50=Calcs!$I$46,IF(ISBLANK(R50)," ",IF(AND(R50=0,T50&gt;0),CONCATENATE("Gain ",T50," points of magical inferiorities. Discuss."),VLOOKUP(R50,Calcs!$O$57:$P$63,2,TRUE))),"No effect")))</f>
        <v xml:space="preserve"> </v>
      </c>
      <c r="V50" s="654"/>
    </row>
    <row r="51" spans="1:22" x14ac:dyDescent="0.2">
      <c r="A51" s="7">
        <v>0</v>
      </c>
      <c r="B51" t="s">
        <v>510</v>
      </c>
      <c r="O51" s="654">
        <f t="shared" si="3"/>
        <v>1263</v>
      </c>
      <c r="P51" s="673"/>
      <c r="Q51" s="654" t="str">
        <f>IF(ISBLANK(P51)," ",IF(P51=Calcs!$I$46,"Yes","No"))</f>
        <v xml:space="preserve"> </v>
      </c>
      <c r="R51" s="654"/>
      <c r="S51" s="654" t="str">
        <f t="shared" si="0"/>
        <v xml:space="preserve"> </v>
      </c>
      <c r="T51" s="654"/>
      <c r="U51" s="655" t="str">
        <f>IF(ISBLANK(P51)," ",IF(P51=Calcs!$I$42,"Lose 1 point of Magic Might or 1 Magical Quality",IF(P51=Calcs!$I$46,IF(ISBLANK(R51)," ",IF(AND(R51=0,T51&gt;0),CONCATENATE("Gain ",T51," points of magical inferiorities. Discuss."),VLOOKUP(R51,Calcs!$O$57:$P$63,2,TRUE))),"No effect")))</f>
        <v xml:space="preserve"> </v>
      </c>
      <c r="V51" s="654"/>
    </row>
    <row r="52" spans="1:22" x14ac:dyDescent="0.2">
      <c r="A52" s="7">
        <v>5</v>
      </c>
      <c r="B52" t="s">
        <v>511</v>
      </c>
      <c r="O52" s="654">
        <f t="shared" si="3"/>
        <v>1264</v>
      </c>
      <c r="P52" s="673"/>
      <c r="Q52" s="654" t="str">
        <f>IF(ISBLANK(P52)," ",IF(P52=Calcs!$I$46,"Yes","No"))</f>
        <v xml:space="preserve"> </v>
      </c>
      <c r="R52" s="654"/>
      <c r="S52" s="654" t="str">
        <f t="shared" si="0"/>
        <v xml:space="preserve"> </v>
      </c>
      <c r="T52" s="654"/>
      <c r="U52" s="655" t="str">
        <f>IF(ISBLANK(P52)," ",IF(P52=Calcs!$I$42,"Lose 1 point of Magic Might or 1 Magical Quality",IF(P52=Calcs!$I$46,IF(ISBLANK(R52)," ",IF(AND(R52=0,T52&gt;0),CONCATENATE("Gain ",T52," points of magical inferiorities. Discuss."),VLOOKUP(R52,Calcs!$O$57:$P$63,2,TRUE))),"No effect")))</f>
        <v xml:space="preserve"> </v>
      </c>
      <c r="V52" s="654"/>
    </row>
    <row r="53" spans="1:22" x14ac:dyDescent="0.2">
      <c r="A53" s="7">
        <v>10</v>
      </c>
      <c r="B53" t="s">
        <v>512</v>
      </c>
      <c r="O53" s="654">
        <f t="shared" si="3"/>
        <v>1265</v>
      </c>
      <c r="P53" s="673"/>
      <c r="Q53" s="654" t="str">
        <f>IF(ISBLANK(P53)," ",IF(P53=Calcs!$I$46,"Yes","No"))</f>
        <v xml:space="preserve"> </v>
      </c>
      <c r="R53" s="654"/>
      <c r="S53" s="654" t="str">
        <f t="shared" si="0"/>
        <v xml:space="preserve"> </v>
      </c>
      <c r="T53" s="654"/>
      <c r="U53" s="655" t="str">
        <f>IF(ISBLANK(P53)," ",IF(P53=Calcs!$I$42,"Lose 1 point of Magic Might or 1 Magical Quality",IF(P53=Calcs!$I$46,IF(ISBLANK(R53)," ",IF(AND(R53=0,T53&gt;0),CONCATENATE("Gain ",T53," points of magical inferiorities. Discuss."),VLOOKUP(R53,Calcs!$O$57:$P$63,2,TRUE))),"No effect")))</f>
        <v xml:space="preserve"> </v>
      </c>
      <c r="V53" s="654"/>
    </row>
    <row r="54" spans="1:22" x14ac:dyDescent="0.2">
      <c r="A54" s="7">
        <v>15</v>
      </c>
      <c r="B54" t="s">
        <v>513</v>
      </c>
      <c r="O54" s="654">
        <f t="shared" si="3"/>
        <v>1266</v>
      </c>
      <c r="P54" s="673"/>
      <c r="Q54" s="654" t="str">
        <f>IF(ISBLANK(P54)," ",IF(P54=Calcs!$I$46,"Yes","No"))</f>
        <v xml:space="preserve"> </v>
      </c>
      <c r="R54" s="654"/>
      <c r="S54" s="654" t="str">
        <f t="shared" si="0"/>
        <v xml:space="preserve"> </v>
      </c>
      <c r="T54" s="654"/>
      <c r="U54" s="655" t="str">
        <f>IF(ISBLANK(P54)," ",IF(P54=Calcs!$I$42,"Lose 1 point of Magic Might or 1 Magical Quality",IF(P54=Calcs!$I$46,IF(ISBLANK(R54)," ",IF(AND(R54=0,T54&gt;0),CONCATENATE("Gain ",T54," points of magical inferiorities. Discuss."),VLOOKUP(R54,Calcs!$O$57:$P$63,2,TRUE))),"No effect")))</f>
        <v xml:space="preserve"> </v>
      </c>
      <c r="V54" s="654"/>
    </row>
    <row r="55" spans="1:22" x14ac:dyDescent="0.2">
      <c r="A55" s="7">
        <v>20</v>
      </c>
      <c r="B55" t="s">
        <v>549</v>
      </c>
      <c r="O55" s="654">
        <f t="shared" si="3"/>
        <v>1267</v>
      </c>
      <c r="P55" s="673"/>
      <c r="Q55" s="654" t="str">
        <f>IF(ISBLANK(P55)," ",IF(P55=Calcs!$I$46,"Yes","No"))</f>
        <v xml:space="preserve"> </v>
      </c>
      <c r="R55" s="654"/>
      <c r="S55" s="654" t="str">
        <f t="shared" si="0"/>
        <v xml:space="preserve"> </v>
      </c>
      <c r="T55" s="654"/>
      <c r="U55" s="655" t="str">
        <f>IF(ISBLANK(P55)," ",IF(P55=Calcs!$I$42,"Lose 1 point of Magic Might or 1 Magical Quality",IF(P55=Calcs!$I$46,IF(ISBLANK(R55)," ",IF(AND(R55=0,T55&gt;0),CONCATENATE("Gain ",T55," points of magical inferiorities. Discuss."),VLOOKUP(R55,Calcs!$O$57:$P$63,2,TRUE))),"No effect")))</f>
        <v xml:space="preserve"> </v>
      </c>
      <c r="V55" s="654"/>
    </row>
    <row r="56" spans="1:22" x14ac:dyDescent="0.2">
      <c r="A56" s="7">
        <v>20</v>
      </c>
      <c r="B56" t="s">
        <v>550</v>
      </c>
      <c r="O56" s="654">
        <f t="shared" si="3"/>
        <v>1268</v>
      </c>
      <c r="P56" s="673"/>
      <c r="Q56" s="654" t="str">
        <f>IF(ISBLANK(P56)," ",IF(P56=Calcs!$I$46,"Yes","No"))</f>
        <v xml:space="preserve"> </v>
      </c>
      <c r="R56" s="654"/>
      <c r="S56" s="654" t="str">
        <f t="shared" si="0"/>
        <v xml:space="preserve"> </v>
      </c>
      <c r="T56" s="654"/>
      <c r="U56" s="655" t="str">
        <f>IF(ISBLANK(P56)," ",IF(P56=Calcs!$I$42,"Lose 1 point of Magic Might or 1 Magical Quality",IF(P56=Calcs!$I$46,IF(ISBLANK(R56)," ",IF(AND(R56=0,T56&gt;0),CONCATENATE("Gain ",T56," points of magical inferiorities. Discuss."),VLOOKUP(R56,Calcs!$O$57:$P$63,2,TRUE))),"No effect")))</f>
        <v xml:space="preserve"> </v>
      </c>
      <c r="V56" s="654"/>
    </row>
    <row r="57" spans="1:22" x14ac:dyDescent="0.2">
      <c r="A57" s="7">
        <v>20</v>
      </c>
      <c r="B57" t="s">
        <v>551</v>
      </c>
      <c r="O57" s="654">
        <f t="shared" si="3"/>
        <v>1269</v>
      </c>
      <c r="P57" s="673"/>
      <c r="Q57" s="654" t="str">
        <f>IF(ISBLANK(P57)," ",IF(P57=Calcs!$I$46,"Yes","No"))</f>
        <v xml:space="preserve"> </v>
      </c>
      <c r="R57" s="654"/>
      <c r="S57" s="654" t="str">
        <f t="shared" si="0"/>
        <v xml:space="preserve"> </v>
      </c>
      <c r="T57" s="654"/>
      <c r="U57" s="655" t="str">
        <f>IF(ISBLANK(P57)," ",IF(P57=Calcs!$I$42,"Lose 1 point of Magic Might or 1 Magical Quality",IF(P57=Calcs!$I$46,IF(ISBLANK(R57)," ",IF(AND(R57=0,T57&gt;0),CONCATENATE("Gain ",T57," points of magical inferiorities. Discuss."),VLOOKUP(R57,Calcs!$O$57:$P$63,2,TRUE))),"No effect")))</f>
        <v xml:space="preserve"> </v>
      </c>
      <c r="V57" s="654"/>
    </row>
    <row r="58" spans="1:22" x14ac:dyDescent="0.2">
      <c r="A58" s="7">
        <v>25</v>
      </c>
      <c r="B58" t="s">
        <v>514</v>
      </c>
      <c r="O58" s="654">
        <f t="shared" si="3"/>
        <v>1270</v>
      </c>
      <c r="P58" s="673"/>
      <c r="Q58" s="654" t="str">
        <f>IF(ISBLANK(P58)," ",IF(P58=Calcs!$I$46,"Yes","No"))</f>
        <v xml:space="preserve"> </v>
      </c>
      <c r="R58" s="654"/>
      <c r="S58" s="654" t="str">
        <f t="shared" si="0"/>
        <v xml:space="preserve"> </v>
      </c>
      <c r="T58" s="654"/>
      <c r="U58" s="655" t="str">
        <f>IF(ISBLANK(P58)," ",IF(P58=Calcs!$I$42,"Lose 1 point of Magic Might or 1 Magical Quality",IF(P58=Calcs!$I$46,IF(ISBLANK(R58)," ",IF(AND(R58=0,T58&gt;0),CONCATENATE("Gain ",T58," points of magical inferiorities. Discuss."),VLOOKUP(R58,Calcs!$O$57:$P$63,2,TRUE))),"No effect")))</f>
        <v xml:space="preserve"> </v>
      </c>
      <c r="V58" s="654"/>
    </row>
    <row r="59" spans="1:22" x14ac:dyDescent="0.2">
      <c r="A59" s="7">
        <v>30</v>
      </c>
      <c r="B59" t="s">
        <v>515</v>
      </c>
      <c r="O59" s="654">
        <f t="shared" si="3"/>
        <v>1271</v>
      </c>
      <c r="P59" s="673"/>
      <c r="Q59" s="654" t="str">
        <f>IF(ISBLANK(P59)," ",IF(P59=Calcs!$I$46,"Yes","No"))</f>
        <v xml:space="preserve"> </v>
      </c>
      <c r="R59" s="654"/>
      <c r="S59" s="654" t="str">
        <f t="shared" si="0"/>
        <v xml:space="preserve"> </v>
      </c>
      <c r="T59" s="654"/>
      <c r="U59" s="655" t="str">
        <f>IF(ISBLANK(P59)," ",IF(P59=Calcs!$I$42,"Lose 1 point of Magic Might or 1 Magical Quality",IF(P59=Calcs!$I$46,IF(ISBLANK(R59)," ",IF(AND(R59=0,T59&gt;0),CONCATENATE("Gain ",T59," points of magical inferiorities. Discuss."),VLOOKUP(R59,Calcs!$O$57:$P$63,2,TRUE))),"No effect")))</f>
        <v xml:space="preserve"> </v>
      </c>
      <c r="V59" s="654"/>
    </row>
    <row r="60" spans="1:22" x14ac:dyDescent="0.2">
      <c r="O60" s="654">
        <f t="shared" si="3"/>
        <v>1272</v>
      </c>
      <c r="P60" s="673"/>
      <c r="Q60" s="654" t="str">
        <f>IF(ISBLANK(P60)," ",IF(P60=Calcs!$I$46,"Yes","No"))</f>
        <v xml:space="preserve"> </v>
      </c>
      <c r="R60" s="654"/>
      <c r="S60" s="654" t="str">
        <f t="shared" si="0"/>
        <v xml:space="preserve"> </v>
      </c>
      <c r="T60" s="654"/>
      <c r="U60" s="655" t="str">
        <f>IF(ISBLANK(P60)," ",IF(P60=Calcs!$I$42,"Lose 1 point of Magic Might or 1 Magical Quality",IF(P60=Calcs!$I$46,IF(ISBLANK(R60)," ",IF(AND(R60=0,T60&gt;0),CONCATENATE("Gain ",T60," points of magical inferiorities. Discuss."),VLOOKUP(R60,Calcs!$O$57:$P$63,2,TRUE))),"No effect")))</f>
        <v xml:space="preserve"> </v>
      </c>
      <c r="V60" s="654"/>
    </row>
    <row r="61" spans="1:22" x14ac:dyDescent="0.2">
      <c r="O61" s="654">
        <f t="shared" si="3"/>
        <v>1273</v>
      </c>
      <c r="P61" s="673"/>
      <c r="Q61" s="654" t="str">
        <f>IF(ISBLANK(P61)," ",IF(P61=Calcs!$I$46,"Yes","No"))</f>
        <v xml:space="preserve"> </v>
      </c>
      <c r="R61" s="654"/>
      <c r="S61" s="654" t="str">
        <f t="shared" si="0"/>
        <v xml:space="preserve"> </v>
      </c>
      <c r="T61" s="654"/>
      <c r="U61" s="655" t="str">
        <f>IF(ISBLANK(P61)," ",IF(P61=Calcs!$I$42,"Lose 1 point of Magic Might or 1 Magical Quality",IF(P61=Calcs!$I$46,IF(ISBLANK(R61)," ",IF(AND(R61=0,T61&gt;0),CONCATENATE("Gain ",T61," points of magical inferiorities. Discuss."),VLOOKUP(R61,Calcs!$O$57:$P$63,2,TRUE))),"No effect")))</f>
        <v xml:space="preserve"> </v>
      </c>
      <c r="V61" s="654"/>
    </row>
    <row r="62" spans="1:22" x14ac:dyDescent="0.2">
      <c r="O62" s="654">
        <f t="shared" si="3"/>
        <v>1274</v>
      </c>
      <c r="P62" s="673"/>
      <c r="Q62" s="654" t="str">
        <f>IF(ISBLANK(P62)," ",IF(P62=Calcs!$I$46,"Yes","No"))</f>
        <v xml:space="preserve"> </v>
      </c>
      <c r="R62" s="654"/>
      <c r="S62" s="654" t="str">
        <f t="shared" si="0"/>
        <v xml:space="preserve"> </v>
      </c>
      <c r="T62" s="654"/>
      <c r="U62" s="655" t="str">
        <f>IF(ISBLANK(P62)," ",IF(P62=Calcs!$I$42,"Lose 1 point of Magic Might or 1 Magical Quality",IF(P62=Calcs!$I$46,IF(ISBLANK(R62)," ",IF(AND(R62=0,T62&gt;0),CONCATENATE("Gain ",T62," points of magical inferiorities. Discuss."),VLOOKUP(R62,Calcs!$O$57:$P$63,2,TRUE))),"No effect")))</f>
        <v xml:space="preserve"> </v>
      </c>
      <c r="V62" s="654"/>
    </row>
    <row r="63" spans="1:22" x14ac:dyDescent="0.2">
      <c r="O63" s="654">
        <f t="shared" si="3"/>
        <v>1275</v>
      </c>
      <c r="P63" s="673"/>
      <c r="Q63" s="654" t="str">
        <f>IF(ISBLANK(P63)," ",IF(P63=Calcs!$I$46,"Yes","No"))</f>
        <v xml:space="preserve"> </v>
      </c>
      <c r="R63" s="654"/>
      <c r="S63" s="654" t="str">
        <f t="shared" si="0"/>
        <v xml:space="preserve"> </v>
      </c>
      <c r="T63" s="654"/>
      <c r="U63" s="655" t="str">
        <f>IF(ISBLANK(P63)," ",IF(P63=Calcs!$I$42,"Lose 1 point of Magic Might or 1 Magical Quality",IF(P63=Calcs!$I$46,IF(ISBLANK(R63)," ",IF(AND(R63=0,T63&gt;0),CONCATENATE("Gain ",T63," points of magical inferiorities. Discuss."),VLOOKUP(R63,Calcs!$O$57:$P$63,2,TRUE))),"No effect")))</f>
        <v xml:space="preserve"> </v>
      </c>
      <c r="V63" s="654"/>
    </row>
    <row r="64" spans="1:22" x14ac:dyDescent="0.2">
      <c r="O64" s="654">
        <f t="shared" si="3"/>
        <v>1276</v>
      </c>
      <c r="P64" s="673"/>
      <c r="Q64" s="654" t="str">
        <f>IF(ISBLANK(P64)," ",IF(P64=Calcs!$I$46,"Yes","No"))</f>
        <v xml:space="preserve"> </v>
      </c>
      <c r="R64" s="654"/>
      <c r="S64" s="654" t="str">
        <f t="shared" si="0"/>
        <v xml:space="preserve"> </v>
      </c>
      <c r="T64" s="654"/>
      <c r="U64" s="655" t="str">
        <f>IF(ISBLANK(P64)," ",IF(P64=Calcs!$I$42,"Lose 1 point of Magic Might or 1 Magical Quality",IF(P64=Calcs!$I$46,IF(ISBLANK(R64)," ",IF(AND(R64=0,T64&gt;0),CONCATENATE("Gain ",T64," points of magical inferiorities. Discuss."),VLOOKUP(R64,Calcs!$O$57:$P$63,2,TRUE))),"No effect")))</f>
        <v xml:space="preserve"> </v>
      </c>
      <c r="V64" s="654"/>
    </row>
    <row r="65" spans="15:22" x14ac:dyDescent="0.2">
      <c r="O65" s="654">
        <f t="shared" si="3"/>
        <v>1277</v>
      </c>
      <c r="P65" s="673"/>
      <c r="Q65" s="654" t="str">
        <f>IF(ISBLANK(P65)," ",IF(P65=Calcs!$I$46,"Yes","No"))</f>
        <v xml:space="preserve"> </v>
      </c>
      <c r="R65" s="654"/>
      <c r="S65" s="654" t="str">
        <f t="shared" si="0"/>
        <v xml:space="preserve"> </v>
      </c>
      <c r="T65" s="654"/>
      <c r="U65" s="655" t="str">
        <f>IF(ISBLANK(P65)," ",IF(P65=Calcs!$I$42,"Lose 1 point of Magic Might or 1 Magical Quality",IF(P65=Calcs!$I$46,IF(ISBLANK(R65)," ",IF(AND(R65=0,T65&gt;0),CONCATENATE("Gain ",T65," points of magical inferiorities. Discuss."),VLOOKUP(R65,Calcs!$O$57:$P$63,2,TRUE))),"No effect")))</f>
        <v xml:space="preserve"> </v>
      </c>
      <c r="V65" s="654"/>
    </row>
    <row r="66" spans="15:22" x14ac:dyDescent="0.2">
      <c r="O66" s="654">
        <f t="shared" si="3"/>
        <v>1278</v>
      </c>
      <c r="P66" s="673"/>
      <c r="Q66" s="654" t="str">
        <f>IF(ISBLANK(P66)," ",IF(P66=Calcs!$I$46,"Yes","No"))</f>
        <v xml:space="preserve"> </v>
      </c>
      <c r="R66" s="654"/>
      <c r="S66" s="654" t="str">
        <f t="shared" si="0"/>
        <v xml:space="preserve"> </v>
      </c>
      <c r="T66" s="654"/>
      <c r="U66" s="655" t="str">
        <f>IF(ISBLANK(P66)," ",IF(P66=Calcs!$I$42,"Lose 1 point of Magic Might or 1 Magical Quality",IF(P66=Calcs!$I$46,IF(ISBLANK(R66)," ",IF(AND(R66=0,T66&gt;0),CONCATENATE("Gain ",T66," points of magical inferiorities. Discuss."),VLOOKUP(R66,Calcs!$O$57:$P$63,2,TRUE))),"No effect")))</f>
        <v xml:space="preserve"> </v>
      </c>
      <c r="V66" s="654"/>
    </row>
    <row r="67" spans="15:22" x14ac:dyDescent="0.2">
      <c r="O67" s="654">
        <f t="shared" si="3"/>
        <v>1279</v>
      </c>
      <c r="P67" s="673"/>
      <c r="Q67" s="654" t="str">
        <f>IF(ISBLANK(P67)," ",IF(P67=Calcs!$I$46,"Yes","No"))</f>
        <v xml:space="preserve"> </v>
      </c>
      <c r="R67" s="654"/>
      <c r="S67" s="654" t="str">
        <f t="shared" si="0"/>
        <v xml:space="preserve"> </v>
      </c>
      <c r="T67" s="654"/>
      <c r="U67" s="655" t="str">
        <f>IF(ISBLANK(P67)," ",IF(P67=Calcs!$I$42,"Lose 1 point of Magic Might or 1 Magical Quality",IF(P67=Calcs!$I$46,IF(ISBLANK(R67)," ",IF(AND(R67=0,T67&gt;0),CONCATENATE("Gain ",T67," points of magical inferiorities. Discuss."),VLOOKUP(R67,Calcs!$O$57:$P$63,2,TRUE))),"No effect")))</f>
        <v xml:space="preserve"> </v>
      </c>
      <c r="V67" s="654"/>
    </row>
    <row r="68" spans="15:22" x14ac:dyDescent="0.2">
      <c r="O68" s="654">
        <f t="shared" si="3"/>
        <v>1280</v>
      </c>
      <c r="P68" s="673"/>
      <c r="Q68" s="654" t="str">
        <f>IF(ISBLANK(P68)," ",IF(P68=Calcs!$I$46,"Yes","No"))</f>
        <v xml:space="preserve"> </v>
      </c>
      <c r="R68" s="654"/>
      <c r="S68" s="654" t="str">
        <f t="shared" si="0"/>
        <v xml:space="preserve"> </v>
      </c>
      <c r="T68" s="654"/>
      <c r="U68" s="655" t="str">
        <f>IF(ISBLANK(P68)," ",IF(P68=Calcs!$I$42,"Lose 1 point of Magic Might or 1 Magical Quality",IF(P68=Calcs!$I$46,IF(ISBLANK(R68)," ",IF(AND(R68=0,T68&gt;0),CONCATENATE("Gain ",T68," points of magical inferiorities. Discuss."),VLOOKUP(R68,Calcs!$O$57:$P$63,2,TRUE))),"No effect")))</f>
        <v xml:space="preserve"> </v>
      </c>
      <c r="V68" s="654"/>
    </row>
    <row r="69" spans="15:22" x14ac:dyDescent="0.2">
      <c r="O69" s="654">
        <f t="shared" si="3"/>
        <v>1281</v>
      </c>
      <c r="P69" s="673"/>
      <c r="Q69" s="654" t="str">
        <f>IF(ISBLANK(P69)," ",IF(P69=Calcs!$I$46,"Yes","No"))</f>
        <v xml:space="preserve"> </v>
      </c>
      <c r="R69" s="654"/>
      <c r="S69" s="654" t="str">
        <f t="shared" ref="S69:S132" si="4">IF(ISBLANK(R69)," ",IF(R69=0,$J$21," "))</f>
        <v xml:space="preserve"> </v>
      </c>
      <c r="T69" s="654"/>
      <c r="U69" s="655" t="str">
        <f>IF(ISBLANK(P69)," ",IF(P69=Calcs!$I$42,"Lose 1 point of Magic Might or 1 Magical Quality",IF(P69=Calcs!$I$46,IF(ISBLANK(R69)," ",IF(AND(R69=0,T69&gt;0),CONCATENATE("Gain ",T69," points of magical inferiorities. Discuss."),VLOOKUP(R69,Calcs!$O$57:$P$63,2,TRUE))),"No effect")))</f>
        <v xml:space="preserve"> </v>
      </c>
      <c r="V69" s="654"/>
    </row>
    <row r="70" spans="15:22" x14ac:dyDescent="0.2">
      <c r="O70" s="654">
        <f t="shared" ref="O70:O133" si="5">O69+1</f>
        <v>1282</v>
      </c>
      <c r="P70" s="673"/>
      <c r="Q70" s="654" t="str">
        <f>IF(ISBLANK(P70)," ",IF(P70=Calcs!$I$46,"Yes","No"))</f>
        <v xml:space="preserve"> </v>
      </c>
      <c r="R70" s="654"/>
      <c r="S70" s="654" t="str">
        <f t="shared" si="4"/>
        <v xml:space="preserve"> </v>
      </c>
      <c r="T70" s="654"/>
      <c r="U70" s="655" t="str">
        <f>IF(ISBLANK(P70)," ",IF(P70=Calcs!$I$42,"Lose 1 point of Magic Might or 1 Magical Quality",IF(P70=Calcs!$I$46,IF(ISBLANK(R70)," ",IF(AND(R70=0,T70&gt;0),CONCATENATE("Gain ",T70," points of magical inferiorities. Discuss."),VLOOKUP(R70,Calcs!$O$57:$P$63,2,TRUE))),"No effect")))</f>
        <v xml:space="preserve"> </v>
      </c>
      <c r="V70" s="654"/>
    </row>
    <row r="71" spans="15:22" x14ac:dyDescent="0.2">
      <c r="O71" s="654">
        <f t="shared" si="5"/>
        <v>1283</v>
      </c>
      <c r="P71" s="673"/>
      <c r="Q71" s="654" t="str">
        <f>IF(ISBLANK(P71)," ",IF(P71=Calcs!$I$46,"Yes","No"))</f>
        <v xml:space="preserve"> </v>
      </c>
      <c r="R71" s="654"/>
      <c r="S71" s="654" t="str">
        <f t="shared" si="4"/>
        <v xml:space="preserve"> </v>
      </c>
      <c r="T71" s="654"/>
      <c r="U71" s="655" t="str">
        <f>IF(ISBLANK(P71)," ",IF(P71=Calcs!$I$42,"Lose 1 point of Magic Might or 1 Magical Quality",IF(P71=Calcs!$I$46,IF(ISBLANK(R71)," ",IF(AND(R71=0,T71&gt;0),CONCATENATE("Gain ",T71," points of magical inferiorities. Discuss."),VLOOKUP(R71,Calcs!$O$57:$P$63,2,TRUE))),"No effect")))</f>
        <v xml:space="preserve"> </v>
      </c>
      <c r="V71" s="654"/>
    </row>
    <row r="72" spans="15:22" x14ac:dyDescent="0.2">
      <c r="O72" s="654">
        <f t="shared" si="5"/>
        <v>1284</v>
      </c>
      <c r="P72" s="673"/>
      <c r="Q72" s="654" t="str">
        <f>IF(ISBLANK(P72)," ",IF(P72=Calcs!$I$46,"Yes","No"))</f>
        <v xml:space="preserve"> </v>
      </c>
      <c r="R72" s="654"/>
      <c r="S72" s="654" t="str">
        <f t="shared" si="4"/>
        <v xml:space="preserve"> </v>
      </c>
      <c r="T72" s="654"/>
      <c r="U72" s="655" t="str">
        <f>IF(ISBLANK(P72)," ",IF(P72=Calcs!$I$42,"Lose 1 point of Magic Might or 1 Magical Quality",IF(P72=Calcs!$I$46,IF(ISBLANK(R72)," ",IF(AND(R72=0,T72&gt;0),CONCATENATE("Gain ",T72," points of magical inferiorities. Discuss."),VLOOKUP(R72,Calcs!$O$57:$P$63,2,TRUE))),"No effect")))</f>
        <v xml:space="preserve"> </v>
      </c>
      <c r="V72" s="654"/>
    </row>
    <row r="73" spans="15:22" x14ac:dyDescent="0.2">
      <c r="O73" s="654">
        <f t="shared" si="5"/>
        <v>1285</v>
      </c>
      <c r="P73" s="673"/>
      <c r="Q73" s="654" t="str">
        <f>IF(ISBLANK(P73)," ",IF(P73=Calcs!$I$46,"Yes","No"))</f>
        <v xml:space="preserve"> </v>
      </c>
      <c r="R73" s="654"/>
      <c r="S73" s="654" t="str">
        <f t="shared" si="4"/>
        <v xml:space="preserve"> </v>
      </c>
      <c r="T73" s="654"/>
      <c r="U73" s="655" t="str">
        <f>IF(ISBLANK(P73)," ",IF(P73=Calcs!$I$42,"Lose 1 point of Magic Might or 1 Magical Quality",IF(P73=Calcs!$I$46,IF(ISBLANK(R73)," ",IF(AND(R73=0,T73&gt;0),CONCATENATE("Gain ",T73," points of magical inferiorities. Discuss."),VLOOKUP(R73,Calcs!$O$57:$P$63,2,TRUE))),"No effect")))</f>
        <v xml:space="preserve"> </v>
      </c>
      <c r="V73" s="654"/>
    </row>
    <row r="74" spans="15:22" x14ac:dyDescent="0.2">
      <c r="O74" s="654">
        <f t="shared" si="5"/>
        <v>1286</v>
      </c>
      <c r="P74" s="673"/>
      <c r="Q74" s="654" t="str">
        <f>IF(ISBLANK(P74)," ",IF(P74=Calcs!$I$46,"Yes","No"))</f>
        <v xml:space="preserve"> </v>
      </c>
      <c r="R74" s="654"/>
      <c r="S74" s="654" t="str">
        <f t="shared" si="4"/>
        <v xml:space="preserve"> </v>
      </c>
      <c r="T74" s="654"/>
      <c r="U74" s="655" t="str">
        <f>IF(ISBLANK(P74)," ",IF(P74=Calcs!$I$42,"Lose 1 point of Magic Might or 1 Magical Quality",IF(P74=Calcs!$I$46,IF(ISBLANK(R74)," ",IF(AND(R74=0,T74&gt;0),CONCATENATE("Gain ",T74," points of magical inferiorities. Discuss."),VLOOKUP(R74,Calcs!$O$57:$P$63,2,TRUE))),"No effect")))</f>
        <v xml:space="preserve"> </v>
      </c>
      <c r="V74" s="654"/>
    </row>
    <row r="75" spans="15:22" x14ac:dyDescent="0.2">
      <c r="O75" s="654">
        <f t="shared" si="5"/>
        <v>1287</v>
      </c>
      <c r="P75" s="673"/>
      <c r="Q75" s="654" t="str">
        <f>IF(ISBLANK(P75)," ",IF(P75=Calcs!$I$46,"Yes","No"))</f>
        <v xml:space="preserve"> </v>
      </c>
      <c r="R75" s="654"/>
      <c r="S75" s="654" t="str">
        <f t="shared" si="4"/>
        <v xml:space="preserve"> </v>
      </c>
      <c r="T75" s="654"/>
      <c r="U75" s="655" t="str">
        <f>IF(ISBLANK(P75)," ",IF(P75=Calcs!$I$42,"Lose 1 point of Magic Might or 1 Magical Quality",IF(P75=Calcs!$I$46,IF(ISBLANK(R75)," ",IF(AND(R75=0,T75&gt;0),CONCATENATE("Gain ",T75," points of magical inferiorities. Discuss."),VLOOKUP(R75,Calcs!$O$57:$P$63,2,TRUE))),"No effect")))</f>
        <v xml:space="preserve"> </v>
      </c>
      <c r="V75" s="654"/>
    </row>
    <row r="76" spans="15:22" x14ac:dyDescent="0.2">
      <c r="O76" s="654">
        <f t="shared" si="5"/>
        <v>1288</v>
      </c>
      <c r="P76" s="673"/>
      <c r="Q76" s="654" t="str">
        <f>IF(ISBLANK(P76)," ",IF(P76=Calcs!$I$46,"Yes","No"))</f>
        <v xml:space="preserve"> </v>
      </c>
      <c r="R76" s="654"/>
      <c r="S76" s="654" t="str">
        <f t="shared" si="4"/>
        <v xml:space="preserve"> </v>
      </c>
      <c r="T76" s="654"/>
      <c r="U76" s="655" t="str">
        <f>IF(ISBLANK(P76)," ",IF(P76=Calcs!$I$42,"Lose 1 point of Magic Might or 1 Magical Quality",IF(P76=Calcs!$I$46,IF(ISBLANK(R76)," ",IF(AND(R76=0,T76&gt;0),CONCATENATE("Gain ",T76," points of magical inferiorities. Discuss."),VLOOKUP(R76,Calcs!$O$57:$P$63,2,TRUE))),"No effect")))</f>
        <v xml:space="preserve"> </v>
      </c>
      <c r="V76" s="654"/>
    </row>
    <row r="77" spans="15:22" x14ac:dyDescent="0.2">
      <c r="O77" s="654">
        <f t="shared" si="5"/>
        <v>1289</v>
      </c>
      <c r="P77" s="673"/>
      <c r="Q77" s="654" t="str">
        <f>IF(ISBLANK(P77)," ",IF(P77=Calcs!$I$46,"Yes","No"))</f>
        <v xml:space="preserve"> </v>
      </c>
      <c r="R77" s="654"/>
      <c r="S77" s="654" t="str">
        <f t="shared" si="4"/>
        <v xml:space="preserve"> </v>
      </c>
      <c r="T77" s="654"/>
      <c r="U77" s="655" t="str">
        <f>IF(ISBLANK(P77)," ",IF(P77=Calcs!$I$42,"Lose 1 point of Magic Might or 1 Magical Quality",IF(P77=Calcs!$I$46,IF(ISBLANK(R77)," ",IF(AND(R77=0,T77&gt;0),CONCATENATE("Gain ",T77," points of magical inferiorities. Discuss."),VLOOKUP(R77,Calcs!$O$57:$P$63,2,TRUE))),"No effect")))</f>
        <v xml:space="preserve"> </v>
      </c>
      <c r="V77" s="654"/>
    </row>
    <row r="78" spans="15:22" x14ac:dyDescent="0.2">
      <c r="O78" s="654">
        <f t="shared" si="5"/>
        <v>1290</v>
      </c>
      <c r="P78" s="673"/>
      <c r="Q78" s="654" t="str">
        <f>IF(ISBLANK(P78)," ",IF(P78=Calcs!$I$46,"Yes","No"))</f>
        <v xml:space="preserve"> </v>
      </c>
      <c r="R78" s="654"/>
      <c r="S78" s="654" t="str">
        <f t="shared" si="4"/>
        <v xml:space="preserve"> </v>
      </c>
      <c r="T78" s="654"/>
      <c r="U78" s="655" t="str">
        <f>IF(ISBLANK(P78)," ",IF(P78=Calcs!$I$42,"Lose 1 point of Magic Might or 1 Magical Quality",IF(P78=Calcs!$I$46,IF(ISBLANK(R78)," ",IF(AND(R78=0,T78&gt;0),CONCATENATE("Gain ",T78," points of magical inferiorities. Discuss."),VLOOKUP(R78,Calcs!$O$57:$P$63,2,TRUE))),"No effect")))</f>
        <v xml:space="preserve"> </v>
      </c>
      <c r="V78" s="654"/>
    </row>
    <row r="79" spans="15:22" x14ac:dyDescent="0.2">
      <c r="O79" s="654">
        <f t="shared" si="5"/>
        <v>1291</v>
      </c>
      <c r="P79" s="673"/>
      <c r="Q79" s="654" t="str">
        <f>IF(ISBLANK(P79)," ",IF(P79=Calcs!$I$46,"Yes","No"))</f>
        <v xml:space="preserve"> </v>
      </c>
      <c r="R79" s="654"/>
      <c r="S79" s="654" t="str">
        <f t="shared" si="4"/>
        <v xml:space="preserve"> </v>
      </c>
      <c r="T79" s="654"/>
      <c r="U79" s="655" t="str">
        <f>IF(ISBLANK(P79)," ",IF(P79=Calcs!$I$42,"Lose 1 point of Magic Might or 1 Magical Quality",IF(P79=Calcs!$I$46,IF(ISBLANK(R79)," ",IF(AND(R79=0,T79&gt;0),CONCATENATE("Gain ",T79," points of magical inferiorities. Discuss."),VLOOKUP(R79,Calcs!$O$57:$P$63,2,TRUE))),"No effect")))</f>
        <v xml:space="preserve"> </v>
      </c>
      <c r="V79" s="654"/>
    </row>
    <row r="80" spans="15:22" x14ac:dyDescent="0.2">
      <c r="O80" s="654">
        <f t="shared" si="5"/>
        <v>1292</v>
      </c>
      <c r="P80" s="673"/>
      <c r="Q80" s="654" t="str">
        <f>IF(ISBLANK(P80)," ",IF(P80=Calcs!$I$46,"Yes","No"))</f>
        <v xml:space="preserve"> </v>
      </c>
      <c r="R80" s="654"/>
      <c r="S80" s="654" t="str">
        <f t="shared" si="4"/>
        <v xml:space="preserve"> </v>
      </c>
      <c r="T80" s="654"/>
      <c r="U80" s="655" t="str">
        <f>IF(ISBLANK(P80)," ",IF(P80=Calcs!$I$42,"Lose 1 point of Magic Might or 1 Magical Quality",IF(P80=Calcs!$I$46,IF(ISBLANK(R80)," ",IF(AND(R80=0,T80&gt;0),CONCATENATE("Gain ",T80," points of magical inferiorities. Discuss."),VLOOKUP(R80,Calcs!$O$57:$P$63,2,TRUE))),"No effect")))</f>
        <v xml:space="preserve"> </v>
      </c>
      <c r="V80" s="654"/>
    </row>
    <row r="81" spans="15:22" x14ac:dyDescent="0.2">
      <c r="O81" s="654">
        <f t="shared" si="5"/>
        <v>1293</v>
      </c>
      <c r="P81" s="673"/>
      <c r="Q81" s="654" t="str">
        <f>IF(ISBLANK(P81)," ",IF(P81=Calcs!$I$46,"Yes","No"))</f>
        <v xml:space="preserve"> </v>
      </c>
      <c r="R81" s="654"/>
      <c r="S81" s="654" t="str">
        <f t="shared" si="4"/>
        <v xml:space="preserve"> </v>
      </c>
      <c r="T81" s="654"/>
      <c r="U81" s="655" t="str">
        <f>IF(ISBLANK(P81)," ",IF(P81=Calcs!$I$42,"Lose 1 point of Magic Might or 1 Magical Quality",IF(P81=Calcs!$I$46,IF(ISBLANK(R81)," ",IF(AND(R81=0,T81&gt;0),CONCATENATE("Gain ",T81," points of magical inferiorities. Discuss."),VLOOKUP(R81,Calcs!$O$57:$P$63,2,TRUE))),"No effect")))</f>
        <v xml:space="preserve"> </v>
      </c>
      <c r="V81" s="654"/>
    </row>
    <row r="82" spans="15:22" x14ac:dyDescent="0.2">
      <c r="O82" s="654">
        <f t="shared" si="5"/>
        <v>1294</v>
      </c>
      <c r="P82" s="673"/>
      <c r="Q82" s="654" t="str">
        <f>IF(ISBLANK(P82)," ",IF(P82=Calcs!$I$46,"Yes","No"))</f>
        <v xml:space="preserve"> </v>
      </c>
      <c r="R82" s="654"/>
      <c r="S82" s="654" t="str">
        <f t="shared" si="4"/>
        <v xml:space="preserve"> </v>
      </c>
      <c r="T82" s="654"/>
      <c r="U82" s="655" t="str">
        <f>IF(ISBLANK(P82)," ",IF(P82=Calcs!$I$42,"Lose 1 point of Magic Might or 1 Magical Quality",IF(P82=Calcs!$I$46,IF(ISBLANK(R82)," ",IF(AND(R82=0,T82&gt;0),CONCATENATE("Gain ",T82," points of magical inferiorities. Discuss."),VLOOKUP(R82,Calcs!$O$57:$P$63,2,TRUE))),"No effect")))</f>
        <v xml:space="preserve"> </v>
      </c>
      <c r="V82" s="654"/>
    </row>
    <row r="83" spans="15:22" x14ac:dyDescent="0.2">
      <c r="O83" s="654">
        <f t="shared" si="5"/>
        <v>1295</v>
      </c>
      <c r="P83" s="673"/>
      <c r="Q83" s="654" t="str">
        <f>IF(ISBLANK(P83)," ",IF(P83=Calcs!$I$46,"Yes","No"))</f>
        <v xml:space="preserve"> </v>
      </c>
      <c r="R83" s="654"/>
      <c r="S83" s="654" t="str">
        <f t="shared" si="4"/>
        <v xml:space="preserve"> </v>
      </c>
      <c r="T83" s="654"/>
      <c r="U83" s="655" t="str">
        <f>IF(ISBLANK(P83)," ",IF(P83=Calcs!$I$42,"Lose 1 point of Magic Might or 1 Magical Quality",IF(P83=Calcs!$I$46,IF(ISBLANK(R83)," ",IF(AND(R83=0,T83&gt;0),CONCATENATE("Gain ",T83," points of magical inferiorities. Discuss."),VLOOKUP(R83,Calcs!$O$57:$P$63,2,TRUE))),"No effect")))</f>
        <v xml:space="preserve"> </v>
      </c>
      <c r="V83" s="654"/>
    </row>
    <row r="84" spans="15:22" x14ac:dyDescent="0.2">
      <c r="O84" s="654">
        <f t="shared" si="5"/>
        <v>1296</v>
      </c>
      <c r="P84" s="673"/>
      <c r="Q84" s="654" t="str">
        <f>IF(ISBLANK(P84)," ",IF(P84=Calcs!$I$46,"Yes","No"))</f>
        <v xml:space="preserve"> </v>
      </c>
      <c r="R84" s="654"/>
      <c r="S84" s="654" t="str">
        <f t="shared" si="4"/>
        <v xml:space="preserve"> </v>
      </c>
      <c r="T84" s="654"/>
      <c r="U84" s="655" t="str">
        <f>IF(ISBLANK(P84)," ",IF(P84=Calcs!$I$42,"Lose 1 point of Magic Might or 1 Magical Quality",IF(P84=Calcs!$I$46,IF(ISBLANK(R84)," ",IF(AND(R84=0,T84&gt;0),CONCATENATE("Gain ",T84," points of magical inferiorities. Discuss."),VLOOKUP(R84,Calcs!$O$57:$P$63,2,TRUE))),"No effect")))</f>
        <v xml:space="preserve"> </v>
      </c>
      <c r="V84" s="654"/>
    </row>
    <row r="85" spans="15:22" x14ac:dyDescent="0.2">
      <c r="O85" s="654">
        <f t="shared" si="5"/>
        <v>1297</v>
      </c>
      <c r="P85" s="673"/>
      <c r="Q85" s="654" t="str">
        <f>IF(ISBLANK(P85)," ",IF(P85=Calcs!$I$46,"Yes","No"))</f>
        <v xml:space="preserve"> </v>
      </c>
      <c r="R85" s="654"/>
      <c r="S85" s="654" t="str">
        <f t="shared" si="4"/>
        <v xml:space="preserve"> </v>
      </c>
      <c r="T85" s="654"/>
      <c r="U85" s="655" t="str">
        <f>IF(ISBLANK(P85)," ",IF(P85=Calcs!$I$42,"Lose 1 point of Magic Might or 1 Magical Quality",IF(P85=Calcs!$I$46,IF(ISBLANK(R85)," ",IF(AND(R85=0,T85&gt;0),CONCATENATE("Gain ",T85," points of magical inferiorities. Discuss."),VLOOKUP(R85,Calcs!$O$57:$P$63,2,TRUE))),"No effect")))</f>
        <v xml:space="preserve"> </v>
      </c>
      <c r="V85" s="654"/>
    </row>
    <row r="86" spans="15:22" x14ac:dyDescent="0.2">
      <c r="O86" s="654">
        <f t="shared" si="5"/>
        <v>1298</v>
      </c>
      <c r="P86" s="673"/>
      <c r="Q86" s="654" t="str">
        <f>IF(ISBLANK(P86)," ",IF(P86=Calcs!$I$46,"Yes","No"))</f>
        <v xml:space="preserve"> </v>
      </c>
      <c r="R86" s="654"/>
      <c r="S86" s="654" t="str">
        <f t="shared" si="4"/>
        <v xml:space="preserve"> </v>
      </c>
      <c r="T86" s="654"/>
      <c r="U86" s="655" t="str">
        <f>IF(ISBLANK(P86)," ",IF(P86=Calcs!$I$42,"Lose 1 point of Magic Might or 1 Magical Quality",IF(P86=Calcs!$I$46,IF(ISBLANK(R86)," ",IF(AND(R86=0,T86&gt;0),CONCATENATE("Gain ",T86," points of magical inferiorities. Discuss."),VLOOKUP(R86,Calcs!$O$57:$P$63,2,TRUE))),"No effect")))</f>
        <v xml:space="preserve"> </v>
      </c>
      <c r="V86" s="654"/>
    </row>
    <row r="87" spans="15:22" x14ac:dyDescent="0.2">
      <c r="O87" s="654">
        <f t="shared" si="5"/>
        <v>1299</v>
      </c>
      <c r="P87" s="673"/>
      <c r="Q87" s="654" t="str">
        <f>IF(ISBLANK(P87)," ",IF(P87=Calcs!$I$46,"Yes","No"))</f>
        <v xml:space="preserve"> </v>
      </c>
      <c r="R87" s="654"/>
      <c r="S87" s="654" t="str">
        <f t="shared" si="4"/>
        <v xml:space="preserve"> </v>
      </c>
      <c r="T87" s="654"/>
      <c r="U87" s="655" t="str">
        <f>IF(ISBLANK(P87)," ",IF(P87=Calcs!$I$42,"Lose 1 point of Magic Might or 1 Magical Quality",IF(P87=Calcs!$I$46,IF(ISBLANK(R87)," ",IF(AND(R87=0,T87&gt;0),CONCATENATE("Gain ",T87," points of magical inferiorities. Discuss."),VLOOKUP(R87,Calcs!$O$57:$P$63,2,TRUE))),"No effect")))</f>
        <v xml:space="preserve"> </v>
      </c>
      <c r="V87" s="654"/>
    </row>
    <row r="88" spans="15:22" x14ac:dyDescent="0.2">
      <c r="O88" s="654">
        <f t="shared" si="5"/>
        <v>1300</v>
      </c>
      <c r="P88" s="673"/>
      <c r="Q88" s="654" t="str">
        <f>IF(ISBLANK(P88)," ",IF(P88=Calcs!$I$46,"Yes","No"))</f>
        <v xml:space="preserve"> </v>
      </c>
      <c r="R88" s="654"/>
      <c r="S88" s="654" t="str">
        <f t="shared" si="4"/>
        <v xml:space="preserve"> </v>
      </c>
      <c r="T88" s="654"/>
      <c r="U88" s="655" t="str">
        <f>IF(ISBLANK(P88)," ",IF(P88=Calcs!$I$42,"Lose 1 point of Magic Might or 1 Magical Quality",IF(P88=Calcs!$I$46,IF(ISBLANK(R88)," ",IF(AND(R88=0,T88&gt;0),CONCATENATE("Gain ",T88," points of magical inferiorities. Discuss."),VLOOKUP(R88,Calcs!$O$57:$P$63,2,TRUE))),"No effect")))</f>
        <v xml:space="preserve"> </v>
      </c>
      <c r="V88" s="654"/>
    </row>
    <row r="89" spans="15:22" x14ac:dyDescent="0.2">
      <c r="O89" s="654">
        <f t="shared" si="5"/>
        <v>1301</v>
      </c>
      <c r="P89" s="673"/>
      <c r="Q89" s="654" t="str">
        <f>IF(ISBLANK(P89)," ",IF(P89=Calcs!$I$46,"Yes","No"))</f>
        <v xml:space="preserve"> </v>
      </c>
      <c r="R89" s="654"/>
      <c r="S89" s="654" t="str">
        <f t="shared" si="4"/>
        <v xml:space="preserve"> </v>
      </c>
      <c r="T89" s="654"/>
      <c r="U89" s="655" t="str">
        <f>IF(ISBLANK(P89)," ",IF(P89=Calcs!$I$42,"Lose 1 point of Magic Might or 1 Magical Quality",IF(P89=Calcs!$I$46,IF(ISBLANK(R89)," ",IF(AND(R89=0,T89&gt;0),CONCATENATE("Gain ",T89," points of magical inferiorities. Discuss."),VLOOKUP(R89,Calcs!$O$57:$P$63,2,TRUE))),"No effect")))</f>
        <v xml:space="preserve"> </v>
      </c>
      <c r="V89" s="654"/>
    </row>
    <row r="90" spans="15:22" x14ac:dyDescent="0.2">
      <c r="O90" s="654">
        <f t="shared" si="5"/>
        <v>1302</v>
      </c>
      <c r="P90" s="673"/>
      <c r="Q90" s="654" t="str">
        <f>IF(ISBLANK(P90)," ",IF(P90=Calcs!$I$46,"Yes","No"))</f>
        <v xml:space="preserve"> </v>
      </c>
      <c r="R90" s="654"/>
      <c r="S90" s="654" t="str">
        <f t="shared" si="4"/>
        <v xml:space="preserve"> </v>
      </c>
      <c r="T90" s="654"/>
      <c r="U90" s="655" t="str">
        <f>IF(ISBLANK(P90)," ",IF(P90=Calcs!$I$42,"Lose 1 point of Magic Might or 1 Magical Quality",IF(P90=Calcs!$I$46,IF(ISBLANK(R90)," ",IF(AND(R90=0,T90&gt;0),CONCATENATE("Gain ",T90," points of magical inferiorities. Discuss."),VLOOKUP(R90,Calcs!$O$57:$P$63,2,TRUE))),"No effect")))</f>
        <v xml:space="preserve"> </v>
      </c>
      <c r="V90" s="654"/>
    </row>
    <row r="91" spans="15:22" x14ac:dyDescent="0.2">
      <c r="O91" s="654">
        <f t="shared" si="5"/>
        <v>1303</v>
      </c>
      <c r="P91" s="673"/>
      <c r="Q91" s="654" t="str">
        <f>IF(ISBLANK(P91)," ",IF(P91=Calcs!$I$46,"Yes","No"))</f>
        <v xml:space="preserve"> </v>
      </c>
      <c r="R91" s="654"/>
      <c r="S91" s="654" t="str">
        <f t="shared" si="4"/>
        <v xml:space="preserve"> </v>
      </c>
      <c r="T91" s="654"/>
      <c r="U91" s="655" t="str">
        <f>IF(ISBLANK(P91)," ",IF(P91=Calcs!$I$42,"Lose 1 point of Magic Might or 1 Magical Quality",IF(P91=Calcs!$I$46,IF(ISBLANK(R91)," ",IF(AND(R91=0,T91&gt;0),CONCATENATE("Gain ",T91," points of magical inferiorities. Discuss."),VLOOKUP(R91,Calcs!$O$57:$P$63,2,TRUE))),"No effect")))</f>
        <v xml:space="preserve"> </v>
      </c>
      <c r="V91" s="654"/>
    </row>
    <row r="92" spans="15:22" x14ac:dyDescent="0.2">
      <c r="O92" s="654">
        <f t="shared" si="5"/>
        <v>1304</v>
      </c>
      <c r="P92" s="673"/>
      <c r="Q92" s="654" t="str">
        <f>IF(ISBLANK(P92)," ",IF(P92=Calcs!$I$46,"Yes","No"))</f>
        <v xml:space="preserve"> </v>
      </c>
      <c r="R92" s="654"/>
      <c r="S92" s="654" t="str">
        <f t="shared" si="4"/>
        <v xml:space="preserve"> </v>
      </c>
      <c r="T92" s="654"/>
      <c r="U92" s="655" t="str">
        <f>IF(ISBLANK(P92)," ",IF(P92=Calcs!$I$42,"Lose 1 point of Magic Might or 1 Magical Quality",IF(P92=Calcs!$I$46,IF(ISBLANK(R92)," ",IF(AND(R92=0,T92&gt;0),CONCATENATE("Gain ",T92," points of magical inferiorities. Discuss."),VLOOKUP(R92,Calcs!$O$57:$P$63,2,TRUE))),"No effect")))</f>
        <v xml:space="preserve"> </v>
      </c>
      <c r="V92" s="654"/>
    </row>
    <row r="93" spans="15:22" x14ac:dyDescent="0.2">
      <c r="O93" s="654">
        <f t="shared" si="5"/>
        <v>1305</v>
      </c>
      <c r="P93" s="673"/>
      <c r="Q93" s="654" t="str">
        <f>IF(ISBLANK(P93)," ",IF(P93=Calcs!$I$46,"Yes","No"))</f>
        <v xml:space="preserve"> </v>
      </c>
      <c r="R93" s="654"/>
      <c r="S93" s="654" t="str">
        <f t="shared" si="4"/>
        <v xml:space="preserve"> </v>
      </c>
      <c r="T93" s="654"/>
      <c r="U93" s="655" t="str">
        <f>IF(ISBLANK(P93)," ",IF(P93=Calcs!$I$42,"Lose 1 point of Magic Might or 1 Magical Quality",IF(P93=Calcs!$I$46,IF(ISBLANK(R93)," ",IF(AND(R93=0,T93&gt;0),CONCATENATE("Gain ",T93," points of magical inferiorities. Discuss."),VLOOKUP(R93,Calcs!$O$57:$P$63,2,TRUE))),"No effect")))</f>
        <v xml:space="preserve"> </v>
      </c>
      <c r="V93" s="654"/>
    </row>
    <row r="94" spans="15:22" x14ac:dyDescent="0.2">
      <c r="O94" s="654">
        <f t="shared" si="5"/>
        <v>1306</v>
      </c>
      <c r="P94" s="673"/>
      <c r="Q94" s="654" t="str">
        <f>IF(ISBLANK(P94)," ",IF(P94=Calcs!$I$46,"Yes","No"))</f>
        <v xml:space="preserve"> </v>
      </c>
      <c r="R94" s="654"/>
      <c r="S94" s="654" t="str">
        <f t="shared" si="4"/>
        <v xml:space="preserve"> </v>
      </c>
      <c r="T94" s="654"/>
      <c r="U94" s="655" t="str">
        <f>IF(ISBLANK(P94)," ",IF(P94=Calcs!$I$42,"Lose 1 point of Magic Might or 1 Magical Quality",IF(P94=Calcs!$I$46,IF(ISBLANK(R94)," ",IF(AND(R94=0,T94&gt;0),CONCATENATE("Gain ",T94," points of magical inferiorities. Discuss."),VLOOKUP(R94,Calcs!$O$57:$P$63,2,TRUE))),"No effect")))</f>
        <v xml:space="preserve"> </v>
      </c>
      <c r="V94" s="654"/>
    </row>
    <row r="95" spans="15:22" x14ac:dyDescent="0.2">
      <c r="O95" s="654">
        <f t="shared" si="5"/>
        <v>1307</v>
      </c>
      <c r="P95" s="673"/>
      <c r="Q95" s="654" t="str">
        <f>IF(ISBLANK(P95)," ",IF(P95=Calcs!$I$46,"Yes","No"))</f>
        <v xml:space="preserve"> </v>
      </c>
      <c r="R95" s="654"/>
      <c r="S95" s="654" t="str">
        <f t="shared" si="4"/>
        <v xml:space="preserve"> </v>
      </c>
      <c r="T95" s="654"/>
      <c r="U95" s="655" t="str">
        <f>IF(ISBLANK(P95)," ",IF(P95=Calcs!$I$42,"Lose 1 point of Magic Might or 1 Magical Quality",IF(P95=Calcs!$I$46,IF(ISBLANK(R95)," ",IF(AND(R95=0,T95&gt;0),CONCATENATE("Gain ",T95," points of magical inferiorities. Discuss."),VLOOKUP(R95,Calcs!$O$57:$P$63,2,TRUE))),"No effect")))</f>
        <v xml:space="preserve"> </v>
      </c>
      <c r="V95" s="654"/>
    </row>
    <row r="96" spans="15:22" x14ac:dyDescent="0.2">
      <c r="O96" s="654">
        <f t="shared" si="5"/>
        <v>1308</v>
      </c>
      <c r="P96" s="673"/>
      <c r="Q96" s="654" t="str">
        <f>IF(ISBLANK(P96)," ",IF(P96=Calcs!$I$46,"Yes","No"))</f>
        <v xml:space="preserve"> </v>
      </c>
      <c r="R96" s="654"/>
      <c r="S96" s="654" t="str">
        <f t="shared" si="4"/>
        <v xml:space="preserve"> </v>
      </c>
      <c r="T96" s="654"/>
      <c r="U96" s="655" t="str">
        <f>IF(ISBLANK(P96)," ",IF(P96=Calcs!$I$42,"Lose 1 point of Magic Might or 1 Magical Quality",IF(P96=Calcs!$I$46,IF(ISBLANK(R96)," ",IF(AND(R96=0,T96&gt;0),CONCATENATE("Gain ",T96," points of magical inferiorities. Discuss."),VLOOKUP(R96,Calcs!$O$57:$P$63,2,TRUE))),"No effect")))</f>
        <v xml:space="preserve"> </v>
      </c>
      <c r="V96" s="654"/>
    </row>
    <row r="97" spans="15:22" x14ac:dyDescent="0.2">
      <c r="O97" s="654">
        <f t="shared" si="5"/>
        <v>1309</v>
      </c>
      <c r="P97" s="673"/>
      <c r="Q97" s="654" t="str">
        <f>IF(ISBLANK(P97)," ",IF(P97=Calcs!$I$46,"Yes","No"))</f>
        <v xml:space="preserve"> </v>
      </c>
      <c r="R97" s="654"/>
      <c r="S97" s="654" t="str">
        <f t="shared" si="4"/>
        <v xml:space="preserve"> </v>
      </c>
      <c r="T97" s="654"/>
      <c r="U97" s="655" t="str">
        <f>IF(ISBLANK(P97)," ",IF(P97=Calcs!$I$42,"Lose 1 point of Magic Might or 1 Magical Quality",IF(P97=Calcs!$I$46,IF(ISBLANK(R97)," ",IF(AND(R97=0,T97&gt;0),CONCATENATE("Gain ",T97," points of magical inferiorities. Discuss."),VLOOKUP(R97,Calcs!$O$57:$P$63,2,TRUE))),"No effect")))</f>
        <v xml:space="preserve"> </v>
      </c>
      <c r="V97" s="654"/>
    </row>
    <row r="98" spans="15:22" x14ac:dyDescent="0.2">
      <c r="O98" s="654">
        <f t="shared" si="5"/>
        <v>1310</v>
      </c>
      <c r="P98" s="673"/>
      <c r="Q98" s="654" t="str">
        <f>IF(ISBLANK(P98)," ",IF(P98=Calcs!$I$46,"Yes","No"))</f>
        <v xml:space="preserve"> </v>
      </c>
      <c r="R98" s="654"/>
      <c r="S98" s="654" t="str">
        <f t="shared" si="4"/>
        <v xml:space="preserve"> </v>
      </c>
      <c r="T98" s="654"/>
      <c r="U98" s="655" t="str">
        <f>IF(ISBLANK(P98)," ",IF(P98=Calcs!$I$42,"Lose 1 point of Magic Might or 1 Magical Quality",IF(P98=Calcs!$I$46,IF(ISBLANK(R98)," ",IF(AND(R98=0,T98&gt;0),CONCATENATE("Gain ",T98," points of magical inferiorities. Discuss."),VLOOKUP(R98,Calcs!$O$57:$P$63,2,TRUE))),"No effect")))</f>
        <v xml:space="preserve"> </v>
      </c>
      <c r="V98" s="654"/>
    </row>
    <row r="99" spans="15:22" x14ac:dyDescent="0.2">
      <c r="O99" s="654">
        <f t="shared" si="5"/>
        <v>1311</v>
      </c>
      <c r="P99" s="673"/>
      <c r="Q99" s="654" t="str">
        <f>IF(ISBLANK(P99)," ",IF(P99=Calcs!$I$46,"Yes","No"))</f>
        <v xml:space="preserve"> </v>
      </c>
      <c r="R99" s="654"/>
      <c r="S99" s="654" t="str">
        <f t="shared" si="4"/>
        <v xml:space="preserve"> </v>
      </c>
      <c r="T99" s="654"/>
      <c r="U99" s="655" t="str">
        <f>IF(ISBLANK(P99)," ",IF(P99=Calcs!$I$42,"Lose 1 point of Magic Might or 1 Magical Quality",IF(P99=Calcs!$I$46,IF(ISBLANK(R99)," ",IF(AND(R99=0,T99&gt;0),CONCATENATE("Gain ",T99," points of magical inferiorities. Discuss."),VLOOKUP(R99,Calcs!$O$57:$P$63,2,TRUE))),"No effect")))</f>
        <v xml:space="preserve"> </v>
      </c>
      <c r="V99" s="654"/>
    </row>
    <row r="100" spans="15:22" x14ac:dyDescent="0.2">
      <c r="O100" s="654">
        <f t="shared" si="5"/>
        <v>1312</v>
      </c>
      <c r="P100" s="673"/>
      <c r="Q100" s="654" t="str">
        <f>IF(ISBLANK(P100)," ",IF(P100=Calcs!$I$46,"Yes","No"))</f>
        <v xml:space="preserve"> </v>
      </c>
      <c r="R100" s="654"/>
      <c r="S100" s="654" t="str">
        <f t="shared" si="4"/>
        <v xml:space="preserve"> </v>
      </c>
      <c r="T100" s="654"/>
      <c r="U100" s="655" t="str">
        <f>IF(ISBLANK(P100)," ",IF(P100=Calcs!$I$42,"Lose 1 point of Magic Might or 1 Magical Quality",IF(P100=Calcs!$I$46,IF(ISBLANK(R100)," ",IF(AND(R100=0,T100&gt;0),CONCATENATE("Gain ",T100," points of magical inferiorities. Discuss."),VLOOKUP(R100,Calcs!$O$57:$P$63,2,TRUE))),"No effect")))</f>
        <v xml:space="preserve"> </v>
      </c>
      <c r="V100" s="654"/>
    </row>
    <row r="101" spans="15:22" x14ac:dyDescent="0.2">
      <c r="O101" s="654">
        <f t="shared" si="5"/>
        <v>1313</v>
      </c>
      <c r="P101" s="673"/>
      <c r="Q101" s="654" t="str">
        <f>IF(ISBLANK(P101)," ",IF(P101=Calcs!$I$46,"Yes","No"))</f>
        <v xml:space="preserve"> </v>
      </c>
      <c r="R101" s="654"/>
      <c r="S101" s="654" t="str">
        <f t="shared" si="4"/>
        <v xml:space="preserve"> </v>
      </c>
      <c r="T101" s="654"/>
      <c r="U101" s="655" t="str">
        <f>IF(ISBLANK(P101)," ",IF(P101=Calcs!$I$42,"Lose 1 point of Magic Might or 1 Magical Quality",IF(P101=Calcs!$I$46,IF(ISBLANK(R101)," ",IF(AND(R101=0,T101&gt;0),CONCATENATE("Gain ",T101," points of magical inferiorities. Discuss."),VLOOKUP(R101,Calcs!$O$57:$P$63,2,TRUE))),"No effect")))</f>
        <v xml:space="preserve"> </v>
      </c>
      <c r="V101" s="654"/>
    </row>
    <row r="102" spans="15:22" x14ac:dyDescent="0.2">
      <c r="O102" s="654">
        <f t="shared" si="5"/>
        <v>1314</v>
      </c>
      <c r="P102" s="673"/>
      <c r="Q102" s="654" t="str">
        <f>IF(ISBLANK(P102)," ",IF(P102=Calcs!$I$46,"Yes","No"))</f>
        <v xml:space="preserve"> </v>
      </c>
      <c r="R102" s="654"/>
      <c r="S102" s="654" t="str">
        <f t="shared" si="4"/>
        <v xml:space="preserve"> </v>
      </c>
      <c r="T102" s="654"/>
      <c r="U102" s="655" t="str">
        <f>IF(ISBLANK(P102)," ",IF(P102=Calcs!$I$42,"Lose 1 point of Magic Might or 1 Magical Quality",IF(P102=Calcs!$I$46,IF(ISBLANK(R102)," ",IF(AND(R102=0,T102&gt;0),CONCATENATE("Gain ",T102," points of magical inferiorities. Discuss."),VLOOKUP(R102,Calcs!$O$57:$P$63,2,TRUE))),"No effect")))</f>
        <v xml:space="preserve"> </v>
      </c>
      <c r="V102" s="654"/>
    </row>
    <row r="103" spans="15:22" x14ac:dyDescent="0.2">
      <c r="O103" s="654">
        <f t="shared" si="5"/>
        <v>1315</v>
      </c>
      <c r="P103" s="673"/>
      <c r="Q103" s="654" t="str">
        <f>IF(ISBLANK(P103)," ",IF(P103=Calcs!$I$46,"Yes","No"))</f>
        <v xml:space="preserve"> </v>
      </c>
      <c r="R103" s="654"/>
      <c r="S103" s="654" t="str">
        <f t="shared" si="4"/>
        <v xml:space="preserve"> </v>
      </c>
      <c r="T103" s="654"/>
      <c r="U103" s="655" t="str">
        <f>IF(ISBLANK(P103)," ",IF(P103=Calcs!$I$42,"Lose 1 point of Magic Might or 1 Magical Quality",IF(P103=Calcs!$I$46,IF(ISBLANK(R103)," ",IF(AND(R103=0,T103&gt;0),CONCATENATE("Gain ",T103," points of magical inferiorities. Discuss."),VLOOKUP(R103,Calcs!$O$57:$P$63,2,TRUE))),"No effect")))</f>
        <v xml:space="preserve"> </v>
      </c>
      <c r="V103" s="654"/>
    </row>
    <row r="104" spans="15:22" x14ac:dyDescent="0.2">
      <c r="O104" s="654">
        <f t="shared" si="5"/>
        <v>1316</v>
      </c>
      <c r="P104" s="673"/>
      <c r="Q104" s="654" t="str">
        <f>IF(ISBLANK(P104)," ",IF(P104=Calcs!$I$46,"Yes","No"))</f>
        <v xml:space="preserve"> </v>
      </c>
      <c r="R104" s="654"/>
      <c r="S104" s="654" t="str">
        <f t="shared" si="4"/>
        <v xml:space="preserve"> </v>
      </c>
      <c r="T104" s="654"/>
      <c r="U104" s="655" t="str">
        <f>IF(ISBLANK(P104)," ",IF(P104=Calcs!$I$42,"Lose 1 point of Magic Might or 1 Magical Quality",IF(P104=Calcs!$I$46,IF(ISBLANK(R104)," ",IF(AND(R104=0,T104&gt;0),CONCATENATE("Gain ",T104," points of magical inferiorities. Discuss."),VLOOKUP(R104,Calcs!$O$57:$P$63,2,TRUE))),"No effect")))</f>
        <v xml:space="preserve"> </v>
      </c>
      <c r="V104" s="654"/>
    </row>
    <row r="105" spans="15:22" x14ac:dyDescent="0.2">
      <c r="O105" s="654">
        <f t="shared" si="5"/>
        <v>1317</v>
      </c>
      <c r="P105" s="673"/>
      <c r="Q105" s="654" t="str">
        <f>IF(ISBLANK(P105)," ",IF(P105=Calcs!$I$46,"Yes","No"))</f>
        <v xml:space="preserve"> </v>
      </c>
      <c r="R105" s="654"/>
      <c r="S105" s="654" t="str">
        <f t="shared" si="4"/>
        <v xml:space="preserve"> </v>
      </c>
      <c r="T105" s="654"/>
      <c r="U105" s="655" t="str">
        <f>IF(ISBLANK(P105)," ",IF(P105=Calcs!$I$42,"Lose 1 point of Magic Might or 1 Magical Quality",IF(P105=Calcs!$I$46,IF(ISBLANK(R105)," ",IF(AND(R105=0,T105&gt;0),CONCATENATE("Gain ",T105," points of magical inferiorities. Discuss."),VLOOKUP(R105,Calcs!$O$57:$P$63,2,TRUE))),"No effect")))</f>
        <v xml:space="preserve"> </v>
      </c>
      <c r="V105" s="654"/>
    </row>
    <row r="106" spans="15:22" x14ac:dyDescent="0.2">
      <c r="O106" s="654">
        <f t="shared" si="5"/>
        <v>1318</v>
      </c>
      <c r="P106" s="673"/>
      <c r="Q106" s="654" t="str">
        <f>IF(ISBLANK(P106)," ",IF(P106=Calcs!$I$46,"Yes","No"))</f>
        <v xml:space="preserve"> </v>
      </c>
      <c r="R106" s="654"/>
      <c r="S106" s="654" t="str">
        <f t="shared" si="4"/>
        <v xml:space="preserve"> </v>
      </c>
      <c r="T106" s="654"/>
      <c r="U106" s="655" t="str">
        <f>IF(ISBLANK(P106)," ",IF(P106=Calcs!$I$42,"Lose 1 point of Magic Might or 1 Magical Quality",IF(P106=Calcs!$I$46,IF(ISBLANK(R106)," ",IF(AND(R106=0,T106&gt;0),CONCATENATE("Gain ",T106," points of magical inferiorities. Discuss."),VLOOKUP(R106,Calcs!$O$57:$P$63,2,TRUE))),"No effect")))</f>
        <v xml:space="preserve"> </v>
      </c>
      <c r="V106" s="654"/>
    </row>
    <row r="107" spans="15:22" x14ac:dyDescent="0.2">
      <c r="O107" s="654">
        <f t="shared" si="5"/>
        <v>1319</v>
      </c>
      <c r="P107" s="673"/>
      <c r="Q107" s="654" t="str">
        <f>IF(ISBLANK(P107)," ",IF(P107=Calcs!$I$46,"Yes","No"))</f>
        <v xml:space="preserve"> </v>
      </c>
      <c r="R107" s="654"/>
      <c r="S107" s="654" t="str">
        <f t="shared" si="4"/>
        <v xml:space="preserve"> </v>
      </c>
      <c r="T107" s="654"/>
      <c r="U107" s="655" t="str">
        <f>IF(ISBLANK(P107)," ",IF(P107=Calcs!$I$42,"Lose 1 point of Magic Might or 1 Magical Quality",IF(P107=Calcs!$I$46,IF(ISBLANK(R107)," ",IF(AND(R107=0,T107&gt;0),CONCATENATE("Gain ",T107," points of magical inferiorities. Discuss."),VLOOKUP(R107,Calcs!$O$57:$P$63,2,TRUE))),"No effect")))</f>
        <v xml:space="preserve"> </v>
      </c>
      <c r="V107" s="654"/>
    </row>
    <row r="108" spans="15:22" x14ac:dyDescent="0.2">
      <c r="O108" s="654">
        <f t="shared" si="5"/>
        <v>1320</v>
      </c>
      <c r="P108" s="673"/>
      <c r="Q108" s="654" t="str">
        <f>IF(ISBLANK(P108)," ",IF(P108=Calcs!$I$46,"Yes","No"))</f>
        <v xml:space="preserve"> </v>
      </c>
      <c r="R108" s="654"/>
      <c r="S108" s="654" t="str">
        <f t="shared" si="4"/>
        <v xml:space="preserve"> </v>
      </c>
      <c r="T108" s="654"/>
      <c r="U108" s="655" t="str">
        <f>IF(ISBLANK(P108)," ",IF(P108=Calcs!$I$42,"Lose 1 point of Magic Might or 1 Magical Quality",IF(P108=Calcs!$I$46,IF(ISBLANK(R108)," ",IF(AND(R108=0,T108&gt;0),CONCATENATE("Gain ",T108," points of magical inferiorities. Discuss."),VLOOKUP(R108,Calcs!$O$57:$P$63,2,TRUE))),"No effect")))</f>
        <v xml:space="preserve"> </v>
      </c>
      <c r="V108" s="654"/>
    </row>
    <row r="109" spans="15:22" x14ac:dyDescent="0.2">
      <c r="O109" s="654">
        <f t="shared" si="5"/>
        <v>1321</v>
      </c>
      <c r="P109" s="673"/>
      <c r="Q109" s="654" t="str">
        <f>IF(ISBLANK(P109)," ",IF(P109=Calcs!$I$46,"Yes","No"))</f>
        <v xml:space="preserve"> </v>
      </c>
      <c r="R109" s="654"/>
      <c r="S109" s="654" t="str">
        <f t="shared" si="4"/>
        <v xml:space="preserve"> </v>
      </c>
      <c r="T109" s="654"/>
      <c r="U109" s="655" t="str">
        <f>IF(ISBLANK(P109)," ",IF(P109=Calcs!$I$42,"Lose 1 point of Magic Might or 1 Magical Quality",IF(P109=Calcs!$I$46,IF(ISBLANK(R109)," ",IF(AND(R109=0,T109&gt;0),CONCATENATE("Gain ",T109," points of magical inferiorities. Discuss."),VLOOKUP(R109,Calcs!$O$57:$P$63,2,TRUE))),"No effect")))</f>
        <v xml:space="preserve"> </v>
      </c>
      <c r="V109" s="654"/>
    </row>
    <row r="110" spans="15:22" x14ac:dyDescent="0.2">
      <c r="O110" s="654">
        <f t="shared" si="5"/>
        <v>1322</v>
      </c>
      <c r="P110" s="673"/>
      <c r="Q110" s="654" t="str">
        <f>IF(ISBLANK(P110)," ",IF(P110=Calcs!$I$46,"Yes","No"))</f>
        <v xml:space="preserve"> </v>
      </c>
      <c r="R110" s="654"/>
      <c r="S110" s="654" t="str">
        <f t="shared" si="4"/>
        <v xml:space="preserve"> </v>
      </c>
      <c r="T110" s="654"/>
      <c r="U110" s="655" t="str">
        <f>IF(ISBLANK(P110)," ",IF(P110=Calcs!$I$42,"Lose 1 point of Magic Might or 1 Magical Quality",IF(P110=Calcs!$I$46,IF(ISBLANK(R110)," ",IF(AND(R110=0,T110&gt;0),CONCATENATE("Gain ",T110," points of magical inferiorities. Discuss."),VLOOKUP(R110,Calcs!$O$57:$P$63,2,TRUE))),"No effect")))</f>
        <v xml:space="preserve"> </v>
      </c>
      <c r="V110" s="654"/>
    </row>
    <row r="111" spans="15:22" x14ac:dyDescent="0.2">
      <c r="O111" s="654">
        <f t="shared" si="5"/>
        <v>1323</v>
      </c>
      <c r="P111" s="673"/>
      <c r="Q111" s="654" t="str">
        <f>IF(ISBLANK(P111)," ",IF(P111=Calcs!$I$46,"Yes","No"))</f>
        <v xml:space="preserve"> </v>
      </c>
      <c r="R111" s="654"/>
      <c r="S111" s="654" t="str">
        <f t="shared" si="4"/>
        <v xml:space="preserve"> </v>
      </c>
      <c r="T111" s="654"/>
      <c r="U111" s="655" t="str">
        <f>IF(ISBLANK(P111)," ",IF(P111=Calcs!$I$42,"Lose 1 point of Magic Might or 1 Magical Quality",IF(P111=Calcs!$I$46,IF(ISBLANK(R111)," ",IF(AND(R111=0,T111&gt;0),CONCATENATE("Gain ",T111," points of magical inferiorities. Discuss."),VLOOKUP(R111,Calcs!$O$57:$P$63,2,TRUE))),"No effect")))</f>
        <v xml:space="preserve"> </v>
      </c>
      <c r="V111" s="654"/>
    </row>
    <row r="112" spans="15:22" x14ac:dyDescent="0.2">
      <c r="O112" s="654">
        <f t="shared" si="5"/>
        <v>1324</v>
      </c>
      <c r="P112" s="673"/>
      <c r="Q112" s="654" t="str">
        <f>IF(ISBLANK(P112)," ",IF(P112=Calcs!$I$46,"Yes","No"))</f>
        <v xml:space="preserve"> </v>
      </c>
      <c r="R112" s="654"/>
      <c r="S112" s="654" t="str">
        <f t="shared" si="4"/>
        <v xml:space="preserve"> </v>
      </c>
      <c r="T112" s="654"/>
      <c r="U112" s="655" t="str">
        <f>IF(ISBLANK(P112)," ",IF(P112=Calcs!$I$42,"Lose 1 point of Magic Might or 1 Magical Quality",IF(P112=Calcs!$I$46,IF(ISBLANK(R112)," ",IF(AND(R112=0,T112&gt;0),CONCATENATE("Gain ",T112," points of magical inferiorities. Discuss."),VLOOKUP(R112,Calcs!$O$57:$P$63,2,TRUE))),"No effect")))</f>
        <v xml:space="preserve"> </v>
      </c>
      <c r="V112" s="654"/>
    </row>
    <row r="113" spans="15:22" x14ac:dyDescent="0.2">
      <c r="O113" s="654">
        <f t="shared" si="5"/>
        <v>1325</v>
      </c>
      <c r="P113" s="673"/>
      <c r="Q113" s="654" t="str">
        <f>IF(ISBLANK(P113)," ",IF(P113=Calcs!$I$46,"Yes","No"))</f>
        <v xml:space="preserve"> </v>
      </c>
      <c r="R113" s="654"/>
      <c r="S113" s="654" t="str">
        <f t="shared" si="4"/>
        <v xml:space="preserve"> </v>
      </c>
      <c r="T113" s="654"/>
      <c r="U113" s="655" t="str">
        <f>IF(ISBLANK(P113)," ",IF(P113=Calcs!$I$42,"Lose 1 point of Magic Might or 1 Magical Quality",IF(P113=Calcs!$I$46,IF(ISBLANK(R113)," ",IF(AND(R113=0,T113&gt;0),CONCATENATE("Gain ",T113," points of magical inferiorities. Discuss."),VLOOKUP(R113,Calcs!$O$57:$P$63,2,TRUE))),"No effect")))</f>
        <v xml:space="preserve"> </v>
      </c>
      <c r="V113" s="654"/>
    </row>
    <row r="114" spans="15:22" x14ac:dyDescent="0.2">
      <c r="O114" s="654">
        <f t="shared" si="5"/>
        <v>1326</v>
      </c>
      <c r="P114" s="673"/>
      <c r="Q114" s="654" t="str">
        <f>IF(ISBLANK(P114)," ",IF(P114=Calcs!$I$46,"Yes","No"))</f>
        <v xml:space="preserve"> </v>
      </c>
      <c r="R114" s="654"/>
      <c r="S114" s="654" t="str">
        <f t="shared" si="4"/>
        <v xml:space="preserve"> </v>
      </c>
      <c r="T114" s="654"/>
      <c r="U114" s="655" t="str">
        <f>IF(ISBLANK(P114)," ",IF(P114=Calcs!$I$42,"Lose 1 point of Magic Might or 1 Magical Quality",IF(P114=Calcs!$I$46,IF(ISBLANK(R114)," ",IF(AND(R114=0,T114&gt;0),CONCATENATE("Gain ",T114," points of magical inferiorities. Discuss."),VLOOKUP(R114,Calcs!$O$57:$P$63,2,TRUE))),"No effect")))</f>
        <v xml:space="preserve"> </v>
      </c>
      <c r="V114" s="654"/>
    </row>
    <row r="115" spans="15:22" x14ac:dyDescent="0.2">
      <c r="O115" s="654">
        <f t="shared" si="5"/>
        <v>1327</v>
      </c>
      <c r="P115" s="673"/>
      <c r="Q115" s="654" t="str">
        <f>IF(ISBLANK(P115)," ",IF(P115=Calcs!$I$46,"Yes","No"))</f>
        <v xml:space="preserve"> </v>
      </c>
      <c r="R115" s="654"/>
      <c r="S115" s="654" t="str">
        <f t="shared" si="4"/>
        <v xml:space="preserve"> </v>
      </c>
      <c r="T115" s="654"/>
      <c r="U115" s="655" t="str">
        <f>IF(ISBLANK(P115)," ",IF(P115=Calcs!$I$42,"Lose 1 point of Magic Might or 1 Magical Quality",IF(P115=Calcs!$I$46,IF(ISBLANK(R115)," ",IF(AND(R115=0,T115&gt;0),CONCATENATE("Gain ",T115," points of magical inferiorities. Discuss."),VLOOKUP(R115,Calcs!$O$57:$P$63,2,TRUE))),"No effect")))</f>
        <v xml:space="preserve"> </v>
      </c>
      <c r="V115" s="654"/>
    </row>
    <row r="116" spans="15:22" x14ac:dyDescent="0.2">
      <c r="O116" s="654">
        <f t="shared" si="5"/>
        <v>1328</v>
      </c>
      <c r="P116" s="673"/>
      <c r="Q116" s="654" t="str">
        <f>IF(ISBLANK(P116)," ",IF(P116=Calcs!$I$46,"Yes","No"))</f>
        <v xml:space="preserve"> </v>
      </c>
      <c r="R116" s="654"/>
      <c r="S116" s="654" t="str">
        <f t="shared" si="4"/>
        <v xml:space="preserve"> </v>
      </c>
      <c r="T116" s="654"/>
      <c r="U116" s="655" t="str">
        <f>IF(ISBLANK(P116)," ",IF(P116=Calcs!$I$42,"Lose 1 point of Magic Might or 1 Magical Quality",IF(P116=Calcs!$I$46,IF(ISBLANK(R116)," ",IF(AND(R116=0,T116&gt;0),CONCATENATE("Gain ",T116," points of magical inferiorities. Discuss."),VLOOKUP(R116,Calcs!$O$57:$P$63,2,TRUE))),"No effect")))</f>
        <v xml:space="preserve"> </v>
      </c>
      <c r="V116" s="654"/>
    </row>
    <row r="117" spans="15:22" x14ac:dyDescent="0.2">
      <c r="O117" s="654">
        <f t="shared" si="5"/>
        <v>1329</v>
      </c>
      <c r="P117" s="673"/>
      <c r="Q117" s="654" t="str">
        <f>IF(ISBLANK(P117)," ",IF(P117=Calcs!$I$46,"Yes","No"))</f>
        <v xml:space="preserve"> </v>
      </c>
      <c r="R117" s="654"/>
      <c r="S117" s="654" t="str">
        <f t="shared" si="4"/>
        <v xml:space="preserve"> </v>
      </c>
      <c r="T117" s="654"/>
      <c r="U117" s="655" t="str">
        <f>IF(ISBLANK(P117)," ",IF(P117=Calcs!$I$42,"Lose 1 point of Magic Might or 1 Magical Quality",IF(P117=Calcs!$I$46,IF(ISBLANK(R117)," ",IF(AND(R117=0,T117&gt;0),CONCATENATE("Gain ",T117," points of magical inferiorities. Discuss."),VLOOKUP(R117,Calcs!$O$57:$P$63,2,TRUE))),"No effect")))</f>
        <v xml:space="preserve"> </v>
      </c>
      <c r="V117" s="654"/>
    </row>
    <row r="118" spans="15:22" x14ac:dyDescent="0.2">
      <c r="O118" s="654">
        <f t="shared" si="5"/>
        <v>1330</v>
      </c>
      <c r="P118" s="673"/>
      <c r="Q118" s="654" t="str">
        <f>IF(ISBLANK(P118)," ",IF(P118=Calcs!$I$46,"Yes","No"))</f>
        <v xml:space="preserve"> </v>
      </c>
      <c r="R118" s="654"/>
      <c r="S118" s="654" t="str">
        <f t="shared" si="4"/>
        <v xml:space="preserve"> </v>
      </c>
      <c r="T118" s="654"/>
      <c r="U118" s="655" t="str">
        <f>IF(ISBLANK(P118)," ",IF(P118=Calcs!$I$42,"Lose 1 point of Magic Might or 1 Magical Quality",IF(P118=Calcs!$I$46,IF(ISBLANK(R118)," ",IF(AND(R118=0,T118&gt;0),CONCATENATE("Gain ",T118," points of magical inferiorities. Discuss."),VLOOKUP(R118,Calcs!$O$57:$P$63,2,TRUE))),"No effect")))</f>
        <v xml:space="preserve"> </v>
      </c>
      <c r="V118" s="654"/>
    </row>
    <row r="119" spans="15:22" x14ac:dyDescent="0.2">
      <c r="O119" s="654">
        <f t="shared" si="5"/>
        <v>1331</v>
      </c>
      <c r="P119" s="673"/>
      <c r="Q119" s="654" t="str">
        <f>IF(ISBLANK(P119)," ",IF(P119=Calcs!$I$46,"Yes","No"))</f>
        <v xml:space="preserve"> </v>
      </c>
      <c r="R119" s="654"/>
      <c r="S119" s="654" t="str">
        <f t="shared" si="4"/>
        <v xml:space="preserve"> </v>
      </c>
      <c r="T119" s="654"/>
      <c r="U119" s="655" t="str">
        <f>IF(ISBLANK(P119)," ",IF(P119=Calcs!$I$42,"Lose 1 point of Magic Might or 1 Magical Quality",IF(P119=Calcs!$I$46,IF(ISBLANK(R119)," ",IF(AND(R119=0,T119&gt;0),CONCATENATE("Gain ",T119," points of magical inferiorities. Discuss."),VLOOKUP(R119,Calcs!$O$57:$P$63,2,TRUE))),"No effect")))</f>
        <v xml:space="preserve"> </v>
      </c>
      <c r="V119" s="654"/>
    </row>
    <row r="120" spans="15:22" x14ac:dyDescent="0.2">
      <c r="O120" s="654">
        <f t="shared" si="5"/>
        <v>1332</v>
      </c>
      <c r="P120" s="673"/>
      <c r="Q120" s="654" t="str">
        <f>IF(ISBLANK(P120)," ",IF(P120=Calcs!$I$46,"Yes","No"))</f>
        <v xml:space="preserve"> </v>
      </c>
      <c r="R120" s="654"/>
      <c r="S120" s="654" t="str">
        <f t="shared" si="4"/>
        <v xml:space="preserve"> </v>
      </c>
      <c r="T120" s="654"/>
      <c r="U120" s="655" t="str">
        <f>IF(ISBLANK(P120)," ",IF(P120=Calcs!$I$42,"Lose 1 point of Magic Might or 1 Magical Quality",IF(P120=Calcs!$I$46,IF(ISBLANK(R120)," ",IF(AND(R120=0,T120&gt;0),CONCATENATE("Gain ",T120," points of magical inferiorities. Discuss."),VLOOKUP(R120,Calcs!$O$57:$P$63,2,TRUE))),"No effect")))</f>
        <v xml:space="preserve"> </v>
      </c>
      <c r="V120" s="654"/>
    </row>
    <row r="121" spans="15:22" x14ac:dyDescent="0.2">
      <c r="O121" s="654">
        <f t="shared" si="5"/>
        <v>1333</v>
      </c>
      <c r="P121" s="673"/>
      <c r="Q121" s="654" t="str">
        <f>IF(ISBLANK(P121)," ",IF(P121=Calcs!$I$46,"Yes","No"))</f>
        <v xml:space="preserve"> </v>
      </c>
      <c r="R121" s="654"/>
      <c r="S121" s="654" t="str">
        <f t="shared" si="4"/>
        <v xml:space="preserve"> </v>
      </c>
      <c r="T121" s="654"/>
      <c r="U121" s="655" t="str">
        <f>IF(ISBLANK(P121)," ",IF(P121=Calcs!$I$42,"Lose 1 point of Magic Might or 1 Magical Quality",IF(P121=Calcs!$I$46,IF(ISBLANK(R121)," ",IF(AND(R121=0,T121&gt;0),CONCATENATE("Gain ",T121," points of magical inferiorities. Discuss."),VLOOKUP(R121,Calcs!$O$57:$P$63,2,TRUE))),"No effect")))</f>
        <v xml:space="preserve"> </v>
      </c>
      <c r="V121" s="654"/>
    </row>
    <row r="122" spans="15:22" x14ac:dyDescent="0.2">
      <c r="O122" s="654">
        <f t="shared" si="5"/>
        <v>1334</v>
      </c>
      <c r="P122" s="673"/>
      <c r="Q122" s="654" t="str">
        <f>IF(ISBLANK(P122)," ",IF(P122=Calcs!$I$46,"Yes","No"))</f>
        <v xml:space="preserve"> </v>
      </c>
      <c r="R122" s="654"/>
      <c r="S122" s="654" t="str">
        <f t="shared" si="4"/>
        <v xml:space="preserve"> </v>
      </c>
      <c r="T122" s="654"/>
      <c r="U122" s="655" t="str">
        <f>IF(ISBLANK(P122)," ",IF(P122=Calcs!$I$42,"Lose 1 point of Magic Might or 1 Magical Quality",IF(P122=Calcs!$I$46,IF(ISBLANK(R122)," ",IF(AND(R122=0,T122&gt;0),CONCATENATE("Gain ",T122," points of magical inferiorities. Discuss."),VLOOKUP(R122,Calcs!$O$57:$P$63,2,TRUE))),"No effect")))</f>
        <v xml:space="preserve"> </v>
      </c>
      <c r="V122" s="654"/>
    </row>
    <row r="123" spans="15:22" x14ac:dyDescent="0.2">
      <c r="O123" s="654">
        <f t="shared" si="5"/>
        <v>1335</v>
      </c>
      <c r="P123" s="673"/>
      <c r="Q123" s="654" t="str">
        <f>IF(ISBLANK(P123)," ",IF(P123=Calcs!$I$46,"Yes","No"))</f>
        <v xml:space="preserve"> </v>
      </c>
      <c r="R123" s="654"/>
      <c r="S123" s="654" t="str">
        <f t="shared" si="4"/>
        <v xml:space="preserve"> </v>
      </c>
      <c r="T123" s="654"/>
      <c r="U123" s="655" t="str">
        <f>IF(ISBLANK(P123)," ",IF(P123=Calcs!$I$42,"Lose 1 point of Magic Might or 1 Magical Quality",IF(P123=Calcs!$I$46,IF(ISBLANK(R123)," ",IF(AND(R123=0,T123&gt;0),CONCATENATE("Gain ",T123," points of magical inferiorities. Discuss."),VLOOKUP(R123,Calcs!$O$57:$P$63,2,TRUE))),"No effect")))</f>
        <v xml:space="preserve"> </v>
      </c>
      <c r="V123" s="654"/>
    </row>
    <row r="124" spans="15:22" x14ac:dyDescent="0.2">
      <c r="O124" s="654">
        <f t="shared" si="5"/>
        <v>1336</v>
      </c>
      <c r="P124" s="673"/>
      <c r="Q124" s="654" t="str">
        <f>IF(ISBLANK(P124)," ",IF(P124=Calcs!$I$46,"Yes","No"))</f>
        <v xml:space="preserve"> </v>
      </c>
      <c r="R124" s="654"/>
      <c r="S124" s="654" t="str">
        <f t="shared" si="4"/>
        <v xml:space="preserve"> </v>
      </c>
      <c r="T124" s="654"/>
      <c r="U124" s="655" t="str">
        <f>IF(ISBLANK(P124)," ",IF(P124=Calcs!$I$42,"Lose 1 point of Magic Might or 1 Magical Quality",IF(P124=Calcs!$I$46,IF(ISBLANK(R124)," ",IF(AND(R124=0,T124&gt;0),CONCATENATE("Gain ",T124," points of magical inferiorities. Discuss."),VLOOKUP(R124,Calcs!$O$57:$P$63,2,TRUE))),"No effect")))</f>
        <v xml:space="preserve"> </v>
      </c>
      <c r="V124" s="654"/>
    </row>
    <row r="125" spans="15:22" x14ac:dyDescent="0.2">
      <c r="O125" s="654">
        <f t="shared" si="5"/>
        <v>1337</v>
      </c>
      <c r="P125" s="673"/>
      <c r="Q125" s="654" t="str">
        <f>IF(ISBLANK(P125)," ",IF(P125=Calcs!$I$46,"Yes","No"))</f>
        <v xml:space="preserve"> </v>
      </c>
      <c r="R125" s="654"/>
      <c r="S125" s="654" t="str">
        <f t="shared" si="4"/>
        <v xml:space="preserve"> </v>
      </c>
      <c r="T125" s="654"/>
      <c r="U125" s="655" t="str">
        <f>IF(ISBLANK(P125)," ",IF(P125=Calcs!$I$42,"Lose 1 point of Magic Might or 1 Magical Quality",IF(P125=Calcs!$I$46,IF(ISBLANK(R125)," ",IF(AND(R125=0,T125&gt;0),CONCATENATE("Gain ",T125," points of magical inferiorities. Discuss."),VLOOKUP(R125,Calcs!$O$57:$P$63,2,TRUE))),"No effect")))</f>
        <v xml:space="preserve"> </v>
      </c>
      <c r="V125" s="654"/>
    </row>
    <row r="126" spans="15:22" x14ac:dyDescent="0.2">
      <c r="O126" s="654">
        <f t="shared" si="5"/>
        <v>1338</v>
      </c>
      <c r="P126" s="673"/>
      <c r="Q126" s="654" t="str">
        <f>IF(ISBLANK(P126)," ",IF(P126=Calcs!$I$46,"Yes","No"))</f>
        <v xml:space="preserve"> </v>
      </c>
      <c r="R126" s="654"/>
      <c r="S126" s="654" t="str">
        <f t="shared" si="4"/>
        <v xml:space="preserve"> </v>
      </c>
      <c r="T126" s="654"/>
      <c r="U126" s="655" t="str">
        <f>IF(ISBLANK(P126)," ",IF(P126=Calcs!$I$42,"Lose 1 point of Magic Might or 1 Magical Quality",IF(P126=Calcs!$I$46,IF(ISBLANK(R126)," ",IF(AND(R126=0,T126&gt;0),CONCATENATE("Gain ",T126," points of magical inferiorities. Discuss."),VLOOKUP(R126,Calcs!$O$57:$P$63,2,TRUE))),"No effect")))</f>
        <v xml:space="preserve"> </v>
      </c>
      <c r="V126" s="654"/>
    </row>
    <row r="127" spans="15:22" x14ac:dyDescent="0.2">
      <c r="O127" s="654">
        <f t="shared" si="5"/>
        <v>1339</v>
      </c>
      <c r="P127" s="673"/>
      <c r="Q127" s="654" t="str">
        <f>IF(ISBLANK(P127)," ",IF(P127=Calcs!$I$46,"Yes","No"))</f>
        <v xml:space="preserve"> </v>
      </c>
      <c r="R127" s="654"/>
      <c r="S127" s="654" t="str">
        <f t="shared" si="4"/>
        <v xml:space="preserve"> </v>
      </c>
      <c r="T127" s="654"/>
      <c r="U127" s="655" t="str">
        <f>IF(ISBLANK(P127)," ",IF(P127=Calcs!$I$42,"Lose 1 point of Magic Might or 1 Magical Quality",IF(P127=Calcs!$I$46,IF(ISBLANK(R127)," ",IF(AND(R127=0,T127&gt;0),CONCATENATE("Gain ",T127," points of magical inferiorities. Discuss."),VLOOKUP(R127,Calcs!$O$57:$P$63,2,TRUE))),"No effect")))</f>
        <v xml:space="preserve"> </v>
      </c>
      <c r="V127" s="654"/>
    </row>
    <row r="128" spans="15:22" x14ac:dyDescent="0.2">
      <c r="O128" s="654">
        <f t="shared" si="5"/>
        <v>1340</v>
      </c>
      <c r="P128" s="673"/>
      <c r="Q128" s="654" t="str">
        <f>IF(ISBLANK(P128)," ",IF(P128=Calcs!$I$46,"Yes","No"))</f>
        <v xml:space="preserve"> </v>
      </c>
      <c r="R128" s="654"/>
      <c r="S128" s="654" t="str">
        <f t="shared" si="4"/>
        <v xml:space="preserve"> </v>
      </c>
      <c r="T128" s="654"/>
      <c r="U128" s="655" t="str">
        <f>IF(ISBLANK(P128)," ",IF(P128=Calcs!$I$42,"Lose 1 point of Magic Might or 1 Magical Quality",IF(P128=Calcs!$I$46,IF(ISBLANK(R128)," ",IF(AND(R128=0,T128&gt;0),CONCATENATE("Gain ",T128," points of magical inferiorities. Discuss."),VLOOKUP(R128,Calcs!$O$57:$P$63,2,TRUE))),"No effect")))</f>
        <v xml:space="preserve"> </v>
      </c>
      <c r="V128" s="654"/>
    </row>
    <row r="129" spans="15:22" x14ac:dyDescent="0.2">
      <c r="O129" s="654">
        <f t="shared" si="5"/>
        <v>1341</v>
      </c>
      <c r="P129" s="673"/>
      <c r="Q129" s="654" t="str">
        <f>IF(ISBLANK(P129)," ",IF(P129=Calcs!$I$46,"Yes","No"))</f>
        <v xml:space="preserve"> </v>
      </c>
      <c r="R129" s="654"/>
      <c r="S129" s="654" t="str">
        <f t="shared" si="4"/>
        <v xml:space="preserve"> </v>
      </c>
      <c r="T129" s="654"/>
      <c r="U129" s="655" t="str">
        <f>IF(ISBLANK(P129)," ",IF(P129=Calcs!$I$42,"Lose 1 point of Magic Might or 1 Magical Quality",IF(P129=Calcs!$I$46,IF(ISBLANK(R129)," ",IF(AND(R129=0,T129&gt;0),CONCATENATE("Gain ",T129," points of magical inferiorities. Discuss."),VLOOKUP(R129,Calcs!$O$57:$P$63,2,TRUE))),"No effect")))</f>
        <v xml:space="preserve"> </v>
      </c>
      <c r="V129" s="654"/>
    </row>
    <row r="130" spans="15:22" x14ac:dyDescent="0.2">
      <c r="O130" s="654">
        <f t="shared" si="5"/>
        <v>1342</v>
      </c>
      <c r="P130" s="673"/>
      <c r="Q130" s="654" t="str">
        <f>IF(ISBLANK(P130)," ",IF(P130=Calcs!$I$46,"Yes","No"))</f>
        <v xml:space="preserve"> </v>
      </c>
      <c r="R130" s="654"/>
      <c r="S130" s="654" t="str">
        <f t="shared" si="4"/>
        <v xml:space="preserve"> </v>
      </c>
      <c r="T130" s="654"/>
      <c r="U130" s="655" t="str">
        <f>IF(ISBLANK(P130)," ",IF(P130=Calcs!$I$42,"Lose 1 point of Magic Might or 1 Magical Quality",IF(P130=Calcs!$I$46,IF(ISBLANK(R130)," ",IF(AND(R130=0,T130&gt;0),CONCATENATE("Gain ",T130," points of magical inferiorities. Discuss."),VLOOKUP(R130,Calcs!$O$57:$P$63,2,TRUE))),"No effect")))</f>
        <v xml:space="preserve"> </v>
      </c>
      <c r="V130" s="654"/>
    </row>
    <row r="131" spans="15:22" x14ac:dyDescent="0.2">
      <c r="O131" s="654">
        <f t="shared" si="5"/>
        <v>1343</v>
      </c>
      <c r="P131" s="673"/>
      <c r="Q131" s="654" t="str">
        <f>IF(ISBLANK(P131)," ",IF(P131=Calcs!$I$46,"Yes","No"))</f>
        <v xml:space="preserve"> </v>
      </c>
      <c r="R131" s="654"/>
      <c r="S131" s="654" t="str">
        <f t="shared" si="4"/>
        <v xml:space="preserve"> </v>
      </c>
      <c r="T131" s="654"/>
      <c r="U131" s="655" t="str">
        <f>IF(ISBLANK(P131)," ",IF(P131=Calcs!$I$42,"Lose 1 point of Magic Might or 1 Magical Quality",IF(P131=Calcs!$I$46,IF(ISBLANK(R131)," ",IF(AND(R131=0,T131&gt;0),CONCATENATE("Gain ",T131," points of magical inferiorities. Discuss."),VLOOKUP(R131,Calcs!$O$57:$P$63,2,TRUE))),"No effect")))</f>
        <v xml:space="preserve"> </v>
      </c>
      <c r="V131" s="654"/>
    </row>
    <row r="132" spans="15:22" x14ac:dyDescent="0.2">
      <c r="O132" s="654">
        <f t="shared" si="5"/>
        <v>1344</v>
      </c>
      <c r="P132" s="673"/>
      <c r="Q132" s="654" t="str">
        <f>IF(ISBLANK(P132)," ",IF(P132=Calcs!$I$46,"Yes","No"))</f>
        <v xml:space="preserve"> </v>
      </c>
      <c r="R132" s="654"/>
      <c r="S132" s="654" t="str">
        <f t="shared" si="4"/>
        <v xml:space="preserve"> </v>
      </c>
      <c r="T132" s="654"/>
      <c r="U132" s="655" t="str">
        <f>IF(ISBLANK(P132)," ",IF(P132=Calcs!$I$42,"Lose 1 point of Magic Might or 1 Magical Quality",IF(P132=Calcs!$I$46,IF(ISBLANK(R132)," ",IF(AND(R132=0,T132&gt;0),CONCATENATE("Gain ",T132," points of magical inferiorities. Discuss."),VLOOKUP(R132,Calcs!$O$57:$P$63,2,TRUE))),"No effect")))</f>
        <v xml:space="preserve"> </v>
      </c>
      <c r="V132" s="654"/>
    </row>
    <row r="133" spans="15:22" x14ac:dyDescent="0.2">
      <c r="O133" s="654">
        <f t="shared" si="5"/>
        <v>1345</v>
      </c>
      <c r="P133" s="673"/>
      <c r="Q133" s="654" t="str">
        <f>IF(ISBLANK(P133)," ",IF(P133=Calcs!$I$46,"Yes","No"))</f>
        <v xml:space="preserve"> </v>
      </c>
      <c r="R133" s="654"/>
      <c r="S133" s="654" t="str">
        <f t="shared" ref="S133:S196" si="6">IF(ISBLANK(R133)," ",IF(R133=0,$J$21," "))</f>
        <v xml:space="preserve"> </v>
      </c>
      <c r="T133" s="654"/>
      <c r="U133" s="655" t="str">
        <f>IF(ISBLANK(P133)," ",IF(P133=Calcs!$I$42,"Lose 1 point of Magic Might or 1 Magical Quality",IF(P133=Calcs!$I$46,IF(ISBLANK(R133)," ",IF(AND(R133=0,T133&gt;0),CONCATENATE("Gain ",T133," points of magical inferiorities. Discuss."),VLOOKUP(R133,Calcs!$O$57:$P$63,2,TRUE))),"No effect")))</f>
        <v xml:space="preserve"> </v>
      </c>
      <c r="V133" s="654"/>
    </row>
    <row r="134" spans="15:22" x14ac:dyDescent="0.2">
      <c r="O134" s="654">
        <f t="shared" ref="O134:O197" si="7">O133+1</f>
        <v>1346</v>
      </c>
      <c r="P134" s="673"/>
      <c r="Q134" s="654" t="str">
        <f>IF(ISBLANK(P134)," ",IF(P134=Calcs!$I$46,"Yes","No"))</f>
        <v xml:space="preserve"> </v>
      </c>
      <c r="R134" s="654"/>
      <c r="S134" s="654" t="str">
        <f t="shared" si="6"/>
        <v xml:space="preserve"> </v>
      </c>
      <c r="T134" s="654"/>
      <c r="U134" s="655" t="str">
        <f>IF(ISBLANK(P134)," ",IF(P134=Calcs!$I$42,"Lose 1 point of Magic Might or 1 Magical Quality",IF(P134=Calcs!$I$46,IF(ISBLANK(R134)," ",IF(AND(R134=0,T134&gt;0),CONCATENATE("Gain ",T134," points of magical inferiorities. Discuss."),VLOOKUP(R134,Calcs!$O$57:$P$63,2,TRUE))),"No effect")))</f>
        <v xml:space="preserve"> </v>
      </c>
      <c r="V134" s="654"/>
    </row>
    <row r="135" spans="15:22" x14ac:dyDescent="0.2">
      <c r="O135" s="654">
        <f t="shared" si="7"/>
        <v>1347</v>
      </c>
      <c r="P135" s="673"/>
      <c r="Q135" s="654" t="str">
        <f>IF(ISBLANK(P135)," ",IF(P135=Calcs!$I$46,"Yes","No"))</f>
        <v xml:space="preserve"> </v>
      </c>
      <c r="R135" s="654"/>
      <c r="S135" s="654" t="str">
        <f t="shared" si="6"/>
        <v xml:space="preserve"> </v>
      </c>
      <c r="T135" s="654"/>
      <c r="U135" s="655" t="str">
        <f>IF(ISBLANK(P135)," ",IF(P135=Calcs!$I$42,"Lose 1 point of Magic Might or 1 Magical Quality",IF(P135=Calcs!$I$46,IF(ISBLANK(R135)," ",IF(AND(R135=0,T135&gt;0),CONCATENATE("Gain ",T135," points of magical inferiorities. Discuss."),VLOOKUP(R135,Calcs!$O$57:$P$63,2,TRUE))),"No effect")))</f>
        <v xml:space="preserve"> </v>
      </c>
      <c r="V135" s="654"/>
    </row>
    <row r="136" spans="15:22" x14ac:dyDescent="0.2">
      <c r="O136" s="654">
        <f t="shared" si="7"/>
        <v>1348</v>
      </c>
      <c r="P136" s="673"/>
      <c r="Q136" s="654" t="str">
        <f>IF(ISBLANK(P136)," ",IF(P136=Calcs!$I$46,"Yes","No"))</f>
        <v xml:space="preserve"> </v>
      </c>
      <c r="R136" s="654"/>
      <c r="S136" s="654" t="str">
        <f t="shared" si="6"/>
        <v xml:space="preserve"> </v>
      </c>
      <c r="T136" s="654"/>
      <c r="U136" s="655" t="str">
        <f>IF(ISBLANK(P136)," ",IF(P136=Calcs!$I$42,"Lose 1 point of Magic Might or 1 Magical Quality",IF(P136=Calcs!$I$46,IF(ISBLANK(R136)," ",IF(AND(R136=0,T136&gt;0),CONCATENATE("Gain ",T136," points of magical inferiorities. Discuss."),VLOOKUP(R136,Calcs!$O$57:$P$63,2,TRUE))),"No effect")))</f>
        <v xml:space="preserve"> </v>
      </c>
      <c r="V136" s="654"/>
    </row>
    <row r="137" spans="15:22" x14ac:dyDescent="0.2">
      <c r="O137" s="654">
        <f t="shared" si="7"/>
        <v>1349</v>
      </c>
      <c r="P137" s="673"/>
      <c r="Q137" s="654" t="str">
        <f>IF(ISBLANK(P137)," ",IF(P137=Calcs!$I$46,"Yes","No"))</f>
        <v xml:space="preserve"> </v>
      </c>
      <c r="R137" s="654"/>
      <c r="S137" s="654" t="str">
        <f t="shared" si="6"/>
        <v xml:space="preserve"> </v>
      </c>
      <c r="T137" s="654"/>
      <c r="U137" s="655" t="str">
        <f>IF(ISBLANK(P137)," ",IF(P137=Calcs!$I$42,"Lose 1 point of Magic Might or 1 Magical Quality",IF(P137=Calcs!$I$46,IF(ISBLANK(R137)," ",IF(AND(R137=0,T137&gt;0),CONCATENATE("Gain ",T137," points of magical inferiorities. Discuss."),VLOOKUP(R137,Calcs!$O$57:$P$63,2,TRUE))),"No effect")))</f>
        <v xml:space="preserve"> </v>
      </c>
      <c r="V137" s="654"/>
    </row>
    <row r="138" spans="15:22" x14ac:dyDescent="0.2">
      <c r="O138" s="654">
        <f t="shared" si="7"/>
        <v>1350</v>
      </c>
      <c r="P138" s="673"/>
      <c r="Q138" s="654" t="str">
        <f>IF(ISBLANK(P138)," ",IF(P138=Calcs!$I$46,"Yes","No"))</f>
        <v xml:space="preserve"> </v>
      </c>
      <c r="R138" s="654"/>
      <c r="S138" s="654" t="str">
        <f t="shared" si="6"/>
        <v xml:space="preserve"> </v>
      </c>
      <c r="T138" s="654"/>
      <c r="U138" s="655" t="str">
        <f>IF(ISBLANK(P138)," ",IF(P138=Calcs!$I$42,"Lose 1 point of Magic Might or 1 Magical Quality",IF(P138=Calcs!$I$46,IF(ISBLANK(R138)," ",IF(AND(R138=0,T138&gt;0),CONCATENATE("Gain ",T138," points of magical inferiorities. Discuss."),VLOOKUP(R138,Calcs!$O$57:$P$63,2,TRUE))),"No effect")))</f>
        <v xml:space="preserve"> </v>
      </c>
      <c r="V138" s="654"/>
    </row>
    <row r="139" spans="15:22" x14ac:dyDescent="0.2">
      <c r="O139" s="654">
        <f t="shared" si="7"/>
        <v>1351</v>
      </c>
      <c r="P139" s="673"/>
      <c r="Q139" s="654" t="str">
        <f>IF(ISBLANK(P139)," ",IF(P139=Calcs!$I$46,"Yes","No"))</f>
        <v xml:space="preserve"> </v>
      </c>
      <c r="R139" s="654"/>
      <c r="S139" s="654" t="str">
        <f t="shared" si="6"/>
        <v xml:space="preserve"> </v>
      </c>
      <c r="T139" s="654"/>
      <c r="U139" s="655" t="str">
        <f>IF(ISBLANK(P139)," ",IF(P139=Calcs!$I$42,"Lose 1 point of Magic Might or 1 Magical Quality",IF(P139=Calcs!$I$46,IF(ISBLANK(R139)," ",IF(AND(R139=0,T139&gt;0),CONCATENATE("Gain ",T139," points of magical inferiorities. Discuss."),VLOOKUP(R139,Calcs!$O$57:$P$63,2,TRUE))),"No effect")))</f>
        <v xml:space="preserve"> </v>
      </c>
      <c r="V139" s="654"/>
    </row>
    <row r="140" spans="15:22" x14ac:dyDescent="0.2">
      <c r="O140" s="654">
        <f t="shared" si="7"/>
        <v>1352</v>
      </c>
      <c r="P140" s="673"/>
      <c r="Q140" s="654" t="str">
        <f>IF(ISBLANK(P140)," ",IF(P140=Calcs!$I$46,"Yes","No"))</f>
        <v xml:space="preserve"> </v>
      </c>
      <c r="R140" s="654"/>
      <c r="S140" s="654" t="str">
        <f t="shared" si="6"/>
        <v xml:space="preserve"> </v>
      </c>
      <c r="T140" s="654"/>
      <c r="U140" s="655" t="str">
        <f>IF(ISBLANK(P140)," ",IF(P140=Calcs!$I$42,"Lose 1 point of Magic Might or 1 Magical Quality",IF(P140=Calcs!$I$46,IF(ISBLANK(R140)," ",IF(AND(R140=0,T140&gt;0),CONCATENATE("Gain ",T140," points of magical inferiorities. Discuss."),VLOOKUP(R140,Calcs!$O$57:$P$63,2,TRUE))),"No effect")))</f>
        <v xml:space="preserve"> </v>
      </c>
      <c r="V140" s="654"/>
    </row>
    <row r="141" spans="15:22" x14ac:dyDescent="0.2">
      <c r="O141" s="654">
        <f t="shared" si="7"/>
        <v>1353</v>
      </c>
      <c r="P141" s="673"/>
      <c r="Q141" s="654" t="str">
        <f>IF(ISBLANK(P141)," ",IF(P141=Calcs!$I$46,"Yes","No"))</f>
        <v xml:space="preserve"> </v>
      </c>
      <c r="R141" s="654"/>
      <c r="S141" s="654" t="str">
        <f t="shared" si="6"/>
        <v xml:space="preserve"> </v>
      </c>
      <c r="T141" s="654"/>
      <c r="U141" s="655" t="str">
        <f>IF(ISBLANK(P141)," ",IF(P141=Calcs!$I$42,"Lose 1 point of Magic Might or 1 Magical Quality",IF(P141=Calcs!$I$46,IF(ISBLANK(R141)," ",IF(AND(R141=0,T141&gt;0),CONCATENATE("Gain ",T141," points of magical inferiorities. Discuss."),VLOOKUP(R141,Calcs!$O$57:$P$63,2,TRUE))),"No effect")))</f>
        <v xml:space="preserve"> </v>
      </c>
      <c r="V141" s="654"/>
    </row>
    <row r="142" spans="15:22" x14ac:dyDescent="0.2">
      <c r="O142" s="654">
        <f t="shared" si="7"/>
        <v>1354</v>
      </c>
      <c r="P142" s="673"/>
      <c r="Q142" s="654" t="str">
        <f>IF(ISBLANK(P142)," ",IF(P142=Calcs!$I$46,"Yes","No"))</f>
        <v xml:space="preserve"> </v>
      </c>
      <c r="R142" s="654"/>
      <c r="S142" s="654" t="str">
        <f t="shared" si="6"/>
        <v xml:space="preserve"> </v>
      </c>
      <c r="T142" s="654"/>
      <c r="U142" s="655" t="str">
        <f>IF(ISBLANK(P142)," ",IF(P142=Calcs!$I$42,"Lose 1 point of Magic Might or 1 Magical Quality",IF(P142=Calcs!$I$46,IF(ISBLANK(R142)," ",IF(AND(R142=0,T142&gt;0),CONCATENATE("Gain ",T142," points of magical inferiorities. Discuss."),VLOOKUP(R142,Calcs!$O$57:$P$63,2,TRUE))),"No effect")))</f>
        <v xml:space="preserve"> </v>
      </c>
      <c r="V142" s="654"/>
    </row>
    <row r="143" spans="15:22" x14ac:dyDescent="0.2">
      <c r="O143" s="654">
        <f t="shared" si="7"/>
        <v>1355</v>
      </c>
      <c r="P143" s="673"/>
      <c r="Q143" s="654" t="str">
        <f>IF(ISBLANK(P143)," ",IF(P143=Calcs!$I$46,"Yes","No"))</f>
        <v xml:space="preserve"> </v>
      </c>
      <c r="R143" s="654"/>
      <c r="S143" s="654" t="str">
        <f t="shared" si="6"/>
        <v xml:space="preserve"> </v>
      </c>
      <c r="T143" s="654"/>
      <c r="U143" s="655" t="str">
        <f>IF(ISBLANK(P143)," ",IF(P143=Calcs!$I$42,"Lose 1 point of Magic Might or 1 Magical Quality",IF(P143=Calcs!$I$46,IF(ISBLANK(R143)," ",IF(AND(R143=0,T143&gt;0),CONCATENATE("Gain ",T143," points of magical inferiorities. Discuss."),VLOOKUP(R143,Calcs!$O$57:$P$63,2,TRUE))),"No effect")))</f>
        <v xml:space="preserve"> </v>
      </c>
      <c r="V143" s="654"/>
    </row>
    <row r="144" spans="15:22" x14ac:dyDescent="0.2">
      <c r="O144" s="654">
        <f t="shared" si="7"/>
        <v>1356</v>
      </c>
      <c r="P144" s="673"/>
      <c r="Q144" s="654" t="str">
        <f>IF(ISBLANK(P144)," ",IF(P144=Calcs!$I$46,"Yes","No"))</f>
        <v xml:space="preserve"> </v>
      </c>
      <c r="R144" s="654"/>
      <c r="S144" s="654" t="str">
        <f t="shared" si="6"/>
        <v xml:space="preserve"> </v>
      </c>
      <c r="T144" s="654"/>
      <c r="U144" s="655" t="str">
        <f>IF(ISBLANK(P144)," ",IF(P144=Calcs!$I$42,"Lose 1 point of Magic Might or 1 Magical Quality",IF(P144=Calcs!$I$46,IF(ISBLANK(R144)," ",IF(AND(R144=0,T144&gt;0),CONCATENATE("Gain ",T144," points of magical inferiorities. Discuss."),VLOOKUP(R144,Calcs!$O$57:$P$63,2,TRUE))),"No effect")))</f>
        <v xml:space="preserve"> </v>
      </c>
      <c r="V144" s="654"/>
    </row>
    <row r="145" spans="15:22" x14ac:dyDescent="0.2">
      <c r="O145" s="654">
        <f t="shared" si="7"/>
        <v>1357</v>
      </c>
      <c r="P145" s="673"/>
      <c r="Q145" s="654" t="str">
        <f>IF(ISBLANK(P145)," ",IF(P145=Calcs!$I$46,"Yes","No"))</f>
        <v xml:space="preserve"> </v>
      </c>
      <c r="R145" s="654"/>
      <c r="S145" s="654" t="str">
        <f t="shared" si="6"/>
        <v xml:space="preserve"> </v>
      </c>
      <c r="T145" s="654"/>
      <c r="U145" s="655" t="str">
        <f>IF(ISBLANK(P145)," ",IF(P145=Calcs!$I$42,"Lose 1 point of Magic Might or 1 Magical Quality",IF(P145=Calcs!$I$46,IF(ISBLANK(R145)," ",IF(AND(R145=0,T145&gt;0),CONCATENATE("Gain ",T145," points of magical inferiorities. Discuss."),VLOOKUP(R145,Calcs!$O$57:$P$63,2,TRUE))),"No effect")))</f>
        <v xml:space="preserve"> </v>
      </c>
      <c r="V145" s="654"/>
    </row>
    <row r="146" spans="15:22" x14ac:dyDescent="0.2">
      <c r="O146" s="654">
        <f t="shared" si="7"/>
        <v>1358</v>
      </c>
      <c r="P146" s="673"/>
      <c r="Q146" s="654" t="str">
        <f>IF(ISBLANK(P146)," ",IF(P146=Calcs!$I$46,"Yes","No"))</f>
        <v xml:space="preserve"> </v>
      </c>
      <c r="R146" s="654"/>
      <c r="S146" s="654" t="str">
        <f t="shared" si="6"/>
        <v xml:space="preserve"> </v>
      </c>
      <c r="T146" s="654"/>
      <c r="U146" s="655" t="str">
        <f>IF(ISBLANK(P146)," ",IF(P146=Calcs!$I$42,"Lose 1 point of Magic Might or 1 Magical Quality",IF(P146=Calcs!$I$46,IF(ISBLANK(R146)," ",IF(AND(R146=0,T146&gt;0),CONCATENATE("Gain ",T146," points of magical inferiorities. Discuss."),VLOOKUP(R146,Calcs!$O$57:$P$63,2,TRUE))),"No effect")))</f>
        <v xml:space="preserve"> </v>
      </c>
      <c r="V146" s="654"/>
    </row>
    <row r="147" spans="15:22" x14ac:dyDescent="0.2">
      <c r="O147" s="654">
        <f t="shared" si="7"/>
        <v>1359</v>
      </c>
      <c r="P147" s="673"/>
      <c r="Q147" s="654" t="str">
        <f>IF(ISBLANK(P147)," ",IF(P147=Calcs!$I$46,"Yes","No"))</f>
        <v xml:space="preserve"> </v>
      </c>
      <c r="R147" s="654"/>
      <c r="S147" s="654" t="str">
        <f t="shared" si="6"/>
        <v xml:space="preserve"> </v>
      </c>
      <c r="T147" s="654"/>
      <c r="U147" s="655" t="str">
        <f>IF(ISBLANK(P147)," ",IF(P147=Calcs!$I$42,"Lose 1 point of Magic Might or 1 Magical Quality",IF(P147=Calcs!$I$46,IF(ISBLANK(R147)," ",IF(AND(R147=0,T147&gt;0),CONCATENATE("Gain ",T147," points of magical inferiorities. Discuss."),VLOOKUP(R147,Calcs!$O$57:$P$63,2,TRUE))),"No effect")))</f>
        <v xml:space="preserve"> </v>
      </c>
      <c r="V147" s="654"/>
    </row>
    <row r="148" spans="15:22" x14ac:dyDescent="0.2">
      <c r="O148" s="654">
        <f t="shared" si="7"/>
        <v>1360</v>
      </c>
      <c r="P148" s="673"/>
      <c r="Q148" s="654" t="str">
        <f>IF(ISBLANK(P148)," ",IF(P148=Calcs!$I$46,"Yes","No"))</f>
        <v xml:space="preserve"> </v>
      </c>
      <c r="R148" s="654"/>
      <c r="S148" s="654" t="str">
        <f t="shared" si="6"/>
        <v xml:space="preserve"> </v>
      </c>
      <c r="T148" s="654"/>
      <c r="U148" s="655" t="str">
        <f>IF(ISBLANK(P148)," ",IF(P148=Calcs!$I$42,"Lose 1 point of Magic Might or 1 Magical Quality",IF(P148=Calcs!$I$46,IF(ISBLANK(R148)," ",IF(AND(R148=0,T148&gt;0),CONCATENATE("Gain ",T148," points of magical inferiorities. Discuss."),VLOOKUP(R148,Calcs!$O$57:$P$63,2,TRUE))),"No effect")))</f>
        <v xml:space="preserve"> </v>
      </c>
      <c r="V148" s="654"/>
    </row>
    <row r="149" spans="15:22" x14ac:dyDescent="0.2">
      <c r="O149" s="654">
        <f t="shared" si="7"/>
        <v>1361</v>
      </c>
      <c r="P149" s="673"/>
      <c r="Q149" s="654" t="str">
        <f>IF(ISBLANK(P149)," ",IF(P149=Calcs!$I$46,"Yes","No"))</f>
        <v xml:space="preserve"> </v>
      </c>
      <c r="R149" s="654"/>
      <c r="S149" s="654" t="str">
        <f t="shared" si="6"/>
        <v xml:space="preserve"> </v>
      </c>
      <c r="T149" s="654"/>
      <c r="U149" s="655" t="str">
        <f>IF(ISBLANK(P149)," ",IF(P149=Calcs!$I$42,"Lose 1 point of Magic Might or 1 Magical Quality",IF(P149=Calcs!$I$46,IF(ISBLANK(R149)," ",IF(AND(R149=0,T149&gt;0),CONCATENATE("Gain ",T149," points of magical inferiorities. Discuss."),VLOOKUP(R149,Calcs!$O$57:$P$63,2,TRUE))),"No effect")))</f>
        <v xml:space="preserve"> </v>
      </c>
      <c r="V149" s="654"/>
    </row>
    <row r="150" spans="15:22" x14ac:dyDescent="0.2">
      <c r="O150" s="654">
        <f t="shared" si="7"/>
        <v>1362</v>
      </c>
      <c r="P150" s="673"/>
      <c r="Q150" s="654" t="str">
        <f>IF(ISBLANK(P150)," ",IF(P150=Calcs!$I$46,"Yes","No"))</f>
        <v xml:space="preserve"> </v>
      </c>
      <c r="R150" s="654"/>
      <c r="S150" s="654" t="str">
        <f t="shared" si="6"/>
        <v xml:space="preserve"> </v>
      </c>
      <c r="T150" s="654"/>
      <c r="U150" s="655" t="str">
        <f>IF(ISBLANK(P150)," ",IF(P150=Calcs!$I$42,"Lose 1 point of Magic Might or 1 Magical Quality",IF(P150=Calcs!$I$46,IF(ISBLANK(R150)," ",IF(AND(R150=0,T150&gt;0),CONCATENATE("Gain ",T150," points of magical inferiorities. Discuss."),VLOOKUP(R150,Calcs!$O$57:$P$63,2,TRUE))),"No effect")))</f>
        <v xml:space="preserve"> </v>
      </c>
      <c r="V150" s="654"/>
    </row>
    <row r="151" spans="15:22" x14ac:dyDescent="0.2">
      <c r="O151" s="654">
        <f t="shared" si="7"/>
        <v>1363</v>
      </c>
      <c r="P151" s="673"/>
      <c r="Q151" s="654" t="str">
        <f>IF(ISBLANK(P151)," ",IF(P151=Calcs!$I$46,"Yes","No"))</f>
        <v xml:space="preserve"> </v>
      </c>
      <c r="R151" s="654"/>
      <c r="S151" s="654" t="str">
        <f t="shared" si="6"/>
        <v xml:space="preserve"> </v>
      </c>
      <c r="T151" s="654"/>
      <c r="U151" s="655" t="str">
        <f>IF(ISBLANK(P151)," ",IF(P151=Calcs!$I$42,"Lose 1 point of Magic Might or 1 Magical Quality",IF(P151=Calcs!$I$46,IF(ISBLANK(R151)," ",IF(AND(R151=0,T151&gt;0),CONCATENATE("Gain ",T151," points of magical inferiorities. Discuss."),VLOOKUP(R151,Calcs!$O$57:$P$63,2,TRUE))),"No effect")))</f>
        <v xml:space="preserve"> </v>
      </c>
      <c r="V151" s="654"/>
    </row>
    <row r="152" spans="15:22" x14ac:dyDescent="0.2">
      <c r="O152" s="654">
        <f t="shared" si="7"/>
        <v>1364</v>
      </c>
      <c r="P152" s="673"/>
      <c r="Q152" s="654" t="str">
        <f>IF(ISBLANK(P152)," ",IF(P152=Calcs!$I$46,"Yes","No"))</f>
        <v xml:space="preserve"> </v>
      </c>
      <c r="R152" s="654"/>
      <c r="S152" s="654" t="str">
        <f t="shared" si="6"/>
        <v xml:space="preserve"> </v>
      </c>
      <c r="T152" s="654"/>
      <c r="U152" s="655" t="str">
        <f>IF(ISBLANK(P152)," ",IF(P152=Calcs!$I$42,"Lose 1 point of Magic Might or 1 Magical Quality",IF(P152=Calcs!$I$46,IF(ISBLANK(R152)," ",IF(AND(R152=0,T152&gt;0),CONCATENATE("Gain ",T152," points of magical inferiorities. Discuss."),VLOOKUP(R152,Calcs!$O$57:$P$63,2,TRUE))),"No effect")))</f>
        <v xml:space="preserve"> </v>
      </c>
      <c r="V152" s="654"/>
    </row>
    <row r="153" spans="15:22" x14ac:dyDescent="0.2">
      <c r="O153" s="654">
        <f t="shared" si="7"/>
        <v>1365</v>
      </c>
      <c r="P153" s="673"/>
      <c r="Q153" s="654" t="str">
        <f>IF(ISBLANK(P153)," ",IF(P153=Calcs!$I$46,"Yes","No"))</f>
        <v xml:space="preserve"> </v>
      </c>
      <c r="R153" s="654"/>
      <c r="S153" s="654" t="str">
        <f t="shared" si="6"/>
        <v xml:space="preserve"> </v>
      </c>
      <c r="T153" s="654"/>
      <c r="U153" s="655" t="str">
        <f>IF(ISBLANK(P153)," ",IF(P153=Calcs!$I$42,"Lose 1 point of Magic Might or 1 Magical Quality",IF(P153=Calcs!$I$46,IF(ISBLANK(R153)," ",IF(AND(R153=0,T153&gt;0),CONCATENATE("Gain ",T153," points of magical inferiorities. Discuss."),VLOOKUP(R153,Calcs!$O$57:$P$63,2,TRUE))),"No effect")))</f>
        <v xml:space="preserve"> </v>
      </c>
      <c r="V153" s="654"/>
    </row>
    <row r="154" spans="15:22" x14ac:dyDescent="0.2">
      <c r="O154" s="654">
        <f t="shared" si="7"/>
        <v>1366</v>
      </c>
      <c r="P154" s="673"/>
      <c r="Q154" s="654" t="str">
        <f>IF(ISBLANK(P154)," ",IF(P154=Calcs!$I$46,"Yes","No"))</f>
        <v xml:space="preserve"> </v>
      </c>
      <c r="R154" s="654"/>
      <c r="S154" s="654" t="str">
        <f t="shared" si="6"/>
        <v xml:space="preserve"> </v>
      </c>
      <c r="T154" s="654"/>
      <c r="U154" s="655" t="str">
        <f>IF(ISBLANK(P154)," ",IF(P154=Calcs!$I$42,"Lose 1 point of Magic Might or 1 Magical Quality",IF(P154=Calcs!$I$46,IF(ISBLANK(R154)," ",IF(AND(R154=0,T154&gt;0),CONCATENATE("Gain ",T154," points of magical inferiorities. Discuss."),VLOOKUP(R154,Calcs!$O$57:$P$63,2,TRUE))),"No effect")))</f>
        <v xml:space="preserve"> </v>
      </c>
      <c r="V154" s="654"/>
    </row>
    <row r="155" spans="15:22" x14ac:dyDescent="0.2">
      <c r="O155" s="654">
        <f t="shared" si="7"/>
        <v>1367</v>
      </c>
      <c r="P155" s="673"/>
      <c r="Q155" s="654" t="str">
        <f>IF(ISBLANK(P155)," ",IF(P155=Calcs!$I$46,"Yes","No"))</f>
        <v xml:space="preserve"> </v>
      </c>
      <c r="R155" s="654"/>
      <c r="S155" s="654" t="str">
        <f t="shared" si="6"/>
        <v xml:space="preserve"> </v>
      </c>
      <c r="T155" s="654"/>
      <c r="U155" s="655" t="str">
        <f>IF(ISBLANK(P155)," ",IF(P155=Calcs!$I$42,"Lose 1 point of Magic Might or 1 Magical Quality",IF(P155=Calcs!$I$46,IF(ISBLANK(R155)," ",IF(AND(R155=0,T155&gt;0),CONCATENATE("Gain ",T155," points of magical inferiorities. Discuss."),VLOOKUP(R155,Calcs!$O$57:$P$63,2,TRUE))),"No effect")))</f>
        <v xml:space="preserve"> </v>
      </c>
      <c r="V155" s="654"/>
    </row>
    <row r="156" spans="15:22" x14ac:dyDescent="0.2">
      <c r="O156" s="654">
        <f t="shared" si="7"/>
        <v>1368</v>
      </c>
      <c r="P156" s="673"/>
      <c r="Q156" s="654" t="str">
        <f>IF(ISBLANK(P156)," ",IF(P156=Calcs!$I$46,"Yes","No"))</f>
        <v xml:space="preserve"> </v>
      </c>
      <c r="R156" s="654"/>
      <c r="S156" s="654" t="str">
        <f t="shared" si="6"/>
        <v xml:space="preserve"> </v>
      </c>
      <c r="T156" s="654"/>
      <c r="U156" s="655" t="str">
        <f>IF(ISBLANK(P156)," ",IF(P156=Calcs!$I$42,"Lose 1 point of Magic Might or 1 Magical Quality",IF(P156=Calcs!$I$46,IF(ISBLANK(R156)," ",IF(AND(R156=0,T156&gt;0),CONCATENATE("Gain ",T156," points of magical inferiorities. Discuss."),VLOOKUP(R156,Calcs!$O$57:$P$63,2,TRUE))),"No effect")))</f>
        <v xml:space="preserve"> </v>
      </c>
      <c r="V156" s="654"/>
    </row>
    <row r="157" spans="15:22" x14ac:dyDescent="0.2">
      <c r="O157" s="654">
        <f t="shared" si="7"/>
        <v>1369</v>
      </c>
      <c r="P157" s="673"/>
      <c r="Q157" s="654" t="str">
        <f>IF(ISBLANK(P157)," ",IF(P157=Calcs!$I$46,"Yes","No"))</f>
        <v xml:space="preserve"> </v>
      </c>
      <c r="R157" s="654"/>
      <c r="S157" s="654" t="str">
        <f t="shared" si="6"/>
        <v xml:space="preserve"> </v>
      </c>
      <c r="T157" s="654"/>
      <c r="U157" s="655" t="str">
        <f>IF(ISBLANK(P157)," ",IF(P157=Calcs!$I$42,"Lose 1 point of Magic Might or 1 Magical Quality",IF(P157=Calcs!$I$46,IF(ISBLANK(R157)," ",IF(AND(R157=0,T157&gt;0),CONCATENATE("Gain ",T157," points of magical inferiorities. Discuss."),VLOOKUP(R157,Calcs!$O$57:$P$63,2,TRUE))),"No effect")))</f>
        <v xml:space="preserve"> </v>
      </c>
      <c r="V157" s="654"/>
    </row>
    <row r="158" spans="15:22" x14ac:dyDescent="0.2">
      <c r="O158" s="654">
        <f t="shared" si="7"/>
        <v>1370</v>
      </c>
      <c r="P158" s="673"/>
      <c r="Q158" s="654" t="str">
        <f>IF(ISBLANK(P158)," ",IF(P158=Calcs!$I$46,"Yes","No"))</f>
        <v xml:space="preserve"> </v>
      </c>
      <c r="R158" s="654"/>
      <c r="S158" s="654" t="str">
        <f t="shared" si="6"/>
        <v xml:space="preserve"> </v>
      </c>
      <c r="T158" s="654"/>
      <c r="U158" s="655" t="str">
        <f>IF(ISBLANK(P158)," ",IF(P158=Calcs!$I$42,"Lose 1 point of Magic Might or 1 Magical Quality",IF(P158=Calcs!$I$46,IF(ISBLANK(R158)," ",IF(AND(R158=0,T158&gt;0),CONCATENATE("Gain ",T158," points of magical inferiorities. Discuss."),VLOOKUP(R158,Calcs!$O$57:$P$63,2,TRUE))),"No effect")))</f>
        <v xml:space="preserve"> </v>
      </c>
      <c r="V158" s="654"/>
    </row>
    <row r="159" spans="15:22" x14ac:dyDescent="0.2">
      <c r="O159" s="654">
        <f t="shared" si="7"/>
        <v>1371</v>
      </c>
      <c r="P159" s="673"/>
      <c r="Q159" s="654" t="str">
        <f>IF(ISBLANK(P159)," ",IF(P159=Calcs!$I$46,"Yes","No"))</f>
        <v xml:space="preserve"> </v>
      </c>
      <c r="R159" s="654"/>
      <c r="S159" s="654" t="str">
        <f t="shared" si="6"/>
        <v xml:space="preserve"> </v>
      </c>
      <c r="T159" s="654"/>
      <c r="U159" s="655" t="str">
        <f>IF(ISBLANK(P159)," ",IF(P159=Calcs!$I$42,"Lose 1 point of Magic Might or 1 Magical Quality",IF(P159=Calcs!$I$46,IF(ISBLANK(R159)," ",IF(AND(R159=0,T159&gt;0),CONCATENATE("Gain ",T159," points of magical inferiorities. Discuss."),VLOOKUP(R159,Calcs!$O$57:$P$63,2,TRUE))),"No effect")))</f>
        <v xml:space="preserve"> </v>
      </c>
      <c r="V159" s="654"/>
    </row>
    <row r="160" spans="15:22" x14ac:dyDescent="0.2">
      <c r="O160" s="654">
        <f t="shared" si="7"/>
        <v>1372</v>
      </c>
      <c r="P160" s="673"/>
      <c r="Q160" s="654" t="str">
        <f>IF(ISBLANK(P160)," ",IF(P160=Calcs!$I$46,"Yes","No"))</f>
        <v xml:space="preserve"> </v>
      </c>
      <c r="R160" s="654"/>
      <c r="S160" s="654" t="str">
        <f t="shared" si="6"/>
        <v xml:space="preserve"> </v>
      </c>
      <c r="T160" s="654"/>
      <c r="U160" s="655" t="str">
        <f>IF(ISBLANK(P160)," ",IF(P160=Calcs!$I$42,"Lose 1 point of Magic Might or 1 Magical Quality",IF(P160=Calcs!$I$46,IF(ISBLANK(R160)," ",IF(AND(R160=0,T160&gt;0),CONCATENATE("Gain ",T160," points of magical inferiorities. Discuss."),VLOOKUP(R160,Calcs!$O$57:$P$63,2,TRUE))),"No effect")))</f>
        <v xml:space="preserve"> </v>
      </c>
      <c r="V160" s="654"/>
    </row>
    <row r="161" spans="15:22" x14ac:dyDescent="0.2">
      <c r="O161" s="654">
        <f t="shared" si="7"/>
        <v>1373</v>
      </c>
      <c r="P161" s="673"/>
      <c r="Q161" s="654" t="str">
        <f>IF(ISBLANK(P161)," ",IF(P161=Calcs!$I$46,"Yes","No"))</f>
        <v xml:space="preserve"> </v>
      </c>
      <c r="R161" s="654"/>
      <c r="S161" s="654" t="str">
        <f t="shared" si="6"/>
        <v xml:space="preserve"> </v>
      </c>
      <c r="T161" s="654"/>
      <c r="U161" s="655" t="str">
        <f>IF(ISBLANK(P161)," ",IF(P161=Calcs!$I$42,"Lose 1 point of Magic Might or 1 Magical Quality",IF(P161=Calcs!$I$46,IF(ISBLANK(R161)," ",IF(AND(R161=0,T161&gt;0),CONCATENATE("Gain ",T161," points of magical inferiorities. Discuss."),VLOOKUP(R161,Calcs!$O$57:$P$63,2,TRUE))),"No effect")))</f>
        <v xml:space="preserve"> </v>
      </c>
      <c r="V161" s="654"/>
    </row>
    <row r="162" spans="15:22" x14ac:dyDescent="0.2">
      <c r="O162" s="654">
        <f t="shared" si="7"/>
        <v>1374</v>
      </c>
      <c r="P162" s="673"/>
      <c r="Q162" s="654" t="str">
        <f>IF(ISBLANK(P162)," ",IF(P162=Calcs!$I$46,"Yes","No"))</f>
        <v xml:space="preserve"> </v>
      </c>
      <c r="R162" s="654"/>
      <c r="S162" s="654" t="str">
        <f t="shared" si="6"/>
        <v xml:space="preserve"> </v>
      </c>
      <c r="T162" s="654"/>
      <c r="U162" s="655" t="str">
        <f>IF(ISBLANK(P162)," ",IF(P162=Calcs!$I$42,"Lose 1 point of Magic Might or 1 Magical Quality",IF(P162=Calcs!$I$46,IF(ISBLANK(R162)," ",IF(AND(R162=0,T162&gt;0),CONCATENATE("Gain ",T162," points of magical inferiorities. Discuss."),VLOOKUP(R162,Calcs!$O$57:$P$63,2,TRUE))),"No effect")))</f>
        <v xml:space="preserve"> </v>
      </c>
      <c r="V162" s="654"/>
    </row>
    <row r="163" spans="15:22" x14ac:dyDescent="0.2">
      <c r="O163" s="654">
        <f t="shared" si="7"/>
        <v>1375</v>
      </c>
      <c r="P163" s="673"/>
      <c r="Q163" s="654" t="str">
        <f>IF(ISBLANK(P163)," ",IF(P163=Calcs!$I$46,"Yes","No"))</f>
        <v xml:space="preserve"> </v>
      </c>
      <c r="R163" s="654"/>
      <c r="S163" s="654" t="str">
        <f t="shared" si="6"/>
        <v xml:space="preserve"> </v>
      </c>
      <c r="T163" s="654"/>
      <c r="U163" s="655" t="str">
        <f>IF(ISBLANK(P163)," ",IF(P163=Calcs!$I$42,"Lose 1 point of Magic Might or 1 Magical Quality",IF(P163=Calcs!$I$46,IF(ISBLANK(R163)," ",IF(AND(R163=0,T163&gt;0),CONCATENATE("Gain ",T163," points of magical inferiorities. Discuss."),VLOOKUP(R163,Calcs!$O$57:$P$63,2,TRUE))),"No effect")))</f>
        <v xml:space="preserve"> </v>
      </c>
      <c r="V163" s="654"/>
    </row>
    <row r="164" spans="15:22" x14ac:dyDescent="0.2">
      <c r="O164" s="654">
        <f t="shared" si="7"/>
        <v>1376</v>
      </c>
      <c r="P164" s="673"/>
      <c r="Q164" s="654" t="str">
        <f>IF(ISBLANK(P164)," ",IF(P164=Calcs!$I$46,"Yes","No"))</f>
        <v xml:space="preserve"> </v>
      </c>
      <c r="R164" s="654"/>
      <c r="S164" s="654" t="str">
        <f t="shared" si="6"/>
        <v xml:space="preserve"> </v>
      </c>
      <c r="T164" s="654"/>
      <c r="U164" s="655" t="str">
        <f>IF(ISBLANK(P164)," ",IF(P164=Calcs!$I$42,"Lose 1 point of Magic Might or 1 Magical Quality",IF(P164=Calcs!$I$46,IF(ISBLANK(R164)," ",IF(AND(R164=0,T164&gt;0),CONCATENATE("Gain ",T164," points of magical inferiorities. Discuss."),VLOOKUP(R164,Calcs!$O$57:$P$63,2,TRUE))),"No effect")))</f>
        <v xml:space="preserve"> </v>
      </c>
      <c r="V164" s="654"/>
    </row>
    <row r="165" spans="15:22" x14ac:dyDescent="0.2">
      <c r="O165" s="654">
        <f t="shared" si="7"/>
        <v>1377</v>
      </c>
      <c r="P165" s="673"/>
      <c r="Q165" s="654" t="str">
        <f>IF(ISBLANK(P165)," ",IF(P165=Calcs!$I$46,"Yes","No"))</f>
        <v xml:space="preserve"> </v>
      </c>
      <c r="R165" s="654"/>
      <c r="S165" s="654" t="str">
        <f t="shared" si="6"/>
        <v xml:space="preserve"> </v>
      </c>
      <c r="T165" s="654"/>
      <c r="U165" s="655" t="str">
        <f>IF(ISBLANK(P165)," ",IF(P165=Calcs!$I$42,"Lose 1 point of Magic Might or 1 Magical Quality",IF(P165=Calcs!$I$46,IF(ISBLANK(R165)," ",IF(AND(R165=0,T165&gt;0),CONCATENATE("Gain ",T165," points of magical inferiorities. Discuss."),VLOOKUP(R165,Calcs!$O$57:$P$63,2,TRUE))),"No effect")))</f>
        <v xml:space="preserve"> </v>
      </c>
      <c r="V165" s="654"/>
    </row>
    <row r="166" spans="15:22" x14ac:dyDescent="0.2">
      <c r="O166" s="654">
        <f t="shared" si="7"/>
        <v>1378</v>
      </c>
      <c r="P166" s="673"/>
      <c r="Q166" s="654" t="str">
        <f>IF(ISBLANK(P166)," ",IF(P166=Calcs!$I$46,"Yes","No"))</f>
        <v xml:space="preserve"> </v>
      </c>
      <c r="R166" s="654"/>
      <c r="S166" s="654" t="str">
        <f t="shared" si="6"/>
        <v xml:space="preserve"> </v>
      </c>
      <c r="T166" s="654"/>
      <c r="U166" s="655" t="str">
        <f>IF(ISBLANK(P166)," ",IF(P166=Calcs!$I$42,"Lose 1 point of Magic Might or 1 Magical Quality",IF(P166=Calcs!$I$46,IF(ISBLANK(R166)," ",IF(AND(R166=0,T166&gt;0),CONCATENATE("Gain ",T166," points of magical inferiorities. Discuss."),VLOOKUP(R166,Calcs!$O$57:$P$63,2,TRUE))),"No effect")))</f>
        <v xml:space="preserve"> </v>
      </c>
      <c r="V166" s="654"/>
    </row>
    <row r="167" spans="15:22" x14ac:dyDescent="0.2">
      <c r="O167" s="654">
        <f t="shared" si="7"/>
        <v>1379</v>
      </c>
      <c r="P167" s="673"/>
      <c r="Q167" s="654" t="str">
        <f>IF(ISBLANK(P167)," ",IF(P167=Calcs!$I$46,"Yes","No"))</f>
        <v xml:space="preserve"> </v>
      </c>
      <c r="R167" s="654"/>
      <c r="S167" s="654" t="str">
        <f t="shared" si="6"/>
        <v xml:space="preserve"> </v>
      </c>
      <c r="T167" s="654"/>
      <c r="U167" s="655" t="str">
        <f>IF(ISBLANK(P167)," ",IF(P167=Calcs!$I$42,"Lose 1 point of Magic Might or 1 Magical Quality",IF(P167=Calcs!$I$46,IF(ISBLANK(R167)," ",IF(AND(R167=0,T167&gt;0),CONCATENATE("Gain ",T167," points of magical inferiorities. Discuss."),VLOOKUP(R167,Calcs!$O$57:$P$63,2,TRUE))),"No effect")))</f>
        <v xml:space="preserve"> </v>
      </c>
      <c r="V167" s="654"/>
    </row>
    <row r="168" spans="15:22" x14ac:dyDescent="0.2">
      <c r="O168" s="654">
        <f t="shared" si="7"/>
        <v>1380</v>
      </c>
      <c r="P168" s="673"/>
      <c r="Q168" s="654" t="str">
        <f>IF(ISBLANK(P168)," ",IF(P168=Calcs!$I$46,"Yes","No"))</f>
        <v xml:space="preserve"> </v>
      </c>
      <c r="R168" s="654"/>
      <c r="S168" s="654" t="str">
        <f t="shared" si="6"/>
        <v xml:space="preserve"> </v>
      </c>
      <c r="T168" s="654"/>
      <c r="U168" s="655" t="str">
        <f>IF(ISBLANK(P168)," ",IF(P168=Calcs!$I$42,"Lose 1 point of Magic Might or 1 Magical Quality",IF(P168=Calcs!$I$46,IF(ISBLANK(R168)," ",IF(AND(R168=0,T168&gt;0),CONCATENATE("Gain ",T168," points of magical inferiorities. Discuss."),VLOOKUP(R168,Calcs!$O$57:$P$63,2,TRUE))),"No effect")))</f>
        <v xml:space="preserve"> </v>
      </c>
      <c r="V168" s="654"/>
    </row>
    <row r="169" spans="15:22" x14ac:dyDescent="0.2">
      <c r="O169" s="654">
        <f t="shared" si="7"/>
        <v>1381</v>
      </c>
      <c r="P169" s="673"/>
      <c r="Q169" s="654" t="str">
        <f>IF(ISBLANK(P169)," ",IF(P169=Calcs!$I$46,"Yes","No"))</f>
        <v xml:space="preserve"> </v>
      </c>
      <c r="R169" s="654"/>
      <c r="S169" s="654" t="str">
        <f t="shared" si="6"/>
        <v xml:space="preserve"> </v>
      </c>
      <c r="T169" s="654"/>
      <c r="U169" s="655" t="str">
        <f>IF(ISBLANK(P169)," ",IF(P169=Calcs!$I$42,"Lose 1 point of Magic Might or 1 Magical Quality",IF(P169=Calcs!$I$46,IF(ISBLANK(R169)," ",IF(AND(R169=0,T169&gt;0),CONCATENATE("Gain ",T169," points of magical inferiorities. Discuss."),VLOOKUP(R169,Calcs!$O$57:$P$63,2,TRUE))),"No effect")))</f>
        <v xml:space="preserve"> </v>
      </c>
      <c r="V169" s="654"/>
    </row>
    <row r="170" spans="15:22" x14ac:dyDescent="0.2">
      <c r="O170" s="654">
        <f t="shared" si="7"/>
        <v>1382</v>
      </c>
      <c r="P170" s="673"/>
      <c r="Q170" s="654" t="str">
        <f>IF(ISBLANK(P170)," ",IF(P170=Calcs!$I$46,"Yes","No"))</f>
        <v xml:space="preserve"> </v>
      </c>
      <c r="R170" s="654"/>
      <c r="S170" s="654" t="str">
        <f t="shared" si="6"/>
        <v xml:space="preserve"> </v>
      </c>
      <c r="T170" s="654"/>
      <c r="U170" s="655" t="str">
        <f>IF(ISBLANK(P170)," ",IF(P170=Calcs!$I$42,"Lose 1 point of Magic Might or 1 Magical Quality",IF(P170=Calcs!$I$46,IF(ISBLANK(R170)," ",IF(AND(R170=0,T170&gt;0),CONCATENATE("Gain ",T170," points of magical inferiorities. Discuss."),VLOOKUP(R170,Calcs!$O$57:$P$63,2,TRUE))),"No effect")))</f>
        <v xml:space="preserve"> </v>
      </c>
      <c r="V170" s="654"/>
    </row>
    <row r="171" spans="15:22" x14ac:dyDescent="0.2">
      <c r="O171" s="654">
        <f t="shared" si="7"/>
        <v>1383</v>
      </c>
      <c r="P171" s="673"/>
      <c r="Q171" s="654" t="str">
        <f>IF(ISBLANK(P171)," ",IF(P171=Calcs!$I$46,"Yes","No"))</f>
        <v xml:space="preserve"> </v>
      </c>
      <c r="R171" s="654"/>
      <c r="S171" s="654" t="str">
        <f t="shared" si="6"/>
        <v xml:space="preserve"> </v>
      </c>
      <c r="T171" s="654"/>
      <c r="U171" s="655" t="str">
        <f>IF(ISBLANK(P171)," ",IF(P171=Calcs!$I$42,"Lose 1 point of Magic Might or 1 Magical Quality",IF(P171=Calcs!$I$46,IF(ISBLANK(R171)," ",IF(AND(R171=0,T171&gt;0),CONCATENATE("Gain ",T171," points of magical inferiorities. Discuss."),VLOOKUP(R171,Calcs!$O$57:$P$63,2,TRUE))),"No effect")))</f>
        <v xml:space="preserve"> </v>
      </c>
      <c r="V171" s="654"/>
    </row>
    <row r="172" spans="15:22" x14ac:dyDescent="0.2">
      <c r="O172" s="654">
        <f t="shared" si="7"/>
        <v>1384</v>
      </c>
      <c r="P172" s="673"/>
      <c r="Q172" s="654" t="str">
        <f>IF(ISBLANK(P172)," ",IF(P172=Calcs!$I$46,"Yes","No"))</f>
        <v xml:space="preserve"> </v>
      </c>
      <c r="R172" s="654"/>
      <c r="S172" s="654" t="str">
        <f t="shared" si="6"/>
        <v xml:space="preserve"> </v>
      </c>
      <c r="T172" s="654"/>
      <c r="U172" s="655" t="str">
        <f>IF(ISBLANK(P172)," ",IF(P172=Calcs!$I$42,"Lose 1 point of Magic Might or 1 Magical Quality",IF(P172=Calcs!$I$46,IF(ISBLANK(R172)," ",IF(AND(R172=0,T172&gt;0),CONCATENATE("Gain ",T172," points of magical inferiorities. Discuss."),VLOOKUP(R172,Calcs!$O$57:$P$63,2,TRUE))),"No effect")))</f>
        <v xml:space="preserve"> </v>
      </c>
      <c r="V172" s="654"/>
    </row>
    <row r="173" spans="15:22" x14ac:dyDescent="0.2">
      <c r="O173" s="654">
        <f t="shared" si="7"/>
        <v>1385</v>
      </c>
      <c r="P173" s="673"/>
      <c r="Q173" s="654" t="str">
        <f>IF(ISBLANK(P173)," ",IF(P173=Calcs!$I$46,"Yes","No"))</f>
        <v xml:space="preserve"> </v>
      </c>
      <c r="R173" s="654"/>
      <c r="S173" s="654" t="str">
        <f t="shared" si="6"/>
        <v xml:space="preserve"> </v>
      </c>
      <c r="T173" s="654"/>
      <c r="U173" s="655" t="str">
        <f>IF(ISBLANK(P173)," ",IF(P173=Calcs!$I$42,"Lose 1 point of Magic Might or 1 Magical Quality",IF(P173=Calcs!$I$46,IF(ISBLANK(R173)," ",IF(AND(R173=0,T173&gt;0),CONCATENATE("Gain ",T173," points of magical inferiorities. Discuss."),VLOOKUP(R173,Calcs!$O$57:$P$63,2,TRUE))),"No effect")))</f>
        <v xml:space="preserve"> </v>
      </c>
      <c r="V173" s="654"/>
    </row>
    <row r="174" spans="15:22" x14ac:dyDescent="0.2">
      <c r="O174" s="654">
        <f t="shared" si="7"/>
        <v>1386</v>
      </c>
      <c r="P174" s="673"/>
      <c r="Q174" s="654" t="str">
        <f>IF(ISBLANK(P174)," ",IF(P174=Calcs!$I$46,"Yes","No"))</f>
        <v xml:space="preserve"> </v>
      </c>
      <c r="R174" s="654"/>
      <c r="S174" s="654" t="str">
        <f t="shared" si="6"/>
        <v xml:space="preserve"> </v>
      </c>
      <c r="T174" s="654"/>
      <c r="U174" s="655" t="str">
        <f>IF(ISBLANK(P174)," ",IF(P174=Calcs!$I$42,"Lose 1 point of Magic Might or 1 Magical Quality",IF(P174=Calcs!$I$46,IF(ISBLANK(R174)," ",IF(AND(R174=0,T174&gt;0),CONCATENATE("Gain ",T174," points of magical inferiorities. Discuss."),VLOOKUP(R174,Calcs!$O$57:$P$63,2,TRUE))),"No effect")))</f>
        <v xml:space="preserve"> </v>
      </c>
      <c r="V174" s="654"/>
    </row>
    <row r="175" spans="15:22" x14ac:dyDescent="0.2">
      <c r="O175" s="654">
        <f t="shared" si="7"/>
        <v>1387</v>
      </c>
      <c r="P175" s="673"/>
      <c r="Q175" s="654" t="str">
        <f>IF(ISBLANK(P175)," ",IF(P175=Calcs!$I$46,"Yes","No"))</f>
        <v xml:space="preserve"> </v>
      </c>
      <c r="R175" s="654"/>
      <c r="S175" s="654" t="str">
        <f t="shared" si="6"/>
        <v xml:space="preserve"> </v>
      </c>
      <c r="T175" s="654"/>
      <c r="U175" s="655" t="str">
        <f>IF(ISBLANK(P175)," ",IF(P175=Calcs!$I$42,"Lose 1 point of Magic Might or 1 Magical Quality",IF(P175=Calcs!$I$46,IF(ISBLANK(R175)," ",IF(AND(R175=0,T175&gt;0),CONCATENATE("Gain ",T175," points of magical inferiorities. Discuss."),VLOOKUP(R175,Calcs!$O$57:$P$63,2,TRUE))),"No effect")))</f>
        <v xml:space="preserve"> </v>
      </c>
      <c r="V175" s="654"/>
    </row>
    <row r="176" spans="15:22" x14ac:dyDescent="0.2">
      <c r="O176" s="654">
        <f t="shared" si="7"/>
        <v>1388</v>
      </c>
      <c r="P176" s="673"/>
      <c r="Q176" s="654" t="str">
        <f>IF(ISBLANK(P176)," ",IF(P176=Calcs!$I$46,"Yes","No"))</f>
        <v xml:space="preserve"> </v>
      </c>
      <c r="R176" s="654"/>
      <c r="S176" s="654" t="str">
        <f t="shared" si="6"/>
        <v xml:space="preserve"> </v>
      </c>
      <c r="T176" s="654"/>
      <c r="U176" s="655" t="str">
        <f>IF(ISBLANK(P176)," ",IF(P176=Calcs!$I$42,"Lose 1 point of Magic Might or 1 Magical Quality",IF(P176=Calcs!$I$46,IF(ISBLANK(R176)," ",IF(AND(R176=0,T176&gt;0),CONCATENATE("Gain ",T176," points of magical inferiorities. Discuss."),VLOOKUP(R176,Calcs!$O$57:$P$63,2,TRUE))),"No effect")))</f>
        <v xml:space="preserve"> </v>
      </c>
      <c r="V176" s="654"/>
    </row>
    <row r="177" spans="15:22" x14ac:dyDescent="0.2">
      <c r="O177" s="654">
        <f t="shared" si="7"/>
        <v>1389</v>
      </c>
      <c r="P177" s="673"/>
      <c r="Q177" s="654" t="str">
        <f>IF(ISBLANK(P177)," ",IF(P177=Calcs!$I$46,"Yes","No"))</f>
        <v xml:space="preserve"> </v>
      </c>
      <c r="R177" s="654"/>
      <c r="S177" s="654" t="str">
        <f t="shared" si="6"/>
        <v xml:space="preserve"> </v>
      </c>
      <c r="T177" s="654"/>
      <c r="U177" s="655" t="str">
        <f>IF(ISBLANK(P177)," ",IF(P177=Calcs!$I$42,"Lose 1 point of Magic Might or 1 Magical Quality",IF(P177=Calcs!$I$46,IF(ISBLANK(R177)," ",IF(AND(R177=0,T177&gt;0),CONCATENATE("Gain ",T177," points of magical inferiorities. Discuss."),VLOOKUP(R177,Calcs!$O$57:$P$63,2,TRUE))),"No effect")))</f>
        <v xml:space="preserve"> </v>
      </c>
      <c r="V177" s="654"/>
    </row>
    <row r="178" spans="15:22" x14ac:dyDescent="0.2">
      <c r="O178" s="654">
        <f t="shared" si="7"/>
        <v>1390</v>
      </c>
      <c r="P178" s="673"/>
      <c r="Q178" s="654" t="str">
        <f>IF(ISBLANK(P178)," ",IF(P178=Calcs!$I$46,"Yes","No"))</f>
        <v xml:space="preserve"> </v>
      </c>
      <c r="R178" s="654"/>
      <c r="S178" s="654" t="str">
        <f t="shared" si="6"/>
        <v xml:space="preserve"> </v>
      </c>
      <c r="T178" s="654"/>
      <c r="U178" s="655" t="str">
        <f>IF(ISBLANK(P178)," ",IF(P178=Calcs!$I$42,"Lose 1 point of Magic Might or 1 Magical Quality",IF(P178=Calcs!$I$46,IF(ISBLANK(R178)," ",IF(AND(R178=0,T178&gt;0),CONCATENATE("Gain ",T178," points of magical inferiorities. Discuss."),VLOOKUP(R178,Calcs!$O$57:$P$63,2,TRUE))),"No effect")))</f>
        <v xml:space="preserve"> </v>
      </c>
      <c r="V178" s="654"/>
    </row>
    <row r="179" spans="15:22" x14ac:dyDescent="0.2">
      <c r="O179" s="654">
        <f t="shared" si="7"/>
        <v>1391</v>
      </c>
      <c r="P179" s="673"/>
      <c r="Q179" s="654" t="str">
        <f>IF(ISBLANK(P179)," ",IF(P179=Calcs!$I$46,"Yes","No"))</f>
        <v xml:space="preserve"> </v>
      </c>
      <c r="R179" s="654"/>
      <c r="S179" s="654" t="str">
        <f t="shared" si="6"/>
        <v xml:space="preserve"> </v>
      </c>
      <c r="T179" s="654"/>
      <c r="U179" s="655" t="str">
        <f>IF(ISBLANK(P179)," ",IF(P179=Calcs!$I$42,"Lose 1 point of Magic Might or 1 Magical Quality",IF(P179=Calcs!$I$46,IF(ISBLANK(R179)," ",IF(AND(R179=0,T179&gt;0),CONCATENATE("Gain ",T179," points of magical inferiorities. Discuss."),VLOOKUP(R179,Calcs!$O$57:$P$63,2,TRUE))),"No effect")))</f>
        <v xml:space="preserve"> </v>
      </c>
      <c r="V179" s="654"/>
    </row>
    <row r="180" spans="15:22" x14ac:dyDescent="0.2">
      <c r="O180" s="654">
        <f t="shared" si="7"/>
        <v>1392</v>
      </c>
      <c r="P180" s="673"/>
      <c r="Q180" s="654" t="str">
        <f>IF(ISBLANK(P180)," ",IF(P180=Calcs!$I$46,"Yes","No"))</f>
        <v xml:space="preserve"> </v>
      </c>
      <c r="R180" s="654"/>
      <c r="S180" s="654" t="str">
        <f t="shared" si="6"/>
        <v xml:space="preserve"> </v>
      </c>
      <c r="T180" s="654"/>
      <c r="U180" s="655" t="str">
        <f>IF(ISBLANK(P180)," ",IF(P180=Calcs!$I$42,"Lose 1 point of Magic Might or 1 Magical Quality",IF(P180=Calcs!$I$46,IF(ISBLANK(R180)," ",IF(AND(R180=0,T180&gt;0),CONCATENATE("Gain ",T180," points of magical inferiorities. Discuss."),VLOOKUP(R180,Calcs!$O$57:$P$63,2,TRUE))),"No effect")))</f>
        <v xml:space="preserve"> </v>
      </c>
      <c r="V180" s="654"/>
    </row>
    <row r="181" spans="15:22" x14ac:dyDescent="0.2">
      <c r="O181" s="654">
        <f t="shared" si="7"/>
        <v>1393</v>
      </c>
      <c r="P181" s="673"/>
      <c r="Q181" s="654" t="str">
        <f>IF(ISBLANK(P181)," ",IF(P181=Calcs!$I$46,"Yes","No"))</f>
        <v xml:space="preserve"> </v>
      </c>
      <c r="R181" s="654"/>
      <c r="S181" s="654" t="str">
        <f t="shared" si="6"/>
        <v xml:space="preserve"> </v>
      </c>
      <c r="T181" s="654"/>
      <c r="U181" s="655" t="str">
        <f>IF(ISBLANK(P181)," ",IF(P181=Calcs!$I$42,"Lose 1 point of Magic Might or 1 Magical Quality",IF(P181=Calcs!$I$46,IF(ISBLANK(R181)," ",IF(AND(R181=0,T181&gt;0),CONCATENATE("Gain ",T181," points of magical inferiorities. Discuss."),VLOOKUP(R181,Calcs!$O$57:$P$63,2,TRUE))),"No effect")))</f>
        <v xml:space="preserve"> </v>
      </c>
      <c r="V181" s="654"/>
    </row>
    <row r="182" spans="15:22" x14ac:dyDescent="0.2">
      <c r="O182" s="654">
        <f t="shared" si="7"/>
        <v>1394</v>
      </c>
      <c r="P182" s="673"/>
      <c r="Q182" s="654" t="str">
        <f>IF(ISBLANK(P182)," ",IF(P182=Calcs!$I$46,"Yes","No"))</f>
        <v xml:space="preserve"> </v>
      </c>
      <c r="R182" s="654"/>
      <c r="S182" s="654" t="str">
        <f t="shared" si="6"/>
        <v xml:space="preserve"> </v>
      </c>
      <c r="T182" s="654"/>
      <c r="U182" s="655" t="str">
        <f>IF(ISBLANK(P182)," ",IF(P182=Calcs!$I$42,"Lose 1 point of Magic Might or 1 Magical Quality",IF(P182=Calcs!$I$46,IF(ISBLANK(R182)," ",IF(AND(R182=0,T182&gt;0),CONCATENATE("Gain ",T182," points of magical inferiorities. Discuss."),VLOOKUP(R182,Calcs!$O$57:$P$63,2,TRUE))),"No effect")))</f>
        <v xml:space="preserve"> </v>
      </c>
      <c r="V182" s="654"/>
    </row>
    <row r="183" spans="15:22" x14ac:dyDescent="0.2">
      <c r="O183" s="654">
        <f t="shared" si="7"/>
        <v>1395</v>
      </c>
      <c r="P183" s="673"/>
      <c r="Q183" s="654" t="str">
        <f>IF(ISBLANK(P183)," ",IF(P183=Calcs!$I$46,"Yes","No"))</f>
        <v xml:space="preserve"> </v>
      </c>
      <c r="R183" s="654"/>
      <c r="S183" s="654" t="str">
        <f t="shared" si="6"/>
        <v xml:space="preserve"> </v>
      </c>
      <c r="T183" s="654"/>
      <c r="U183" s="655" t="str">
        <f>IF(ISBLANK(P183)," ",IF(P183=Calcs!$I$42,"Lose 1 point of Magic Might or 1 Magical Quality",IF(P183=Calcs!$I$46,IF(ISBLANK(R183)," ",IF(AND(R183=0,T183&gt;0),CONCATENATE("Gain ",T183," points of magical inferiorities. Discuss."),VLOOKUP(R183,Calcs!$O$57:$P$63,2,TRUE))),"No effect")))</f>
        <v xml:space="preserve"> </v>
      </c>
      <c r="V183" s="654"/>
    </row>
    <row r="184" spans="15:22" x14ac:dyDescent="0.2">
      <c r="O184" s="654">
        <f t="shared" si="7"/>
        <v>1396</v>
      </c>
      <c r="P184" s="673"/>
      <c r="Q184" s="654" t="str">
        <f>IF(ISBLANK(P184)," ",IF(P184=Calcs!$I$46,"Yes","No"))</f>
        <v xml:space="preserve"> </v>
      </c>
      <c r="R184" s="654"/>
      <c r="S184" s="654" t="str">
        <f t="shared" si="6"/>
        <v xml:space="preserve"> </v>
      </c>
      <c r="T184" s="654"/>
      <c r="U184" s="655" t="str">
        <f>IF(ISBLANK(P184)," ",IF(P184=Calcs!$I$42,"Lose 1 point of Magic Might or 1 Magical Quality",IF(P184=Calcs!$I$46,IF(ISBLANK(R184)," ",IF(AND(R184=0,T184&gt;0),CONCATENATE("Gain ",T184," points of magical inferiorities. Discuss."),VLOOKUP(R184,Calcs!$O$57:$P$63,2,TRUE))),"No effect")))</f>
        <v xml:space="preserve"> </v>
      </c>
      <c r="V184" s="654"/>
    </row>
    <row r="185" spans="15:22" x14ac:dyDescent="0.2">
      <c r="O185" s="654">
        <f t="shared" si="7"/>
        <v>1397</v>
      </c>
      <c r="P185" s="673"/>
      <c r="Q185" s="654" t="str">
        <f>IF(ISBLANK(P185)," ",IF(P185=Calcs!$I$46,"Yes","No"))</f>
        <v xml:space="preserve"> </v>
      </c>
      <c r="R185" s="654"/>
      <c r="S185" s="654" t="str">
        <f t="shared" si="6"/>
        <v xml:space="preserve"> </v>
      </c>
      <c r="T185" s="654"/>
      <c r="U185" s="655" t="str">
        <f>IF(ISBLANK(P185)," ",IF(P185=Calcs!$I$42,"Lose 1 point of Magic Might or 1 Magical Quality",IF(P185=Calcs!$I$46,IF(ISBLANK(R185)," ",IF(AND(R185=0,T185&gt;0),CONCATENATE("Gain ",T185," points of magical inferiorities. Discuss."),VLOOKUP(R185,Calcs!$O$57:$P$63,2,TRUE))),"No effect")))</f>
        <v xml:space="preserve"> </v>
      </c>
      <c r="V185" s="654"/>
    </row>
    <row r="186" spans="15:22" x14ac:dyDescent="0.2">
      <c r="O186" s="654">
        <f t="shared" si="7"/>
        <v>1398</v>
      </c>
      <c r="P186" s="673"/>
      <c r="Q186" s="654" t="str">
        <f>IF(ISBLANK(P186)," ",IF(P186=Calcs!$I$46,"Yes","No"))</f>
        <v xml:space="preserve"> </v>
      </c>
      <c r="R186" s="654"/>
      <c r="S186" s="654" t="str">
        <f t="shared" si="6"/>
        <v xml:space="preserve"> </v>
      </c>
      <c r="T186" s="654"/>
      <c r="U186" s="655" t="str">
        <f>IF(ISBLANK(P186)," ",IF(P186=Calcs!$I$42,"Lose 1 point of Magic Might or 1 Magical Quality",IF(P186=Calcs!$I$46,IF(ISBLANK(R186)," ",IF(AND(R186=0,T186&gt;0),CONCATENATE("Gain ",T186," points of magical inferiorities. Discuss."),VLOOKUP(R186,Calcs!$O$57:$P$63,2,TRUE))),"No effect")))</f>
        <v xml:space="preserve"> </v>
      </c>
      <c r="V186" s="654"/>
    </row>
    <row r="187" spans="15:22" x14ac:dyDescent="0.2">
      <c r="O187" s="654">
        <f t="shared" si="7"/>
        <v>1399</v>
      </c>
      <c r="P187" s="673"/>
      <c r="Q187" s="654" t="str">
        <f>IF(ISBLANK(P187)," ",IF(P187=Calcs!$I$46,"Yes","No"))</f>
        <v xml:space="preserve"> </v>
      </c>
      <c r="R187" s="654"/>
      <c r="S187" s="654" t="str">
        <f t="shared" si="6"/>
        <v xml:space="preserve"> </v>
      </c>
      <c r="T187" s="654"/>
      <c r="U187" s="655" t="str">
        <f>IF(ISBLANK(P187)," ",IF(P187=Calcs!$I$42,"Lose 1 point of Magic Might or 1 Magical Quality",IF(P187=Calcs!$I$46,IF(ISBLANK(R187)," ",IF(AND(R187=0,T187&gt;0),CONCATENATE("Gain ",T187," points of magical inferiorities. Discuss."),VLOOKUP(R187,Calcs!$O$57:$P$63,2,TRUE))),"No effect")))</f>
        <v xml:space="preserve"> </v>
      </c>
      <c r="V187" s="654"/>
    </row>
    <row r="188" spans="15:22" x14ac:dyDescent="0.2">
      <c r="O188" s="654">
        <f t="shared" si="7"/>
        <v>1400</v>
      </c>
      <c r="P188" s="673"/>
      <c r="Q188" s="654" t="str">
        <f>IF(ISBLANK(P188)," ",IF(P188=Calcs!$I$46,"Yes","No"))</f>
        <v xml:space="preserve"> </v>
      </c>
      <c r="R188" s="654"/>
      <c r="S188" s="654" t="str">
        <f t="shared" si="6"/>
        <v xml:space="preserve"> </v>
      </c>
      <c r="T188" s="654"/>
      <c r="U188" s="655" t="str">
        <f>IF(ISBLANK(P188)," ",IF(P188=Calcs!$I$42,"Lose 1 point of Magic Might or 1 Magical Quality",IF(P188=Calcs!$I$46,IF(ISBLANK(R188)," ",IF(AND(R188=0,T188&gt;0),CONCATENATE("Gain ",T188," points of magical inferiorities. Discuss."),VLOOKUP(R188,Calcs!$O$57:$P$63,2,TRUE))),"No effect")))</f>
        <v xml:space="preserve"> </v>
      </c>
      <c r="V188" s="654"/>
    </row>
    <row r="189" spans="15:22" x14ac:dyDescent="0.2">
      <c r="O189" s="654">
        <f t="shared" si="7"/>
        <v>1401</v>
      </c>
      <c r="P189" s="673"/>
      <c r="Q189" s="654" t="str">
        <f>IF(ISBLANK(P189)," ",IF(P189=Calcs!$I$46,"Yes","No"))</f>
        <v xml:space="preserve"> </v>
      </c>
      <c r="R189" s="654"/>
      <c r="S189" s="654" t="str">
        <f t="shared" si="6"/>
        <v xml:space="preserve"> </v>
      </c>
      <c r="T189" s="654"/>
      <c r="U189" s="655" t="str">
        <f>IF(ISBLANK(P189)," ",IF(P189=Calcs!$I$42,"Lose 1 point of Magic Might or 1 Magical Quality",IF(P189=Calcs!$I$46,IF(ISBLANK(R189)," ",IF(AND(R189=0,T189&gt;0),CONCATENATE("Gain ",T189," points of magical inferiorities. Discuss."),VLOOKUP(R189,Calcs!$O$57:$P$63,2,TRUE))),"No effect")))</f>
        <v xml:space="preserve"> </v>
      </c>
      <c r="V189" s="654"/>
    </row>
    <row r="190" spans="15:22" x14ac:dyDescent="0.2">
      <c r="O190" s="654">
        <f t="shared" si="7"/>
        <v>1402</v>
      </c>
      <c r="P190" s="673"/>
      <c r="Q190" s="654" t="str">
        <f>IF(ISBLANK(P190)," ",IF(P190=Calcs!$I$46,"Yes","No"))</f>
        <v xml:space="preserve"> </v>
      </c>
      <c r="R190" s="654"/>
      <c r="S190" s="654" t="str">
        <f t="shared" si="6"/>
        <v xml:space="preserve"> </v>
      </c>
      <c r="T190" s="654"/>
      <c r="U190" s="655" t="str">
        <f>IF(ISBLANK(P190)," ",IF(P190=Calcs!$I$42,"Lose 1 point of Magic Might or 1 Magical Quality",IF(P190=Calcs!$I$46,IF(ISBLANK(R190)," ",IF(AND(R190=0,T190&gt;0),CONCATENATE("Gain ",T190," points of magical inferiorities. Discuss."),VLOOKUP(R190,Calcs!$O$57:$P$63,2,TRUE))),"No effect")))</f>
        <v xml:space="preserve"> </v>
      </c>
      <c r="V190" s="654"/>
    </row>
    <row r="191" spans="15:22" x14ac:dyDescent="0.2">
      <c r="O191" s="654">
        <f t="shared" si="7"/>
        <v>1403</v>
      </c>
      <c r="P191" s="673"/>
      <c r="Q191" s="654" t="str">
        <f>IF(ISBLANK(P191)," ",IF(P191=Calcs!$I$46,"Yes","No"))</f>
        <v xml:space="preserve"> </v>
      </c>
      <c r="R191" s="654"/>
      <c r="S191" s="654" t="str">
        <f t="shared" si="6"/>
        <v xml:space="preserve"> </v>
      </c>
      <c r="T191" s="654"/>
      <c r="U191" s="655" t="str">
        <f>IF(ISBLANK(P191)," ",IF(P191=Calcs!$I$42,"Lose 1 point of Magic Might or 1 Magical Quality",IF(P191=Calcs!$I$46,IF(ISBLANK(R191)," ",IF(AND(R191=0,T191&gt;0),CONCATENATE("Gain ",T191," points of magical inferiorities. Discuss."),VLOOKUP(R191,Calcs!$O$57:$P$63,2,TRUE))),"No effect")))</f>
        <v xml:space="preserve"> </v>
      </c>
      <c r="V191" s="654"/>
    </row>
    <row r="192" spans="15:22" x14ac:dyDescent="0.2">
      <c r="O192" s="654">
        <f t="shared" si="7"/>
        <v>1404</v>
      </c>
      <c r="P192" s="673"/>
      <c r="Q192" s="654" t="str">
        <f>IF(ISBLANK(P192)," ",IF(P192=Calcs!$I$46,"Yes","No"))</f>
        <v xml:space="preserve"> </v>
      </c>
      <c r="R192" s="654"/>
      <c r="S192" s="654" t="str">
        <f t="shared" si="6"/>
        <v xml:space="preserve"> </v>
      </c>
      <c r="T192" s="654"/>
      <c r="U192" s="655" t="str">
        <f>IF(ISBLANK(P192)," ",IF(P192=Calcs!$I$42,"Lose 1 point of Magic Might or 1 Magical Quality",IF(P192=Calcs!$I$46,IF(ISBLANK(R192)," ",IF(AND(R192=0,T192&gt;0),CONCATENATE("Gain ",T192," points of magical inferiorities. Discuss."),VLOOKUP(R192,Calcs!$O$57:$P$63,2,TRUE))),"No effect")))</f>
        <v xml:space="preserve"> </v>
      </c>
      <c r="V192" s="654"/>
    </row>
    <row r="193" spans="15:22" x14ac:dyDescent="0.2">
      <c r="O193" s="654">
        <f t="shared" si="7"/>
        <v>1405</v>
      </c>
      <c r="P193" s="673"/>
      <c r="Q193" s="654" t="str">
        <f>IF(ISBLANK(P193)," ",IF(P193=Calcs!$I$46,"Yes","No"))</f>
        <v xml:space="preserve"> </v>
      </c>
      <c r="R193" s="654"/>
      <c r="S193" s="654" t="str">
        <f t="shared" si="6"/>
        <v xml:space="preserve"> </v>
      </c>
      <c r="T193" s="654"/>
      <c r="U193" s="655" t="str">
        <f>IF(ISBLANK(P193)," ",IF(P193=Calcs!$I$42,"Lose 1 point of Magic Might or 1 Magical Quality",IF(P193=Calcs!$I$46,IF(ISBLANK(R193)," ",IF(AND(R193=0,T193&gt;0),CONCATENATE("Gain ",T193," points of magical inferiorities. Discuss."),VLOOKUP(R193,Calcs!$O$57:$P$63,2,TRUE))),"No effect")))</f>
        <v xml:space="preserve"> </v>
      </c>
      <c r="V193" s="654"/>
    </row>
    <row r="194" spans="15:22" x14ac:dyDescent="0.2">
      <c r="O194" s="654">
        <f t="shared" si="7"/>
        <v>1406</v>
      </c>
      <c r="P194" s="673"/>
      <c r="Q194" s="654" t="str">
        <f>IF(ISBLANK(P194)," ",IF(P194=Calcs!$I$46,"Yes","No"))</f>
        <v xml:space="preserve"> </v>
      </c>
      <c r="R194" s="654"/>
      <c r="S194" s="654" t="str">
        <f t="shared" si="6"/>
        <v xml:space="preserve"> </v>
      </c>
      <c r="T194" s="654"/>
      <c r="U194" s="655" t="str">
        <f>IF(ISBLANK(P194)," ",IF(P194=Calcs!$I$42,"Lose 1 point of Magic Might or 1 Magical Quality",IF(P194=Calcs!$I$46,IF(ISBLANK(R194)," ",IF(AND(R194=0,T194&gt;0),CONCATENATE("Gain ",T194," points of magical inferiorities. Discuss."),VLOOKUP(R194,Calcs!$O$57:$P$63,2,TRUE))),"No effect")))</f>
        <v xml:space="preserve"> </v>
      </c>
      <c r="V194" s="654"/>
    </row>
    <row r="195" spans="15:22" x14ac:dyDescent="0.2">
      <c r="O195" s="654">
        <f t="shared" si="7"/>
        <v>1407</v>
      </c>
      <c r="P195" s="673"/>
      <c r="Q195" s="654" t="str">
        <f>IF(ISBLANK(P195)," ",IF(P195=Calcs!$I$46,"Yes","No"))</f>
        <v xml:space="preserve"> </v>
      </c>
      <c r="R195" s="654"/>
      <c r="S195" s="654" t="str">
        <f t="shared" si="6"/>
        <v xml:space="preserve"> </v>
      </c>
      <c r="T195" s="654"/>
      <c r="U195" s="655" t="str">
        <f>IF(ISBLANK(P195)," ",IF(P195=Calcs!$I$42,"Lose 1 point of Magic Might or 1 Magical Quality",IF(P195=Calcs!$I$46,IF(ISBLANK(R195)," ",IF(AND(R195=0,T195&gt;0),CONCATENATE("Gain ",T195," points of magical inferiorities. Discuss."),VLOOKUP(R195,Calcs!$O$57:$P$63,2,TRUE))),"No effect")))</f>
        <v xml:space="preserve"> </v>
      </c>
      <c r="V195" s="654"/>
    </row>
    <row r="196" spans="15:22" x14ac:dyDescent="0.2">
      <c r="O196" s="654">
        <f t="shared" si="7"/>
        <v>1408</v>
      </c>
      <c r="P196" s="673"/>
      <c r="Q196" s="654" t="str">
        <f>IF(ISBLANK(P196)," ",IF(P196=Calcs!$I$46,"Yes","No"))</f>
        <v xml:space="preserve"> </v>
      </c>
      <c r="R196" s="654"/>
      <c r="S196" s="654" t="str">
        <f t="shared" si="6"/>
        <v xml:space="preserve"> </v>
      </c>
      <c r="T196" s="654"/>
      <c r="U196" s="655" t="str">
        <f>IF(ISBLANK(P196)," ",IF(P196=Calcs!$I$42,"Lose 1 point of Magic Might or 1 Magical Quality",IF(P196=Calcs!$I$46,IF(ISBLANK(R196)," ",IF(AND(R196=0,T196&gt;0),CONCATENATE("Gain ",T196," points of magical inferiorities. Discuss."),VLOOKUP(R196,Calcs!$O$57:$P$63,2,TRUE))),"No effect")))</f>
        <v xml:space="preserve"> </v>
      </c>
      <c r="V196" s="654"/>
    </row>
    <row r="197" spans="15:22" x14ac:dyDescent="0.2">
      <c r="O197" s="654">
        <f t="shared" si="7"/>
        <v>1409</v>
      </c>
      <c r="P197" s="673"/>
      <c r="Q197" s="654" t="str">
        <f>IF(ISBLANK(P197)," ",IF(P197=Calcs!$I$46,"Yes","No"))</f>
        <v xml:space="preserve"> </v>
      </c>
      <c r="R197" s="654"/>
      <c r="S197" s="654" t="str">
        <f t="shared" ref="S197:S260" si="8">IF(ISBLANK(R197)," ",IF(R197=0,$J$21," "))</f>
        <v xml:space="preserve"> </v>
      </c>
      <c r="T197" s="654"/>
      <c r="U197" s="655" t="str">
        <f>IF(ISBLANK(P197)," ",IF(P197=Calcs!$I$42,"Lose 1 point of Magic Might or 1 Magical Quality",IF(P197=Calcs!$I$46,IF(ISBLANK(R197)," ",IF(AND(R197=0,T197&gt;0),CONCATENATE("Gain ",T197," points of magical inferiorities. Discuss."),VLOOKUP(R197,Calcs!$O$57:$P$63,2,TRUE))),"No effect")))</f>
        <v xml:space="preserve"> </v>
      </c>
      <c r="V197" s="654"/>
    </row>
    <row r="198" spans="15:22" x14ac:dyDescent="0.2">
      <c r="O198" s="654">
        <f t="shared" ref="O198:O261" si="9">O197+1</f>
        <v>1410</v>
      </c>
      <c r="P198" s="673"/>
      <c r="Q198" s="654" t="str">
        <f>IF(ISBLANK(P198)," ",IF(P198=Calcs!$I$46,"Yes","No"))</f>
        <v xml:space="preserve"> </v>
      </c>
      <c r="R198" s="654"/>
      <c r="S198" s="654" t="str">
        <f t="shared" si="8"/>
        <v xml:space="preserve"> </v>
      </c>
      <c r="T198" s="654"/>
      <c r="U198" s="655" t="str">
        <f>IF(ISBLANK(P198)," ",IF(P198=Calcs!$I$42,"Lose 1 point of Magic Might or 1 Magical Quality",IF(P198=Calcs!$I$46,IF(ISBLANK(R198)," ",IF(AND(R198=0,T198&gt;0),CONCATENATE("Gain ",T198," points of magical inferiorities. Discuss."),VLOOKUP(R198,Calcs!$O$57:$P$63,2,TRUE))),"No effect")))</f>
        <v xml:space="preserve"> </v>
      </c>
      <c r="V198" s="654"/>
    </row>
    <row r="199" spans="15:22" x14ac:dyDescent="0.2">
      <c r="O199" s="654">
        <f t="shared" si="9"/>
        <v>1411</v>
      </c>
      <c r="P199" s="673"/>
      <c r="Q199" s="654" t="str">
        <f>IF(ISBLANK(P199)," ",IF(P199=Calcs!$I$46,"Yes","No"))</f>
        <v xml:space="preserve"> </v>
      </c>
      <c r="R199" s="654"/>
      <c r="S199" s="654" t="str">
        <f t="shared" si="8"/>
        <v xml:space="preserve"> </v>
      </c>
      <c r="T199" s="654"/>
      <c r="U199" s="655" t="str">
        <f>IF(ISBLANK(P199)," ",IF(P199=Calcs!$I$42,"Lose 1 point of Magic Might or 1 Magical Quality",IF(P199=Calcs!$I$46,IF(ISBLANK(R199)," ",IF(AND(R199=0,T199&gt;0),CONCATENATE("Gain ",T199," points of magical inferiorities. Discuss."),VLOOKUP(R199,Calcs!$O$57:$P$63,2,TRUE))),"No effect")))</f>
        <v xml:space="preserve"> </v>
      </c>
      <c r="V199" s="654"/>
    </row>
    <row r="200" spans="15:22" x14ac:dyDescent="0.2">
      <c r="O200" s="654">
        <f t="shared" si="9"/>
        <v>1412</v>
      </c>
      <c r="P200" s="673"/>
      <c r="Q200" s="654" t="str">
        <f>IF(ISBLANK(P200)," ",IF(P200=Calcs!$I$46,"Yes","No"))</f>
        <v xml:space="preserve"> </v>
      </c>
      <c r="R200" s="654"/>
      <c r="S200" s="654" t="str">
        <f t="shared" si="8"/>
        <v xml:space="preserve"> </v>
      </c>
      <c r="T200" s="654"/>
      <c r="U200" s="655" t="str">
        <f>IF(ISBLANK(P200)," ",IF(P200=Calcs!$I$42,"Lose 1 point of Magic Might or 1 Magical Quality",IF(P200=Calcs!$I$46,IF(ISBLANK(R200)," ",IF(AND(R200=0,T200&gt;0),CONCATENATE("Gain ",T200," points of magical inferiorities. Discuss."),VLOOKUP(R200,Calcs!$O$57:$P$63,2,TRUE))),"No effect")))</f>
        <v xml:space="preserve"> </v>
      </c>
      <c r="V200" s="654"/>
    </row>
    <row r="201" spans="15:22" x14ac:dyDescent="0.2">
      <c r="O201" s="654">
        <f t="shared" si="9"/>
        <v>1413</v>
      </c>
      <c r="P201" s="673"/>
      <c r="Q201" s="654" t="str">
        <f>IF(ISBLANK(P201)," ",IF(P201=Calcs!$I$46,"Yes","No"))</f>
        <v xml:space="preserve"> </v>
      </c>
      <c r="R201" s="654"/>
      <c r="S201" s="654" t="str">
        <f t="shared" si="8"/>
        <v xml:space="preserve"> </v>
      </c>
      <c r="T201" s="654"/>
      <c r="U201" s="655" t="str">
        <f>IF(ISBLANK(P201)," ",IF(P201=Calcs!$I$42,"Lose 1 point of Magic Might or 1 Magical Quality",IF(P201=Calcs!$I$46,IF(ISBLANK(R201)," ",IF(AND(R201=0,T201&gt;0),CONCATENATE("Gain ",T201," points of magical inferiorities. Discuss."),VLOOKUP(R201,Calcs!$O$57:$P$63,2,TRUE))),"No effect")))</f>
        <v xml:space="preserve"> </v>
      </c>
      <c r="V201" s="654"/>
    </row>
    <row r="202" spans="15:22" x14ac:dyDescent="0.2">
      <c r="O202" s="654">
        <f t="shared" si="9"/>
        <v>1414</v>
      </c>
      <c r="P202" s="673"/>
      <c r="Q202" s="654" t="str">
        <f>IF(ISBLANK(P202)," ",IF(P202=Calcs!$I$46,"Yes","No"))</f>
        <v xml:space="preserve"> </v>
      </c>
      <c r="R202" s="654"/>
      <c r="S202" s="654" t="str">
        <f t="shared" si="8"/>
        <v xml:space="preserve"> </v>
      </c>
      <c r="T202" s="654"/>
      <c r="U202" s="655" t="str">
        <f>IF(ISBLANK(P202)," ",IF(P202=Calcs!$I$42,"Lose 1 point of Magic Might or 1 Magical Quality",IF(P202=Calcs!$I$46,IF(ISBLANK(R202)," ",IF(AND(R202=0,T202&gt;0),CONCATENATE("Gain ",T202," points of magical inferiorities. Discuss."),VLOOKUP(R202,Calcs!$O$57:$P$63,2,TRUE))),"No effect")))</f>
        <v xml:space="preserve"> </v>
      </c>
      <c r="V202" s="654"/>
    </row>
    <row r="203" spans="15:22" x14ac:dyDescent="0.2">
      <c r="O203" s="654">
        <f t="shared" si="9"/>
        <v>1415</v>
      </c>
      <c r="P203" s="673"/>
      <c r="Q203" s="654" t="str">
        <f>IF(ISBLANK(P203)," ",IF(P203=Calcs!$I$46,"Yes","No"))</f>
        <v xml:space="preserve"> </v>
      </c>
      <c r="R203" s="654"/>
      <c r="S203" s="654" t="str">
        <f t="shared" si="8"/>
        <v xml:space="preserve"> </v>
      </c>
      <c r="T203" s="654"/>
      <c r="U203" s="655" t="str">
        <f>IF(ISBLANK(P203)," ",IF(P203=Calcs!$I$42,"Lose 1 point of Magic Might or 1 Magical Quality",IF(P203=Calcs!$I$46,IF(ISBLANK(R203)," ",IF(AND(R203=0,T203&gt;0),CONCATENATE("Gain ",T203," points of magical inferiorities. Discuss."),VLOOKUP(R203,Calcs!$O$57:$P$63,2,TRUE))),"No effect")))</f>
        <v xml:space="preserve"> </v>
      </c>
      <c r="V203" s="654"/>
    </row>
    <row r="204" spans="15:22" x14ac:dyDescent="0.2">
      <c r="O204" s="654">
        <f t="shared" si="9"/>
        <v>1416</v>
      </c>
      <c r="P204" s="673"/>
      <c r="Q204" s="654" t="str">
        <f>IF(ISBLANK(P204)," ",IF(P204=Calcs!$I$46,"Yes","No"))</f>
        <v xml:space="preserve"> </v>
      </c>
      <c r="R204" s="654"/>
      <c r="S204" s="654" t="str">
        <f t="shared" si="8"/>
        <v xml:space="preserve"> </v>
      </c>
      <c r="T204" s="654"/>
      <c r="U204" s="655" t="str">
        <f>IF(ISBLANK(P204)," ",IF(P204=Calcs!$I$42,"Lose 1 point of Magic Might or 1 Magical Quality",IF(P204=Calcs!$I$46,IF(ISBLANK(R204)," ",IF(AND(R204=0,T204&gt;0),CONCATENATE("Gain ",T204," points of magical inferiorities. Discuss."),VLOOKUP(R204,Calcs!$O$57:$P$63,2,TRUE))),"No effect")))</f>
        <v xml:space="preserve"> </v>
      </c>
      <c r="V204" s="654"/>
    </row>
    <row r="205" spans="15:22" x14ac:dyDescent="0.2">
      <c r="O205" s="654">
        <f t="shared" si="9"/>
        <v>1417</v>
      </c>
      <c r="P205" s="673"/>
      <c r="Q205" s="654" t="str">
        <f>IF(ISBLANK(P205)," ",IF(P205=Calcs!$I$46,"Yes","No"))</f>
        <v xml:space="preserve"> </v>
      </c>
      <c r="R205" s="654"/>
      <c r="S205" s="654" t="str">
        <f t="shared" si="8"/>
        <v xml:space="preserve"> </v>
      </c>
      <c r="T205" s="654"/>
      <c r="U205" s="655" t="str">
        <f>IF(ISBLANK(P205)," ",IF(P205=Calcs!$I$42,"Lose 1 point of Magic Might or 1 Magical Quality",IF(P205=Calcs!$I$46,IF(ISBLANK(R205)," ",IF(AND(R205=0,T205&gt;0),CONCATENATE("Gain ",T205," points of magical inferiorities. Discuss."),VLOOKUP(R205,Calcs!$O$57:$P$63,2,TRUE))),"No effect")))</f>
        <v xml:space="preserve"> </v>
      </c>
      <c r="V205" s="654"/>
    </row>
    <row r="206" spans="15:22" x14ac:dyDescent="0.2">
      <c r="O206" s="654">
        <f t="shared" si="9"/>
        <v>1418</v>
      </c>
      <c r="P206" s="673"/>
      <c r="Q206" s="654" t="str">
        <f>IF(ISBLANK(P206)," ",IF(P206=Calcs!$I$46,"Yes","No"))</f>
        <v xml:space="preserve"> </v>
      </c>
      <c r="R206" s="654"/>
      <c r="S206" s="654" t="str">
        <f t="shared" si="8"/>
        <v xml:space="preserve"> </v>
      </c>
      <c r="T206" s="654"/>
      <c r="U206" s="655" t="str">
        <f>IF(ISBLANK(P206)," ",IF(P206=Calcs!$I$42,"Lose 1 point of Magic Might or 1 Magical Quality",IF(P206=Calcs!$I$46,IF(ISBLANK(R206)," ",IF(AND(R206=0,T206&gt;0),CONCATENATE("Gain ",T206," points of magical inferiorities. Discuss."),VLOOKUP(R206,Calcs!$O$57:$P$63,2,TRUE))),"No effect")))</f>
        <v xml:space="preserve"> </v>
      </c>
      <c r="V206" s="654"/>
    </row>
    <row r="207" spans="15:22" x14ac:dyDescent="0.2">
      <c r="O207" s="654">
        <f t="shared" si="9"/>
        <v>1419</v>
      </c>
      <c r="P207" s="673"/>
      <c r="Q207" s="654" t="str">
        <f>IF(ISBLANK(P207)," ",IF(P207=Calcs!$I$46,"Yes","No"))</f>
        <v xml:space="preserve"> </v>
      </c>
      <c r="R207" s="654"/>
      <c r="S207" s="654" t="str">
        <f t="shared" si="8"/>
        <v xml:space="preserve"> </v>
      </c>
      <c r="T207" s="654"/>
      <c r="U207" s="655" t="str">
        <f>IF(ISBLANK(P207)," ",IF(P207=Calcs!$I$42,"Lose 1 point of Magic Might or 1 Magical Quality",IF(P207=Calcs!$I$46,IF(ISBLANK(R207)," ",IF(AND(R207=0,T207&gt;0),CONCATENATE("Gain ",T207," points of magical inferiorities. Discuss."),VLOOKUP(R207,Calcs!$O$57:$P$63,2,TRUE))),"No effect")))</f>
        <v xml:space="preserve"> </v>
      </c>
      <c r="V207" s="654"/>
    </row>
    <row r="208" spans="15:22" x14ac:dyDescent="0.2">
      <c r="O208" s="654">
        <f t="shared" si="9"/>
        <v>1420</v>
      </c>
      <c r="P208" s="673"/>
      <c r="Q208" s="654" t="str">
        <f>IF(ISBLANK(P208)," ",IF(P208=Calcs!$I$46,"Yes","No"))</f>
        <v xml:space="preserve"> </v>
      </c>
      <c r="R208" s="654"/>
      <c r="S208" s="654" t="str">
        <f t="shared" si="8"/>
        <v xml:space="preserve"> </v>
      </c>
      <c r="T208" s="654"/>
      <c r="U208" s="655" t="str">
        <f>IF(ISBLANK(P208)," ",IF(P208=Calcs!$I$42,"Lose 1 point of Magic Might or 1 Magical Quality",IF(P208=Calcs!$I$46,IF(ISBLANK(R208)," ",IF(AND(R208=0,T208&gt;0),CONCATENATE("Gain ",T208," points of magical inferiorities. Discuss."),VLOOKUP(R208,Calcs!$O$57:$P$63,2,TRUE))),"No effect")))</f>
        <v xml:space="preserve"> </v>
      </c>
      <c r="V208" s="654"/>
    </row>
    <row r="209" spans="15:22" x14ac:dyDescent="0.2">
      <c r="O209" s="654">
        <f t="shared" si="9"/>
        <v>1421</v>
      </c>
      <c r="P209" s="673"/>
      <c r="Q209" s="654" t="str">
        <f>IF(ISBLANK(P209)," ",IF(P209=Calcs!$I$46,"Yes","No"))</f>
        <v xml:space="preserve"> </v>
      </c>
      <c r="R209" s="654"/>
      <c r="S209" s="654" t="str">
        <f t="shared" si="8"/>
        <v xml:space="preserve"> </v>
      </c>
      <c r="T209" s="654"/>
      <c r="U209" s="655" t="str">
        <f>IF(ISBLANK(P209)," ",IF(P209=Calcs!$I$42,"Lose 1 point of Magic Might or 1 Magical Quality",IF(P209=Calcs!$I$46,IF(ISBLANK(R209)," ",IF(AND(R209=0,T209&gt;0),CONCATENATE("Gain ",T209," points of magical inferiorities. Discuss."),VLOOKUP(R209,Calcs!$O$57:$P$63,2,TRUE))),"No effect")))</f>
        <v xml:space="preserve"> </v>
      </c>
      <c r="V209" s="654"/>
    </row>
    <row r="210" spans="15:22" x14ac:dyDescent="0.2">
      <c r="O210" s="654">
        <f t="shared" si="9"/>
        <v>1422</v>
      </c>
      <c r="P210" s="673"/>
      <c r="Q210" s="654" t="str">
        <f>IF(ISBLANK(P210)," ",IF(P210=Calcs!$I$46,"Yes","No"))</f>
        <v xml:space="preserve"> </v>
      </c>
      <c r="R210" s="654"/>
      <c r="S210" s="654" t="str">
        <f t="shared" si="8"/>
        <v xml:space="preserve"> </v>
      </c>
      <c r="T210" s="654"/>
      <c r="U210" s="655" t="str">
        <f>IF(ISBLANK(P210)," ",IF(P210=Calcs!$I$42,"Lose 1 point of Magic Might or 1 Magical Quality",IF(P210=Calcs!$I$46,IF(ISBLANK(R210)," ",IF(AND(R210=0,T210&gt;0),CONCATENATE("Gain ",T210," points of magical inferiorities. Discuss."),VLOOKUP(R210,Calcs!$O$57:$P$63,2,TRUE))),"No effect")))</f>
        <v xml:space="preserve"> </v>
      </c>
      <c r="V210" s="654"/>
    </row>
    <row r="211" spans="15:22" x14ac:dyDescent="0.2">
      <c r="O211" s="654">
        <f t="shared" si="9"/>
        <v>1423</v>
      </c>
      <c r="P211" s="673"/>
      <c r="Q211" s="654" t="str">
        <f>IF(ISBLANK(P211)," ",IF(P211=Calcs!$I$46,"Yes","No"))</f>
        <v xml:space="preserve"> </v>
      </c>
      <c r="R211" s="654"/>
      <c r="S211" s="654" t="str">
        <f t="shared" si="8"/>
        <v xml:space="preserve"> </v>
      </c>
      <c r="T211" s="654"/>
      <c r="U211" s="655" t="str">
        <f>IF(ISBLANK(P211)," ",IF(P211=Calcs!$I$42,"Lose 1 point of Magic Might or 1 Magical Quality",IF(P211=Calcs!$I$46,IF(ISBLANK(R211)," ",IF(AND(R211=0,T211&gt;0),CONCATENATE("Gain ",T211," points of magical inferiorities. Discuss."),VLOOKUP(R211,Calcs!$O$57:$P$63,2,TRUE))),"No effect")))</f>
        <v xml:space="preserve"> </v>
      </c>
      <c r="V211" s="654"/>
    </row>
    <row r="212" spans="15:22" x14ac:dyDescent="0.2">
      <c r="O212" s="654">
        <f t="shared" si="9"/>
        <v>1424</v>
      </c>
      <c r="P212" s="673"/>
      <c r="Q212" s="654" t="str">
        <f>IF(ISBLANK(P212)," ",IF(P212=Calcs!$I$46,"Yes","No"))</f>
        <v xml:space="preserve"> </v>
      </c>
      <c r="R212" s="654"/>
      <c r="S212" s="654" t="str">
        <f t="shared" si="8"/>
        <v xml:space="preserve"> </v>
      </c>
      <c r="T212" s="654"/>
      <c r="U212" s="655" t="str">
        <f>IF(ISBLANK(P212)," ",IF(P212=Calcs!$I$42,"Lose 1 point of Magic Might or 1 Magical Quality",IF(P212=Calcs!$I$46,IF(ISBLANK(R212)," ",IF(AND(R212=0,T212&gt;0),CONCATENATE("Gain ",T212," points of magical inferiorities. Discuss."),VLOOKUP(R212,Calcs!$O$57:$P$63,2,TRUE))),"No effect")))</f>
        <v xml:space="preserve"> </v>
      </c>
      <c r="V212" s="654"/>
    </row>
    <row r="213" spans="15:22" x14ac:dyDescent="0.2">
      <c r="O213" s="654">
        <f t="shared" si="9"/>
        <v>1425</v>
      </c>
      <c r="P213" s="673"/>
      <c r="Q213" s="654" t="str">
        <f>IF(ISBLANK(P213)," ",IF(P213=Calcs!$I$46,"Yes","No"))</f>
        <v xml:space="preserve"> </v>
      </c>
      <c r="R213" s="654"/>
      <c r="S213" s="654" t="str">
        <f t="shared" si="8"/>
        <v xml:space="preserve"> </v>
      </c>
      <c r="T213" s="654"/>
      <c r="U213" s="655" t="str">
        <f>IF(ISBLANK(P213)," ",IF(P213=Calcs!$I$42,"Lose 1 point of Magic Might or 1 Magical Quality",IF(P213=Calcs!$I$46,IF(ISBLANK(R213)," ",IF(AND(R213=0,T213&gt;0),CONCATENATE("Gain ",T213," points of magical inferiorities. Discuss."),VLOOKUP(R213,Calcs!$O$57:$P$63,2,TRUE))),"No effect")))</f>
        <v xml:space="preserve"> </v>
      </c>
      <c r="V213" s="654"/>
    </row>
    <row r="214" spans="15:22" x14ac:dyDescent="0.2">
      <c r="O214" s="654">
        <f t="shared" si="9"/>
        <v>1426</v>
      </c>
      <c r="P214" s="673"/>
      <c r="Q214" s="654" t="str">
        <f>IF(ISBLANK(P214)," ",IF(P214=Calcs!$I$46,"Yes","No"))</f>
        <v xml:space="preserve"> </v>
      </c>
      <c r="R214" s="654"/>
      <c r="S214" s="654" t="str">
        <f t="shared" si="8"/>
        <v xml:space="preserve"> </v>
      </c>
      <c r="T214" s="654"/>
      <c r="U214" s="655" t="str">
        <f>IF(ISBLANK(P214)," ",IF(P214=Calcs!$I$42,"Lose 1 point of Magic Might or 1 Magical Quality",IF(P214=Calcs!$I$46,IF(ISBLANK(R214)," ",IF(AND(R214=0,T214&gt;0),CONCATENATE("Gain ",T214," points of magical inferiorities. Discuss."),VLOOKUP(R214,Calcs!$O$57:$P$63,2,TRUE))),"No effect")))</f>
        <v xml:space="preserve"> </v>
      </c>
      <c r="V214" s="654"/>
    </row>
    <row r="215" spans="15:22" x14ac:dyDescent="0.2">
      <c r="O215" s="654">
        <f t="shared" si="9"/>
        <v>1427</v>
      </c>
      <c r="P215" s="673"/>
      <c r="Q215" s="654" t="str">
        <f>IF(ISBLANK(P215)," ",IF(P215=Calcs!$I$46,"Yes","No"))</f>
        <v xml:space="preserve"> </v>
      </c>
      <c r="R215" s="654"/>
      <c r="S215" s="654" t="str">
        <f t="shared" si="8"/>
        <v xml:space="preserve"> </v>
      </c>
      <c r="T215" s="654"/>
      <c r="U215" s="655" t="str">
        <f>IF(ISBLANK(P215)," ",IF(P215=Calcs!$I$42,"Lose 1 point of Magic Might or 1 Magical Quality",IF(P215=Calcs!$I$46,IF(ISBLANK(R215)," ",IF(AND(R215=0,T215&gt;0),CONCATENATE("Gain ",T215," points of magical inferiorities. Discuss."),VLOOKUP(R215,Calcs!$O$57:$P$63,2,TRUE))),"No effect")))</f>
        <v xml:space="preserve"> </v>
      </c>
      <c r="V215" s="654"/>
    </row>
    <row r="216" spans="15:22" x14ac:dyDescent="0.2">
      <c r="O216" s="654">
        <f t="shared" si="9"/>
        <v>1428</v>
      </c>
      <c r="P216" s="673"/>
      <c r="Q216" s="654" t="str">
        <f>IF(ISBLANK(P216)," ",IF(P216=Calcs!$I$46,"Yes","No"))</f>
        <v xml:space="preserve"> </v>
      </c>
      <c r="R216" s="654"/>
      <c r="S216" s="654" t="str">
        <f t="shared" si="8"/>
        <v xml:space="preserve"> </v>
      </c>
      <c r="T216" s="654"/>
      <c r="U216" s="655" t="str">
        <f>IF(ISBLANK(P216)," ",IF(P216=Calcs!$I$42,"Lose 1 point of Magic Might or 1 Magical Quality",IF(P216=Calcs!$I$46,IF(ISBLANK(R216)," ",IF(AND(R216=0,T216&gt;0),CONCATENATE("Gain ",T216," points of magical inferiorities. Discuss."),VLOOKUP(R216,Calcs!$O$57:$P$63,2,TRUE))),"No effect")))</f>
        <v xml:space="preserve"> </v>
      </c>
      <c r="V216" s="654"/>
    </row>
    <row r="217" spans="15:22" x14ac:dyDescent="0.2">
      <c r="O217" s="654">
        <f t="shared" si="9"/>
        <v>1429</v>
      </c>
      <c r="P217" s="673"/>
      <c r="Q217" s="654" t="str">
        <f>IF(ISBLANK(P217)," ",IF(P217=Calcs!$I$46,"Yes","No"))</f>
        <v xml:space="preserve"> </v>
      </c>
      <c r="R217" s="654"/>
      <c r="S217" s="654" t="str">
        <f t="shared" si="8"/>
        <v xml:space="preserve"> </v>
      </c>
      <c r="T217" s="654"/>
      <c r="U217" s="655" t="str">
        <f>IF(ISBLANK(P217)," ",IF(P217=Calcs!$I$42,"Lose 1 point of Magic Might or 1 Magical Quality",IF(P217=Calcs!$I$46,IF(ISBLANK(R217)," ",IF(AND(R217=0,T217&gt;0),CONCATENATE("Gain ",T217," points of magical inferiorities. Discuss."),VLOOKUP(R217,Calcs!$O$57:$P$63,2,TRUE))),"No effect")))</f>
        <v xml:space="preserve"> </v>
      </c>
      <c r="V217" s="654"/>
    </row>
    <row r="218" spans="15:22" x14ac:dyDescent="0.2">
      <c r="O218" s="654">
        <f t="shared" si="9"/>
        <v>1430</v>
      </c>
      <c r="P218" s="673"/>
      <c r="Q218" s="654" t="str">
        <f>IF(ISBLANK(P218)," ",IF(P218=Calcs!$I$46,"Yes","No"))</f>
        <v xml:space="preserve"> </v>
      </c>
      <c r="R218" s="654"/>
      <c r="S218" s="654" t="str">
        <f t="shared" si="8"/>
        <v xml:space="preserve"> </v>
      </c>
      <c r="T218" s="654"/>
      <c r="U218" s="655" t="str">
        <f>IF(ISBLANK(P218)," ",IF(P218=Calcs!$I$42,"Lose 1 point of Magic Might or 1 Magical Quality",IF(P218=Calcs!$I$46,IF(ISBLANK(R218)," ",IF(AND(R218=0,T218&gt;0),CONCATENATE("Gain ",T218," points of magical inferiorities. Discuss."),VLOOKUP(R218,Calcs!$O$57:$P$63,2,TRUE))),"No effect")))</f>
        <v xml:space="preserve"> </v>
      </c>
      <c r="V218" s="654"/>
    </row>
    <row r="219" spans="15:22" x14ac:dyDescent="0.2">
      <c r="O219" s="654">
        <f t="shared" si="9"/>
        <v>1431</v>
      </c>
      <c r="P219" s="673"/>
      <c r="Q219" s="654" t="str">
        <f>IF(ISBLANK(P219)," ",IF(P219=Calcs!$I$46,"Yes","No"))</f>
        <v xml:space="preserve"> </v>
      </c>
      <c r="R219" s="654"/>
      <c r="S219" s="654" t="str">
        <f t="shared" si="8"/>
        <v xml:space="preserve"> </v>
      </c>
      <c r="T219" s="654"/>
      <c r="U219" s="655" t="str">
        <f>IF(ISBLANK(P219)," ",IF(P219=Calcs!$I$42,"Lose 1 point of Magic Might or 1 Magical Quality",IF(P219=Calcs!$I$46,IF(ISBLANK(R219)," ",IF(AND(R219=0,T219&gt;0),CONCATENATE("Gain ",T219," points of magical inferiorities. Discuss."),VLOOKUP(R219,Calcs!$O$57:$P$63,2,TRUE))),"No effect")))</f>
        <v xml:space="preserve"> </v>
      </c>
      <c r="V219" s="654"/>
    </row>
    <row r="220" spans="15:22" x14ac:dyDescent="0.2">
      <c r="O220" s="654">
        <f t="shared" si="9"/>
        <v>1432</v>
      </c>
      <c r="P220" s="673"/>
      <c r="Q220" s="654" t="str">
        <f>IF(ISBLANK(P220)," ",IF(P220=Calcs!$I$46,"Yes","No"))</f>
        <v xml:space="preserve"> </v>
      </c>
      <c r="R220" s="654"/>
      <c r="S220" s="654" t="str">
        <f t="shared" si="8"/>
        <v xml:space="preserve"> </v>
      </c>
      <c r="T220" s="654"/>
      <c r="U220" s="655" t="str">
        <f>IF(ISBLANK(P220)," ",IF(P220=Calcs!$I$42,"Lose 1 point of Magic Might or 1 Magical Quality",IF(P220=Calcs!$I$46,IF(ISBLANK(R220)," ",IF(AND(R220=0,T220&gt;0),CONCATENATE("Gain ",T220," points of magical inferiorities. Discuss."),VLOOKUP(R220,Calcs!$O$57:$P$63,2,TRUE))),"No effect")))</f>
        <v xml:space="preserve"> </v>
      </c>
      <c r="V220" s="654"/>
    </row>
    <row r="221" spans="15:22" x14ac:dyDescent="0.2">
      <c r="O221" s="654">
        <f t="shared" si="9"/>
        <v>1433</v>
      </c>
      <c r="P221" s="673"/>
      <c r="Q221" s="654" t="str">
        <f>IF(ISBLANK(P221)," ",IF(P221=Calcs!$I$46,"Yes","No"))</f>
        <v xml:space="preserve"> </v>
      </c>
      <c r="R221" s="654"/>
      <c r="S221" s="654" t="str">
        <f t="shared" si="8"/>
        <v xml:space="preserve"> </v>
      </c>
      <c r="T221" s="654"/>
      <c r="U221" s="655" t="str">
        <f>IF(ISBLANK(P221)," ",IF(P221=Calcs!$I$42,"Lose 1 point of Magic Might or 1 Magical Quality",IF(P221=Calcs!$I$46,IF(ISBLANK(R221)," ",IF(AND(R221=0,T221&gt;0),CONCATENATE("Gain ",T221," points of magical inferiorities. Discuss."),VLOOKUP(R221,Calcs!$O$57:$P$63,2,TRUE))),"No effect")))</f>
        <v xml:space="preserve"> </v>
      </c>
      <c r="V221" s="654"/>
    </row>
    <row r="222" spans="15:22" x14ac:dyDescent="0.2">
      <c r="O222" s="654">
        <f t="shared" si="9"/>
        <v>1434</v>
      </c>
      <c r="P222" s="673"/>
      <c r="Q222" s="654" t="str">
        <f>IF(ISBLANK(P222)," ",IF(P222=Calcs!$I$46,"Yes","No"))</f>
        <v xml:space="preserve"> </v>
      </c>
      <c r="R222" s="654"/>
      <c r="S222" s="654" t="str">
        <f t="shared" si="8"/>
        <v xml:space="preserve"> </v>
      </c>
      <c r="T222" s="654"/>
      <c r="U222" s="655" t="str">
        <f>IF(ISBLANK(P222)," ",IF(P222=Calcs!$I$42,"Lose 1 point of Magic Might or 1 Magical Quality",IF(P222=Calcs!$I$46,IF(ISBLANK(R222)," ",IF(AND(R222=0,T222&gt;0),CONCATENATE("Gain ",T222," points of magical inferiorities. Discuss."),VLOOKUP(R222,Calcs!$O$57:$P$63,2,TRUE))),"No effect")))</f>
        <v xml:space="preserve"> </v>
      </c>
      <c r="V222" s="654"/>
    </row>
    <row r="223" spans="15:22" x14ac:dyDescent="0.2">
      <c r="O223" s="654">
        <f t="shared" si="9"/>
        <v>1435</v>
      </c>
      <c r="P223" s="673"/>
      <c r="Q223" s="654" t="str">
        <f>IF(ISBLANK(P223)," ",IF(P223=Calcs!$I$46,"Yes","No"))</f>
        <v xml:space="preserve"> </v>
      </c>
      <c r="R223" s="654"/>
      <c r="S223" s="654" t="str">
        <f t="shared" si="8"/>
        <v xml:space="preserve"> </v>
      </c>
      <c r="T223" s="654"/>
      <c r="U223" s="655" t="str">
        <f>IF(ISBLANK(P223)," ",IF(P223=Calcs!$I$42,"Lose 1 point of Magic Might or 1 Magical Quality",IF(P223=Calcs!$I$46,IF(ISBLANK(R223)," ",IF(AND(R223=0,T223&gt;0),CONCATENATE("Gain ",T223," points of magical inferiorities. Discuss."),VLOOKUP(R223,Calcs!$O$57:$P$63,2,TRUE))),"No effect")))</f>
        <v xml:space="preserve"> </v>
      </c>
      <c r="V223" s="654"/>
    </row>
    <row r="224" spans="15:22" x14ac:dyDescent="0.2">
      <c r="O224" s="654">
        <f t="shared" si="9"/>
        <v>1436</v>
      </c>
      <c r="P224" s="673"/>
      <c r="Q224" s="654" t="str">
        <f>IF(ISBLANK(P224)," ",IF(P224=Calcs!$I$46,"Yes","No"))</f>
        <v xml:space="preserve"> </v>
      </c>
      <c r="R224" s="654"/>
      <c r="S224" s="654" t="str">
        <f t="shared" si="8"/>
        <v xml:space="preserve"> </v>
      </c>
      <c r="T224" s="654"/>
      <c r="U224" s="655" t="str">
        <f>IF(ISBLANK(P224)," ",IF(P224=Calcs!$I$42,"Lose 1 point of Magic Might or 1 Magical Quality",IF(P224=Calcs!$I$46,IF(ISBLANK(R224)," ",IF(AND(R224=0,T224&gt;0),CONCATENATE("Gain ",T224," points of magical inferiorities. Discuss."),VLOOKUP(R224,Calcs!$O$57:$P$63,2,TRUE))),"No effect")))</f>
        <v xml:space="preserve"> </v>
      </c>
      <c r="V224" s="654"/>
    </row>
    <row r="225" spans="15:22" x14ac:dyDescent="0.2">
      <c r="O225" s="654">
        <f t="shared" si="9"/>
        <v>1437</v>
      </c>
      <c r="P225" s="673"/>
      <c r="Q225" s="654" t="str">
        <f>IF(ISBLANK(P225)," ",IF(P225=Calcs!$I$46,"Yes","No"))</f>
        <v xml:space="preserve"> </v>
      </c>
      <c r="R225" s="654"/>
      <c r="S225" s="654" t="str">
        <f t="shared" si="8"/>
        <v xml:space="preserve"> </v>
      </c>
      <c r="T225" s="654"/>
      <c r="U225" s="655" t="str">
        <f>IF(ISBLANK(P225)," ",IF(P225=Calcs!$I$42,"Lose 1 point of Magic Might or 1 Magical Quality",IF(P225=Calcs!$I$46,IF(ISBLANK(R225)," ",IF(AND(R225=0,T225&gt;0),CONCATENATE("Gain ",T225," points of magical inferiorities. Discuss."),VLOOKUP(R225,Calcs!$O$57:$P$63,2,TRUE))),"No effect")))</f>
        <v xml:space="preserve"> </v>
      </c>
      <c r="V225" s="654"/>
    </row>
    <row r="226" spans="15:22" x14ac:dyDescent="0.2">
      <c r="O226" s="654">
        <f t="shared" si="9"/>
        <v>1438</v>
      </c>
      <c r="P226" s="673"/>
      <c r="Q226" s="654" t="str">
        <f>IF(ISBLANK(P226)," ",IF(P226=Calcs!$I$46,"Yes","No"))</f>
        <v xml:space="preserve"> </v>
      </c>
      <c r="R226" s="654"/>
      <c r="S226" s="654" t="str">
        <f t="shared" si="8"/>
        <v xml:space="preserve"> </v>
      </c>
      <c r="T226" s="654"/>
      <c r="U226" s="655" t="str">
        <f>IF(ISBLANK(P226)," ",IF(P226=Calcs!$I$42,"Lose 1 point of Magic Might or 1 Magical Quality",IF(P226=Calcs!$I$46,IF(ISBLANK(R226)," ",IF(AND(R226=0,T226&gt;0),CONCATENATE("Gain ",T226," points of magical inferiorities. Discuss."),VLOOKUP(R226,Calcs!$O$57:$P$63,2,TRUE))),"No effect")))</f>
        <v xml:space="preserve"> </v>
      </c>
      <c r="V226" s="654"/>
    </row>
    <row r="227" spans="15:22" x14ac:dyDescent="0.2">
      <c r="O227" s="654">
        <f t="shared" si="9"/>
        <v>1439</v>
      </c>
      <c r="P227" s="673"/>
      <c r="Q227" s="654" t="str">
        <f>IF(ISBLANK(P227)," ",IF(P227=Calcs!$I$46,"Yes","No"))</f>
        <v xml:space="preserve"> </v>
      </c>
      <c r="R227" s="654"/>
      <c r="S227" s="654" t="str">
        <f t="shared" si="8"/>
        <v xml:space="preserve"> </v>
      </c>
      <c r="T227" s="654"/>
      <c r="U227" s="655" t="str">
        <f>IF(ISBLANK(P227)," ",IF(P227=Calcs!$I$42,"Lose 1 point of Magic Might or 1 Magical Quality",IF(P227=Calcs!$I$46,IF(ISBLANK(R227)," ",IF(AND(R227=0,T227&gt;0),CONCATENATE("Gain ",T227," points of magical inferiorities. Discuss."),VLOOKUP(R227,Calcs!$O$57:$P$63,2,TRUE))),"No effect")))</f>
        <v xml:space="preserve"> </v>
      </c>
      <c r="V227" s="654"/>
    </row>
    <row r="228" spans="15:22" x14ac:dyDescent="0.2">
      <c r="O228" s="654">
        <f t="shared" si="9"/>
        <v>1440</v>
      </c>
      <c r="P228" s="673"/>
      <c r="Q228" s="654" t="str">
        <f>IF(ISBLANK(P228)," ",IF(P228=Calcs!$I$46,"Yes","No"))</f>
        <v xml:space="preserve"> </v>
      </c>
      <c r="R228" s="654"/>
      <c r="S228" s="654" t="str">
        <f t="shared" si="8"/>
        <v xml:space="preserve"> </v>
      </c>
      <c r="T228" s="654"/>
      <c r="U228" s="655" t="str">
        <f>IF(ISBLANK(P228)," ",IF(P228=Calcs!$I$42,"Lose 1 point of Magic Might or 1 Magical Quality",IF(P228=Calcs!$I$46,IF(ISBLANK(R228)," ",IF(AND(R228=0,T228&gt;0),CONCATENATE("Gain ",T228," points of magical inferiorities. Discuss."),VLOOKUP(R228,Calcs!$O$57:$P$63,2,TRUE))),"No effect")))</f>
        <v xml:space="preserve"> </v>
      </c>
      <c r="V228" s="654"/>
    </row>
    <row r="229" spans="15:22" x14ac:dyDescent="0.2">
      <c r="O229" s="654">
        <f t="shared" si="9"/>
        <v>1441</v>
      </c>
      <c r="P229" s="673"/>
      <c r="Q229" s="654" t="str">
        <f>IF(ISBLANK(P229)," ",IF(P229=Calcs!$I$46,"Yes","No"))</f>
        <v xml:space="preserve"> </v>
      </c>
      <c r="R229" s="654"/>
      <c r="S229" s="654" t="str">
        <f t="shared" si="8"/>
        <v xml:space="preserve"> </v>
      </c>
      <c r="T229" s="654"/>
      <c r="U229" s="655" t="str">
        <f>IF(ISBLANK(P229)," ",IF(P229=Calcs!$I$42,"Lose 1 point of Magic Might or 1 Magical Quality",IF(P229=Calcs!$I$46,IF(ISBLANK(R229)," ",IF(AND(R229=0,T229&gt;0),CONCATENATE("Gain ",T229," points of magical inferiorities. Discuss."),VLOOKUP(R229,Calcs!$O$57:$P$63,2,TRUE))),"No effect")))</f>
        <v xml:space="preserve"> </v>
      </c>
      <c r="V229" s="654"/>
    </row>
    <row r="230" spans="15:22" x14ac:dyDescent="0.2">
      <c r="O230" s="654">
        <f t="shared" si="9"/>
        <v>1442</v>
      </c>
      <c r="P230" s="673"/>
      <c r="Q230" s="654" t="str">
        <f>IF(ISBLANK(P230)," ",IF(P230=Calcs!$I$46,"Yes","No"))</f>
        <v xml:space="preserve"> </v>
      </c>
      <c r="R230" s="654"/>
      <c r="S230" s="654" t="str">
        <f t="shared" si="8"/>
        <v xml:space="preserve"> </v>
      </c>
      <c r="T230" s="654"/>
      <c r="U230" s="655" t="str">
        <f>IF(ISBLANK(P230)," ",IF(P230=Calcs!$I$42,"Lose 1 point of Magic Might or 1 Magical Quality",IF(P230=Calcs!$I$46,IF(ISBLANK(R230)," ",IF(AND(R230=0,T230&gt;0),CONCATENATE("Gain ",T230," points of magical inferiorities. Discuss."),VLOOKUP(R230,Calcs!$O$57:$P$63,2,TRUE))),"No effect")))</f>
        <v xml:space="preserve"> </v>
      </c>
      <c r="V230" s="654"/>
    </row>
    <row r="231" spans="15:22" x14ac:dyDescent="0.2">
      <c r="O231" s="654">
        <f t="shared" si="9"/>
        <v>1443</v>
      </c>
      <c r="P231" s="673"/>
      <c r="Q231" s="654" t="str">
        <f>IF(ISBLANK(P231)," ",IF(P231=Calcs!$I$46,"Yes","No"))</f>
        <v xml:space="preserve"> </v>
      </c>
      <c r="R231" s="654"/>
      <c r="S231" s="654" t="str">
        <f t="shared" si="8"/>
        <v xml:space="preserve"> </v>
      </c>
      <c r="T231" s="654"/>
      <c r="U231" s="655" t="str">
        <f>IF(ISBLANK(P231)," ",IF(P231=Calcs!$I$42,"Lose 1 point of Magic Might or 1 Magical Quality",IF(P231=Calcs!$I$46,IF(ISBLANK(R231)," ",IF(AND(R231=0,T231&gt;0),CONCATENATE("Gain ",T231," points of magical inferiorities. Discuss."),VLOOKUP(R231,Calcs!$O$57:$P$63,2,TRUE))),"No effect")))</f>
        <v xml:space="preserve"> </v>
      </c>
      <c r="V231" s="654"/>
    </row>
    <row r="232" spans="15:22" x14ac:dyDescent="0.2">
      <c r="O232" s="654">
        <f t="shared" si="9"/>
        <v>1444</v>
      </c>
      <c r="P232" s="673"/>
      <c r="Q232" s="654" t="str">
        <f>IF(ISBLANK(P232)," ",IF(P232=Calcs!$I$46,"Yes","No"))</f>
        <v xml:space="preserve"> </v>
      </c>
      <c r="R232" s="654"/>
      <c r="S232" s="654" t="str">
        <f t="shared" si="8"/>
        <v xml:space="preserve"> </v>
      </c>
      <c r="T232" s="654"/>
      <c r="U232" s="655" t="str">
        <f>IF(ISBLANK(P232)," ",IF(P232=Calcs!$I$42,"Lose 1 point of Magic Might or 1 Magical Quality",IF(P232=Calcs!$I$46,IF(ISBLANK(R232)," ",IF(AND(R232=0,T232&gt;0),CONCATENATE("Gain ",T232," points of magical inferiorities. Discuss."),VLOOKUP(R232,Calcs!$O$57:$P$63,2,TRUE))),"No effect")))</f>
        <v xml:space="preserve"> </v>
      </c>
      <c r="V232" s="654"/>
    </row>
    <row r="233" spans="15:22" x14ac:dyDescent="0.2">
      <c r="O233" s="654">
        <f t="shared" si="9"/>
        <v>1445</v>
      </c>
      <c r="P233" s="673"/>
      <c r="Q233" s="654" t="str">
        <f>IF(ISBLANK(P233)," ",IF(P233=Calcs!$I$46,"Yes","No"))</f>
        <v xml:space="preserve"> </v>
      </c>
      <c r="R233" s="654"/>
      <c r="S233" s="654" t="str">
        <f t="shared" si="8"/>
        <v xml:space="preserve"> </v>
      </c>
      <c r="T233" s="654"/>
      <c r="U233" s="655" t="str">
        <f>IF(ISBLANK(P233)," ",IF(P233=Calcs!$I$42,"Lose 1 point of Magic Might or 1 Magical Quality",IF(P233=Calcs!$I$46,IF(ISBLANK(R233)," ",IF(AND(R233=0,T233&gt;0),CONCATENATE("Gain ",T233," points of magical inferiorities. Discuss."),VLOOKUP(R233,Calcs!$O$57:$P$63,2,TRUE))),"No effect")))</f>
        <v xml:space="preserve"> </v>
      </c>
      <c r="V233" s="654"/>
    </row>
    <row r="234" spans="15:22" x14ac:dyDescent="0.2">
      <c r="O234" s="654">
        <f t="shared" si="9"/>
        <v>1446</v>
      </c>
      <c r="P234" s="673"/>
      <c r="Q234" s="654" t="str">
        <f>IF(ISBLANK(P234)," ",IF(P234=Calcs!$I$46,"Yes","No"))</f>
        <v xml:space="preserve"> </v>
      </c>
      <c r="R234" s="654"/>
      <c r="S234" s="654" t="str">
        <f t="shared" si="8"/>
        <v xml:space="preserve"> </v>
      </c>
      <c r="T234" s="654"/>
      <c r="U234" s="655" t="str">
        <f>IF(ISBLANK(P234)," ",IF(P234=Calcs!$I$42,"Lose 1 point of Magic Might or 1 Magical Quality",IF(P234=Calcs!$I$46,IF(ISBLANK(R234)," ",IF(AND(R234=0,T234&gt;0),CONCATENATE("Gain ",T234," points of magical inferiorities. Discuss."),VLOOKUP(R234,Calcs!$O$57:$P$63,2,TRUE))),"No effect")))</f>
        <v xml:space="preserve"> </v>
      </c>
      <c r="V234" s="654"/>
    </row>
    <row r="235" spans="15:22" x14ac:dyDescent="0.2">
      <c r="O235" s="654">
        <f t="shared" si="9"/>
        <v>1447</v>
      </c>
      <c r="P235" s="673"/>
      <c r="Q235" s="654" t="str">
        <f>IF(ISBLANK(P235)," ",IF(P235=Calcs!$I$46,"Yes","No"))</f>
        <v xml:space="preserve"> </v>
      </c>
      <c r="R235" s="654"/>
      <c r="S235" s="654" t="str">
        <f t="shared" si="8"/>
        <v xml:space="preserve"> </v>
      </c>
      <c r="T235" s="654"/>
      <c r="U235" s="655" t="str">
        <f>IF(ISBLANK(P235)," ",IF(P235=Calcs!$I$42,"Lose 1 point of Magic Might or 1 Magical Quality",IF(P235=Calcs!$I$46,IF(ISBLANK(R235)," ",IF(AND(R235=0,T235&gt;0),CONCATENATE("Gain ",T235," points of magical inferiorities. Discuss."),VLOOKUP(R235,Calcs!$O$57:$P$63,2,TRUE))),"No effect")))</f>
        <v xml:space="preserve"> </v>
      </c>
      <c r="V235" s="654"/>
    </row>
    <row r="236" spans="15:22" x14ac:dyDescent="0.2">
      <c r="O236" s="654">
        <f t="shared" si="9"/>
        <v>1448</v>
      </c>
      <c r="P236" s="673"/>
      <c r="Q236" s="654" t="str">
        <f>IF(ISBLANK(P236)," ",IF(P236=Calcs!$I$46,"Yes","No"))</f>
        <v xml:space="preserve"> </v>
      </c>
      <c r="R236" s="654"/>
      <c r="S236" s="654" t="str">
        <f t="shared" si="8"/>
        <v xml:space="preserve"> </v>
      </c>
      <c r="T236" s="654"/>
      <c r="U236" s="655" t="str">
        <f>IF(ISBLANK(P236)," ",IF(P236=Calcs!$I$42,"Lose 1 point of Magic Might or 1 Magical Quality",IF(P236=Calcs!$I$46,IF(ISBLANK(R236)," ",IF(AND(R236=0,T236&gt;0),CONCATENATE("Gain ",T236," points of magical inferiorities. Discuss."),VLOOKUP(R236,Calcs!$O$57:$P$63,2,TRUE))),"No effect")))</f>
        <v xml:space="preserve"> </v>
      </c>
      <c r="V236" s="654"/>
    </row>
    <row r="237" spans="15:22" x14ac:dyDescent="0.2">
      <c r="O237" s="654">
        <f t="shared" si="9"/>
        <v>1449</v>
      </c>
      <c r="P237" s="673"/>
      <c r="Q237" s="654" t="str">
        <f>IF(ISBLANK(P237)," ",IF(P237=Calcs!$I$46,"Yes","No"))</f>
        <v xml:space="preserve"> </v>
      </c>
      <c r="R237" s="654"/>
      <c r="S237" s="654" t="str">
        <f t="shared" si="8"/>
        <v xml:space="preserve"> </v>
      </c>
      <c r="T237" s="654"/>
      <c r="U237" s="655" t="str">
        <f>IF(ISBLANK(P237)," ",IF(P237=Calcs!$I$42,"Lose 1 point of Magic Might or 1 Magical Quality",IF(P237=Calcs!$I$46,IF(ISBLANK(R237)," ",IF(AND(R237=0,T237&gt;0),CONCATENATE("Gain ",T237," points of magical inferiorities. Discuss."),VLOOKUP(R237,Calcs!$O$57:$P$63,2,TRUE))),"No effect")))</f>
        <v xml:space="preserve"> </v>
      </c>
      <c r="V237" s="654"/>
    </row>
    <row r="238" spans="15:22" x14ac:dyDescent="0.2">
      <c r="O238" s="654">
        <f t="shared" si="9"/>
        <v>1450</v>
      </c>
      <c r="P238" s="673"/>
      <c r="Q238" s="654" t="str">
        <f>IF(ISBLANK(P238)," ",IF(P238=Calcs!$I$46,"Yes","No"))</f>
        <v xml:space="preserve"> </v>
      </c>
      <c r="R238" s="654"/>
      <c r="S238" s="654" t="str">
        <f t="shared" si="8"/>
        <v xml:space="preserve"> </v>
      </c>
      <c r="T238" s="654"/>
      <c r="U238" s="655" t="str">
        <f>IF(ISBLANK(P238)," ",IF(P238=Calcs!$I$42,"Lose 1 point of Magic Might or 1 Magical Quality",IF(P238=Calcs!$I$46,IF(ISBLANK(R238)," ",IF(AND(R238=0,T238&gt;0),CONCATENATE("Gain ",T238," points of magical inferiorities. Discuss."),VLOOKUP(R238,Calcs!$O$57:$P$63,2,TRUE))),"No effect")))</f>
        <v xml:space="preserve"> </v>
      </c>
      <c r="V238" s="654"/>
    </row>
    <row r="239" spans="15:22" x14ac:dyDescent="0.2">
      <c r="O239" s="654">
        <f t="shared" si="9"/>
        <v>1451</v>
      </c>
      <c r="P239" s="673"/>
      <c r="Q239" s="654" t="str">
        <f>IF(ISBLANK(P239)," ",IF(P239=Calcs!$I$46,"Yes","No"))</f>
        <v xml:space="preserve"> </v>
      </c>
      <c r="R239" s="654"/>
      <c r="S239" s="654" t="str">
        <f t="shared" si="8"/>
        <v xml:space="preserve"> </v>
      </c>
      <c r="T239" s="654"/>
      <c r="U239" s="655" t="str">
        <f>IF(ISBLANK(P239)," ",IF(P239=Calcs!$I$42,"Lose 1 point of Magic Might or 1 Magical Quality",IF(P239=Calcs!$I$46,IF(ISBLANK(R239)," ",IF(AND(R239=0,T239&gt;0),CONCATENATE("Gain ",T239," points of magical inferiorities. Discuss."),VLOOKUP(R239,Calcs!$O$57:$P$63,2,TRUE))),"No effect")))</f>
        <v xml:space="preserve"> </v>
      </c>
      <c r="V239" s="654"/>
    </row>
    <row r="240" spans="15:22" x14ac:dyDescent="0.2">
      <c r="O240" s="654">
        <f t="shared" si="9"/>
        <v>1452</v>
      </c>
      <c r="P240" s="673"/>
      <c r="Q240" s="654" t="str">
        <f>IF(ISBLANK(P240)," ",IF(P240=Calcs!$I$46,"Yes","No"))</f>
        <v xml:space="preserve"> </v>
      </c>
      <c r="R240" s="654"/>
      <c r="S240" s="654" t="str">
        <f t="shared" si="8"/>
        <v xml:space="preserve"> </v>
      </c>
      <c r="T240" s="654"/>
      <c r="U240" s="655" t="str">
        <f>IF(ISBLANK(P240)," ",IF(P240=Calcs!$I$42,"Lose 1 point of Magic Might or 1 Magical Quality",IF(P240=Calcs!$I$46,IF(ISBLANK(R240)," ",IF(AND(R240=0,T240&gt;0),CONCATENATE("Gain ",T240," points of magical inferiorities. Discuss."),VLOOKUP(R240,Calcs!$O$57:$P$63,2,TRUE))),"No effect")))</f>
        <v xml:space="preserve"> </v>
      </c>
      <c r="V240" s="654"/>
    </row>
    <row r="241" spans="15:22" x14ac:dyDescent="0.2">
      <c r="O241" s="654">
        <f t="shared" si="9"/>
        <v>1453</v>
      </c>
      <c r="P241" s="673"/>
      <c r="Q241" s="654" t="str">
        <f>IF(ISBLANK(P241)," ",IF(P241=Calcs!$I$46,"Yes","No"))</f>
        <v xml:space="preserve"> </v>
      </c>
      <c r="R241" s="654"/>
      <c r="S241" s="654" t="str">
        <f t="shared" si="8"/>
        <v xml:space="preserve"> </v>
      </c>
      <c r="T241" s="654"/>
      <c r="U241" s="655" t="str">
        <f>IF(ISBLANK(P241)," ",IF(P241=Calcs!$I$42,"Lose 1 point of Magic Might or 1 Magical Quality",IF(P241=Calcs!$I$46,IF(ISBLANK(R241)," ",IF(AND(R241=0,T241&gt;0),CONCATENATE("Gain ",T241," points of magical inferiorities. Discuss."),VLOOKUP(R241,Calcs!$O$57:$P$63,2,TRUE))),"No effect")))</f>
        <v xml:space="preserve"> </v>
      </c>
      <c r="V241" s="654"/>
    </row>
    <row r="242" spans="15:22" x14ac:dyDescent="0.2">
      <c r="O242" s="654">
        <f t="shared" si="9"/>
        <v>1454</v>
      </c>
      <c r="P242" s="673"/>
      <c r="Q242" s="654" t="str">
        <f>IF(ISBLANK(P242)," ",IF(P242=Calcs!$I$46,"Yes","No"))</f>
        <v xml:space="preserve"> </v>
      </c>
      <c r="R242" s="654"/>
      <c r="S242" s="654" t="str">
        <f t="shared" si="8"/>
        <v xml:space="preserve"> </v>
      </c>
      <c r="T242" s="654"/>
      <c r="U242" s="655" t="str">
        <f>IF(ISBLANK(P242)," ",IF(P242=Calcs!$I$42,"Lose 1 point of Magic Might or 1 Magical Quality",IF(P242=Calcs!$I$46,IF(ISBLANK(R242)," ",IF(AND(R242=0,T242&gt;0),CONCATENATE("Gain ",T242," points of magical inferiorities. Discuss."),VLOOKUP(R242,Calcs!$O$57:$P$63,2,TRUE))),"No effect")))</f>
        <v xml:space="preserve"> </v>
      </c>
      <c r="V242" s="654"/>
    </row>
    <row r="243" spans="15:22" x14ac:dyDescent="0.2">
      <c r="O243" s="654">
        <f t="shared" si="9"/>
        <v>1455</v>
      </c>
      <c r="P243" s="673"/>
      <c r="Q243" s="654" t="str">
        <f>IF(ISBLANK(P243)," ",IF(P243=Calcs!$I$46,"Yes","No"))</f>
        <v xml:space="preserve"> </v>
      </c>
      <c r="R243" s="654"/>
      <c r="S243" s="654" t="str">
        <f t="shared" si="8"/>
        <v xml:space="preserve"> </v>
      </c>
      <c r="T243" s="654"/>
      <c r="U243" s="655" t="str">
        <f>IF(ISBLANK(P243)," ",IF(P243=Calcs!$I$42,"Lose 1 point of Magic Might or 1 Magical Quality",IF(P243=Calcs!$I$46,IF(ISBLANK(R243)," ",IF(AND(R243=0,T243&gt;0),CONCATENATE("Gain ",T243," points of magical inferiorities. Discuss."),VLOOKUP(R243,Calcs!$O$57:$P$63,2,TRUE))),"No effect")))</f>
        <v xml:space="preserve"> </v>
      </c>
      <c r="V243" s="654"/>
    </row>
    <row r="244" spans="15:22" x14ac:dyDescent="0.2">
      <c r="O244" s="654">
        <f t="shared" si="9"/>
        <v>1456</v>
      </c>
      <c r="P244" s="673"/>
      <c r="Q244" s="654" t="str">
        <f>IF(ISBLANK(P244)," ",IF(P244=Calcs!$I$46,"Yes","No"))</f>
        <v xml:space="preserve"> </v>
      </c>
      <c r="R244" s="654"/>
      <c r="S244" s="654" t="str">
        <f t="shared" si="8"/>
        <v xml:space="preserve"> </v>
      </c>
      <c r="T244" s="654"/>
      <c r="U244" s="655" t="str">
        <f>IF(ISBLANK(P244)," ",IF(P244=Calcs!$I$42,"Lose 1 point of Magic Might or 1 Magical Quality",IF(P244=Calcs!$I$46,IF(ISBLANK(R244)," ",IF(AND(R244=0,T244&gt;0),CONCATENATE("Gain ",T244," points of magical inferiorities. Discuss."),VLOOKUP(R244,Calcs!$O$57:$P$63,2,TRUE))),"No effect")))</f>
        <v xml:space="preserve"> </v>
      </c>
      <c r="V244" s="654"/>
    </row>
    <row r="245" spans="15:22" x14ac:dyDescent="0.2">
      <c r="O245" s="654">
        <f t="shared" si="9"/>
        <v>1457</v>
      </c>
      <c r="P245" s="673"/>
      <c r="Q245" s="654" t="str">
        <f>IF(ISBLANK(P245)," ",IF(P245=Calcs!$I$46,"Yes","No"))</f>
        <v xml:space="preserve"> </v>
      </c>
      <c r="R245" s="654"/>
      <c r="S245" s="654" t="str">
        <f t="shared" si="8"/>
        <v xml:space="preserve"> </v>
      </c>
      <c r="T245" s="654"/>
      <c r="U245" s="655" t="str">
        <f>IF(ISBLANK(P245)," ",IF(P245=Calcs!$I$42,"Lose 1 point of Magic Might or 1 Magical Quality",IF(P245=Calcs!$I$46,IF(ISBLANK(R245)," ",IF(AND(R245=0,T245&gt;0),CONCATENATE("Gain ",T245," points of magical inferiorities. Discuss."),VLOOKUP(R245,Calcs!$O$57:$P$63,2,TRUE))),"No effect")))</f>
        <v xml:space="preserve"> </v>
      </c>
      <c r="V245" s="654"/>
    </row>
    <row r="246" spans="15:22" x14ac:dyDescent="0.2">
      <c r="O246" s="654">
        <f t="shared" si="9"/>
        <v>1458</v>
      </c>
      <c r="P246" s="673"/>
      <c r="Q246" s="654" t="str">
        <f>IF(ISBLANK(P246)," ",IF(P246=Calcs!$I$46,"Yes","No"))</f>
        <v xml:space="preserve"> </v>
      </c>
      <c r="R246" s="654"/>
      <c r="S246" s="654" t="str">
        <f t="shared" si="8"/>
        <v xml:space="preserve"> </v>
      </c>
      <c r="T246" s="654"/>
      <c r="U246" s="655" t="str">
        <f>IF(ISBLANK(P246)," ",IF(P246=Calcs!$I$42,"Lose 1 point of Magic Might or 1 Magical Quality",IF(P246=Calcs!$I$46,IF(ISBLANK(R246)," ",IF(AND(R246=0,T246&gt;0),CONCATENATE("Gain ",T246," points of magical inferiorities. Discuss."),VLOOKUP(R246,Calcs!$O$57:$P$63,2,TRUE))),"No effect")))</f>
        <v xml:space="preserve"> </v>
      </c>
      <c r="V246" s="654"/>
    </row>
    <row r="247" spans="15:22" x14ac:dyDescent="0.2">
      <c r="O247" s="654">
        <f t="shared" si="9"/>
        <v>1459</v>
      </c>
      <c r="P247" s="673"/>
      <c r="Q247" s="654" t="str">
        <f>IF(ISBLANK(P247)," ",IF(P247=Calcs!$I$46,"Yes","No"))</f>
        <v xml:space="preserve"> </v>
      </c>
      <c r="R247" s="654"/>
      <c r="S247" s="654" t="str">
        <f t="shared" si="8"/>
        <v xml:space="preserve"> </v>
      </c>
      <c r="T247" s="654"/>
      <c r="U247" s="655" t="str">
        <f>IF(ISBLANK(P247)," ",IF(P247=Calcs!$I$42,"Lose 1 point of Magic Might or 1 Magical Quality",IF(P247=Calcs!$I$46,IF(ISBLANK(R247)," ",IF(AND(R247=0,T247&gt;0),CONCATENATE("Gain ",T247," points of magical inferiorities. Discuss."),VLOOKUP(R247,Calcs!$O$57:$P$63,2,TRUE))),"No effect")))</f>
        <v xml:space="preserve"> </v>
      </c>
      <c r="V247" s="654"/>
    </row>
    <row r="248" spans="15:22" x14ac:dyDescent="0.2">
      <c r="O248" s="654">
        <f t="shared" si="9"/>
        <v>1460</v>
      </c>
      <c r="P248" s="673"/>
      <c r="Q248" s="654" t="str">
        <f>IF(ISBLANK(P248)," ",IF(P248=Calcs!$I$46,"Yes","No"))</f>
        <v xml:space="preserve"> </v>
      </c>
      <c r="R248" s="654"/>
      <c r="S248" s="654" t="str">
        <f t="shared" si="8"/>
        <v xml:space="preserve"> </v>
      </c>
      <c r="T248" s="654"/>
      <c r="U248" s="655" t="str">
        <f>IF(ISBLANK(P248)," ",IF(P248=Calcs!$I$42,"Lose 1 point of Magic Might or 1 Magical Quality",IF(P248=Calcs!$I$46,IF(ISBLANK(R248)," ",IF(AND(R248=0,T248&gt;0),CONCATENATE("Gain ",T248," points of magical inferiorities. Discuss."),VLOOKUP(R248,Calcs!$O$57:$P$63,2,TRUE))),"No effect")))</f>
        <v xml:space="preserve"> </v>
      </c>
      <c r="V248" s="654"/>
    </row>
    <row r="249" spans="15:22" x14ac:dyDescent="0.2">
      <c r="O249" s="654">
        <f t="shared" si="9"/>
        <v>1461</v>
      </c>
      <c r="P249" s="673"/>
      <c r="Q249" s="654" t="str">
        <f>IF(ISBLANK(P249)," ",IF(P249=Calcs!$I$46,"Yes","No"))</f>
        <v xml:space="preserve"> </v>
      </c>
      <c r="R249" s="654"/>
      <c r="S249" s="654" t="str">
        <f t="shared" si="8"/>
        <v xml:space="preserve"> </v>
      </c>
      <c r="T249" s="654"/>
      <c r="U249" s="655" t="str">
        <f>IF(ISBLANK(P249)," ",IF(P249=Calcs!$I$42,"Lose 1 point of Magic Might or 1 Magical Quality",IF(P249=Calcs!$I$46,IF(ISBLANK(R249)," ",IF(AND(R249=0,T249&gt;0),CONCATENATE("Gain ",T249," points of magical inferiorities. Discuss."),VLOOKUP(R249,Calcs!$O$57:$P$63,2,TRUE))),"No effect")))</f>
        <v xml:space="preserve"> </v>
      </c>
      <c r="V249" s="654"/>
    </row>
    <row r="250" spans="15:22" x14ac:dyDescent="0.2">
      <c r="O250" s="654">
        <f t="shared" si="9"/>
        <v>1462</v>
      </c>
      <c r="P250" s="673"/>
      <c r="Q250" s="654" t="str">
        <f>IF(ISBLANK(P250)," ",IF(P250=Calcs!$I$46,"Yes","No"))</f>
        <v xml:space="preserve"> </v>
      </c>
      <c r="R250" s="654"/>
      <c r="S250" s="654" t="str">
        <f t="shared" si="8"/>
        <v xml:space="preserve"> </v>
      </c>
      <c r="T250" s="654"/>
      <c r="U250" s="655" t="str">
        <f>IF(ISBLANK(P250)," ",IF(P250=Calcs!$I$42,"Lose 1 point of Magic Might or 1 Magical Quality",IF(P250=Calcs!$I$46,IF(ISBLANK(R250)," ",IF(AND(R250=0,T250&gt;0),CONCATENATE("Gain ",T250," points of magical inferiorities. Discuss."),VLOOKUP(R250,Calcs!$O$57:$P$63,2,TRUE))),"No effect")))</f>
        <v xml:space="preserve"> </v>
      </c>
      <c r="V250" s="654"/>
    </row>
    <row r="251" spans="15:22" x14ac:dyDescent="0.2">
      <c r="O251" s="654">
        <f t="shared" si="9"/>
        <v>1463</v>
      </c>
      <c r="P251" s="673"/>
      <c r="Q251" s="654" t="str">
        <f>IF(ISBLANK(P251)," ",IF(P251=Calcs!$I$46,"Yes","No"))</f>
        <v xml:space="preserve"> </v>
      </c>
      <c r="R251" s="654"/>
      <c r="S251" s="654" t="str">
        <f t="shared" si="8"/>
        <v xml:space="preserve"> </v>
      </c>
      <c r="T251" s="654"/>
      <c r="U251" s="655" t="str">
        <f>IF(ISBLANK(P251)," ",IF(P251=Calcs!$I$42,"Lose 1 point of Magic Might or 1 Magical Quality",IF(P251=Calcs!$I$46,IF(ISBLANK(R251)," ",IF(AND(R251=0,T251&gt;0),CONCATENATE("Gain ",T251," points of magical inferiorities. Discuss."),VLOOKUP(R251,Calcs!$O$57:$P$63,2,TRUE))),"No effect")))</f>
        <v xml:space="preserve"> </v>
      </c>
      <c r="V251" s="654"/>
    </row>
    <row r="252" spans="15:22" x14ac:dyDescent="0.2">
      <c r="O252" s="654">
        <f t="shared" si="9"/>
        <v>1464</v>
      </c>
      <c r="P252" s="673"/>
      <c r="Q252" s="654" t="str">
        <f>IF(ISBLANK(P252)," ",IF(P252=Calcs!$I$46,"Yes","No"))</f>
        <v xml:space="preserve"> </v>
      </c>
      <c r="R252" s="654"/>
      <c r="S252" s="654" t="str">
        <f t="shared" si="8"/>
        <v xml:space="preserve"> </v>
      </c>
      <c r="T252" s="654"/>
      <c r="U252" s="655" t="str">
        <f>IF(ISBLANK(P252)," ",IF(P252=Calcs!$I$42,"Lose 1 point of Magic Might or 1 Magical Quality",IF(P252=Calcs!$I$46,IF(ISBLANK(R252)," ",IF(AND(R252=0,T252&gt;0),CONCATENATE("Gain ",T252," points of magical inferiorities. Discuss."),VLOOKUP(R252,Calcs!$O$57:$P$63,2,TRUE))),"No effect")))</f>
        <v xml:space="preserve"> </v>
      </c>
      <c r="V252" s="654"/>
    </row>
    <row r="253" spans="15:22" x14ac:dyDescent="0.2">
      <c r="O253" s="654">
        <f t="shared" si="9"/>
        <v>1465</v>
      </c>
      <c r="P253" s="673"/>
      <c r="Q253" s="654" t="str">
        <f>IF(ISBLANK(P253)," ",IF(P253=Calcs!$I$46,"Yes","No"))</f>
        <v xml:space="preserve"> </v>
      </c>
      <c r="R253" s="654"/>
      <c r="S253" s="654" t="str">
        <f t="shared" si="8"/>
        <v xml:space="preserve"> </v>
      </c>
      <c r="T253" s="654"/>
      <c r="U253" s="655" t="str">
        <f>IF(ISBLANK(P253)," ",IF(P253=Calcs!$I$42,"Lose 1 point of Magic Might or 1 Magical Quality",IF(P253=Calcs!$I$46,IF(ISBLANK(R253)," ",IF(AND(R253=0,T253&gt;0),CONCATENATE("Gain ",T253," points of magical inferiorities. Discuss."),VLOOKUP(R253,Calcs!$O$57:$P$63,2,TRUE))),"No effect")))</f>
        <v xml:space="preserve"> </v>
      </c>
      <c r="V253" s="654"/>
    </row>
    <row r="254" spans="15:22" x14ac:dyDescent="0.2">
      <c r="O254" s="654">
        <f t="shared" si="9"/>
        <v>1466</v>
      </c>
      <c r="P254" s="673"/>
      <c r="Q254" s="654" t="str">
        <f>IF(ISBLANK(P254)," ",IF(P254=Calcs!$I$46,"Yes","No"))</f>
        <v xml:space="preserve"> </v>
      </c>
      <c r="R254" s="654"/>
      <c r="S254" s="654" t="str">
        <f t="shared" si="8"/>
        <v xml:space="preserve"> </v>
      </c>
      <c r="T254" s="654"/>
      <c r="U254" s="655" t="str">
        <f>IF(ISBLANK(P254)," ",IF(P254=Calcs!$I$42,"Lose 1 point of Magic Might or 1 Magical Quality",IF(P254=Calcs!$I$46,IF(ISBLANK(R254)," ",IF(AND(R254=0,T254&gt;0),CONCATENATE("Gain ",T254," points of magical inferiorities. Discuss."),VLOOKUP(R254,Calcs!$O$57:$P$63,2,TRUE))),"No effect")))</f>
        <v xml:space="preserve"> </v>
      </c>
      <c r="V254" s="654"/>
    </row>
    <row r="255" spans="15:22" x14ac:dyDescent="0.2">
      <c r="O255" s="654">
        <f t="shared" si="9"/>
        <v>1467</v>
      </c>
      <c r="P255" s="673"/>
      <c r="Q255" s="654" t="str">
        <f>IF(ISBLANK(P255)," ",IF(P255=Calcs!$I$46,"Yes","No"))</f>
        <v xml:space="preserve"> </v>
      </c>
      <c r="R255" s="654"/>
      <c r="S255" s="654" t="str">
        <f t="shared" si="8"/>
        <v xml:space="preserve"> </v>
      </c>
      <c r="T255" s="654"/>
      <c r="U255" s="655" t="str">
        <f>IF(ISBLANK(P255)," ",IF(P255=Calcs!$I$42,"Lose 1 point of Magic Might or 1 Magical Quality",IF(P255=Calcs!$I$46,IF(ISBLANK(R255)," ",IF(AND(R255=0,T255&gt;0),CONCATENATE("Gain ",T255," points of magical inferiorities. Discuss."),VLOOKUP(R255,Calcs!$O$57:$P$63,2,TRUE))),"No effect")))</f>
        <v xml:space="preserve"> </v>
      </c>
      <c r="V255" s="654"/>
    </row>
    <row r="256" spans="15:22" x14ac:dyDescent="0.2">
      <c r="O256" s="654">
        <f t="shared" si="9"/>
        <v>1468</v>
      </c>
      <c r="P256" s="673"/>
      <c r="Q256" s="654" t="str">
        <f>IF(ISBLANK(P256)," ",IF(P256=Calcs!$I$46,"Yes","No"))</f>
        <v xml:space="preserve"> </v>
      </c>
      <c r="R256" s="654"/>
      <c r="S256" s="654" t="str">
        <f t="shared" si="8"/>
        <v xml:space="preserve"> </v>
      </c>
      <c r="T256" s="654"/>
      <c r="U256" s="655" t="str">
        <f>IF(ISBLANK(P256)," ",IF(P256=Calcs!$I$42,"Lose 1 point of Magic Might or 1 Magical Quality",IF(P256=Calcs!$I$46,IF(ISBLANK(R256)," ",IF(AND(R256=0,T256&gt;0),CONCATENATE("Gain ",T256," points of magical inferiorities. Discuss."),VLOOKUP(R256,Calcs!$O$57:$P$63,2,TRUE))),"No effect")))</f>
        <v xml:space="preserve"> </v>
      </c>
      <c r="V256" s="654"/>
    </row>
    <row r="257" spans="15:22" x14ac:dyDescent="0.2">
      <c r="O257" s="654">
        <f t="shared" si="9"/>
        <v>1469</v>
      </c>
      <c r="P257" s="673"/>
      <c r="Q257" s="654" t="str">
        <f>IF(ISBLANK(P257)," ",IF(P257=Calcs!$I$46,"Yes","No"))</f>
        <v xml:space="preserve"> </v>
      </c>
      <c r="R257" s="654"/>
      <c r="S257" s="654" t="str">
        <f t="shared" si="8"/>
        <v xml:space="preserve"> </v>
      </c>
      <c r="T257" s="654"/>
      <c r="U257" s="655" t="str">
        <f>IF(ISBLANK(P257)," ",IF(P257=Calcs!$I$42,"Lose 1 point of Magic Might or 1 Magical Quality",IF(P257=Calcs!$I$46,IF(ISBLANK(R257)," ",IF(AND(R257=0,T257&gt;0),CONCATENATE("Gain ",T257," points of magical inferiorities. Discuss."),VLOOKUP(R257,Calcs!$O$57:$P$63,2,TRUE))),"No effect")))</f>
        <v xml:space="preserve"> </v>
      </c>
      <c r="V257" s="654"/>
    </row>
    <row r="258" spans="15:22" x14ac:dyDescent="0.2">
      <c r="O258" s="654">
        <f t="shared" si="9"/>
        <v>1470</v>
      </c>
      <c r="P258" s="673"/>
      <c r="Q258" s="654" t="str">
        <f>IF(ISBLANK(P258)," ",IF(P258=Calcs!$I$46,"Yes","No"))</f>
        <v xml:space="preserve"> </v>
      </c>
      <c r="R258" s="654"/>
      <c r="S258" s="654" t="str">
        <f t="shared" si="8"/>
        <v xml:space="preserve"> </v>
      </c>
      <c r="T258" s="654"/>
      <c r="U258" s="655" t="str">
        <f>IF(ISBLANK(P258)," ",IF(P258=Calcs!$I$42,"Lose 1 point of Magic Might or 1 Magical Quality",IF(P258=Calcs!$I$46,IF(ISBLANK(R258)," ",IF(AND(R258=0,T258&gt;0),CONCATENATE("Gain ",T258," points of magical inferiorities. Discuss."),VLOOKUP(R258,Calcs!$O$57:$P$63,2,TRUE))),"No effect")))</f>
        <v xml:space="preserve"> </v>
      </c>
      <c r="V258" s="654"/>
    </row>
    <row r="259" spans="15:22" x14ac:dyDescent="0.2">
      <c r="O259" s="654">
        <f t="shared" si="9"/>
        <v>1471</v>
      </c>
      <c r="P259" s="673"/>
      <c r="Q259" s="654" t="str">
        <f>IF(ISBLANK(P259)," ",IF(P259=Calcs!$I$46,"Yes","No"))</f>
        <v xml:space="preserve"> </v>
      </c>
      <c r="R259" s="654"/>
      <c r="S259" s="654" t="str">
        <f t="shared" si="8"/>
        <v xml:space="preserve"> </v>
      </c>
      <c r="T259" s="654"/>
      <c r="U259" s="655" t="str">
        <f>IF(ISBLANK(P259)," ",IF(P259=Calcs!$I$42,"Lose 1 point of Magic Might or 1 Magical Quality",IF(P259=Calcs!$I$46,IF(ISBLANK(R259)," ",IF(AND(R259=0,T259&gt;0),CONCATENATE("Gain ",T259," points of magical inferiorities. Discuss."),VLOOKUP(R259,Calcs!$O$57:$P$63,2,TRUE))),"No effect")))</f>
        <v xml:space="preserve"> </v>
      </c>
      <c r="V259" s="654"/>
    </row>
    <row r="260" spans="15:22" x14ac:dyDescent="0.2">
      <c r="O260" s="654">
        <f t="shared" si="9"/>
        <v>1472</v>
      </c>
      <c r="P260" s="673"/>
      <c r="Q260" s="654" t="str">
        <f>IF(ISBLANK(P260)," ",IF(P260=Calcs!$I$46,"Yes","No"))</f>
        <v xml:space="preserve"> </v>
      </c>
      <c r="R260" s="654"/>
      <c r="S260" s="654" t="str">
        <f t="shared" si="8"/>
        <v xml:space="preserve"> </v>
      </c>
      <c r="T260" s="654"/>
      <c r="U260" s="655" t="str">
        <f>IF(ISBLANK(P260)," ",IF(P260=Calcs!$I$42,"Lose 1 point of Magic Might or 1 Magical Quality",IF(P260=Calcs!$I$46,IF(ISBLANK(R260)," ",IF(AND(R260=0,T260&gt;0),CONCATENATE("Gain ",T260," points of magical inferiorities. Discuss."),VLOOKUP(R260,Calcs!$O$57:$P$63,2,TRUE))),"No effect")))</f>
        <v xml:space="preserve"> </v>
      </c>
      <c r="V260" s="654"/>
    </row>
    <row r="261" spans="15:22" x14ac:dyDescent="0.2">
      <c r="O261" s="654">
        <f t="shared" si="9"/>
        <v>1473</v>
      </c>
      <c r="P261" s="673"/>
      <c r="Q261" s="654" t="str">
        <f>IF(ISBLANK(P261)," ",IF(P261=Calcs!$I$46,"Yes","No"))</f>
        <v xml:space="preserve"> </v>
      </c>
      <c r="R261" s="654"/>
      <c r="S261" s="654" t="str">
        <f t="shared" ref="S261:S288" si="10">IF(ISBLANK(R261)," ",IF(R261=0,$J$21," "))</f>
        <v xml:space="preserve"> </v>
      </c>
      <c r="T261" s="654"/>
      <c r="U261" s="655" t="str">
        <f>IF(ISBLANK(P261)," ",IF(P261=Calcs!$I$42,"Lose 1 point of Magic Might or 1 Magical Quality",IF(P261=Calcs!$I$46,IF(ISBLANK(R261)," ",IF(AND(R261=0,T261&gt;0),CONCATENATE("Gain ",T261," points of magical inferiorities. Discuss."),VLOOKUP(R261,Calcs!$O$57:$P$63,2,TRUE))),"No effect")))</f>
        <v xml:space="preserve"> </v>
      </c>
      <c r="V261" s="654"/>
    </row>
    <row r="262" spans="15:22" x14ac:dyDescent="0.2">
      <c r="O262" s="654">
        <f t="shared" ref="O262:O288" si="11">O261+1</f>
        <v>1474</v>
      </c>
      <c r="P262" s="673"/>
      <c r="Q262" s="654" t="str">
        <f>IF(ISBLANK(P262)," ",IF(P262=Calcs!$I$46,"Yes","No"))</f>
        <v xml:space="preserve"> </v>
      </c>
      <c r="R262" s="654"/>
      <c r="S262" s="654" t="str">
        <f t="shared" si="10"/>
        <v xml:space="preserve"> </v>
      </c>
      <c r="T262" s="654"/>
      <c r="U262" s="655" t="str">
        <f>IF(ISBLANK(P262)," ",IF(P262=Calcs!$I$42,"Lose 1 point of Magic Might or 1 Magical Quality",IF(P262=Calcs!$I$46,IF(ISBLANK(R262)," ",IF(AND(R262=0,T262&gt;0),CONCATENATE("Gain ",T262," points of magical inferiorities. Discuss."),VLOOKUP(R262,Calcs!$O$57:$P$63,2,TRUE))),"No effect")))</f>
        <v xml:space="preserve"> </v>
      </c>
      <c r="V262" s="654"/>
    </row>
    <row r="263" spans="15:22" x14ac:dyDescent="0.2">
      <c r="O263" s="654">
        <f t="shared" si="11"/>
        <v>1475</v>
      </c>
      <c r="P263" s="673"/>
      <c r="Q263" s="654" t="str">
        <f>IF(ISBLANK(P263)," ",IF(P263=Calcs!$I$46,"Yes","No"))</f>
        <v xml:space="preserve"> </v>
      </c>
      <c r="R263" s="654"/>
      <c r="S263" s="654" t="str">
        <f t="shared" si="10"/>
        <v xml:space="preserve"> </v>
      </c>
      <c r="T263" s="654"/>
      <c r="U263" s="655" t="str">
        <f>IF(ISBLANK(P263)," ",IF(P263=Calcs!$I$42,"Lose 1 point of Magic Might or 1 Magical Quality",IF(P263=Calcs!$I$46,IF(ISBLANK(R263)," ",IF(AND(R263=0,T263&gt;0),CONCATENATE("Gain ",T263," points of magical inferiorities. Discuss."),VLOOKUP(R263,Calcs!$O$57:$P$63,2,TRUE))),"No effect")))</f>
        <v xml:space="preserve"> </v>
      </c>
      <c r="V263" s="654"/>
    </row>
    <row r="264" spans="15:22" x14ac:dyDescent="0.2">
      <c r="O264" s="654">
        <f t="shared" si="11"/>
        <v>1476</v>
      </c>
      <c r="P264" s="673"/>
      <c r="Q264" s="654" t="str">
        <f>IF(ISBLANK(P264)," ",IF(P264=Calcs!$I$46,"Yes","No"))</f>
        <v xml:space="preserve"> </v>
      </c>
      <c r="R264" s="654"/>
      <c r="S264" s="654" t="str">
        <f t="shared" si="10"/>
        <v xml:space="preserve"> </v>
      </c>
      <c r="T264" s="654"/>
      <c r="U264" s="655" t="str">
        <f>IF(ISBLANK(P264)," ",IF(P264=Calcs!$I$42,"Lose 1 point of Magic Might or 1 Magical Quality",IF(P264=Calcs!$I$46,IF(ISBLANK(R264)," ",IF(AND(R264=0,T264&gt;0),CONCATENATE("Gain ",T264," points of magical inferiorities. Discuss."),VLOOKUP(R264,Calcs!$O$57:$P$63,2,TRUE))),"No effect")))</f>
        <v xml:space="preserve"> </v>
      </c>
      <c r="V264" s="654"/>
    </row>
    <row r="265" spans="15:22" x14ac:dyDescent="0.2">
      <c r="O265" s="654">
        <f t="shared" si="11"/>
        <v>1477</v>
      </c>
      <c r="P265" s="673"/>
      <c r="Q265" s="654" t="str">
        <f>IF(ISBLANK(P265)," ",IF(P265=Calcs!$I$46,"Yes","No"))</f>
        <v xml:space="preserve"> </v>
      </c>
      <c r="R265" s="654"/>
      <c r="S265" s="654" t="str">
        <f t="shared" si="10"/>
        <v xml:space="preserve"> </v>
      </c>
      <c r="T265" s="654"/>
      <c r="U265" s="655" t="str">
        <f>IF(ISBLANK(P265)," ",IF(P265=Calcs!$I$42,"Lose 1 point of Magic Might or 1 Magical Quality",IF(P265=Calcs!$I$46,IF(ISBLANK(R265)," ",IF(AND(R265=0,T265&gt;0),CONCATENATE("Gain ",T265," points of magical inferiorities. Discuss."),VLOOKUP(R265,Calcs!$O$57:$P$63,2,TRUE))),"No effect")))</f>
        <v xml:space="preserve"> </v>
      </c>
      <c r="V265" s="654"/>
    </row>
    <row r="266" spans="15:22" x14ac:dyDescent="0.2">
      <c r="O266" s="654">
        <f t="shared" si="11"/>
        <v>1478</v>
      </c>
      <c r="P266" s="673"/>
      <c r="Q266" s="654" t="str">
        <f>IF(ISBLANK(P266)," ",IF(P266=Calcs!$I$46,"Yes","No"))</f>
        <v xml:space="preserve"> </v>
      </c>
      <c r="R266" s="654"/>
      <c r="S266" s="654" t="str">
        <f t="shared" si="10"/>
        <v xml:space="preserve"> </v>
      </c>
      <c r="T266" s="654"/>
      <c r="U266" s="655" t="str">
        <f>IF(ISBLANK(P266)," ",IF(P266=Calcs!$I$42,"Lose 1 point of Magic Might or 1 Magical Quality",IF(P266=Calcs!$I$46,IF(ISBLANK(R266)," ",IF(AND(R266=0,T266&gt;0),CONCATENATE("Gain ",T266," points of magical inferiorities. Discuss."),VLOOKUP(R266,Calcs!$O$57:$P$63,2,TRUE))),"No effect")))</f>
        <v xml:space="preserve"> </v>
      </c>
      <c r="V266" s="654"/>
    </row>
    <row r="267" spans="15:22" x14ac:dyDescent="0.2">
      <c r="O267" s="654">
        <f t="shared" si="11"/>
        <v>1479</v>
      </c>
      <c r="P267" s="673"/>
      <c r="Q267" s="654" t="str">
        <f>IF(ISBLANK(P267)," ",IF(P267=Calcs!$I$46,"Yes","No"))</f>
        <v xml:space="preserve"> </v>
      </c>
      <c r="R267" s="654"/>
      <c r="S267" s="654" t="str">
        <f t="shared" si="10"/>
        <v xml:space="preserve"> </v>
      </c>
      <c r="T267" s="654"/>
      <c r="U267" s="655" t="str">
        <f>IF(ISBLANK(P267)," ",IF(P267=Calcs!$I$42,"Lose 1 point of Magic Might or 1 Magical Quality",IF(P267=Calcs!$I$46,IF(ISBLANK(R267)," ",IF(AND(R267=0,T267&gt;0),CONCATENATE("Gain ",T267," points of magical inferiorities. Discuss."),VLOOKUP(R267,Calcs!$O$57:$P$63,2,TRUE))),"No effect")))</f>
        <v xml:space="preserve"> </v>
      </c>
      <c r="V267" s="654"/>
    </row>
    <row r="268" spans="15:22" x14ac:dyDescent="0.2">
      <c r="O268" s="654">
        <f t="shared" si="11"/>
        <v>1480</v>
      </c>
      <c r="P268" s="673"/>
      <c r="Q268" s="654" t="str">
        <f>IF(ISBLANK(P268)," ",IF(P268=Calcs!$I$46,"Yes","No"))</f>
        <v xml:space="preserve"> </v>
      </c>
      <c r="R268" s="654"/>
      <c r="S268" s="654" t="str">
        <f t="shared" si="10"/>
        <v xml:space="preserve"> </v>
      </c>
      <c r="T268" s="654"/>
      <c r="U268" s="655" t="str">
        <f>IF(ISBLANK(P268)," ",IF(P268=Calcs!$I$42,"Lose 1 point of Magic Might or 1 Magical Quality",IF(P268=Calcs!$I$46,IF(ISBLANK(R268)," ",IF(AND(R268=0,T268&gt;0),CONCATENATE("Gain ",T268," points of magical inferiorities. Discuss."),VLOOKUP(R268,Calcs!$O$57:$P$63,2,TRUE))),"No effect")))</f>
        <v xml:space="preserve"> </v>
      </c>
      <c r="V268" s="654"/>
    </row>
    <row r="269" spans="15:22" x14ac:dyDescent="0.2">
      <c r="O269" s="654">
        <f t="shared" si="11"/>
        <v>1481</v>
      </c>
      <c r="P269" s="673"/>
      <c r="Q269" s="654" t="str">
        <f>IF(ISBLANK(P269)," ",IF(P269=Calcs!$I$46,"Yes","No"))</f>
        <v xml:space="preserve"> </v>
      </c>
      <c r="R269" s="654"/>
      <c r="S269" s="654" t="str">
        <f t="shared" si="10"/>
        <v xml:space="preserve"> </v>
      </c>
      <c r="T269" s="654"/>
      <c r="U269" s="655" t="str">
        <f>IF(ISBLANK(P269)," ",IF(P269=Calcs!$I$42,"Lose 1 point of Magic Might or 1 Magical Quality",IF(P269=Calcs!$I$46,IF(ISBLANK(R269)," ",IF(AND(R269=0,T269&gt;0),CONCATENATE("Gain ",T269," points of magical inferiorities. Discuss."),VLOOKUP(R269,Calcs!$O$57:$P$63,2,TRUE))),"No effect")))</f>
        <v xml:space="preserve"> </v>
      </c>
      <c r="V269" s="654"/>
    </row>
    <row r="270" spans="15:22" x14ac:dyDescent="0.2">
      <c r="O270" s="654">
        <f t="shared" si="11"/>
        <v>1482</v>
      </c>
      <c r="P270" s="673"/>
      <c r="Q270" s="654" t="str">
        <f>IF(ISBLANK(P270)," ",IF(P270=Calcs!$I$46,"Yes","No"))</f>
        <v xml:space="preserve"> </v>
      </c>
      <c r="R270" s="654"/>
      <c r="S270" s="654" t="str">
        <f t="shared" si="10"/>
        <v xml:space="preserve"> </v>
      </c>
      <c r="T270" s="654"/>
      <c r="U270" s="655" t="str">
        <f>IF(ISBLANK(P270)," ",IF(P270=Calcs!$I$42,"Lose 1 point of Magic Might or 1 Magical Quality",IF(P270=Calcs!$I$46,IF(ISBLANK(R270)," ",IF(AND(R270=0,T270&gt;0),CONCATENATE("Gain ",T270," points of magical inferiorities. Discuss."),VLOOKUP(R270,Calcs!$O$57:$P$63,2,TRUE))),"No effect")))</f>
        <v xml:space="preserve"> </v>
      </c>
      <c r="V270" s="654"/>
    </row>
    <row r="271" spans="15:22" x14ac:dyDescent="0.2">
      <c r="O271" s="654">
        <f t="shared" si="11"/>
        <v>1483</v>
      </c>
      <c r="P271" s="673"/>
      <c r="Q271" s="654" t="str">
        <f>IF(ISBLANK(P271)," ",IF(P271=Calcs!$I$46,"Yes","No"))</f>
        <v xml:space="preserve"> </v>
      </c>
      <c r="R271" s="654"/>
      <c r="S271" s="654" t="str">
        <f t="shared" si="10"/>
        <v xml:space="preserve"> </v>
      </c>
      <c r="T271" s="654"/>
      <c r="U271" s="655" t="str">
        <f>IF(ISBLANK(P271)," ",IF(P271=Calcs!$I$42,"Lose 1 point of Magic Might or 1 Magical Quality",IF(P271=Calcs!$I$46,IF(ISBLANK(R271)," ",IF(AND(R271=0,T271&gt;0),CONCATENATE("Gain ",T271," points of magical inferiorities. Discuss."),VLOOKUP(R271,Calcs!$O$57:$P$63,2,TRUE))),"No effect")))</f>
        <v xml:space="preserve"> </v>
      </c>
      <c r="V271" s="654"/>
    </row>
    <row r="272" spans="15:22" x14ac:dyDescent="0.2">
      <c r="O272" s="654">
        <f t="shared" si="11"/>
        <v>1484</v>
      </c>
      <c r="P272" s="673"/>
      <c r="Q272" s="654" t="str">
        <f>IF(ISBLANK(P272)," ",IF(P272=Calcs!$I$46,"Yes","No"))</f>
        <v xml:space="preserve"> </v>
      </c>
      <c r="R272" s="654"/>
      <c r="S272" s="654" t="str">
        <f t="shared" si="10"/>
        <v xml:space="preserve"> </v>
      </c>
      <c r="T272" s="654"/>
      <c r="U272" s="655" t="str">
        <f>IF(ISBLANK(P272)," ",IF(P272=Calcs!$I$42,"Lose 1 point of Magic Might or 1 Magical Quality",IF(P272=Calcs!$I$46,IF(ISBLANK(R272)," ",IF(AND(R272=0,T272&gt;0),CONCATENATE("Gain ",T272," points of magical inferiorities. Discuss."),VLOOKUP(R272,Calcs!$O$57:$P$63,2,TRUE))),"No effect")))</f>
        <v xml:space="preserve"> </v>
      </c>
      <c r="V272" s="654"/>
    </row>
    <row r="273" spans="15:22" x14ac:dyDescent="0.2">
      <c r="O273" s="654">
        <f t="shared" si="11"/>
        <v>1485</v>
      </c>
      <c r="P273" s="673"/>
      <c r="Q273" s="654" t="str">
        <f>IF(ISBLANK(P273)," ",IF(P273=Calcs!$I$46,"Yes","No"))</f>
        <v xml:space="preserve"> </v>
      </c>
      <c r="R273" s="654"/>
      <c r="S273" s="654" t="str">
        <f t="shared" si="10"/>
        <v xml:space="preserve"> </v>
      </c>
      <c r="T273" s="654"/>
      <c r="U273" s="655" t="str">
        <f>IF(ISBLANK(P273)," ",IF(P273=Calcs!$I$42,"Lose 1 point of Magic Might or 1 Magical Quality",IF(P273=Calcs!$I$46,IF(ISBLANK(R273)," ",IF(AND(R273=0,T273&gt;0),CONCATENATE("Gain ",T273," points of magical inferiorities. Discuss."),VLOOKUP(R273,Calcs!$O$57:$P$63,2,TRUE))),"No effect")))</f>
        <v xml:space="preserve"> </v>
      </c>
      <c r="V273" s="654"/>
    </row>
    <row r="274" spans="15:22" x14ac:dyDescent="0.2">
      <c r="O274" s="654">
        <f t="shared" si="11"/>
        <v>1486</v>
      </c>
      <c r="P274" s="673"/>
      <c r="Q274" s="654" t="str">
        <f>IF(ISBLANK(P274)," ",IF(P274=Calcs!$I$46,"Yes","No"))</f>
        <v xml:space="preserve"> </v>
      </c>
      <c r="R274" s="654"/>
      <c r="S274" s="654" t="str">
        <f t="shared" si="10"/>
        <v xml:space="preserve"> </v>
      </c>
      <c r="T274" s="654"/>
      <c r="U274" s="655" t="str">
        <f>IF(ISBLANK(P274)," ",IF(P274=Calcs!$I$42,"Lose 1 point of Magic Might or 1 Magical Quality",IF(P274=Calcs!$I$46,IF(ISBLANK(R274)," ",IF(AND(R274=0,T274&gt;0),CONCATENATE("Gain ",T274," points of magical inferiorities. Discuss."),VLOOKUP(R274,Calcs!$O$57:$P$63,2,TRUE))),"No effect")))</f>
        <v xml:space="preserve"> </v>
      </c>
      <c r="V274" s="654"/>
    </row>
    <row r="275" spans="15:22" x14ac:dyDescent="0.2">
      <c r="O275" s="654">
        <f t="shared" si="11"/>
        <v>1487</v>
      </c>
      <c r="P275" s="673"/>
      <c r="Q275" s="654" t="str">
        <f>IF(ISBLANK(P275)," ",IF(P275=Calcs!$I$46,"Yes","No"))</f>
        <v xml:space="preserve"> </v>
      </c>
      <c r="R275" s="654"/>
      <c r="S275" s="654" t="str">
        <f t="shared" si="10"/>
        <v xml:space="preserve"> </v>
      </c>
      <c r="T275" s="654"/>
      <c r="U275" s="655" t="str">
        <f>IF(ISBLANK(P275)," ",IF(P275=Calcs!$I$42,"Lose 1 point of Magic Might or 1 Magical Quality",IF(P275=Calcs!$I$46,IF(ISBLANK(R275)," ",IF(AND(R275=0,T275&gt;0),CONCATENATE("Gain ",T275," points of magical inferiorities. Discuss."),VLOOKUP(R275,Calcs!$O$57:$P$63,2,TRUE))),"No effect")))</f>
        <v xml:space="preserve"> </v>
      </c>
      <c r="V275" s="654"/>
    </row>
    <row r="276" spans="15:22" x14ac:dyDescent="0.2">
      <c r="O276" s="654">
        <f t="shared" si="11"/>
        <v>1488</v>
      </c>
      <c r="P276" s="673"/>
      <c r="Q276" s="654" t="str">
        <f>IF(ISBLANK(P276)," ",IF(P276=Calcs!$I$46,"Yes","No"))</f>
        <v xml:space="preserve"> </v>
      </c>
      <c r="R276" s="654"/>
      <c r="S276" s="654" t="str">
        <f t="shared" si="10"/>
        <v xml:space="preserve"> </v>
      </c>
      <c r="T276" s="654"/>
      <c r="U276" s="655" t="str">
        <f>IF(ISBLANK(P276)," ",IF(P276=Calcs!$I$42,"Lose 1 point of Magic Might or 1 Magical Quality",IF(P276=Calcs!$I$46,IF(ISBLANK(R276)," ",IF(AND(R276=0,T276&gt;0),CONCATENATE("Gain ",T276," points of magical inferiorities. Discuss."),VLOOKUP(R276,Calcs!$O$57:$P$63,2,TRUE))),"No effect")))</f>
        <v xml:space="preserve"> </v>
      </c>
      <c r="V276" s="654"/>
    </row>
    <row r="277" spans="15:22" x14ac:dyDescent="0.2">
      <c r="O277" s="654">
        <f t="shared" si="11"/>
        <v>1489</v>
      </c>
      <c r="P277" s="673"/>
      <c r="Q277" s="654" t="str">
        <f>IF(ISBLANK(P277)," ",IF(P277=Calcs!$I$46,"Yes","No"))</f>
        <v xml:space="preserve"> </v>
      </c>
      <c r="R277" s="654"/>
      <c r="S277" s="654" t="str">
        <f t="shared" si="10"/>
        <v xml:space="preserve"> </v>
      </c>
      <c r="T277" s="654"/>
      <c r="U277" s="655" t="str">
        <f>IF(ISBLANK(P277)," ",IF(P277=Calcs!$I$42,"Lose 1 point of Magic Might or 1 Magical Quality",IF(P277=Calcs!$I$46,IF(ISBLANK(R277)," ",IF(AND(R277=0,T277&gt;0),CONCATENATE("Gain ",T277," points of magical inferiorities. Discuss."),VLOOKUP(R277,Calcs!$O$57:$P$63,2,TRUE))),"No effect")))</f>
        <v xml:space="preserve"> </v>
      </c>
      <c r="V277" s="654"/>
    </row>
    <row r="278" spans="15:22" x14ac:dyDescent="0.2">
      <c r="O278" s="654">
        <f t="shared" si="11"/>
        <v>1490</v>
      </c>
      <c r="P278" s="673"/>
      <c r="Q278" s="654" t="str">
        <f>IF(ISBLANK(P278)," ",IF(P278=Calcs!$I$46,"Yes","No"))</f>
        <v xml:space="preserve"> </v>
      </c>
      <c r="R278" s="654"/>
      <c r="S278" s="654" t="str">
        <f t="shared" si="10"/>
        <v xml:space="preserve"> </v>
      </c>
      <c r="T278" s="654"/>
      <c r="U278" s="655" t="str">
        <f>IF(ISBLANK(P278)," ",IF(P278=Calcs!$I$42,"Lose 1 point of Magic Might or 1 Magical Quality",IF(P278=Calcs!$I$46,IF(ISBLANK(R278)," ",IF(AND(R278=0,T278&gt;0),CONCATENATE("Gain ",T278," points of magical inferiorities. Discuss."),VLOOKUP(R278,Calcs!$O$57:$P$63,2,TRUE))),"No effect")))</f>
        <v xml:space="preserve"> </v>
      </c>
      <c r="V278" s="654"/>
    </row>
    <row r="279" spans="15:22" x14ac:dyDescent="0.2">
      <c r="O279" s="654">
        <f t="shared" si="11"/>
        <v>1491</v>
      </c>
      <c r="P279" s="673"/>
      <c r="Q279" s="654" t="str">
        <f>IF(ISBLANK(P279)," ",IF(P279=Calcs!$I$46,"Yes","No"))</f>
        <v xml:space="preserve"> </v>
      </c>
      <c r="R279" s="654"/>
      <c r="S279" s="654" t="str">
        <f t="shared" si="10"/>
        <v xml:space="preserve"> </v>
      </c>
      <c r="T279" s="654"/>
      <c r="U279" s="655" t="str">
        <f>IF(ISBLANK(P279)," ",IF(P279=Calcs!$I$42,"Lose 1 point of Magic Might or 1 Magical Quality",IF(P279=Calcs!$I$46,IF(ISBLANK(R279)," ",IF(AND(R279=0,T279&gt;0),CONCATENATE("Gain ",T279," points of magical inferiorities. Discuss."),VLOOKUP(R279,Calcs!$O$57:$P$63,2,TRUE))),"No effect")))</f>
        <v xml:space="preserve"> </v>
      </c>
      <c r="V279" s="654"/>
    </row>
    <row r="280" spans="15:22" x14ac:dyDescent="0.2">
      <c r="O280" s="654">
        <f t="shared" si="11"/>
        <v>1492</v>
      </c>
      <c r="P280" s="673"/>
      <c r="Q280" s="654" t="str">
        <f>IF(ISBLANK(P280)," ",IF(P280=Calcs!$I$46,"Yes","No"))</f>
        <v xml:space="preserve"> </v>
      </c>
      <c r="R280" s="654"/>
      <c r="S280" s="654" t="str">
        <f t="shared" si="10"/>
        <v xml:space="preserve"> </v>
      </c>
      <c r="T280" s="654"/>
      <c r="U280" s="655" t="str">
        <f>IF(ISBLANK(P280)," ",IF(P280=Calcs!$I$42,"Lose 1 point of Magic Might or 1 Magical Quality",IF(P280=Calcs!$I$46,IF(ISBLANK(R280)," ",IF(AND(R280=0,T280&gt;0),CONCATENATE("Gain ",T280," points of magical inferiorities. Discuss."),VLOOKUP(R280,Calcs!$O$57:$P$63,2,TRUE))),"No effect")))</f>
        <v xml:space="preserve"> </v>
      </c>
      <c r="V280" s="654"/>
    </row>
    <row r="281" spans="15:22" x14ac:dyDescent="0.2">
      <c r="O281" s="654">
        <f t="shared" si="11"/>
        <v>1493</v>
      </c>
      <c r="P281" s="673"/>
      <c r="Q281" s="654" t="str">
        <f>IF(ISBLANK(P281)," ",IF(P281=Calcs!$I$46,"Yes","No"))</f>
        <v xml:space="preserve"> </v>
      </c>
      <c r="R281" s="654"/>
      <c r="S281" s="654" t="str">
        <f t="shared" si="10"/>
        <v xml:space="preserve"> </v>
      </c>
      <c r="T281" s="654"/>
      <c r="U281" s="655" t="str">
        <f>IF(ISBLANK(P281)," ",IF(P281=Calcs!$I$42,"Lose 1 point of Magic Might or 1 Magical Quality",IF(P281=Calcs!$I$46,IF(ISBLANK(R281)," ",IF(AND(R281=0,T281&gt;0),CONCATENATE("Gain ",T281," points of magical inferiorities. Discuss."),VLOOKUP(R281,Calcs!$O$57:$P$63,2,TRUE))),"No effect")))</f>
        <v xml:space="preserve"> </v>
      </c>
      <c r="V281" s="654"/>
    </row>
    <row r="282" spans="15:22" x14ac:dyDescent="0.2">
      <c r="O282" s="654">
        <f t="shared" si="11"/>
        <v>1494</v>
      </c>
      <c r="P282" s="673"/>
      <c r="Q282" s="654" t="str">
        <f>IF(ISBLANK(P282)," ",IF(P282=Calcs!$I$46,"Yes","No"))</f>
        <v xml:space="preserve"> </v>
      </c>
      <c r="R282" s="654"/>
      <c r="S282" s="654" t="str">
        <f t="shared" si="10"/>
        <v xml:space="preserve"> </v>
      </c>
      <c r="T282" s="654"/>
      <c r="U282" s="655" t="str">
        <f>IF(ISBLANK(P282)," ",IF(P282=Calcs!$I$42,"Lose 1 point of Magic Might or 1 Magical Quality",IF(P282=Calcs!$I$46,IF(ISBLANK(R282)," ",IF(AND(R282=0,T282&gt;0),CONCATENATE("Gain ",T282," points of magical inferiorities. Discuss."),VLOOKUP(R282,Calcs!$O$57:$P$63,2,TRUE))),"No effect")))</f>
        <v xml:space="preserve"> </v>
      </c>
      <c r="V282" s="654"/>
    </row>
    <row r="283" spans="15:22" x14ac:dyDescent="0.2">
      <c r="O283" s="654">
        <f t="shared" si="11"/>
        <v>1495</v>
      </c>
      <c r="P283" s="673"/>
      <c r="Q283" s="654" t="str">
        <f>IF(ISBLANK(P283)," ",IF(P283=Calcs!$I$46,"Yes","No"))</f>
        <v xml:space="preserve"> </v>
      </c>
      <c r="R283" s="654"/>
      <c r="S283" s="654" t="str">
        <f t="shared" si="10"/>
        <v xml:space="preserve"> </v>
      </c>
      <c r="T283" s="654"/>
      <c r="U283" s="655" t="str">
        <f>IF(ISBLANK(P283)," ",IF(P283=Calcs!$I$42,"Lose 1 point of Magic Might or 1 Magical Quality",IF(P283=Calcs!$I$46,IF(ISBLANK(R283)," ",IF(AND(R283=0,T283&gt;0),CONCATENATE("Gain ",T283," points of magical inferiorities. Discuss."),VLOOKUP(R283,Calcs!$O$57:$P$63,2,TRUE))),"No effect")))</f>
        <v xml:space="preserve"> </v>
      </c>
      <c r="V283" s="654"/>
    </row>
    <row r="284" spans="15:22" x14ac:dyDescent="0.2">
      <c r="O284" s="654">
        <f t="shared" si="11"/>
        <v>1496</v>
      </c>
      <c r="P284" s="673"/>
      <c r="Q284" s="654" t="str">
        <f>IF(ISBLANK(P284)," ",IF(P284=Calcs!$I$46,"Yes","No"))</f>
        <v xml:space="preserve"> </v>
      </c>
      <c r="R284" s="654"/>
      <c r="S284" s="654" t="str">
        <f t="shared" si="10"/>
        <v xml:space="preserve"> </v>
      </c>
      <c r="T284" s="654"/>
      <c r="U284" s="655" t="str">
        <f>IF(ISBLANK(P284)," ",IF(P284=Calcs!$I$42,"Lose 1 point of Magic Might or 1 Magical Quality",IF(P284=Calcs!$I$46,IF(ISBLANK(R284)," ",IF(AND(R284=0,T284&gt;0),CONCATENATE("Gain ",T284," points of magical inferiorities. Discuss."),VLOOKUP(R284,Calcs!$O$57:$P$63,2,TRUE))),"No effect")))</f>
        <v xml:space="preserve"> </v>
      </c>
      <c r="V284" s="654"/>
    </row>
    <row r="285" spans="15:22" x14ac:dyDescent="0.2">
      <c r="O285" s="654">
        <f t="shared" si="11"/>
        <v>1497</v>
      </c>
      <c r="P285" s="673"/>
      <c r="Q285" s="654" t="str">
        <f>IF(ISBLANK(P285)," ",IF(P285=Calcs!$I$46,"Yes","No"))</f>
        <v xml:space="preserve"> </v>
      </c>
      <c r="R285" s="654"/>
      <c r="S285" s="654" t="str">
        <f t="shared" si="10"/>
        <v xml:space="preserve"> </v>
      </c>
      <c r="T285" s="654"/>
      <c r="U285" s="655" t="str">
        <f>IF(ISBLANK(P285)," ",IF(P285=Calcs!$I$42,"Lose 1 point of Magic Might or 1 Magical Quality",IF(P285=Calcs!$I$46,IF(ISBLANK(R285)," ",IF(AND(R285=0,T285&gt;0),CONCATENATE("Gain ",T285," points of magical inferiorities. Discuss."),VLOOKUP(R285,Calcs!$O$57:$P$63,2,TRUE))),"No effect")))</f>
        <v xml:space="preserve"> </v>
      </c>
      <c r="V285" s="654"/>
    </row>
    <row r="286" spans="15:22" x14ac:dyDescent="0.2">
      <c r="O286" s="654">
        <f t="shared" si="11"/>
        <v>1498</v>
      </c>
      <c r="P286" s="673"/>
      <c r="Q286" s="654" t="str">
        <f>IF(ISBLANK(P286)," ",IF(P286=Calcs!$I$46,"Yes","No"))</f>
        <v xml:space="preserve"> </v>
      </c>
      <c r="R286" s="654"/>
      <c r="S286" s="654" t="str">
        <f t="shared" si="10"/>
        <v xml:space="preserve"> </v>
      </c>
      <c r="T286" s="654"/>
      <c r="U286" s="655" t="str">
        <f>IF(ISBLANK(P286)," ",IF(P286=Calcs!$I$42,"Lose 1 point of Magic Might or 1 Magical Quality",IF(P286=Calcs!$I$46,IF(ISBLANK(R286)," ",IF(AND(R286=0,T286&gt;0),CONCATENATE("Gain ",T286," points of magical inferiorities. Discuss."),VLOOKUP(R286,Calcs!$O$57:$P$63,2,TRUE))),"No effect")))</f>
        <v xml:space="preserve"> </v>
      </c>
      <c r="V286" s="654"/>
    </row>
    <row r="287" spans="15:22" x14ac:dyDescent="0.2">
      <c r="O287" s="654">
        <f t="shared" si="11"/>
        <v>1499</v>
      </c>
      <c r="P287" s="673"/>
      <c r="Q287" s="654" t="str">
        <f>IF(ISBLANK(P287)," ",IF(P287=Calcs!$I$46,"Yes","No"))</f>
        <v xml:space="preserve"> </v>
      </c>
      <c r="R287" s="654"/>
      <c r="S287" s="654" t="str">
        <f t="shared" si="10"/>
        <v xml:space="preserve"> </v>
      </c>
      <c r="T287" s="654"/>
      <c r="U287" s="655" t="str">
        <f>IF(ISBLANK(P287)," ",IF(P287=Calcs!$I$42,"Lose 1 point of Magic Might or 1 Magical Quality",IF(P287=Calcs!$I$46,IF(ISBLANK(R287)," ",IF(AND(R287=0,T287&gt;0),CONCATENATE("Gain ",T287," points of magical inferiorities. Discuss."),VLOOKUP(R287,Calcs!$O$57:$P$63,2,TRUE))),"No effect")))</f>
        <v xml:space="preserve"> </v>
      </c>
      <c r="V287" s="654"/>
    </row>
    <row r="288" spans="15:22" x14ac:dyDescent="0.2">
      <c r="O288" s="654">
        <f t="shared" si="11"/>
        <v>1500</v>
      </c>
      <c r="P288" s="673"/>
      <c r="Q288" s="654" t="str">
        <f>IF(ISBLANK(P288)," ",IF(P288=Calcs!$I$46,"Yes","No"))</f>
        <v xml:space="preserve"> </v>
      </c>
      <c r="R288" s="654"/>
      <c r="S288" s="654" t="str">
        <f t="shared" si="10"/>
        <v xml:space="preserve"> </v>
      </c>
      <c r="T288" s="654"/>
      <c r="U288" s="655" t="str">
        <f>IF(ISBLANK(P288)," ",IF(P288=Calcs!$I$42,"Lose 1 point of Magic Might or 1 Magical Quality",IF(P288=Calcs!$I$46,IF(ISBLANK(R288)," ",IF(AND(R288=0,T288&gt;0),CONCATENATE("Gain ",T288," points of magical inferiorities. Discuss."),VLOOKUP(R288,Calcs!$O$57:$P$63,2,TRUE))),"No effect")))</f>
        <v xml:space="preserve"> </v>
      </c>
      <c r="V288" s="654"/>
    </row>
  </sheetData>
  <mergeCells count="27">
    <mergeCell ref="A45:G46"/>
    <mergeCell ref="A47:G47"/>
    <mergeCell ref="B4:C4"/>
    <mergeCell ref="B6:C6"/>
    <mergeCell ref="F2:G2"/>
    <mergeCell ref="I15:M15"/>
    <mergeCell ref="I20:M20"/>
    <mergeCell ref="B7:C7"/>
    <mergeCell ref="O2:O3"/>
    <mergeCell ref="V2:V3"/>
    <mergeCell ref="B2:C2"/>
    <mergeCell ref="J9:M9"/>
    <mergeCell ref="I3:M3"/>
    <mergeCell ref="O1:V1"/>
    <mergeCell ref="B3:C3"/>
    <mergeCell ref="F6:G6"/>
    <mergeCell ref="P2:P3"/>
    <mergeCell ref="Q2:Q3"/>
    <mergeCell ref="S2:S3"/>
    <mergeCell ref="T2:T3"/>
    <mergeCell ref="U2:U3"/>
    <mergeCell ref="R2:R3"/>
    <mergeCell ref="F5:G5"/>
    <mergeCell ref="F3:G3"/>
    <mergeCell ref="B5:C5"/>
    <mergeCell ref="A1:G1"/>
    <mergeCell ref="I1:M1"/>
  </mergeCells>
  <conditionalFormatting sqref="R4">
    <cfRule type="expression" dxfId="16" priority="5">
      <formula>$Q$4="Yes"</formula>
    </cfRule>
  </conditionalFormatting>
  <conditionalFormatting sqref="T4">
    <cfRule type="expression" dxfId="15" priority="4">
      <formula>AND(NOT($S$4=" "),NOT($S$4=0))</formula>
    </cfRule>
  </conditionalFormatting>
  <conditionalFormatting sqref="R4:R3500">
    <cfRule type="expression" dxfId="14" priority="3">
      <formula>$Q4="Yes"</formula>
    </cfRule>
  </conditionalFormatting>
  <conditionalFormatting sqref="T4:T288">
    <cfRule type="expression" dxfId="13" priority="2">
      <formula>AND(NOT($S4=" "),NOT($S4=0))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36" id="{836A108E-6691-48D9-994E-E7735312C81C}">
            <xm:f>$P4=Calcs!$I$42</xm:f>
            <x14:dxf>
              <fill>
                <patternFill>
                  <bgColor rgb="FFE9E9FF"/>
                </patternFill>
              </fill>
            </x14:dxf>
          </x14:cfRule>
          <xm:sqref>V4:V4000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showInputMessage="1" showErrorMessage="1">
          <x14:formula1>
            <xm:f>Calcs!$A$54:$A$58</xm:f>
          </x14:formula1>
          <xm:sqref>G28:G42 C28:C42 G10:G24 C10:C24</xm:sqref>
        </x14:dataValidation>
        <x14:dataValidation type="list" showInputMessage="1" showErrorMessage="1">
          <x14:formula1>
            <xm:f>Calcs!$A$49:$A$50</xm:f>
          </x14:formula1>
          <xm:sqref>V4:V288</xm:sqref>
        </x14:dataValidation>
        <x14:dataValidation type="list" allowBlank="1" showInputMessage="1" showErrorMessage="1">
          <x14:formula1>
            <xm:f>Calcs!$I$29:$I$30</xm:f>
          </x14:formula1>
          <xm:sqref>B2</xm:sqref>
        </x14:dataValidation>
        <x14:dataValidation type="list" allowBlank="1" showInputMessage="1" showErrorMessage="1">
          <x14:formula1>
            <xm:f>Calcs!$I$33:$I$37</xm:f>
          </x14:formula1>
          <xm:sqref>B3</xm:sqref>
        </x14:dataValidation>
        <x14:dataValidation type="list" showInputMessage="1" showErrorMessage="1">
          <x14:formula1>
            <xm:f>Calcs!$I$42:$I$46</xm:f>
          </x14:formula1>
          <xm:sqref>P4:P288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>
      <selection activeCell="N42" sqref="N42"/>
    </sheetView>
  </sheetViews>
  <sheetFormatPr defaultColWidth="11.5703125" defaultRowHeight="12.75" x14ac:dyDescent="0.2"/>
  <cols>
    <col min="1" max="1" width="17.85546875" bestFit="1" customWidth="1"/>
    <col min="2" max="2" width="4.28515625" bestFit="1" customWidth="1"/>
    <col min="3" max="3" width="11.42578125" customWidth="1"/>
    <col min="4" max="11" width="4.85546875" style="276" customWidth="1"/>
    <col min="12" max="12" width="7.7109375" customWidth="1"/>
    <col min="13" max="13" width="14.42578125" bestFit="1" customWidth="1"/>
    <col min="14" max="14" width="3.42578125" bestFit="1" customWidth="1"/>
    <col min="15" max="15" width="11.7109375" customWidth="1"/>
    <col min="16" max="23" width="4.85546875" customWidth="1"/>
    <col min="24" max="31" width="5.140625" customWidth="1"/>
  </cols>
  <sheetData>
    <row r="1" spans="1:25" s="2" customFormat="1" ht="13.5" thickBot="1" x14ac:dyDescent="0.25">
      <c r="A1" s="2" t="s">
        <v>460</v>
      </c>
      <c r="B1" s="303" t="s">
        <v>349</v>
      </c>
      <c r="C1" s="587" t="s">
        <v>472</v>
      </c>
      <c r="D1" s="304" t="s">
        <v>350</v>
      </c>
      <c r="E1" s="305" t="s">
        <v>351</v>
      </c>
      <c r="F1" s="305" t="s">
        <v>352</v>
      </c>
      <c r="G1" s="306" t="s">
        <v>353</v>
      </c>
      <c r="H1" s="306" t="s">
        <v>354</v>
      </c>
      <c r="I1" s="305" t="s">
        <v>355</v>
      </c>
      <c r="J1" s="305" t="s">
        <v>356</v>
      </c>
      <c r="K1" s="307" t="s">
        <v>357</v>
      </c>
      <c r="M1" s="2" t="s">
        <v>460</v>
      </c>
      <c r="N1" s="303" t="s">
        <v>349</v>
      </c>
      <c r="O1" s="593" t="s">
        <v>472</v>
      </c>
      <c r="P1" s="304" t="s">
        <v>350</v>
      </c>
      <c r="Q1" s="305" t="s">
        <v>351</v>
      </c>
      <c r="R1" s="305" t="s">
        <v>352</v>
      </c>
      <c r="S1" s="306" t="s">
        <v>353</v>
      </c>
      <c r="T1" s="306" t="s">
        <v>354</v>
      </c>
      <c r="U1" s="305" t="s">
        <v>355</v>
      </c>
      <c r="V1" s="305" t="s">
        <v>356</v>
      </c>
      <c r="W1" s="307" t="s">
        <v>357</v>
      </c>
    </row>
    <row r="2" spans="1:25" x14ac:dyDescent="0.2">
      <c r="A2" s="281" t="str">
        <f>Character!A45</f>
        <v>Animal Handling</v>
      </c>
      <c r="B2" s="382" t="s">
        <v>185</v>
      </c>
      <c r="C2" s="602" t="str">
        <f>IF(ISBLANK(Character!C45)," ",Character!C45)</f>
        <v xml:space="preserve"> </v>
      </c>
      <c r="D2" s="588">
        <f>IF(VLOOKUP($A2,Character!$A$45:$C$66,2,FALSE)="No"," ",VLOOKUP(VLOOKUP(D$1,Calcs!$E$110:$F$117,2,FALSE),Character!$A$9:$B$16,2,FALSE)+IF(VLOOKUP($A2,Character!$A$45:$C$66,2,FALSE)="Yes",0,VLOOKUP($A2,Character!$A$45:$C$66,2,FALSE))+Character!$C$36+Character!$F$36+IF($B2="Yes",2,0))</f>
        <v>0</v>
      </c>
      <c r="E2" s="282">
        <f>IF(VLOOKUP($A2,Character!$A$45:$C$66,2,FALSE)="No"," ",VLOOKUP(VLOOKUP(E$1,Calcs!$E$110:$F$117,2,FALSE),Character!$A$9:$B$16,2,FALSE)+IF(VLOOKUP($A2,Character!$A$45:$C$66,2,FALSE)="Yes",0,VLOOKUP($A2,Character!$A$45:$C$66,2,FALSE))+Character!$C$36+Character!$F$36+IF($B2="Yes",2,0))</f>
        <v>0</v>
      </c>
      <c r="F2" s="282">
        <f>IF(VLOOKUP($A2,Character!$A$45:$C$66,2,FALSE)="No"," ",VLOOKUP(VLOOKUP(F$1,Calcs!$E$110:$F$117,2,FALSE),Character!$A$9:$B$16,2,FALSE)+IF(VLOOKUP($A2,Character!$A$45:$C$66,2,FALSE)="Yes",0,VLOOKUP($A2,Character!$A$45:$C$66,2,FALSE))+Character!$C$36+Character!$F$36+IF($B2="Yes",2,0))</f>
        <v>0</v>
      </c>
      <c r="G2" s="282">
        <f>IF(VLOOKUP($A2,Character!$A$45:$C$66,2,FALSE)="No"," ",VLOOKUP(VLOOKUP(G$1,Calcs!$E$110:$F$117,2,FALSE),Character!$A$9:$B$16,2,FALSE)+IF(VLOOKUP($A2,Character!$A$45:$C$66,2,FALSE)="Yes",0,VLOOKUP($A2,Character!$A$45:$C$66,2,FALSE))+Character!$C$36+Character!$F$36+IF($B2="Yes",2,0))</f>
        <v>0</v>
      </c>
      <c r="H2" s="282">
        <f>IF(VLOOKUP($A2,Character!$A$45:$C$66,2,FALSE)="No"," ",VLOOKUP(VLOOKUP(H$1,Calcs!$E$110:$F$117,2,FALSE),Character!$A$9:$B$16,2,FALSE)+IF(VLOOKUP($A2,Character!$A$45:$C$66,2,FALSE)="Yes",0,VLOOKUP($A2,Character!$A$45:$C$66,2,FALSE))+Character!$C$36+Character!$F$36+IF($B2="Yes",2,0))</f>
        <v>0</v>
      </c>
      <c r="I2" s="282">
        <f>IF(VLOOKUP($A2,Character!$A$45:$C$66,2,FALSE)="No"," ",VLOOKUP(VLOOKUP(I$1,Calcs!$E$110:$F$117,2,FALSE),Character!$A$9:$B$16,2,FALSE)+IF(VLOOKUP($A2,Character!$A$45:$C$66,2,FALSE)="Yes",0,VLOOKUP($A2,Character!$A$45:$C$66,2,FALSE))+Character!$C$36+Character!$F$36+IF($B2="Yes",2,0))</f>
        <v>0</v>
      </c>
      <c r="J2" s="282">
        <f>IF(VLOOKUP($A2,Character!$A$45:$C$66,2,FALSE)="No"," ",VLOOKUP(VLOOKUP(J$1,Calcs!$E$110:$F$117,2,FALSE),Character!$A$9:$B$16,2,FALSE)+IF(VLOOKUP($A2,Character!$A$45:$C$66,2,FALSE)="Yes",0,VLOOKUP($A2,Character!$A$45:$C$66,2,FALSE))+Character!$C$36+Character!$F$36+IF($B2="Yes",2,0))</f>
        <v>0</v>
      </c>
      <c r="K2" s="283">
        <f>IF(VLOOKUP($A2,Character!$A$45:$C$66,2,FALSE)="No"," ",VLOOKUP(VLOOKUP(K$1,Calcs!$E$110:$F$117,2,FALSE),Character!$A$9:$B$16,2,FALSE)+IF(VLOOKUP($A2,Character!$A$45:$C$66,2,FALSE)="Yes",0,VLOOKUP($A2,Character!$A$45:$C$66,2,FALSE))+Character!$C$36+Character!$F$36+IF($B2="Yes",2,0))</f>
        <v>0</v>
      </c>
      <c r="L2" s="10"/>
      <c r="M2" s="308" t="str">
        <f>Character!E53</f>
        <v xml:space="preserve"> </v>
      </c>
      <c r="N2" s="298"/>
      <c r="O2" s="594" t="str">
        <f>IF(ISBLANK(Character!G53)," ",Character!G53)</f>
        <v xml:space="preserve"> </v>
      </c>
      <c r="P2" s="588" t="str">
        <f>IF($M2=" "," ",IF(VLOOKUP($M2,Character!$E$53:$F$58,2,FALSE)="No"," ",VLOOKUP(VLOOKUP(P$1,Calcs!$E$110:$F$117,2,FALSE),Character!$A$9:$B$16,2,FALSE)+IF(VLOOKUP($M2,Character!$E$53:$F$58,2,FALSE)="Yes",0,VLOOKUP($M2,Character!$E$53:$F$58,2,FALSE))+Character!$C$36+Character!$F$36+IF($N2="Yes",2,0)))</f>
        <v xml:space="preserve"> </v>
      </c>
      <c r="Q2" s="282" t="str">
        <f>IF($M2=" "," ",IF(VLOOKUP($M2,Character!$E$53:$F$58,2,FALSE)="No"," ",VLOOKUP(VLOOKUP(Q$1,Calcs!$E$110:$F$117,2,FALSE),Character!$A$9:$B$16,2,FALSE)+IF(VLOOKUP($M2,Character!$E$53:$F$58,2,FALSE)="Yes",0,VLOOKUP($M2,Character!$E$53:$F$58,2,FALSE))+Character!$C$36+Character!$F$36+IF($N2="Yes",2,0)))</f>
        <v xml:space="preserve"> </v>
      </c>
      <c r="R2" s="282" t="str">
        <f>IF($M2=" "," ",IF(VLOOKUP($M2,Character!$E$53:$F$58,2,FALSE)="No"," ",VLOOKUP(VLOOKUP(R$1,Calcs!$E$110:$F$117,2,FALSE),Character!$A$9:$B$16,2,FALSE)+IF(VLOOKUP($M2,Character!$E$53:$F$58,2,FALSE)="Yes",0,VLOOKUP($M2,Character!$E$53:$F$58,2,FALSE))+Character!$C$36+Character!$F$36+IF($N2="Yes",2,0)))</f>
        <v xml:space="preserve"> </v>
      </c>
      <c r="S2" s="282" t="str">
        <f>IF($M2=" "," ",IF(VLOOKUP($M2,Character!$E$53:$F$58,2,FALSE)="No"," ",VLOOKUP(VLOOKUP(S$1,Calcs!$E$110:$F$117,2,FALSE),Character!$A$9:$B$16,2,FALSE)+IF(VLOOKUP($M2,Character!$E$53:$F$58,2,FALSE)="Yes",0,VLOOKUP($M2,Character!$E$53:$F$58,2,FALSE))+Character!$C$36+Character!$F$36+IF($N2="Yes",2,0)))</f>
        <v xml:space="preserve"> </v>
      </c>
      <c r="T2" s="282" t="str">
        <f>IF($M2=" "," ",IF(VLOOKUP($M2,Character!$E$53:$F$58,2,FALSE)="No"," ",VLOOKUP(VLOOKUP(T$1,Calcs!$E$110:$F$117,2,FALSE),Character!$A$9:$B$16,2,FALSE)+IF(VLOOKUP($M2,Character!$E$53:$F$58,2,FALSE)="Yes",0,VLOOKUP($M2,Character!$E$53:$F$58,2,FALSE))+Character!$C$36+Character!$F$36+IF($N2="Yes",2,0)))</f>
        <v xml:space="preserve"> </v>
      </c>
      <c r="U2" s="282" t="str">
        <f>IF($M2=" "," ",IF(VLOOKUP($M2,Character!$E$53:$F$58,2,FALSE)="No"," ",VLOOKUP(VLOOKUP(U$1,Calcs!$E$110:$F$117,2,FALSE),Character!$A$9:$B$16,2,FALSE)+IF(VLOOKUP($M2,Character!$E$53:$F$58,2,FALSE)="Yes",0,VLOOKUP($M2,Character!$E$53:$F$58,2,FALSE))+Character!$C$36+Character!$F$36+IF($N2="Yes",2,0)))</f>
        <v xml:space="preserve"> </v>
      </c>
      <c r="V2" s="282" t="str">
        <f>IF($M2=" "," ",IF(VLOOKUP($M2,Character!$E$53:$F$58,2,FALSE)="No"," ",VLOOKUP(VLOOKUP(V$1,Calcs!$E$110:$F$117,2,FALSE),Character!$A$9:$B$16,2,FALSE)+IF(VLOOKUP($M2,Character!$E$53:$F$58,2,FALSE)="Yes",0,VLOOKUP($M2,Character!$E$53:$F$58,2,FALSE))+Character!$C$36+Character!$F$36+IF($N2="Yes",2,0)))</f>
        <v xml:space="preserve"> </v>
      </c>
      <c r="W2" s="283" t="str">
        <f>IF($M2=" "," ",IF(VLOOKUP($M2,Character!$E$53:$F$58,2,FALSE)="No"," ",VLOOKUP(VLOOKUP(W$1,Calcs!$E$110:$F$117,2,FALSE),Character!$A$9:$B$16,2,FALSE)+IF(VLOOKUP($M2,Character!$E$53:$F$58,2,FALSE)="Yes",0,VLOOKUP($M2,Character!$E$53:$F$58,2,FALSE))+Character!$C$36+Character!$F$36+IF($N2="Yes",2,0)))</f>
        <v xml:space="preserve"> </v>
      </c>
      <c r="X2" s="15"/>
      <c r="Y2" s="15"/>
    </row>
    <row r="3" spans="1:25" x14ac:dyDescent="0.2">
      <c r="A3" s="284" t="str">
        <f>Character!A46</f>
        <v>Athletics</v>
      </c>
      <c r="B3" s="383" t="s">
        <v>185</v>
      </c>
      <c r="C3" s="591" t="str">
        <f>IF(ISBLANK(Character!C46)," ",Character!C46)</f>
        <v xml:space="preserve"> </v>
      </c>
      <c r="D3" s="279">
        <f>IF(VLOOKUP($A3,Character!$A$45:$C$66,2,FALSE)="No"," ",VLOOKUP(VLOOKUP(D$1,Calcs!$E$110:$F$117,2,FALSE),Character!$A$9:$B$16,2,FALSE)+IF(VLOOKUP($A3,Character!$A$45:$C$66,2,FALSE)="Yes",0,VLOOKUP($A3,Character!$A$45:$C$66,2,FALSE))+Character!$C$36+Character!$F$36+IF($B3="Yes",2,0))</f>
        <v>0</v>
      </c>
      <c r="E3" s="277">
        <f>IF(VLOOKUP($A3,Character!$A$45:$C$66,2,FALSE)="No"," ",VLOOKUP(VLOOKUP(E$1,Calcs!$E$110:$F$117,2,FALSE),Character!$A$9:$B$16,2,FALSE)+IF(VLOOKUP($A3,Character!$A$45:$C$66,2,FALSE)="Yes",0,VLOOKUP($A3,Character!$A$45:$C$66,2,FALSE))+Character!$C$36+Character!$F$36+IF($B3="Yes",2,0))</f>
        <v>0</v>
      </c>
      <c r="F3" s="277">
        <f>IF(VLOOKUP($A3,Character!$A$45:$C$66,2,FALSE)="No"," ",VLOOKUP(VLOOKUP(F$1,Calcs!$E$110:$F$117,2,FALSE),Character!$A$9:$B$16,2,FALSE)+IF(VLOOKUP($A3,Character!$A$45:$C$66,2,FALSE)="Yes",0,VLOOKUP($A3,Character!$A$45:$C$66,2,FALSE))+Character!$C$36+Character!$F$36+IF($B3="Yes",2,0))</f>
        <v>0</v>
      </c>
      <c r="G3" s="277">
        <f>IF(VLOOKUP($A3,Character!$A$45:$C$66,2,FALSE)="No"," ",VLOOKUP(VLOOKUP(G$1,Calcs!$E$110:$F$117,2,FALSE),Character!$A$9:$B$16,2,FALSE)+IF(VLOOKUP($A3,Character!$A$45:$C$66,2,FALSE)="Yes",0,VLOOKUP($A3,Character!$A$45:$C$66,2,FALSE))+Character!$C$36+Character!$F$36+IF($B3="Yes",2,0))</f>
        <v>0</v>
      </c>
      <c r="H3" s="277">
        <f>IF(VLOOKUP($A3,Character!$A$45:$C$66,2,FALSE)="No"," ",VLOOKUP(VLOOKUP(H$1,Calcs!$E$110:$F$117,2,FALSE),Character!$A$9:$B$16,2,FALSE)+IF(VLOOKUP($A3,Character!$A$45:$C$66,2,FALSE)="Yes",0,VLOOKUP($A3,Character!$A$45:$C$66,2,FALSE))+Character!$C$36+Character!$F$36+IF($B3="Yes",2,0))</f>
        <v>0</v>
      </c>
      <c r="I3" s="277">
        <f>IF(VLOOKUP($A3,Character!$A$45:$C$66,2,FALSE)="No"," ",VLOOKUP(VLOOKUP(I$1,Calcs!$E$110:$F$117,2,FALSE),Character!$A$9:$B$16,2,FALSE)+IF(VLOOKUP($A3,Character!$A$45:$C$66,2,FALSE)="Yes",0,VLOOKUP($A3,Character!$A$45:$C$66,2,FALSE))+Character!$C$36+Character!$F$36+IF($B3="Yes",2,0))</f>
        <v>0</v>
      </c>
      <c r="J3" s="277">
        <f>IF(VLOOKUP($A3,Character!$A$45:$C$66,2,FALSE)="No"," ",VLOOKUP(VLOOKUP(J$1,Calcs!$E$110:$F$117,2,FALSE),Character!$A$9:$B$16,2,FALSE)+IF(VLOOKUP($A3,Character!$A$45:$C$66,2,FALSE)="Yes",0,VLOOKUP($A3,Character!$A$45:$C$66,2,FALSE))+Character!$C$36+Character!$F$36+IF($B3="Yes",2,0))</f>
        <v>0</v>
      </c>
      <c r="K3" s="285">
        <f>IF(VLOOKUP($A3,Character!$A$45:$C$66,2,FALSE)="No"," ",VLOOKUP(VLOOKUP(K$1,Calcs!$E$110:$F$117,2,FALSE),Character!$A$9:$B$16,2,FALSE)+IF(VLOOKUP($A3,Character!$A$45:$C$66,2,FALSE)="Yes",0,VLOOKUP($A3,Character!$A$45:$C$66,2,FALSE))+Character!$C$36+Character!$F$36+IF($B3="Yes",2,0))</f>
        <v>0</v>
      </c>
      <c r="L3" s="10"/>
      <c r="M3" s="289" t="str">
        <f>Character!E54</f>
        <v xml:space="preserve"> </v>
      </c>
      <c r="N3" s="607"/>
      <c r="O3" s="608" t="str">
        <f>IF(ISBLANK(Character!G54)," ",Character!G54)</f>
        <v xml:space="preserve"> </v>
      </c>
      <c r="P3" s="279" t="str">
        <f>IF($M3=" "," ",IF(VLOOKUP($M3,Character!$E$53:$F$58,2,FALSE)="No"," ",VLOOKUP(VLOOKUP(P$1,Calcs!$E$110:$F$117,2,FALSE),Character!$A$9:$B$16,2,FALSE)+IF(VLOOKUP($M3,Character!$E$53:$F$58,2,FALSE)="Yes",0,VLOOKUP($M3,Character!$E$53:$F$58,2,FALSE))+Character!$C$36+Character!$F$36+IF($N3="Yes",2,0)))</f>
        <v xml:space="preserve"> </v>
      </c>
      <c r="Q3" s="277" t="str">
        <f>IF($M3=" "," ",IF(VLOOKUP($M3,Character!$E$53:$F$58,2,FALSE)="No"," ",VLOOKUP(VLOOKUP(Q$1,Calcs!$E$110:$F$117,2,FALSE),Character!$A$9:$B$16,2,FALSE)+IF(VLOOKUP($M3,Character!$E$53:$F$58,2,FALSE)="Yes",0,VLOOKUP($M3,Character!$E$53:$F$58,2,FALSE))+Character!$C$36+Character!$F$36+IF($N3="Yes",2,0)))</f>
        <v xml:space="preserve"> </v>
      </c>
      <c r="R3" s="277" t="str">
        <f>IF($M3=" "," ",IF(VLOOKUP($M3,Character!$E$53:$F$58,2,FALSE)="No"," ",VLOOKUP(VLOOKUP(R$1,Calcs!$E$110:$F$117,2,FALSE),Character!$A$9:$B$16,2,FALSE)+IF(VLOOKUP($M3,Character!$E$53:$F$58,2,FALSE)="Yes",0,VLOOKUP($M3,Character!$E$53:$F$58,2,FALSE))+Character!$C$36+Character!$F$36+IF($N3="Yes",2,0)))</f>
        <v xml:space="preserve"> </v>
      </c>
      <c r="S3" s="277" t="str">
        <f>IF($M3=" "," ",IF(VLOOKUP($M3,Character!$E$53:$F$58,2,FALSE)="No"," ",VLOOKUP(VLOOKUP(S$1,Calcs!$E$110:$F$117,2,FALSE),Character!$A$9:$B$16,2,FALSE)+IF(VLOOKUP($M3,Character!$E$53:$F$58,2,FALSE)="Yes",0,VLOOKUP($M3,Character!$E$53:$F$58,2,FALSE))+Character!$C$36+Character!$F$36+IF($N3="Yes",2,0)))</f>
        <v xml:space="preserve"> </v>
      </c>
      <c r="T3" s="277" t="str">
        <f>IF($M3=" "," ",IF(VLOOKUP($M3,Character!$E$53:$F$58,2,FALSE)="No"," ",VLOOKUP(VLOOKUP(T$1,Calcs!$E$110:$F$117,2,FALSE),Character!$A$9:$B$16,2,FALSE)+IF(VLOOKUP($M3,Character!$E$53:$F$58,2,FALSE)="Yes",0,VLOOKUP($M3,Character!$E$53:$F$58,2,FALSE))+Character!$C$36+Character!$F$36+IF($N3="Yes",2,0)))</f>
        <v xml:space="preserve"> </v>
      </c>
      <c r="U3" s="277" t="str">
        <f>IF($M3=" "," ",IF(VLOOKUP($M3,Character!$E$53:$F$58,2,FALSE)="No"," ",VLOOKUP(VLOOKUP(U$1,Calcs!$E$110:$F$117,2,FALSE),Character!$A$9:$B$16,2,FALSE)+IF(VLOOKUP($M3,Character!$E$53:$F$58,2,FALSE)="Yes",0,VLOOKUP($M3,Character!$E$53:$F$58,2,FALSE))+Character!$C$36+Character!$F$36+IF($N3="Yes",2,0)))</f>
        <v xml:space="preserve"> </v>
      </c>
      <c r="V3" s="277" t="str">
        <f>IF($M3=" "," ",IF(VLOOKUP($M3,Character!$E$53:$F$58,2,FALSE)="No"," ",VLOOKUP(VLOOKUP(V$1,Calcs!$E$110:$F$117,2,FALSE),Character!$A$9:$B$16,2,FALSE)+IF(VLOOKUP($M3,Character!$E$53:$F$58,2,FALSE)="Yes",0,VLOOKUP($M3,Character!$E$53:$F$58,2,FALSE))+Character!$C$36+Character!$F$36+IF($N3="Yes",2,0)))</f>
        <v xml:space="preserve"> </v>
      </c>
      <c r="W3" s="285" t="str">
        <f>IF($M3=" "," ",IF(VLOOKUP($M3,Character!$E$53:$F$58,2,FALSE)="No"," ",VLOOKUP(VLOOKUP(W$1,Calcs!$E$110:$F$117,2,FALSE),Character!$A$9:$B$16,2,FALSE)+IF(VLOOKUP($M3,Character!$E$53:$F$58,2,FALSE)="Yes",0,VLOOKUP($M3,Character!$E$53:$F$58,2,FALSE))+Character!$C$36+Character!$F$36+IF($N3="Yes",2,0)))</f>
        <v xml:space="preserve"> </v>
      </c>
      <c r="X3" s="15"/>
      <c r="Y3" s="15"/>
    </row>
    <row r="4" spans="1:25" x14ac:dyDescent="0.2">
      <c r="A4" s="284" t="str">
        <f>Character!A47</f>
        <v>Awareness</v>
      </c>
      <c r="B4" s="383" t="s">
        <v>185</v>
      </c>
      <c r="C4" s="591" t="str">
        <f>IF(ISBLANK(Character!C47)," ",Character!C47)</f>
        <v xml:space="preserve"> </v>
      </c>
      <c r="D4" s="279">
        <f>IF(VLOOKUP($A4,Character!$A$45:$C$66,2,FALSE)="No"," ",VLOOKUP(VLOOKUP(D$1,Calcs!$E$110:$F$117,2,FALSE),Character!$A$9:$B$16,2,FALSE)+IF(VLOOKUP($A4,Character!$A$45:$C$66,2,FALSE)="Yes",0,VLOOKUP($A4,Character!$A$45:$C$66,2,FALSE))+Character!$C$36+Character!$F$36+IF($B4="Yes",2,0))</f>
        <v>0</v>
      </c>
      <c r="E4" s="277">
        <f>IF(VLOOKUP($A4,Character!$A$45:$C$66,2,FALSE)="No"," ",VLOOKUP(VLOOKUP(E$1,Calcs!$E$110:$F$117,2,FALSE),Character!$A$9:$B$16,2,FALSE)+IF(VLOOKUP($A4,Character!$A$45:$C$66,2,FALSE)="Yes",0,VLOOKUP($A4,Character!$A$45:$C$66,2,FALSE))+Character!$C$36+Character!$F$36+IF($B4="Yes",2,0))</f>
        <v>0</v>
      </c>
      <c r="F4" s="277">
        <f>IF(VLOOKUP($A4,Character!$A$45:$C$66,2,FALSE)="No"," ",VLOOKUP(VLOOKUP(F$1,Calcs!$E$110:$F$117,2,FALSE),Character!$A$9:$B$16,2,FALSE)+IF(VLOOKUP($A4,Character!$A$45:$C$66,2,FALSE)="Yes",0,VLOOKUP($A4,Character!$A$45:$C$66,2,FALSE))+Character!$C$36+Character!$F$36+IF($B4="Yes",2,0))</f>
        <v>0</v>
      </c>
      <c r="G4" s="277">
        <f>IF(VLOOKUP($A4,Character!$A$45:$C$66,2,FALSE)="No"," ",VLOOKUP(VLOOKUP(G$1,Calcs!$E$110:$F$117,2,FALSE),Character!$A$9:$B$16,2,FALSE)+IF(VLOOKUP($A4,Character!$A$45:$C$66,2,FALSE)="Yes",0,VLOOKUP($A4,Character!$A$45:$C$66,2,FALSE))+Character!$C$36+Character!$F$36+IF($B4="Yes",2,0))</f>
        <v>0</v>
      </c>
      <c r="H4" s="277">
        <f>IF(VLOOKUP($A4,Character!$A$45:$C$66,2,FALSE)="No"," ",VLOOKUP(VLOOKUP(H$1,Calcs!$E$110:$F$117,2,FALSE),Character!$A$9:$B$16,2,FALSE)+IF(VLOOKUP($A4,Character!$A$45:$C$66,2,FALSE)="Yes",0,VLOOKUP($A4,Character!$A$45:$C$66,2,FALSE))+Character!$C$36+Character!$F$36+IF($B4="Yes",2,0))</f>
        <v>0</v>
      </c>
      <c r="I4" s="277">
        <f>IF(VLOOKUP($A4,Character!$A$45:$C$66,2,FALSE)="No"," ",VLOOKUP(VLOOKUP(I$1,Calcs!$E$110:$F$117,2,FALSE),Character!$A$9:$B$16,2,FALSE)+IF(VLOOKUP($A4,Character!$A$45:$C$66,2,FALSE)="Yes",0,VLOOKUP($A4,Character!$A$45:$C$66,2,FALSE))+Character!$C$36+Character!$F$36+IF($B4="Yes",2,0))</f>
        <v>0</v>
      </c>
      <c r="J4" s="277">
        <f>IF(VLOOKUP($A4,Character!$A$45:$C$66,2,FALSE)="No"," ",VLOOKUP(VLOOKUP(J$1,Calcs!$E$110:$F$117,2,FALSE),Character!$A$9:$B$16,2,FALSE)+IF(VLOOKUP($A4,Character!$A$45:$C$66,2,FALSE)="Yes",0,VLOOKUP($A4,Character!$A$45:$C$66,2,FALSE))+Character!$C$36+Character!$F$36+IF($B4="Yes",2,0))</f>
        <v>0</v>
      </c>
      <c r="K4" s="285">
        <f>IF(VLOOKUP($A4,Character!$A$45:$C$66,2,FALSE)="No"," ",VLOOKUP(VLOOKUP(K$1,Calcs!$E$110:$F$117,2,FALSE),Character!$A$9:$B$16,2,FALSE)+IF(VLOOKUP($A4,Character!$A$45:$C$66,2,FALSE)="Yes",0,VLOOKUP($A4,Character!$A$45:$C$66,2,FALSE))+Character!$C$36+Character!$F$36+IF($B4="Yes",2,0))</f>
        <v>0</v>
      </c>
      <c r="L4" s="10"/>
      <c r="M4" s="289" t="str">
        <f>Character!E55</f>
        <v xml:space="preserve"> </v>
      </c>
      <c r="N4" s="628"/>
      <c r="O4" s="626" t="str">
        <f>IF(ISBLANK(Character!G55)," ",Character!G55)</f>
        <v xml:space="preserve"> </v>
      </c>
      <c r="P4" s="279" t="str">
        <f>IF($M4=" "," ",IF(VLOOKUP($M4,Character!$E$53:$F$58,2,FALSE)="No"," ",VLOOKUP(VLOOKUP(P$1,Calcs!$E$110:$F$117,2,FALSE),Character!$A$9:$B$16,2,FALSE)+IF(VLOOKUP($M4,Character!$E$53:$F$58,2,FALSE)="Yes",0,VLOOKUP($M4,Character!$E$53:$F$58,2,FALSE))+Character!$C$36+Character!$F$36+IF($N4="Yes",2,0)))</f>
        <v xml:space="preserve"> </v>
      </c>
      <c r="Q4" s="277" t="str">
        <f>IF($M4=" "," ",IF(VLOOKUP($M4,Character!$E$53:$F$58,2,FALSE)="No"," ",VLOOKUP(VLOOKUP(Q$1,Calcs!$E$110:$F$117,2,FALSE),Character!$A$9:$B$16,2,FALSE)+IF(VLOOKUP($M4,Character!$E$53:$F$58,2,FALSE)="Yes",0,VLOOKUP($M4,Character!$E$53:$F$58,2,FALSE))+Character!$C$36+Character!$F$36+IF($N4="Yes",2,0)))</f>
        <v xml:space="preserve"> </v>
      </c>
      <c r="R4" s="277" t="str">
        <f>IF($M4=" "," ",IF(VLOOKUP($M4,Character!$E$53:$F$58,2,FALSE)="No"," ",VLOOKUP(VLOOKUP(R$1,Calcs!$E$110:$F$117,2,FALSE),Character!$A$9:$B$16,2,FALSE)+IF(VLOOKUP($M4,Character!$E$53:$F$58,2,FALSE)="Yes",0,VLOOKUP($M4,Character!$E$53:$F$58,2,FALSE))+Character!$C$36+Character!$F$36+IF($N4="Yes",2,0)))</f>
        <v xml:space="preserve"> </v>
      </c>
      <c r="S4" s="277" t="str">
        <f>IF($M4=" "," ",IF(VLOOKUP($M4,Character!$E$53:$F$58,2,FALSE)="No"," ",VLOOKUP(VLOOKUP(S$1,Calcs!$E$110:$F$117,2,FALSE),Character!$A$9:$B$16,2,FALSE)+IF(VLOOKUP($M4,Character!$E$53:$F$58,2,FALSE)="Yes",0,VLOOKUP($M4,Character!$E$53:$F$58,2,FALSE))+Character!$C$36+Character!$F$36+IF($N4="Yes",2,0)))</f>
        <v xml:space="preserve"> </v>
      </c>
      <c r="T4" s="277" t="str">
        <f>IF($M4=" "," ",IF(VLOOKUP($M4,Character!$E$53:$F$58,2,FALSE)="No"," ",VLOOKUP(VLOOKUP(T$1,Calcs!$E$110:$F$117,2,FALSE),Character!$A$9:$B$16,2,FALSE)+IF(VLOOKUP($M4,Character!$E$53:$F$58,2,FALSE)="Yes",0,VLOOKUP($M4,Character!$E$53:$F$58,2,FALSE))+Character!$C$36+Character!$F$36+IF($N4="Yes",2,0)))</f>
        <v xml:space="preserve"> </v>
      </c>
      <c r="U4" s="277" t="str">
        <f>IF($M4=" "," ",IF(VLOOKUP($M4,Character!$E$53:$F$58,2,FALSE)="No"," ",VLOOKUP(VLOOKUP(U$1,Calcs!$E$110:$F$117,2,FALSE),Character!$A$9:$B$16,2,FALSE)+IF(VLOOKUP($M4,Character!$E$53:$F$58,2,FALSE)="Yes",0,VLOOKUP($M4,Character!$E$53:$F$58,2,FALSE))+Character!$C$36+Character!$F$36+IF($N4="Yes",2,0)))</f>
        <v xml:space="preserve"> </v>
      </c>
      <c r="V4" s="277" t="str">
        <f>IF($M4=" "," ",IF(VLOOKUP($M4,Character!$E$53:$F$58,2,FALSE)="No"," ",VLOOKUP(VLOOKUP(V$1,Calcs!$E$110:$F$117,2,FALSE),Character!$A$9:$B$16,2,FALSE)+IF(VLOOKUP($M4,Character!$E$53:$F$58,2,FALSE)="Yes",0,VLOOKUP($M4,Character!$E$53:$F$58,2,FALSE))+Character!$C$36+Character!$F$36+IF($N4="Yes",2,0)))</f>
        <v xml:space="preserve"> </v>
      </c>
      <c r="W4" s="285" t="str">
        <f>IF($M4=" "," ",IF(VLOOKUP($M4,Character!$E$53:$F$58,2,FALSE)="No"," ",VLOOKUP(VLOOKUP(W$1,Calcs!$E$110:$F$117,2,FALSE),Character!$A$9:$B$16,2,FALSE)+IF(VLOOKUP($M4,Character!$E$53:$F$58,2,FALSE)="Yes",0,VLOOKUP($M4,Character!$E$53:$F$58,2,FALSE))+Character!$C$36+Character!$F$36+IF($N4="Yes",2,0)))</f>
        <v xml:space="preserve"> </v>
      </c>
      <c r="X4" s="15"/>
      <c r="Y4" s="15"/>
    </row>
    <row r="5" spans="1:25" x14ac:dyDescent="0.2">
      <c r="A5" s="284" t="str">
        <f>Character!A48</f>
        <v>Bargain</v>
      </c>
      <c r="B5" s="383" t="s">
        <v>185</v>
      </c>
      <c r="C5" s="591" t="str">
        <f>IF(ISBLANK(Character!C48)," ",Character!C48)</f>
        <v xml:space="preserve"> </v>
      </c>
      <c r="D5" s="279">
        <f>IF(VLOOKUP($A5,Character!$A$45:$C$66,2,FALSE)="No"," ",VLOOKUP(VLOOKUP(D$1,Calcs!$E$110:$F$117,2,FALSE),Character!$A$9:$B$16,2,FALSE)+IF(VLOOKUP($A5,Character!$A$45:$C$66,2,FALSE)="Yes",0,VLOOKUP($A5,Character!$A$45:$C$66,2,FALSE))+Character!$C$36+Character!$F$36+IF($B5="Yes",2,0))</f>
        <v>0</v>
      </c>
      <c r="E5" s="277">
        <f>IF(VLOOKUP($A5,Character!$A$45:$C$66,2,FALSE)="No"," ",VLOOKUP(VLOOKUP(E$1,Calcs!$E$110:$F$117,2,FALSE),Character!$A$9:$B$16,2,FALSE)+IF(VLOOKUP($A5,Character!$A$45:$C$66,2,FALSE)="Yes",0,VLOOKUP($A5,Character!$A$45:$C$66,2,FALSE))+Character!$C$36+Character!$F$36+IF($B5="Yes",2,0))</f>
        <v>0</v>
      </c>
      <c r="F5" s="277">
        <f>IF(VLOOKUP($A5,Character!$A$45:$C$66,2,FALSE)="No"," ",VLOOKUP(VLOOKUP(F$1,Calcs!$E$110:$F$117,2,FALSE),Character!$A$9:$B$16,2,FALSE)+IF(VLOOKUP($A5,Character!$A$45:$C$66,2,FALSE)="Yes",0,VLOOKUP($A5,Character!$A$45:$C$66,2,FALSE))+Character!$C$36+Character!$F$36+IF($B5="Yes",2,0))</f>
        <v>0</v>
      </c>
      <c r="G5" s="277">
        <f>IF(VLOOKUP($A5,Character!$A$45:$C$66,2,FALSE)="No"," ",VLOOKUP(VLOOKUP(G$1,Calcs!$E$110:$F$117,2,FALSE),Character!$A$9:$B$16,2,FALSE)+IF(VLOOKUP($A5,Character!$A$45:$C$66,2,FALSE)="Yes",0,VLOOKUP($A5,Character!$A$45:$C$66,2,FALSE))+Character!$C$36+Character!$F$36+IF($B5="Yes",2,0))</f>
        <v>0</v>
      </c>
      <c r="H5" s="277">
        <f>IF(VLOOKUP($A5,Character!$A$45:$C$66,2,FALSE)="No"," ",VLOOKUP(VLOOKUP(H$1,Calcs!$E$110:$F$117,2,FALSE),Character!$A$9:$B$16,2,FALSE)+IF(VLOOKUP($A5,Character!$A$45:$C$66,2,FALSE)="Yes",0,VLOOKUP($A5,Character!$A$45:$C$66,2,FALSE))+Character!$C$36+Character!$F$36+IF($B5="Yes",2,0))</f>
        <v>0</v>
      </c>
      <c r="I5" s="277">
        <f>IF(VLOOKUP($A5,Character!$A$45:$C$66,2,FALSE)="No"," ",VLOOKUP(VLOOKUP(I$1,Calcs!$E$110:$F$117,2,FALSE),Character!$A$9:$B$16,2,FALSE)+IF(VLOOKUP($A5,Character!$A$45:$C$66,2,FALSE)="Yes",0,VLOOKUP($A5,Character!$A$45:$C$66,2,FALSE))+Character!$C$36+Character!$F$36+IF($B5="Yes",2,0))</f>
        <v>0</v>
      </c>
      <c r="J5" s="277">
        <f>IF(VLOOKUP($A5,Character!$A$45:$C$66,2,FALSE)="No"," ",VLOOKUP(VLOOKUP(J$1,Calcs!$E$110:$F$117,2,FALSE),Character!$A$9:$B$16,2,FALSE)+IF(VLOOKUP($A5,Character!$A$45:$C$66,2,FALSE)="Yes",0,VLOOKUP($A5,Character!$A$45:$C$66,2,FALSE))+Character!$C$36+Character!$F$36+IF($B5="Yes",2,0))</f>
        <v>0</v>
      </c>
      <c r="K5" s="285">
        <f>IF(VLOOKUP($A5,Character!$A$45:$C$66,2,FALSE)="No"," ",VLOOKUP(VLOOKUP(K$1,Calcs!$E$110:$F$117,2,FALSE),Character!$A$9:$B$16,2,FALSE)+IF(VLOOKUP($A5,Character!$A$45:$C$66,2,FALSE)="Yes",0,VLOOKUP($A5,Character!$A$45:$C$66,2,FALSE))+Character!$C$36+Character!$F$36+IF($B5="Yes",2,0))</f>
        <v>0</v>
      </c>
      <c r="L5" s="10"/>
      <c r="M5" s="289" t="str">
        <f>Character!E56</f>
        <v xml:space="preserve"> </v>
      </c>
      <c r="N5" s="299"/>
      <c r="O5" s="595" t="str">
        <f>IF(ISBLANK(Character!G56)," ",Character!G56)</f>
        <v xml:space="preserve"> </v>
      </c>
      <c r="P5" s="279" t="str">
        <f>IF($M5=" "," ",IF(VLOOKUP($M5,Character!$E$53:$F$58,2,FALSE)="No"," ",VLOOKUP(VLOOKUP(P$1,Calcs!$E$110:$F$117,2,FALSE),Character!$A$9:$B$16,2,FALSE)+IF(VLOOKUP($M5,Character!$E$53:$F$58,2,FALSE)="Yes",0,VLOOKUP($M5,Character!$E$53:$F$58,2,FALSE))+Character!$C$36+Character!$F$36+IF($N5="Yes",2,0)))</f>
        <v xml:space="preserve"> </v>
      </c>
      <c r="Q5" s="277" t="str">
        <f>IF($M5=" "," ",IF(VLOOKUP($M5,Character!$E$53:$F$58,2,FALSE)="No"," ",VLOOKUP(VLOOKUP(Q$1,Calcs!$E$110:$F$117,2,FALSE),Character!$A$9:$B$16,2,FALSE)+IF(VLOOKUP($M5,Character!$E$53:$F$58,2,FALSE)="Yes",0,VLOOKUP($M5,Character!$E$53:$F$58,2,FALSE))+Character!$C$36+Character!$F$36+IF($N5="Yes",2,0)))</f>
        <v xml:space="preserve"> </v>
      </c>
      <c r="R5" s="277" t="str">
        <f>IF($M5=" "," ",IF(VLOOKUP($M5,Character!$E$53:$F$58,2,FALSE)="No"," ",VLOOKUP(VLOOKUP(R$1,Calcs!$E$110:$F$117,2,FALSE),Character!$A$9:$B$16,2,FALSE)+IF(VLOOKUP($M5,Character!$E$53:$F$58,2,FALSE)="Yes",0,VLOOKUP($M5,Character!$E$53:$F$58,2,FALSE))+Character!$C$36+Character!$F$36+IF($N5="Yes",2,0)))</f>
        <v xml:space="preserve"> </v>
      </c>
      <c r="S5" s="277" t="str">
        <f>IF($M5=" "," ",IF(VLOOKUP($M5,Character!$E$53:$F$58,2,FALSE)="No"," ",VLOOKUP(VLOOKUP(S$1,Calcs!$E$110:$F$117,2,FALSE),Character!$A$9:$B$16,2,FALSE)+IF(VLOOKUP($M5,Character!$E$53:$F$58,2,FALSE)="Yes",0,VLOOKUP($M5,Character!$E$53:$F$58,2,FALSE))+Character!$C$36+Character!$F$36+IF($N5="Yes",2,0)))</f>
        <v xml:space="preserve"> </v>
      </c>
      <c r="T5" s="277" t="str">
        <f>IF($M5=" "," ",IF(VLOOKUP($M5,Character!$E$53:$F$58,2,FALSE)="No"," ",VLOOKUP(VLOOKUP(T$1,Calcs!$E$110:$F$117,2,FALSE),Character!$A$9:$B$16,2,FALSE)+IF(VLOOKUP($M5,Character!$E$53:$F$58,2,FALSE)="Yes",0,VLOOKUP($M5,Character!$E$53:$F$58,2,FALSE))+Character!$C$36+Character!$F$36+IF($N5="Yes",2,0)))</f>
        <v xml:space="preserve"> </v>
      </c>
      <c r="U5" s="277" t="str">
        <f>IF($M5=" "," ",IF(VLOOKUP($M5,Character!$E$53:$F$58,2,FALSE)="No"," ",VLOOKUP(VLOOKUP(U$1,Calcs!$E$110:$F$117,2,FALSE),Character!$A$9:$B$16,2,FALSE)+IF(VLOOKUP($M5,Character!$E$53:$F$58,2,FALSE)="Yes",0,VLOOKUP($M5,Character!$E$53:$F$58,2,FALSE))+Character!$C$36+Character!$F$36+IF($N5="Yes",2,0)))</f>
        <v xml:space="preserve"> </v>
      </c>
      <c r="V5" s="277" t="str">
        <f>IF($M5=" "," ",IF(VLOOKUP($M5,Character!$E$53:$F$58,2,FALSE)="No"," ",VLOOKUP(VLOOKUP(V$1,Calcs!$E$110:$F$117,2,FALSE),Character!$A$9:$B$16,2,FALSE)+IF(VLOOKUP($M5,Character!$E$53:$F$58,2,FALSE)="Yes",0,VLOOKUP($M5,Character!$E$53:$F$58,2,FALSE))+Character!$C$36+Character!$F$36+IF($N5="Yes",2,0)))</f>
        <v xml:space="preserve"> </v>
      </c>
      <c r="W5" s="285" t="str">
        <f>IF($M5=" "," ",IF(VLOOKUP($M5,Character!$E$53:$F$58,2,FALSE)="No"," ",VLOOKUP(VLOOKUP(W$1,Calcs!$E$110:$F$117,2,FALSE),Character!$A$9:$B$16,2,FALSE)+IF(VLOOKUP($M5,Character!$E$53:$F$58,2,FALSE)="Yes",0,VLOOKUP($M5,Character!$E$53:$F$58,2,FALSE))+Character!$C$36+Character!$F$36+IF($N5="Yes",2,0)))</f>
        <v xml:space="preserve"> </v>
      </c>
      <c r="X5" s="15"/>
      <c r="Y5" s="15"/>
    </row>
    <row r="6" spans="1:25" x14ac:dyDescent="0.2">
      <c r="A6" s="284" t="str">
        <f>Character!A49</f>
        <v>Brawl</v>
      </c>
      <c r="B6" s="383" t="s">
        <v>185</v>
      </c>
      <c r="C6" s="591" t="str">
        <f>IF(ISBLANK(Character!C49)," ",Character!C49)</f>
        <v xml:space="preserve"> </v>
      </c>
      <c r="D6" s="279">
        <f>IF(VLOOKUP($A6,Character!$A$45:$C$66,2,FALSE)="No"," ",VLOOKUP(VLOOKUP(D$1,Calcs!$E$110:$F$117,2,FALSE),Character!$A$9:$B$16,2,FALSE)+IF(VLOOKUP($A6,Character!$A$45:$C$66,2,FALSE)="Yes",0,VLOOKUP($A6,Character!$A$45:$C$66,2,FALSE))+Character!$C$36+Character!$F$36+IF($B6="Yes",2,0))</f>
        <v>0</v>
      </c>
      <c r="E6" s="277">
        <f>IF(VLOOKUP($A6,Character!$A$45:$C$66,2,FALSE)="No"," ",VLOOKUP(VLOOKUP(E$1,Calcs!$E$110:$F$117,2,FALSE),Character!$A$9:$B$16,2,FALSE)+IF(VLOOKUP($A6,Character!$A$45:$C$66,2,FALSE)="Yes",0,VLOOKUP($A6,Character!$A$45:$C$66,2,FALSE))+Character!$C$36+Character!$F$36+IF($B6="Yes",2,0))</f>
        <v>0</v>
      </c>
      <c r="F6" s="277">
        <f>IF(VLOOKUP($A6,Character!$A$45:$C$66,2,FALSE)="No"," ",VLOOKUP(VLOOKUP(F$1,Calcs!$E$110:$F$117,2,FALSE),Character!$A$9:$B$16,2,FALSE)+IF(VLOOKUP($A6,Character!$A$45:$C$66,2,FALSE)="Yes",0,VLOOKUP($A6,Character!$A$45:$C$66,2,FALSE))+Character!$C$36+Character!$F$36+IF($B6="Yes",2,0))</f>
        <v>0</v>
      </c>
      <c r="G6" s="277">
        <f>IF(VLOOKUP($A6,Character!$A$45:$C$66,2,FALSE)="No"," ",VLOOKUP(VLOOKUP(G$1,Calcs!$E$110:$F$117,2,FALSE),Character!$A$9:$B$16,2,FALSE)+IF(VLOOKUP($A6,Character!$A$45:$C$66,2,FALSE)="Yes",0,VLOOKUP($A6,Character!$A$45:$C$66,2,FALSE))+Character!$C$36+Character!$F$36+IF($B6="Yes",2,0))</f>
        <v>0</v>
      </c>
      <c r="H6" s="277">
        <f>IF(VLOOKUP($A6,Character!$A$45:$C$66,2,FALSE)="No"," ",VLOOKUP(VLOOKUP(H$1,Calcs!$E$110:$F$117,2,FALSE),Character!$A$9:$B$16,2,FALSE)+IF(VLOOKUP($A6,Character!$A$45:$C$66,2,FALSE)="Yes",0,VLOOKUP($A6,Character!$A$45:$C$66,2,FALSE))+Character!$C$36+Character!$F$36+IF($B6="Yes",2,0))</f>
        <v>0</v>
      </c>
      <c r="I6" s="277">
        <f>IF(VLOOKUP($A6,Character!$A$45:$C$66,2,FALSE)="No"," ",VLOOKUP(VLOOKUP(I$1,Calcs!$E$110:$F$117,2,FALSE),Character!$A$9:$B$16,2,FALSE)+IF(VLOOKUP($A6,Character!$A$45:$C$66,2,FALSE)="Yes",0,VLOOKUP($A6,Character!$A$45:$C$66,2,FALSE))+Character!$C$36+Character!$F$36+IF($B6="Yes",2,0))</f>
        <v>0</v>
      </c>
      <c r="J6" s="277">
        <f>IF(VLOOKUP($A6,Character!$A$45:$C$66,2,FALSE)="No"," ",VLOOKUP(VLOOKUP(J$1,Calcs!$E$110:$F$117,2,FALSE),Character!$A$9:$B$16,2,FALSE)+IF(VLOOKUP($A6,Character!$A$45:$C$66,2,FALSE)="Yes",0,VLOOKUP($A6,Character!$A$45:$C$66,2,FALSE))+Character!$C$36+Character!$F$36+IF($B6="Yes",2,0))</f>
        <v>0</v>
      </c>
      <c r="K6" s="285">
        <f>IF(VLOOKUP($A6,Character!$A$45:$C$66,2,FALSE)="No"," ",VLOOKUP(VLOOKUP(K$1,Calcs!$E$110:$F$117,2,FALSE),Character!$A$9:$B$16,2,FALSE)+IF(VLOOKUP($A6,Character!$A$45:$C$66,2,FALSE)="Yes",0,VLOOKUP($A6,Character!$A$45:$C$66,2,FALSE))+Character!$C$36+Character!$F$36+IF($B6="Yes",2,0))</f>
        <v>0</v>
      </c>
      <c r="L6" s="10"/>
      <c r="M6" s="289" t="str">
        <f>Character!E57</f>
        <v xml:space="preserve"> </v>
      </c>
      <c r="N6" s="299"/>
      <c r="O6" s="595" t="str">
        <f>IF(ISBLANK(Character!G57)," ",Character!G57)</f>
        <v xml:space="preserve"> </v>
      </c>
      <c r="P6" s="279" t="str">
        <f>IF($M6=" "," ",IF(VLOOKUP($M6,Character!$E$53:$F$58,2,FALSE)="No"," ",VLOOKUP(VLOOKUP(P$1,Calcs!$E$110:$F$117,2,FALSE),Character!$A$9:$B$16,2,FALSE)+IF(VLOOKUP($M6,Character!$E$53:$F$58,2,FALSE)="Yes",0,VLOOKUP($M6,Character!$E$53:$F$58,2,FALSE))+Character!$C$36+Character!$F$36+IF($N6="Yes",2,0)))</f>
        <v xml:space="preserve"> </v>
      </c>
      <c r="Q6" s="277" t="str">
        <f>IF($M6=" "," ",IF(VLOOKUP($M6,Character!$E$53:$F$58,2,FALSE)="No"," ",VLOOKUP(VLOOKUP(Q$1,Calcs!$E$110:$F$117,2,FALSE),Character!$A$9:$B$16,2,FALSE)+IF(VLOOKUP($M6,Character!$E$53:$F$58,2,FALSE)="Yes",0,VLOOKUP($M6,Character!$E$53:$F$58,2,FALSE))+Character!$C$36+Character!$F$36+IF($N6="Yes",2,0)))</f>
        <v xml:space="preserve"> </v>
      </c>
      <c r="R6" s="277" t="str">
        <f>IF($M6=" "," ",IF(VLOOKUP($M6,Character!$E$53:$F$58,2,FALSE)="No"," ",VLOOKUP(VLOOKUP(R$1,Calcs!$E$110:$F$117,2,FALSE),Character!$A$9:$B$16,2,FALSE)+IF(VLOOKUP($M6,Character!$E$53:$F$58,2,FALSE)="Yes",0,VLOOKUP($M6,Character!$E$53:$F$58,2,FALSE))+Character!$C$36+Character!$F$36+IF($N6="Yes",2,0)))</f>
        <v xml:space="preserve"> </v>
      </c>
      <c r="S6" s="277" t="str">
        <f>IF($M6=" "," ",IF(VLOOKUP($M6,Character!$E$53:$F$58,2,FALSE)="No"," ",VLOOKUP(VLOOKUP(S$1,Calcs!$E$110:$F$117,2,FALSE),Character!$A$9:$B$16,2,FALSE)+IF(VLOOKUP($M6,Character!$E$53:$F$58,2,FALSE)="Yes",0,VLOOKUP($M6,Character!$E$53:$F$58,2,FALSE))+Character!$C$36+Character!$F$36+IF($N6="Yes",2,0)))</f>
        <v xml:space="preserve"> </v>
      </c>
      <c r="T6" s="277" t="str">
        <f>IF($M6=" "," ",IF(VLOOKUP($M6,Character!$E$53:$F$58,2,FALSE)="No"," ",VLOOKUP(VLOOKUP(T$1,Calcs!$E$110:$F$117,2,FALSE),Character!$A$9:$B$16,2,FALSE)+IF(VLOOKUP($M6,Character!$E$53:$F$58,2,FALSE)="Yes",0,VLOOKUP($M6,Character!$E$53:$F$58,2,FALSE))+Character!$C$36+Character!$F$36+IF($N6="Yes",2,0)))</f>
        <v xml:space="preserve"> </v>
      </c>
      <c r="U6" s="277" t="str">
        <f>IF($M6=" "," ",IF(VLOOKUP($M6,Character!$E$53:$F$58,2,FALSE)="No"," ",VLOOKUP(VLOOKUP(U$1,Calcs!$E$110:$F$117,2,FALSE),Character!$A$9:$B$16,2,FALSE)+IF(VLOOKUP($M6,Character!$E$53:$F$58,2,FALSE)="Yes",0,VLOOKUP($M6,Character!$E$53:$F$58,2,FALSE))+Character!$C$36+Character!$F$36+IF($N6="Yes",2,0)))</f>
        <v xml:space="preserve"> </v>
      </c>
      <c r="V6" s="277" t="str">
        <f>IF($M6=" "," ",IF(VLOOKUP($M6,Character!$E$53:$F$58,2,FALSE)="No"," ",VLOOKUP(VLOOKUP(V$1,Calcs!$E$110:$F$117,2,FALSE),Character!$A$9:$B$16,2,FALSE)+IF(VLOOKUP($M6,Character!$E$53:$F$58,2,FALSE)="Yes",0,VLOOKUP($M6,Character!$E$53:$F$58,2,FALSE))+Character!$C$36+Character!$F$36+IF($N6="Yes",2,0)))</f>
        <v xml:space="preserve"> </v>
      </c>
      <c r="W6" s="285" t="str">
        <f>IF($M6=" "," ",IF(VLOOKUP($M6,Character!$E$53:$F$58,2,FALSE)="No"," ",VLOOKUP(VLOOKUP(W$1,Calcs!$E$110:$F$117,2,FALSE),Character!$A$9:$B$16,2,FALSE)+IF(VLOOKUP($M6,Character!$E$53:$F$58,2,FALSE)="Yes",0,VLOOKUP($M6,Character!$E$53:$F$58,2,FALSE))+Character!$C$36+Character!$F$36+IF($N6="Yes",2,0)))</f>
        <v xml:space="preserve"> </v>
      </c>
      <c r="X6" s="15"/>
      <c r="Y6" s="15"/>
    </row>
    <row r="7" spans="1:25" x14ac:dyDescent="0.2">
      <c r="A7" s="284" t="str">
        <f>Character!A50</f>
        <v>Carouse</v>
      </c>
      <c r="B7" s="383" t="s">
        <v>185</v>
      </c>
      <c r="C7" s="591" t="str">
        <f>IF(ISBLANK(Character!C50)," ",Character!C50)</f>
        <v xml:space="preserve"> </v>
      </c>
      <c r="D7" s="279">
        <f>IF(VLOOKUP($A7,Character!$A$45:$C$66,2,FALSE)="No"," ",VLOOKUP(VLOOKUP(D$1,Calcs!$E$110:$F$117,2,FALSE),Character!$A$9:$B$16,2,FALSE)+IF(VLOOKUP($A7,Character!$A$45:$C$66,2,FALSE)="Yes",0,VLOOKUP($A7,Character!$A$45:$C$66,2,FALSE))+Character!$C$36+Character!$F$36+IF($B7="Yes",2,0))</f>
        <v>0</v>
      </c>
      <c r="E7" s="277">
        <f>IF(VLOOKUP($A7,Character!$A$45:$C$66,2,FALSE)="No"," ",VLOOKUP(VLOOKUP(E$1,Calcs!$E$110:$F$117,2,FALSE),Character!$A$9:$B$16,2,FALSE)+IF(VLOOKUP($A7,Character!$A$45:$C$66,2,FALSE)="Yes",0,VLOOKUP($A7,Character!$A$45:$C$66,2,FALSE))+Character!$C$36+Character!$F$36+IF($B7="Yes",2,0))</f>
        <v>0</v>
      </c>
      <c r="F7" s="277">
        <f>IF(VLOOKUP($A7,Character!$A$45:$C$66,2,FALSE)="No"," ",VLOOKUP(VLOOKUP(F$1,Calcs!$E$110:$F$117,2,FALSE),Character!$A$9:$B$16,2,FALSE)+IF(VLOOKUP($A7,Character!$A$45:$C$66,2,FALSE)="Yes",0,VLOOKUP($A7,Character!$A$45:$C$66,2,FALSE))+Character!$C$36+Character!$F$36+IF($B7="Yes",2,0))</f>
        <v>0</v>
      </c>
      <c r="G7" s="277">
        <f>IF(VLOOKUP($A7,Character!$A$45:$C$66,2,FALSE)="No"," ",VLOOKUP(VLOOKUP(G$1,Calcs!$E$110:$F$117,2,FALSE),Character!$A$9:$B$16,2,FALSE)+IF(VLOOKUP($A7,Character!$A$45:$C$66,2,FALSE)="Yes",0,VLOOKUP($A7,Character!$A$45:$C$66,2,FALSE))+Character!$C$36+Character!$F$36+IF($B7="Yes",2,0))</f>
        <v>0</v>
      </c>
      <c r="H7" s="277">
        <f>IF(VLOOKUP($A7,Character!$A$45:$C$66,2,FALSE)="No"," ",VLOOKUP(VLOOKUP(H$1,Calcs!$E$110:$F$117,2,FALSE),Character!$A$9:$B$16,2,FALSE)+IF(VLOOKUP($A7,Character!$A$45:$C$66,2,FALSE)="Yes",0,VLOOKUP($A7,Character!$A$45:$C$66,2,FALSE))+Character!$C$36+Character!$F$36+IF($B7="Yes",2,0))</f>
        <v>0</v>
      </c>
      <c r="I7" s="277">
        <f>IF(VLOOKUP($A7,Character!$A$45:$C$66,2,FALSE)="No"," ",VLOOKUP(VLOOKUP(I$1,Calcs!$E$110:$F$117,2,FALSE),Character!$A$9:$B$16,2,FALSE)+IF(VLOOKUP($A7,Character!$A$45:$C$66,2,FALSE)="Yes",0,VLOOKUP($A7,Character!$A$45:$C$66,2,FALSE))+Character!$C$36+Character!$F$36+IF($B7="Yes",2,0))</f>
        <v>0</v>
      </c>
      <c r="J7" s="277">
        <f>IF(VLOOKUP($A7,Character!$A$45:$C$66,2,FALSE)="No"," ",VLOOKUP(VLOOKUP(J$1,Calcs!$E$110:$F$117,2,FALSE),Character!$A$9:$B$16,2,FALSE)+IF(VLOOKUP($A7,Character!$A$45:$C$66,2,FALSE)="Yes",0,VLOOKUP($A7,Character!$A$45:$C$66,2,FALSE))+Character!$C$36+Character!$F$36+IF($B7="Yes",2,0))</f>
        <v>0</v>
      </c>
      <c r="K7" s="285">
        <f>IF(VLOOKUP($A7,Character!$A$45:$C$66,2,FALSE)="No"," ",VLOOKUP(VLOOKUP(K$1,Calcs!$E$110:$F$117,2,FALSE),Character!$A$9:$B$16,2,FALSE)+IF(VLOOKUP($A7,Character!$A$45:$C$66,2,FALSE)="Yes",0,VLOOKUP($A7,Character!$A$45:$C$66,2,FALSE))+Character!$C$36+Character!$F$36+IF($B7="Yes",2,0))</f>
        <v>0</v>
      </c>
      <c r="L7" s="10"/>
      <c r="M7" s="290" t="str">
        <f>Character!E58</f>
        <v xml:space="preserve"> </v>
      </c>
      <c r="N7" s="300"/>
      <c r="O7" s="596" t="str">
        <f>IF(ISBLANK(Character!G58)," ",Character!G58)</f>
        <v xml:space="preserve"> </v>
      </c>
      <c r="P7" s="280" t="str">
        <f>IF($M7=" "," ",IF(VLOOKUP($M7,Character!$E$53:$F$58,2,FALSE)="No"," ",VLOOKUP(VLOOKUP(P$1,Calcs!$E$110:$F$117,2,FALSE),Character!$A$9:$B$16,2,FALSE)+IF(VLOOKUP($M7,Character!$E$53:$F$58,2,FALSE)="Yes",0,VLOOKUP($M7,Character!$E$53:$F$58,2,FALSE))+Character!$C$36+Character!$F$36+IF($N7="Yes",2,0)))</f>
        <v xml:space="preserve"> </v>
      </c>
      <c r="Q7" s="278" t="str">
        <f>IF($M7=" "," ",IF(VLOOKUP($M7,Character!$E$53:$F$58,2,FALSE)="No"," ",VLOOKUP(VLOOKUP(Q$1,Calcs!$E$110:$F$117,2,FALSE),Character!$A$9:$B$16,2,FALSE)+IF(VLOOKUP($M7,Character!$E$53:$F$58,2,FALSE)="Yes",0,VLOOKUP($M7,Character!$E$53:$F$58,2,FALSE))+Character!$C$36+Character!$F$36+IF($N7="Yes",2,0)))</f>
        <v xml:space="preserve"> </v>
      </c>
      <c r="R7" s="278" t="str">
        <f>IF($M7=" "," ",IF(VLOOKUP($M7,Character!$E$53:$F$58,2,FALSE)="No"," ",VLOOKUP(VLOOKUP(R$1,Calcs!$E$110:$F$117,2,FALSE),Character!$A$9:$B$16,2,FALSE)+IF(VLOOKUP($M7,Character!$E$53:$F$58,2,FALSE)="Yes",0,VLOOKUP($M7,Character!$E$53:$F$58,2,FALSE))+Character!$C$36+Character!$F$36+IF($N7="Yes",2,0)))</f>
        <v xml:space="preserve"> </v>
      </c>
      <c r="S7" s="278" t="str">
        <f>IF($M7=" "," ",IF(VLOOKUP($M7,Character!$E$53:$F$58,2,FALSE)="No"," ",VLOOKUP(VLOOKUP(S$1,Calcs!$E$110:$F$117,2,FALSE),Character!$A$9:$B$16,2,FALSE)+IF(VLOOKUP($M7,Character!$E$53:$F$58,2,FALSE)="Yes",0,VLOOKUP($M7,Character!$E$53:$F$58,2,FALSE))+Character!$C$36+Character!$F$36+IF($N7="Yes",2,0)))</f>
        <v xml:space="preserve"> </v>
      </c>
      <c r="T7" s="278" t="str">
        <f>IF($M7=" "," ",IF(VLOOKUP($M7,Character!$E$53:$F$58,2,FALSE)="No"," ",VLOOKUP(VLOOKUP(T$1,Calcs!$E$110:$F$117,2,FALSE),Character!$A$9:$B$16,2,FALSE)+IF(VLOOKUP($M7,Character!$E$53:$F$58,2,FALSE)="Yes",0,VLOOKUP($M7,Character!$E$53:$F$58,2,FALSE))+Character!$C$36+Character!$F$36+IF($N7="Yes",2,0)))</f>
        <v xml:space="preserve"> </v>
      </c>
      <c r="U7" s="278" t="str">
        <f>IF($M7=" "," ",IF(VLOOKUP($M7,Character!$E$53:$F$58,2,FALSE)="No"," ",VLOOKUP(VLOOKUP(U$1,Calcs!$E$110:$F$117,2,FALSE),Character!$A$9:$B$16,2,FALSE)+IF(VLOOKUP($M7,Character!$E$53:$F$58,2,FALSE)="Yes",0,VLOOKUP($M7,Character!$E$53:$F$58,2,FALSE))+Character!$C$36+Character!$F$36+IF($N7="Yes",2,0)))</f>
        <v xml:space="preserve"> </v>
      </c>
      <c r="V7" s="278" t="str">
        <f>IF($M7=" "," ",IF(VLOOKUP($M7,Character!$E$53:$F$58,2,FALSE)="No"," ",VLOOKUP(VLOOKUP(V$1,Calcs!$E$110:$F$117,2,FALSE),Character!$A$9:$B$16,2,FALSE)+IF(VLOOKUP($M7,Character!$E$53:$F$58,2,FALSE)="Yes",0,VLOOKUP($M7,Character!$E$53:$F$58,2,FALSE))+Character!$C$36+Character!$F$36+IF($N7="Yes",2,0)))</f>
        <v xml:space="preserve"> </v>
      </c>
      <c r="W7" s="287" t="str">
        <f>IF($M7=" "," ",IF(VLOOKUP($M7,Character!$E$53:$F$58,2,FALSE)="No"," ",VLOOKUP(VLOOKUP(W$1,Calcs!$E$110:$F$117,2,FALSE),Character!$A$9:$B$16,2,FALSE)+IF(VLOOKUP($M7,Character!$E$53:$F$58,2,FALSE)="Yes",0,VLOOKUP($M7,Character!$E$53:$F$58,2,FALSE))+Character!$C$36+Character!$F$36+IF($N7="Yes",2,0)))</f>
        <v xml:space="preserve"> </v>
      </c>
      <c r="X7" s="15"/>
      <c r="Y7" s="15"/>
    </row>
    <row r="8" spans="1:25" x14ac:dyDescent="0.2">
      <c r="A8" s="284" t="str">
        <f>Character!A51</f>
        <v>Charm</v>
      </c>
      <c r="B8" s="383" t="s">
        <v>185</v>
      </c>
      <c r="C8" s="591" t="str">
        <f>IF(ISBLANK(Character!C51)," ",Character!C51)</f>
        <v xml:space="preserve"> </v>
      </c>
      <c r="D8" s="279">
        <f>IF(VLOOKUP($A8,Character!$A$45:$C$66,2,FALSE)="No"," ",VLOOKUP(VLOOKUP(D$1,Calcs!$E$110:$F$117,2,FALSE),Character!$A$9:$B$16,2,FALSE)+IF(VLOOKUP($A8,Character!$A$45:$C$66,2,FALSE)="Yes",0,VLOOKUP($A8,Character!$A$45:$C$66,2,FALSE))+Character!$C$36+Character!$F$36+IF($B8="Yes",2,0))</f>
        <v>0</v>
      </c>
      <c r="E8" s="277">
        <f>IF(VLOOKUP($A8,Character!$A$45:$C$66,2,FALSE)="No"," ",VLOOKUP(VLOOKUP(E$1,Calcs!$E$110:$F$117,2,FALSE),Character!$A$9:$B$16,2,FALSE)+IF(VLOOKUP($A8,Character!$A$45:$C$66,2,FALSE)="Yes",0,VLOOKUP($A8,Character!$A$45:$C$66,2,FALSE))+Character!$C$36+Character!$F$36+IF($B8="Yes",2,0))</f>
        <v>0</v>
      </c>
      <c r="F8" s="277">
        <f>IF(VLOOKUP($A8,Character!$A$45:$C$66,2,FALSE)="No"," ",VLOOKUP(VLOOKUP(F$1,Calcs!$E$110:$F$117,2,FALSE),Character!$A$9:$B$16,2,FALSE)+IF(VLOOKUP($A8,Character!$A$45:$C$66,2,FALSE)="Yes",0,VLOOKUP($A8,Character!$A$45:$C$66,2,FALSE))+Character!$C$36+Character!$F$36+IF($B8="Yes",2,0))</f>
        <v>0</v>
      </c>
      <c r="G8" s="277">
        <f>IF(VLOOKUP($A8,Character!$A$45:$C$66,2,FALSE)="No"," ",VLOOKUP(VLOOKUP(G$1,Calcs!$E$110:$F$117,2,FALSE),Character!$A$9:$B$16,2,FALSE)+IF(VLOOKUP($A8,Character!$A$45:$C$66,2,FALSE)="Yes",0,VLOOKUP($A8,Character!$A$45:$C$66,2,FALSE))+Character!$C$36+Character!$F$36+IF($B8="Yes",2,0))</f>
        <v>0</v>
      </c>
      <c r="H8" s="277">
        <f>IF(VLOOKUP($A8,Character!$A$45:$C$66,2,FALSE)="No"," ",VLOOKUP(VLOOKUP(H$1,Calcs!$E$110:$F$117,2,FALSE),Character!$A$9:$B$16,2,FALSE)+IF(VLOOKUP($A8,Character!$A$45:$C$66,2,FALSE)="Yes",0,VLOOKUP($A8,Character!$A$45:$C$66,2,FALSE))+Character!$C$36+Character!$F$36+IF($B8="Yes",2,0))</f>
        <v>0</v>
      </c>
      <c r="I8" s="277">
        <f>IF(VLOOKUP($A8,Character!$A$45:$C$66,2,FALSE)="No"," ",VLOOKUP(VLOOKUP(I$1,Calcs!$E$110:$F$117,2,FALSE),Character!$A$9:$B$16,2,FALSE)+IF(VLOOKUP($A8,Character!$A$45:$C$66,2,FALSE)="Yes",0,VLOOKUP($A8,Character!$A$45:$C$66,2,FALSE))+Character!$C$36+Character!$F$36+IF($B8="Yes",2,0))</f>
        <v>0</v>
      </c>
      <c r="J8" s="277">
        <f>IF(VLOOKUP($A8,Character!$A$45:$C$66,2,FALSE)="No"," ",VLOOKUP(VLOOKUP(J$1,Calcs!$E$110:$F$117,2,FALSE),Character!$A$9:$B$16,2,FALSE)+IF(VLOOKUP($A8,Character!$A$45:$C$66,2,FALSE)="Yes",0,VLOOKUP($A8,Character!$A$45:$C$66,2,FALSE))+Character!$C$36+Character!$F$36+IF($B8="Yes",2,0))</f>
        <v>0</v>
      </c>
      <c r="K8" s="285">
        <f>IF(VLOOKUP($A8,Character!$A$45:$C$66,2,FALSE)="No"," ",VLOOKUP(VLOOKUP(K$1,Calcs!$E$110:$F$117,2,FALSE),Character!$A$9:$B$16,2,FALSE)+IF(VLOOKUP($A8,Character!$A$45:$C$66,2,FALSE)="Yes",0,VLOOKUP($A8,Character!$A$45:$C$66,2,FALSE))+Character!$C$36+Character!$F$36+IF($B8="Yes",2,0))</f>
        <v>0</v>
      </c>
      <c r="L8" s="10"/>
      <c r="M8" s="598" t="str">
        <f>Character!E61</f>
        <v xml:space="preserve"> </v>
      </c>
      <c r="N8" s="599"/>
      <c r="O8" s="597" t="str">
        <f>IF(ISBLANK(Character!G61)," ",Character!G61)</f>
        <v xml:space="preserve"> </v>
      </c>
      <c r="P8" s="589" t="str">
        <f>IF($M8=" "," ",IF(VLOOKUP($M8,Character!$E$61:$F$66,2,FALSE)="No"," ",VLOOKUP(VLOOKUP(P$1,Calcs!$E$110:$F$117,2,FALSE),Character!$A$9:$B$16,2,FALSE)+IF(VLOOKUP($M8,Character!$E$61:$F$66,2,FALSE)="Yes",0,VLOOKUP($M8,Character!$E$61:$F$66,2,FALSE))+Character!$C$36+Character!$F$36+IF($N8="Yes",2,0)))</f>
        <v xml:space="preserve"> </v>
      </c>
      <c r="Q8" s="609" t="str">
        <f>IF($M8=" "," ",IF(VLOOKUP($M8,Character!$E$61:$F$66,2,FALSE)="No"," ",VLOOKUP(VLOOKUP(Q$1,Calcs!$E$110:$F$117,2,FALSE),Character!$A$9:$B$16,2,FALSE)+IF(VLOOKUP($M8,Character!$E$61:$F$66,2,FALSE)="Yes",0,VLOOKUP($M8,Character!$E$61:$F$66,2,FALSE))+Character!$C$36+Character!$F$36+IF($N8="Yes",2,0)))</f>
        <v xml:space="preserve"> </v>
      </c>
      <c r="R8" s="609" t="str">
        <f>IF($M8=" "," ",IF(VLOOKUP($M8,Character!$E$61:$F$66,2,FALSE)="No"," ",VLOOKUP(VLOOKUP(R$1,Calcs!$E$110:$F$117,2,FALSE),Character!$A$9:$B$16,2,FALSE)+IF(VLOOKUP($M8,Character!$E$61:$F$66,2,FALSE)="Yes",0,VLOOKUP($M8,Character!$E$61:$F$66,2,FALSE))+Character!$C$36+Character!$F$36+IF($N8="Yes",2,0)))</f>
        <v xml:space="preserve"> </v>
      </c>
      <c r="S8" s="609" t="str">
        <f>IF($M8=" "," ",IF(VLOOKUP($M8,Character!$E$61:$F$66,2,FALSE)="No"," ",VLOOKUP(VLOOKUP(S$1,Calcs!$E$110:$F$117,2,FALSE),Character!$A$9:$B$16,2,FALSE)+IF(VLOOKUP($M8,Character!$E$61:$F$66,2,FALSE)="Yes",0,VLOOKUP($M8,Character!$E$61:$F$66,2,FALSE))+Character!$C$36+Character!$F$36+IF($N8="Yes",2,0)))</f>
        <v xml:space="preserve"> </v>
      </c>
      <c r="T8" s="609" t="str">
        <f>IF($M8=" "," ",IF(VLOOKUP($M8,Character!$E$61:$F$66,2,FALSE)="No"," ",VLOOKUP(VLOOKUP(T$1,Calcs!$E$110:$F$117,2,FALSE),Character!$A$9:$B$16,2,FALSE)+IF(VLOOKUP($M8,Character!$E$61:$F$66,2,FALSE)="Yes",0,VLOOKUP($M8,Character!$E$61:$F$66,2,FALSE))+Character!$C$36+Character!$F$36+IF($N8="Yes",2,0)))</f>
        <v xml:space="preserve"> </v>
      </c>
      <c r="U8" s="609" t="str">
        <f>IF($M8=" "," ",IF(VLOOKUP($M8,Character!$E$61:$F$66,2,FALSE)="No"," ",VLOOKUP(VLOOKUP(U$1,Calcs!$E$110:$F$117,2,FALSE),Character!$A$9:$B$16,2,FALSE)+IF(VLOOKUP($M8,Character!$E$61:$F$66,2,FALSE)="Yes",0,VLOOKUP($M8,Character!$E$61:$F$66,2,FALSE))+Character!$C$36+Character!$F$36+IF($N8="Yes",2,0)))</f>
        <v xml:space="preserve"> </v>
      </c>
      <c r="V8" s="609" t="str">
        <f>IF($M8=" "," ",IF(VLOOKUP($M8,Character!$E$61:$F$66,2,FALSE)="No"," ",VLOOKUP(VLOOKUP(V$1,Calcs!$E$110:$F$117,2,FALSE),Character!$A$9:$B$16,2,FALSE)+IF(VLOOKUP($M8,Character!$E$61:$F$66,2,FALSE)="Yes",0,VLOOKUP($M8,Character!$E$61:$F$66,2,FALSE))+Character!$C$36+Character!$F$36+IF($N8="Yes",2,0)))</f>
        <v xml:space="preserve"> </v>
      </c>
      <c r="W8" s="610" t="str">
        <f>IF($M8=" "," ",IF(VLOOKUP($M8,Character!$E$61:$F$66,2,FALSE)="No"," ",VLOOKUP(VLOOKUP(W$1,Calcs!$E$110:$F$117,2,FALSE),Character!$A$9:$B$16,2,FALSE)+IF(VLOOKUP($M8,Character!$E$61:$F$66,2,FALSE)="Yes",0,VLOOKUP($M8,Character!$E$61:$F$66,2,FALSE))+Character!$C$36+Character!$F$36+IF($N8="Yes",2,0)))</f>
        <v xml:space="preserve"> </v>
      </c>
      <c r="X8" s="15"/>
      <c r="Y8" s="15"/>
    </row>
    <row r="9" spans="1:25" x14ac:dyDescent="0.2">
      <c r="A9" s="284" t="str">
        <f>Character!A52</f>
        <v>Chirurgy</v>
      </c>
      <c r="B9" s="383" t="s">
        <v>185</v>
      </c>
      <c r="C9" s="591" t="str">
        <f>IF(ISBLANK(Character!C52)," ",Character!C52)</f>
        <v xml:space="preserve"> </v>
      </c>
      <c r="D9" s="279" t="str">
        <f>IF(VLOOKUP($A9,Character!$A$45:$C$66,2,FALSE)="No"," ",VLOOKUP(VLOOKUP(D$1,Calcs!$E$110:$F$117,2,FALSE),Character!$A$9:$B$16,2,FALSE)+IF(VLOOKUP($A9,Character!$A$45:$C$66,2,FALSE)="Yes",0,VLOOKUP($A9,Character!$A$45:$C$66,2,FALSE))+Character!$C$36+Character!$F$36+IF($B9="Yes",2,0))</f>
        <v xml:space="preserve"> </v>
      </c>
      <c r="E9" s="277" t="str">
        <f>IF(VLOOKUP($A9,Character!$A$45:$C$66,2,FALSE)="No"," ",VLOOKUP(VLOOKUP(E$1,Calcs!$E$110:$F$117,2,FALSE),Character!$A$9:$B$16,2,FALSE)+IF(VLOOKUP($A9,Character!$A$45:$C$66,2,FALSE)="Yes",0,VLOOKUP($A9,Character!$A$45:$C$66,2,FALSE))+Character!$C$36+Character!$F$36+IF($B9="Yes",2,0))</f>
        <v xml:space="preserve"> </v>
      </c>
      <c r="F9" s="277" t="str">
        <f>IF(VLOOKUP($A9,Character!$A$45:$C$66,2,FALSE)="No"," ",VLOOKUP(VLOOKUP(F$1,Calcs!$E$110:$F$117,2,FALSE),Character!$A$9:$B$16,2,FALSE)+IF(VLOOKUP($A9,Character!$A$45:$C$66,2,FALSE)="Yes",0,VLOOKUP($A9,Character!$A$45:$C$66,2,FALSE))+Character!$C$36+Character!$F$36+IF($B9="Yes",2,0))</f>
        <v xml:space="preserve"> </v>
      </c>
      <c r="G9" s="277" t="str">
        <f>IF(VLOOKUP($A9,Character!$A$45:$C$66,2,FALSE)="No"," ",VLOOKUP(VLOOKUP(G$1,Calcs!$E$110:$F$117,2,FALSE),Character!$A$9:$B$16,2,FALSE)+IF(VLOOKUP($A9,Character!$A$45:$C$66,2,FALSE)="Yes",0,VLOOKUP($A9,Character!$A$45:$C$66,2,FALSE))+Character!$C$36+Character!$F$36+IF($B9="Yes",2,0))</f>
        <v xml:space="preserve"> </v>
      </c>
      <c r="H9" s="277" t="str">
        <f>IF(VLOOKUP($A9,Character!$A$45:$C$66,2,FALSE)="No"," ",VLOOKUP(VLOOKUP(H$1,Calcs!$E$110:$F$117,2,FALSE),Character!$A$9:$B$16,2,FALSE)+IF(VLOOKUP($A9,Character!$A$45:$C$66,2,FALSE)="Yes",0,VLOOKUP($A9,Character!$A$45:$C$66,2,FALSE))+Character!$C$36+Character!$F$36+IF($B9="Yes",2,0))</f>
        <v xml:space="preserve"> </v>
      </c>
      <c r="I9" s="277" t="str">
        <f>IF(VLOOKUP($A9,Character!$A$45:$C$66,2,FALSE)="No"," ",VLOOKUP(VLOOKUP(I$1,Calcs!$E$110:$F$117,2,FALSE),Character!$A$9:$B$16,2,FALSE)+IF(VLOOKUP($A9,Character!$A$45:$C$66,2,FALSE)="Yes",0,VLOOKUP($A9,Character!$A$45:$C$66,2,FALSE))+Character!$C$36+Character!$F$36+IF($B9="Yes",2,0))</f>
        <v xml:space="preserve"> </v>
      </c>
      <c r="J9" s="277" t="str">
        <f>IF(VLOOKUP($A9,Character!$A$45:$C$66,2,FALSE)="No"," ",VLOOKUP(VLOOKUP(J$1,Calcs!$E$110:$F$117,2,FALSE),Character!$A$9:$B$16,2,FALSE)+IF(VLOOKUP($A9,Character!$A$45:$C$66,2,FALSE)="Yes",0,VLOOKUP($A9,Character!$A$45:$C$66,2,FALSE))+Character!$C$36+Character!$F$36+IF($B9="Yes",2,0))</f>
        <v xml:space="preserve"> </v>
      </c>
      <c r="K9" s="285" t="str">
        <f>IF(VLOOKUP($A9,Character!$A$45:$C$66,2,FALSE)="No"," ",VLOOKUP(VLOOKUP(K$1,Calcs!$E$110:$F$117,2,FALSE),Character!$A$9:$B$16,2,FALSE)+IF(VLOOKUP($A9,Character!$A$45:$C$66,2,FALSE)="Yes",0,VLOOKUP($A9,Character!$A$45:$C$66,2,FALSE))+Character!$C$36+Character!$F$36+IF($B9="Yes",2,0))</f>
        <v xml:space="preserve"> </v>
      </c>
      <c r="L9" s="10"/>
      <c r="M9" s="289" t="str">
        <f>Character!E62</f>
        <v xml:space="preserve"> </v>
      </c>
      <c r="N9" s="299"/>
      <c r="O9" s="595" t="str">
        <f>IF(ISBLANK(Character!G62)," ",Character!G62)</f>
        <v xml:space="preserve"> </v>
      </c>
      <c r="P9" s="611" t="str">
        <f>IF($M9=" "," ",IF(VLOOKUP($M9,Character!$E$61:$F$66,2,FALSE)="No"," ",VLOOKUP(VLOOKUP(P$1,Calcs!$E$110:$F$117,2,FALSE),Character!$A$9:$B$16,2,FALSE)+IF(VLOOKUP($M9,Character!$E$61:$F$66,2,FALSE)="Yes",0,VLOOKUP($M9,Character!$E$61:$F$66,2,FALSE))+Character!$C$36+Character!$F$36+IF($N9="Yes",2,0)))</f>
        <v xml:space="preserve"> </v>
      </c>
      <c r="Q9" s="612" t="str">
        <f>IF($M9=" "," ",IF(VLOOKUP($M9,Character!$E$61:$F$66,2,FALSE)="No"," ",VLOOKUP(VLOOKUP(Q$1,Calcs!$E$110:$F$117,2,FALSE),Character!$A$9:$B$16,2,FALSE)+IF(VLOOKUP($M9,Character!$E$61:$F$66,2,FALSE)="Yes",0,VLOOKUP($M9,Character!$E$61:$F$66,2,FALSE))+Character!$C$36+Character!$F$36+IF($N9="Yes",2,0)))</f>
        <v xml:space="preserve"> </v>
      </c>
      <c r="R9" s="612" t="str">
        <f>IF($M9=" "," ",IF(VLOOKUP($M9,Character!$E$61:$F$66,2,FALSE)="No"," ",VLOOKUP(VLOOKUP(R$1,Calcs!$E$110:$F$117,2,FALSE),Character!$A$9:$B$16,2,FALSE)+IF(VLOOKUP($M9,Character!$E$61:$F$66,2,FALSE)="Yes",0,VLOOKUP($M9,Character!$E$61:$F$66,2,FALSE))+Character!$C$36+Character!$F$36+IF($N9="Yes",2,0)))</f>
        <v xml:space="preserve"> </v>
      </c>
      <c r="S9" s="612" t="str">
        <f>IF($M9=" "," ",IF(VLOOKUP($M9,Character!$E$61:$F$66,2,FALSE)="No"," ",VLOOKUP(VLOOKUP(S$1,Calcs!$E$110:$F$117,2,FALSE),Character!$A$9:$B$16,2,FALSE)+IF(VLOOKUP($M9,Character!$E$61:$F$66,2,FALSE)="Yes",0,VLOOKUP($M9,Character!$E$61:$F$66,2,FALSE))+Character!$C$36+Character!$F$36+IF($N9="Yes",2,0)))</f>
        <v xml:space="preserve"> </v>
      </c>
      <c r="T9" s="612" t="str">
        <f>IF($M9=" "," ",IF(VLOOKUP($M9,Character!$E$61:$F$66,2,FALSE)="No"," ",VLOOKUP(VLOOKUP(T$1,Calcs!$E$110:$F$117,2,FALSE),Character!$A$9:$B$16,2,FALSE)+IF(VLOOKUP($M9,Character!$E$61:$F$66,2,FALSE)="Yes",0,VLOOKUP($M9,Character!$E$61:$F$66,2,FALSE))+Character!$C$36+Character!$F$36+IF($N9="Yes",2,0)))</f>
        <v xml:space="preserve"> </v>
      </c>
      <c r="U9" s="612" t="str">
        <f>IF($M9=" "," ",IF(VLOOKUP($M9,Character!$E$61:$F$66,2,FALSE)="No"," ",VLOOKUP(VLOOKUP(U$1,Calcs!$E$110:$F$117,2,FALSE),Character!$A$9:$B$16,2,FALSE)+IF(VLOOKUP($M9,Character!$E$61:$F$66,2,FALSE)="Yes",0,VLOOKUP($M9,Character!$E$61:$F$66,2,FALSE))+Character!$C$36+Character!$F$36+IF($N9="Yes",2,0)))</f>
        <v xml:space="preserve"> </v>
      </c>
      <c r="V9" s="612" t="str">
        <f>IF($M9=" "," ",IF(VLOOKUP($M9,Character!$E$61:$F$66,2,FALSE)="No"," ",VLOOKUP(VLOOKUP(V$1,Calcs!$E$110:$F$117,2,FALSE),Character!$A$9:$B$16,2,FALSE)+IF(VLOOKUP($M9,Character!$E$61:$F$66,2,FALSE)="Yes",0,VLOOKUP($M9,Character!$E$61:$F$66,2,FALSE))+Character!$C$36+Character!$F$36+IF($N9="Yes",2,0)))</f>
        <v xml:space="preserve"> </v>
      </c>
      <c r="W9" s="613" t="str">
        <f>IF($M9=" "," ",IF(VLOOKUP($M9,Character!$E$61:$F$66,2,FALSE)="No"," ",VLOOKUP(VLOOKUP(W$1,Calcs!$E$110:$F$117,2,FALSE),Character!$A$9:$B$16,2,FALSE)+IF(VLOOKUP($M9,Character!$E$61:$F$66,2,FALSE)="Yes",0,VLOOKUP($M9,Character!$E$61:$F$66,2,FALSE))+Character!$C$36+Character!$F$36+IF($N9="Yes",2,0)))</f>
        <v xml:space="preserve"> </v>
      </c>
      <c r="X9" s="15"/>
      <c r="Y9" s="15"/>
    </row>
    <row r="10" spans="1:25" x14ac:dyDescent="0.2">
      <c r="A10" s="284" t="str">
        <f>Character!A53</f>
        <v>Concentration</v>
      </c>
      <c r="B10" s="383" t="s">
        <v>185</v>
      </c>
      <c r="C10" s="591" t="str">
        <f>IF(ISBLANK(Character!C53)," ",Character!C53)</f>
        <v xml:space="preserve"> </v>
      </c>
      <c r="D10" s="279">
        <f>IF(VLOOKUP($A10,Character!$A$45:$C$66,2,FALSE)="No"," ",VLOOKUP(VLOOKUP(D$1,Calcs!$E$110:$F$117,2,FALSE),Character!$A$9:$B$16,2,FALSE)+IF(VLOOKUP($A10,Character!$A$45:$C$66,2,FALSE)="Yes",0,VLOOKUP($A10,Character!$A$45:$C$66,2,FALSE))+Character!$C$36+Character!$F$36+IF($B10="Yes",2,0))</f>
        <v>0</v>
      </c>
      <c r="E10" s="277">
        <f>IF(VLOOKUP($A10,Character!$A$45:$C$66,2,FALSE)="No"," ",VLOOKUP(VLOOKUP(E$1,Calcs!$E$110:$F$117,2,FALSE),Character!$A$9:$B$16,2,FALSE)+IF(VLOOKUP($A10,Character!$A$45:$C$66,2,FALSE)="Yes",0,VLOOKUP($A10,Character!$A$45:$C$66,2,FALSE))+Character!$C$36+Character!$F$36+IF($B10="Yes",2,0))</f>
        <v>0</v>
      </c>
      <c r="F10" s="277">
        <f>IF(VLOOKUP($A10,Character!$A$45:$C$66,2,FALSE)="No"," ",VLOOKUP(VLOOKUP(F$1,Calcs!$E$110:$F$117,2,FALSE),Character!$A$9:$B$16,2,FALSE)+IF(VLOOKUP($A10,Character!$A$45:$C$66,2,FALSE)="Yes",0,VLOOKUP($A10,Character!$A$45:$C$66,2,FALSE))+Character!$C$36+Character!$F$36+IF($B10="Yes",2,0))</f>
        <v>0</v>
      </c>
      <c r="G10" s="277">
        <f>IF(VLOOKUP($A10,Character!$A$45:$C$66,2,FALSE)="No"," ",VLOOKUP(VLOOKUP(G$1,Calcs!$E$110:$F$117,2,FALSE),Character!$A$9:$B$16,2,FALSE)+IF(VLOOKUP($A10,Character!$A$45:$C$66,2,FALSE)="Yes",0,VLOOKUP($A10,Character!$A$45:$C$66,2,FALSE))+Character!$C$36+Character!$F$36+IF($B10="Yes",2,0))</f>
        <v>0</v>
      </c>
      <c r="H10" s="277">
        <f>IF(VLOOKUP($A10,Character!$A$45:$C$66,2,FALSE)="No"," ",VLOOKUP(VLOOKUP(H$1,Calcs!$E$110:$F$117,2,FALSE),Character!$A$9:$B$16,2,FALSE)+IF(VLOOKUP($A10,Character!$A$45:$C$66,2,FALSE)="Yes",0,VLOOKUP($A10,Character!$A$45:$C$66,2,FALSE))+Character!$C$36+Character!$F$36+IF($B10="Yes",2,0))</f>
        <v>0</v>
      </c>
      <c r="I10" s="277">
        <f>IF(VLOOKUP($A10,Character!$A$45:$C$66,2,FALSE)="No"," ",VLOOKUP(VLOOKUP(I$1,Calcs!$E$110:$F$117,2,FALSE),Character!$A$9:$B$16,2,FALSE)+IF(VLOOKUP($A10,Character!$A$45:$C$66,2,FALSE)="Yes",0,VLOOKUP($A10,Character!$A$45:$C$66,2,FALSE))+Character!$C$36+Character!$F$36+IF($B10="Yes",2,0))</f>
        <v>0</v>
      </c>
      <c r="J10" s="277">
        <f>IF(VLOOKUP($A10,Character!$A$45:$C$66,2,FALSE)="No"," ",VLOOKUP(VLOOKUP(J$1,Calcs!$E$110:$F$117,2,FALSE),Character!$A$9:$B$16,2,FALSE)+IF(VLOOKUP($A10,Character!$A$45:$C$66,2,FALSE)="Yes",0,VLOOKUP($A10,Character!$A$45:$C$66,2,FALSE))+Character!$C$36+Character!$F$36+IF($B10="Yes",2,0))</f>
        <v>0</v>
      </c>
      <c r="K10" s="285">
        <f>IF(VLOOKUP($A10,Character!$A$45:$C$66,2,FALSE)="No"," ",VLOOKUP(VLOOKUP(K$1,Calcs!$E$110:$F$117,2,FALSE),Character!$A$9:$B$16,2,FALSE)+IF(VLOOKUP($A10,Character!$A$45:$C$66,2,FALSE)="Yes",0,VLOOKUP($A10,Character!$A$45:$C$66,2,FALSE))+Character!$C$36+Character!$F$36+IF($B10="Yes",2,0))</f>
        <v>0</v>
      </c>
      <c r="L10" s="15"/>
      <c r="M10" s="289" t="str">
        <f>Character!E63</f>
        <v xml:space="preserve"> </v>
      </c>
      <c r="N10" s="299"/>
      <c r="O10" s="595" t="str">
        <f>IF(ISBLANK(Character!G63)," ",Character!G63)</f>
        <v xml:space="preserve"> </v>
      </c>
      <c r="P10" s="611" t="str">
        <f>IF($M10=" "," ",IF(VLOOKUP($M10,Character!$E$61:$F$66,2,FALSE)="No"," ",VLOOKUP(VLOOKUP(P$1,Calcs!$E$110:$F$117,2,FALSE),Character!$A$9:$B$16,2,FALSE)+IF(VLOOKUP($M10,Character!$E$61:$F$66,2,FALSE)="Yes",0,VLOOKUP($M10,Character!$E$61:$F$66,2,FALSE))+Character!$C$36+Character!$F$36+IF($N10="Yes",2,0)))</f>
        <v xml:space="preserve"> </v>
      </c>
      <c r="Q10" s="612" t="str">
        <f>IF($M10=" "," ",IF(VLOOKUP($M10,Character!$E$61:$F$66,2,FALSE)="No"," ",VLOOKUP(VLOOKUP(Q$1,Calcs!$E$110:$F$117,2,FALSE),Character!$A$9:$B$16,2,FALSE)+IF(VLOOKUP($M10,Character!$E$61:$F$66,2,FALSE)="Yes",0,VLOOKUP($M10,Character!$E$61:$F$66,2,FALSE))+Character!$C$36+Character!$F$36+IF($N10="Yes",2,0)))</f>
        <v xml:space="preserve"> </v>
      </c>
      <c r="R10" s="612" t="str">
        <f>IF($M10=" "," ",IF(VLOOKUP($M10,Character!$E$61:$F$66,2,FALSE)="No"," ",VLOOKUP(VLOOKUP(R$1,Calcs!$E$110:$F$117,2,FALSE),Character!$A$9:$B$16,2,FALSE)+IF(VLOOKUP($M10,Character!$E$61:$F$66,2,FALSE)="Yes",0,VLOOKUP($M10,Character!$E$61:$F$66,2,FALSE))+Character!$C$36+Character!$F$36+IF($N10="Yes",2,0)))</f>
        <v xml:space="preserve"> </v>
      </c>
      <c r="S10" s="612" t="str">
        <f>IF($M10=" "," ",IF(VLOOKUP($M10,Character!$E$61:$F$66,2,FALSE)="No"," ",VLOOKUP(VLOOKUP(S$1,Calcs!$E$110:$F$117,2,FALSE),Character!$A$9:$B$16,2,FALSE)+IF(VLOOKUP($M10,Character!$E$61:$F$66,2,FALSE)="Yes",0,VLOOKUP($M10,Character!$E$61:$F$66,2,FALSE))+Character!$C$36+Character!$F$36+IF($N10="Yes",2,0)))</f>
        <v xml:space="preserve"> </v>
      </c>
      <c r="T10" s="612" t="str">
        <f>IF($M10=" "," ",IF(VLOOKUP($M10,Character!$E$61:$F$66,2,FALSE)="No"," ",VLOOKUP(VLOOKUP(T$1,Calcs!$E$110:$F$117,2,FALSE),Character!$A$9:$B$16,2,FALSE)+IF(VLOOKUP($M10,Character!$E$61:$F$66,2,FALSE)="Yes",0,VLOOKUP($M10,Character!$E$61:$F$66,2,FALSE))+Character!$C$36+Character!$F$36+IF($N10="Yes",2,0)))</f>
        <v xml:space="preserve"> </v>
      </c>
      <c r="U10" s="612" t="str">
        <f>IF($M10=" "," ",IF(VLOOKUP($M10,Character!$E$61:$F$66,2,FALSE)="No"," ",VLOOKUP(VLOOKUP(U$1,Calcs!$E$110:$F$117,2,FALSE),Character!$A$9:$B$16,2,FALSE)+IF(VLOOKUP($M10,Character!$E$61:$F$66,2,FALSE)="Yes",0,VLOOKUP($M10,Character!$E$61:$F$66,2,FALSE))+Character!$C$36+Character!$F$36+IF($N10="Yes",2,0)))</f>
        <v xml:space="preserve"> </v>
      </c>
      <c r="V10" s="612" t="str">
        <f>IF($M10=" "," ",IF(VLOOKUP($M10,Character!$E$61:$F$66,2,FALSE)="No"," ",VLOOKUP(VLOOKUP(V$1,Calcs!$E$110:$F$117,2,FALSE),Character!$A$9:$B$16,2,FALSE)+IF(VLOOKUP($M10,Character!$E$61:$F$66,2,FALSE)="Yes",0,VLOOKUP($M10,Character!$E$61:$F$66,2,FALSE))+Character!$C$36+Character!$F$36+IF($N10="Yes",2,0)))</f>
        <v xml:space="preserve"> </v>
      </c>
      <c r="W10" s="613" t="str">
        <f>IF($M10=" "," ",IF(VLOOKUP($M10,Character!$E$61:$F$66,2,FALSE)="No"," ",VLOOKUP(VLOOKUP(W$1,Calcs!$E$110:$F$117,2,FALSE),Character!$A$9:$B$16,2,FALSE)+IF(VLOOKUP($M10,Character!$E$61:$F$66,2,FALSE)="Yes",0,VLOOKUP($M10,Character!$E$61:$F$66,2,FALSE))+Character!$C$36+Character!$F$36+IF($N10="Yes",2,0)))</f>
        <v xml:space="preserve"> </v>
      </c>
      <c r="X10" s="15"/>
      <c r="Y10" s="15"/>
    </row>
    <row r="11" spans="1:25" x14ac:dyDescent="0.2">
      <c r="A11" s="284" t="str">
        <f>Character!A54</f>
        <v>Etiquette</v>
      </c>
      <c r="B11" s="383" t="s">
        <v>185</v>
      </c>
      <c r="C11" s="591" t="str">
        <f>IF(ISBLANK(Character!C54)," ",Character!C54)</f>
        <v xml:space="preserve"> </v>
      </c>
      <c r="D11" s="279">
        <f>IF(VLOOKUP($A11,Character!$A$45:$C$66,2,FALSE)="No"," ",VLOOKUP(VLOOKUP(D$1,Calcs!$E$110:$F$117,2,FALSE),Character!$A$9:$B$16,2,FALSE)+IF(VLOOKUP($A11,Character!$A$45:$C$66,2,FALSE)="Yes",0,VLOOKUP($A11,Character!$A$45:$C$66,2,FALSE))+Character!$C$36+Character!$F$36+IF($B11="Yes",2,0))</f>
        <v>0</v>
      </c>
      <c r="E11" s="277">
        <f>IF(VLOOKUP($A11,Character!$A$45:$C$66,2,FALSE)="No"," ",VLOOKUP(VLOOKUP(E$1,Calcs!$E$110:$F$117,2,FALSE),Character!$A$9:$B$16,2,FALSE)+IF(VLOOKUP($A11,Character!$A$45:$C$66,2,FALSE)="Yes",0,VLOOKUP($A11,Character!$A$45:$C$66,2,FALSE))+Character!$C$36+Character!$F$36+IF($B11="Yes",2,0))</f>
        <v>0</v>
      </c>
      <c r="F11" s="277">
        <f>IF(VLOOKUP($A11,Character!$A$45:$C$66,2,FALSE)="No"," ",VLOOKUP(VLOOKUP(F$1,Calcs!$E$110:$F$117,2,FALSE),Character!$A$9:$B$16,2,FALSE)+IF(VLOOKUP($A11,Character!$A$45:$C$66,2,FALSE)="Yes",0,VLOOKUP($A11,Character!$A$45:$C$66,2,FALSE))+Character!$C$36+Character!$F$36+IF($B11="Yes",2,0))</f>
        <v>0</v>
      </c>
      <c r="G11" s="277">
        <f>IF(VLOOKUP($A11,Character!$A$45:$C$66,2,FALSE)="No"," ",VLOOKUP(VLOOKUP(G$1,Calcs!$E$110:$F$117,2,FALSE),Character!$A$9:$B$16,2,FALSE)+IF(VLOOKUP($A11,Character!$A$45:$C$66,2,FALSE)="Yes",0,VLOOKUP($A11,Character!$A$45:$C$66,2,FALSE))+Character!$C$36+Character!$F$36+IF($B11="Yes",2,0))</f>
        <v>0</v>
      </c>
      <c r="H11" s="277">
        <f>IF(VLOOKUP($A11,Character!$A$45:$C$66,2,FALSE)="No"," ",VLOOKUP(VLOOKUP(H$1,Calcs!$E$110:$F$117,2,FALSE),Character!$A$9:$B$16,2,FALSE)+IF(VLOOKUP($A11,Character!$A$45:$C$66,2,FALSE)="Yes",0,VLOOKUP($A11,Character!$A$45:$C$66,2,FALSE))+Character!$C$36+Character!$F$36+IF($B11="Yes",2,0))</f>
        <v>0</v>
      </c>
      <c r="I11" s="277">
        <f>IF(VLOOKUP($A11,Character!$A$45:$C$66,2,FALSE)="No"," ",VLOOKUP(VLOOKUP(I$1,Calcs!$E$110:$F$117,2,FALSE),Character!$A$9:$B$16,2,FALSE)+IF(VLOOKUP($A11,Character!$A$45:$C$66,2,FALSE)="Yes",0,VLOOKUP($A11,Character!$A$45:$C$66,2,FALSE))+Character!$C$36+Character!$F$36+IF($B11="Yes",2,0))</f>
        <v>0</v>
      </c>
      <c r="J11" s="277">
        <f>IF(VLOOKUP($A11,Character!$A$45:$C$66,2,FALSE)="No"," ",VLOOKUP(VLOOKUP(J$1,Calcs!$E$110:$F$117,2,FALSE),Character!$A$9:$B$16,2,FALSE)+IF(VLOOKUP($A11,Character!$A$45:$C$66,2,FALSE)="Yes",0,VLOOKUP($A11,Character!$A$45:$C$66,2,FALSE))+Character!$C$36+Character!$F$36+IF($B11="Yes",2,0))</f>
        <v>0</v>
      </c>
      <c r="K11" s="285">
        <f>IF(VLOOKUP($A11,Character!$A$45:$C$66,2,FALSE)="No"," ",VLOOKUP(VLOOKUP(K$1,Calcs!$E$110:$F$117,2,FALSE),Character!$A$9:$B$16,2,FALSE)+IF(VLOOKUP($A11,Character!$A$45:$C$66,2,FALSE)="Yes",0,VLOOKUP($A11,Character!$A$45:$C$66,2,FALSE))+Character!$C$36+Character!$F$36+IF($B11="Yes",2,0))</f>
        <v>0</v>
      </c>
      <c r="L11" s="15"/>
      <c r="M11" s="289" t="str">
        <f>Character!E64</f>
        <v xml:space="preserve"> </v>
      </c>
      <c r="N11" s="607"/>
      <c r="O11" s="608" t="str">
        <f>IF(ISBLANK(Character!G64)," ",Character!G64)</f>
        <v xml:space="preserve"> </v>
      </c>
      <c r="P11" s="611" t="str">
        <f>IF($M11=" "," ",IF(VLOOKUP($M11,Character!$E$61:$F$66,2,FALSE)="No"," ",VLOOKUP(VLOOKUP(P$1,Calcs!$E$110:$F$117,2,FALSE),Character!$A$9:$B$16,2,FALSE)+IF(VLOOKUP($M11,Character!$E$61:$F$66,2,FALSE)="Yes",0,VLOOKUP($M11,Character!$E$61:$F$66,2,FALSE))+Character!$C$36+Character!$F$36+IF($N11="Yes",2,0)))</f>
        <v xml:space="preserve"> </v>
      </c>
      <c r="Q11" s="612" t="str">
        <f>IF($M11=" "," ",IF(VLOOKUP($M11,Character!$E$61:$F$66,2,FALSE)="No"," ",VLOOKUP(VLOOKUP(Q$1,Calcs!$E$110:$F$117,2,FALSE),Character!$A$9:$B$16,2,FALSE)+IF(VLOOKUP($M11,Character!$E$61:$F$66,2,FALSE)="Yes",0,VLOOKUP($M11,Character!$E$61:$F$66,2,FALSE))+Character!$C$36+Character!$F$36+IF($N11="Yes",2,0)))</f>
        <v xml:space="preserve"> </v>
      </c>
      <c r="R11" s="612" t="str">
        <f>IF($M11=" "," ",IF(VLOOKUP($M11,Character!$E$61:$F$66,2,FALSE)="No"," ",VLOOKUP(VLOOKUP(R$1,Calcs!$E$110:$F$117,2,FALSE),Character!$A$9:$B$16,2,FALSE)+IF(VLOOKUP($M11,Character!$E$61:$F$66,2,FALSE)="Yes",0,VLOOKUP($M11,Character!$E$61:$F$66,2,FALSE))+Character!$C$36+Character!$F$36+IF($N11="Yes",2,0)))</f>
        <v xml:space="preserve"> </v>
      </c>
      <c r="S11" s="612" t="str">
        <f>IF($M11=" "," ",IF(VLOOKUP($M11,Character!$E$61:$F$66,2,FALSE)="No"," ",VLOOKUP(VLOOKUP(S$1,Calcs!$E$110:$F$117,2,FALSE),Character!$A$9:$B$16,2,FALSE)+IF(VLOOKUP($M11,Character!$E$61:$F$66,2,FALSE)="Yes",0,VLOOKUP($M11,Character!$E$61:$F$66,2,FALSE))+Character!$C$36+Character!$F$36+IF($N11="Yes",2,0)))</f>
        <v xml:space="preserve"> </v>
      </c>
      <c r="T11" s="612" t="str">
        <f>IF($M11=" "," ",IF(VLOOKUP($M11,Character!$E$61:$F$66,2,FALSE)="No"," ",VLOOKUP(VLOOKUP(T$1,Calcs!$E$110:$F$117,2,FALSE),Character!$A$9:$B$16,2,FALSE)+IF(VLOOKUP($M11,Character!$E$61:$F$66,2,FALSE)="Yes",0,VLOOKUP($M11,Character!$E$61:$F$66,2,FALSE))+Character!$C$36+Character!$F$36+IF($N11="Yes",2,0)))</f>
        <v xml:space="preserve"> </v>
      </c>
      <c r="U11" s="612" t="str">
        <f>IF($M11=" "," ",IF(VLOOKUP($M11,Character!$E$61:$F$66,2,FALSE)="No"," ",VLOOKUP(VLOOKUP(U$1,Calcs!$E$110:$F$117,2,FALSE),Character!$A$9:$B$16,2,FALSE)+IF(VLOOKUP($M11,Character!$E$61:$F$66,2,FALSE)="Yes",0,VLOOKUP($M11,Character!$E$61:$F$66,2,FALSE))+Character!$C$36+Character!$F$36+IF($N11="Yes",2,0)))</f>
        <v xml:space="preserve"> </v>
      </c>
      <c r="V11" s="612" t="str">
        <f>IF($M11=" "," ",IF(VLOOKUP($M11,Character!$E$61:$F$66,2,FALSE)="No"," ",VLOOKUP(VLOOKUP(V$1,Calcs!$E$110:$F$117,2,FALSE),Character!$A$9:$B$16,2,FALSE)+IF(VLOOKUP($M11,Character!$E$61:$F$66,2,FALSE)="Yes",0,VLOOKUP($M11,Character!$E$61:$F$66,2,FALSE))+Character!$C$36+Character!$F$36+IF($N11="Yes",2,0)))</f>
        <v xml:space="preserve"> </v>
      </c>
      <c r="W11" s="613" t="str">
        <f>IF($M11=" "," ",IF(VLOOKUP($M11,Character!$E$61:$F$66,2,FALSE)="No"," ",VLOOKUP(VLOOKUP(W$1,Calcs!$E$110:$F$117,2,FALSE),Character!$A$9:$B$16,2,FALSE)+IF(VLOOKUP($M11,Character!$E$61:$F$66,2,FALSE)="Yes",0,VLOOKUP($M11,Character!$E$61:$F$66,2,FALSE))+Character!$C$36+Character!$F$36+IF($N11="Yes",2,0)))</f>
        <v xml:space="preserve"> </v>
      </c>
      <c r="X11" s="15"/>
      <c r="Y11" s="15"/>
    </row>
    <row r="12" spans="1:25" x14ac:dyDescent="0.2">
      <c r="A12" s="284" t="str">
        <f>Character!A55</f>
        <v>Folk Ken</v>
      </c>
      <c r="B12" s="383" t="s">
        <v>185</v>
      </c>
      <c r="C12" s="591" t="str">
        <f>IF(ISBLANK(Character!C55)," ",Character!C55)</f>
        <v xml:space="preserve"> </v>
      </c>
      <c r="D12" s="279">
        <f>IF(VLOOKUP($A12,Character!$A$45:$C$66,2,FALSE)="No"," ",VLOOKUP(VLOOKUP(D$1,Calcs!$E$110:$F$117,2,FALSE),Character!$A$9:$B$16,2,FALSE)+IF(VLOOKUP($A12,Character!$A$45:$C$66,2,FALSE)="Yes",0,VLOOKUP($A12,Character!$A$45:$C$66,2,FALSE))+Character!$C$36+Character!$F$36+IF($B12="Yes",2,0))</f>
        <v>0</v>
      </c>
      <c r="E12" s="277">
        <f>IF(VLOOKUP($A12,Character!$A$45:$C$66,2,FALSE)="No"," ",VLOOKUP(VLOOKUP(E$1,Calcs!$E$110:$F$117,2,FALSE),Character!$A$9:$B$16,2,FALSE)+IF(VLOOKUP($A12,Character!$A$45:$C$66,2,FALSE)="Yes",0,VLOOKUP($A12,Character!$A$45:$C$66,2,FALSE))+Character!$C$36+Character!$F$36+IF($B12="Yes",2,0))</f>
        <v>0</v>
      </c>
      <c r="F12" s="277">
        <f>IF(VLOOKUP($A12,Character!$A$45:$C$66,2,FALSE)="No"," ",VLOOKUP(VLOOKUP(F$1,Calcs!$E$110:$F$117,2,FALSE),Character!$A$9:$B$16,2,FALSE)+IF(VLOOKUP($A12,Character!$A$45:$C$66,2,FALSE)="Yes",0,VLOOKUP($A12,Character!$A$45:$C$66,2,FALSE))+Character!$C$36+Character!$F$36+IF($B12="Yes",2,0))</f>
        <v>0</v>
      </c>
      <c r="G12" s="277">
        <f>IF(VLOOKUP($A12,Character!$A$45:$C$66,2,FALSE)="No"," ",VLOOKUP(VLOOKUP(G$1,Calcs!$E$110:$F$117,2,FALSE),Character!$A$9:$B$16,2,FALSE)+IF(VLOOKUP($A12,Character!$A$45:$C$66,2,FALSE)="Yes",0,VLOOKUP($A12,Character!$A$45:$C$66,2,FALSE))+Character!$C$36+Character!$F$36+IF($B12="Yes",2,0))</f>
        <v>0</v>
      </c>
      <c r="H12" s="277">
        <f>IF(VLOOKUP($A12,Character!$A$45:$C$66,2,FALSE)="No"," ",VLOOKUP(VLOOKUP(H$1,Calcs!$E$110:$F$117,2,FALSE),Character!$A$9:$B$16,2,FALSE)+IF(VLOOKUP($A12,Character!$A$45:$C$66,2,FALSE)="Yes",0,VLOOKUP($A12,Character!$A$45:$C$66,2,FALSE))+Character!$C$36+Character!$F$36+IF($B12="Yes",2,0))</f>
        <v>0</v>
      </c>
      <c r="I12" s="277">
        <f>IF(VLOOKUP($A12,Character!$A$45:$C$66,2,FALSE)="No"," ",VLOOKUP(VLOOKUP(I$1,Calcs!$E$110:$F$117,2,FALSE),Character!$A$9:$B$16,2,FALSE)+IF(VLOOKUP($A12,Character!$A$45:$C$66,2,FALSE)="Yes",0,VLOOKUP($A12,Character!$A$45:$C$66,2,FALSE))+Character!$C$36+Character!$F$36+IF($B12="Yes",2,0))</f>
        <v>0</v>
      </c>
      <c r="J12" s="277">
        <f>IF(VLOOKUP($A12,Character!$A$45:$C$66,2,FALSE)="No"," ",VLOOKUP(VLOOKUP(J$1,Calcs!$E$110:$F$117,2,FALSE),Character!$A$9:$B$16,2,FALSE)+IF(VLOOKUP($A12,Character!$A$45:$C$66,2,FALSE)="Yes",0,VLOOKUP($A12,Character!$A$45:$C$66,2,FALSE))+Character!$C$36+Character!$F$36+IF($B12="Yes",2,0))</f>
        <v>0</v>
      </c>
      <c r="K12" s="285">
        <f>IF(VLOOKUP($A12,Character!$A$45:$C$66,2,FALSE)="No"," ",VLOOKUP(VLOOKUP(K$1,Calcs!$E$110:$F$117,2,FALSE),Character!$A$9:$B$16,2,FALSE)+IF(VLOOKUP($A12,Character!$A$45:$C$66,2,FALSE)="Yes",0,VLOOKUP($A12,Character!$A$45:$C$66,2,FALSE))+Character!$C$36+Character!$F$36+IF($B12="Yes",2,0))</f>
        <v>0</v>
      </c>
      <c r="L12" s="15"/>
      <c r="M12" s="289" t="str">
        <f>Character!E65</f>
        <v xml:space="preserve"> </v>
      </c>
      <c r="N12" s="628"/>
      <c r="O12" s="626" t="str">
        <f>IF(ISBLANK(Character!G65)," ",Character!G65)</f>
        <v xml:space="preserve"> </v>
      </c>
      <c r="P12" s="611" t="str">
        <f>IF($M12=" "," ",IF(VLOOKUP($M12,Character!$E$61:$F$66,2,FALSE)="No"," ",VLOOKUP(VLOOKUP(P$1,Calcs!$E$110:$F$117,2,FALSE),Character!$A$9:$B$16,2,FALSE)+IF(VLOOKUP($M12,Character!$E$61:$F$66,2,FALSE)="Yes",0,VLOOKUP($M12,Character!$E$61:$F$66,2,FALSE))+Character!$C$36+Character!$F$36+IF($N12="Yes",2,0)))</f>
        <v xml:space="preserve"> </v>
      </c>
      <c r="Q12" s="612" t="str">
        <f>IF($M12=" "," ",IF(VLOOKUP($M12,Character!$E$61:$F$66,2,FALSE)="No"," ",VLOOKUP(VLOOKUP(Q$1,Calcs!$E$110:$F$117,2,FALSE),Character!$A$9:$B$16,2,FALSE)+IF(VLOOKUP($M12,Character!$E$61:$F$66,2,FALSE)="Yes",0,VLOOKUP($M12,Character!$E$61:$F$66,2,FALSE))+Character!$C$36+Character!$F$36+IF($N12="Yes",2,0)))</f>
        <v xml:space="preserve"> </v>
      </c>
      <c r="R12" s="612" t="str">
        <f>IF($M12=" "," ",IF(VLOOKUP($M12,Character!$E$61:$F$66,2,FALSE)="No"," ",VLOOKUP(VLOOKUP(R$1,Calcs!$E$110:$F$117,2,FALSE),Character!$A$9:$B$16,2,FALSE)+IF(VLOOKUP($M12,Character!$E$61:$F$66,2,FALSE)="Yes",0,VLOOKUP($M12,Character!$E$61:$F$66,2,FALSE))+Character!$C$36+Character!$F$36+IF($N12="Yes",2,0)))</f>
        <v xml:space="preserve"> </v>
      </c>
      <c r="S12" s="612" t="str">
        <f>IF($M12=" "," ",IF(VLOOKUP($M12,Character!$E$61:$F$66,2,FALSE)="No"," ",VLOOKUP(VLOOKUP(S$1,Calcs!$E$110:$F$117,2,FALSE),Character!$A$9:$B$16,2,FALSE)+IF(VLOOKUP($M12,Character!$E$61:$F$66,2,FALSE)="Yes",0,VLOOKUP($M12,Character!$E$61:$F$66,2,FALSE))+Character!$C$36+Character!$F$36+IF($N12="Yes",2,0)))</f>
        <v xml:space="preserve"> </v>
      </c>
      <c r="T12" s="612" t="str">
        <f>IF($M12=" "," ",IF(VLOOKUP($M12,Character!$E$61:$F$66,2,FALSE)="No"," ",VLOOKUP(VLOOKUP(T$1,Calcs!$E$110:$F$117,2,FALSE),Character!$A$9:$B$16,2,FALSE)+IF(VLOOKUP($M12,Character!$E$61:$F$66,2,FALSE)="Yes",0,VLOOKUP($M12,Character!$E$61:$F$66,2,FALSE))+Character!$C$36+Character!$F$36+IF($N12="Yes",2,0)))</f>
        <v xml:space="preserve"> </v>
      </c>
      <c r="U12" s="612" t="str">
        <f>IF($M12=" "," ",IF(VLOOKUP($M12,Character!$E$61:$F$66,2,FALSE)="No"," ",VLOOKUP(VLOOKUP(U$1,Calcs!$E$110:$F$117,2,FALSE),Character!$A$9:$B$16,2,FALSE)+IF(VLOOKUP($M12,Character!$E$61:$F$66,2,FALSE)="Yes",0,VLOOKUP($M12,Character!$E$61:$F$66,2,FALSE))+Character!$C$36+Character!$F$36+IF($N12="Yes",2,0)))</f>
        <v xml:space="preserve"> </v>
      </c>
      <c r="V12" s="612" t="str">
        <f>IF($M12=" "," ",IF(VLOOKUP($M12,Character!$E$61:$F$66,2,FALSE)="No"," ",VLOOKUP(VLOOKUP(V$1,Calcs!$E$110:$F$117,2,FALSE),Character!$A$9:$B$16,2,FALSE)+IF(VLOOKUP($M12,Character!$E$61:$F$66,2,FALSE)="Yes",0,VLOOKUP($M12,Character!$E$61:$F$66,2,FALSE))+Character!$C$36+Character!$F$36+IF($N12="Yes",2,0)))</f>
        <v xml:space="preserve"> </v>
      </c>
      <c r="W12" s="613" t="str">
        <f>IF($M12=" "," ",IF(VLOOKUP($M12,Character!$E$61:$F$66,2,FALSE)="No"," ",VLOOKUP(VLOOKUP(W$1,Calcs!$E$110:$F$117,2,FALSE),Character!$A$9:$B$16,2,FALSE)+IF(VLOOKUP($M12,Character!$E$61:$F$66,2,FALSE)="Yes",0,VLOOKUP($M12,Character!$E$61:$F$66,2,FALSE))+Character!$C$36+Character!$F$36+IF($N12="Yes",2,0)))</f>
        <v xml:space="preserve"> </v>
      </c>
      <c r="X12" s="15"/>
      <c r="Y12" s="15"/>
    </row>
    <row r="13" spans="1:25" x14ac:dyDescent="0.2">
      <c r="A13" s="284" t="str">
        <f>Character!A56</f>
        <v xml:space="preserve">Guile </v>
      </c>
      <c r="B13" s="383" t="s">
        <v>185</v>
      </c>
      <c r="C13" s="591" t="str">
        <f>IF(ISBLANK(Character!C56)," ",Character!C56)</f>
        <v xml:space="preserve"> </v>
      </c>
      <c r="D13" s="279">
        <f>IF(VLOOKUP($A13,Character!$A$45:$C$66,2,FALSE)="No"," ",VLOOKUP(VLOOKUP(D$1,Calcs!$E$110:$F$117,2,FALSE),Character!$A$9:$B$16,2,FALSE)+IF(VLOOKUP($A13,Character!$A$45:$C$66,2,FALSE)="Yes",0,VLOOKUP($A13,Character!$A$45:$C$66,2,FALSE))+Character!$C$36+Character!$F$36+IF($B13="Yes",2,0))</f>
        <v>0</v>
      </c>
      <c r="E13" s="277">
        <f>IF(VLOOKUP($A13,Character!$A$45:$C$66,2,FALSE)="No"," ",VLOOKUP(VLOOKUP(E$1,Calcs!$E$110:$F$117,2,FALSE),Character!$A$9:$B$16,2,FALSE)+IF(VLOOKUP($A13,Character!$A$45:$C$66,2,FALSE)="Yes",0,VLOOKUP($A13,Character!$A$45:$C$66,2,FALSE))+Character!$C$36+Character!$F$36+IF($B13="Yes",2,0))</f>
        <v>0</v>
      </c>
      <c r="F13" s="277">
        <f>IF(VLOOKUP($A13,Character!$A$45:$C$66,2,FALSE)="No"," ",VLOOKUP(VLOOKUP(F$1,Calcs!$E$110:$F$117,2,FALSE),Character!$A$9:$B$16,2,FALSE)+IF(VLOOKUP($A13,Character!$A$45:$C$66,2,FALSE)="Yes",0,VLOOKUP($A13,Character!$A$45:$C$66,2,FALSE))+Character!$C$36+Character!$F$36+IF($B13="Yes",2,0))</f>
        <v>0</v>
      </c>
      <c r="G13" s="277">
        <f>IF(VLOOKUP($A13,Character!$A$45:$C$66,2,FALSE)="No"," ",VLOOKUP(VLOOKUP(G$1,Calcs!$E$110:$F$117,2,FALSE),Character!$A$9:$B$16,2,FALSE)+IF(VLOOKUP($A13,Character!$A$45:$C$66,2,FALSE)="Yes",0,VLOOKUP($A13,Character!$A$45:$C$66,2,FALSE))+Character!$C$36+Character!$F$36+IF($B13="Yes",2,0))</f>
        <v>0</v>
      </c>
      <c r="H13" s="277">
        <f>IF(VLOOKUP($A13,Character!$A$45:$C$66,2,FALSE)="No"," ",VLOOKUP(VLOOKUP(H$1,Calcs!$E$110:$F$117,2,FALSE),Character!$A$9:$B$16,2,FALSE)+IF(VLOOKUP($A13,Character!$A$45:$C$66,2,FALSE)="Yes",0,VLOOKUP($A13,Character!$A$45:$C$66,2,FALSE))+Character!$C$36+Character!$F$36+IF($B13="Yes",2,0))</f>
        <v>0</v>
      </c>
      <c r="I13" s="277">
        <f>IF(VLOOKUP($A13,Character!$A$45:$C$66,2,FALSE)="No"," ",VLOOKUP(VLOOKUP(I$1,Calcs!$E$110:$F$117,2,FALSE),Character!$A$9:$B$16,2,FALSE)+IF(VLOOKUP($A13,Character!$A$45:$C$66,2,FALSE)="Yes",0,VLOOKUP($A13,Character!$A$45:$C$66,2,FALSE))+Character!$C$36+Character!$F$36+IF($B13="Yes",2,0))</f>
        <v>0</v>
      </c>
      <c r="J13" s="277">
        <f>IF(VLOOKUP($A13,Character!$A$45:$C$66,2,FALSE)="No"," ",VLOOKUP(VLOOKUP(J$1,Calcs!$E$110:$F$117,2,FALSE),Character!$A$9:$B$16,2,FALSE)+IF(VLOOKUP($A13,Character!$A$45:$C$66,2,FALSE)="Yes",0,VLOOKUP($A13,Character!$A$45:$C$66,2,FALSE))+Character!$C$36+Character!$F$36+IF($B13="Yes",2,0))</f>
        <v>0</v>
      </c>
      <c r="K13" s="285">
        <f>IF(VLOOKUP($A13,Character!$A$45:$C$66,2,FALSE)="No"," ",VLOOKUP(VLOOKUP(K$1,Calcs!$E$110:$F$117,2,FALSE),Character!$A$9:$B$16,2,FALSE)+IF(VLOOKUP($A13,Character!$A$45:$C$66,2,FALSE)="Yes",0,VLOOKUP($A13,Character!$A$45:$C$66,2,FALSE))+Character!$C$36+Character!$F$36+IF($B13="Yes",2,0))</f>
        <v>0</v>
      </c>
      <c r="L13" s="15"/>
      <c r="M13" s="290" t="str">
        <f>Character!E66</f>
        <v xml:space="preserve"> </v>
      </c>
      <c r="N13" s="300"/>
      <c r="O13" s="596" t="str">
        <f>IF(ISBLANK(Character!G66)," ",Character!G66)</f>
        <v xml:space="preserve"> </v>
      </c>
      <c r="P13" s="614" t="str">
        <f>IF($M13=" "," ",IF(VLOOKUP($M13,Character!$E$61:$F$66,2,FALSE)="No"," ",VLOOKUP(VLOOKUP(P$1,Calcs!$E$110:$F$117,2,FALSE),Character!$A$9:$B$16,2,FALSE)+IF(VLOOKUP($M13,Character!$E$61:$F$66,2,FALSE)="Yes",0,VLOOKUP($M13,Character!$E$61:$F$66,2,FALSE))+Character!$C$36+Character!$F$36+IF($N13="Yes",2,0)))</f>
        <v xml:space="preserve"> </v>
      </c>
      <c r="Q13" s="615" t="str">
        <f>IF($M13=" "," ",IF(VLOOKUP($M13,Character!$E$61:$F$66,2,FALSE)="No"," ",VLOOKUP(VLOOKUP(Q$1,Calcs!$E$110:$F$117,2,FALSE),Character!$A$9:$B$16,2,FALSE)+IF(VLOOKUP($M13,Character!$E$61:$F$66,2,FALSE)="Yes",0,VLOOKUP($M13,Character!$E$61:$F$66,2,FALSE))+Character!$C$36+Character!$F$36+IF($N13="Yes",2,0)))</f>
        <v xml:space="preserve"> </v>
      </c>
      <c r="R13" s="615" t="str">
        <f>IF($M13=" "," ",IF(VLOOKUP($M13,Character!$E$61:$F$66,2,FALSE)="No"," ",VLOOKUP(VLOOKUP(R$1,Calcs!$E$110:$F$117,2,FALSE),Character!$A$9:$B$16,2,FALSE)+IF(VLOOKUP($M13,Character!$E$61:$F$66,2,FALSE)="Yes",0,VLOOKUP($M13,Character!$E$61:$F$66,2,FALSE))+Character!$C$36+Character!$F$36+IF($N13="Yes",2,0)))</f>
        <v xml:space="preserve"> </v>
      </c>
      <c r="S13" s="615" t="str">
        <f>IF($M13=" "," ",IF(VLOOKUP($M13,Character!$E$61:$F$66,2,FALSE)="No"," ",VLOOKUP(VLOOKUP(S$1,Calcs!$E$110:$F$117,2,FALSE),Character!$A$9:$B$16,2,FALSE)+IF(VLOOKUP($M13,Character!$E$61:$F$66,2,FALSE)="Yes",0,VLOOKUP($M13,Character!$E$61:$F$66,2,FALSE))+Character!$C$36+Character!$F$36+IF($N13="Yes",2,0)))</f>
        <v xml:space="preserve"> </v>
      </c>
      <c r="T13" s="615" t="str">
        <f>IF($M13=" "," ",IF(VLOOKUP($M13,Character!$E$61:$F$66,2,FALSE)="No"," ",VLOOKUP(VLOOKUP(T$1,Calcs!$E$110:$F$117,2,FALSE),Character!$A$9:$B$16,2,FALSE)+IF(VLOOKUP($M13,Character!$E$61:$F$66,2,FALSE)="Yes",0,VLOOKUP($M13,Character!$E$61:$F$66,2,FALSE))+Character!$C$36+Character!$F$36+IF($N13="Yes",2,0)))</f>
        <v xml:space="preserve"> </v>
      </c>
      <c r="U13" s="615" t="str">
        <f>IF($M13=" "," ",IF(VLOOKUP($M13,Character!$E$61:$F$66,2,FALSE)="No"," ",VLOOKUP(VLOOKUP(U$1,Calcs!$E$110:$F$117,2,FALSE),Character!$A$9:$B$16,2,FALSE)+IF(VLOOKUP($M13,Character!$E$61:$F$66,2,FALSE)="Yes",0,VLOOKUP($M13,Character!$E$61:$F$66,2,FALSE))+Character!$C$36+Character!$F$36+IF($N13="Yes",2,0)))</f>
        <v xml:space="preserve"> </v>
      </c>
      <c r="V13" s="615" t="str">
        <f>IF($M13=" "," ",IF(VLOOKUP($M13,Character!$E$61:$F$66,2,FALSE)="No"," ",VLOOKUP(VLOOKUP(V$1,Calcs!$E$110:$F$117,2,FALSE),Character!$A$9:$B$16,2,FALSE)+IF(VLOOKUP($M13,Character!$E$61:$F$66,2,FALSE)="Yes",0,VLOOKUP($M13,Character!$E$61:$F$66,2,FALSE))+Character!$C$36+Character!$F$36+IF($N13="Yes",2,0)))</f>
        <v xml:space="preserve"> </v>
      </c>
      <c r="W13" s="616" t="str">
        <f>IF($M13=" "," ",IF(VLOOKUP($M13,Character!$E$61:$F$66,2,FALSE)="No"," ",VLOOKUP(VLOOKUP(W$1,Calcs!$E$110:$F$117,2,FALSE),Character!$A$9:$B$16,2,FALSE)+IF(VLOOKUP($M13,Character!$E$61:$F$66,2,FALSE)="Yes",0,VLOOKUP($M13,Character!$E$61:$F$66,2,FALSE))+Character!$C$36+Character!$F$36+IF($N13="Yes",2,0)))</f>
        <v xml:space="preserve"> </v>
      </c>
      <c r="X13" s="15"/>
      <c r="Y13" s="15"/>
    </row>
    <row r="14" spans="1:25" x14ac:dyDescent="0.2">
      <c r="A14" s="284" t="str">
        <f>Character!A57</f>
        <v>Hunt</v>
      </c>
      <c r="B14" s="383" t="s">
        <v>185</v>
      </c>
      <c r="C14" s="591" t="str">
        <f>IF(ISBLANK(Character!C57)," ",Character!C57)</f>
        <v xml:space="preserve"> </v>
      </c>
      <c r="D14" s="279">
        <f>IF(VLOOKUP($A14,Character!$A$45:$C$66,2,FALSE)="No"," ",VLOOKUP(VLOOKUP(D$1,Calcs!$E$110:$F$117,2,FALSE),Character!$A$9:$B$16,2,FALSE)+IF(VLOOKUP($A14,Character!$A$45:$C$66,2,FALSE)="Yes",0,VLOOKUP($A14,Character!$A$45:$C$66,2,FALSE))+Character!$C$36+Character!$F$36+IF($B14="Yes",2,0))</f>
        <v>0</v>
      </c>
      <c r="E14" s="277">
        <f>IF(VLOOKUP($A14,Character!$A$45:$C$66,2,FALSE)="No"," ",VLOOKUP(VLOOKUP(E$1,Calcs!$E$110:$F$117,2,FALSE),Character!$A$9:$B$16,2,FALSE)+IF(VLOOKUP($A14,Character!$A$45:$C$66,2,FALSE)="Yes",0,VLOOKUP($A14,Character!$A$45:$C$66,2,FALSE))+Character!$C$36+Character!$F$36+IF($B14="Yes",2,0))</f>
        <v>0</v>
      </c>
      <c r="F14" s="277">
        <f>IF(VLOOKUP($A14,Character!$A$45:$C$66,2,FALSE)="No"," ",VLOOKUP(VLOOKUP(F$1,Calcs!$E$110:$F$117,2,FALSE),Character!$A$9:$B$16,2,FALSE)+IF(VLOOKUP($A14,Character!$A$45:$C$66,2,FALSE)="Yes",0,VLOOKUP($A14,Character!$A$45:$C$66,2,FALSE))+Character!$C$36+Character!$F$36+IF($B14="Yes",2,0))</f>
        <v>0</v>
      </c>
      <c r="G14" s="277">
        <f>IF(VLOOKUP($A14,Character!$A$45:$C$66,2,FALSE)="No"," ",VLOOKUP(VLOOKUP(G$1,Calcs!$E$110:$F$117,2,FALSE),Character!$A$9:$B$16,2,FALSE)+IF(VLOOKUP($A14,Character!$A$45:$C$66,2,FALSE)="Yes",0,VLOOKUP($A14,Character!$A$45:$C$66,2,FALSE))+Character!$C$36+Character!$F$36+IF($B14="Yes",2,0))</f>
        <v>0</v>
      </c>
      <c r="H14" s="277">
        <f>IF(VLOOKUP($A14,Character!$A$45:$C$66,2,FALSE)="No"," ",VLOOKUP(VLOOKUP(H$1,Calcs!$E$110:$F$117,2,FALSE),Character!$A$9:$B$16,2,FALSE)+IF(VLOOKUP($A14,Character!$A$45:$C$66,2,FALSE)="Yes",0,VLOOKUP($A14,Character!$A$45:$C$66,2,FALSE))+Character!$C$36+Character!$F$36+IF($B14="Yes",2,0))</f>
        <v>0</v>
      </c>
      <c r="I14" s="277">
        <f>IF(VLOOKUP($A14,Character!$A$45:$C$66,2,FALSE)="No"," ",VLOOKUP(VLOOKUP(I$1,Calcs!$E$110:$F$117,2,FALSE),Character!$A$9:$B$16,2,FALSE)+IF(VLOOKUP($A14,Character!$A$45:$C$66,2,FALSE)="Yes",0,VLOOKUP($A14,Character!$A$45:$C$66,2,FALSE))+Character!$C$36+Character!$F$36+IF($B14="Yes",2,0))</f>
        <v>0</v>
      </c>
      <c r="J14" s="277">
        <f>IF(VLOOKUP($A14,Character!$A$45:$C$66,2,FALSE)="No"," ",VLOOKUP(VLOOKUP(J$1,Calcs!$E$110:$F$117,2,FALSE),Character!$A$9:$B$16,2,FALSE)+IF(VLOOKUP($A14,Character!$A$45:$C$66,2,FALSE)="Yes",0,VLOOKUP($A14,Character!$A$45:$C$66,2,FALSE))+Character!$C$36+Character!$F$36+IF($B14="Yes",2,0))</f>
        <v>0</v>
      </c>
      <c r="K14" s="285">
        <f>IF(VLOOKUP($A14,Character!$A$45:$C$66,2,FALSE)="No"," ",VLOOKUP(VLOOKUP(K$1,Calcs!$E$110:$F$117,2,FALSE),Character!$A$9:$B$16,2,FALSE)+IF(VLOOKUP($A14,Character!$A$45:$C$66,2,FALSE)="Yes",0,VLOOKUP($A14,Character!$A$45:$C$66,2,FALSE))+Character!$C$36+Character!$F$36+IF($B14="Yes",2,0))</f>
        <v>0</v>
      </c>
      <c r="L14" s="15"/>
      <c r="M14" s="600" t="str">
        <f>Character!M45</f>
        <v xml:space="preserve"> </v>
      </c>
      <c r="N14" s="599"/>
      <c r="O14" s="597" t="str">
        <f>IF(ISBLANK(Character!O45)," ",Character!O45)</f>
        <v xml:space="preserve"> </v>
      </c>
      <c r="P14" s="589" t="str">
        <f>IF($M14=" "," ",IF(VLOOKUP($M14,Character!$M$45:$N$53,2,FALSE)="No"," ",VLOOKUP(VLOOKUP(P$1,Calcs!$E$110:$F$117,2,FALSE),Character!$A$9:$B$16,2,FALSE)+IF(VLOOKUP($M14,Character!$M$45:$N$53,2,FALSE)="Yes",0,VLOOKUP($M14,Character!$M$45:$N$53,2,FALSE))+Character!$C$36+Character!$F$36+IF($N14="Yes",2,0)))</f>
        <v xml:space="preserve"> </v>
      </c>
      <c r="Q14" s="609" t="str">
        <f>IF($M14=" "," ",IF(VLOOKUP($M14,Character!$M$45:$N$53,2,FALSE)="No"," ",VLOOKUP(VLOOKUP(Q$1,Calcs!$E$110:$F$117,2,FALSE),Character!$A$9:$B$16,2,FALSE)+IF(VLOOKUP($M14,Character!$M$45:$N$53,2,FALSE)="Yes",0,VLOOKUP($M14,Character!$M$45:$N$53,2,FALSE))+Character!$C$36+Character!$F$36+IF($N14="Yes",2,0)))</f>
        <v xml:space="preserve"> </v>
      </c>
      <c r="R14" s="609" t="str">
        <f>IF($M14=" "," ",IF(VLOOKUP($M14,Character!$M$45:$N$53,2,FALSE)="No"," ",VLOOKUP(VLOOKUP(R$1,Calcs!$E$110:$F$117,2,FALSE),Character!$A$9:$B$16,2,FALSE)+IF(VLOOKUP($M14,Character!$M$45:$N$53,2,FALSE)="Yes",0,VLOOKUP($M14,Character!$M$45:$N$53,2,FALSE))+Character!$C$36+Character!$F$36+IF($N14="Yes",2,0)))</f>
        <v xml:space="preserve"> </v>
      </c>
      <c r="S14" s="609" t="str">
        <f>IF($M14=" "," ",IF(VLOOKUP($M14,Character!$M$45:$N$53,2,FALSE)="No"," ",VLOOKUP(VLOOKUP(S$1,Calcs!$E$110:$F$117,2,FALSE),Character!$A$9:$B$16,2,FALSE)+IF(VLOOKUP($M14,Character!$M$45:$N$53,2,FALSE)="Yes",0,VLOOKUP($M14,Character!$M$45:$N$53,2,FALSE))+Character!$C$36+Character!$F$36+IF($N14="Yes",2,0)))</f>
        <v xml:space="preserve"> </v>
      </c>
      <c r="T14" s="609" t="str">
        <f>IF($M14=" "," ",IF(VLOOKUP($M14,Character!$M$45:$N$53,2,FALSE)="No"," ",VLOOKUP(VLOOKUP(T$1,Calcs!$E$110:$F$117,2,FALSE),Character!$A$9:$B$16,2,FALSE)+IF(VLOOKUP($M14,Character!$M$45:$N$53,2,FALSE)="Yes",0,VLOOKUP($M14,Character!$M$45:$N$53,2,FALSE))+Character!$C$36+Character!$F$36+IF($N14="Yes",2,0)))</f>
        <v xml:space="preserve"> </v>
      </c>
      <c r="U14" s="609" t="str">
        <f>IF($M14=" "," ",IF(VLOOKUP($M14,Character!$M$45:$N$53,2,FALSE)="No"," ",VLOOKUP(VLOOKUP(U$1,Calcs!$E$110:$F$117,2,FALSE),Character!$A$9:$B$16,2,FALSE)+IF(VLOOKUP($M14,Character!$M$45:$N$53,2,FALSE)="Yes",0,VLOOKUP($M14,Character!$M$45:$N$53,2,FALSE))+Character!$C$36+Character!$F$36+IF($N14="Yes",2,0)))</f>
        <v xml:space="preserve"> </v>
      </c>
      <c r="V14" s="609" t="str">
        <f>IF($M14=" "," ",IF(VLOOKUP($M14,Character!$M$45:$N$53,2,FALSE)="No"," ",VLOOKUP(VLOOKUP(V$1,Calcs!$E$110:$F$117,2,FALSE),Character!$A$9:$B$16,2,FALSE)+IF(VLOOKUP($M14,Character!$M$45:$N$53,2,FALSE)="Yes",0,VLOOKUP($M14,Character!$M$45:$N$53,2,FALSE))+Character!$C$36+Character!$F$36+IF($N14="Yes",2,0)))</f>
        <v xml:space="preserve"> </v>
      </c>
      <c r="W14" s="610" t="str">
        <f>IF($M14=" "," ",IF(VLOOKUP($M14,Character!$M$45:$N$53,2,FALSE)="No"," ",VLOOKUP(VLOOKUP(W$1,Calcs!$E$110:$F$117,2,FALSE),Character!$A$9:$B$16,2,FALSE)+IF(VLOOKUP($M14,Character!$M$45:$N$53,2,FALSE)="Yes",0,VLOOKUP($M14,Character!$M$45:$N$53,2,FALSE))+Character!$C$36+Character!$F$36+IF($N14="Yes",2,0)))</f>
        <v xml:space="preserve"> </v>
      </c>
      <c r="X14" s="15"/>
      <c r="Y14" s="15"/>
    </row>
    <row r="15" spans="1:25" x14ac:dyDescent="0.2">
      <c r="A15" s="284" t="str">
        <f>Character!A58</f>
        <v>Intrigue</v>
      </c>
      <c r="B15" s="383" t="s">
        <v>185</v>
      </c>
      <c r="C15" s="591" t="str">
        <f>IF(ISBLANK(Character!C58)," ",Character!C58)</f>
        <v xml:space="preserve"> </v>
      </c>
      <c r="D15" s="279">
        <f>IF(VLOOKUP($A15,Character!$A$45:$C$66,2,FALSE)="No"," ",VLOOKUP(VLOOKUP(D$1,Calcs!$E$110:$F$117,2,FALSE),Character!$A$9:$B$16,2,FALSE)+IF(VLOOKUP($A15,Character!$A$45:$C$66,2,FALSE)="Yes",0,VLOOKUP($A15,Character!$A$45:$C$66,2,FALSE))+Character!$C$36+Character!$F$36+IF($B15="Yes",2,0))</f>
        <v>0</v>
      </c>
      <c r="E15" s="277">
        <f>IF(VLOOKUP($A15,Character!$A$45:$C$66,2,FALSE)="No"," ",VLOOKUP(VLOOKUP(E$1,Calcs!$E$110:$F$117,2,FALSE),Character!$A$9:$B$16,2,FALSE)+IF(VLOOKUP($A15,Character!$A$45:$C$66,2,FALSE)="Yes",0,VLOOKUP($A15,Character!$A$45:$C$66,2,FALSE))+Character!$C$36+Character!$F$36+IF($B15="Yes",2,0))</f>
        <v>0</v>
      </c>
      <c r="F15" s="277">
        <f>IF(VLOOKUP($A15,Character!$A$45:$C$66,2,FALSE)="No"," ",VLOOKUP(VLOOKUP(F$1,Calcs!$E$110:$F$117,2,FALSE),Character!$A$9:$B$16,2,FALSE)+IF(VLOOKUP($A15,Character!$A$45:$C$66,2,FALSE)="Yes",0,VLOOKUP($A15,Character!$A$45:$C$66,2,FALSE))+Character!$C$36+Character!$F$36+IF($B15="Yes",2,0))</f>
        <v>0</v>
      </c>
      <c r="G15" s="277">
        <f>IF(VLOOKUP($A15,Character!$A$45:$C$66,2,FALSE)="No"," ",VLOOKUP(VLOOKUP(G$1,Calcs!$E$110:$F$117,2,FALSE),Character!$A$9:$B$16,2,FALSE)+IF(VLOOKUP($A15,Character!$A$45:$C$66,2,FALSE)="Yes",0,VLOOKUP($A15,Character!$A$45:$C$66,2,FALSE))+Character!$C$36+Character!$F$36+IF($B15="Yes",2,0))</f>
        <v>0</v>
      </c>
      <c r="H15" s="277">
        <f>IF(VLOOKUP($A15,Character!$A$45:$C$66,2,FALSE)="No"," ",VLOOKUP(VLOOKUP(H$1,Calcs!$E$110:$F$117,2,FALSE),Character!$A$9:$B$16,2,FALSE)+IF(VLOOKUP($A15,Character!$A$45:$C$66,2,FALSE)="Yes",0,VLOOKUP($A15,Character!$A$45:$C$66,2,FALSE))+Character!$C$36+Character!$F$36+IF($B15="Yes",2,0))</f>
        <v>0</v>
      </c>
      <c r="I15" s="277">
        <f>IF(VLOOKUP($A15,Character!$A$45:$C$66,2,FALSE)="No"," ",VLOOKUP(VLOOKUP(I$1,Calcs!$E$110:$F$117,2,FALSE),Character!$A$9:$B$16,2,FALSE)+IF(VLOOKUP($A15,Character!$A$45:$C$66,2,FALSE)="Yes",0,VLOOKUP($A15,Character!$A$45:$C$66,2,FALSE))+Character!$C$36+Character!$F$36+IF($B15="Yes",2,0))</f>
        <v>0</v>
      </c>
      <c r="J15" s="277">
        <f>IF(VLOOKUP($A15,Character!$A$45:$C$66,2,FALSE)="No"," ",VLOOKUP(VLOOKUP(J$1,Calcs!$E$110:$F$117,2,FALSE),Character!$A$9:$B$16,2,FALSE)+IF(VLOOKUP($A15,Character!$A$45:$C$66,2,FALSE)="Yes",0,VLOOKUP($A15,Character!$A$45:$C$66,2,FALSE))+Character!$C$36+Character!$F$36+IF($B15="Yes",2,0))</f>
        <v>0</v>
      </c>
      <c r="K15" s="285">
        <f>IF(VLOOKUP($A15,Character!$A$45:$C$66,2,FALSE)="No"," ",VLOOKUP(VLOOKUP(K$1,Calcs!$E$110:$F$117,2,FALSE),Character!$A$9:$B$16,2,FALSE)+IF(VLOOKUP($A15,Character!$A$45:$C$66,2,FALSE)="Yes",0,VLOOKUP($A15,Character!$A$45:$C$66,2,FALSE))+Character!$C$36+Character!$F$36+IF($B15="Yes",2,0))</f>
        <v>0</v>
      </c>
      <c r="L15" s="15"/>
      <c r="M15" s="292" t="str">
        <f>Character!M46</f>
        <v xml:space="preserve"> </v>
      </c>
      <c r="N15" s="299"/>
      <c r="O15" s="595" t="str">
        <f>IF(ISBLANK(Character!O46)," ",Character!O46)</f>
        <v xml:space="preserve"> </v>
      </c>
      <c r="P15" s="611" t="str">
        <f>IF($M15=" "," ",IF(VLOOKUP($M15,Character!$M$45:$N$53,2,FALSE)="No"," ",VLOOKUP(VLOOKUP(P$1,Calcs!$E$110:$F$117,2,FALSE),Character!$A$9:$B$16,2,FALSE)+IF(VLOOKUP($M15,Character!$M$45:$N$53,2,FALSE)="Yes",0,VLOOKUP($M15,Character!$M$45:$N$53,2,FALSE))+Character!$C$36+Character!$F$36+IF($N15="Yes",2,0)))</f>
        <v xml:space="preserve"> </v>
      </c>
      <c r="Q15" s="612" t="str">
        <f>IF($M15=" "," ",IF(VLOOKUP($M15,Character!$M$45:$N$53,2,FALSE)="No"," ",VLOOKUP(VLOOKUP(Q$1,Calcs!$E$110:$F$117,2,FALSE),Character!$A$9:$B$16,2,FALSE)+IF(VLOOKUP($M15,Character!$M$45:$N$53,2,FALSE)="Yes",0,VLOOKUP($M15,Character!$M$45:$N$53,2,FALSE))+Character!$C$36+Character!$F$36+IF($N15="Yes",2,0)))</f>
        <v xml:space="preserve"> </v>
      </c>
      <c r="R15" s="612" t="str">
        <f>IF($M15=" "," ",IF(VLOOKUP($M15,Character!$M$45:$N$53,2,FALSE)="No"," ",VLOOKUP(VLOOKUP(R$1,Calcs!$E$110:$F$117,2,FALSE),Character!$A$9:$B$16,2,FALSE)+IF(VLOOKUP($M15,Character!$M$45:$N$53,2,FALSE)="Yes",0,VLOOKUP($M15,Character!$M$45:$N$53,2,FALSE))+Character!$C$36+Character!$F$36+IF($N15="Yes",2,0)))</f>
        <v xml:space="preserve"> </v>
      </c>
      <c r="S15" s="612" t="str">
        <f>IF($M15=" "," ",IF(VLOOKUP($M15,Character!$M$45:$N$53,2,FALSE)="No"," ",VLOOKUP(VLOOKUP(S$1,Calcs!$E$110:$F$117,2,FALSE),Character!$A$9:$B$16,2,FALSE)+IF(VLOOKUP($M15,Character!$M$45:$N$53,2,FALSE)="Yes",0,VLOOKUP($M15,Character!$M$45:$N$53,2,FALSE))+Character!$C$36+Character!$F$36+IF($N15="Yes",2,0)))</f>
        <v xml:space="preserve"> </v>
      </c>
      <c r="T15" s="612" t="str">
        <f>IF($M15=" "," ",IF(VLOOKUP($M15,Character!$M$45:$N$53,2,FALSE)="No"," ",VLOOKUP(VLOOKUP(T$1,Calcs!$E$110:$F$117,2,FALSE),Character!$A$9:$B$16,2,FALSE)+IF(VLOOKUP($M15,Character!$M$45:$N$53,2,FALSE)="Yes",0,VLOOKUP($M15,Character!$M$45:$N$53,2,FALSE))+Character!$C$36+Character!$F$36+IF($N15="Yes",2,0)))</f>
        <v xml:space="preserve"> </v>
      </c>
      <c r="U15" s="612" t="str">
        <f>IF($M15=" "," ",IF(VLOOKUP($M15,Character!$M$45:$N$53,2,FALSE)="No"," ",VLOOKUP(VLOOKUP(U$1,Calcs!$E$110:$F$117,2,FALSE),Character!$A$9:$B$16,2,FALSE)+IF(VLOOKUP($M15,Character!$M$45:$N$53,2,FALSE)="Yes",0,VLOOKUP($M15,Character!$M$45:$N$53,2,FALSE))+Character!$C$36+Character!$F$36+IF($N15="Yes",2,0)))</f>
        <v xml:space="preserve"> </v>
      </c>
      <c r="V15" s="612" t="str">
        <f>IF($M15=" "," ",IF(VLOOKUP($M15,Character!$M$45:$N$53,2,FALSE)="No"," ",VLOOKUP(VLOOKUP(V$1,Calcs!$E$110:$F$117,2,FALSE),Character!$A$9:$B$16,2,FALSE)+IF(VLOOKUP($M15,Character!$M$45:$N$53,2,FALSE)="Yes",0,VLOOKUP($M15,Character!$M$45:$N$53,2,FALSE))+Character!$C$36+Character!$F$36+IF($N15="Yes",2,0)))</f>
        <v xml:space="preserve"> </v>
      </c>
      <c r="W15" s="613" t="str">
        <f>IF($M15=" "," ",IF(VLOOKUP($M15,Character!$M$45:$N$53,2,FALSE)="No"," ",VLOOKUP(VLOOKUP(W$1,Calcs!$E$110:$F$117,2,FALSE),Character!$A$9:$B$16,2,FALSE)+IF(VLOOKUP($M15,Character!$M$45:$N$53,2,FALSE)="Yes",0,VLOOKUP($M15,Character!$M$45:$N$53,2,FALSE))+Character!$C$36+Character!$F$36+IF($N15="Yes",2,0)))</f>
        <v xml:space="preserve"> </v>
      </c>
      <c r="X15" s="15"/>
      <c r="Y15" s="15"/>
    </row>
    <row r="16" spans="1:25" x14ac:dyDescent="0.2">
      <c r="A16" s="284" t="str">
        <f>Character!A59</f>
        <v>Leadership</v>
      </c>
      <c r="B16" s="383" t="s">
        <v>185</v>
      </c>
      <c r="C16" s="591" t="str">
        <f>IF(ISBLANK(Character!C59)," ",Character!C59)</f>
        <v xml:space="preserve"> </v>
      </c>
      <c r="D16" s="279">
        <f>IF(VLOOKUP($A16,Character!$A$45:$C$66,2,FALSE)="No"," ",VLOOKUP(VLOOKUP(D$1,Calcs!$E$110:$F$117,2,FALSE),Character!$A$9:$B$16,2,FALSE)+IF(VLOOKUP($A16,Character!$A$45:$C$66,2,FALSE)="Yes",0,VLOOKUP($A16,Character!$A$45:$C$66,2,FALSE))+Character!$C$36+Character!$F$36+IF($B16="Yes",2,0))</f>
        <v>0</v>
      </c>
      <c r="E16" s="277">
        <f>IF(VLOOKUP($A16,Character!$A$45:$C$66,2,FALSE)="No"," ",VLOOKUP(VLOOKUP(E$1,Calcs!$E$110:$F$117,2,FALSE),Character!$A$9:$B$16,2,FALSE)+IF(VLOOKUP($A16,Character!$A$45:$C$66,2,FALSE)="Yes",0,VLOOKUP($A16,Character!$A$45:$C$66,2,FALSE))+Character!$C$36+Character!$F$36+IF($B16="Yes",2,0))</f>
        <v>0</v>
      </c>
      <c r="F16" s="277">
        <f>IF(VLOOKUP($A16,Character!$A$45:$C$66,2,FALSE)="No"," ",VLOOKUP(VLOOKUP(F$1,Calcs!$E$110:$F$117,2,FALSE),Character!$A$9:$B$16,2,FALSE)+IF(VLOOKUP($A16,Character!$A$45:$C$66,2,FALSE)="Yes",0,VLOOKUP($A16,Character!$A$45:$C$66,2,FALSE))+Character!$C$36+Character!$F$36+IF($B16="Yes",2,0))</f>
        <v>0</v>
      </c>
      <c r="G16" s="277">
        <f>IF(VLOOKUP($A16,Character!$A$45:$C$66,2,FALSE)="No"," ",VLOOKUP(VLOOKUP(G$1,Calcs!$E$110:$F$117,2,FALSE),Character!$A$9:$B$16,2,FALSE)+IF(VLOOKUP($A16,Character!$A$45:$C$66,2,FALSE)="Yes",0,VLOOKUP($A16,Character!$A$45:$C$66,2,FALSE))+Character!$C$36+Character!$F$36+IF($B16="Yes",2,0))</f>
        <v>0</v>
      </c>
      <c r="H16" s="277">
        <f>IF(VLOOKUP($A16,Character!$A$45:$C$66,2,FALSE)="No"," ",VLOOKUP(VLOOKUP(H$1,Calcs!$E$110:$F$117,2,FALSE),Character!$A$9:$B$16,2,FALSE)+IF(VLOOKUP($A16,Character!$A$45:$C$66,2,FALSE)="Yes",0,VLOOKUP($A16,Character!$A$45:$C$66,2,FALSE))+Character!$C$36+Character!$F$36+IF($B16="Yes",2,0))</f>
        <v>0</v>
      </c>
      <c r="I16" s="277">
        <f>IF(VLOOKUP($A16,Character!$A$45:$C$66,2,FALSE)="No"," ",VLOOKUP(VLOOKUP(I$1,Calcs!$E$110:$F$117,2,FALSE),Character!$A$9:$B$16,2,FALSE)+IF(VLOOKUP($A16,Character!$A$45:$C$66,2,FALSE)="Yes",0,VLOOKUP($A16,Character!$A$45:$C$66,2,FALSE))+Character!$C$36+Character!$F$36+IF($B16="Yes",2,0))</f>
        <v>0</v>
      </c>
      <c r="J16" s="277">
        <f>IF(VLOOKUP($A16,Character!$A$45:$C$66,2,FALSE)="No"," ",VLOOKUP(VLOOKUP(J$1,Calcs!$E$110:$F$117,2,FALSE),Character!$A$9:$B$16,2,FALSE)+IF(VLOOKUP($A16,Character!$A$45:$C$66,2,FALSE)="Yes",0,VLOOKUP($A16,Character!$A$45:$C$66,2,FALSE))+Character!$C$36+Character!$F$36+IF($B16="Yes",2,0))</f>
        <v>0</v>
      </c>
      <c r="K16" s="285">
        <f>IF(VLOOKUP($A16,Character!$A$45:$C$66,2,FALSE)="No"," ",VLOOKUP(VLOOKUP(K$1,Calcs!$E$110:$F$117,2,FALSE),Character!$A$9:$B$16,2,FALSE)+IF(VLOOKUP($A16,Character!$A$45:$C$66,2,FALSE)="Yes",0,VLOOKUP($A16,Character!$A$45:$C$66,2,FALSE))+Character!$C$36+Character!$F$36+IF($B16="Yes",2,0))</f>
        <v>0</v>
      </c>
      <c r="L16" s="15"/>
      <c r="M16" s="292" t="str">
        <f>Character!M47</f>
        <v xml:space="preserve"> </v>
      </c>
      <c r="N16" s="299"/>
      <c r="O16" s="595" t="str">
        <f>IF(ISBLANK(Character!O47)," ",Character!O47)</f>
        <v xml:space="preserve"> </v>
      </c>
      <c r="P16" s="611" t="str">
        <f>IF($M16=" "," ",IF(VLOOKUP($M16,Character!$M$45:$N$53,2,FALSE)="No"," ",VLOOKUP(VLOOKUP(P$1,Calcs!$E$110:$F$117,2,FALSE),Character!$A$9:$B$16,2,FALSE)+IF(VLOOKUP($M16,Character!$M$45:$N$53,2,FALSE)="Yes",0,VLOOKUP($M16,Character!$M$45:$N$53,2,FALSE))+Character!$C$36+Character!$F$36+IF($N16="Yes",2,0)))</f>
        <v xml:space="preserve"> </v>
      </c>
      <c r="Q16" s="612" t="str">
        <f>IF($M16=" "," ",IF(VLOOKUP($M16,Character!$M$45:$N$53,2,FALSE)="No"," ",VLOOKUP(VLOOKUP(Q$1,Calcs!$E$110:$F$117,2,FALSE),Character!$A$9:$B$16,2,FALSE)+IF(VLOOKUP($M16,Character!$M$45:$N$53,2,FALSE)="Yes",0,VLOOKUP($M16,Character!$M$45:$N$53,2,FALSE))+Character!$C$36+Character!$F$36+IF($N16="Yes",2,0)))</f>
        <v xml:space="preserve"> </v>
      </c>
      <c r="R16" s="612" t="str">
        <f>IF($M16=" "," ",IF(VLOOKUP($M16,Character!$M$45:$N$53,2,FALSE)="No"," ",VLOOKUP(VLOOKUP(R$1,Calcs!$E$110:$F$117,2,FALSE),Character!$A$9:$B$16,2,FALSE)+IF(VLOOKUP($M16,Character!$M$45:$N$53,2,FALSE)="Yes",0,VLOOKUP($M16,Character!$M$45:$N$53,2,FALSE))+Character!$C$36+Character!$F$36+IF($N16="Yes",2,0)))</f>
        <v xml:space="preserve"> </v>
      </c>
      <c r="S16" s="612" t="str">
        <f>IF($M16=" "," ",IF(VLOOKUP($M16,Character!$M$45:$N$53,2,FALSE)="No"," ",VLOOKUP(VLOOKUP(S$1,Calcs!$E$110:$F$117,2,FALSE),Character!$A$9:$B$16,2,FALSE)+IF(VLOOKUP($M16,Character!$M$45:$N$53,2,FALSE)="Yes",0,VLOOKUP($M16,Character!$M$45:$N$53,2,FALSE))+Character!$C$36+Character!$F$36+IF($N16="Yes",2,0)))</f>
        <v xml:space="preserve"> </v>
      </c>
      <c r="T16" s="612" t="str">
        <f>IF($M16=" "," ",IF(VLOOKUP($M16,Character!$M$45:$N$53,2,FALSE)="No"," ",VLOOKUP(VLOOKUP(T$1,Calcs!$E$110:$F$117,2,FALSE),Character!$A$9:$B$16,2,FALSE)+IF(VLOOKUP($M16,Character!$M$45:$N$53,2,FALSE)="Yes",0,VLOOKUP($M16,Character!$M$45:$N$53,2,FALSE))+Character!$C$36+Character!$F$36+IF($N16="Yes",2,0)))</f>
        <v xml:space="preserve"> </v>
      </c>
      <c r="U16" s="612" t="str">
        <f>IF($M16=" "," ",IF(VLOOKUP($M16,Character!$M$45:$N$53,2,FALSE)="No"," ",VLOOKUP(VLOOKUP(U$1,Calcs!$E$110:$F$117,2,FALSE),Character!$A$9:$B$16,2,FALSE)+IF(VLOOKUP($M16,Character!$M$45:$N$53,2,FALSE)="Yes",0,VLOOKUP($M16,Character!$M$45:$N$53,2,FALSE))+Character!$C$36+Character!$F$36+IF($N16="Yes",2,0)))</f>
        <v xml:space="preserve"> </v>
      </c>
      <c r="V16" s="612" t="str">
        <f>IF($M16=" "," ",IF(VLOOKUP($M16,Character!$M$45:$N$53,2,FALSE)="No"," ",VLOOKUP(VLOOKUP(V$1,Calcs!$E$110:$F$117,2,FALSE),Character!$A$9:$B$16,2,FALSE)+IF(VLOOKUP($M16,Character!$M$45:$N$53,2,FALSE)="Yes",0,VLOOKUP($M16,Character!$M$45:$N$53,2,FALSE))+Character!$C$36+Character!$F$36+IF($N16="Yes",2,0)))</f>
        <v xml:space="preserve"> </v>
      </c>
      <c r="W16" s="613" t="str">
        <f>IF($M16=" "," ",IF(VLOOKUP($M16,Character!$M$45:$N$53,2,FALSE)="No"," ",VLOOKUP(VLOOKUP(W$1,Calcs!$E$110:$F$117,2,FALSE),Character!$A$9:$B$16,2,FALSE)+IF(VLOOKUP($M16,Character!$M$45:$N$53,2,FALSE)="Yes",0,VLOOKUP($M16,Character!$M$45:$N$53,2,FALSE))+Character!$C$36+Character!$F$36+IF($N16="Yes",2,0)))</f>
        <v xml:space="preserve"> </v>
      </c>
      <c r="X16" s="15"/>
      <c r="Y16" s="15"/>
    </row>
    <row r="17" spans="1:25" x14ac:dyDescent="0.2">
      <c r="A17" s="284" t="str">
        <f>Character!A60</f>
        <v>Legerdemain</v>
      </c>
      <c r="B17" s="383" t="s">
        <v>185</v>
      </c>
      <c r="C17" s="591" t="str">
        <f>IF(ISBLANK(Character!C60)," ",Character!C60)</f>
        <v xml:space="preserve"> </v>
      </c>
      <c r="D17" s="279" t="str">
        <f>IF(VLOOKUP($A17,Character!$A$45:$C$66,2,FALSE)="No"," ",VLOOKUP(VLOOKUP(D$1,Calcs!$E$110:$F$117,2,FALSE),Character!$A$9:$B$16,2,FALSE)+IF(VLOOKUP($A17,Character!$A$45:$C$66,2,FALSE)="Yes",0,VLOOKUP($A17,Character!$A$45:$C$66,2,FALSE))+Character!$C$36+Character!$F$36+IF($B17="Yes",2,0))</f>
        <v xml:space="preserve"> </v>
      </c>
      <c r="E17" s="277" t="str">
        <f>IF(VLOOKUP($A17,Character!$A$45:$C$66,2,FALSE)="No"," ",VLOOKUP(VLOOKUP(E$1,Calcs!$E$110:$F$117,2,FALSE),Character!$A$9:$B$16,2,FALSE)+IF(VLOOKUP($A17,Character!$A$45:$C$66,2,FALSE)="Yes",0,VLOOKUP($A17,Character!$A$45:$C$66,2,FALSE))+Character!$C$36+Character!$F$36+IF($B17="Yes",2,0))</f>
        <v xml:space="preserve"> </v>
      </c>
      <c r="F17" s="277" t="str">
        <f>IF(VLOOKUP($A17,Character!$A$45:$C$66,2,FALSE)="No"," ",VLOOKUP(VLOOKUP(F$1,Calcs!$E$110:$F$117,2,FALSE),Character!$A$9:$B$16,2,FALSE)+IF(VLOOKUP($A17,Character!$A$45:$C$66,2,FALSE)="Yes",0,VLOOKUP($A17,Character!$A$45:$C$66,2,FALSE))+Character!$C$36+Character!$F$36+IF($B17="Yes",2,0))</f>
        <v xml:space="preserve"> </v>
      </c>
      <c r="G17" s="277" t="str">
        <f>IF(VLOOKUP($A17,Character!$A$45:$C$66,2,FALSE)="No"," ",VLOOKUP(VLOOKUP(G$1,Calcs!$E$110:$F$117,2,FALSE),Character!$A$9:$B$16,2,FALSE)+IF(VLOOKUP($A17,Character!$A$45:$C$66,2,FALSE)="Yes",0,VLOOKUP($A17,Character!$A$45:$C$66,2,FALSE))+Character!$C$36+Character!$F$36+IF($B17="Yes",2,0))</f>
        <v xml:space="preserve"> </v>
      </c>
      <c r="H17" s="277" t="str">
        <f>IF(VLOOKUP($A17,Character!$A$45:$C$66,2,FALSE)="No"," ",VLOOKUP(VLOOKUP(H$1,Calcs!$E$110:$F$117,2,FALSE),Character!$A$9:$B$16,2,FALSE)+IF(VLOOKUP($A17,Character!$A$45:$C$66,2,FALSE)="Yes",0,VLOOKUP($A17,Character!$A$45:$C$66,2,FALSE))+Character!$C$36+Character!$F$36+IF($B17="Yes",2,0))</f>
        <v xml:space="preserve"> </v>
      </c>
      <c r="I17" s="277" t="str">
        <f>IF(VLOOKUP($A17,Character!$A$45:$C$66,2,FALSE)="No"," ",VLOOKUP(VLOOKUP(I$1,Calcs!$E$110:$F$117,2,FALSE),Character!$A$9:$B$16,2,FALSE)+IF(VLOOKUP($A17,Character!$A$45:$C$66,2,FALSE)="Yes",0,VLOOKUP($A17,Character!$A$45:$C$66,2,FALSE))+Character!$C$36+Character!$F$36+IF($B17="Yes",2,0))</f>
        <v xml:space="preserve"> </v>
      </c>
      <c r="J17" s="277" t="str">
        <f>IF(VLOOKUP($A17,Character!$A$45:$C$66,2,FALSE)="No"," ",VLOOKUP(VLOOKUP(J$1,Calcs!$E$110:$F$117,2,FALSE),Character!$A$9:$B$16,2,FALSE)+IF(VLOOKUP($A17,Character!$A$45:$C$66,2,FALSE)="Yes",0,VLOOKUP($A17,Character!$A$45:$C$66,2,FALSE))+Character!$C$36+Character!$F$36+IF($B17="Yes",2,0))</f>
        <v xml:space="preserve"> </v>
      </c>
      <c r="K17" s="285" t="str">
        <f>IF(VLOOKUP($A17,Character!$A$45:$C$66,2,FALSE)="No"," ",VLOOKUP(VLOOKUP(K$1,Calcs!$E$110:$F$117,2,FALSE),Character!$A$9:$B$16,2,FALSE)+IF(VLOOKUP($A17,Character!$A$45:$C$66,2,FALSE)="Yes",0,VLOOKUP($A17,Character!$A$45:$C$66,2,FALSE))+Character!$C$36+Character!$F$36+IF($B17="Yes",2,0))</f>
        <v xml:space="preserve"> </v>
      </c>
      <c r="L17" s="15"/>
      <c r="M17" s="292" t="str">
        <f>Character!M48</f>
        <v xml:space="preserve"> </v>
      </c>
      <c r="N17" s="299"/>
      <c r="O17" s="595" t="str">
        <f>IF(ISBLANK(Character!O48)," ",Character!O48)</f>
        <v xml:space="preserve"> </v>
      </c>
      <c r="P17" s="611" t="str">
        <f>IF($M17=" "," ",IF(VLOOKUP($M17,Character!$M$45:$N$53,2,FALSE)="No"," ",VLOOKUP(VLOOKUP(P$1,Calcs!$E$110:$F$117,2,FALSE),Character!$A$9:$B$16,2,FALSE)+IF(VLOOKUP($M17,Character!$M$45:$N$53,2,FALSE)="Yes",0,VLOOKUP($M17,Character!$M$45:$N$53,2,FALSE))+Character!$C$36+Character!$F$36+IF($N17="Yes",2,0)))</f>
        <v xml:space="preserve"> </v>
      </c>
      <c r="Q17" s="612" t="str">
        <f>IF($M17=" "," ",IF(VLOOKUP($M17,Character!$M$45:$N$53,2,FALSE)="No"," ",VLOOKUP(VLOOKUP(Q$1,Calcs!$E$110:$F$117,2,FALSE),Character!$A$9:$B$16,2,FALSE)+IF(VLOOKUP($M17,Character!$M$45:$N$53,2,FALSE)="Yes",0,VLOOKUP($M17,Character!$M$45:$N$53,2,FALSE))+Character!$C$36+Character!$F$36+IF($N17="Yes",2,0)))</f>
        <v xml:space="preserve"> </v>
      </c>
      <c r="R17" s="612" t="str">
        <f>IF($M17=" "," ",IF(VLOOKUP($M17,Character!$M$45:$N$53,2,FALSE)="No"," ",VLOOKUP(VLOOKUP(R$1,Calcs!$E$110:$F$117,2,FALSE),Character!$A$9:$B$16,2,FALSE)+IF(VLOOKUP($M17,Character!$M$45:$N$53,2,FALSE)="Yes",0,VLOOKUP($M17,Character!$M$45:$N$53,2,FALSE))+Character!$C$36+Character!$F$36+IF($N17="Yes",2,0)))</f>
        <v xml:space="preserve"> </v>
      </c>
      <c r="S17" s="612" t="str">
        <f>IF($M17=" "," ",IF(VLOOKUP($M17,Character!$M$45:$N$53,2,FALSE)="No"," ",VLOOKUP(VLOOKUP(S$1,Calcs!$E$110:$F$117,2,FALSE),Character!$A$9:$B$16,2,FALSE)+IF(VLOOKUP($M17,Character!$M$45:$N$53,2,FALSE)="Yes",0,VLOOKUP($M17,Character!$M$45:$N$53,2,FALSE))+Character!$C$36+Character!$F$36+IF($N17="Yes",2,0)))</f>
        <v xml:space="preserve"> </v>
      </c>
      <c r="T17" s="612" t="str">
        <f>IF($M17=" "," ",IF(VLOOKUP($M17,Character!$M$45:$N$53,2,FALSE)="No"," ",VLOOKUP(VLOOKUP(T$1,Calcs!$E$110:$F$117,2,FALSE),Character!$A$9:$B$16,2,FALSE)+IF(VLOOKUP($M17,Character!$M$45:$N$53,2,FALSE)="Yes",0,VLOOKUP($M17,Character!$M$45:$N$53,2,FALSE))+Character!$C$36+Character!$F$36+IF($N17="Yes",2,0)))</f>
        <v xml:space="preserve"> </v>
      </c>
      <c r="U17" s="612" t="str">
        <f>IF($M17=" "," ",IF(VLOOKUP($M17,Character!$M$45:$N$53,2,FALSE)="No"," ",VLOOKUP(VLOOKUP(U$1,Calcs!$E$110:$F$117,2,FALSE),Character!$A$9:$B$16,2,FALSE)+IF(VLOOKUP($M17,Character!$M$45:$N$53,2,FALSE)="Yes",0,VLOOKUP($M17,Character!$M$45:$N$53,2,FALSE))+Character!$C$36+Character!$F$36+IF($N17="Yes",2,0)))</f>
        <v xml:space="preserve"> </v>
      </c>
      <c r="V17" s="612" t="str">
        <f>IF($M17=" "," ",IF(VLOOKUP($M17,Character!$M$45:$N$53,2,FALSE)="No"," ",VLOOKUP(VLOOKUP(V$1,Calcs!$E$110:$F$117,2,FALSE),Character!$A$9:$B$16,2,FALSE)+IF(VLOOKUP($M17,Character!$M$45:$N$53,2,FALSE)="Yes",0,VLOOKUP($M17,Character!$M$45:$N$53,2,FALSE))+Character!$C$36+Character!$F$36+IF($N17="Yes",2,0)))</f>
        <v xml:space="preserve"> </v>
      </c>
      <c r="W17" s="613" t="str">
        <f>IF($M17=" "," ",IF(VLOOKUP($M17,Character!$M$45:$N$53,2,FALSE)="No"," ",VLOOKUP(VLOOKUP(W$1,Calcs!$E$110:$F$117,2,FALSE),Character!$A$9:$B$16,2,FALSE)+IF(VLOOKUP($M17,Character!$M$45:$N$53,2,FALSE)="Yes",0,VLOOKUP($M17,Character!$M$45:$N$53,2,FALSE))+Character!$C$36+Character!$F$36+IF($N17="Yes",2,0)))</f>
        <v xml:space="preserve"> </v>
      </c>
      <c r="X17" s="15"/>
      <c r="Y17" s="15"/>
    </row>
    <row r="18" spans="1:25" x14ac:dyDescent="0.2">
      <c r="A18" s="284" t="str">
        <f>Character!A61</f>
        <v>Music</v>
      </c>
      <c r="B18" s="383" t="s">
        <v>185</v>
      </c>
      <c r="C18" s="591" t="str">
        <f>IF(ISBLANK(Character!C61)," ",Character!C61)</f>
        <v xml:space="preserve"> </v>
      </c>
      <c r="D18" s="279">
        <f>IF(VLOOKUP($A18,Character!$A$45:$C$66,2,FALSE)="No"," ",VLOOKUP(VLOOKUP(D$1,Calcs!$E$110:$F$117,2,FALSE),Character!$A$9:$B$16,2,FALSE)+IF(VLOOKUP($A18,Character!$A$45:$C$66,2,FALSE)="Yes",0,VLOOKUP($A18,Character!$A$45:$C$66,2,FALSE))+Character!$C$36+Character!$F$36+IF($B18="Yes",2,0))</f>
        <v>0</v>
      </c>
      <c r="E18" s="277">
        <f>IF(VLOOKUP($A18,Character!$A$45:$C$66,2,FALSE)="No"," ",VLOOKUP(VLOOKUP(E$1,Calcs!$E$110:$F$117,2,FALSE),Character!$A$9:$B$16,2,FALSE)+IF(VLOOKUP($A18,Character!$A$45:$C$66,2,FALSE)="Yes",0,VLOOKUP($A18,Character!$A$45:$C$66,2,FALSE))+Character!$C$36+Character!$F$36+IF($B18="Yes",2,0))</f>
        <v>0</v>
      </c>
      <c r="F18" s="277">
        <f>IF(VLOOKUP($A18,Character!$A$45:$C$66,2,FALSE)="No"," ",VLOOKUP(VLOOKUP(F$1,Calcs!$E$110:$F$117,2,FALSE),Character!$A$9:$B$16,2,FALSE)+IF(VLOOKUP($A18,Character!$A$45:$C$66,2,FALSE)="Yes",0,VLOOKUP($A18,Character!$A$45:$C$66,2,FALSE))+Character!$C$36+Character!$F$36+IF($B18="Yes",2,0))</f>
        <v>0</v>
      </c>
      <c r="G18" s="277">
        <f>IF(VLOOKUP($A18,Character!$A$45:$C$66,2,FALSE)="No"," ",VLOOKUP(VLOOKUP(G$1,Calcs!$E$110:$F$117,2,FALSE),Character!$A$9:$B$16,2,FALSE)+IF(VLOOKUP($A18,Character!$A$45:$C$66,2,FALSE)="Yes",0,VLOOKUP($A18,Character!$A$45:$C$66,2,FALSE))+Character!$C$36+Character!$F$36+IF($B18="Yes",2,0))</f>
        <v>0</v>
      </c>
      <c r="H18" s="277">
        <f>IF(VLOOKUP($A18,Character!$A$45:$C$66,2,FALSE)="No"," ",VLOOKUP(VLOOKUP(H$1,Calcs!$E$110:$F$117,2,FALSE),Character!$A$9:$B$16,2,FALSE)+IF(VLOOKUP($A18,Character!$A$45:$C$66,2,FALSE)="Yes",0,VLOOKUP($A18,Character!$A$45:$C$66,2,FALSE))+Character!$C$36+Character!$F$36+IF($B18="Yes",2,0))</f>
        <v>0</v>
      </c>
      <c r="I18" s="277">
        <f>IF(VLOOKUP($A18,Character!$A$45:$C$66,2,FALSE)="No"," ",VLOOKUP(VLOOKUP(I$1,Calcs!$E$110:$F$117,2,FALSE),Character!$A$9:$B$16,2,FALSE)+IF(VLOOKUP($A18,Character!$A$45:$C$66,2,FALSE)="Yes",0,VLOOKUP($A18,Character!$A$45:$C$66,2,FALSE))+Character!$C$36+Character!$F$36+IF($B18="Yes",2,0))</f>
        <v>0</v>
      </c>
      <c r="J18" s="277">
        <f>IF(VLOOKUP($A18,Character!$A$45:$C$66,2,FALSE)="No"," ",VLOOKUP(VLOOKUP(J$1,Calcs!$E$110:$F$117,2,FALSE),Character!$A$9:$B$16,2,FALSE)+IF(VLOOKUP($A18,Character!$A$45:$C$66,2,FALSE)="Yes",0,VLOOKUP($A18,Character!$A$45:$C$66,2,FALSE))+Character!$C$36+Character!$F$36+IF($B18="Yes",2,0))</f>
        <v>0</v>
      </c>
      <c r="K18" s="285">
        <f>IF(VLOOKUP($A18,Character!$A$45:$C$66,2,FALSE)="No"," ",VLOOKUP(VLOOKUP(K$1,Calcs!$E$110:$F$117,2,FALSE),Character!$A$9:$B$16,2,FALSE)+IF(VLOOKUP($A18,Character!$A$45:$C$66,2,FALSE)="Yes",0,VLOOKUP($A18,Character!$A$45:$C$66,2,FALSE))+Character!$C$36+Character!$F$36+IF($B18="Yes",2,0))</f>
        <v>0</v>
      </c>
      <c r="L18" s="15"/>
      <c r="M18" s="292" t="str">
        <f>Character!M49</f>
        <v xml:space="preserve"> </v>
      </c>
      <c r="N18" s="299"/>
      <c r="O18" s="595" t="str">
        <f>IF(ISBLANK(Character!O49)," ",Character!O49)</f>
        <v xml:space="preserve"> </v>
      </c>
      <c r="P18" s="611" t="str">
        <f>IF($M18=" "," ",IF(VLOOKUP($M18,Character!$M$45:$N$53,2,FALSE)="No"," ",VLOOKUP(VLOOKUP(P$1,Calcs!$E$110:$F$117,2,FALSE),Character!$A$9:$B$16,2,FALSE)+IF(VLOOKUP($M18,Character!$M$45:$N$53,2,FALSE)="Yes",0,VLOOKUP($M18,Character!$M$45:$N$53,2,FALSE))+Character!$C$36+Character!$F$36+IF($N18="Yes",2,0)))</f>
        <v xml:space="preserve"> </v>
      </c>
      <c r="Q18" s="612" t="str">
        <f>IF($M18=" "," ",IF(VLOOKUP($M18,Character!$M$45:$N$53,2,FALSE)="No"," ",VLOOKUP(VLOOKUP(Q$1,Calcs!$E$110:$F$117,2,FALSE),Character!$A$9:$B$16,2,FALSE)+IF(VLOOKUP($M18,Character!$M$45:$N$53,2,FALSE)="Yes",0,VLOOKUP($M18,Character!$M$45:$N$53,2,FALSE))+Character!$C$36+Character!$F$36+IF($N18="Yes",2,0)))</f>
        <v xml:space="preserve"> </v>
      </c>
      <c r="R18" s="612" t="str">
        <f>IF($M18=" "," ",IF(VLOOKUP($M18,Character!$M$45:$N$53,2,FALSE)="No"," ",VLOOKUP(VLOOKUP(R$1,Calcs!$E$110:$F$117,2,FALSE),Character!$A$9:$B$16,2,FALSE)+IF(VLOOKUP($M18,Character!$M$45:$N$53,2,FALSE)="Yes",0,VLOOKUP($M18,Character!$M$45:$N$53,2,FALSE))+Character!$C$36+Character!$F$36+IF($N18="Yes",2,0)))</f>
        <v xml:space="preserve"> </v>
      </c>
      <c r="S18" s="612" t="str">
        <f>IF($M18=" "," ",IF(VLOOKUP($M18,Character!$M$45:$N$53,2,FALSE)="No"," ",VLOOKUP(VLOOKUP(S$1,Calcs!$E$110:$F$117,2,FALSE),Character!$A$9:$B$16,2,FALSE)+IF(VLOOKUP($M18,Character!$M$45:$N$53,2,FALSE)="Yes",0,VLOOKUP($M18,Character!$M$45:$N$53,2,FALSE))+Character!$C$36+Character!$F$36+IF($N18="Yes",2,0)))</f>
        <v xml:space="preserve"> </v>
      </c>
      <c r="T18" s="612" t="str">
        <f>IF($M18=" "," ",IF(VLOOKUP($M18,Character!$M$45:$N$53,2,FALSE)="No"," ",VLOOKUP(VLOOKUP(T$1,Calcs!$E$110:$F$117,2,FALSE),Character!$A$9:$B$16,2,FALSE)+IF(VLOOKUP($M18,Character!$M$45:$N$53,2,FALSE)="Yes",0,VLOOKUP($M18,Character!$M$45:$N$53,2,FALSE))+Character!$C$36+Character!$F$36+IF($N18="Yes",2,0)))</f>
        <v xml:space="preserve"> </v>
      </c>
      <c r="U18" s="612" t="str">
        <f>IF($M18=" "," ",IF(VLOOKUP($M18,Character!$M$45:$N$53,2,FALSE)="No"," ",VLOOKUP(VLOOKUP(U$1,Calcs!$E$110:$F$117,2,FALSE),Character!$A$9:$B$16,2,FALSE)+IF(VLOOKUP($M18,Character!$M$45:$N$53,2,FALSE)="Yes",0,VLOOKUP($M18,Character!$M$45:$N$53,2,FALSE))+Character!$C$36+Character!$F$36+IF($N18="Yes",2,0)))</f>
        <v xml:space="preserve"> </v>
      </c>
      <c r="V18" s="612" t="str">
        <f>IF($M18=" "," ",IF(VLOOKUP($M18,Character!$M$45:$N$53,2,FALSE)="No"," ",VLOOKUP(VLOOKUP(V$1,Calcs!$E$110:$F$117,2,FALSE),Character!$A$9:$B$16,2,FALSE)+IF(VLOOKUP($M18,Character!$M$45:$N$53,2,FALSE)="Yes",0,VLOOKUP($M18,Character!$M$45:$N$53,2,FALSE))+Character!$C$36+Character!$F$36+IF($N18="Yes",2,0)))</f>
        <v xml:space="preserve"> </v>
      </c>
      <c r="W18" s="613" t="str">
        <f>IF($M18=" "," ",IF(VLOOKUP($M18,Character!$M$45:$N$53,2,FALSE)="No"," ",VLOOKUP(VLOOKUP(W$1,Calcs!$E$110:$F$117,2,FALSE),Character!$A$9:$B$16,2,FALSE)+IF(VLOOKUP($M18,Character!$M$45:$N$53,2,FALSE)="Yes",0,VLOOKUP($M18,Character!$M$45:$N$53,2,FALSE))+Character!$C$36+Character!$F$36+IF($N18="Yes",2,0)))</f>
        <v xml:space="preserve"> </v>
      </c>
      <c r="X18" s="15"/>
      <c r="Y18" s="15"/>
    </row>
    <row r="19" spans="1:25" x14ac:dyDescent="0.2">
      <c r="A19" s="284" t="str">
        <f>Character!A62</f>
        <v>Ride</v>
      </c>
      <c r="B19" s="383" t="s">
        <v>185</v>
      </c>
      <c r="C19" s="591" t="str">
        <f>IF(ISBLANK(Character!C62)," ",Character!C62)</f>
        <v xml:space="preserve"> </v>
      </c>
      <c r="D19" s="279">
        <f>IF(VLOOKUP($A19,Character!$A$45:$C$66,2,FALSE)="No"," ",VLOOKUP(VLOOKUP(D$1,Calcs!$E$110:$F$117,2,FALSE),Character!$A$9:$B$16,2,FALSE)+IF(VLOOKUP($A19,Character!$A$45:$C$66,2,FALSE)="Yes",0,VLOOKUP($A19,Character!$A$45:$C$66,2,FALSE))+Character!$C$36+Character!$F$36+IF($B19="Yes",2,0))</f>
        <v>0</v>
      </c>
      <c r="E19" s="277">
        <f>IF(VLOOKUP($A19,Character!$A$45:$C$66,2,FALSE)="No"," ",VLOOKUP(VLOOKUP(E$1,Calcs!$E$110:$F$117,2,FALSE),Character!$A$9:$B$16,2,FALSE)+IF(VLOOKUP($A19,Character!$A$45:$C$66,2,FALSE)="Yes",0,VLOOKUP($A19,Character!$A$45:$C$66,2,FALSE))+Character!$C$36+Character!$F$36+IF($B19="Yes",2,0))</f>
        <v>0</v>
      </c>
      <c r="F19" s="277">
        <f>IF(VLOOKUP($A19,Character!$A$45:$C$66,2,FALSE)="No"," ",VLOOKUP(VLOOKUP(F$1,Calcs!$E$110:$F$117,2,FALSE),Character!$A$9:$B$16,2,FALSE)+IF(VLOOKUP($A19,Character!$A$45:$C$66,2,FALSE)="Yes",0,VLOOKUP($A19,Character!$A$45:$C$66,2,FALSE))+Character!$C$36+Character!$F$36+IF($B19="Yes",2,0))</f>
        <v>0</v>
      </c>
      <c r="G19" s="277">
        <f>IF(VLOOKUP($A19,Character!$A$45:$C$66,2,FALSE)="No"," ",VLOOKUP(VLOOKUP(G$1,Calcs!$E$110:$F$117,2,FALSE),Character!$A$9:$B$16,2,FALSE)+IF(VLOOKUP($A19,Character!$A$45:$C$66,2,FALSE)="Yes",0,VLOOKUP($A19,Character!$A$45:$C$66,2,FALSE))+Character!$C$36+Character!$F$36+IF($B19="Yes",2,0))</f>
        <v>0</v>
      </c>
      <c r="H19" s="277">
        <f>IF(VLOOKUP($A19,Character!$A$45:$C$66,2,FALSE)="No"," ",VLOOKUP(VLOOKUP(H$1,Calcs!$E$110:$F$117,2,FALSE),Character!$A$9:$B$16,2,FALSE)+IF(VLOOKUP($A19,Character!$A$45:$C$66,2,FALSE)="Yes",0,VLOOKUP($A19,Character!$A$45:$C$66,2,FALSE))+Character!$C$36+Character!$F$36+IF($B19="Yes",2,0))</f>
        <v>0</v>
      </c>
      <c r="I19" s="277">
        <f>IF(VLOOKUP($A19,Character!$A$45:$C$66,2,FALSE)="No"," ",VLOOKUP(VLOOKUP(I$1,Calcs!$E$110:$F$117,2,FALSE),Character!$A$9:$B$16,2,FALSE)+IF(VLOOKUP($A19,Character!$A$45:$C$66,2,FALSE)="Yes",0,VLOOKUP($A19,Character!$A$45:$C$66,2,FALSE))+Character!$C$36+Character!$F$36+IF($B19="Yes",2,0))</f>
        <v>0</v>
      </c>
      <c r="J19" s="277">
        <f>IF(VLOOKUP($A19,Character!$A$45:$C$66,2,FALSE)="No"," ",VLOOKUP(VLOOKUP(J$1,Calcs!$E$110:$F$117,2,FALSE),Character!$A$9:$B$16,2,FALSE)+IF(VLOOKUP($A19,Character!$A$45:$C$66,2,FALSE)="Yes",0,VLOOKUP($A19,Character!$A$45:$C$66,2,FALSE))+Character!$C$36+Character!$F$36+IF($B19="Yes",2,0))</f>
        <v>0</v>
      </c>
      <c r="K19" s="285">
        <f>IF(VLOOKUP($A19,Character!$A$45:$C$66,2,FALSE)="No"," ",VLOOKUP(VLOOKUP(K$1,Calcs!$E$110:$F$117,2,FALSE),Character!$A$9:$B$16,2,FALSE)+IF(VLOOKUP($A19,Character!$A$45:$C$66,2,FALSE)="Yes",0,VLOOKUP($A19,Character!$A$45:$C$66,2,FALSE))+Character!$C$36+Character!$F$36+IF($B19="Yes",2,0))</f>
        <v>0</v>
      </c>
      <c r="L19" s="15"/>
      <c r="M19" s="292" t="str">
        <f>Character!M50</f>
        <v xml:space="preserve"> </v>
      </c>
      <c r="N19" s="299"/>
      <c r="O19" s="595" t="str">
        <f>IF(ISBLANK(Character!O50)," ",Character!O50)</f>
        <v xml:space="preserve"> </v>
      </c>
      <c r="P19" s="611" t="str">
        <f>IF($M19=" "," ",IF(VLOOKUP($M19,Character!$M$45:$N$53,2,FALSE)="No"," ",VLOOKUP(VLOOKUP(P$1,Calcs!$E$110:$F$117,2,FALSE),Character!$A$9:$B$16,2,FALSE)+IF(VLOOKUP($M19,Character!$M$45:$N$53,2,FALSE)="Yes",0,VLOOKUP($M19,Character!$M$45:$N$53,2,FALSE))+Character!$C$36+Character!$F$36+IF($N19="Yes",2,0)))</f>
        <v xml:space="preserve"> </v>
      </c>
      <c r="Q19" s="612" t="str">
        <f>IF($M19=" "," ",IF(VLOOKUP($M19,Character!$M$45:$N$53,2,FALSE)="No"," ",VLOOKUP(VLOOKUP(Q$1,Calcs!$E$110:$F$117,2,FALSE),Character!$A$9:$B$16,2,FALSE)+IF(VLOOKUP($M19,Character!$M$45:$N$53,2,FALSE)="Yes",0,VLOOKUP($M19,Character!$M$45:$N$53,2,FALSE))+Character!$C$36+Character!$F$36+IF($N19="Yes",2,0)))</f>
        <v xml:space="preserve"> </v>
      </c>
      <c r="R19" s="612" t="str">
        <f>IF($M19=" "," ",IF(VLOOKUP($M19,Character!$M$45:$N$53,2,FALSE)="No"," ",VLOOKUP(VLOOKUP(R$1,Calcs!$E$110:$F$117,2,FALSE),Character!$A$9:$B$16,2,FALSE)+IF(VLOOKUP($M19,Character!$M$45:$N$53,2,FALSE)="Yes",0,VLOOKUP($M19,Character!$M$45:$N$53,2,FALSE))+Character!$C$36+Character!$F$36+IF($N19="Yes",2,0)))</f>
        <v xml:space="preserve"> </v>
      </c>
      <c r="S19" s="612" t="str">
        <f>IF($M19=" "," ",IF(VLOOKUP($M19,Character!$M$45:$N$53,2,FALSE)="No"," ",VLOOKUP(VLOOKUP(S$1,Calcs!$E$110:$F$117,2,FALSE),Character!$A$9:$B$16,2,FALSE)+IF(VLOOKUP($M19,Character!$M$45:$N$53,2,FALSE)="Yes",0,VLOOKUP($M19,Character!$M$45:$N$53,2,FALSE))+Character!$C$36+Character!$F$36+IF($N19="Yes",2,0)))</f>
        <v xml:space="preserve"> </v>
      </c>
      <c r="T19" s="612" t="str">
        <f>IF($M19=" "," ",IF(VLOOKUP($M19,Character!$M$45:$N$53,2,FALSE)="No"," ",VLOOKUP(VLOOKUP(T$1,Calcs!$E$110:$F$117,2,FALSE),Character!$A$9:$B$16,2,FALSE)+IF(VLOOKUP($M19,Character!$M$45:$N$53,2,FALSE)="Yes",0,VLOOKUP($M19,Character!$M$45:$N$53,2,FALSE))+Character!$C$36+Character!$F$36+IF($N19="Yes",2,0)))</f>
        <v xml:space="preserve"> </v>
      </c>
      <c r="U19" s="612" t="str">
        <f>IF($M19=" "," ",IF(VLOOKUP($M19,Character!$M$45:$N$53,2,FALSE)="No"," ",VLOOKUP(VLOOKUP(U$1,Calcs!$E$110:$F$117,2,FALSE),Character!$A$9:$B$16,2,FALSE)+IF(VLOOKUP($M19,Character!$M$45:$N$53,2,FALSE)="Yes",0,VLOOKUP($M19,Character!$M$45:$N$53,2,FALSE))+Character!$C$36+Character!$F$36+IF($N19="Yes",2,0)))</f>
        <v xml:space="preserve"> </v>
      </c>
      <c r="V19" s="612" t="str">
        <f>IF($M19=" "," ",IF(VLOOKUP($M19,Character!$M$45:$N$53,2,FALSE)="No"," ",VLOOKUP(VLOOKUP(V$1,Calcs!$E$110:$F$117,2,FALSE),Character!$A$9:$B$16,2,FALSE)+IF(VLOOKUP($M19,Character!$M$45:$N$53,2,FALSE)="Yes",0,VLOOKUP($M19,Character!$M$45:$N$53,2,FALSE))+Character!$C$36+Character!$F$36+IF($N19="Yes",2,0)))</f>
        <v xml:space="preserve"> </v>
      </c>
      <c r="W19" s="613" t="str">
        <f>IF($M19=" "," ",IF(VLOOKUP($M19,Character!$M$45:$N$53,2,FALSE)="No"," ",VLOOKUP(VLOOKUP(W$1,Calcs!$E$110:$F$117,2,FALSE),Character!$A$9:$B$16,2,FALSE)+IF(VLOOKUP($M19,Character!$M$45:$N$53,2,FALSE)="Yes",0,VLOOKUP($M19,Character!$M$45:$N$53,2,FALSE))+Character!$C$36+Character!$F$36+IF($N19="Yes",2,0)))</f>
        <v xml:space="preserve"> </v>
      </c>
      <c r="X19" s="15"/>
      <c r="Y19" s="15"/>
    </row>
    <row r="20" spans="1:25" x14ac:dyDescent="0.2">
      <c r="A20" s="284" t="str">
        <f>Character!A63</f>
        <v>Stealth</v>
      </c>
      <c r="B20" s="383" t="s">
        <v>185</v>
      </c>
      <c r="C20" s="591" t="str">
        <f>IF(ISBLANK(Character!C63)," ",Character!C63)</f>
        <v xml:space="preserve"> </v>
      </c>
      <c r="D20" s="279">
        <f>IF(VLOOKUP($A20,Character!$A$45:$C$66,2,FALSE)="No"," ",VLOOKUP(VLOOKUP(D$1,Calcs!$E$110:$F$117,2,FALSE),Character!$A$9:$B$16,2,FALSE)+IF(VLOOKUP($A20,Character!$A$45:$C$66,2,FALSE)="Yes",0,VLOOKUP($A20,Character!$A$45:$C$66,2,FALSE))+Character!$C$36+Character!$F$36+IF($B20="Yes",2,0))</f>
        <v>0</v>
      </c>
      <c r="E20" s="277">
        <f>IF(VLOOKUP($A20,Character!$A$45:$C$66,2,FALSE)="No"," ",VLOOKUP(VLOOKUP(E$1,Calcs!$E$110:$F$117,2,FALSE),Character!$A$9:$B$16,2,FALSE)+IF(VLOOKUP($A20,Character!$A$45:$C$66,2,FALSE)="Yes",0,VLOOKUP($A20,Character!$A$45:$C$66,2,FALSE))+Character!$C$36+Character!$F$36+IF($B20="Yes",2,0))</f>
        <v>0</v>
      </c>
      <c r="F20" s="277">
        <f>IF(VLOOKUP($A20,Character!$A$45:$C$66,2,FALSE)="No"," ",VLOOKUP(VLOOKUP(F$1,Calcs!$E$110:$F$117,2,FALSE),Character!$A$9:$B$16,2,FALSE)+IF(VLOOKUP($A20,Character!$A$45:$C$66,2,FALSE)="Yes",0,VLOOKUP($A20,Character!$A$45:$C$66,2,FALSE))+Character!$C$36+Character!$F$36+IF($B20="Yes",2,0))</f>
        <v>0</v>
      </c>
      <c r="G20" s="277">
        <f>IF(VLOOKUP($A20,Character!$A$45:$C$66,2,FALSE)="No"," ",VLOOKUP(VLOOKUP(G$1,Calcs!$E$110:$F$117,2,FALSE),Character!$A$9:$B$16,2,FALSE)+IF(VLOOKUP($A20,Character!$A$45:$C$66,2,FALSE)="Yes",0,VLOOKUP($A20,Character!$A$45:$C$66,2,FALSE))+Character!$C$36+Character!$F$36+IF($B20="Yes",2,0))</f>
        <v>0</v>
      </c>
      <c r="H20" s="277">
        <f>IF(VLOOKUP($A20,Character!$A$45:$C$66,2,FALSE)="No"," ",VLOOKUP(VLOOKUP(H$1,Calcs!$E$110:$F$117,2,FALSE),Character!$A$9:$B$16,2,FALSE)+IF(VLOOKUP($A20,Character!$A$45:$C$66,2,FALSE)="Yes",0,VLOOKUP($A20,Character!$A$45:$C$66,2,FALSE))+Character!$C$36+Character!$F$36+IF($B20="Yes",2,0))</f>
        <v>0</v>
      </c>
      <c r="I20" s="277">
        <f>IF(VLOOKUP($A20,Character!$A$45:$C$66,2,FALSE)="No"," ",VLOOKUP(VLOOKUP(I$1,Calcs!$E$110:$F$117,2,FALSE),Character!$A$9:$B$16,2,FALSE)+IF(VLOOKUP($A20,Character!$A$45:$C$66,2,FALSE)="Yes",0,VLOOKUP($A20,Character!$A$45:$C$66,2,FALSE))+Character!$C$36+Character!$F$36+IF($B20="Yes",2,0))</f>
        <v>0</v>
      </c>
      <c r="J20" s="277">
        <f>IF(VLOOKUP($A20,Character!$A$45:$C$66,2,FALSE)="No"," ",VLOOKUP(VLOOKUP(J$1,Calcs!$E$110:$F$117,2,FALSE),Character!$A$9:$B$16,2,FALSE)+IF(VLOOKUP($A20,Character!$A$45:$C$66,2,FALSE)="Yes",0,VLOOKUP($A20,Character!$A$45:$C$66,2,FALSE))+Character!$C$36+Character!$F$36+IF($B20="Yes",2,0))</f>
        <v>0</v>
      </c>
      <c r="K20" s="285">
        <f>IF(VLOOKUP($A20,Character!$A$45:$C$66,2,FALSE)="No"," ",VLOOKUP(VLOOKUP(K$1,Calcs!$E$110:$F$117,2,FALSE),Character!$A$9:$B$16,2,FALSE)+IF(VLOOKUP($A20,Character!$A$45:$C$66,2,FALSE)="Yes",0,VLOOKUP($A20,Character!$A$45:$C$66,2,FALSE))+Character!$C$36+Character!$F$36+IF($B20="Yes",2,0))</f>
        <v>0</v>
      </c>
      <c r="L20" s="15"/>
      <c r="M20" s="292" t="str">
        <f>Character!M51</f>
        <v xml:space="preserve"> </v>
      </c>
      <c r="N20" s="299"/>
      <c r="O20" s="595" t="str">
        <f>IF(ISBLANK(Character!O51)," ",Character!O51)</f>
        <v xml:space="preserve"> </v>
      </c>
      <c r="P20" s="611" t="str">
        <f>IF($M20=" "," ",IF(VLOOKUP($M20,Character!$M$45:$N$53,2,FALSE)="No"," ",VLOOKUP(VLOOKUP(P$1,Calcs!$E$110:$F$117,2,FALSE),Character!$A$9:$B$16,2,FALSE)+IF(VLOOKUP($M20,Character!$M$45:$N$53,2,FALSE)="Yes",0,VLOOKUP($M20,Character!$M$45:$N$53,2,FALSE))+Character!$C$36+Character!$F$36+IF($N20="Yes",2,0)))</f>
        <v xml:space="preserve"> </v>
      </c>
      <c r="Q20" s="612" t="str">
        <f>IF($M20=" "," ",IF(VLOOKUP($M20,Character!$M$45:$N$53,2,FALSE)="No"," ",VLOOKUP(VLOOKUP(Q$1,Calcs!$E$110:$F$117,2,FALSE),Character!$A$9:$B$16,2,FALSE)+IF(VLOOKUP($M20,Character!$M$45:$N$53,2,FALSE)="Yes",0,VLOOKUP($M20,Character!$M$45:$N$53,2,FALSE))+Character!$C$36+Character!$F$36+IF($N20="Yes",2,0)))</f>
        <v xml:space="preserve"> </v>
      </c>
      <c r="R20" s="612" t="str">
        <f>IF($M20=" "," ",IF(VLOOKUP($M20,Character!$M$45:$N$53,2,FALSE)="No"," ",VLOOKUP(VLOOKUP(R$1,Calcs!$E$110:$F$117,2,FALSE),Character!$A$9:$B$16,2,FALSE)+IF(VLOOKUP($M20,Character!$M$45:$N$53,2,FALSE)="Yes",0,VLOOKUP($M20,Character!$M$45:$N$53,2,FALSE))+Character!$C$36+Character!$F$36+IF($N20="Yes",2,0)))</f>
        <v xml:space="preserve"> </v>
      </c>
      <c r="S20" s="612" t="str">
        <f>IF($M20=" "," ",IF(VLOOKUP($M20,Character!$M$45:$N$53,2,FALSE)="No"," ",VLOOKUP(VLOOKUP(S$1,Calcs!$E$110:$F$117,2,FALSE),Character!$A$9:$B$16,2,FALSE)+IF(VLOOKUP($M20,Character!$M$45:$N$53,2,FALSE)="Yes",0,VLOOKUP($M20,Character!$M$45:$N$53,2,FALSE))+Character!$C$36+Character!$F$36+IF($N20="Yes",2,0)))</f>
        <v xml:space="preserve"> </v>
      </c>
      <c r="T20" s="612" t="str">
        <f>IF($M20=" "," ",IF(VLOOKUP($M20,Character!$M$45:$N$53,2,FALSE)="No"," ",VLOOKUP(VLOOKUP(T$1,Calcs!$E$110:$F$117,2,FALSE),Character!$A$9:$B$16,2,FALSE)+IF(VLOOKUP($M20,Character!$M$45:$N$53,2,FALSE)="Yes",0,VLOOKUP($M20,Character!$M$45:$N$53,2,FALSE))+Character!$C$36+Character!$F$36+IF($N20="Yes",2,0)))</f>
        <v xml:space="preserve"> </v>
      </c>
      <c r="U20" s="612" t="str">
        <f>IF($M20=" "," ",IF(VLOOKUP($M20,Character!$M$45:$N$53,2,FALSE)="No"," ",VLOOKUP(VLOOKUP(U$1,Calcs!$E$110:$F$117,2,FALSE),Character!$A$9:$B$16,2,FALSE)+IF(VLOOKUP($M20,Character!$M$45:$N$53,2,FALSE)="Yes",0,VLOOKUP($M20,Character!$M$45:$N$53,2,FALSE))+Character!$C$36+Character!$F$36+IF($N20="Yes",2,0)))</f>
        <v xml:space="preserve"> </v>
      </c>
      <c r="V20" s="612" t="str">
        <f>IF($M20=" "," ",IF(VLOOKUP($M20,Character!$M$45:$N$53,2,FALSE)="No"," ",VLOOKUP(VLOOKUP(V$1,Calcs!$E$110:$F$117,2,FALSE),Character!$A$9:$B$16,2,FALSE)+IF(VLOOKUP($M20,Character!$M$45:$N$53,2,FALSE)="Yes",0,VLOOKUP($M20,Character!$M$45:$N$53,2,FALSE))+Character!$C$36+Character!$F$36+IF($N20="Yes",2,0)))</f>
        <v xml:space="preserve"> </v>
      </c>
      <c r="W20" s="613" t="str">
        <f>IF($M20=" "," ",IF(VLOOKUP($M20,Character!$M$45:$N$53,2,FALSE)="No"," ",VLOOKUP(VLOOKUP(W$1,Calcs!$E$110:$F$117,2,FALSE),Character!$A$9:$B$16,2,FALSE)+IF(VLOOKUP($M20,Character!$M$45:$N$53,2,FALSE)="Yes",0,VLOOKUP($M20,Character!$M$45:$N$53,2,FALSE))+Character!$C$36+Character!$F$36+IF($N20="Yes",2,0)))</f>
        <v xml:space="preserve"> </v>
      </c>
      <c r="X20" s="15"/>
      <c r="Y20" s="15"/>
    </row>
    <row r="21" spans="1:25" x14ac:dyDescent="0.2">
      <c r="A21" s="284" t="str">
        <f>Character!A64</f>
        <v>Survival</v>
      </c>
      <c r="B21" s="383" t="s">
        <v>185</v>
      </c>
      <c r="C21" s="591" t="str">
        <f>IF(ISBLANK(Character!C64)," ",Character!C64)</f>
        <v xml:space="preserve"> </v>
      </c>
      <c r="D21" s="279">
        <f>IF(VLOOKUP($A21,Character!$A$45:$C$66,2,FALSE)="No"," ",VLOOKUP(VLOOKUP(D$1,Calcs!$E$110:$F$117,2,FALSE),Character!$A$9:$B$16,2,FALSE)+IF(VLOOKUP($A21,Character!$A$45:$C$66,2,FALSE)="Yes",0,VLOOKUP($A21,Character!$A$45:$C$66,2,FALSE))+Character!$C$36+Character!$F$36+IF($B21="Yes",2,0))</f>
        <v>0</v>
      </c>
      <c r="E21" s="277">
        <f>IF(VLOOKUP($A21,Character!$A$45:$C$66,2,FALSE)="No"," ",VLOOKUP(VLOOKUP(E$1,Calcs!$E$110:$F$117,2,FALSE),Character!$A$9:$B$16,2,FALSE)+IF(VLOOKUP($A21,Character!$A$45:$C$66,2,FALSE)="Yes",0,VLOOKUP($A21,Character!$A$45:$C$66,2,FALSE))+Character!$C$36+Character!$F$36+IF($B21="Yes",2,0))</f>
        <v>0</v>
      </c>
      <c r="F21" s="277">
        <f>IF(VLOOKUP($A21,Character!$A$45:$C$66,2,FALSE)="No"," ",VLOOKUP(VLOOKUP(F$1,Calcs!$E$110:$F$117,2,FALSE),Character!$A$9:$B$16,2,FALSE)+IF(VLOOKUP($A21,Character!$A$45:$C$66,2,FALSE)="Yes",0,VLOOKUP($A21,Character!$A$45:$C$66,2,FALSE))+Character!$C$36+Character!$F$36+IF($B21="Yes",2,0))</f>
        <v>0</v>
      </c>
      <c r="G21" s="277">
        <f>IF(VLOOKUP($A21,Character!$A$45:$C$66,2,FALSE)="No"," ",VLOOKUP(VLOOKUP(G$1,Calcs!$E$110:$F$117,2,FALSE),Character!$A$9:$B$16,2,FALSE)+IF(VLOOKUP($A21,Character!$A$45:$C$66,2,FALSE)="Yes",0,VLOOKUP($A21,Character!$A$45:$C$66,2,FALSE))+Character!$C$36+Character!$F$36+IF($B21="Yes",2,0))</f>
        <v>0</v>
      </c>
      <c r="H21" s="277">
        <f>IF(VLOOKUP($A21,Character!$A$45:$C$66,2,FALSE)="No"," ",VLOOKUP(VLOOKUP(H$1,Calcs!$E$110:$F$117,2,FALSE),Character!$A$9:$B$16,2,FALSE)+IF(VLOOKUP($A21,Character!$A$45:$C$66,2,FALSE)="Yes",0,VLOOKUP($A21,Character!$A$45:$C$66,2,FALSE))+Character!$C$36+Character!$F$36+IF($B21="Yes",2,0))</f>
        <v>0</v>
      </c>
      <c r="I21" s="277">
        <f>IF(VLOOKUP($A21,Character!$A$45:$C$66,2,FALSE)="No"," ",VLOOKUP(VLOOKUP(I$1,Calcs!$E$110:$F$117,2,FALSE),Character!$A$9:$B$16,2,FALSE)+IF(VLOOKUP($A21,Character!$A$45:$C$66,2,FALSE)="Yes",0,VLOOKUP($A21,Character!$A$45:$C$66,2,FALSE))+Character!$C$36+Character!$F$36+IF($B21="Yes",2,0))</f>
        <v>0</v>
      </c>
      <c r="J21" s="277">
        <f>IF(VLOOKUP($A21,Character!$A$45:$C$66,2,FALSE)="No"," ",VLOOKUP(VLOOKUP(J$1,Calcs!$E$110:$F$117,2,FALSE),Character!$A$9:$B$16,2,FALSE)+IF(VLOOKUP($A21,Character!$A$45:$C$66,2,FALSE)="Yes",0,VLOOKUP($A21,Character!$A$45:$C$66,2,FALSE))+Character!$C$36+Character!$F$36+IF($B21="Yes",2,0))</f>
        <v>0</v>
      </c>
      <c r="K21" s="285">
        <f>IF(VLOOKUP($A21,Character!$A$45:$C$66,2,FALSE)="No"," ",VLOOKUP(VLOOKUP(K$1,Calcs!$E$110:$F$117,2,FALSE),Character!$A$9:$B$16,2,FALSE)+IF(VLOOKUP($A21,Character!$A$45:$C$66,2,FALSE)="Yes",0,VLOOKUP($A21,Character!$A$45:$C$66,2,FALSE))+Character!$C$36+Character!$F$36+IF($B21="Yes",2,0))</f>
        <v>0</v>
      </c>
      <c r="L21" s="15"/>
      <c r="M21" s="292" t="str">
        <f>Character!M52</f>
        <v xml:space="preserve"> </v>
      </c>
      <c r="N21" s="299"/>
      <c r="O21" s="595" t="str">
        <f>IF(ISBLANK(Character!O52)," ",Character!O52)</f>
        <v xml:space="preserve"> </v>
      </c>
      <c r="P21" s="611" t="str">
        <f>IF($M21=" "," ",IF(VLOOKUP($M21,Character!$M$45:$N$53,2,FALSE)="No"," ",VLOOKUP(VLOOKUP(P$1,Calcs!$E$110:$F$117,2,FALSE),Character!$A$9:$B$16,2,FALSE)+IF(VLOOKUP($M21,Character!$M$45:$N$53,2,FALSE)="Yes",0,VLOOKUP($M21,Character!$M$45:$N$53,2,FALSE))+Character!$C$36+Character!$F$36+IF($N21="Yes",2,0)))</f>
        <v xml:space="preserve"> </v>
      </c>
      <c r="Q21" s="612" t="str">
        <f>IF($M21=" "," ",IF(VLOOKUP($M21,Character!$M$45:$N$53,2,FALSE)="No"," ",VLOOKUP(VLOOKUP(Q$1,Calcs!$E$110:$F$117,2,FALSE),Character!$A$9:$B$16,2,FALSE)+IF(VLOOKUP($M21,Character!$M$45:$N$53,2,FALSE)="Yes",0,VLOOKUP($M21,Character!$M$45:$N$53,2,FALSE))+Character!$C$36+Character!$F$36+IF($N21="Yes",2,0)))</f>
        <v xml:space="preserve"> </v>
      </c>
      <c r="R21" s="612" t="str">
        <f>IF($M21=" "," ",IF(VLOOKUP($M21,Character!$M$45:$N$53,2,FALSE)="No"," ",VLOOKUP(VLOOKUP(R$1,Calcs!$E$110:$F$117,2,FALSE),Character!$A$9:$B$16,2,FALSE)+IF(VLOOKUP($M21,Character!$M$45:$N$53,2,FALSE)="Yes",0,VLOOKUP($M21,Character!$M$45:$N$53,2,FALSE))+Character!$C$36+Character!$F$36+IF($N21="Yes",2,0)))</f>
        <v xml:space="preserve"> </v>
      </c>
      <c r="S21" s="612" t="str">
        <f>IF($M21=" "," ",IF(VLOOKUP($M21,Character!$M$45:$N$53,2,FALSE)="No"," ",VLOOKUP(VLOOKUP(S$1,Calcs!$E$110:$F$117,2,FALSE),Character!$A$9:$B$16,2,FALSE)+IF(VLOOKUP($M21,Character!$M$45:$N$53,2,FALSE)="Yes",0,VLOOKUP($M21,Character!$M$45:$N$53,2,FALSE))+Character!$C$36+Character!$F$36+IF($N21="Yes",2,0)))</f>
        <v xml:space="preserve"> </v>
      </c>
      <c r="T21" s="612" t="str">
        <f>IF($M21=" "," ",IF(VLOOKUP($M21,Character!$M$45:$N$53,2,FALSE)="No"," ",VLOOKUP(VLOOKUP(T$1,Calcs!$E$110:$F$117,2,FALSE),Character!$A$9:$B$16,2,FALSE)+IF(VLOOKUP($M21,Character!$M$45:$N$53,2,FALSE)="Yes",0,VLOOKUP($M21,Character!$M$45:$N$53,2,FALSE))+Character!$C$36+Character!$F$36+IF($N21="Yes",2,0)))</f>
        <v xml:space="preserve"> </v>
      </c>
      <c r="U21" s="612" t="str">
        <f>IF($M21=" "," ",IF(VLOOKUP($M21,Character!$M$45:$N$53,2,FALSE)="No"," ",VLOOKUP(VLOOKUP(U$1,Calcs!$E$110:$F$117,2,FALSE),Character!$A$9:$B$16,2,FALSE)+IF(VLOOKUP($M21,Character!$M$45:$N$53,2,FALSE)="Yes",0,VLOOKUP($M21,Character!$M$45:$N$53,2,FALSE))+Character!$C$36+Character!$F$36+IF($N21="Yes",2,0)))</f>
        <v xml:space="preserve"> </v>
      </c>
      <c r="V21" s="612" t="str">
        <f>IF($M21=" "," ",IF(VLOOKUP($M21,Character!$M$45:$N$53,2,FALSE)="No"," ",VLOOKUP(VLOOKUP(V$1,Calcs!$E$110:$F$117,2,FALSE),Character!$A$9:$B$16,2,FALSE)+IF(VLOOKUP($M21,Character!$M$45:$N$53,2,FALSE)="Yes",0,VLOOKUP($M21,Character!$M$45:$N$53,2,FALSE))+Character!$C$36+Character!$F$36+IF($N21="Yes",2,0)))</f>
        <v xml:space="preserve"> </v>
      </c>
      <c r="W21" s="613" t="str">
        <f>IF($M21=" "," ",IF(VLOOKUP($M21,Character!$M$45:$N$53,2,FALSE)="No"," ",VLOOKUP(VLOOKUP(W$1,Calcs!$E$110:$F$117,2,FALSE),Character!$A$9:$B$16,2,FALSE)+IF(VLOOKUP($M21,Character!$M$45:$N$53,2,FALSE)="Yes",0,VLOOKUP($M21,Character!$M$45:$N$53,2,FALSE))+Character!$C$36+Character!$F$36+IF($N21="Yes",2,0)))</f>
        <v xml:space="preserve"> </v>
      </c>
      <c r="X21" s="15"/>
      <c r="Y21" s="15"/>
    </row>
    <row r="22" spans="1:25" x14ac:dyDescent="0.2">
      <c r="A22" s="284" t="str">
        <f>Character!A65</f>
        <v>Swim</v>
      </c>
      <c r="B22" s="383" t="s">
        <v>185</v>
      </c>
      <c r="C22" s="591" t="str">
        <f>IF(ISBLANK(Character!C65)," ",Character!C65)</f>
        <v xml:space="preserve"> </v>
      </c>
      <c r="D22" s="279">
        <f>IF(VLOOKUP($A22,Character!$A$45:$C$66,2,FALSE)="No"," ",VLOOKUP(VLOOKUP(D$1,Calcs!$E$110:$F$117,2,FALSE),Character!$A$9:$B$16,2,FALSE)+IF(VLOOKUP($A22,Character!$A$45:$C$66,2,FALSE)="Yes",0,VLOOKUP($A22,Character!$A$45:$C$66,2,FALSE))+Character!$C$36+Character!$F$36+IF($B22="Yes",2,0))</f>
        <v>0</v>
      </c>
      <c r="E22" s="277">
        <f>IF(VLOOKUP($A22,Character!$A$45:$C$66,2,FALSE)="No"," ",VLOOKUP(VLOOKUP(E$1,Calcs!$E$110:$F$117,2,FALSE),Character!$A$9:$B$16,2,FALSE)+IF(VLOOKUP($A22,Character!$A$45:$C$66,2,FALSE)="Yes",0,VLOOKUP($A22,Character!$A$45:$C$66,2,FALSE))+Character!$C$36+Character!$F$36+IF($B22="Yes",2,0))</f>
        <v>0</v>
      </c>
      <c r="F22" s="277">
        <f>IF(VLOOKUP($A22,Character!$A$45:$C$66,2,FALSE)="No"," ",VLOOKUP(VLOOKUP(F$1,Calcs!$E$110:$F$117,2,FALSE),Character!$A$9:$B$16,2,FALSE)+IF(VLOOKUP($A22,Character!$A$45:$C$66,2,FALSE)="Yes",0,VLOOKUP($A22,Character!$A$45:$C$66,2,FALSE))+Character!$C$36+Character!$F$36+IF($B22="Yes",2,0))</f>
        <v>0</v>
      </c>
      <c r="G22" s="277">
        <f>IF(VLOOKUP($A22,Character!$A$45:$C$66,2,FALSE)="No"," ",VLOOKUP(VLOOKUP(G$1,Calcs!$E$110:$F$117,2,FALSE),Character!$A$9:$B$16,2,FALSE)+IF(VLOOKUP($A22,Character!$A$45:$C$66,2,FALSE)="Yes",0,VLOOKUP($A22,Character!$A$45:$C$66,2,FALSE))+Character!$C$36+Character!$F$36+IF($B22="Yes",2,0))</f>
        <v>0</v>
      </c>
      <c r="H22" s="277">
        <f>IF(VLOOKUP($A22,Character!$A$45:$C$66,2,FALSE)="No"," ",VLOOKUP(VLOOKUP(H$1,Calcs!$E$110:$F$117,2,FALSE),Character!$A$9:$B$16,2,FALSE)+IF(VLOOKUP($A22,Character!$A$45:$C$66,2,FALSE)="Yes",0,VLOOKUP($A22,Character!$A$45:$C$66,2,FALSE))+Character!$C$36+Character!$F$36+IF($B22="Yes",2,0))</f>
        <v>0</v>
      </c>
      <c r="I22" s="277">
        <f>IF(VLOOKUP($A22,Character!$A$45:$C$66,2,FALSE)="No"," ",VLOOKUP(VLOOKUP(I$1,Calcs!$E$110:$F$117,2,FALSE),Character!$A$9:$B$16,2,FALSE)+IF(VLOOKUP($A22,Character!$A$45:$C$66,2,FALSE)="Yes",0,VLOOKUP($A22,Character!$A$45:$C$66,2,FALSE))+Character!$C$36+Character!$F$36+IF($B22="Yes",2,0))</f>
        <v>0</v>
      </c>
      <c r="J22" s="277">
        <f>IF(VLOOKUP($A22,Character!$A$45:$C$66,2,FALSE)="No"," ",VLOOKUP(VLOOKUP(J$1,Calcs!$E$110:$F$117,2,FALSE),Character!$A$9:$B$16,2,FALSE)+IF(VLOOKUP($A22,Character!$A$45:$C$66,2,FALSE)="Yes",0,VLOOKUP($A22,Character!$A$45:$C$66,2,FALSE))+Character!$C$36+Character!$F$36+IF($B22="Yes",2,0))</f>
        <v>0</v>
      </c>
      <c r="K22" s="285">
        <f>IF(VLOOKUP($A22,Character!$A$45:$C$66,2,FALSE)="No"," ",VLOOKUP(VLOOKUP(K$1,Calcs!$E$110:$F$117,2,FALSE),Character!$A$9:$B$16,2,FALSE)+IF(VLOOKUP($A22,Character!$A$45:$C$66,2,FALSE)="Yes",0,VLOOKUP($A22,Character!$A$45:$C$66,2,FALSE))+Character!$C$36+Character!$F$36+IF($B22="Yes",2,0))</f>
        <v>0</v>
      </c>
      <c r="L22" s="15"/>
      <c r="M22" s="293" t="str">
        <f>Character!M53</f>
        <v xml:space="preserve"> </v>
      </c>
      <c r="N22" s="300"/>
      <c r="O22" s="596" t="str">
        <f>IF(ISBLANK(Character!O53)," ",Character!O53)</f>
        <v xml:space="preserve"> </v>
      </c>
      <c r="P22" s="614" t="str">
        <f>IF($M22=" "," ",IF(VLOOKUP($M22,Character!$M$45:$N$53,2,FALSE)="No"," ",VLOOKUP(VLOOKUP(P$1,Calcs!$E$110:$F$117,2,FALSE),Character!$A$9:$B$16,2,FALSE)+IF(VLOOKUP($M22,Character!$M$45:$N$53,2,FALSE)="Yes",0,VLOOKUP($M22,Character!$M$45:$N$53,2,FALSE))+Character!$C$36+Character!$F$36+IF($N22="Yes",2,0)))</f>
        <v xml:space="preserve"> </v>
      </c>
      <c r="Q22" s="615" t="str">
        <f>IF($M22=" "," ",IF(VLOOKUP($M22,Character!$M$45:$N$53,2,FALSE)="No"," ",VLOOKUP(VLOOKUP(Q$1,Calcs!$E$110:$F$117,2,FALSE),Character!$A$9:$B$16,2,FALSE)+IF(VLOOKUP($M22,Character!$M$45:$N$53,2,FALSE)="Yes",0,VLOOKUP($M22,Character!$M$45:$N$53,2,FALSE))+Character!$C$36+Character!$F$36+IF($N22="Yes",2,0)))</f>
        <v xml:space="preserve"> </v>
      </c>
      <c r="R22" s="615" t="str">
        <f>IF($M22=" "," ",IF(VLOOKUP($M22,Character!$M$45:$N$53,2,FALSE)="No"," ",VLOOKUP(VLOOKUP(R$1,Calcs!$E$110:$F$117,2,FALSE),Character!$A$9:$B$16,2,FALSE)+IF(VLOOKUP($M22,Character!$M$45:$N$53,2,FALSE)="Yes",0,VLOOKUP($M22,Character!$M$45:$N$53,2,FALSE))+Character!$C$36+Character!$F$36+IF($N22="Yes",2,0)))</f>
        <v xml:space="preserve"> </v>
      </c>
      <c r="S22" s="615" t="str">
        <f>IF($M22=" "," ",IF(VLOOKUP($M22,Character!$M$45:$N$53,2,FALSE)="No"," ",VLOOKUP(VLOOKUP(S$1,Calcs!$E$110:$F$117,2,FALSE),Character!$A$9:$B$16,2,FALSE)+IF(VLOOKUP($M22,Character!$M$45:$N$53,2,FALSE)="Yes",0,VLOOKUP($M22,Character!$M$45:$N$53,2,FALSE))+Character!$C$36+Character!$F$36+IF($N22="Yes",2,0)))</f>
        <v xml:space="preserve"> </v>
      </c>
      <c r="T22" s="615" t="str">
        <f>IF($M22=" "," ",IF(VLOOKUP($M22,Character!$M$45:$N$53,2,FALSE)="No"," ",VLOOKUP(VLOOKUP(T$1,Calcs!$E$110:$F$117,2,FALSE),Character!$A$9:$B$16,2,FALSE)+IF(VLOOKUP($M22,Character!$M$45:$N$53,2,FALSE)="Yes",0,VLOOKUP($M22,Character!$M$45:$N$53,2,FALSE))+Character!$C$36+Character!$F$36+IF($N22="Yes",2,0)))</f>
        <v xml:space="preserve"> </v>
      </c>
      <c r="U22" s="615" t="str">
        <f>IF($M22=" "," ",IF(VLOOKUP($M22,Character!$M$45:$N$53,2,FALSE)="No"," ",VLOOKUP(VLOOKUP(U$1,Calcs!$E$110:$F$117,2,FALSE),Character!$A$9:$B$16,2,FALSE)+IF(VLOOKUP($M22,Character!$M$45:$N$53,2,FALSE)="Yes",0,VLOOKUP($M22,Character!$M$45:$N$53,2,FALSE))+Character!$C$36+Character!$F$36+IF($N22="Yes",2,0)))</f>
        <v xml:space="preserve"> </v>
      </c>
      <c r="V22" s="615" t="str">
        <f>IF($M22=" "," ",IF(VLOOKUP($M22,Character!$M$45:$N$53,2,FALSE)="No"," ",VLOOKUP(VLOOKUP(V$1,Calcs!$E$110:$F$117,2,FALSE),Character!$A$9:$B$16,2,FALSE)+IF(VLOOKUP($M22,Character!$M$45:$N$53,2,FALSE)="Yes",0,VLOOKUP($M22,Character!$M$45:$N$53,2,FALSE))+Character!$C$36+Character!$F$36+IF($N22="Yes",2,0)))</f>
        <v xml:space="preserve"> </v>
      </c>
      <c r="W22" s="616" t="str">
        <f>IF($M22=" "," ",IF(VLOOKUP($M22,Character!$M$45:$N$53,2,FALSE)="No"," ",VLOOKUP(VLOOKUP(W$1,Calcs!$E$110:$F$117,2,FALSE),Character!$A$9:$B$16,2,FALSE)+IF(VLOOKUP($M22,Character!$M$45:$N$53,2,FALSE)="Yes",0,VLOOKUP($M22,Character!$M$45:$N$53,2,FALSE))+Character!$C$36+Character!$F$36+IF($N22="Yes",2,0)))</f>
        <v xml:space="preserve"> </v>
      </c>
      <c r="X22" s="15"/>
      <c r="Y22" s="15"/>
    </row>
    <row r="23" spans="1:25" x14ac:dyDescent="0.2">
      <c r="A23" s="286" t="str">
        <f>Character!A66</f>
        <v>Teaching</v>
      </c>
      <c r="B23" s="384" t="s">
        <v>185</v>
      </c>
      <c r="C23" s="592" t="str">
        <f>IF(ISBLANK(Character!C66)," ",Character!C66)</f>
        <v xml:space="preserve"> </v>
      </c>
      <c r="D23" s="280">
        <f>IF(VLOOKUP($A23,Character!$A$45:$C$66,2,FALSE)="No"," ",VLOOKUP(VLOOKUP(D$1,Calcs!$E$110:$F$117,2,FALSE),Character!$A$9:$B$16,2,FALSE)+IF(VLOOKUP($A23,Character!$A$45:$C$66,2,FALSE)="Yes",0,VLOOKUP($A23,Character!$A$45:$C$66,2,FALSE))+Character!$C$36+Character!$F$36+IF($B23="Yes",2,0))</f>
        <v>0</v>
      </c>
      <c r="E23" s="278">
        <f>IF(VLOOKUP($A23,Character!$A$45:$C$66,2,FALSE)="No"," ",VLOOKUP(VLOOKUP(E$1,Calcs!$E$110:$F$117,2,FALSE),Character!$A$9:$B$16,2,FALSE)+IF(VLOOKUP($A23,Character!$A$45:$C$66,2,FALSE)="Yes",0,VLOOKUP($A23,Character!$A$45:$C$66,2,FALSE))+Character!$C$36+Character!$F$36+IF($B23="Yes",2,0))</f>
        <v>0</v>
      </c>
      <c r="F23" s="278">
        <f>IF(VLOOKUP($A23,Character!$A$45:$C$66,2,FALSE)="No"," ",VLOOKUP(VLOOKUP(F$1,Calcs!$E$110:$F$117,2,FALSE),Character!$A$9:$B$16,2,FALSE)+IF(VLOOKUP($A23,Character!$A$45:$C$66,2,FALSE)="Yes",0,VLOOKUP($A23,Character!$A$45:$C$66,2,FALSE))+Character!$C$36+Character!$F$36+IF($B23="Yes",2,0))</f>
        <v>0</v>
      </c>
      <c r="G23" s="278">
        <f>IF(VLOOKUP($A23,Character!$A$45:$C$66,2,FALSE)="No"," ",VLOOKUP(VLOOKUP(G$1,Calcs!$E$110:$F$117,2,FALSE),Character!$A$9:$B$16,2,FALSE)+IF(VLOOKUP($A23,Character!$A$45:$C$66,2,FALSE)="Yes",0,VLOOKUP($A23,Character!$A$45:$C$66,2,FALSE))+Character!$C$36+Character!$F$36+IF($B23="Yes",2,0))</f>
        <v>0</v>
      </c>
      <c r="H23" s="278">
        <f>IF(VLOOKUP($A23,Character!$A$45:$C$66,2,FALSE)="No"," ",VLOOKUP(VLOOKUP(H$1,Calcs!$E$110:$F$117,2,FALSE),Character!$A$9:$B$16,2,FALSE)+IF(VLOOKUP($A23,Character!$A$45:$C$66,2,FALSE)="Yes",0,VLOOKUP($A23,Character!$A$45:$C$66,2,FALSE))+Character!$C$36+Character!$F$36+IF($B23="Yes",2,0))</f>
        <v>0</v>
      </c>
      <c r="I23" s="278">
        <f>IF(VLOOKUP($A23,Character!$A$45:$C$66,2,FALSE)="No"," ",VLOOKUP(VLOOKUP(I$1,Calcs!$E$110:$F$117,2,FALSE),Character!$A$9:$B$16,2,FALSE)+IF(VLOOKUP($A23,Character!$A$45:$C$66,2,FALSE)="Yes",0,VLOOKUP($A23,Character!$A$45:$C$66,2,FALSE))+Character!$C$36+Character!$F$36+IF($B23="Yes",2,0))</f>
        <v>0</v>
      </c>
      <c r="J23" s="278">
        <f>IF(VLOOKUP($A23,Character!$A$45:$C$66,2,FALSE)="No"," ",VLOOKUP(VLOOKUP(J$1,Calcs!$E$110:$F$117,2,FALSE),Character!$A$9:$B$16,2,FALSE)+IF(VLOOKUP($A23,Character!$A$45:$C$66,2,FALSE)="Yes",0,VLOOKUP($A23,Character!$A$45:$C$66,2,FALSE))+Character!$C$36+Character!$F$36+IF($B23="Yes",2,0))</f>
        <v>0</v>
      </c>
      <c r="K23" s="287">
        <f>IF(VLOOKUP($A23,Character!$A$45:$C$66,2,FALSE)="No"," ",VLOOKUP(VLOOKUP(K$1,Calcs!$E$110:$F$117,2,FALSE),Character!$A$9:$B$16,2,FALSE)+IF(VLOOKUP($A23,Character!$A$45:$C$66,2,FALSE)="Yes",0,VLOOKUP($A23,Character!$A$45:$C$66,2,FALSE))+Character!$C$36+Character!$F$36+IF($B23="Yes",2,0))</f>
        <v>0</v>
      </c>
      <c r="L23" s="15"/>
      <c r="M23" s="600" t="str">
        <f>Character!M56</f>
        <v xml:space="preserve"> </v>
      </c>
      <c r="N23" s="599"/>
      <c r="O23" s="597" t="str">
        <f>IF(ISBLANK(Character!O56)," ",Character!O56)</f>
        <v xml:space="preserve"> </v>
      </c>
      <c r="P23" s="589" t="str">
        <f>IF($M23=" "," ",IF(VLOOKUP($M23,Character!$M$56:$N$66,2,FALSE)="No"," ",VLOOKUP(VLOOKUP(P$1,Calcs!$E$110:$F$117,2,FALSE),Character!$A$9:$B$16,2,FALSE)+IF(VLOOKUP($M23,Character!$M$56:$N$66,2,FALSE)="Yes",0,VLOOKUP($M23,Character!$M$56:$N$66,2,FALSE))+Character!$C$36+Character!$F$36+IF($N23="Yes",2,0)))</f>
        <v xml:space="preserve"> </v>
      </c>
      <c r="Q23" s="609" t="str">
        <f>IF($M23=" "," ",IF(VLOOKUP($M23,Character!$M$56:$N$66,2,FALSE)="No"," ",VLOOKUP(VLOOKUP(Q$1,Calcs!$E$110:$F$117,2,FALSE),Character!$A$9:$B$16,2,FALSE)+IF(VLOOKUP($M23,Character!$M$56:$N$66,2,FALSE)="Yes",0,VLOOKUP($M23,Character!$M$56:$N$66,2,FALSE))+Character!$C$36+Character!$F$36+IF($N23="Yes",2,0)))</f>
        <v xml:space="preserve"> </v>
      </c>
      <c r="R23" s="609" t="str">
        <f>IF($M23=" "," ",IF(VLOOKUP($M23,Character!$M$56:$N$66,2,FALSE)="No"," ",VLOOKUP(VLOOKUP(R$1,Calcs!$E$110:$F$117,2,FALSE),Character!$A$9:$B$16,2,FALSE)+IF(VLOOKUP($M23,Character!$M$56:$N$66,2,FALSE)="Yes",0,VLOOKUP($M23,Character!$M$56:$N$66,2,FALSE))+Character!$C$36+Character!$F$36+IF($N23="Yes",2,0)))</f>
        <v xml:space="preserve"> </v>
      </c>
      <c r="S23" s="609" t="str">
        <f>IF($M23=" "," ",IF(VLOOKUP($M23,Character!$M$56:$N$66,2,FALSE)="No"," ",VLOOKUP(VLOOKUP(S$1,Calcs!$E$110:$F$117,2,FALSE),Character!$A$9:$B$16,2,FALSE)+IF(VLOOKUP($M23,Character!$M$56:$N$66,2,FALSE)="Yes",0,VLOOKUP($M23,Character!$M$56:$N$66,2,FALSE))+Character!$C$36+Character!$F$36+IF($N23="Yes",2,0)))</f>
        <v xml:space="preserve"> </v>
      </c>
      <c r="T23" s="609" t="str">
        <f>IF($M23=" "," ",IF(VLOOKUP($M23,Character!$M$56:$N$66,2,FALSE)="No"," ",VLOOKUP(VLOOKUP(T$1,Calcs!$E$110:$F$117,2,FALSE),Character!$A$9:$B$16,2,FALSE)+IF(VLOOKUP($M23,Character!$M$56:$N$66,2,FALSE)="Yes",0,VLOOKUP($M23,Character!$M$56:$N$66,2,FALSE))+Character!$C$36+Character!$F$36+IF($N23="Yes",2,0)))</f>
        <v xml:space="preserve"> </v>
      </c>
      <c r="U23" s="609" t="str">
        <f>IF($M23=" "," ",IF(VLOOKUP($M23,Character!$M$56:$N$66,2,FALSE)="No"," ",VLOOKUP(VLOOKUP(U$1,Calcs!$E$110:$F$117,2,FALSE),Character!$A$9:$B$16,2,FALSE)+IF(VLOOKUP($M23,Character!$M$56:$N$66,2,FALSE)="Yes",0,VLOOKUP($M23,Character!$M$56:$N$66,2,FALSE))+Character!$C$36+Character!$F$36+IF($N23="Yes",2,0)))</f>
        <v xml:space="preserve"> </v>
      </c>
      <c r="V23" s="609" t="str">
        <f>IF($M23=" "," ",IF(VLOOKUP($M23,Character!$M$56:$N$66,2,FALSE)="No"," ",VLOOKUP(VLOOKUP(V$1,Calcs!$E$110:$F$117,2,FALSE),Character!$A$9:$B$16,2,FALSE)+IF(VLOOKUP($M23,Character!$M$56:$N$66,2,FALSE)="Yes",0,VLOOKUP($M23,Character!$M$56:$N$66,2,FALSE))+Character!$C$36+Character!$F$36+IF($N23="Yes",2,0)))</f>
        <v xml:space="preserve"> </v>
      </c>
      <c r="W23" s="610" t="str">
        <f>IF($M23=" "," ",IF(VLOOKUP($M23,Character!$M$56:$N$66,2,FALSE)="No"," ",VLOOKUP(VLOOKUP(W$1,Calcs!$E$110:$F$117,2,FALSE),Character!$A$9:$B$16,2,FALSE)+IF(VLOOKUP($M23,Character!$M$56:$N$66,2,FALSE)="Yes",0,VLOOKUP($M23,Character!$M$56:$N$66,2,FALSE))+Character!$C$36+Character!$F$36+IF($N23="Yes",2,0)))</f>
        <v xml:space="preserve"> </v>
      </c>
      <c r="X23" s="15"/>
      <c r="Y23" s="15"/>
    </row>
    <row r="24" spans="1:25" x14ac:dyDescent="0.2">
      <c r="A24" s="288" t="str">
        <f>Character!E45</f>
        <v>Artes Liberales</v>
      </c>
      <c r="B24" s="617" t="s">
        <v>185</v>
      </c>
      <c r="C24" s="618" t="str">
        <f>IF(ISBLANK(Character!G45)," ",Character!G45)</f>
        <v xml:space="preserve"> </v>
      </c>
      <c r="D24" s="589" t="str">
        <f>IF(VLOOKUP($A24,Character!$E$45:$F$50,2,FALSE)="No"," ",VLOOKUP(VLOOKUP(D$1,Calcs!$E$110:$F$117,2,FALSE),Character!$A$9:$B$16,2,FALSE)+IF(VLOOKUP($A24,Character!$E$45:$F$50,2,FALSE)="Yes",0,VLOOKUP($A24,Character!$E$45:$F$50,2,FALSE))+Character!$C$36+Character!$F$36+IF($B24="Yes",2,0))</f>
        <v xml:space="preserve"> </v>
      </c>
      <c r="E24" s="603" t="str">
        <f>IF(VLOOKUP($A24,Character!$E$45:$F$50,2,FALSE)="No"," ",VLOOKUP(VLOOKUP(E$1,Calcs!$E$110:$F$117,2,FALSE),Character!$A$9:$B$16,2,FALSE)+IF(VLOOKUP($A24,Character!$E$45:$F$50,2,FALSE)="Yes",0,VLOOKUP($A24,Character!$E$45:$F$50,2,FALSE))+Character!$C$36+Character!$F$36+IF($B24="Yes",2,0))</f>
        <v xml:space="preserve"> </v>
      </c>
      <c r="F24" s="603" t="str">
        <f>IF(VLOOKUP($A24,Character!$E$45:$F$50,2,FALSE)="No"," ",VLOOKUP(VLOOKUP(F$1,Calcs!$E$110:$F$117,2,FALSE),Character!$A$9:$B$16,2,FALSE)+IF(VLOOKUP($A24,Character!$E$45:$F$50,2,FALSE)="Yes",0,VLOOKUP($A24,Character!$E$45:$F$50,2,FALSE))+Character!$C$36+Character!$F$36+IF($B24="Yes",2,0))</f>
        <v xml:space="preserve"> </v>
      </c>
      <c r="G24" s="603" t="str">
        <f>IF(VLOOKUP($A24,Character!$E$45:$F$50,2,FALSE)="No"," ",VLOOKUP(VLOOKUP(G$1,Calcs!$E$110:$F$117,2,FALSE),Character!$A$9:$B$16,2,FALSE)+IF(VLOOKUP($A24,Character!$E$45:$F$50,2,FALSE)="Yes",0,VLOOKUP($A24,Character!$E$45:$F$50,2,FALSE))+Character!$C$36+Character!$F$36+IF($B24="Yes",2,0))</f>
        <v xml:space="preserve"> </v>
      </c>
      <c r="H24" s="603" t="str">
        <f>IF(VLOOKUP($A24,Character!$E$45:$F$50,2,FALSE)="No"," ",VLOOKUP(VLOOKUP(H$1,Calcs!$E$110:$F$117,2,FALSE),Character!$A$9:$B$16,2,FALSE)+IF(VLOOKUP($A24,Character!$E$45:$F$50,2,FALSE)="Yes",0,VLOOKUP($A24,Character!$E$45:$F$50,2,FALSE))+Character!$C$36+Character!$F$36+IF($B24="Yes",2,0))</f>
        <v xml:space="preserve"> </v>
      </c>
      <c r="I24" s="603" t="str">
        <f>IF(VLOOKUP($A24,Character!$E$45:$F$50,2,FALSE)="No"," ",VLOOKUP(VLOOKUP(I$1,Calcs!$E$110:$F$117,2,FALSE),Character!$A$9:$B$16,2,FALSE)+IF(VLOOKUP($A24,Character!$E$45:$F$50,2,FALSE)="Yes",0,VLOOKUP($A24,Character!$E$45:$F$50,2,FALSE))+Character!$C$36+Character!$F$36+IF($B24="Yes",2,0))</f>
        <v xml:space="preserve"> </v>
      </c>
      <c r="J24" s="603" t="str">
        <f>IF(VLOOKUP($A24,Character!$E$45:$F$50,2,FALSE)="No"," ",VLOOKUP(VLOOKUP(J$1,Calcs!$E$110:$F$117,2,FALSE),Character!$A$9:$B$16,2,FALSE)+IF(VLOOKUP($A24,Character!$E$45:$F$50,2,FALSE)="Yes",0,VLOOKUP($A24,Character!$E$45:$F$50,2,FALSE))+Character!$C$36+Character!$F$36+IF($B24="Yes",2,0))</f>
        <v xml:space="preserve"> </v>
      </c>
      <c r="K24" s="604" t="str">
        <f>IF(VLOOKUP($A24,Character!$E$45:$F$50,2,FALSE)="No"," ",VLOOKUP(VLOOKUP(K$1,Calcs!$E$110:$F$117,2,FALSE),Character!$A$9:$B$16,2,FALSE)+IF(VLOOKUP($A24,Character!$E$45:$F$50,2,FALSE)="Yes",0,VLOOKUP($A24,Character!$E$45:$F$50,2,FALSE))+Character!$C$36+Character!$F$36+IF($B24="Yes",2,0))</f>
        <v xml:space="preserve"> </v>
      </c>
      <c r="L24" s="15"/>
      <c r="M24" s="292" t="str">
        <f>Character!M57</f>
        <v xml:space="preserve"> </v>
      </c>
      <c r="N24" s="299"/>
      <c r="O24" s="595" t="str">
        <f>IF(ISBLANK(Character!O57)," ",Character!O57)</f>
        <v xml:space="preserve"> </v>
      </c>
      <c r="P24" s="611" t="str">
        <f>IF($M24=" "," ",IF(VLOOKUP($M24,Character!$M$56:$N$66,2,FALSE)="No"," ",VLOOKUP(VLOOKUP(P$1,Calcs!$E$110:$F$117,2,FALSE),Character!$A$9:$B$16,2,FALSE)+IF(VLOOKUP($M24,Character!$M$56:$N$66,2,FALSE)="Yes",0,VLOOKUP($M24,Character!$M$56:$N$66,2,FALSE))+Character!$C$36+Character!$F$36+IF($N24="Yes",2,0)))</f>
        <v xml:space="preserve"> </v>
      </c>
      <c r="Q24" s="612" t="str">
        <f>IF($M24=" "," ",IF(VLOOKUP($M24,Character!$M$56:$N$66,2,FALSE)="No"," ",VLOOKUP(VLOOKUP(Q$1,Calcs!$E$110:$F$117,2,FALSE),Character!$A$9:$B$16,2,FALSE)+IF(VLOOKUP($M24,Character!$M$56:$N$66,2,FALSE)="Yes",0,VLOOKUP($M24,Character!$M$56:$N$66,2,FALSE))+Character!$C$36+Character!$F$36+IF($N24="Yes",2,0)))</f>
        <v xml:space="preserve"> </v>
      </c>
      <c r="R24" s="612" t="str">
        <f>IF($M24=" "," ",IF(VLOOKUP($M24,Character!$M$56:$N$66,2,FALSE)="No"," ",VLOOKUP(VLOOKUP(R$1,Calcs!$E$110:$F$117,2,FALSE),Character!$A$9:$B$16,2,FALSE)+IF(VLOOKUP($M24,Character!$M$56:$N$66,2,FALSE)="Yes",0,VLOOKUP($M24,Character!$M$56:$N$66,2,FALSE))+Character!$C$36+Character!$F$36+IF($N24="Yes",2,0)))</f>
        <v xml:space="preserve"> </v>
      </c>
      <c r="S24" s="612" t="str">
        <f>IF($M24=" "," ",IF(VLOOKUP($M24,Character!$M$56:$N$66,2,FALSE)="No"," ",VLOOKUP(VLOOKUP(S$1,Calcs!$E$110:$F$117,2,FALSE),Character!$A$9:$B$16,2,FALSE)+IF(VLOOKUP($M24,Character!$M$56:$N$66,2,FALSE)="Yes",0,VLOOKUP($M24,Character!$M$56:$N$66,2,FALSE))+Character!$C$36+Character!$F$36+IF($N24="Yes",2,0)))</f>
        <v xml:space="preserve"> </v>
      </c>
      <c r="T24" s="612" t="str">
        <f>IF($M24=" "," ",IF(VLOOKUP($M24,Character!$M$56:$N$66,2,FALSE)="No"," ",VLOOKUP(VLOOKUP(T$1,Calcs!$E$110:$F$117,2,FALSE),Character!$A$9:$B$16,2,FALSE)+IF(VLOOKUP($M24,Character!$M$56:$N$66,2,FALSE)="Yes",0,VLOOKUP($M24,Character!$M$56:$N$66,2,FALSE))+Character!$C$36+Character!$F$36+IF($N24="Yes",2,0)))</f>
        <v xml:space="preserve"> </v>
      </c>
      <c r="U24" s="612" t="str">
        <f>IF($M24=" "," ",IF(VLOOKUP($M24,Character!$M$56:$N$66,2,FALSE)="No"," ",VLOOKUP(VLOOKUP(U$1,Calcs!$E$110:$F$117,2,FALSE),Character!$A$9:$B$16,2,FALSE)+IF(VLOOKUP($M24,Character!$M$56:$N$66,2,FALSE)="Yes",0,VLOOKUP($M24,Character!$M$56:$N$66,2,FALSE))+Character!$C$36+Character!$F$36+IF($N24="Yes",2,0)))</f>
        <v xml:space="preserve"> </v>
      </c>
      <c r="V24" s="612" t="str">
        <f>IF($M24=" "," ",IF(VLOOKUP($M24,Character!$M$56:$N$66,2,FALSE)="No"," ",VLOOKUP(VLOOKUP(V$1,Calcs!$E$110:$F$117,2,FALSE),Character!$A$9:$B$16,2,FALSE)+IF(VLOOKUP($M24,Character!$M$56:$N$66,2,FALSE)="Yes",0,VLOOKUP($M24,Character!$M$56:$N$66,2,FALSE))+Character!$C$36+Character!$F$36+IF($N24="Yes",2,0)))</f>
        <v xml:space="preserve"> </v>
      </c>
      <c r="W24" s="613" t="str">
        <f>IF($M24=" "," ",IF(VLOOKUP($M24,Character!$M$56:$N$66,2,FALSE)="No"," ",VLOOKUP(VLOOKUP(W$1,Calcs!$E$110:$F$117,2,FALSE),Character!$A$9:$B$16,2,FALSE)+IF(VLOOKUP($M24,Character!$M$56:$N$66,2,FALSE)="Yes",0,VLOOKUP($M24,Character!$M$56:$N$66,2,FALSE))+Character!$C$36+Character!$F$36+IF($N24="Yes",2,0)))</f>
        <v xml:space="preserve"> </v>
      </c>
      <c r="X24" s="15"/>
      <c r="Y24" s="15"/>
    </row>
    <row r="25" spans="1:25" x14ac:dyDescent="0.2">
      <c r="A25" s="289" t="str">
        <f>Character!E46</f>
        <v>Civil and Canon Law</v>
      </c>
      <c r="B25" s="383" t="s">
        <v>185</v>
      </c>
      <c r="C25" s="591" t="str">
        <f>IF(ISBLANK(Character!G46)," ",Character!G46)</f>
        <v xml:space="preserve"> </v>
      </c>
      <c r="D25" s="279" t="str">
        <f>IF(VLOOKUP($A25,Character!$E$45:$F$50,2,FALSE)="No"," ",VLOOKUP(VLOOKUP(D$1,Calcs!$E$110:$F$117,2,FALSE),Character!$A$9:$B$16,2,FALSE)+IF(VLOOKUP($A25,Character!$E$45:$F$50,2,FALSE)="Yes",0,VLOOKUP($A25,Character!$E$45:$F$50,2,FALSE))+Character!$C$36+Character!$F$36+IF($B25="Yes",2,0))</f>
        <v xml:space="preserve"> </v>
      </c>
      <c r="E25" s="277" t="str">
        <f>IF(VLOOKUP($A25,Character!$E$45:$F$50,2,FALSE)="No"," ",VLOOKUP(VLOOKUP(E$1,Calcs!$E$110:$F$117,2,FALSE),Character!$A$9:$B$16,2,FALSE)+IF(VLOOKUP($A25,Character!$E$45:$F$50,2,FALSE)="Yes",0,VLOOKUP($A25,Character!$E$45:$F$50,2,FALSE))+Character!$C$36+Character!$F$36+IF($B25="Yes",2,0))</f>
        <v xml:space="preserve"> </v>
      </c>
      <c r="F25" s="277" t="str">
        <f>IF(VLOOKUP($A25,Character!$E$45:$F$50,2,FALSE)="No"," ",VLOOKUP(VLOOKUP(F$1,Calcs!$E$110:$F$117,2,FALSE),Character!$A$9:$B$16,2,FALSE)+IF(VLOOKUP($A25,Character!$E$45:$F$50,2,FALSE)="Yes",0,VLOOKUP($A25,Character!$E$45:$F$50,2,FALSE))+Character!$C$36+Character!$F$36+IF($B25="Yes",2,0))</f>
        <v xml:space="preserve"> </v>
      </c>
      <c r="G25" s="277" t="str">
        <f>IF(VLOOKUP($A25,Character!$E$45:$F$50,2,FALSE)="No"," ",VLOOKUP(VLOOKUP(G$1,Calcs!$E$110:$F$117,2,FALSE),Character!$A$9:$B$16,2,FALSE)+IF(VLOOKUP($A25,Character!$E$45:$F$50,2,FALSE)="Yes",0,VLOOKUP($A25,Character!$E$45:$F$50,2,FALSE))+Character!$C$36+Character!$F$36+IF($B25="Yes",2,0))</f>
        <v xml:space="preserve"> </v>
      </c>
      <c r="H25" s="277" t="str">
        <f>IF(VLOOKUP($A25,Character!$E$45:$F$50,2,FALSE)="No"," ",VLOOKUP(VLOOKUP(H$1,Calcs!$E$110:$F$117,2,FALSE),Character!$A$9:$B$16,2,FALSE)+IF(VLOOKUP($A25,Character!$E$45:$F$50,2,FALSE)="Yes",0,VLOOKUP($A25,Character!$E$45:$F$50,2,FALSE))+Character!$C$36+Character!$F$36+IF($B25="Yes",2,0))</f>
        <v xml:space="preserve"> </v>
      </c>
      <c r="I25" s="277" t="str">
        <f>IF(VLOOKUP($A25,Character!$E$45:$F$50,2,FALSE)="No"," ",VLOOKUP(VLOOKUP(I$1,Calcs!$E$110:$F$117,2,FALSE),Character!$A$9:$B$16,2,FALSE)+IF(VLOOKUP($A25,Character!$E$45:$F$50,2,FALSE)="Yes",0,VLOOKUP($A25,Character!$E$45:$F$50,2,FALSE))+Character!$C$36+Character!$F$36+IF($B25="Yes",2,0))</f>
        <v xml:space="preserve"> </v>
      </c>
      <c r="J25" s="277" t="str">
        <f>IF(VLOOKUP($A25,Character!$E$45:$F$50,2,FALSE)="No"," ",VLOOKUP(VLOOKUP(J$1,Calcs!$E$110:$F$117,2,FALSE),Character!$A$9:$B$16,2,FALSE)+IF(VLOOKUP($A25,Character!$E$45:$F$50,2,FALSE)="Yes",0,VLOOKUP($A25,Character!$E$45:$F$50,2,FALSE))+Character!$C$36+Character!$F$36+IF($B25="Yes",2,0))</f>
        <v xml:space="preserve"> </v>
      </c>
      <c r="K25" s="285" t="str">
        <f>IF(VLOOKUP($A25,Character!$E$45:$F$50,2,FALSE)="No"," ",VLOOKUP(VLOOKUP(K$1,Calcs!$E$110:$F$117,2,FALSE),Character!$A$9:$B$16,2,FALSE)+IF(VLOOKUP($A25,Character!$E$45:$F$50,2,FALSE)="Yes",0,VLOOKUP($A25,Character!$E$45:$F$50,2,FALSE))+Character!$C$36+Character!$F$36+IF($B25="Yes",2,0))</f>
        <v xml:space="preserve"> </v>
      </c>
      <c r="L25" s="15"/>
      <c r="M25" s="292" t="str">
        <f>Character!M58</f>
        <v xml:space="preserve"> </v>
      </c>
      <c r="N25" s="299"/>
      <c r="O25" s="595" t="str">
        <f>IF(ISBLANK(Character!O58)," ",Character!O58)</f>
        <v xml:space="preserve"> </v>
      </c>
      <c r="P25" s="611" t="str">
        <f>IF($M25=" "," ",IF(VLOOKUP($M25,Character!$M$56:$N$66,2,FALSE)="No"," ",VLOOKUP(VLOOKUP(P$1,Calcs!$E$110:$F$117,2,FALSE),Character!$A$9:$B$16,2,FALSE)+IF(VLOOKUP($M25,Character!$M$56:$N$66,2,FALSE)="Yes",0,VLOOKUP($M25,Character!$M$56:$N$66,2,FALSE))+Character!$C$36+Character!$F$36+IF($N25="Yes",2,0)))</f>
        <v xml:space="preserve"> </v>
      </c>
      <c r="Q25" s="612" t="str">
        <f>IF($M25=" "," ",IF(VLOOKUP($M25,Character!$M$56:$N$66,2,FALSE)="No"," ",VLOOKUP(VLOOKUP(Q$1,Calcs!$E$110:$F$117,2,FALSE),Character!$A$9:$B$16,2,FALSE)+IF(VLOOKUP($M25,Character!$M$56:$N$66,2,FALSE)="Yes",0,VLOOKUP($M25,Character!$M$56:$N$66,2,FALSE))+Character!$C$36+Character!$F$36+IF($N25="Yes",2,0)))</f>
        <v xml:space="preserve"> </v>
      </c>
      <c r="R25" s="612" t="str">
        <f>IF($M25=" "," ",IF(VLOOKUP($M25,Character!$M$56:$N$66,2,FALSE)="No"," ",VLOOKUP(VLOOKUP(R$1,Calcs!$E$110:$F$117,2,FALSE),Character!$A$9:$B$16,2,FALSE)+IF(VLOOKUP($M25,Character!$M$56:$N$66,2,FALSE)="Yes",0,VLOOKUP($M25,Character!$M$56:$N$66,2,FALSE))+Character!$C$36+Character!$F$36+IF($N25="Yes",2,0)))</f>
        <v xml:space="preserve"> </v>
      </c>
      <c r="S25" s="612" t="str">
        <f>IF($M25=" "," ",IF(VLOOKUP($M25,Character!$M$56:$N$66,2,FALSE)="No"," ",VLOOKUP(VLOOKUP(S$1,Calcs!$E$110:$F$117,2,FALSE),Character!$A$9:$B$16,2,FALSE)+IF(VLOOKUP($M25,Character!$M$56:$N$66,2,FALSE)="Yes",0,VLOOKUP($M25,Character!$M$56:$N$66,2,FALSE))+Character!$C$36+Character!$F$36+IF($N25="Yes",2,0)))</f>
        <v xml:space="preserve"> </v>
      </c>
      <c r="T25" s="612" t="str">
        <f>IF($M25=" "," ",IF(VLOOKUP($M25,Character!$M$56:$N$66,2,FALSE)="No"," ",VLOOKUP(VLOOKUP(T$1,Calcs!$E$110:$F$117,2,FALSE),Character!$A$9:$B$16,2,FALSE)+IF(VLOOKUP($M25,Character!$M$56:$N$66,2,FALSE)="Yes",0,VLOOKUP($M25,Character!$M$56:$N$66,2,FALSE))+Character!$C$36+Character!$F$36+IF($N25="Yes",2,0)))</f>
        <v xml:space="preserve"> </v>
      </c>
      <c r="U25" s="612" t="str">
        <f>IF($M25=" "," ",IF(VLOOKUP($M25,Character!$M$56:$N$66,2,FALSE)="No"," ",VLOOKUP(VLOOKUP(U$1,Calcs!$E$110:$F$117,2,FALSE),Character!$A$9:$B$16,2,FALSE)+IF(VLOOKUP($M25,Character!$M$56:$N$66,2,FALSE)="Yes",0,VLOOKUP($M25,Character!$M$56:$N$66,2,FALSE))+Character!$C$36+Character!$F$36+IF($N25="Yes",2,0)))</f>
        <v xml:space="preserve"> </v>
      </c>
      <c r="V25" s="612" t="str">
        <f>IF($M25=" "," ",IF(VLOOKUP($M25,Character!$M$56:$N$66,2,FALSE)="No"," ",VLOOKUP(VLOOKUP(V$1,Calcs!$E$110:$F$117,2,FALSE),Character!$A$9:$B$16,2,FALSE)+IF(VLOOKUP($M25,Character!$M$56:$N$66,2,FALSE)="Yes",0,VLOOKUP($M25,Character!$M$56:$N$66,2,FALSE))+Character!$C$36+Character!$F$36+IF($N25="Yes",2,0)))</f>
        <v xml:space="preserve"> </v>
      </c>
      <c r="W25" s="613" t="str">
        <f>IF($M25=" "," ",IF(VLOOKUP($M25,Character!$M$56:$N$66,2,FALSE)="No"," ",VLOOKUP(VLOOKUP(W$1,Calcs!$E$110:$F$117,2,FALSE),Character!$A$9:$B$16,2,FALSE)+IF(VLOOKUP($M25,Character!$M$56:$N$66,2,FALSE)="Yes",0,VLOOKUP($M25,Character!$M$56:$N$66,2,FALSE))+Character!$C$36+Character!$F$36+IF($N25="Yes",2,0)))</f>
        <v xml:space="preserve"> </v>
      </c>
      <c r="X25" s="15"/>
      <c r="Y25" s="15"/>
    </row>
    <row r="26" spans="1:25" x14ac:dyDescent="0.2">
      <c r="A26" s="289" t="str">
        <f>Character!E47</f>
        <v>Common Law</v>
      </c>
      <c r="B26" s="383" t="s">
        <v>185</v>
      </c>
      <c r="C26" s="591" t="str">
        <f>IF(ISBLANK(Character!G47)," ",Character!G47)</f>
        <v xml:space="preserve"> </v>
      </c>
      <c r="D26" s="279" t="str">
        <f>IF(VLOOKUP($A26,Character!$E$45:$F$50,2,FALSE)="No"," ",VLOOKUP(VLOOKUP(D$1,Calcs!$E$110:$F$117,2,FALSE),Character!$A$9:$B$16,2,FALSE)+IF(VLOOKUP($A26,Character!$E$45:$F$50,2,FALSE)="Yes",0,VLOOKUP($A26,Character!$E$45:$F$50,2,FALSE))+Character!$C$36+Character!$F$36+IF($B26="Yes",2,0))</f>
        <v xml:space="preserve"> </v>
      </c>
      <c r="E26" s="277" t="str">
        <f>IF(VLOOKUP($A26,Character!$E$45:$F$50,2,FALSE)="No"," ",VLOOKUP(VLOOKUP(E$1,Calcs!$E$110:$F$117,2,FALSE),Character!$A$9:$B$16,2,FALSE)+IF(VLOOKUP($A26,Character!$E$45:$F$50,2,FALSE)="Yes",0,VLOOKUP($A26,Character!$E$45:$F$50,2,FALSE))+Character!$C$36+Character!$F$36+IF($B26="Yes",2,0))</f>
        <v xml:space="preserve"> </v>
      </c>
      <c r="F26" s="277" t="str">
        <f>IF(VLOOKUP($A26,Character!$E$45:$F$50,2,FALSE)="No"," ",VLOOKUP(VLOOKUP(F$1,Calcs!$E$110:$F$117,2,FALSE),Character!$A$9:$B$16,2,FALSE)+IF(VLOOKUP($A26,Character!$E$45:$F$50,2,FALSE)="Yes",0,VLOOKUP($A26,Character!$E$45:$F$50,2,FALSE))+Character!$C$36+Character!$F$36+IF($B26="Yes",2,0))</f>
        <v xml:space="preserve"> </v>
      </c>
      <c r="G26" s="277" t="str">
        <f>IF(VLOOKUP($A26,Character!$E$45:$F$50,2,FALSE)="No"," ",VLOOKUP(VLOOKUP(G$1,Calcs!$E$110:$F$117,2,FALSE),Character!$A$9:$B$16,2,FALSE)+IF(VLOOKUP($A26,Character!$E$45:$F$50,2,FALSE)="Yes",0,VLOOKUP($A26,Character!$E$45:$F$50,2,FALSE))+Character!$C$36+Character!$F$36+IF($B26="Yes",2,0))</f>
        <v xml:space="preserve"> </v>
      </c>
      <c r="H26" s="277" t="str">
        <f>IF(VLOOKUP($A26,Character!$E$45:$F$50,2,FALSE)="No"," ",VLOOKUP(VLOOKUP(H$1,Calcs!$E$110:$F$117,2,FALSE),Character!$A$9:$B$16,2,FALSE)+IF(VLOOKUP($A26,Character!$E$45:$F$50,2,FALSE)="Yes",0,VLOOKUP($A26,Character!$E$45:$F$50,2,FALSE))+Character!$C$36+Character!$F$36+IF($B26="Yes",2,0))</f>
        <v xml:space="preserve"> </v>
      </c>
      <c r="I26" s="277" t="str">
        <f>IF(VLOOKUP($A26,Character!$E$45:$F$50,2,FALSE)="No"," ",VLOOKUP(VLOOKUP(I$1,Calcs!$E$110:$F$117,2,FALSE),Character!$A$9:$B$16,2,FALSE)+IF(VLOOKUP($A26,Character!$E$45:$F$50,2,FALSE)="Yes",0,VLOOKUP($A26,Character!$E$45:$F$50,2,FALSE))+Character!$C$36+Character!$F$36+IF($B26="Yes",2,0))</f>
        <v xml:space="preserve"> </v>
      </c>
      <c r="J26" s="277" t="str">
        <f>IF(VLOOKUP($A26,Character!$E$45:$F$50,2,FALSE)="No"," ",VLOOKUP(VLOOKUP(J$1,Calcs!$E$110:$F$117,2,FALSE),Character!$A$9:$B$16,2,FALSE)+IF(VLOOKUP($A26,Character!$E$45:$F$50,2,FALSE)="Yes",0,VLOOKUP($A26,Character!$E$45:$F$50,2,FALSE))+Character!$C$36+Character!$F$36+IF($B26="Yes",2,0))</f>
        <v xml:space="preserve"> </v>
      </c>
      <c r="K26" s="285" t="str">
        <f>IF(VLOOKUP($A26,Character!$E$45:$F$50,2,FALSE)="No"," ",VLOOKUP(VLOOKUP(K$1,Calcs!$E$110:$F$117,2,FALSE),Character!$A$9:$B$16,2,FALSE)+IF(VLOOKUP($A26,Character!$E$45:$F$50,2,FALSE)="Yes",0,VLOOKUP($A26,Character!$E$45:$F$50,2,FALSE))+Character!$C$36+Character!$F$36+IF($B26="Yes",2,0))</f>
        <v xml:space="preserve"> </v>
      </c>
      <c r="L26" s="15"/>
      <c r="M26" s="292" t="str">
        <f>Character!M59</f>
        <v xml:space="preserve"> </v>
      </c>
      <c r="N26" s="299" t="s">
        <v>48</v>
      </c>
      <c r="O26" s="595" t="str">
        <f>IF(ISBLANK(Character!O59)," ",Character!O59)</f>
        <v xml:space="preserve"> </v>
      </c>
      <c r="P26" s="611" t="str">
        <f>IF($M26=" "," ",IF(VLOOKUP($M26,Character!$M$56:$N$66,2,FALSE)="No"," ",VLOOKUP(VLOOKUP(P$1,Calcs!$E$110:$F$117,2,FALSE),Character!$A$9:$B$16,2,FALSE)+IF(VLOOKUP($M26,Character!$M$56:$N$66,2,FALSE)="Yes",0,VLOOKUP($M26,Character!$M$56:$N$66,2,FALSE))+Character!$C$36+Character!$F$36+IF($N26="Yes",2,0)))</f>
        <v xml:space="preserve"> </v>
      </c>
      <c r="Q26" s="612" t="str">
        <f>IF($M26=" "," ",IF(VLOOKUP($M26,Character!$M$56:$N$66,2,FALSE)="No"," ",VLOOKUP(VLOOKUP(Q$1,Calcs!$E$110:$F$117,2,FALSE),Character!$A$9:$B$16,2,FALSE)+IF(VLOOKUP($M26,Character!$M$56:$N$66,2,FALSE)="Yes",0,VLOOKUP($M26,Character!$M$56:$N$66,2,FALSE))+Character!$C$36+Character!$F$36+IF($N26="Yes",2,0)))</f>
        <v xml:space="preserve"> </v>
      </c>
      <c r="R26" s="612" t="str">
        <f>IF($M26=" "," ",IF(VLOOKUP($M26,Character!$M$56:$N$66,2,FALSE)="No"," ",VLOOKUP(VLOOKUP(R$1,Calcs!$E$110:$F$117,2,FALSE),Character!$A$9:$B$16,2,FALSE)+IF(VLOOKUP($M26,Character!$M$56:$N$66,2,FALSE)="Yes",0,VLOOKUP($M26,Character!$M$56:$N$66,2,FALSE))+Character!$C$36+Character!$F$36+IF($N26="Yes",2,0)))</f>
        <v xml:space="preserve"> </v>
      </c>
      <c r="S26" s="612" t="str">
        <f>IF($M26=" "," ",IF(VLOOKUP($M26,Character!$M$56:$N$66,2,FALSE)="No"," ",VLOOKUP(VLOOKUP(S$1,Calcs!$E$110:$F$117,2,FALSE),Character!$A$9:$B$16,2,FALSE)+IF(VLOOKUP($M26,Character!$M$56:$N$66,2,FALSE)="Yes",0,VLOOKUP($M26,Character!$M$56:$N$66,2,FALSE))+Character!$C$36+Character!$F$36+IF($N26="Yes",2,0)))</f>
        <v xml:space="preserve"> </v>
      </c>
      <c r="T26" s="612" t="str">
        <f>IF($M26=" "," ",IF(VLOOKUP($M26,Character!$M$56:$N$66,2,FALSE)="No"," ",VLOOKUP(VLOOKUP(T$1,Calcs!$E$110:$F$117,2,FALSE),Character!$A$9:$B$16,2,FALSE)+IF(VLOOKUP($M26,Character!$M$56:$N$66,2,FALSE)="Yes",0,VLOOKUP($M26,Character!$M$56:$N$66,2,FALSE))+Character!$C$36+Character!$F$36+IF($N26="Yes",2,0)))</f>
        <v xml:space="preserve"> </v>
      </c>
      <c r="U26" s="612" t="str">
        <f>IF($M26=" "," ",IF(VLOOKUP($M26,Character!$M$56:$N$66,2,FALSE)="No"," ",VLOOKUP(VLOOKUP(U$1,Calcs!$E$110:$F$117,2,FALSE),Character!$A$9:$B$16,2,FALSE)+IF(VLOOKUP($M26,Character!$M$56:$N$66,2,FALSE)="Yes",0,VLOOKUP($M26,Character!$M$56:$N$66,2,FALSE))+Character!$C$36+Character!$F$36+IF($N26="Yes",2,0)))</f>
        <v xml:space="preserve"> </v>
      </c>
      <c r="V26" s="612" t="str">
        <f>IF($M26=" "," ",IF(VLOOKUP($M26,Character!$M$56:$N$66,2,FALSE)="No"," ",VLOOKUP(VLOOKUP(V$1,Calcs!$E$110:$F$117,2,FALSE),Character!$A$9:$B$16,2,FALSE)+IF(VLOOKUP($M26,Character!$M$56:$N$66,2,FALSE)="Yes",0,VLOOKUP($M26,Character!$M$56:$N$66,2,FALSE))+Character!$C$36+Character!$F$36+IF($N26="Yes",2,0)))</f>
        <v xml:space="preserve"> </v>
      </c>
      <c r="W26" s="613" t="str">
        <f>IF($M26=" "," ",IF(VLOOKUP($M26,Character!$M$56:$N$66,2,FALSE)="No"," ",VLOOKUP(VLOOKUP(W$1,Calcs!$E$110:$F$117,2,FALSE),Character!$A$9:$B$16,2,FALSE)+IF(VLOOKUP($M26,Character!$M$56:$N$66,2,FALSE)="Yes",0,VLOOKUP($M26,Character!$M$56:$N$66,2,FALSE))+Character!$C$36+Character!$F$36+IF($N26="Yes",2,0)))</f>
        <v xml:space="preserve"> </v>
      </c>
      <c r="X26" s="15"/>
      <c r="Y26" s="15"/>
    </row>
    <row r="27" spans="1:25" x14ac:dyDescent="0.2">
      <c r="A27" s="289" t="str">
        <f>Character!E48</f>
        <v>Medicine</v>
      </c>
      <c r="B27" s="383" t="s">
        <v>185</v>
      </c>
      <c r="C27" s="591" t="str">
        <f>IF(ISBLANK(Character!G48)," ",Character!G48)</f>
        <v xml:space="preserve"> </v>
      </c>
      <c r="D27" s="279" t="str">
        <f>IF(VLOOKUP($A27,Character!$E$45:$F$50,2,FALSE)="No"," ",VLOOKUP(VLOOKUP(D$1,Calcs!$E$110:$F$117,2,FALSE),Character!$A$9:$B$16,2,FALSE)+IF(VLOOKUP($A27,Character!$E$45:$F$50,2,FALSE)="Yes",0,VLOOKUP($A27,Character!$E$45:$F$50,2,FALSE))+Character!$C$36+Character!$F$36+IF($B27="Yes",2,0))</f>
        <v xml:space="preserve"> </v>
      </c>
      <c r="E27" s="277" t="str">
        <f>IF(VLOOKUP($A27,Character!$E$45:$F$50,2,FALSE)="No"," ",VLOOKUP(VLOOKUP(E$1,Calcs!$E$110:$F$117,2,FALSE),Character!$A$9:$B$16,2,FALSE)+IF(VLOOKUP($A27,Character!$E$45:$F$50,2,FALSE)="Yes",0,VLOOKUP($A27,Character!$E$45:$F$50,2,FALSE))+Character!$C$36+Character!$F$36+IF($B27="Yes",2,0))</f>
        <v xml:space="preserve"> </v>
      </c>
      <c r="F27" s="277" t="str">
        <f>IF(VLOOKUP($A27,Character!$E$45:$F$50,2,FALSE)="No"," ",VLOOKUP(VLOOKUP(F$1,Calcs!$E$110:$F$117,2,FALSE),Character!$A$9:$B$16,2,FALSE)+IF(VLOOKUP($A27,Character!$E$45:$F$50,2,FALSE)="Yes",0,VLOOKUP($A27,Character!$E$45:$F$50,2,FALSE))+Character!$C$36+Character!$F$36+IF($B27="Yes",2,0))</f>
        <v xml:space="preserve"> </v>
      </c>
      <c r="G27" s="277" t="str">
        <f>IF(VLOOKUP($A27,Character!$E$45:$F$50,2,FALSE)="No"," ",VLOOKUP(VLOOKUP(G$1,Calcs!$E$110:$F$117,2,FALSE),Character!$A$9:$B$16,2,FALSE)+IF(VLOOKUP($A27,Character!$E$45:$F$50,2,FALSE)="Yes",0,VLOOKUP($A27,Character!$E$45:$F$50,2,FALSE))+Character!$C$36+Character!$F$36+IF($B27="Yes",2,0))</f>
        <v xml:space="preserve"> </v>
      </c>
      <c r="H27" s="277" t="str">
        <f>IF(VLOOKUP($A27,Character!$E$45:$F$50,2,FALSE)="No"," ",VLOOKUP(VLOOKUP(H$1,Calcs!$E$110:$F$117,2,FALSE),Character!$A$9:$B$16,2,FALSE)+IF(VLOOKUP($A27,Character!$E$45:$F$50,2,FALSE)="Yes",0,VLOOKUP($A27,Character!$E$45:$F$50,2,FALSE))+Character!$C$36+Character!$F$36+IF($B27="Yes",2,0))</f>
        <v xml:space="preserve"> </v>
      </c>
      <c r="I27" s="277" t="str">
        <f>IF(VLOOKUP($A27,Character!$E$45:$F$50,2,FALSE)="No"," ",VLOOKUP(VLOOKUP(I$1,Calcs!$E$110:$F$117,2,FALSE),Character!$A$9:$B$16,2,FALSE)+IF(VLOOKUP($A27,Character!$E$45:$F$50,2,FALSE)="Yes",0,VLOOKUP($A27,Character!$E$45:$F$50,2,FALSE))+Character!$C$36+Character!$F$36+IF($B27="Yes",2,0))</f>
        <v xml:space="preserve"> </v>
      </c>
      <c r="J27" s="277" t="str">
        <f>IF(VLOOKUP($A27,Character!$E$45:$F$50,2,FALSE)="No"," ",VLOOKUP(VLOOKUP(J$1,Calcs!$E$110:$F$117,2,FALSE),Character!$A$9:$B$16,2,FALSE)+IF(VLOOKUP($A27,Character!$E$45:$F$50,2,FALSE)="Yes",0,VLOOKUP($A27,Character!$E$45:$F$50,2,FALSE))+Character!$C$36+Character!$F$36+IF($B27="Yes",2,0))</f>
        <v xml:space="preserve"> </v>
      </c>
      <c r="K27" s="285" t="str">
        <f>IF(VLOOKUP($A27,Character!$E$45:$F$50,2,FALSE)="No"," ",VLOOKUP(VLOOKUP(K$1,Calcs!$E$110:$F$117,2,FALSE),Character!$A$9:$B$16,2,FALSE)+IF(VLOOKUP($A27,Character!$E$45:$F$50,2,FALSE)="Yes",0,VLOOKUP($A27,Character!$E$45:$F$50,2,FALSE))+Character!$C$36+Character!$F$36+IF($B27="Yes",2,0))</f>
        <v xml:space="preserve"> </v>
      </c>
      <c r="L27" s="15"/>
      <c r="M27" s="292" t="str">
        <f>Character!M60</f>
        <v xml:space="preserve"> </v>
      </c>
      <c r="N27" s="299" t="s">
        <v>48</v>
      </c>
      <c r="O27" s="595" t="str">
        <f>IF(ISBLANK(Character!O60)," ",Character!O60)</f>
        <v xml:space="preserve"> </v>
      </c>
      <c r="P27" s="611" t="str">
        <f>IF($M27=" "," ",IF(VLOOKUP($M27,Character!$M$56:$N$66,2,FALSE)="No"," ",VLOOKUP(VLOOKUP(P$1,Calcs!$E$110:$F$117,2,FALSE),Character!$A$9:$B$16,2,FALSE)+IF(VLOOKUP($M27,Character!$M$56:$N$66,2,FALSE)="Yes",0,VLOOKUP($M27,Character!$M$56:$N$66,2,FALSE))+Character!$C$36+Character!$F$36+IF($N27="Yes",2,0)))</f>
        <v xml:space="preserve"> </v>
      </c>
      <c r="Q27" s="612" t="str">
        <f>IF($M27=" "," ",IF(VLOOKUP($M27,Character!$M$56:$N$66,2,FALSE)="No"," ",VLOOKUP(VLOOKUP(Q$1,Calcs!$E$110:$F$117,2,FALSE),Character!$A$9:$B$16,2,FALSE)+IF(VLOOKUP($M27,Character!$M$56:$N$66,2,FALSE)="Yes",0,VLOOKUP($M27,Character!$M$56:$N$66,2,FALSE))+Character!$C$36+Character!$F$36+IF($N27="Yes",2,0)))</f>
        <v xml:space="preserve"> </v>
      </c>
      <c r="R27" s="612" t="str">
        <f>IF($M27=" "," ",IF(VLOOKUP($M27,Character!$M$56:$N$66,2,FALSE)="No"," ",VLOOKUP(VLOOKUP(R$1,Calcs!$E$110:$F$117,2,FALSE),Character!$A$9:$B$16,2,FALSE)+IF(VLOOKUP($M27,Character!$M$56:$N$66,2,FALSE)="Yes",0,VLOOKUP($M27,Character!$M$56:$N$66,2,FALSE))+Character!$C$36+Character!$F$36+IF($N27="Yes",2,0)))</f>
        <v xml:space="preserve"> </v>
      </c>
      <c r="S27" s="612" t="str">
        <f>IF($M27=" "," ",IF(VLOOKUP($M27,Character!$M$56:$N$66,2,FALSE)="No"," ",VLOOKUP(VLOOKUP(S$1,Calcs!$E$110:$F$117,2,FALSE),Character!$A$9:$B$16,2,FALSE)+IF(VLOOKUP($M27,Character!$M$56:$N$66,2,FALSE)="Yes",0,VLOOKUP($M27,Character!$M$56:$N$66,2,FALSE))+Character!$C$36+Character!$F$36+IF($N27="Yes",2,0)))</f>
        <v xml:space="preserve"> </v>
      </c>
      <c r="T27" s="612" t="str">
        <f>IF($M27=" "," ",IF(VLOOKUP($M27,Character!$M$56:$N$66,2,FALSE)="No"," ",VLOOKUP(VLOOKUP(T$1,Calcs!$E$110:$F$117,2,FALSE),Character!$A$9:$B$16,2,FALSE)+IF(VLOOKUP($M27,Character!$M$56:$N$66,2,FALSE)="Yes",0,VLOOKUP($M27,Character!$M$56:$N$66,2,FALSE))+Character!$C$36+Character!$F$36+IF($N27="Yes",2,0)))</f>
        <v xml:space="preserve"> </v>
      </c>
      <c r="U27" s="612" t="str">
        <f>IF($M27=" "," ",IF(VLOOKUP($M27,Character!$M$56:$N$66,2,FALSE)="No"," ",VLOOKUP(VLOOKUP(U$1,Calcs!$E$110:$F$117,2,FALSE),Character!$A$9:$B$16,2,FALSE)+IF(VLOOKUP($M27,Character!$M$56:$N$66,2,FALSE)="Yes",0,VLOOKUP($M27,Character!$M$56:$N$66,2,FALSE))+Character!$C$36+Character!$F$36+IF($N27="Yes",2,0)))</f>
        <v xml:space="preserve"> </v>
      </c>
      <c r="V27" s="612" t="str">
        <f>IF($M27=" "," ",IF(VLOOKUP($M27,Character!$M$56:$N$66,2,FALSE)="No"," ",VLOOKUP(VLOOKUP(V$1,Calcs!$E$110:$F$117,2,FALSE),Character!$A$9:$B$16,2,FALSE)+IF(VLOOKUP($M27,Character!$M$56:$N$66,2,FALSE)="Yes",0,VLOOKUP($M27,Character!$M$56:$N$66,2,FALSE))+Character!$C$36+Character!$F$36+IF($N27="Yes",2,0)))</f>
        <v xml:space="preserve"> </v>
      </c>
      <c r="W27" s="613" t="str">
        <f>IF($M27=" "," ",IF(VLOOKUP($M27,Character!$M$56:$N$66,2,FALSE)="No"," ",VLOOKUP(VLOOKUP(W$1,Calcs!$E$110:$F$117,2,FALSE),Character!$A$9:$B$16,2,FALSE)+IF(VLOOKUP($M27,Character!$M$56:$N$66,2,FALSE)="Yes",0,VLOOKUP($M27,Character!$M$56:$N$66,2,FALSE))+Character!$C$36+Character!$F$36+IF($N27="Yes",2,0)))</f>
        <v xml:space="preserve"> </v>
      </c>
      <c r="X27" s="15"/>
      <c r="Y27" s="15"/>
    </row>
    <row r="28" spans="1:25" x14ac:dyDescent="0.2">
      <c r="A28" s="289" t="str">
        <f>Character!E49</f>
        <v>Philosophiae</v>
      </c>
      <c r="B28" s="383" t="s">
        <v>185</v>
      </c>
      <c r="C28" s="591" t="str">
        <f>IF(ISBLANK(Character!G49)," ",Character!G49)</f>
        <v xml:space="preserve"> </v>
      </c>
      <c r="D28" s="279" t="str">
        <f>IF(VLOOKUP($A28,Character!$E$45:$F$50,2,FALSE)="No"," ",VLOOKUP(VLOOKUP(D$1,Calcs!$E$110:$F$117,2,FALSE),Character!$A$9:$B$16,2,FALSE)+IF(VLOOKUP($A28,Character!$E$45:$F$50,2,FALSE)="Yes",0,VLOOKUP($A28,Character!$E$45:$F$50,2,FALSE))+Character!$C$36+Character!$F$36+IF($B28="Yes",2,0))</f>
        <v xml:space="preserve"> </v>
      </c>
      <c r="E28" s="277" t="str">
        <f>IF(VLOOKUP($A28,Character!$E$45:$F$50,2,FALSE)="No"," ",VLOOKUP(VLOOKUP(E$1,Calcs!$E$110:$F$117,2,FALSE),Character!$A$9:$B$16,2,FALSE)+IF(VLOOKUP($A28,Character!$E$45:$F$50,2,FALSE)="Yes",0,VLOOKUP($A28,Character!$E$45:$F$50,2,FALSE))+Character!$C$36+Character!$F$36+IF($B28="Yes",2,0))</f>
        <v xml:space="preserve"> </v>
      </c>
      <c r="F28" s="277" t="str">
        <f>IF(VLOOKUP($A28,Character!$E$45:$F$50,2,FALSE)="No"," ",VLOOKUP(VLOOKUP(F$1,Calcs!$E$110:$F$117,2,FALSE),Character!$A$9:$B$16,2,FALSE)+IF(VLOOKUP($A28,Character!$E$45:$F$50,2,FALSE)="Yes",0,VLOOKUP($A28,Character!$E$45:$F$50,2,FALSE))+Character!$C$36+Character!$F$36+IF($B28="Yes",2,0))</f>
        <v xml:space="preserve"> </v>
      </c>
      <c r="G28" s="277" t="str">
        <f>IF(VLOOKUP($A28,Character!$E$45:$F$50,2,FALSE)="No"," ",VLOOKUP(VLOOKUP(G$1,Calcs!$E$110:$F$117,2,FALSE),Character!$A$9:$B$16,2,FALSE)+IF(VLOOKUP($A28,Character!$E$45:$F$50,2,FALSE)="Yes",0,VLOOKUP($A28,Character!$E$45:$F$50,2,FALSE))+Character!$C$36+Character!$F$36+IF($B28="Yes",2,0))</f>
        <v xml:space="preserve"> </v>
      </c>
      <c r="H28" s="277" t="str">
        <f>IF(VLOOKUP($A28,Character!$E$45:$F$50,2,FALSE)="No"," ",VLOOKUP(VLOOKUP(H$1,Calcs!$E$110:$F$117,2,FALSE),Character!$A$9:$B$16,2,FALSE)+IF(VLOOKUP($A28,Character!$E$45:$F$50,2,FALSE)="Yes",0,VLOOKUP($A28,Character!$E$45:$F$50,2,FALSE))+Character!$C$36+Character!$F$36+IF($B28="Yes",2,0))</f>
        <v xml:space="preserve"> </v>
      </c>
      <c r="I28" s="277" t="str">
        <f>IF(VLOOKUP($A28,Character!$E$45:$F$50,2,FALSE)="No"," ",VLOOKUP(VLOOKUP(I$1,Calcs!$E$110:$F$117,2,FALSE),Character!$A$9:$B$16,2,FALSE)+IF(VLOOKUP($A28,Character!$E$45:$F$50,2,FALSE)="Yes",0,VLOOKUP($A28,Character!$E$45:$F$50,2,FALSE))+Character!$C$36+Character!$F$36+IF($B28="Yes",2,0))</f>
        <v xml:space="preserve"> </v>
      </c>
      <c r="J28" s="277" t="str">
        <f>IF(VLOOKUP($A28,Character!$E$45:$F$50,2,FALSE)="No"," ",VLOOKUP(VLOOKUP(J$1,Calcs!$E$110:$F$117,2,FALSE),Character!$A$9:$B$16,2,FALSE)+IF(VLOOKUP($A28,Character!$E$45:$F$50,2,FALSE)="Yes",0,VLOOKUP($A28,Character!$E$45:$F$50,2,FALSE))+Character!$C$36+Character!$F$36+IF($B28="Yes",2,0))</f>
        <v xml:space="preserve"> </v>
      </c>
      <c r="K28" s="285" t="str">
        <f>IF(VLOOKUP($A28,Character!$E$45:$F$50,2,FALSE)="No"," ",VLOOKUP(VLOOKUP(K$1,Calcs!$E$110:$F$117,2,FALSE),Character!$A$9:$B$16,2,FALSE)+IF(VLOOKUP($A28,Character!$E$45:$F$50,2,FALSE)="Yes",0,VLOOKUP($A28,Character!$E$45:$F$50,2,FALSE))+Character!$C$36+Character!$F$36+IF($B28="Yes",2,0))</f>
        <v xml:space="preserve"> </v>
      </c>
      <c r="L28" s="15"/>
      <c r="M28" s="292" t="str">
        <f>Character!M61</f>
        <v xml:space="preserve"> </v>
      </c>
      <c r="N28" s="299" t="s">
        <v>48</v>
      </c>
      <c r="O28" s="595" t="str">
        <f>IF(ISBLANK(Character!O61)," ",Character!O61)</f>
        <v xml:space="preserve"> </v>
      </c>
      <c r="P28" s="611" t="str">
        <f>IF($M28=" "," ",IF(VLOOKUP($M28,Character!$M$56:$N$66,2,FALSE)="No"," ",VLOOKUP(VLOOKUP(P$1,Calcs!$E$110:$F$117,2,FALSE),Character!$A$9:$B$16,2,FALSE)+IF(VLOOKUP($M28,Character!$M$56:$N$66,2,FALSE)="Yes",0,VLOOKUP($M28,Character!$M$56:$N$66,2,FALSE))+Character!$C$36+Character!$F$36+IF($N28="Yes",2,0)))</f>
        <v xml:space="preserve"> </v>
      </c>
      <c r="Q28" s="612" t="str">
        <f>IF($M28=" "," ",IF(VLOOKUP($M28,Character!$M$56:$N$66,2,FALSE)="No"," ",VLOOKUP(VLOOKUP(Q$1,Calcs!$E$110:$F$117,2,FALSE),Character!$A$9:$B$16,2,FALSE)+IF(VLOOKUP($M28,Character!$M$56:$N$66,2,FALSE)="Yes",0,VLOOKUP($M28,Character!$M$56:$N$66,2,FALSE))+Character!$C$36+Character!$F$36+IF($N28="Yes",2,0)))</f>
        <v xml:space="preserve"> </v>
      </c>
      <c r="R28" s="612" t="str">
        <f>IF($M28=" "," ",IF(VLOOKUP($M28,Character!$M$56:$N$66,2,FALSE)="No"," ",VLOOKUP(VLOOKUP(R$1,Calcs!$E$110:$F$117,2,FALSE),Character!$A$9:$B$16,2,FALSE)+IF(VLOOKUP($M28,Character!$M$56:$N$66,2,FALSE)="Yes",0,VLOOKUP($M28,Character!$M$56:$N$66,2,FALSE))+Character!$C$36+Character!$F$36+IF($N28="Yes",2,0)))</f>
        <v xml:space="preserve"> </v>
      </c>
      <c r="S28" s="612" t="str">
        <f>IF($M28=" "," ",IF(VLOOKUP($M28,Character!$M$56:$N$66,2,FALSE)="No"," ",VLOOKUP(VLOOKUP(S$1,Calcs!$E$110:$F$117,2,FALSE),Character!$A$9:$B$16,2,FALSE)+IF(VLOOKUP($M28,Character!$M$56:$N$66,2,FALSE)="Yes",0,VLOOKUP($M28,Character!$M$56:$N$66,2,FALSE))+Character!$C$36+Character!$F$36+IF($N28="Yes",2,0)))</f>
        <v xml:space="preserve"> </v>
      </c>
      <c r="T28" s="612" t="str">
        <f>IF($M28=" "," ",IF(VLOOKUP($M28,Character!$M$56:$N$66,2,FALSE)="No"," ",VLOOKUP(VLOOKUP(T$1,Calcs!$E$110:$F$117,2,FALSE),Character!$A$9:$B$16,2,FALSE)+IF(VLOOKUP($M28,Character!$M$56:$N$66,2,FALSE)="Yes",0,VLOOKUP($M28,Character!$M$56:$N$66,2,FALSE))+Character!$C$36+Character!$F$36+IF($N28="Yes",2,0)))</f>
        <v xml:space="preserve"> </v>
      </c>
      <c r="U28" s="612" t="str">
        <f>IF($M28=" "," ",IF(VLOOKUP($M28,Character!$M$56:$N$66,2,FALSE)="No"," ",VLOOKUP(VLOOKUP(U$1,Calcs!$E$110:$F$117,2,FALSE),Character!$A$9:$B$16,2,FALSE)+IF(VLOOKUP($M28,Character!$M$56:$N$66,2,FALSE)="Yes",0,VLOOKUP($M28,Character!$M$56:$N$66,2,FALSE))+Character!$C$36+Character!$F$36+IF($N28="Yes",2,0)))</f>
        <v xml:space="preserve"> </v>
      </c>
      <c r="V28" s="612" t="str">
        <f>IF($M28=" "," ",IF(VLOOKUP($M28,Character!$M$56:$N$66,2,FALSE)="No"," ",VLOOKUP(VLOOKUP(V$1,Calcs!$E$110:$F$117,2,FALSE),Character!$A$9:$B$16,2,FALSE)+IF(VLOOKUP($M28,Character!$M$56:$N$66,2,FALSE)="Yes",0,VLOOKUP($M28,Character!$M$56:$N$66,2,FALSE))+Character!$C$36+Character!$F$36+IF($N28="Yes",2,0)))</f>
        <v xml:space="preserve"> </v>
      </c>
      <c r="W28" s="613" t="str">
        <f>IF($M28=" "," ",IF(VLOOKUP($M28,Character!$M$56:$N$66,2,FALSE)="No"," ",VLOOKUP(VLOOKUP(W$1,Calcs!$E$110:$F$117,2,FALSE),Character!$A$9:$B$16,2,FALSE)+IF(VLOOKUP($M28,Character!$M$56:$N$66,2,FALSE)="Yes",0,VLOOKUP($M28,Character!$M$56:$N$66,2,FALSE))+Character!$C$36+Character!$F$36+IF($N28="Yes",2,0)))</f>
        <v xml:space="preserve"> </v>
      </c>
      <c r="X28" s="15"/>
      <c r="Y28" s="15"/>
    </row>
    <row r="29" spans="1:25" x14ac:dyDescent="0.2">
      <c r="A29" s="290" t="str">
        <f>Character!E50</f>
        <v>Theology</v>
      </c>
      <c r="B29" s="384" t="s">
        <v>185</v>
      </c>
      <c r="C29" s="592" t="str">
        <f>IF(ISBLANK(Character!G50)," ",Character!G50)</f>
        <v xml:space="preserve"> </v>
      </c>
      <c r="D29" s="280" t="str">
        <f>IF(VLOOKUP($A29,Character!$E$45:$F$50,2,FALSE)="No"," ",VLOOKUP(VLOOKUP(D$1,Calcs!$E$110:$F$117,2,FALSE),Character!$A$9:$B$16,2,FALSE)+IF(VLOOKUP($A29,Character!$E$45:$F$50,2,FALSE)="Yes",0,VLOOKUP($A29,Character!$E$45:$F$50,2,FALSE))+Character!$C$36+Character!$F$36+IF($B29="Yes",2,0))</f>
        <v xml:space="preserve"> </v>
      </c>
      <c r="E29" s="278" t="str">
        <f>IF(VLOOKUP($A29,Character!$E$45:$F$50,2,FALSE)="No"," ",VLOOKUP(VLOOKUP(E$1,Calcs!$E$110:$F$117,2,FALSE),Character!$A$9:$B$16,2,FALSE)+IF(VLOOKUP($A29,Character!$E$45:$F$50,2,FALSE)="Yes",0,VLOOKUP($A29,Character!$E$45:$F$50,2,FALSE))+Character!$C$36+Character!$F$36+IF($B29="Yes",2,0))</f>
        <v xml:space="preserve"> </v>
      </c>
      <c r="F29" s="278" t="str">
        <f>IF(VLOOKUP($A29,Character!$E$45:$F$50,2,FALSE)="No"," ",VLOOKUP(VLOOKUP(F$1,Calcs!$E$110:$F$117,2,FALSE),Character!$A$9:$B$16,2,FALSE)+IF(VLOOKUP($A29,Character!$E$45:$F$50,2,FALSE)="Yes",0,VLOOKUP($A29,Character!$E$45:$F$50,2,FALSE))+Character!$C$36+Character!$F$36+IF($B29="Yes",2,0))</f>
        <v xml:space="preserve"> </v>
      </c>
      <c r="G29" s="278" t="str">
        <f>IF(VLOOKUP($A29,Character!$E$45:$F$50,2,FALSE)="No"," ",VLOOKUP(VLOOKUP(G$1,Calcs!$E$110:$F$117,2,FALSE),Character!$A$9:$B$16,2,FALSE)+IF(VLOOKUP($A29,Character!$E$45:$F$50,2,FALSE)="Yes",0,VLOOKUP($A29,Character!$E$45:$F$50,2,FALSE))+Character!$C$36+Character!$F$36+IF($B29="Yes",2,0))</f>
        <v xml:space="preserve"> </v>
      </c>
      <c r="H29" s="278" t="str">
        <f>IF(VLOOKUP($A29,Character!$E$45:$F$50,2,FALSE)="No"," ",VLOOKUP(VLOOKUP(H$1,Calcs!$E$110:$F$117,2,FALSE),Character!$A$9:$B$16,2,FALSE)+IF(VLOOKUP($A29,Character!$E$45:$F$50,2,FALSE)="Yes",0,VLOOKUP($A29,Character!$E$45:$F$50,2,FALSE))+Character!$C$36+Character!$F$36+IF($B29="Yes",2,0))</f>
        <v xml:space="preserve"> </v>
      </c>
      <c r="I29" s="278" t="str">
        <f>IF(VLOOKUP($A29,Character!$E$45:$F$50,2,FALSE)="No"," ",VLOOKUP(VLOOKUP(I$1,Calcs!$E$110:$F$117,2,FALSE),Character!$A$9:$B$16,2,FALSE)+IF(VLOOKUP($A29,Character!$E$45:$F$50,2,FALSE)="Yes",0,VLOOKUP($A29,Character!$E$45:$F$50,2,FALSE))+Character!$C$36+Character!$F$36+IF($B29="Yes",2,0))</f>
        <v xml:space="preserve"> </v>
      </c>
      <c r="J29" s="278" t="str">
        <f>IF(VLOOKUP($A29,Character!$E$45:$F$50,2,FALSE)="No"," ",VLOOKUP(VLOOKUP(J$1,Calcs!$E$110:$F$117,2,FALSE),Character!$A$9:$B$16,2,FALSE)+IF(VLOOKUP($A29,Character!$E$45:$F$50,2,FALSE)="Yes",0,VLOOKUP($A29,Character!$E$45:$F$50,2,FALSE))+Character!$C$36+Character!$F$36+IF($B29="Yes",2,0))</f>
        <v xml:space="preserve"> </v>
      </c>
      <c r="K29" s="287" t="str">
        <f>IF(VLOOKUP($A29,Character!$E$45:$F$50,2,FALSE)="No"," ",VLOOKUP(VLOOKUP(K$1,Calcs!$E$110:$F$117,2,FALSE),Character!$A$9:$B$16,2,FALSE)+IF(VLOOKUP($A29,Character!$E$45:$F$50,2,FALSE)="Yes",0,VLOOKUP($A29,Character!$E$45:$F$50,2,FALSE))+Character!$C$36+Character!$F$36+IF($B29="Yes",2,0))</f>
        <v xml:space="preserve"> </v>
      </c>
      <c r="L29" s="15"/>
      <c r="M29" s="292" t="str">
        <f>Character!M62</f>
        <v xml:space="preserve"> </v>
      </c>
      <c r="N29" s="299" t="s">
        <v>48</v>
      </c>
      <c r="O29" s="595" t="str">
        <f>IF(ISBLANK(Character!O62)," ",Character!O62)</f>
        <v xml:space="preserve"> </v>
      </c>
      <c r="P29" s="611" t="str">
        <f>IF($M29=" "," ",IF(VLOOKUP($M29,Character!$M$56:$N$66,2,FALSE)="No"," ",VLOOKUP(VLOOKUP(P$1,Calcs!$E$110:$F$117,2,FALSE),Character!$A$9:$B$16,2,FALSE)+IF(VLOOKUP($M29,Character!$M$56:$N$66,2,FALSE)="Yes",0,VLOOKUP($M29,Character!$M$56:$N$66,2,FALSE))+Character!$C$36+Character!$F$36+IF($N29="Yes",2,0)))</f>
        <v xml:space="preserve"> </v>
      </c>
      <c r="Q29" s="612" t="str">
        <f>IF($M29=" "," ",IF(VLOOKUP($M29,Character!$M$56:$N$66,2,FALSE)="No"," ",VLOOKUP(VLOOKUP(Q$1,Calcs!$E$110:$F$117,2,FALSE),Character!$A$9:$B$16,2,FALSE)+IF(VLOOKUP($M29,Character!$M$56:$N$66,2,FALSE)="Yes",0,VLOOKUP($M29,Character!$M$56:$N$66,2,FALSE))+Character!$C$36+Character!$F$36+IF($N29="Yes",2,0)))</f>
        <v xml:space="preserve"> </v>
      </c>
      <c r="R29" s="612" t="str">
        <f>IF($M29=" "," ",IF(VLOOKUP($M29,Character!$M$56:$N$66,2,FALSE)="No"," ",VLOOKUP(VLOOKUP(R$1,Calcs!$E$110:$F$117,2,FALSE),Character!$A$9:$B$16,2,FALSE)+IF(VLOOKUP($M29,Character!$M$56:$N$66,2,FALSE)="Yes",0,VLOOKUP($M29,Character!$M$56:$N$66,2,FALSE))+Character!$C$36+Character!$F$36+IF($N29="Yes",2,0)))</f>
        <v xml:space="preserve"> </v>
      </c>
      <c r="S29" s="612" t="str">
        <f>IF($M29=" "," ",IF(VLOOKUP($M29,Character!$M$56:$N$66,2,FALSE)="No"," ",VLOOKUP(VLOOKUP(S$1,Calcs!$E$110:$F$117,2,FALSE),Character!$A$9:$B$16,2,FALSE)+IF(VLOOKUP($M29,Character!$M$56:$N$66,2,FALSE)="Yes",0,VLOOKUP($M29,Character!$M$56:$N$66,2,FALSE))+Character!$C$36+Character!$F$36+IF($N29="Yes",2,0)))</f>
        <v xml:space="preserve"> </v>
      </c>
      <c r="T29" s="612" t="str">
        <f>IF($M29=" "," ",IF(VLOOKUP($M29,Character!$M$56:$N$66,2,FALSE)="No"," ",VLOOKUP(VLOOKUP(T$1,Calcs!$E$110:$F$117,2,FALSE),Character!$A$9:$B$16,2,FALSE)+IF(VLOOKUP($M29,Character!$M$56:$N$66,2,FALSE)="Yes",0,VLOOKUP($M29,Character!$M$56:$N$66,2,FALSE))+Character!$C$36+Character!$F$36+IF($N29="Yes",2,0)))</f>
        <v xml:space="preserve"> </v>
      </c>
      <c r="U29" s="612" t="str">
        <f>IF($M29=" "," ",IF(VLOOKUP($M29,Character!$M$56:$N$66,2,FALSE)="No"," ",VLOOKUP(VLOOKUP(U$1,Calcs!$E$110:$F$117,2,FALSE),Character!$A$9:$B$16,2,FALSE)+IF(VLOOKUP($M29,Character!$M$56:$N$66,2,FALSE)="Yes",0,VLOOKUP($M29,Character!$M$56:$N$66,2,FALSE))+Character!$C$36+Character!$F$36+IF($N29="Yes",2,0)))</f>
        <v xml:space="preserve"> </v>
      </c>
      <c r="V29" s="612" t="str">
        <f>IF($M29=" "," ",IF(VLOOKUP($M29,Character!$M$56:$N$66,2,FALSE)="No"," ",VLOOKUP(VLOOKUP(V$1,Calcs!$E$110:$F$117,2,FALSE),Character!$A$9:$B$16,2,FALSE)+IF(VLOOKUP($M29,Character!$M$56:$N$66,2,FALSE)="Yes",0,VLOOKUP($M29,Character!$M$56:$N$66,2,FALSE))+Character!$C$36+Character!$F$36+IF($N29="Yes",2,0)))</f>
        <v xml:space="preserve"> </v>
      </c>
      <c r="W29" s="613" t="str">
        <f>IF($M29=" "," ",IF(VLOOKUP($M29,Character!$M$56:$N$66,2,FALSE)="No"," ",VLOOKUP(VLOOKUP(W$1,Calcs!$E$110:$F$117,2,FALSE),Character!$A$9:$B$16,2,FALSE)+IF(VLOOKUP($M29,Character!$M$56:$N$66,2,FALSE)="Yes",0,VLOOKUP($M29,Character!$M$56:$N$66,2,FALSE))+Character!$C$36+Character!$F$36+IF($N29="Yes",2,0)))</f>
        <v xml:space="preserve"> </v>
      </c>
      <c r="X29" s="15"/>
      <c r="Y29" s="15"/>
    </row>
    <row r="30" spans="1:25" x14ac:dyDescent="0.2">
      <c r="A30" s="291" t="str">
        <f>Character!I45</f>
        <v>Code of Hermes</v>
      </c>
      <c r="B30" s="605" t="s">
        <v>185</v>
      </c>
      <c r="C30" s="590" t="str">
        <f>IF(ISBLANK(Character!K45)," ",Character!K45)</f>
        <v xml:space="preserve"> </v>
      </c>
      <c r="D30" s="589" t="str">
        <f>IF(VLOOKUP($A30,Character!$I$45:$J$53,2,FALSE)="No"," ",VLOOKUP(VLOOKUP(D$1,Calcs!$E$110:$F$117,2,FALSE),Character!$A$9:$B$16,2,FALSE)+IF(VLOOKUP($A30,Character!$I$45:$J$53,2,FALSE)="Yes",0,VLOOKUP($A30,Character!$I$45:$J$53,2,FALSE))+Character!$C$36+Character!$F$36+IF($B30="Yes",2,0))</f>
        <v xml:space="preserve"> </v>
      </c>
      <c r="E30" s="603" t="str">
        <f>IF(VLOOKUP($A30,Character!$I$45:$J$53,2,FALSE)="No"," ",VLOOKUP(VLOOKUP(E$1,Calcs!$E$110:$F$117,2,FALSE),Character!$A$9:$B$16,2,FALSE)+IF(VLOOKUP($A30,Character!$I$45:$J$53,2,FALSE)="Yes",0,VLOOKUP($A30,Character!$I$45:$J$53,2,FALSE))+Character!$C$36+Character!$F$36+IF($B30="Yes",2,0))</f>
        <v xml:space="preserve"> </v>
      </c>
      <c r="F30" s="603" t="str">
        <f>IF(VLOOKUP($A30,Character!$I$45:$J$53,2,FALSE)="No"," ",VLOOKUP(VLOOKUP(F$1,Calcs!$E$110:$F$117,2,FALSE),Character!$A$9:$B$16,2,FALSE)+IF(VLOOKUP($A30,Character!$I$45:$J$53,2,FALSE)="Yes",0,VLOOKUP($A30,Character!$I$45:$J$53,2,FALSE))+Character!$C$36+Character!$F$36+IF($B30="Yes",2,0))</f>
        <v xml:space="preserve"> </v>
      </c>
      <c r="G30" s="603" t="str">
        <f>IF(VLOOKUP($A30,Character!$I$45:$J$53,2,FALSE)="No"," ",VLOOKUP(VLOOKUP(G$1,Calcs!$E$110:$F$117,2,FALSE),Character!$A$9:$B$16,2,FALSE)+IF(VLOOKUP($A30,Character!$I$45:$J$53,2,FALSE)="Yes",0,VLOOKUP($A30,Character!$I$45:$J$53,2,FALSE))+Character!$C$36+Character!$F$36+IF($B30="Yes",2,0))</f>
        <v xml:space="preserve"> </v>
      </c>
      <c r="H30" s="603" t="str">
        <f>IF(VLOOKUP($A30,Character!$I$45:$J$53,2,FALSE)="No"," ",VLOOKUP(VLOOKUP(H$1,Calcs!$E$110:$F$117,2,FALSE),Character!$A$9:$B$16,2,FALSE)+IF(VLOOKUP($A30,Character!$I$45:$J$53,2,FALSE)="Yes",0,VLOOKUP($A30,Character!$I$45:$J$53,2,FALSE))+Character!$C$36+Character!$F$36+IF($B30="Yes",2,0))</f>
        <v xml:space="preserve"> </v>
      </c>
      <c r="I30" s="603" t="str">
        <f>IF(VLOOKUP($A30,Character!$I$45:$J$53,2,FALSE)="No"," ",VLOOKUP(VLOOKUP(I$1,Calcs!$E$110:$F$117,2,FALSE),Character!$A$9:$B$16,2,FALSE)+IF(VLOOKUP($A30,Character!$I$45:$J$53,2,FALSE)="Yes",0,VLOOKUP($A30,Character!$I$45:$J$53,2,FALSE))+Character!$C$36+Character!$F$36+IF($B30="Yes",2,0))</f>
        <v xml:space="preserve"> </v>
      </c>
      <c r="J30" s="603" t="str">
        <f>IF(VLOOKUP($A30,Character!$I$45:$J$53,2,FALSE)="No"," ",VLOOKUP(VLOOKUP(J$1,Calcs!$E$110:$F$117,2,FALSE),Character!$A$9:$B$16,2,FALSE)+IF(VLOOKUP($A30,Character!$I$45:$J$53,2,FALSE)="Yes",0,VLOOKUP($A30,Character!$I$45:$J$53,2,FALSE))+Character!$C$36+Character!$F$36+IF($B30="Yes",2,0))</f>
        <v xml:space="preserve"> </v>
      </c>
      <c r="K30" s="604" t="str">
        <f>IF(VLOOKUP($A30,Character!$I$45:$J$53,2,FALSE)="No"," ",VLOOKUP(VLOOKUP(K$1,Calcs!$E$110:$F$117,2,FALSE),Character!$A$9:$B$16,2,FALSE)+IF(VLOOKUP($A30,Character!$I$45:$J$53,2,FALSE)="Yes",0,VLOOKUP($A30,Character!$I$45:$J$53,2,FALSE))+Character!$C$36+Character!$F$36+IF($B30="Yes",2,0))</f>
        <v xml:space="preserve"> </v>
      </c>
      <c r="L30" s="15"/>
      <c r="M30" s="292" t="str">
        <f>Character!M63</f>
        <v xml:space="preserve"> </v>
      </c>
      <c r="N30" s="301" t="s">
        <v>48</v>
      </c>
      <c r="O30" s="591" t="str">
        <f>IF(ISBLANK(Character!O63)," ",Character!O63)</f>
        <v xml:space="preserve"> </v>
      </c>
      <c r="P30" s="611" t="str">
        <f>IF($M30=" "," ",IF(VLOOKUP($M30,Character!$M$56:$N$66,2,FALSE)="No"," ",VLOOKUP(VLOOKUP(P$1,Calcs!$E$110:$F$117,2,FALSE),Character!$A$9:$B$16,2,FALSE)+IF(VLOOKUP($M30,Character!$M$56:$N$66,2,FALSE)="Yes",0,VLOOKUP($M30,Character!$M$56:$N$66,2,FALSE))+Character!$C$36+Character!$F$36+IF($N30="Yes",2,0)))</f>
        <v xml:space="preserve"> </v>
      </c>
      <c r="Q30" s="612" t="str">
        <f>IF($M30=" "," ",IF(VLOOKUP($M30,Character!$M$56:$N$66,2,FALSE)="No"," ",VLOOKUP(VLOOKUP(Q$1,Calcs!$E$110:$F$117,2,FALSE),Character!$A$9:$B$16,2,FALSE)+IF(VLOOKUP($M30,Character!$M$56:$N$66,2,FALSE)="Yes",0,VLOOKUP($M30,Character!$M$56:$N$66,2,FALSE))+Character!$C$36+Character!$F$36+IF($N30="Yes",2,0)))</f>
        <v xml:space="preserve"> </v>
      </c>
      <c r="R30" s="612" t="str">
        <f>IF($M30=" "," ",IF(VLOOKUP($M30,Character!$M$56:$N$66,2,FALSE)="No"," ",VLOOKUP(VLOOKUP(R$1,Calcs!$E$110:$F$117,2,FALSE),Character!$A$9:$B$16,2,FALSE)+IF(VLOOKUP($M30,Character!$M$56:$N$66,2,FALSE)="Yes",0,VLOOKUP($M30,Character!$M$56:$N$66,2,FALSE))+Character!$C$36+Character!$F$36+IF($N30="Yes",2,0)))</f>
        <v xml:space="preserve"> </v>
      </c>
      <c r="S30" s="612" t="str">
        <f>IF($M30=" "," ",IF(VLOOKUP($M30,Character!$M$56:$N$66,2,FALSE)="No"," ",VLOOKUP(VLOOKUP(S$1,Calcs!$E$110:$F$117,2,FALSE),Character!$A$9:$B$16,2,FALSE)+IF(VLOOKUP($M30,Character!$M$56:$N$66,2,FALSE)="Yes",0,VLOOKUP($M30,Character!$M$56:$N$66,2,FALSE))+Character!$C$36+Character!$F$36+IF($N30="Yes",2,0)))</f>
        <v xml:space="preserve"> </v>
      </c>
      <c r="T30" s="612" t="str">
        <f>IF($M30=" "," ",IF(VLOOKUP($M30,Character!$M$56:$N$66,2,FALSE)="No"," ",VLOOKUP(VLOOKUP(T$1,Calcs!$E$110:$F$117,2,FALSE),Character!$A$9:$B$16,2,FALSE)+IF(VLOOKUP($M30,Character!$M$56:$N$66,2,FALSE)="Yes",0,VLOOKUP($M30,Character!$M$56:$N$66,2,FALSE))+Character!$C$36+Character!$F$36+IF($N30="Yes",2,0)))</f>
        <v xml:space="preserve"> </v>
      </c>
      <c r="U30" s="612" t="str">
        <f>IF($M30=" "," ",IF(VLOOKUP($M30,Character!$M$56:$N$66,2,FALSE)="No"," ",VLOOKUP(VLOOKUP(U$1,Calcs!$E$110:$F$117,2,FALSE),Character!$A$9:$B$16,2,FALSE)+IF(VLOOKUP($M30,Character!$M$56:$N$66,2,FALSE)="Yes",0,VLOOKUP($M30,Character!$M$56:$N$66,2,FALSE))+Character!$C$36+Character!$F$36+IF($N30="Yes",2,0)))</f>
        <v xml:space="preserve"> </v>
      </c>
      <c r="V30" s="612" t="str">
        <f>IF($M30=" "," ",IF(VLOOKUP($M30,Character!$M$56:$N$66,2,FALSE)="No"," ",VLOOKUP(VLOOKUP(V$1,Calcs!$E$110:$F$117,2,FALSE),Character!$A$9:$B$16,2,FALSE)+IF(VLOOKUP($M30,Character!$M$56:$N$66,2,FALSE)="Yes",0,VLOOKUP($M30,Character!$M$56:$N$66,2,FALSE))+Character!$C$36+Character!$F$36+IF($N30="Yes",2,0)))</f>
        <v xml:space="preserve"> </v>
      </c>
      <c r="W30" s="613" t="str">
        <f>IF($M30=" "," ",IF(VLOOKUP($M30,Character!$M$56:$N$66,2,FALSE)="No"," ",VLOOKUP(VLOOKUP(W$1,Calcs!$E$110:$F$117,2,FALSE),Character!$A$9:$B$16,2,FALSE)+IF(VLOOKUP($M30,Character!$M$56:$N$66,2,FALSE)="Yes",0,VLOOKUP($M30,Character!$M$56:$N$66,2,FALSE))+Character!$C$36+Character!$F$36+IF($N30="Yes",2,0)))</f>
        <v xml:space="preserve"> </v>
      </c>
      <c r="X30" s="15"/>
      <c r="Y30" s="15"/>
    </row>
    <row r="31" spans="1:25" x14ac:dyDescent="0.2">
      <c r="A31" s="292" t="str">
        <f>Character!I46</f>
        <v>Dominion Lore</v>
      </c>
      <c r="B31" s="383" t="s">
        <v>185</v>
      </c>
      <c r="C31" s="591" t="str">
        <f>IF(ISBLANK(Character!K46)," ",Character!K46)</f>
        <v xml:space="preserve"> </v>
      </c>
      <c r="D31" s="279" t="str">
        <f>IF(VLOOKUP($A31,Character!$I$45:$J$53,2,FALSE)="No"," ",VLOOKUP(VLOOKUP(D$1,Calcs!$E$110:$F$117,2,FALSE),Character!$A$9:$B$16,2,FALSE)+IF(VLOOKUP($A31,Character!$I$45:$J$53,2,FALSE)="Yes",0,VLOOKUP($A31,Character!$I$45:$J$53,2,FALSE))+Character!$C$36+Character!$F$36+IF($B31="Yes",2,0))</f>
        <v xml:space="preserve"> </v>
      </c>
      <c r="E31" s="277" t="str">
        <f>IF(VLOOKUP($A31,Character!$I$45:$J$53,2,FALSE)="No"," ",VLOOKUP(VLOOKUP(E$1,Calcs!$E$110:$F$117,2,FALSE),Character!$A$9:$B$16,2,FALSE)+IF(VLOOKUP($A31,Character!$I$45:$J$53,2,FALSE)="Yes",0,VLOOKUP($A31,Character!$I$45:$J$53,2,FALSE))+Character!$C$36+Character!$F$36+IF($B31="Yes",2,0))</f>
        <v xml:space="preserve"> </v>
      </c>
      <c r="F31" s="277" t="str">
        <f>IF(VLOOKUP($A31,Character!$I$45:$J$53,2,FALSE)="No"," ",VLOOKUP(VLOOKUP(F$1,Calcs!$E$110:$F$117,2,FALSE),Character!$A$9:$B$16,2,FALSE)+IF(VLOOKUP($A31,Character!$I$45:$J$53,2,FALSE)="Yes",0,VLOOKUP($A31,Character!$I$45:$J$53,2,FALSE))+Character!$C$36+Character!$F$36+IF($B31="Yes",2,0))</f>
        <v xml:space="preserve"> </v>
      </c>
      <c r="G31" s="277" t="str">
        <f>IF(VLOOKUP($A31,Character!$I$45:$J$53,2,FALSE)="No"," ",VLOOKUP(VLOOKUP(G$1,Calcs!$E$110:$F$117,2,FALSE),Character!$A$9:$B$16,2,FALSE)+IF(VLOOKUP($A31,Character!$I$45:$J$53,2,FALSE)="Yes",0,VLOOKUP($A31,Character!$I$45:$J$53,2,FALSE))+Character!$C$36+Character!$F$36+IF($B31="Yes",2,0))</f>
        <v xml:space="preserve"> </v>
      </c>
      <c r="H31" s="277" t="str">
        <f>IF(VLOOKUP($A31,Character!$I$45:$J$53,2,FALSE)="No"," ",VLOOKUP(VLOOKUP(H$1,Calcs!$E$110:$F$117,2,FALSE),Character!$A$9:$B$16,2,FALSE)+IF(VLOOKUP($A31,Character!$I$45:$J$53,2,FALSE)="Yes",0,VLOOKUP($A31,Character!$I$45:$J$53,2,FALSE))+Character!$C$36+Character!$F$36+IF($B31="Yes",2,0))</f>
        <v xml:space="preserve"> </v>
      </c>
      <c r="I31" s="277" t="str">
        <f>IF(VLOOKUP($A31,Character!$I$45:$J$53,2,FALSE)="No"," ",VLOOKUP(VLOOKUP(I$1,Calcs!$E$110:$F$117,2,FALSE),Character!$A$9:$B$16,2,FALSE)+IF(VLOOKUP($A31,Character!$I$45:$J$53,2,FALSE)="Yes",0,VLOOKUP($A31,Character!$I$45:$J$53,2,FALSE))+Character!$C$36+Character!$F$36+IF($B31="Yes",2,0))</f>
        <v xml:space="preserve"> </v>
      </c>
      <c r="J31" s="277" t="str">
        <f>IF(VLOOKUP($A31,Character!$I$45:$J$53,2,FALSE)="No"," ",VLOOKUP(VLOOKUP(J$1,Calcs!$E$110:$F$117,2,FALSE),Character!$A$9:$B$16,2,FALSE)+IF(VLOOKUP($A31,Character!$I$45:$J$53,2,FALSE)="Yes",0,VLOOKUP($A31,Character!$I$45:$J$53,2,FALSE))+Character!$C$36+Character!$F$36+IF($B31="Yes",2,0))</f>
        <v xml:space="preserve"> </v>
      </c>
      <c r="K31" s="285" t="str">
        <f>IF(VLOOKUP($A31,Character!$I$45:$J$53,2,FALSE)="No"," ",VLOOKUP(VLOOKUP(K$1,Calcs!$E$110:$F$117,2,FALSE),Character!$A$9:$B$16,2,FALSE)+IF(VLOOKUP($A31,Character!$I$45:$J$53,2,FALSE)="Yes",0,VLOOKUP($A31,Character!$I$45:$J$53,2,FALSE))+Character!$C$36+Character!$F$36+IF($B31="Yes",2,0))</f>
        <v xml:space="preserve"> </v>
      </c>
      <c r="L31" s="15"/>
      <c r="M31" s="292" t="str">
        <f>Character!M64</f>
        <v xml:space="preserve"> </v>
      </c>
      <c r="N31" s="301" t="s">
        <v>48</v>
      </c>
      <c r="O31" s="591" t="str">
        <f>IF(ISBLANK(Character!O64)," ",Character!O64)</f>
        <v xml:space="preserve"> </v>
      </c>
      <c r="P31" s="611" t="str">
        <f>IF($M31=" "," ",IF(VLOOKUP($M31,Character!$M$56:$N$66,2,FALSE)="No"," ",VLOOKUP(VLOOKUP(P$1,Calcs!$E$110:$F$117,2,FALSE),Character!$A$9:$B$16,2,FALSE)+IF(VLOOKUP($M31,Character!$M$56:$N$66,2,FALSE)="Yes",0,VLOOKUP($M31,Character!$M$56:$N$66,2,FALSE))+Character!$C$36+Character!$F$36+IF($N31="Yes",2,0)))</f>
        <v xml:space="preserve"> </v>
      </c>
      <c r="Q31" s="612" t="str">
        <f>IF($M31=" "," ",IF(VLOOKUP($M31,Character!$M$56:$N$66,2,FALSE)="No"," ",VLOOKUP(VLOOKUP(Q$1,Calcs!$E$110:$F$117,2,FALSE),Character!$A$9:$B$16,2,FALSE)+IF(VLOOKUP($M31,Character!$M$56:$N$66,2,FALSE)="Yes",0,VLOOKUP($M31,Character!$M$56:$N$66,2,FALSE))+Character!$C$36+Character!$F$36+IF($N31="Yes",2,0)))</f>
        <v xml:space="preserve"> </v>
      </c>
      <c r="R31" s="612" t="str">
        <f>IF($M31=" "," ",IF(VLOOKUP($M31,Character!$M$56:$N$66,2,FALSE)="No"," ",VLOOKUP(VLOOKUP(R$1,Calcs!$E$110:$F$117,2,FALSE),Character!$A$9:$B$16,2,FALSE)+IF(VLOOKUP($M31,Character!$M$56:$N$66,2,FALSE)="Yes",0,VLOOKUP($M31,Character!$M$56:$N$66,2,FALSE))+Character!$C$36+Character!$F$36+IF($N31="Yes",2,0)))</f>
        <v xml:space="preserve"> </v>
      </c>
      <c r="S31" s="612" t="str">
        <f>IF($M31=" "," ",IF(VLOOKUP($M31,Character!$M$56:$N$66,2,FALSE)="No"," ",VLOOKUP(VLOOKUP(S$1,Calcs!$E$110:$F$117,2,FALSE),Character!$A$9:$B$16,2,FALSE)+IF(VLOOKUP($M31,Character!$M$56:$N$66,2,FALSE)="Yes",0,VLOOKUP($M31,Character!$M$56:$N$66,2,FALSE))+Character!$C$36+Character!$F$36+IF($N31="Yes",2,0)))</f>
        <v xml:space="preserve"> </v>
      </c>
      <c r="T31" s="612" t="str">
        <f>IF($M31=" "," ",IF(VLOOKUP($M31,Character!$M$56:$N$66,2,FALSE)="No"," ",VLOOKUP(VLOOKUP(T$1,Calcs!$E$110:$F$117,2,FALSE),Character!$A$9:$B$16,2,FALSE)+IF(VLOOKUP($M31,Character!$M$56:$N$66,2,FALSE)="Yes",0,VLOOKUP($M31,Character!$M$56:$N$66,2,FALSE))+Character!$C$36+Character!$F$36+IF($N31="Yes",2,0)))</f>
        <v xml:space="preserve"> </v>
      </c>
      <c r="U31" s="612" t="str">
        <f>IF($M31=" "," ",IF(VLOOKUP($M31,Character!$M$56:$N$66,2,FALSE)="No"," ",VLOOKUP(VLOOKUP(U$1,Calcs!$E$110:$F$117,2,FALSE),Character!$A$9:$B$16,2,FALSE)+IF(VLOOKUP($M31,Character!$M$56:$N$66,2,FALSE)="Yes",0,VLOOKUP($M31,Character!$M$56:$N$66,2,FALSE))+Character!$C$36+Character!$F$36+IF($N31="Yes",2,0)))</f>
        <v xml:space="preserve"> </v>
      </c>
      <c r="V31" s="612" t="str">
        <f>IF($M31=" "," ",IF(VLOOKUP($M31,Character!$M$56:$N$66,2,FALSE)="No"," ",VLOOKUP(VLOOKUP(V$1,Calcs!$E$110:$F$117,2,FALSE),Character!$A$9:$B$16,2,FALSE)+IF(VLOOKUP($M31,Character!$M$56:$N$66,2,FALSE)="Yes",0,VLOOKUP($M31,Character!$M$56:$N$66,2,FALSE))+Character!$C$36+Character!$F$36+IF($N31="Yes",2,0)))</f>
        <v xml:space="preserve"> </v>
      </c>
      <c r="W31" s="613" t="str">
        <f>IF($M31=" "," ",IF(VLOOKUP($M31,Character!$M$56:$N$66,2,FALSE)="No"," ",VLOOKUP(VLOOKUP(W$1,Calcs!$E$110:$F$117,2,FALSE),Character!$A$9:$B$16,2,FALSE)+IF(VLOOKUP($M31,Character!$M$56:$N$66,2,FALSE)="Yes",0,VLOOKUP($M31,Character!$M$56:$N$66,2,FALSE))+Character!$C$36+Character!$F$36+IF($N31="Yes",2,0)))</f>
        <v xml:space="preserve"> </v>
      </c>
      <c r="X31" s="15"/>
      <c r="Y31" s="15"/>
    </row>
    <row r="32" spans="1:25" x14ac:dyDescent="0.2">
      <c r="A32" s="292" t="str">
        <f>Character!I47</f>
        <v>Faerie Lore</v>
      </c>
      <c r="B32" s="383" t="s">
        <v>185</v>
      </c>
      <c r="C32" s="591" t="str">
        <f>IF(ISBLANK(Character!K47)," ",Character!K47)</f>
        <v xml:space="preserve"> </v>
      </c>
      <c r="D32" s="279" t="str">
        <f>IF(VLOOKUP($A32,Character!$I$45:$J$53,2,FALSE)="No"," ",VLOOKUP(VLOOKUP(D$1,Calcs!$E$110:$F$117,2,FALSE),Character!$A$9:$B$16,2,FALSE)+IF(VLOOKUP($A32,Character!$I$45:$J$53,2,FALSE)="Yes",0,VLOOKUP($A32,Character!$I$45:$J$53,2,FALSE))+Character!$C$36+Character!$F$36+IF($B32="Yes",2,0))</f>
        <v xml:space="preserve"> </v>
      </c>
      <c r="E32" s="277" t="str">
        <f>IF(VLOOKUP($A32,Character!$I$45:$J$53,2,FALSE)="No"," ",VLOOKUP(VLOOKUP(E$1,Calcs!$E$110:$F$117,2,FALSE),Character!$A$9:$B$16,2,FALSE)+IF(VLOOKUP($A32,Character!$I$45:$J$53,2,FALSE)="Yes",0,VLOOKUP($A32,Character!$I$45:$J$53,2,FALSE))+Character!$C$36+Character!$F$36+IF($B32="Yes",2,0))</f>
        <v xml:space="preserve"> </v>
      </c>
      <c r="F32" s="277" t="str">
        <f>IF(VLOOKUP($A32,Character!$I$45:$J$53,2,FALSE)="No"," ",VLOOKUP(VLOOKUP(F$1,Calcs!$E$110:$F$117,2,FALSE),Character!$A$9:$B$16,2,FALSE)+IF(VLOOKUP($A32,Character!$I$45:$J$53,2,FALSE)="Yes",0,VLOOKUP($A32,Character!$I$45:$J$53,2,FALSE))+Character!$C$36+Character!$F$36+IF($B32="Yes",2,0))</f>
        <v xml:space="preserve"> </v>
      </c>
      <c r="G32" s="277" t="str">
        <f>IF(VLOOKUP($A32,Character!$I$45:$J$53,2,FALSE)="No"," ",VLOOKUP(VLOOKUP(G$1,Calcs!$E$110:$F$117,2,FALSE),Character!$A$9:$B$16,2,FALSE)+IF(VLOOKUP($A32,Character!$I$45:$J$53,2,FALSE)="Yes",0,VLOOKUP($A32,Character!$I$45:$J$53,2,FALSE))+Character!$C$36+Character!$F$36+IF($B32="Yes",2,0))</f>
        <v xml:space="preserve"> </v>
      </c>
      <c r="H32" s="277" t="str">
        <f>IF(VLOOKUP($A32,Character!$I$45:$J$53,2,FALSE)="No"," ",VLOOKUP(VLOOKUP(H$1,Calcs!$E$110:$F$117,2,FALSE),Character!$A$9:$B$16,2,FALSE)+IF(VLOOKUP($A32,Character!$I$45:$J$53,2,FALSE)="Yes",0,VLOOKUP($A32,Character!$I$45:$J$53,2,FALSE))+Character!$C$36+Character!$F$36+IF($B32="Yes",2,0))</f>
        <v xml:space="preserve"> </v>
      </c>
      <c r="I32" s="277" t="str">
        <f>IF(VLOOKUP($A32,Character!$I$45:$J$53,2,FALSE)="No"," ",VLOOKUP(VLOOKUP(I$1,Calcs!$E$110:$F$117,2,FALSE),Character!$A$9:$B$16,2,FALSE)+IF(VLOOKUP($A32,Character!$I$45:$J$53,2,FALSE)="Yes",0,VLOOKUP($A32,Character!$I$45:$J$53,2,FALSE))+Character!$C$36+Character!$F$36+IF($B32="Yes",2,0))</f>
        <v xml:space="preserve"> </v>
      </c>
      <c r="J32" s="277" t="str">
        <f>IF(VLOOKUP($A32,Character!$I$45:$J$53,2,FALSE)="No"," ",VLOOKUP(VLOOKUP(J$1,Calcs!$E$110:$F$117,2,FALSE),Character!$A$9:$B$16,2,FALSE)+IF(VLOOKUP($A32,Character!$I$45:$J$53,2,FALSE)="Yes",0,VLOOKUP($A32,Character!$I$45:$J$53,2,FALSE))+Character!$C$36+Character!$F$36+IF($B32="Yes",2,0))</f>
        <v xml:space="preserve"> </v>
      </c>
      <c r="K32" s="285" t="str">
        <f>IF(VLOOKUP($A32,Character!$I$45:$J$53,2,FALSE)="No"," ",VLOOKUP(VLOOKUP(K$1,Calcs!$E$110:$F$117,2,FALSE),Character!$A$9:$B$16,2,FALSE)+IF(VLOOKUP($A32,Character!$I$45:$J$53,2,FALSE)="Yes",0,VLOOKUP($A32,Character!$I$45:$J$53,2,FALSE))+Character!$C$36+Character!$F$36+IF($B32="Yes",2,0))</f>
        <v xml:space="preserve"> </v>
      </c>
      <c r="L32" s="15"/>
      <c r="M32" s="292" t="str">
        <f>Character!M65</f>
        <v xml:space="preserve"> </v>
      </c>
      <c r="N32" s="301" t="s">
        <v>48</v>
      </c>
      <c r="O32" s="591" t="str">
        <f>IF(ISBLANK(Character!O65)," ",Character!O65)</f>
        <v xml:space="preserve"> </v>
      </c>
      <c r="P32" s="611" t="str">
        <f>IF($M32=" "," ",IF(VLOOKUP($M32,Character!$M$56:$N$66,2,FALSE)="No"," ",VLOOKUP(VLOOKUP(P$1,Calcs!$E$110:$F$117,2,FALSE),Character!$A$9:$B$16,2,FALSE)+IF(VLOOKUP($M32,Character!$M$56:$N$66,2,FALSE)="Yes",0,VLOOKUP($M32,Character!$M$56:$N$66,2,FALSE))+Character!$C$36+Character!$F$36+IF($N32="Yes",2,0)))</f>
        <v xml:space="preserve"> </v>
      </c>
      <c r="Q32" s="612" t="str">
        <f>IF($M32=" "," ",IF(VLOOKUP($M32,Character!$M$56:$N$66,2,FALSE)="No"," ",VLOOKUP(VLOOKUP(Q$1,Calcs!$E$110:$F$117,2,FALSE),Character!$A$9:$B$16,2,FALSE)+IF(VLOOKUP($M32,Character!$M$56:$N$66,2,FALSE)="Yes",0,VLOOKUP($M32,Character!$M$56:$N$66,2,FALSE))+Character!$C$36+Character!$F$36+IF($N32="Yes",2,0)))</f>
        <v xml:space="preserve"> </v>
      </c>
      <c r="R32" s="612" t="str">
        <f>IF($M32=" "," ",IF(VLOOKUP($M32,Character!$M$56:$N$66,2,FALSE)="No"," ",VLOOKUP(VLOOKUP(R$1,Calcs!$E$110:$F$117,2,FALSE),Character!$A$9:$B$16,2,FALSE)+IF(VLOOKUP($M32,Character!$M$56:$N$66,2,FALSE)="Yes",0,VLOOKUP($M32,Character!$M$56:$N$66,2,FALSE))+Character!$C$36+Character!$F$36+IF($N32="Yes",2,0)))</f>
        <v xml:space="preserve"> </v>
      </c>
      <c r="S32" s="612" t="str">
        <f>IF($M32=" "," ",IF(VLOOKUP($M32,Character!$M$56:$N$66,2,FALSE)="No"," ",VLOOKUP(VLOOKUP(S$1,Calcs!$E$110:$F$117,2,FALSE),Character!$A$9:$B$16,2,FALSE)+IF(VLOOKUP($M32,Character!$M$56:$N$66,2,FALSE)="Yes",0,VLOOKUP($M32,Character!$M$56:$N$66,2,FALSE))+Character!$C$36+Character!$F$36+IF($N32="Yes",2,0)))</f>
        <v xml:space="preserve"> </v>
      </c>
      <c r="T32" s="612" t="str">
        <f>IF($M32=" "," ",IF(VLOOKUP($M32,Character!$M$56:$N$66,2,FALSE)="No"," ",VLOOKUP(VLOOKUP(T$1,Calcs!$E$110:$F$117,2,FALSE),Character!$A$9:$B$16,2,FALSE)+IF(VLOOKUP($M32,Character!$M$56:$N$66,2,FALSE)="Yes",0,VLOOKUP($M32,Character!$M$56:$N$66,2,FALSE))+Character!$C$36+Character!$F$36+IF($N32="Yes",2,0)))</f>
        <v xml:space="preserve"> </v>
      </c>
      <c r="U32" s="612" t="str">
        <f>IF($M32=" "," ",IF(VLOOKUP($M32,Character!$M$56:$N$66,2,FALSE)="No"," ",VLOOKUP(VLOOKUP(U$1,Calcs!$E$110:$F$117,2,FALSE),Character!$A$9:$B$16,2,FALSE)+IF(VLOOKUP($M32,Character!$M$56:$N$66,2,FALSE)="Yes",0,VLOOKUP($M32,Character!$M$56:$N$66,2,FALSE))+Character!$C$36+Character!$F$36+IF($N32="Yes",2,0)))</f>
        <v xml:space="preserve"> </v>
      </c>
      <c r="V32" s="612" t="str">
        <f>IF($M32=" "," ",IF(VLOOKUP($M32,Character!$M$56:$N$66,2,FALSE)="No"," ",VLOOKUP(VLOOKUP(V$1,Calcs!$E$110:$F$117,2,FALSE),Character!$A$9:$B$16,2,FALSE)+IF(VLOOKUP($M32,Character!$M$56:$N$66,2,FALSE)="Yes",0,VLOOKUP($M32,Character!$M$56:$N$66,2,FALSE))+Character!$C$36+Character!$F$36+IF($N32="Yes",2,0)))</f>
        <v xml:space="preserve"> </v>
      </c>
      <c r="W32" s="613" t="str">
        <f>IF($M32=" "," ",IF(VLOOKUP($M32,Character!$M$56:$N$66,2,FALSE)="No"," ",VLOOKUP(VLOOKUP(W$1,Calcs!$E$110:$F$117,2,FALSE),Character!$A$9:$B$16,2,FALSE)+IF(VLOOKUP($M32,Character!$M$56:$N$66,2,FALSE)="Yes",0,VLOOKUP($M32,Character!$M$56:$N$66,2,FALSE))+Character!$C$36+Character!$F$36+IF($N32="Yes",2,0)))</f>
        <v xml:space="preserve"> </v>
      </c>
      <c r="X32" s="15"/>
      <c r="Y32" s="15"/>
    </row>
    <row r="33" spans="1:25" x14ac:dyDescent="0.2">
      <c r="A33" s="292" t="str">
        <f>Character!I48</f>
        <v>Finesse</v>
      </c>
      <c r="B33" s="383" t="s">
        <v>185</v>
      </c>
      <c r="C33" s="591" t="str">
        <f>IF(ISBLANK(Character!K48)," ",Character!K48)</f>
        <v xml:space="preserve"> </v>
      </c>
      <c r="D33" s="279">
        <f>IF(VLOOKUP($A33,Character!$I$45:$J$53,2,FALSE)="No"," ",VLOOKUP(VLOOKUP(D$1,Calcs!$E$110:$F$117,2,FALSE),Character!$A$9:$B$16,2,FALSE)+IF(VLOOKUP($A33,Character!$I$45:$J$53,2,FALSE)="Yes",0,VLOOKUP($A33,Character!$I$45:$J$53,2,FALSE))+Character!$C$36+Character!$F$36+IF($B33="Yes",2,0))</f>
        <v>0</v>
      </c>
      <c r="E33" s="277">
        <f>IF(VLOOKUP($A33,Character!$I$45:$J$53,2,FALSE)="No"," ",VLOOKUP(VLOOKUP(E$1,Calcs!$E$110:$F$117,2,FALSE),Character!$A$9:$B$16,2,FALSE)+IF(VLOOKUP($A33,Character!$I$45:$J$53,2,FALSE)="Yes",0,VLOOKUP($A33,Character!$I$45:$J$53,2,FALSE))+Character!$C$36+Character!$F$36+IF($B33="Yes",2,0))</f>
        <v>0</v>
      </c>
      <c r="F33" s="277">
        <f>IF(VLOOKUP($A33,Character!$I$45:$J$53,2,FALSE)="No"," ",VLOOKUP(VLOOKUP(F$1,Calcs!$E$110:$F$117,2,FALSE),Character!$A$9:$B$16,2,FALSE)+IF(VLOOKUP($A33,Character!$I$45:$J$53,2,FALSE)="Yes",0,VLOOKUP($A33,Character!$I$45:$J$53,2,FALSE))+Character!$C$36+Character!$F$36+IF($B33="Yes",2,0))</f>
        <v>0</v>
      </c>
      <c r="G33" s="277">
        <f>IF(VLOOKUP($A33,Character!$I$45:$J$53,2,FALSE)="No"," ",VLOOKUP(VLOOKUP(G$1,Calcs!$E$110:$F$117,2,FALSE),Character!$A$9:$B$16,2,FALSE)+IF(VLOOKUP($A33,Character!$I$45:$J$53,2,FALSE)="Yes",0,VLOOKUP($A33,Character!$I$45:$J$53,2,FALSE))+Character!$C$36+Character!$F$36+IF($B33="Yes",2,0))</f>
        <v>0</v>
      </c>
      <c r="H33" s="277">
        <f>IF(VLOOKUP($A33,Character!$I$45:$J$53,2,FALSE)="No"," ",VLOOKUP(VLOOKUP(H$1,Calcs!$E$110:$F$117,2,FALSE),Character!$A$9:$B$16,2,FALSE)+IF(VLOOKUP($A33,Character!$I$45:$J$53,2,FALSE)="Yes",0,VLOOKUP($A33,Character!$I$45:$J$53,2,FALSE))+Character!$C$36+Character!$F$36+IF($B33="Yes",2,0))</f>
        <v>0</v>
      </c>
      <c r="I33" s="277">
        <f>IF(VLOOKUP($A33,Character!$I$45:$J$53,2,FALSE)="No"," ",VLOOKUP(VLOOKUP(I$1,Calcs!$E$110:$F$117,2,FALSE),Character!$A$9:$B$16,2,FALSE)+IF(VLOOKUP($A33,Character!$I$45:$J$53,2,FALSE)="Yes",0,VLOOKUP($A33,Character!$I$45:$J$53,2,FALSE))+Character!$C$36+Character!$F$36+IF($B33="Yes",2,0))</f>
        <v>0</v>
      </c>
      <c r="J33" s="277">
        <f>IF(VLOOKUP($A33,Character!$I$45:$J$53,2,FALSE)="No"," ",VLOOKUP(VLOOKUP(J$1,Calcs!$E$110:$F$117,2,FALSE),Character!$A$9:$B$16,2,FALSE)+IF(VLOOKUP($A33,Character!$I$45:$J$53,2,FALSE)="Yes",0,VLOOKUP($A33,Character!$I$45:$J$53,2,FALSE))+Character!$C$36+Character!$F$36+IF($B33="Yes",2,0))</f>
        <v>0</v>
      </c>
      <c r="K33" s="285">
        <f>IF(VLOOKUP($A33,Character!$I$45:$J$53,2,FALSE)="No"," ",VLOOKUP(VLOOKUP(K$1,Calcs!$E$110:$F$117,2,FALSE),Character!$A$9:$B$16,2,FALSE)+IF(VLOOKUP($A33,Character!$I$45:$J$53,2,FALSE)="Yes",0,VLOOKUP($A33,Character!$I$45:$J$53,2,FALSE))+Character!$C$36+Character!$F$36+IF($B33="Yes",2,0))</f>
        <v>0</v>
      </c>
      <c r="L33" s="15"/>
      <c r="M33" s="293" t="str">
        <f>Character!M66</f>
        <v xml:space="preserve"> </v>
      </c>
      <c r="N33" s="619" t="s">
        <v>48</v>
      </c>
      <c r="O33" s="620" t="str">
        <f>IF(ISBLANK(Character!O66)," ",Character!O66)</f>
        <v xml:space="preserve"> </v>
      </c>
      <c r="P33" s="614" t="str">
        <f>IF($M33=" "," ",IF(VLOOKUP($M33,Character!$M$56:$N$66,2,FALSE)="No"," ",VLOOKUP(VLOOKUP(P$1,Calcs!$E$110:$F$117,2,FALSE),Character!$A$9:$B$16,2,FALSE)+IF(VLOOKUP($M33,Character!$M$56:$N$66,2,FALSE)="Yes",0,VLOOKUP($M33,Character!$M$56:$N$66,2,FALSE))+Character!$C$36+Character!$F$36+IF($N33="Yes",2,0)))</f>
        <v xml:space="preserve"> </v>
      </c>
      <c r="Q33" s="615" t="str">
        <f>IF($M33=" "," ",IF(VLOOKUP($M33,Character!$M$56:$N$66,2,FALSE)="No"," ",VLOOKUP(VLOOKUP(Q$1,Calcs!$E$110:$F$117,2,FALSE),Character!$A$9:$B$16,2,FALSE)+IF(VLOOKUP($M33,Character!$M$56:$N$66,2,FALSE)="Yes",0,VLOOKUP($M33,Character!$M$56:$N$66,2,FALSE))+Character!$C$36+Character!$F$36+IF($N33="Yes",2,0)))</f>
        <v xml:space="preserve"> </v>
      </c>
      <c r="R33" s="615" t="str">
        <f>IF($M33=" "," ",IF(VLOOKUP($M33,Character!$M$56:$N$66,2,FALSE)="No"," ",VLOOKUP(VLOOKUP(R$1,Calcs!$E$110:$F$117,2,FALSE),Character!$A$9:$B$16,2,FALSE)+IF(VLOOKUP($M33,Character!$M$56:$N$66,2,FALSE)="Yes",0,VLOOKUP($M33,Character!$M$56:$N$66,2,FALSE))+Character!$C$36+Character!$F$36+IF($N33="Yes",2,0)))</f>
        <v xml:space="preserve"> </v>
      </c>
      <c r="S33" s="615" t="str">
        <f>IF($M33=" "," ",IF(VLOOKUP($M33,Character!$M$56:$N$66,2,FALSE)="No"," ",VLOOKUP(VLOOKUP(S$1,Calcs!$E$110:$F$117,2,FALSE),Character!$A$9:$B$16,2,FALSE)+IF(VLOOKUP($M33,Character!$M$56:$N$66,2,FALSE)="Yes",0,VLOOKUP($M33,Character!$M$56:$N$66,2,FALSE))+Character!$C$36+Character!$F$36+IF($N33="Yes",2,0)))</f>
        <v xml:space="preserve"> </v>
      </c>
      <c r="T33" s="615" t="str">
        <f>IF($M33=" "," ",IF(VLOOKUP($M33,Character!$M$56:$N$66,2,FALSE)="No"," ",VLOOKUP(VLOOKUP(T$1,Calcs!$E$110:$F$117,2,FALSE),Character!$A$9:$B$16,2,FALSE)+IF(VLOOKUP($M33,Character!$M$56:$N$66,2,FALSE)="Yes",0,VLOOKUP($M33,Character!$M$56:$N$66,2,FALSE))+Character!$C$36+Character!$F$36+IF($N33="Yes",2,0)))</f>
        <v xml:space="preserve"> </v>
      </c>
      <c r="U33" s="615" t="str">
        <f>IF($M33=" "," ",IF(VLOOKUP($M33,Character!$M$56:$N$66,2,FALSE)="No"," ",VLOOKUP(VLOOKUP(U$1,Calcs!$E$110:$F$117,2,FALSE),Character!$A$9:$B$16,2,FALSE)+IF(VLOOKUP($M33,Character!$M$56:$N$66,2,FALSE)="Yes",0,VLOOKUP($M33,Character!$M$56:$N$66,2,FALSE))+Character!$C$36+Character!$F$36+IF($N33="Yes",2,0)))</f>
        <v xml:space="preserve"> </v>
      </c>
      <c r="V33" s="615" t="str">
        <f>IF($M33=" "," ",IF(VLOOKUP($M33,Character!$M$56:$N$66,2,FALSE)="No"," ",VLOOKUP(VLOOKUP(V$1,Calcs!$E$110:$F$117,2,FALSE),Character!$A$9:$B$16,2,FALSE)+IF(VLOOKUP($M33,Character!$M$56:$N$66,2,FALSE)="Yes",0,VLOOKUP($M33,Character!$M$56:$N$66,2,FALSE))+Character!$C$36+Character!$F$36+IF($N33="Yes",2,0)))</f>
        <v xml:space="preserve"> </v>
      </c>
      <c r="W33" s="616" t="str">
        <f>IF($M33=" "," ",IF(VLOOKUP($M33,Character!$M$56:$N$66,2,FALSE)="No"," ",VLOOKUP(VLOOKUP(W$1,Calcs!$E$110:$F$117,2,FALSE),Character!$A$9:$B$16,2,FALSE)+IF(VLOOKUP($M33,Character!$M$56:$N$66,2,FALSE)="Yes",0,VLOOKUP($M33,Character!$M$56:$N$66,2,FALSE))+Character!$C$36+Character!$F$36+IF($N33="Yes",2,0)))</f>
        <v xml:space="preserve"> </v>
      </c>
      <c r="X33" s="15"/>
      <c r="Y33" s="15"/>
    </row>
    <row r="34" spans="1:25" x14ac:dyDescent="0.2">
      <c r="A34" s="292" t="str">
        <f>Character!I49</f>
        <v>Infernal Lore</v>
      </c>
      <c r="B34" s="383" t="s">
        <v>185</v>
      </c>
      <c r="C34" s="591" t="str">
        <f>IF(ISBLANK(Character!K49)," ",Character!K49)</f>
        <v xml:space="preserve"> </v>
      </c>
      <c r="D34" s="279" t="str">
        <f>IF(VLOOKUP($A34,Character!$I$45:$J$53,2,FALSE)="No"," ",VLOOKUP(VLOOKUP(D$1,Calcs!$E$110:$F$117,2,FALSE),Character!$A$9:$B$16,2,FALSE)+IF(VLOOKUP($A34,Character!$I$45:$J$53,2,FALSE)="Yes",0,VLOOKUP($A34,Character!$I$45:$J$53,2,FALSE))+Character!$C$36+Character!$F$36+IF($B34="Yes",2,0))</f>
        <v xml:space="preserve"> </v>
      </c>
      <c r="E34" s="277" t="str">
        <f>IF(VLOOKUP($A34,Character!$I$45:$J$53,2,FALSE)="No"," ",VLOOKUP(VLOOKUP(E$1,Calcs!$E$110:$F$117,2,FALSE),Character!$A$9:$B$16,2,FALSE)+IF(VLOOKUP($A34,Character!$I$45:$J$53,2,FALSE)="Yes",0,VLOOKUP($A34,Character!$I$45:$J$53,2,FALSE))+Character!$C$36+Character!$F$36+IF($B34="Yes",2,0))</f>
        <v xml:space="preserve"> </v>
      </c>
      <c r="F34" s="277" t="str">
        <f>IF(VLOOKUP($A34,Character!$I$45:$J$53,2,FALSE)="No"," ",VLOOKUP(VLOOKUP(F$1,Calcs!$E$110:$F$117,2,FALSE),Character!$A$9:$B$16,2,FALSE)+IF(VLOOKUP($A34,Character!$I$45:$J$53,2,FALSE)="Yes",0,VLOOKUP($A34,Character!$I$45:$J$53,2,FALSE))+Character!$C$36+Character!$F$36+IF($B34="Yes",2,0))</f>
        <v xml:space="preserve"> </v>
      </c>
      <c r="G34" s="277" t="str">
        <f>IF(VLOOKUP($A34,Character!$I$45:$J$53,2,FALSE)="No"," ",VLOOKUP(VLOOKUP(G$1,Calcs!$E$110:$F$117,2,FALSE),Character!$A$9:$B$16,2,FALSE)+IF(VLOOKUP($A34,Character!$I$45:$J$53,2,FALSE)="Yes",0,VLOOKUP($A34,Character!$I$45:$J$53,2,FALSE))+Character!$C$36+Character!$F$36+IF($B34="Yes",2,0))</f>
        <v xml:space="preserve"> </v>
      </c>
      <c r="H34" s="277" t="str">
        <f>IF(VLOOKUP($A34,Character!$I$45:$J$53,2,FALSE)="No"," ",VLOOKUP(VLOOKUP(H$1,Calcs!$E$110:$F$117,2,FALSE),Character!$A$9:$B$16,2,FALSE)+IF(VLOOKUP($A34,Character!$I$45:$J$53,2,FALSE)="Yes",0,VLOOKUP($A34,Character!$I$45:$J$53,2,FALSE))+Character!$C$36+Character!$F$36+IF($B34="Yes",2,0))</f>
        <v xml:space="preserve"> </v>
      </c>
      <c r="I34" s="277" t="str">
        <f>IF(VLOOKUP($A34,Character!$I$45:$J$53,2,FALSE)="No"," ",VLOOKUP(VLOOKUP(I$1,Calcs!$E$110:$F$117,2,FALSE),Character!$A$9:$B$16,2,FALSE)+IF(VLOOKUP($A34,Character!$I$45:$J$53,2,FALSE)="Yes",0,VLOOKUP($A34,Character!$I$45:$J$53,2,FALSE))+Character!$C$36+Character!$F$36+IF($B34="Yes",2,0))</f>
        <v xml:space="preserve"> </v>
      </c>
      <c r="J34" s="277" t="str">
        <f>IF(VLOOKUP($A34,Character!$I$45:$J$53,2,FALSE)="No"," ",VLOOKUP(VLOOKUP(J$1,Calcs!$E$110:$F$117,2,FALSE),Character!$A$9:$B$16,2,FALSE)+IF(VLOOKUP($A34,Character!$I$45:$J$53,2,FALSE)="Yes",0,VLOOKUP($A34,Character!$I$45:$J$53,2,FALSE))+Character!$C$36+Character!$F$36+IF($B34="Yes",2,0))</f>
        <v xml:space="preserve"> </v>
      </c>
      <c r="K34" s="285" t="str">
        <f>IF(VLOOKUP($A34,Character!$I$45:$J$53,2,FALSE)="No"," ",VLOOKUP(VLOOKUP(K$1,Calcs!$E$110:$F$117,2,FALSE),Character!$A$9:$B$16,2,FALSE)+IF(VLOOKUP($A34,Character!$I$45:$J$53,2,FALSE)="Yes",0,VLOOKUP($A34,Character!$I$45:$J$53,2,FALSE))+Character!$C$36+Character!$F$36+IF($B34="Yes",2,0))</f>
        <v xml:space="preserve"> </v>
      </c>
      <c r="L34" s="15"/>
      <c r="M34" s="598" t="str">
        <f>Character!I62</f>
        <v xml:space="preserve"> </v>
      </c>
      <c r="N34" s="688" t="s">
        <v>48</v>
      </c>
      <c r="O34" s="625" t="str">
        <f>IF(ISBLANK(Character!K62)," ",Character!K62)</f>
        <v xml:space="preserve"> </v>
      </c>
      <c r="P34" s="589" t="str">
        <f>IF($M34=" "," ",IF(VLOOKUP($M34,Character!$I$62:$J$66,2,FALSE)="No"," ",VLOOKUP(VLOOKUP(P$1,Calcs!$E$110:$F$117,2,FALSE),Character!$A$9:$B$16,2,FALSE)+IF(VLOOKUP($M34,Character!$I$62:$J$66,2,FALSE)="Yes",0,VLOOKUP($M34,Character!$I$62:$J$66,2,FALSE))+Character!$C$36+Character!$F$36+IF($N34="Yes",2,0)))</f>
        <v xml:space="preserve"> </v>
      </c>
      <c r="Q34" s="609" t="str">
        <f>IF($M34=" "," ",IF(VLOOKUP($M34,Character!$I$62:$J$66,2,FALSE)="No"," ",VLOOKUP(VLOOKUP(Q$1,Calcs!$E$110:$F$117,2,FALSE),Character!$A$9:$B$16,2,FALSE)+IF(VLOOKUP($M34,Character!$I$62:$J$66,2,FALSE)="Yes",0,VLOOKUP($M34,Character!$I$62:$J$66,2,FALSE))+Character!$C$36+Character!$F$36+IF($N34="Yes",2,0)))</f>
        <v xml:space="preserve"> </v>
      </c>
      <c r="R34" s="609" t="str">
        <f>IF($M34=" "," ",IF(VLOOKUP($M34,Character!$I$62:$J$66,2,FALSE)="No"," ",VLOOKUP(VLOOKUP(R$1,Calcs!$E$110:$F$117,2,FALSE),Character!$A$9:$B$16,2,FALSE)+IF(VLOOKUP($M34,Character!$I$62:$J$66,2,FALSE)="Yes",0,VLOOKUP($M34,Character!$I$62:$J$66,2,FALSE))+Character!$C$36+Character!$F$36+IF($N34="Yes",2,0)))</f>
        <v xml:space="preserve"> </v>
      </c>
      <c r="S34" s="609" t="str">
        <f>IF($M34=" "," ",IF(VLOOKUP($M34,Character!$I$62:$J$66,2,FALSE)="No"," ",VLOOKUP(VLOOKUP(S$1,Calcs!$E$110:$F$117,2,FALSE),Character!$A$9:$B$16,2,FALSE)+IF(VLOOKUP($M34,Character!$I$62:$J$66,2,FALSE)="Yes",0,VLOOKUP($M34,Character!$I$62:$J$66,2,FALSE))+Character!$C$36+Character!$F$36+IF($N34="Yes",2,0)))</f>
        <v xml:space="preserve"> </v>
      </c>
      <c r="T34" s="609" t="str">
        <f>IF($M34=" "," ",IF(VLOOKUP($M34,Character!$I$62:$J$66,2,FALSE)="No"," ",VLOOKUP(VLOOKUP(T$1,Calcs!$E$110:$F$117,2,FALSE),Character!$A$9:$B$16,2,FALSE)+IF(VLOOKUP($M34,Character!$I$62:$J$66,2,FALSE)="Yes",0,VLOOKUP($M34,Character!$I$62:$J$66,2,FALSE))+Character!$C$36+Character!$F$36+IF($N34="Yes",2,0)))</f>
        <v xml:space="preserve"> </v>
      </c>
      <c r="U34" s="609" t="str">
        <f>IF($M34=" "," ",IF(VLOOKUP($M34,Character!$I$62:$J$66,2,FALSE)="No"," ",VLOOKUP(VLOOKUP(U$1,Calcs!$E$110:$F$117,2,FALSE),Character!$A$9:$B$16,2,FALSE)+IF(VLOOKUP($M34,Character!$I$62:$J$66,2,FALSE)="Yes",0,VLOOKUP($M34,Character!$I$62:$J$66,2,FALSE))+Character!$C$36+Character!$F$36+IF($N34="Yes",2,0)))</f>
        <v xml:space="preserve"> </v>
      </c>
      <c r="V34" s="609" t="str">
        <f>IF($M34=" "," ",IF(VLOOKUP($M34,Character!$I$62:$J$66,2,FALSE)="No"," ",VLOOKUP(VLOOKUP(V$1,Calcs!$E$110:$F$117,2,FALSE),Character!$A$9:$B$16,2,FALSE)+IF(VLOOKUP($M34,Character!$I$62:$J$66,2,FALSE)="Yes",0,VLOOKUP($M34,Character!$I$62:$J$66,2,FALSE))+Character!$C$36+Character!$F$36+IF($N34="Yes",2,0)))</f>
        <v xml:space="preserve"> </v>
      </c>
      <c r="W34" s="610" t="str">
        <f>IF($M34=" "," ",IF(VLOOKUP($M34,Character!$I$62:$J$66,2,FALSE)="No"," ",VLOOKUP(VLOOKUP(W$1,Calcs!$E$110:$F$117,2,FALSE),Character!$A$9:$B$16,2,FALSE)+IF(VLOOKUP($M34,Character!$I$62:$J$66,2,FALSE)="Yes",0,VLOOKUP($M34,Character!$I$62:$J$66,2,FALSE))+Character!$C$36+Character!$F$36+IF($N34="Yes",2,0)))</f>
        <v xml:space="preserve"> </v>
      </c>
      <c r="X34" s="15"/>
      <c r="Y34" s="15"/>
    </row>
    <row r="35" spans="1:25" x14ac:dyDescent="0.2">
      <c r="A35" s="292" t="str">
        <f>Character!I50</f>
        <v>Magic Lore</v>
      </c>
      <c r="B35" s="383" t="s">
        <v>185</v>
      </c>
      <c r="C35" s="591" t="str">
        <f>IF(ISBLANK(Character!K50)," ",Character!K50)</f>
        <v xml:space="preserve"> </v>
      </c>
      <c r="D35" s="279" t="str">
        <f>IF(VLOOKUP($A35,Character!$I$45:$J$53,2,FALSE)="No"," ",VLOOKUP(VLOOKUP(D$1,Calcs!$E$110:$F$117,2,FALSE),Character!$A$9:$B$16,2,FALSE)+IF(VLOOKUP($A35,Character!$I$45:$J$53,2,FALSE)="Yes",0,VLOOKUP($A35,Character!$I$45:$J$53,2,FALSE))+Character!$C$36+Character!$F$36+IF($B35="Yes",2,0))</f>
        <v xml:space="preserve"> </v>
      </c>
      <c r="E35" s="277" t="str">
        <f>IF(VLOOKUP($A35,Character!$I$45:$J$53,2,FALSE)="No"," ",VLOOKUP(VLOOKUP(E$1,Calcs!$E$110:$F$117,2,FALSE),Character!$A$9:$B$16,2,FALSE)+IF(VLOOKUP($A35,Character!$I$45:$J$53,2,FALSE)="Yes",0,VLOOKUP($A35,Character!$I$45:$J$53,2,FALSE))+Character!$C$36+Character!$F$36+IF($B35="Yes",2,0))</f>
        <v xml:space="preserve"> </v>
      </c>
      <c r="F35" s="277" t="str">
        <f>IF(VLOOKUP($A35,Character!$I$45:$J$53,2,FALSE)="No"," ",VLOOKUP(VLOOKUP(F$1,Calcs!$E$110:$F$117,2,FALSE),Character!$A$9:$B$16,2,FALSE)+IF(VLOOKUP($A35,Character!$I$45:$J$53,2,FALSE)="Yes",0,VLOOKUP($A35,Character!$I$45:$J$53,2,FALSE))+Character!$C$36+Character!$F$36+IF($B35="Yes",2,0))</f>
        <v xml:space="preserve"> </v>
      </c>
      <c r="G35" s="277" t="str">
        <f>IF(VLOOKUP($A35,Character!$I$45:$J$53,2,FALSE)="No"," ",VLOOKUP(VLOOKUP(G$1,Calcs!$E$110:$F$117,2,FALSE),Character!$A$9:$B$16,2,FALSE)+IF(VLOOKUP($A35,Character!$I$45:$J$53,2,FALSE)="Yes",0,VLOOKUP($A35,Character!$I$45:$J$53,2,FALSE))+Character!$C$36+Character!$F$36+IF($B35="Yes",2,0))</f>
        <v xml:space="preserve"> </v>
      </c>
      <c r="H35" s="277" t="str">
        <f>IF(VLOOKUP($A35,Character!$I$45:$J$53,2,FALSE)="No"," ",VLOOKUP(VLOOKUP(H$1,Calcs!$E$110:$F$117,2,FALSE),Character!$A$9:$B$16,2,FALSE)+IF(VLOOKUP($A35,Character!$I$45:$J$53,2,FALSE)="Yes",0,VLOOKUP($A35,Character!$I$45:$J$53,2,FALSE))+Character!$C$36+Character!$F$36+IF($B35="Yes",2,0))</f>
        <v xml:space="preserve"> </v>
      </c>
      <c r="I35" s="277" t="str">
        <f>IF(VLOOKUP($A35,Character!$I$45:$J$53,2,FALSE)="No"," ",VLOOKUP(VLOOKUP(I$1,Calcs!$E$110:$F$117,2,FALSE),Character!$A$9:$B$16,2,FALSE)+IF(VLOOKUP($A35,Character!$I$45:$J$53,2,FALSE)="Yes",0,VLOOKUP($A35,Character!$I$45:$J$53,2,FALSE))+Character!$C$36+Character!$F$36+IF($B35="Yes",2,0))</f>
        <v xml:space="preserve"> </v>
      </c>
      <c r="J35" s="277" t="str">
        <f>IF(VLOOKUP($A35,Character!$I$45:$J$53,2,FALSE)="No"," ",VLOOKUP(VLOOKUP(J$1,Calcs!$E$110:$F$117,2,FALSE),Character!$A$9:$B$16,2,FALSE)+IF(VLOOKUP($A35,Character!$I$45:$J$53,2,FALSE)="Yes",0,VLOOKUP($A35,Character!$I$45:$J$53,2,FALSE))+Character!$C$36+Character!$F$36+IF($B35="Yes",2,0))</f>
        <v xml:space="preserve"> </v>
      </c>
      <c r="K35" s="285" t="str">
        <f>IF(VLOOKUP($A35,Character!$I$45:$J$53,2,FALSE)="No"," ",VLOOKUP(VLOOKUP(K$1,Calcs!$E$110:$F$117,2,FALSE),Character!$A$9:$B$16,2,FALSE)+IF(VLOOKUP($A35,Character!$I$45:$J$53,2,FALSE)="Yes",0,VLOOKUP($A35,Character!$I$45:$J$53,2,FALSE))+Character!$C$36+Character!$F$36+IF($B35="Yes",2,0))</f>
        <v xml:space="preserve"> </v>
      </c>
      <c r="L35" s="15"/>
      <c r="M35" s="289" t="str">
        <f>Character!I63</f>
        <v xml:space="preserve"> </v>
      </c>
      <c r="N35" s="299" t="s">
        <v>48</v>
      </c>
      <c r="O35" s="595" t="str">
        <f>IF(ISBLANK(Character!K63)," ",Character!K63)</f>
        <v xml:space="preserve"> </v>
      </c>
      <c r="P35" s="611" t="str">
        <f>IF($M35=" "," ",IF(VLOOKUP($M35,Character!$I$62:$J$66,2,FALSE)="No"," ",VLOOKUP(VLOOKUP(P$1,Calcs!$E$110:$F$117,2,FALSE),Character!$A$9:$B$16,2,FALSE)+IF(VLOOKUP($M35,Character!$I$62:$J$66,2,FALSE)="Yes",0,VLOOKUP($M35,Character!$I$62:$J$66,2,FALSE))+Character!$C$36+Character!$F$36+IF($N35="Yes",2,0)))</f>
        <v xml:space="preserve"> </v>
      </c>
      <c r="Q35" s="612" t="str">
        <f>IF($M35=" "," ",IF(VLOOKUP($M35,Character!$I$62:$J$66,2,FALSE)="No"," ",VLOOKUP(VLOOKUP(Q$1,Calcs!$E$110:$F$117,2,FALSE),Character!$A$9:$B$16,2,FALSE)+IF(VLOOKUP($M35,Character!$I$62:$J$66,2,FALSE)="Yes",0,VLOOKUP($M35,Character!$I$62:$J$66,2,FALSE))+Character!$C$36+Character!$F$36+IF($N35="Yes",2,0)))</f>
        <v xml:space="preserve"> </v>
      </c>
      <c r="R35" s="612" t="str">
        <f>IF($M35=" "," ",IF(VLOOKUP($M35,Character!$I$62:$J$66,2,FALSE)="No"," ",VLOOKUP(VLOOKUP(R$1,Calcs!$E$110:$F$117,2,FALSE),Character!$A$9:$B$16,2,FALSE)+IF(VLOOKUP($M35,Character!$I$62:$J$66,2,FALSE)="Yes",0,VLOOKUP($M35,Character!$I$62:$J$66,2,FALSE))+Character!$C$36+Character!$F$36+IF($N35="Yes",2,0)))</f>
        <v xml:space="preserve"> </v>
      </c>
      <c r="S35" s="612" t="str">
        <f>IF($M35=" "," ",IF(VLOOKUP($M35,Character!$I$62:$J$66,2,FALSE)="No"," ",VLOOKUP(VLOOKUP(S$1,Calcs!$E$110:$F$117,2,FALSE),Character!$A$9:$B$16,2,FALSE)+IF(VLOOKUP($M35,Character!$I$62:$J$66,2,FALSE)="Yes",0,VLOOKUP($M35,Character!$I$62:$J$66,2,FALSE))+Character!$C$36+Character!$F$36+IF($N35="Yes",2,0)))</f>
        <v xml:space="preserve"> </v>
      </c>
      <c r="T35" s="612" t="str">
        <f>IF($M35=" "," ",IF(VLOOKUP($M35,Character!$I$62:$J$66,2,FALSE)="No"," ",VLOOKUP(VLOOKUP(T$1,Calcs!$E$110:$F$117,2,FALSE),Character!$A$9:$B$16,2,FALSE)+IF(VLOOKUP($M35,Character!$I$62:$J$66,2,FALSE)="Yes",0,VLOOKUP($M35,Character!$I$62:$J$66,2,FALSE))+Character!$C$36+Character!$F$36+IF($N35="Yes",2,0)))</f>
        <v xml:space="preserve"> </v>
      </c>
      <c r="U35" s="612" t="str">
        <f>IF($M35=" "," ",IF(VLOOKUP($M35,Character!$I$62:$J$66,2,FALSE)="No"," ",VLOOKUP(VLOOKUP(U$1,Calcs!$E$110:$F$117,2,FALSE),Character!$A$9:$B$16,2,FALSE)+IF(VLOOKUP($M35,Character!$I$62:$J$66,2,FALSE)="Yes",0,VLOOKUP($M35,Character!$I$62:$J$66,2,FALSE))+Character!$C$36+Character!$F$36+IF($N35="Yes",2,0)))</f>
        <v xml:space="preserve"> </v>
      </c>
      <c r="V35" s="612" t="str">
        <f>IF($M35=" "," ",IF(VLOOKUP($M35,Character!$I$62:$J$66,2,FALSE)="No"," ",VLOOKUP(VLOOKUP(V$1,Calcs!$E$110:$F$117,2,FALSE),Character!$A$9:$B$16,2,FALSE)+IF(VLOOKUP($M35,Character!$I$62:$J$66,2,FALSE)="Yes",0,VLOOKUP($M35,Character!$I$62:$J$66,2,FALSE))+Character!$C$36+Character!$F$36+IF($N35="Yes",2,0)))</f>
        <v xml:space="preserve"> </v>
      </c>
      <c r="W35" s="613" t="str">
        <f>IF($M35=" "," ",IF(VLOOKUP($M35,Character!$I$62:$J$66,2,FALSE)="No"," ",VLOOKUP(VLOOKUP(W$1,Calcs!$E$110:$F$117,2,FALSE),Character!$A$9:$B$16,2,FALSE)+IF(VLOOKUP($M35,Character!$I$62:$J$66,2,FALSE)="Yes",0,VLOOKUP($M35,Character!$I$62:$J$66,2,FALSE))+Character!$C$36+Character!$F$36+IF($N35="Yes",2,0)))</f>
        <v xml:space="preserve"> </v>
      </c>
      <c r="X35" s="15"/>
      <c r="Y35" s="15"/>
    </row>
    <row r="36" spans="1:25" x14ac:dyDescent="0.2">
      <c r="A36" s="292" t="str">
        <f>Character!I51</f>
        <v>Magic Theory</v>
      </c>
      <c r="B36" s="383" t="s">
        <v>185</v>
      </c>
      <c r="C36" s="591" t="str">
        <f>IF(ISBLANK(Character!K51)," ",Character!K51)</f>
        <v xml:space="preserve"> </v>
      </c>
      <c r="D36" s="279">
        <f>IF(VLOOKUP($A36,Character!$I$45:$J$53,2,FALSE)="No"," ",VLOOKUP(VLOOKUP(D$1,Calcs!$E$110:$F$117,2,FALSE),Character!$A$9:$B$16,2,FALSE)+IF(VLOOKUP($A36,Character!$I$45:$J$53,2,FALSE)="Yes",0,VLOOKUP($A36,Character!$I$45:$J$53,2,FALSE))+Character!$C$36+Character!$F$36+IF($B36="Yes",2,0))</f>
        <v>0</v>
      </c>
      <c r="E36" s="277">
        <f>IF(VLOOKUP($A36,Character!$I$45:$J$53,2,FALSE)="No"," ",VLOOKUP(VLOOKUP(E$1,Calcs!$E$110:$F$117,2,FALSE),Character!$A$9:$B$16,2,FALSE)+IF(VLOOKUP($A36,Character!$I$45:$J$53,2,FALSE)="Yes",0,VLOOKUP($A36,Character!$I$45:$J$53,2,FALSE))+Character!$C$36+Character!$F$36+IF($B36="Yes",2,0))</f>
        <v>0</v>
      </c>
      <c r="F36" s="277">
        <f>IF(VLOOKUP($A36,Character!$I$45:$J$53,2,FALSE)="No"," ",VLOOKUP(VLOOKUP(F$1,Calcs!$E$110:$F$117,2,FALSE),Character!$A$9:$B$16,2,FALSE)+IF(VLOOKUP($A36,Character!$I$45:$J$53,2,FALSE)="Yes",0,VLOOKUP($A36,Character!$I$45:$J$53,2,FALSE))+Character!$C$36+Character!$F$36+IF($B36="Yes",2,0))</f>
        <v>0</v>
      </c>
      <c r="G36" s="277">
        <f>IF(VLOOKUP($A36,Character!$I$45:$J$53,2,FALSE)="No"," ",VLOOKUP(VLOOKUP(G$1,Calcs!$E$110:$F$117,2,FALSE),Character!$A$9:$B$16,2,FALSE)+IF(VLOOKUP($A36,Character!$I$45:$J$53,2,FALSE)="Yes",0,VLOOKUP($A36,Character!$I$45:$J$53,2,FALSE))+Character!$C$36+Character!$F$36+IF($B36="Yes",2,0))</f>
        <v>0</v>
      </c>
      <c r="H36" s="277">
        <f>IF(VLOOKUP($A36,Character!$I$45:$J$53,2,FALSE)="No"," ",VLOOKUP(VLOOKUP(H$1,Calcs!$E$110:$F$117,2,FALSE),Character!$A$9:$B$16,2,FALSE)+IF(VLOOKUP($A36,Character!$I$45:$J$53,2,FALSE)="Yes",0,VLOOKUP($A36,Character!$I$45:$J$53,2,FALSE))+Character!$C$36+Character!$F$36+IF($B36="Yes",2,0))</f>
        <v>0</v>
      </c>
      <c r="I36" s="277">
        <f>IF(VLOOKUP($A36,Character!$I$45:$J$53,2,FALSE)="No"," ",VLOOKUP(VLOOKUP(I$1,Calcs!$E$110:$F$117,2,FALSE),Character!$A$9:$B$16,2,FALSE)+IF(VLOOKUP($A36,Character!$I$45:$J$53,2,FALSE)="Yes",0,VLOOKUP($A36,Character!$I$45:$J$53,2,FALSE))+Character!$C$36+Character!$F$36+IF($B36="Yes",2,0))</f>
        <v>0</v>
      </c>
      <c r="J36" s="277">
        <f>IF(VLOOKUP($A36,Character!$I$45:$J$53,2,FALSE)="No"," ",VLOOKUP(VLOOKUP(J$1,Calcs!$E$110:$F$117,2,FALSE),Character!$A$9:$B$16,2,FALSE)+IF(VLOOKUP($A36,Character!$I$45:$J$53,2,FALSE)="Yes",0,VLOOKUP($A36,Character!$I$45:$J$53,2,FALSE))+Character!$C$36+Character!$F$36+IF($B36="Yes",2,0))</f>
        <v>0</v>
      </c>
      <c r="K36" s="285">
        <f>IF(VLOOKUP($A36,Character!$I$45:$J$53,2,FALSE)="No"," ",VLOOKUP(VLOOKUP(K$1,Calcs!$E$110:$F$117,2,FALSE),Character!$A$9:$B$16,2,FALSE)+IF(VLOOKUP($A36,Character!$I$45:$J$53,2,FALSE)="Yes",0,VLOOKUP($A36,Character!$I$45:$J$53,2,FALSE))+Character!$C$36+Character!$F$36+IF($B36="Yes",2,0))</f>
        <v>0</v>
      </c>
      <c r="L36" s="15"/>
      <c r="M36" s="289" t="str">
        <f>Character!I64</f>
        <v xml:space="preserve"> </v>
      </c>
      <c r="N36" s="299" t="s">
        <v>48</v>
      </c>
      <c r="O36" s="595" t="str">
        <f>IF(ISBLANK(Character!K64)," ",Character!K64)</f>
        <v xml:space="preserve"> </v>
      </c>
      <c r="P36" s="611" t="str">
        <f>IF($M36=" "," ",IF(VLOOKUP($M36,Character!$I$62:$J$66,2,FALSE)="No"," ",VLOOKUP(VLOOKUP(P$1,Calcs!$E$110:$F$117,2,FALSE),Character!$A$9:$B$16,2,FALSE)+IF(VLOOKUP($M36,Character!$I$62:$J$66,2,FALSE)="Yes",0,VLOOKUP($M36,Character!$I$62:$J$66,2,FALSE))+Character!$C$36+Character!$F$36+IF($N36="Yes",2,0)))</f>
        <v xml:space="preserve"> </v>
      </c>
      <c r="Q36" s="612" t="str">
        <f>IF($M36=" "," ",IF(VLOOKUP($M36,Character!$I$62:$J$66,2,FALSE)="No"," ",VLOOKUP(VLOOKUP(Q$1,Calcs!$E$110:$F$117,2,FALSE),Character!$A$9:$B$16,2,FALSE)+IF(VLOOKUP($M36,Character!$I$62:$J$66,2,FALSE)="Yes",0,VLOOKUP($M36,Character!$I$62:$J$66,2,FALSE))+Character!$C$36+Character!$F$36+IF($N36="Yes",2,0)))</f>
        <v xml:space="preserve"> </v>
      </c>
      <c r="R36" s="612" t="str">
        <f>IF($M36=" "," ",IF(VLOOKUP($M36,Character!$I$62:$J$66,2,FALSE)="No"," ",VLOOKUP(VLOOKUP(R$1,Calcs!$E$110:$F$117,2,FALSE),Character!$A$9:$B$16,2,FALSE)+IF(VLOOKUP($M36,Character!$I$62:$J$66,2,FALSE)="Yes",0,VLOOKUP($M36,Character!$I$62:$J$66,2,FALSE))+Character!$C$36+Character!$F$36+IF($N36="Yes",2,0)))</f>
        <v xml:space="preserve"> </v>
      </c>
      <c r="S36" s="612" t="str">
        <f>IF($M36=" "," ",IF(VLOOKUP($M36,Character!$I$62:$J$66,2,FALSE)="No"," ",VLOOKUP(VLOOKUP(S$1,Calcs!$E$110:$F$117,2,FALSE),Character!$A$9:$B$16,2,FALSE)+IF(VLOOKUP($M36,Character!$I$62:$J$66,2,FALSE)="Yes",0,VLOOKUP($M36,Character!$I$62:$J$66,2,FALSE))+Character!$C$36+Character!$F$36+IF($N36="Yes",2,0)))</f>
        <v xml:space="preserve"> </v>
      </c>
      <c r="T36" s="612" t="str">
        <f>IF($M36=" "," ",IF(VLOOKUP($M36,Character!$I$62:$J$66,2,FALSE)="No"," ",VLOOKUP(VLOOKUP(T$1,Calcs!$E$110:$F$117,2,FALSE),Character!$A$9:$B$16,2,FALSE)+IF(VLOOKUP($M36,Character!$I$62:$J$66,2,FALSE)="Yes",0,VLOOKUP($M36,Character!$I$62:$J$66,2,FALSE))+Character!$C$36+Character!$F$36+IF($N36="Yes",2,0)))</f>
        <v xml:space="preserve"> </v>
      </c>
      <c r="U36" s="612" t="str">
        <f>IF($M36=" "," ",IF(VLOOKUP($M36,Character!$I$62:$J$66,2,FALSE)="No"," ",VLOOKUP(VLOOKUP(U$1,Calcs!$E$110:$F$117,2,FALSE),Character!$A$9:$B$16,2,FALSE)+IF(VLOOKUP($M36,Character!$I$62:$J$66,2,FALSE)="Yes",0,VLOOKUP($M36,Character!$I$62:$J$66,2,FALSE))+Character!$C$36+Character!$F$36+IF($N36="Yes",2,0)))</f>
        <v xml:space="preserve"> </v>
      </c>
      <c r="V36" s="612" t="str">
        <f>IF($M36=" "," ",IF(VLOOKUP($M36,Character!$I$62:$J$66,2,FALSE)="No"," ",VLOOKUP(VLOOKUP(V$1,Calcs!$E$110:$F$117,2,FALSE),Character!$A$9:$B$16,2,FALSE)+IF(VLOOKUP($M36,Character!$I$62:$J$66,2,FALSE)="Yes",0,VLOOKUP($M36,Character!$I$62:$J$66,2,FALSE))+Character!$C$36+Character!$F$36+IF($N36="Yes",2,0)))</f>
        <v xml:space="preserve"> </v>
      </c>
      <c r="W36" s="613" t="str">
        <f>IF($M36=" "," ",IF(VLOOKUP($M36,Character!$I$62:$J$66,2,FALSE)="No"," ",VLOOKUP(VLOOKUP(W$1,Calcs!$E$110:$F$117,2,FALSE),Character!$A$9:$B$16,2,FALSE)+IF(VLOOKUP($M36,Character!$I$62:$J$66,2,FALSE)="Yes",0,VLOOKUP($M36,Character!$I$62:$J$66,2,FALSE))+Character!$C$36+Character!$F$36+IF($N36="Yes",2,0)))</f>
        <v xml:space="preserve"> </v>
      </c>
      <c r="X36" s="15"/>
      <c r="Y36" s="15"/>
    </row>
    <row r="37" spans="1:25" x14ac:dyDescent="0.2">
      <c r="A37" s="292" t="str">
        <f>Character!I52</f>
        <v>Parma Magica</v>
      </c>
      <c r="B37" s="383" t="s">
        <v>185</v>
      </c>
      <c r="C37" s="591" t="str">
        <f>IF(ISBLANK(Character!K52)," ",Character!K52)</f>
        <v xml:space="preserve"> </v>
      </c>
      <c r="D37" s="279" t="str">
        <f>IF(VLOOKUP($A37,Character!$I$45:$J$53,2,FALSE)="No"," ",VLOOKUP(VLOOKUP(D$1,Calcs!$E$110:$F$117,2,FALSE),Character!$A$9:$B$16,2,FALSE)+IF(VLOOKUP($A37,Character!$I$45:$J$53,2,FALSE)="Yes",0,VLOOKUP($A37,Character!$I$45:$J$53,2,FALSE))+Character!$C$36+Character!$F$36+IF($B37="Yes",2,0))</f>
        <v xml:space="preserve"> </v>
      </c>
      <c r="E37" s="277" t="str">
        <f>IF(VLOOKUP($A37,Character!$I$45:$J$53,2,FALSE)="No"," ",VLOOKUP(VLOOKUP(E$1,Calcs!$E$110:$F$117,2,FALSE),Character!$A$9:$B$16,2,FALSE)+IF(VLOOKUP($A37,Character!$I$45:$J$53,2,FALSE)="Yes",0,VLOOKUP($A37,Character!$I$45:$J$53,2,FALSE))+Character!$C$36+Character!$F$36+IF($B37="Yes",2,0))</f>
        <v xml:space="preserve"> </v>
      </c>
      <c r="F37" s="277" t="str">
        <f>IF(VLOOKUP($A37,Character!$I$45:$J$53,2,FALSE)="No"," ",VLOOKUP(VLOOKUP(F$1,Calcs!$E$110:$F$117,2,FALSE),Character!$A$9:$B$16,2,FALSE)+IF(VLOOKUP($A37,Character!$I$45:$J$53,2,FALSE)="Yes",0,VLOOKUP($A37,Character!$I$45:$J$53,2,FALSE))+Character!$C$36+Character!$F$36+IF($B37="Yes",2,0))</f>
        <v xml:space="preserve"> </v>
      </c>
      <c r="G37" s="277" t="str">
        <f>IF(VLOOKUP($A37,Character!$I$45:$J$53,2,FALSE)="No"," ",VLOOKUP(VLOOKUP(G$1,Calcs!$E$110:$F$117,2,FALSE),Character!$A$9:$B$16,2,FALSE)+IF(VLOOKUP($A37,Character!$I$45:$J$53,2,FALSE)="Yes",0,VLOOKUP($A37,Character!$I$45:$J$53,2,FALSE))+Character!$C$36+Character!$F$36+IF($B37="Yes",2,0))</f>
        <v xml:space="preserve"> </v>
      </c>
      <c r="H37" s="277" t="str">
        <f>IF(VLOOKUP($A37,Character!$I$45:$J$53,2,FALSE)="No"," ",VLOOKUP(VLOOKUP(H$1,Calcs!$E$110:$F$117,2,FALSE),Character!$A$9:$B$16,2,FALSE)+IF(VLOOKUP($A37,Character!$I$45:$J$53,2,FALSE)="Yes",0,VLOOKUP($A37,Character!$I$45:$J$53,2,FALSE))+Character!$C$36+Character!$F$36+IF($B37="Yes",2,0))</f>
        <v xml:space="preserve"> </v>
      </c>
      <c r="I37" s="277" t="str">
        <f>IF(VLOOKUP($A37,Character!$I$45:$J$53,2,FALSE)="No"," ",VLOOKUP(VLOOKUP(I$1,Calcs!$E$110:$F$117,2,FALSE),Character!$A$9:$B$16,2,FALSE)+IF(VLOOKUP($A37,Character!$I$45:$J$53,2,FALSE)="Yes",0,VLOOKUP($A37,Character!$I$45:$J$53,2,FALSE))+Character!$C$36+Character!$F$36+IF($B37="Yes",2,0))</f>
        <v xml:space="preserve"> </v>
      </c>
      <c r="J37" s="277" t="str">
        <f>IF(VLOOKUP($A37,Character!$I$45:$J$53,2,FALSE)="No"," ",VLOOKUP(VLOOKUP(J$1,Calcs!$E$110:$F$117,2,FALSE),Character!$A$9:$B$16,2,FALSE)+IF(VLOOKUP($A37,Character!$I$45:$J$53,2,FALSE)="Yes",0,VLOOKUP($A37,Character!$I$45:$J$53,2,FALSE))+Character!$C$36+Character!$F$36+IF($B37="Yes",2,0))</f>
        <v xml:space="preserve"> </v>
      </c>
      <c r="K37" s="285" t="str">
        <f>IF(VLOOKUP($A37,Character!$I$45:$J$53,2,FALSE)="No"," ",VLOOKUP(VLOOKUP(K$1,Calcs!$E$110:$F$117,2,FALSE),Character!$A$9:$B$16,2,FALSE)+IF(VLOOKUP($A37,Character!$I$45:$J$53,2,FALSE)="Yes",0,VLOOKUP($A37,Character!$I$45:$J$53,2,FALSE))+Character!$C$36+Character!$F$36+IF($B37="Yes",2,0))</f>
        <v xml:space="preserve"> </v>
      </c>
      <c r="L37" s="15"/>
      <c r="M37" s="289" t="str">
        <f>Character!I65</f>
        <v xml:space="preserve"> </v>
      </c>
      <c r="N37" s="299" t="s">
        <v>48</v>
      </c>
      <c r="O37" s="595" t="str">
        <f>IF(ISBLANK(Character!K65)," ",Character!K65)</f>
        <v xml:space="preserve"> </v>
      </c>
      <c r="P37" s="611" t="str">
        <f>IF($M37=" "," ",IF(VLOOKUP($M37,Character!$I$62:$J$66,2,FALSE)="No"," ",VLOOKUP(VLOOKUP(P$1,Calcs!$E$110:$F$117,2,FALSE),Character!$A$9:$B$16,2,FALSE)+IF(VLOOKUP($M37,Character!$I$62:$J$66,2,FALSE)="Yes",0,VLOOKUP($M37,Character!$I$62:$J$66,2,FALSE))+Character!$C$36+Character!$F$36+IF($N37="Yes",2,0)))</f>
        <v xml:space="preserve"> </v>
      </c>
      <c r="Q37" s="612" t="str">
        <f>IF($M37=" "," ",IF(VLOOKUP($M37,Character!$I$62:$J$66,2,FALSE)="No"," ",VLOOKUP(VLOOKUP(Q$1,Calcs!$E$110:$F$117,2,FALSE),Character!$A$9:$B$16,2,FALSE)+IF(VLOOKUP($M37,Character!$I$62:$J$66,2,FALSE)="Yes",0,VLOOKUP($M37,Character!$I$62:$J$66,2,FALSE))+Character!$C$36+Character!$F$36+IF($N37="Yes",2,0)))</f>
        <v xml:space="preserve"> </v>
      </c>
      <c r="R37" s="612" t="str">
        <f>IF($M37=" "," ",IF(VLOOKUP($M37,Character!$I$62:$J$66,2,FALSE)="No"," ",VLOOKUP(VLOOKUP(R$1,Calcs!$E$110:$F$117,2,FALSE),Character!$A$9:$B$16,2,FALSE)+IF(VLOOKUP($M37,Character!$I$62:$J$66,2,FALSE)="Yes",0,VLOOKUP($M37,Character!$I$62:$J$66,2,FALSE))+Character!$C$36+Character!$F$36+IF($N37="Yes",2,0)))</f>
        <v xml:space="preserve"> </v>
      </c>
      <c r="S37" s="612" t="str">
        <f>IF($M37=" "," ",IF(VLOOKUP($M37,Character!$I$62:$J$66,2,FALSE)="No"," ",VLOOKUP(VLOOKUP(S$1,Calcs!$E$110:$F$117,2,FALSE),Character!$A$9:$B$16,2,FALSE)+IF(VLOOKUP($M37,Character!$I$62:$J$66,2,FALSE)="Yes",0,VLOOKUP($M37,Character!$I$62:$J$66,2,FALSE))+Character!$C$36+Character!$F$36+IF($N37="Yes",2,0)))</f>
        <v xml:space="preserve"> </v>
      </c>
      <c r="T37" s="612" t="str">
        <f>IF($M37=" "," ",IF(VLOOKUP($M37,Character!$I$62:$J$66,2,FALSE)="No"," ",VLOOKUP(VLOOKUP(T$1,Calcs!$E$110:$F$117,2,FALSE),Character!$A$9:$B$16,2,FALSE)+IF(VLOOKUP($M37,Character!$I$62:$J$66,2,FALSE)="Yes",0,VLOOKUP($M37,Character!$I$62:$J$66,2,FALSE))+Character!$C$36+Character!$F$36+IF($N37="Yes",2,0)))</f>
        <v xml:space="preserve"> </v>
      </c>
      <c r="U37" s="612" t="str">
        <f>IF($M37=" "," ",IF(VLOOKUP($M37,Character!$I$62:$J$66,2,FALSE)="No"," ",VLOOKUP(VLOOKUP(U$1,Calcs!$E$110:$F$117,2,FALSE),Character!$A$9:$B$16,2,FALSE)+IF(VLOOKUP($M37,Character!$I$62:$J$66,2,FALSE)="Yes",0,VLOOKUP($M37,Character!$I$62:$J$66,2,FALSE))+Character!$C$36+Character!$F$36+IF($N37="Yes",2,0)))</f>
        <v xml:space="preserve"> </v>
      </c>
      <c r="V37" s="612" t="str">
        <f>IF($M37=" "," ",IF(VLOOKUP($M37,Character!$I$62:$J$66,2,FALSE)="No"," ",VLOOKUP(VLOOKUP(V$1,Calcs!$E$110:$F$117,2,FALSE),Character!$A$9:$B$16,2,FALSE)+IF(VLOOKUP($M37,Character!$I$62:$J$66,2,FALSE)="Yes",0,VLOOKUP($M37,Character!$I$62:$J$66,2,FALSE))+Character!$C$36+Character!$F$36+IF($N37="Yes",2,0)))</f>
        <v xml:space="preserve"> </v>
      </c>
      <c r="W37" s="613" t="str">
        <f>IF($M37=" "," ",IF(VLOOKUP($M37,Character!$I$62:$J$66,2,FALSE)="No"," ",VLOOKUP(VLOOKUP(W$1,Calcs!$E$110:$F$117,2,FALSE),Character!$A$9:$B$16,2,FALSE)+IF(VLOOKUP($M37,Character!$I$62:$J$66,2,FALSE)="Yes",0,VLOOKUP($M37,Character!$I$62:$J$66,2,FALSE))+Character!$C$36+Character!$F$36+IF($N37="Yes",2,0)))</f>
        <v xml:space="preserve"> </v>
      </c>
      <c r="X37" s="15"/>
      <c r="Y37" s="15"/>
    </row>
    <row r="38" spans="1:25" ht="13.5" thickBot="1" x14ac:dyDescent="0.25">
      <c r="A38" s="293" t="str">
        <f>Character!I53</f>
        <v>Penetration</v>
      </c>
      <c r="B38" s="384" t="s">
        <v>185</v>
      </c>
      <c r="C38" s="592" t="str">
        <f>IF(ISBLANK(Character!K53)," ",Character!K53)</f>
        <v xml:space="preserve"> </v>
      </c>
      <c r="D38" s="280">
        <f>IF(VLOOKUP($A38,Character!$I$45:$J$53,2,FALSE)="No"," ",VLOOKUP(VLOOKUP(D$1,Calcs!$E$110:$F$117,2,FALSE),Character!$A$9:$B$16,2,FALSE)+IF(VLOOKUP($A38,Character!$I$45:$J$53,2,FALSE)="Yes",0,VLOOKUP($A38,Character!$I$45:$J$53,2,FALSE))+Character!$C$36+Character!$F$36+IF($B38="Yes",2,0))</f>
        <v>0</v>
      </c>
      <c r="E38" s="278">
        <f>IF(VLOOKUP($A38,Character!$I$45:$J$53,2,FALSE)="No"," ",VLOOKUP(VLOOKUP(E$1,Calcs!$E$110:$F$117,2,FALSE),Character!$A$9:$B$16,2,FALSE)+IF(VLOOKUP($A38,Character!$I$45:$J$53,2,FALSE)="Yes",0,VLOOKUP($A38,Character!$I$45:$J$53,2,FALSE))+Character!$C$36+Character!$F$36+IF($B38="Yes",2,0))</f>
        <v>0</v>
      </c>
      <c r="F38" s="278">
        <f>IF(VLOOKUP($A38,Character!$I$45:$J$53,2,FALSE)="No"," ",VLOOKUP(VLOOKUP(F$1,Calcs!$E$110:$F$117,2,FALSE),Character!$A$9:$B$16,2,FALSE)+IF(VLOOKUP($A38,Character!$I$45:$J$53,2,FALSE)="Yes",0,VLOOKUP($A38,Character!$I$45:$J$53,2,FALSE))+Character!$C$36+Character!$F$36+IF($B38="Yes",2,0))</f>
        <v>0</v>
      </c>
      <c r="G38" s="278">
        <f>IF(VLOOKUP($A38,Character!$I$45:$J$53,2,FALSE)="No"," ",VLOOKUP(VLOOKUP(G$1,Calcs!$E$110:$F$117,2,FALSE),Character!$A$9:$B$16,2,FALSE)+IF(VLOOKUP($A38,Character!$I$45:$J$53,2,FALSE)="Yes",0,VLOOKUP($A38,Character!$I$45:$J$53,2,FALSE))+Character!$C$36+Character!$F$36+IF($B38="Yes",2,0))</f>
        <v>0</v>
      </c>
      <c r="H38" s="278">
        <f>IF(VLOOKUP($A38,Character!$I$45:$J$53,2,FALSE)="No"," ",VLOOKUP(VLOOKUP(H$1,Calcs!$E$110:$F$117,2,FALSE),Character!$A$9:$B$16,2,FALSE)+IF(VLOOKUP($A38,Character!$I$45:$J$53,2,FALSE)="Yes",0,VLOOKUP($A38,Character!$I$45:$J$53,2,FALSE))+Character!$C$36+Character!$F$36+IF($B38="Yes",2,0))</f>
        <v>0</v>
      </c>
      <c r="I38" s="278">
        <f>IF(VLOOKUP($A38,Character!$I$45:$J$53,2,FALSE)="No"," ",VLOOKUP(VLOOKUP(I$1,Calcs!$E$110:$F$117,2,FALSE),Character!$A$9:$B$16,2,FALSE)+IF(VLOOKUP($A38,Character!$I$45:$J$53,2,FALSE)="Yes",0,VLOOKUP($A38,Character!$I$45:$J$53,2,FALSE))+Character!$C$36+Character!$F$36+IF($B38="Yes",2,0))</f>
        <v>0</v>
      </c>
      <c r="J38" s="278">
        <f>IF(VLOOKUP($A38,Character!$I$45:$J$53,2,FALSE)="No"," ",VLOOKUP(VLOOKUP(J$1,Calcs!$E$110:$F$117,2,FALSE),Character!$A$9:$B$16,2,FALSE)+IF(VLOOKUP($A38,Character!$I$45:$J$53,2,FALSE)="Yes",0,VLOOKUP($A38,Character!$I$45:$J$53,2,FALSE))+Character!$C$36+Character!$F$36+IF($B38="Yes",2,0))</f>
        <v>0</v>
      </c>
      <c r="K38" s="287">
        <f>IF(VLOOKUP($A38,Character!$I$45:$J$53,2,FALSE)="No"," ",VLOOKUP(VLOOKUP(K$1,Calcs!$E$110:$F$117,2,FALSE),Character!$A$9:$B$16,2,FALSE)+IF(VLOOKUP($A38,Character!$I$45:$J$53,2,FALSE)="Yes",0,VLOOKUP($A38,Character!$I$45:$J$53,2,FALSE))+Character!$C$36+Character!$F$36+IF($B38="Yes",2,0))</f>
        <v>0</v>
      </c>
      <c r="L38" s="15"/>
      <c r="M38" s="309" t="str">
        <f>Character!I66</f>
        <v xml:space="preserve"> </v>
      </c>
      <c r="N38" s="302" t="s">
        <v>48</v>
      </c>
      <c r="O38" s="601" t="str">
        <f>IF(ISBLANK(Character!K66)," ",Character!K66)</f>
        <v xml:space="preserve"> </v>
      </c>
      <c r="P38" s="621" t="str">
        <f>IF($M38=" "," ",IF(VLOOKUP($M38,Character!$I$62:$J$66,2,FALSE)="No"," ",VLOOKUP(VLOOKUP(P$1,Calcs!$E$110:$F$117,2,FALSE),Character!$A$9:$B$16,2,FALSE)+IF(VLOOKUP($M38,Character!$I$62:$J$66,2,FALSE)="Yes",0,VLOOKUP($M38,Character!$I$62:$J$66,2,FALSE))+Character!$C$36+Character!$F$36+IF($N38="Yes",2,0)))</f>
        <v xml:space="preserve"> </v>
      </c>
      <c r="Q38" s="622" t="str">
        <f>IF($M38=" "," ",IF(VLOOKUP($M38,Character!$I$62:$J$66,2,FALSE)="No"," ",VLOOKUP(VLOOKUP(Q$1,Calcs!$E$110:$F$117,2,FALSE),Character!$A$9:$B$16,2,FALSE)+IF(VLOOKUP($M38,Character!$I$62:$J$66,2,FALSE)="Yes",0,VLOOKUP($M38,Character!$I$62:$J$66,2,FALSE))+Character!$C$36+Character!$F$36+IF($N38="Yes",2,0)))</f>
        <v xml:space="preserve"> </v>
      </c>
      <c r="R38" s="622" t="str">
        <f>IF($M38=" "," ",IF(VLOOKUP($M38,Character!$I$62:$J$66,2,FALSE)="No"," ",VLOOKUP(VLOOKUP(R$1,Calcs!$E$110:$F$117,2,FALSE),Character!$A$9:$B$16,2,FALSE)+IF(VLOOKUP($M38,Character!$I$62:$J$66,2,FALSE)="Yes",0,VLOOKUP($M38,Character!$I$62:$J$66,2,FALSE))+Character!$C$36+Character!$F$36+IF($N38="Yes",2,0)))</f>
        <v xml:space="preserve"> </v>
      </c>
      <c r="S38" s="622" t="str">
        <f>IF($M38=" "," ",IF(VLOOKUP($M38,Character!$I$62:$J$66,2,FALSE)="No"," ",VLOOKUP(VLOOKUP(S$1,Calcs!$E$110:$F$117,2,FALSE),Character!$A$9:$B$16,2,FALSE)+IF(VLOOKUP($M38,Character!$I$62:$J$66,2,FALSE)="Yes",0,VLOOKUP($M38,Character!$I$62:$J$66,2,FALSE))+Character!$C$36+Character!$F$36+IF($N38="Yes",2,0)))</f>
        <v xml:space="preserve"> </v>
      </c>
      <c r="T38" s="622" t="str">
        <f>IF($M38=" "," ",IF(VLOOKUP($M38,Character!$I$62:$J$66,2,FALSE)="No"," ",VLOOKUP(VLOOKUP(T$1,Calcs!$E$110:$F$117,2,FALSE),Character!$A$9:$B$16,2,FALSE)+IF(VLOOKUP($M38,Character!$I$62:$J$66,2,FALSE)="Yes",0,VLOOKUP($M38,Character!$I$62:$J$66,2,FALSE))+Character!$C$36+Character!$F$36+IF($N38="Yes",2,0)))</f>
        <v xml:space="preserve"> </v>
      </c>
      <c r="U38" s="622" t="str">
        <f>IF($M38=" "," ",IF(VLOOKUP($M38,Character!$I$62:$J$66,2,FALSE)="No"," ",VLOOKUP(VLOOKUP(U$1,Calcs!$E$110:$F$117,2,FALSE),Character!$A$9:$B$16,2,FALSE)+IF(VLOOKUP($M38,Character!$I$62:$J$66,2,FALSE)="Yes",0,VLOOKUP($M38,Character!$I$62:$J$66,2,FALSE))+Character!$C$36+Character!$F$36+IF($N38="Yes",2,0)))</f>
        <v xml:space="preserve"> </v>
      </c>
      <c r="V38" s="622" t="str">
        <f>IF($M38=" "," ",IF(VLOOKUP($M38,Character!$I$62:$J$66,2,FALSE)="No"," ",VLOOKUP(VLOOKUP(V$1,Calcs!$E$110:$F$117,2,FALSE),Character!$A$9:$B$16,2,FALSE)+IF(VLOOKUP($M38,Character!$I$62:$J$66,2,FALSE)="Yes",0,VLOOKUP($M38,Character!$I$62:$J$66,2,FALSE))+Character!$C$36+Character!$F$36+IF($N38="Yes",2,0)))</f>
        <v xml:space="preserve"> </v>
      </c>
      <c r="W38" s="623" t="str">
        <f>IF($M38=" "," ",IF(VLOOKUP($M38,Character!$I$62:$J$66,2,FALSE)="No"," ",VLOOKUP(VLOOKUP(W$1,Calcs!$E$110:$F$117,2,FALSE),Character!$A$9:$B$16,2,FALSE)+IF(VLOOKUP($M38,Character!$I$62:$J$66,2,FALSE)="Yes",0,VLOOKUP($M38,Character!$I$62:$J$66,2,FALSE))+Character!$C$36+Character!$F$36+IF($N38="Yes",2,0)))</f>
        <v xml:space="preserve"> </v>
      </c>
      <c r="X38" s="15"/>
      <c r="Y38" s="15"/>
    </row>
    <row r="39" spans="1:25" x14ac:dyDescent="0.2">
      <c r="A39" s="291" t="str">
        <f>Character!I56</f>
        <v>Bows</v>
      </c>
      <c r="B39" s="617" t="s">
        <v>185</v>
      </c>
      <c r="C39" s="618" t="str">
        <f>IF(ISBLANK(Character!K56)," ",Character!K56)</f>
        <v xml:space="preserve"> </v>
      </c>
      <c r="D39" s="589">
        <f>IF(VLOOKUP($A39,Character!$I$56:$J$59,2,FALSE)="No"," ",VLOOKUP(VLOOKUP(P$1,Calcs!$E$110:$F$117,2,FALSE),Character!$A$9:$B$16,2,FALSE)+IF(VLOOKUP($A39,Character!$I$56:$J$59,2,FALSE)="Yes",0,VLOOKUP($A39,Character!$I$56:$J$59,2,FALSE))+Character!$C$36+Character!$F$36+IF($B39="Yes",2,0))</f>
        <v>0</v>
      </c>
      <c r="E39" s="603">
        <f>IF(VLOOKUP($A39,Character!$I$56:$J$59,2,FALSE)="No"," ",VLOOKUP(VLOOKUP(Q$1,Calcs!$E$110:$F$117,2,FALSE),Character!$A$9:$B$16,2,FALSE)+IF(VLOOKUP($A39,Character!$I$56:$J$59,2,FALSE)="Yes",0,VLOOKUP($A39,Character!$I$56:$J$59,2,FALSE))+Character!$C$36+Character!$F$36+IF($B39="Yes",2,0))</f>
        <v>0</v>
      </c>
      <c r="F39" s="603">
        <f>IF(VLOOKUP($A39,Character!$I$56:$J$59,2,FALSE)="No"," ",VLOOKUP(VLOOKUP(R$1,Calcs!$E$110:$F$117,2,FALSE),Character!$A$9:$B$16,2,FALSE)+IF(VLOOKUP($A39,Character!$I$56:$J$59,2,FALSE)="Yes",0,VLOOKUP($A39,Character!$I$56:$J$59,2,FALSE))+Character!$C$36+Character!$F$36+IF($B39="Yes",2,0))</f>
        <v>0</v>
      </c>
      <c r="G39" s="603">
        <f>IF(VLOOKUP($A39,Character!$I$56:$J$59,2,FALSE)="No"," ",VLOOKUP(VLOOKUP(S$1,Calcs!$E$110:$F$117,2,FALSE),Character!$A$9:$B$16,2,FALSE)+IF(VLOOKUP($A39,Character!$I$56:$J$59,2,FALSE)="Yes",0,VLOOKUP($A39,Character!$I$56:$J$59,2,FALSE))+Character!$C$36+Character!$F$36+IF($B39="Yes",2,0))</f>
        <v>0</v>
      </c>
      <c r="H39" s="603">
        <f>IF(VLOOKUP($A39,Character!$I$56:$J$59,2,FALSE)="No"," ",VLOOKUP(VLOOKUP(T$1,Calcs!$E$110:$F$117,2,FALSE),Character!$A$9:$B$16,2,FALSE)+IF(VLOOKUP($A39,Character!$I$56:$J$59,2,FALSE)="Yes",0,VLOOKUP($A39,Character!$I$56:$J$59,2,FALSE))+Character!$C$36+Character!$F$36+IF($B39="Yes",2,0))</f>
        <v>0</v>
      </c>
      <c r="I39" s="603">
        <f>IF(VLOOKUP($A39,Character!$I$56:$J$59,2,FALSE)="No"," ",VLOOKUP(VLOOKUP(U$1,Calcs!$E$110:$F$117,2,FALSE),Character!$A$9:$B$16,2,FALSE)+IF(VLOOKUP($A39,Character!$I$56:$J$59,2,FALSE)="Yes",0,VLOOKUP($A39,Character!$I$56:$J$59,2,FALSE))+Character!$C$36+Character!$F$36+IF($B39="Yes",2,0))</f>
        <v>0</v>
      </c>
      <c r="J39" s="603">
        <f>IF(VLOOKUP($A39,Character!$I$56:$J$59,2,FALSE)="No"," ",VLOOKUP(VLOOKUP(V$1,Calcs!$E$110:$F$117,2,FALSE),Character!$A$9:$B$16,2,FALSE)+IF(VLOOKUP($A39,Character!$I$56:$J$59,2,FALSE)="Yes",0,VLOOKUP($A39,Character!$I$56:$J$59,2,FALSE))+Character!$C$36+Character!$F$36+IF($B39="Yes",2,0))</f>
        <v>0</v>
      </c>
      <c r="K39" s="604">
        <f>IF(VLOOKUP($A39,Character!$I$56:$J$59,2,FALSE)="No"," ",VLOOKUP(VLOOKUP(W$1,Calcs!$E$110:$F$117,2,FALSE),Character!$A$9:$B$16,2,FALSE)+IF(VLOOKUP($A39,Character!$I$56:$J$59,2,FALSE)="Yes",0,VLOOKUP($A39,Character!$I$56:$J$59,2,FALSE))+Character!$C$36+Character!$F$36+IF($B39="Yes",2,0))</f>
        <v>0</v>
      </c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x14ac:dyDescent="0.2">
      <c r="A40" s="292" t="str">
        <f>Character!I57</f>
        <v>Great Weapon</v>
      </c>
      <c r="B40" s="627" t="s">
        <v>185</v>
      </c>
      <c r="C40" s="687" t="str">
        <f>IF(ISBLANK(Character!K57)," ",Character!K57)</f>
        <v xml:space="preserve"> </v>
      </c>
      <c r="D40" s="279">
        <f>IF(VLOOKUP($A40,Character!$I$56:$J$59,2,FALSE)="No"," ",VLOOKUP(VLOOKUP(P$1,Calcs!$E$110:$F$117,2,FALSE),Character!$A$9:$B$16,2,FALSE)+IF(VLOOKUP($A40,Character!$I$56:$J$59,2,FALSE)="Yes",0,VLOOKUP($A40,Character!$I$56:$J$59,2,FALSE))+Character!$C$36+Character!$F$36+IF($B40="Yes",2,0))</f>
        <v>0</v>
      </c>
      <c r="E40" s="277">
        <f>IF(VLOOKUP($A40,Character!$I$56:$J$59,2,FALSE)="No"," ",VLOOKUP(VLOOKUP(Q$1,Calcs!$E$110:$F$117,2,FALSE),Character!$A$9:$B$16,2,FALSE)+IF(VLOOKUP($A40,Character!$I$56:$J$59,2,FALSE)="Yes",0,VLOOKUP($A40,Character!$I$56:$J$59,2,FALSE))+Character!$C$36+Character!$F$36+IF($B40="Yes",2,0))</f>
        <v>0</v>
      </c>
      <c r="F40" s="277">
        <f>IF(VLOOKUP($A40,Character!$I$56:$J$59,2,FALSE)="No"," ",VLOOKUP(VLOOKUP(R$1,Calcs!$E$110:$F$117,2,FALSE),Character!$A$9:$B$16,2,FALSE)+IF(VLOOKUP($A40,Character!$I$56:$J$59,2,FALSE)="Yes",0,VLOOKUP($A40,Character!$I$56:$J$59,2,FALSE))+Character!$C$36+Character!$F$36+IF($B40="Yes",2,0))</f>
        <v>0</v>
      </c>
      <c r="G40" s="277">
        <f>IF(VLOOKUP($A40,Character!$I$56:$J$59,2,FALSE)="No"," ",VLOOKUP(VLOOKUP(S$1,Calcs!$E$110:$F$117,2,FALSE),Character!$A$9:$B$16,2,FALSE)+IF(VLOOKUP($A40,Character!$I$56:$J$59,2,FALSE)="Yes",0,VLOOKUP($A40,Character!$I$56:$J$59,2,FALSE))+Character!$C$36+Character!$F$36+IF($B40="Yes",2,0))</f>
        <v>0</v>
      </c>
      <c r="H40" s="277">
        <f>IF(VLOOKUP($A40,Character!$I$56:$J$59,2,FALSE)="No"," ",VLOOKUP(VLOOKUP(T$1,Calcs!$E$110:$F$117,2,FALSE),Character!$A$9:$B$16,2,FALSE)+IF(VLOOKUP($A40,Character!$I$56:$J$59,2,FALSE)="Yes",0,VLOOKUP($A40,Character!$I$56:$J$59,2,FALSE))+Character!$C$36+Character!$F$36+IF($B40="Yes",2,0))</f>
        <v>0</v>
      </c>
      <c r="I40" s="277">
        <f>IF(VLOOKUP($A40,Character!$I$56:$J$59,2,FALSE)="No"," ",VLOOKUP(VLOOKUP(U$1,Calcs!$E$110:$F$117,2,FALSE),Character!$A$9:$B$16,2,FALSE)+IF(VLOOKUP($A40,Character!$I$56:$J$59,2,FALSE)="Yes",0,VLOOKUP($A40,Character!$I$56:$J$59,2,FALSE))+Character!$C$36+Character!$F$36+IF($B40="Yes",2,0))</f>
        <v>0</v>
      </c>
      <c r="J40" s="277">
        <f>IF(VLOOKUP($A40,Character!$I$56:$J$59,2,FALSE)="No"," ",VLOOKUP(VLOOKUP(V$1,Calcs!$E$110:$F$117,2,FALSE),Character!$A$9:$B$16,2,FALSE)+IF(VLOOKUP($A40,Character!$I$56:$J$59,2,FALSE)="Yes",0,VLOOKUP($A40,Character!$I$56:$J$59,2,FALSE))+Character!$C$36+Character!$F$36+IF($B40="Yes",2,0))</f>
        <v>0</v>
      </c>
      <c r="K40" s="285">
        <f>IF(VLOOKUP($A40,Character!$I$56:$J$59,2,FALSE)="No"," ",VLOOKUP(VLOOKUP(W$1,Calcs!$E$110:$F$117,2,FALSE),Character!$A$9:$B$16,2,FALSE)+IF(VLOOKUP($A40,Character!$I$56:$J$59,2,FALSE)="Yes",0,VLOOKUP($A40,Character!$I$56:$J$59,2,FALSE))+Character!$C$36+Character!$F$36+IF($B40="Yes",2,0))</f>
        <v>0</v>
      </c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x14ac:dyDescent="0.2">
      <c r="A41" s="292" t="str">
        <f>Character!I58</f>
        <v>Single Weapon</v>
      </c>
      <c r="B41" s="383" t="s">
        <v>185</v>
      </c>
      <c r="C41" s="591" t="str">
        <f>IF(ISBLANK(Character!K58)," ",Character!K58)</f>
        <v xml:space="preserve"> </v>
      </c>
      <c r="D41" s="279">
        <f>IF(VLOOKUP($A41,Character!$I$56:$J$59,2,FALSE)="No"," ",VLOOKUP(VLOOKUP(P$1,Calcs!$E$110:$F$117,2,FALSE),Character!$A$9:$B$16,2,FALSE)+IF(VLOOKUP($A41,Character!$I$56:$J$59,2,FALSE)="Yes",0,VLOOKUP($A41,Character!$I$56:$J$59,2,FALSE))+Character!$C$36+Character!$F$36+IF($B41="Yes",2,0))</f>
        <v>0</v>
      </c>
      <c r="E41" s="277">
        <f>IF(VLOOKUP($A41,Character!$I$56:$J$59,2,FALSE)="No"," ",VLOOKUP(VLOOKUP(Q$1,Calcs!$E$110:$F$117,2,FALSE),Character!$A$9:$B$16,2,FALSE)+IF(VLOOKUP($A41,Character!$I$56:$J$59,2,FALSE)="Yes",0,VLOOKUP($A41,Character!$I$56:$J$59,2,FALSE))+Character!$C$36+Character!$F$36+IF($B41="Yes",2,0))</f>
        <v>0</v>
      </c>
      <c r="F41" s="277">
        <f>IF(VLOOKUP($A41,Character!$I$56:$J$59,2,FALSE)="No"," ",VLOOKUP(VLOOKUP(R$1,Calcs!$E$110:$F$117,2,FALSE),Character!$A$9:$B$16,2,FALSE)+IF(VLOOKUP($A41,Character!$I$56:$J$59,2,FALSE)="Yes",0,VLOOKUP($A41,Character!$I$56:$J$59,2,FALSE))+Character!$C$36+Character!$F$36+IF($B41="Yes",2,0))</f>
        <v>0</v>
      </c>
      <c r="G41" s="277">
        <f>IF(VLOOKUP($A41,Character!$I$56:$J$59,2,FALSE)="No"," ",VLOOKUP(VLOOKUP(S$1,Calcs!$E$110:$F$117,2,FALSE),Character!$A$9:$B$16,2,FALSE)+IF(VLOOKUP($A41,Character!$I$56:$J$59,2,FALSE)="Yes",0,VLOOKUP($A41,Character!$I$56:$J$59,2,FALSE))+Character!$C$36+Character!$F$36+IF($B41="Yes",2,0))</f>
        <v>0</v>
      </c>
      <c r="H41" s="277">
        <f>IF(VLOOKUP($A41,Character!$I$56:$J$59,2,FALSE)="No"," ",VLOOKUP(VLOOKUP(T$1,Calcs!$E$110:$F$117,2,FALSE),Character!$A$9:$B$16,2,FALSE)+IF(VLOOKUP($A41,Character!$I$56:$J$59,2,FALSE)="Yes",0,VLOOKUP($A41,Character!$I$56:$J$59,2,FALSE))+Character!$C$36+Character!$F$36+IF($B41="Yes",2,0))</f>
        <v>0</v>
      </c>
      <c r="I41" s="277">
        <f>IF(VLOOKUP($A41,Character!$I$56:$J$59,2,FALSE)="No"," ",VLOOKUP(VLOOKUP(U$1,Calcs!$E$110:$F$117,2,FALSE),Character!$A$9:$B$16,2,FALSE)+IF(VLOOKUP($A41,Character!$I$56:$J$59,2,FALSE)="Yes",0,VLOOKUP($A41,Character!$I$56:$J$59,2,FALSE))+Character!$C$36+Character!$F$36+IF($B41="Yes",2,0))</f>
        <v>0</v>
      </c>
      <c r="J41" s="277">
        <f>IF(VLOOKUP($A41,Character!$I$56:$J$59,2,FALSE)="No"," ",VLOOKUP(VLOOKUP(V$1,Calcs!$E$110:$F$117,2,FALSE),Character!$A$9:$B$16,2,FALSE)+IF(VLOOKUP($A41,Character!$I$56:$J$59,2,FALSE)="Yes",0,VLOOKUP($A41,Character!$I$56:$J$59,2,FALSE))+Character!$C$36+Character!$F$36+IF($B41="Yes",2,0))</f>
        <v>0</v>
      </c>
      <c r="K41" s="285">
        <f>IF(VLOOKUP($A41,Character!$I$56:$J$59,2,FALSE)="No"," ",VLOOKUP(VLOOKUP(W$1,Calcs!$E$110:$F$117,2,FALSE),Character!$A$9:$B$16,2,FALSE)+IF(VLOOKUP($A41,Character!$I$56:$J$59,2,FALSE)="Yes",0,VLOOKUP($A41,Character!$I$56:$J$59,2,FALSE))+Character!$C$36+Character!$F$36+IF($B41="Yes",2,0))</f>
        <v>0</v>
      </c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3.5" thickBot="1" x14ac:dyDescent="0.25">
      <c r="A42" s="294" t="str">
        <f>Character!I59</f>
        <v>Thrown Weapon</v>
      </c>
      <c r="B42" s="385" t="s">
        <v>185</v>
      </c>
      <c r="C42" s="606" t="str">
        <f>IF(ISBLANK(Character!K59)," ",Character!K59)</f>
        <v xml:space="preserve"> </v>
      </c>
      <c r="D42" s="295">
        <f>IF(VLOOKUP($A42,Character!$I$56:$J$59,2,FALSE)="No"," ",VLOOKUP(VLOOKUP(P$1,Calcs!$E$110:$F$117,2,FALSE),Character!$A$9:$B$16,2,FALSE)+IF(VLOOKUP($A42,Character!$I$56:$J$59,2,FALSE)="Yes",0,VLOOKUP($A42,Character!$I$56:$J$59,2,FALSE))+Character!$C$36+Character!$F$36+IF($B42="Yes",2,0))</f>
        <v>0</v>
      </c>
      <c r="E42" s="296">
        <f>IF(VLOOKUP($A42,Character!$I$56:$J$59,2,FALSE)="No"," ",VLOOKUP(VLOOKUP(Q$1,Calcs!$E$110:$F$117,2,FALSE),Character!$A$9:$B$16,2,FALSE)+IF(VLOOKUP($A42,Character!$I$56:$J$59,2,FALSE)="Yes",0,VLOOKUP($A42,Character!$I$56:$J$59,2,FALSE))+Character!$C$36+Character!$F$36+IF($B42="Yes",2,0))</f>
        <v>0</v>
      </c>
      <c r="F42" s="296">
        <f>IF(VLOOKUP($A42,Character!$I$56:$J$59,2,FALSE)="No"," ",VLOOKUP(VLOOKUP(R$1,Calcs!$E$110:$F$117,2,FALSE),Character!$A$9:$B$16,2,FALSE)+IF(VLOOKUP($A42,Character!$I$56:$J$59,2,FALSE)="Yes",0,VLOOKUP($A42,Character!$I$56:$J$59,2,FALSE))+Character!$C$36+Character!$F$36+IF($B42="Yes",2,0))</f>
        <v>0</v>
      </c>
      <c r="G42" s="296">
        <f>IF(VLOOKUP($A42,Character!$I$56:$J$59,2,FALSE)="No"," ",VLOOKUP(VLOOKUP(S$1,Calcs!$E$110:$F$117,2,FALSE),Character!$A$9:$B$16,2,FALSE)+IF(VLOOKUP($A42,Character!$I$56:$J$59,2,FALSE)="Yes",0,VLOOKUP($A42,Character!$I$56:$J$59,2,FALSE))+Character!$C$36+Character!$F$36+IF($B42="Yes",2,0))</f>
        <v>0</v>
      </c>
      <c r="H42" s="296">
        <f>IF(VLOOKUP($A42,Character!$I$56:$J$59,2,FALSE)="No"," ",VLOOKUP(VLOOKUP(T$1,Calcs!$E$110:$F$117,2,FALSE),Character!$A$9:$B$16,2,FALSE)+IF(VLOOKUP($A42,Character!$I$56:$J$59,2,FALSE)="Yes",0,VLOOKUP($A42,Character!$I$56:$J$59,2,FALSE))+Character!$C$36+Character!$F$36+IF($B42="Yes",2,0))</f>
        <v>0</v>
      </c>
      <c r="I42" s="296">
        <f>IF(VLOOKUP($A42,Character!$I$56:$J$59,2,FALSE)="No"," ",VLOOKUP(VLOOKUP(U$1,Calcs!$E$110:$F$117,2,FALSE),Character!$A$9:$B$16,2,FALSE)+IF(VLOOKUP($A42,Character!$I$56:$J$59,2,FALSE)="Yes",0,VLOOKUP($A42,Character!$I$56:$J$59,2,FALSE))+Character!$C$36+Character!$F$36+IF($B42="Yes",2,0))</f>
        <v>0</v>
      </c>
      <c r="J42" s="296">
        <f>IF(VLOOKUP($A42,Character!$I$56:$J$59,2,FALSE)="No"," ",VLOOKUP(VLOOKUP(V$1,Calcs!$E$110:$F$117,2,FALSE),Character!$A$9:$B$16,2,FALSE)+IF(VLOOKUP($A42,Character!$I$56:$J$59,2,FALSE)="Yes",0,VLOOKUP($A42,Character!$I$56:$J$59,2,FALSE))+Character!$C$36+Character!$F$36+IF($B42="Yes",2,0))</f>
        <v>0</v>
      </c>
      <c r="K42" s="297">
        <f>IF(VLOOKUP($A42,Character!$I$56:$J$59,2,FALSE)="No"," ",VLOOKUP(VLOOKUP(W$1,Calcs!$E$110:$F$117,2,FALSE),Character!$A$9:$B$16,2,FALSE)+IF(VLOOKUP($A42,Character!$I$56:$J$59,2,FALSE)="Yes",0,VLOOKUP($A42,Character!$I$56:$J$59,2,FALSE))+Character!$C$36+Character!$F$36+IF($B42="Yes",2,0))</f>
        <v>0</v>
      </c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x14ac:dyDescent="0.2">
      <c r="A43" s="15"/>
      <c r="B43" s="15"/>
      <c r="C43" s="15"/>
      <c r="D43" s="624"/>
      <c r="E43" s="624"/>
      <c r="F43" s="624"/>
      <c r="G43" s="624"/>
      <c r="H43" s="624"/>
      <c r="I43" s="624"/>
      <c r="J43" s="624"/>
      <c r="K43" s="624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</sheetData>
  <sheetProtection selectLockedCells="1" selectUnlockedCells="1"/>
  <conditionalFormatting sqref="D2:K42 P2:W38">
    <cfRule type="colorScale" priority="2">
      <colorScale>
        <cfvo type="min"/>
        <cfvo type="percentile" val="50"/>
        <cfvo type="max"/>
        <color theme="5" tint="0.39997558519241921"/>
        <color theme="0"/>
        <color theme="9" tint="0.39997558519241921"/>
      </colorScale>
    </cfRule>
  </conditionalFormatting>
  <conditionalFormatting sqref="N2:N38">
    <cfRule type="expression" dxfId="11" priority="1">
      <formula>NOT($M2=" ")</formula>
    </cfRule>
  </conditionalFormatting>
  <pageMargins left="0.78749999999999998" right="0.78749999999999998" top="1.0249999999999999" bottom="1.0249999999999999" header="0.78749999999999998" footer="0.78749999999999998"/>
  <pageSetup paperSize="9" scale="85" orientation="portrait" horizontalDpi="300" verticalDpi="300" r:id="rId1"/>
  <headerFooter alignWithMargins="0">
    <oddHeader>&amp;C&amp;A</oddHeader>
    <oddFooter>&amp;CPage &amp;P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Pick" prompt="Yes or No">
          <x14:formula1>
            <xm:f>Calcs!$A$48:$A$50</xm:f>
          </x14:formula1>
          <xm:sqref>N2:N38</xm:sqref>
        </x14:dataValidation>
        <x14:dataValidation type="list" allowBlank="1" showInputMessage="1" showErrorMessage="1" promptTitle="Pick" prompt="Yes or No">
          <x14:formula1>
            <xm:f>Calcs!$A$49:$A$50</xm:f>
          </x14:formula1>
          <xm:sqref>B2:B42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3"/>
  <sheetViews>
    <sheetView workbookViewId="0">
      <selection activeCell="U32" sqref="U32"/>
    </sheetView>
  </sheetViews>
  <sheetFormatPr defaultColWidth="11.5703125" defaultRowHeight="12.75" x14ac:dyDescent="0.2"/>
  <cols>
    <col min="1" max="1" width="13.5703125" bestFit="1" customWidth="1"/>
    <col min="2" max="2" width="4" style="16" customWidth="1"/>
    <col min="3" max="3" width="4.28515625" style="129" bestFit="1" customWidth="1"/>
    <col min="4" max="4" width="5.140625" style="16" customWidth="1"/>
    <col min="5" max="5" width="10.5703125" style="16" bestFit="1" customWidth="1"/>
    <col min="6" max="6" width="9.5703125" style="16" customWidth="1"/>
    <col min="7" max="7" width="4.42578125" style="276" customWidth="1"/>
    <col min="8" max="8" width="3.5703125" style="276" bestFit="1" customWidth="1"/>
    <col min="9" max="9" width="5.140625" style="276" customWidth="1"/>
    <col min="10" max="10" width="7.7109375" style="276" bestFit="1" customWidth="1"/>
    <col min="11" max="11" width="3.5703125" style="276" bestFit="1" customWidth="1"/>
    <col min="12" max="12" width="14" style="276" bestFit="1" customWidth="1"/>
    <col min="13" max="13" width="6" style="276" bestFit="1" customWidth="1"/>
    <col min="14" max="14" width="13.85546875" style="276" bestFit="1" customWidth="1"/>
    <col min="15" max="15" width="14" style="276" bestFit="1" customWidth="1"/>
    <col min="16" max="17" width="5.140625" style="276" customWidth="1"/>
    <col min="18" max="18" width="8.42578125" style="16" customWidth="1"/>
    <col min="19" max="19" width="7.42578125" style="16" customWidth="1"/>
    <col min="20" max="20" width="22.140625" bestFit="1" customWidth="1"/>
    <col min="21" max="21" width="61.42578125" bestFit="1" customWidth="1"/>
  </cols>
  <sheetData>
    <row r="1" spans="1:21" s="15" customFormat="1" ht="13.5" thickBot="1" x14ac:dyDescent="0.25">
      <c r="A1" s="802" t="s">
        <v>53</v>
      </c>
      <c r="B1" s="803"/>
      <c r="C1" s="579" t="s">
        <v>349</v>
      </c>
      <c r="D1" s="17"/>
      <c r="E1" s="463" t="s">
        <v>462</v>
      </c>
      <c r="F1" s="464" t="s">
        <v>463</v>
      </c>
      <c r="G1" s="519" t="s">
        <v>54</v>
      </c>
      <c r="H1" s="520" t="s">
        <v>55</v>
      </c>
      <c r="I1" s="521" t="s">
        <v>56</v>
      </c>
      <c r="J1" s="520" t="s">
        <v>297</v>
      </c>
      <c r="K1" s="520" t="s">
        <v>57</v>
      </c>
      <c r="L1" s="520" t="s">
        <v>269</v>
      </c>
      <c r="M1" s="520" t="s">
        <v>360</v>
      </c>
      <c r="N1" s="520" t="s">
        <v>359</v>
      </c>
      <c r="O1" s="520" t="s">
        <v>58</v>
      </c>
      <c r="P1" s="521" t="s">
        <v>59</v>
      </c>
      <c r="Q1" s="527" t="s">
        <v>361</v>
      </c>
      <c r="R1" s="2"/>
      <c r="S1" s="369" t="s">
        <v>464</v>
      </c>
      <c r="T1" s="370" t="s">
        <v>61</v>
      </c>
      <c r="U1" s="371" t="s">
        <v>62</v>
      </c>
    </row>
    <row r="2" spans="1:21" s="15" customFormat="1" x14ac:dyDescent="0.2">
      <c r="A2" s="356" t="s">
        <v>11</v>
      </c>
      <c r="B2" s="357">
        <f>Character!B9</f>
        <v>0</v>
      </c>
      <c r="C2" s="362"/>
      <c r="D2" s="17"/>
      <c r="E2" s="534" t="s">
        <v>14</v>
      </c>
      <c r="F2" s="535" t="s">
        <v>23</v>
      </c>
      <c r="G2" s="536">
        <f t="shared" ref="G2:G11" si="0">VLOOKUP($E$2,$A$15:$B$19,2,FALSE)+VLOOKUP($F2,$A$21:$B$30,2,FALSE)+IF(VLOOKUP($E$2,$A$15:$C$19,3)="Yes",3,0)+IF(VLOOKUP($F2,$A$21:$C$30,3)="Yes",3,0)+IF($S$19="Yes",MIN(VLOOKUP($E$2,$A$15:$B$19,2,FALSE),VLOOKUP($F2,$A$21:$B$30,2,FALSE)),0)</f>
        <v>0</v>
      </c>
      <c r="H2" s="537">
        <f>G2+$B$3+$B$11+Character!$F$36+Character!$C$36</f>
        <v>0</v>
      </c>
      <c r="I2" s="541">
        <f>G2+$B$2+IF($B$4="Yes",0,$B$4)+$B$11+Character!$C$36+Character!$F$36+IF($C$4="Yes",2,0)+IF(Character!$K$51=F2,1,0)+IF(Character!$K$51=$E$2,1,0)</f>
        <v>0</v>
      </c>
      <c r="J2" s="538">
        <f>H2</f>
        <v>0</v>
      </c>
      <c r="K2" s="539">
        <f>ROUND(H2/5,0)</f>
        <v>0</v>
      </c>
      <c r="L2" s="641">
        <f>H2/2</f>
        <v>0</v>
      </c>
      <c r="M2" s="537" t="str">
        <f>IF(AND($B$9="No",$B$10="No")," ",(((IF(OR($B$9="No",$B$10="No"),IF($B$9="No",$B$10,$B$9),($B$9+$B$10)))+IF($C$9="Yes",2,0)+IF($C$10="Yes",2,0)+IF(Character!$G$46="Ceremonial Casting",1,0)+IF(Character!$G$49="Ceremonial Casting",1,0))/5)+K2)</f>
        <v xml:space="preserve"> </v>
      </c>
      <c r="N2" s="540" t="str">
        <f>IF(AND($B$9="No",$B$10="No")," ",((IF(Character!G45="Ceremonial Casting",1,0)+((IF(OR($B$9="No",$B$10="No"),IF($B$9="No",$B$10,$B$9),($B$9+$B$10)))+IF($C$9="Yes",2,0)+IF($C$10="Yes",2,0))/2)+L2))</f>
        <v xml:space="preserve"> </v>
      </c>
      <c r="O2" s="641">
        <f>(IF(AND($B$9="No",$B$10="No"),0,(((IF(OR($B$9="No",$B$10="No"),IF($B$9="No",$B$10,$B$9),($B$9+$B$10)))))))+H2+IF($C$9="Yes",2,0)+IF($C$10="Yes",2,0)</f>
        <v>0</v>
      </c>
      <c r="P2" s="541" t="str">
        <f>IF($B$7="No"," ",(IF(F2=Character!$K$52,1,0)+$B$7+IF($C$7="Yes",2,0))*5)</f>
        <v xml:space="preserve"> </v>
      </c>
      <c r="Q2" s="542">
        <f>IF(P2=" ",0,P2)+ROUNDUP(((VLOOKUP(F2,$A$21:$B$30,2,FALSE)+IF(VLOOKUP(F2,$A$21:$C$30,3,FALSE)="Yes",3,0))/5),0)</f>
        <v>0</v>
      </c>
      <c r="S2" s="366" t="s">
        <v>54</v>
      </c>
      <c r="T2" s="367" t="s">
        <v>63</v>
      </c>
      <c r="U2" s="368"/>
    </row>
    <row r="3" spans="1:21" s="15" customFormat="1" ht="13.5" thickBot="1" x14ac:dyDescent="0.25">
      <c r="A3" s="133" t="s">
        <v>8</v>
      </c>
      <c r="B3" s="350">
        <f>Character!B14</f>
        <v>0</v>
      </c>
      <c r="C3" s="363"/>
      <c r="D3" s="17"/>
      <c r="E3" s="543"/>
      <c r="F3" s="544" t="s">
        <v>25</v>
      </c>
      <c r="G3" s="514">
        <f t="shared" si="0"/>
        <v>0</v>
      </c>
      <c r="H3" s="546">
        <f>G3+$B$3+$B$11+Character!$F$36+Character!$C$36</f>
        <v>0</v>
      </c>
      <c r="I3" s="523">
        <f>G3+$B$2+IF($B$4="Yes",0,$B$4)+$B$11+Character!$C$36+Character!$F$36+IF($C$4="Yes",2,0)+IF(Character!$K$51=F3,1,0)+IF(Character!$K$51=$E$2,1,0)</f>
        <v>0</v>
      </c>
      <c r="J3" s="547">
        <f t="shared" ref="J3:J51" si="1">H3</f>
        <v>0</v>
      </c>
      <c r="K3" s="548">
        <f t="shared" ref="K3:K51" si="2">ROUND(H3/5,0)</f>
        <v>0</v>
      </c>
      <c r="L3" s="642">
        <f t="shared" ref="L3:L51" si="3">H3/2</f>
        <v>0</v>
      </c>
      <c r="M3" s="546" t="str">
        <f>IF(AND($B$9="No",$B$10="No")," ",(((IF(OR($B$9="No",$B$10="No"),IF($B$9="No",$B$10,$B$9),($B$9+$B$10)))+IF($C$9="Yes",2,0)+IF($C$10="Yes",2,0)+IF(Character!$G$46="Ceremonial Casting",1,0)+IF(Character!$G$49="Ceremonial Casting",1,0))/5)+K3)</f>
        <v xml:space="preserve"> </v>
      </c>
      <c r="N3" s="549" t="str">
        <f>IF(AND($B$9="No",$B$10="No")," ",((IF(Character!G46="Ceremonial Casting",1,0)+((IF(OR($B$9="No",$B$10="No"),IF($B$9="No",$B$10,$B$9),($B$9+$B$10)))+IF($C$9="Yes",2,0)+IF($C$10="Yes",2,0))/2)+L3))</f>
        <v xml:space="preserve"> </v>
      </c>
      <c r="O3" s="642">
        <f t="shared" ref="O3:O51" si="4">(IF(AND($B$9="No",$B$10="No"),0,(((IF(OR($B$9="No",$B$10="No"),IF($B$9="No",$B$10,$B$9),($B$9+$B$10)))))))+H3+IF($C$9="Yes",2,0)+IF($C$10="Yes",2,0)</f>
        <v>0</v>
      </c>
      <c r="P3" s="523" t="str">
        <f>IF($B$7="No"," ",(IF(F3=Character!$K$52,1,0)+$B$7+IF($C$7="Yes",2,0))*5)</f>
        <v xml:space="preserve"> </v>
      </c>
      <c r="Q3" s="529">
        <f t="shared" ref="Q3:Q51" si="5">IF(P3=" ",0,P3)+ROUNDUP(((VLOOKUP(F3,$A$21:$B$30,2,FALSE)+IF(VLOOKUP(F3,$A$21:$C$30,3,FALSE)="Yes",3,0))/5),0)</f>
        <v>0</v>
      </c>
      <c r="S3" s="144" t="s">
        <v>55</v>
      </c>
      <c r="T3" s="248" t="s">
        <v>64</v>
      </c>
      <c r="U3" s="146" t="s">
        <v>65</v>
      </c>
    </row>
    <row r="4" spans="1:21" s="15" customFormat="1" x14ac:dyDescent="0.2">
      <c r="A4" s="346" t="s">
        <v>39</v>
      </c>
      <c r="B4" s="351" t="str">
        <f>Character!J51</f>
        <v>Yes</v>
      </c>
      <c r="C4" s="358" t="s">
        <v>185</v>
      </c>
      <c r="D4" s="17"/>
      <c r="E4" s="543"/>
      <c r="F4" s="544" t="s">
        <v>28</v>
      </c>
      <c r="G4" s="514">
        <f t="shared" si="0"/>
        <v>0</v>
      </c>
      <c r="H4" s="546">
        <f>G4+$B$3+$B$11+Character!$F$36+Character!$C$36</f>
        <v>0</v>
      </c>
      <c r="I4" s="523">
        <f>G4+$B$2+IF($B$4="Yes",0,$B$4)+$B$11+Character!$C$36+Character!$F$36+IF($C$4="Yes",2,0)+IF(Character!$K$51=F4,1,0)+IF(Character!$K$51=$E$2,1,0)</f>
        <v>0</v>
      </c>
      <c r="J4" s="547">
        <f t="shared" si="1"/>
        <v>0</v>
      </c>
      <c r="K4" s="548">
        <f t="shared" si="2"/>
        <v>0</v>
      </c>
      <c r="L4" s="642">
        <f t="shared" si="3"/>
        <v>0</v>
      </c>
      <c r="M4" s="546" t="str">
        <f>IF(AND($B$9="No",$B$10="No")," ",(((IF(OR($B$9="No",$B$10="No"),IF($B$9="No",$B$10,$B$9),($B$9+$B$10)))+IF($C$9="Yes",2,0)+IF($C$10="Yes",2,0)+IF(Character!$G$46="Ceremonial Casting",1,0)+IF(Character!$G$49="Ceremonial Casting",1,0))/5)+K4)</f>
        <v xml:space="preserve"> </v>
      </c>
      <c r="N4" s="549" t="str">
        <f>IF(AND($B$9="No",$B$10="No")," ",((IF(Character!G47="Ceremonial Casting",1,0)+((IF(OR($B$9="No",$B$10="No"),IF($B$9="No",$B$10,$B$9),($B$9+$B$10)))+IF($C$9="Yes",2,0)+IF($C$10="Yes",2,0))/2)+L4))</f>
        <v xml:space="preserve"> </v>
      </c>
      <c r="O4" s="642">
        <f t="shared" si="4"/>
        <v>0</v>
      </c>
      <c r="P4" s="523" t="str">
        <f>IF($B$7="No"," ",(IF(F4=Character!$K$52,1,0)+$B$7+IF($C$7="Yes",2,0))*5)</f>
        <v xml:space="preserve"> </v>
      </c>
      <c r="Q4" s="529">
        <f t="shared" si="5"/>
        <v>0</v>
      </c>
      <c r="S4" s="144" t="s">
        <v>297</v>
      </c>
      <c r="T4" s="248" t="s">
        <v>66</v>
      </c>
      <c r="U4" s="146" t="s">
        <v>363</v>
      </c>
    </row>
    <row r="5" spans="1:21" s="15" customFormat="1" x14ac:dyDescent="0.2">
      <c r="A5" s="347" t="s">
        <v>24</v>
      </c>
      <c r="B5" s="352" t="str">
        <f>Character!B53</f>
        <v>Yes</v>
      </c>
      <c r="C5" s="359" t="s">
        <v>185</v>
      </c>
      <c r="D5" s="17"/>
      <c r="E5" s="543"/>
      <c r="F5" s="544" t="s">
        <v>30</v>
      </c>
      <c r="G5" s="514">
        <f t="shared" si="0"/>
        <v>0</v>
      </c>
      <c r="H5" s="546">
        <f>G5+$B$3+$B$11+Character!$F$36+Character!$C$36</f>
        <v>0</v>
      </c>
      <c r="I5" s="523">
        <f>G5+$B$2+IF($B$4="Yes",0,$B$4)+$B$11+Character!$C$36+Character!$F$36+IF($C$4="Yes",2,0)+IF(Character!$K$51=F5,1,0)+IF(Character!$K$51=$E$2,1,0)</f>
        <v>0</v>
      </c>
      <c r="J5" s="547">
        <f t="shared" si="1"/>
        <v>0</v>
      </c>
      <c r="K5" s="548">
        <f t="shared" si="2"/>
        <v>0</v>
      </c>
      <c r="L5" s="642">
        <f t="shared" si="3"/>
        <v>0</v>
      </c>
      <c r="M5" s="546" t="str">
        <f>IF(AND($B$9="No",$B$10="No")," ",(((IF(OR($B$9="No",$B$10="No"),IF($B$9="No",$B$10,$B$9),($B$9+$B$10)))+IF($C$9="Yes",2,0)+IF($C$10="Yes",2,0)+IF(Character!$G$46="Ceremonial Casting",1,0)+IF(Character!$G$49="Ceremonial Casting",1,0))/5)+K5)</f>
        <v xml:space="preserve"> </v>
      </c>
      <c r="N5" s="549" t="str">
        <f>IF(AND($B$9="No",$B$10="No")," ",((IF(Character!G48="Ceremonial Casting",1,0)+((IF(OR($B$9="No",$B$10="No"),IF($B$9="No",$B$10,$B$9),($B$9+$B$10)))+IF($C$9="Yes",2,0)+IF($C$10="Yes",2,0))/2)+L5))</f>
        <v xml:space="preserve"> </v>
      </c>
      <c r="O5" s="642">
        <f t="shared" si="4"/>
        <v>0</v>
      </c>
      <c r="P5" s="523" t="str">
        <f>IF($B$7="No"," ",(IF(F5=Character!$K$52,1,0)+$B$7+IF($C$7="Yes",2,0))*5)</f>
        <v xml:space="preserve"> </v>
      </c>
      <c r="Q5" s="529">
        <f t="shared" si="5"/>
        <v>0</v>
      </c>
      <c r="S5" s="144" t="s">
        <v>56</v>
      </c>
      <c r="T5" s="248" t="s">
        <v>268</v>
      </c>
      <c r="U5" s="146" t="s">
        <v>67</v>
      </c>
    </row>
    <row r="6" spans="1:21" s="15" customFormat="1" x14ac:dyDescent="0.2">
      <c r="A6" s="347" t="s">
        <v>37</v>
      </c>
      <c r="B6" s="352" t="str">
        <f>Character!J48</f>
        <v>Yes</v>
      </c>
      <c r="C6" s="359" t="s">
        <v>185</v>
      </c>
      <c r="D6" s="17"/>
      <c r="E6" s="543"/>
      <c r="F6" s="544" t="s">
        <v>32</v>
      </c>
      <c r="G6" s="514">
        <f t="shared" si="0"/>
        <v>0</v>
      </c>
      <c r="H6" s="546">
        <f>G6+$B$3+$B$11+Character!$F$36+Character!$C$36</f>
        <v>0</v>
      </c>
      <c r="I6" s="523">
        <f>G6+$B$2+IF($B$4="Yes",0,$B$4)+$B$11+Character!$C$36+Character!$F$36+IF($C$4="Yes",2,0)+IF(Character!$K$51=F6,1,0)+IF(Character!$K$51=$E$2,1,0)</f>
        <v>0</v>
      </c>
      <c r="J6" s="547">
        <f t="shared" si="1"/>
        <v>0</v>
      </c>
      <c r="K6" s="548">
        <f t="shared" si="2"/>
        <v>0</v>
      </c>
      <c r="L6" s="642">
        <f t="shared" si="3"/>
        <v>0</v>
      </c>
      <c r="M6" s="546" t="str">
        <f>IF(AND($B$9="No",$B$10="No")," ",(((IF(OR($B$9="No",$B$10="No"),IF($B$9="No",$B$10,$B$9),($B$9+$B$10)))+IF($C$9="Yes",2,0)+IF($C$10="Yes",2,0)+IF(Character!$G$46="Ceremonial Casting",1,0)+IF(Character!$G$49="Ceremonial Casting",1,0))/5)+K6)</f>
        <v xml:space="preserve"> </v>
      </c>
      <c r="N6" s="549" t="str">
        <f>IF(AND($B$9="No",$B$10="No")," ",((IF(Character!G49="Ceremonial Casting",1,0)+((IF(OR($B$9="No",$B$10="No"),IF($B$9="No",$B$10,$B$9),($B$9+$B$10)))+IF($C$9="Yes",2,0)+IF($C$10="Yes",2,0))/2)+L6))</f>
        <v xml:space="preserve"> </v>
      </c>
      <c r="O6" s="642">
        <f t="shared" si="4"/>
        <v>0</v>
      </c>
      <c r="P6" s="523" t="str">
        <f>IF($B$7="No"," ",(IF(F6=Character!$K$52,1,0)+$B$7+IF($C$7="Yes",2,0))*5)</f>
        <v xml:space="preserve"> </v>
      </c>
      <c r="Q6" s="529">
        <f t="shared" si="5"/>
        <v>0</v>
      </c>
      <c r="S6" s="144" t="s">
        <v>57</v>
      </c>
      <c r="T6" s="248" t="s">
        <v>68</v>
      </c>
      <c r="U6" s="146" t="s">
        <v>292</v>
      </c>
    </row>
    <row r="7" spans="1:21" s="15" customFormat="1" x14ac:dyDescent="0.2">
      <c r="A7" s="347" t="s">
        <v>38</v>
      </c>
      <c r="B7" s="352" t="str">
        <f>Character!J52</f>
        <v>No</v>
      </c>
      <c r="C7" s="359" t="s">
        <v>185</v>
      </c>
      <c r="D7" s="17"/>
      <c r="E7" s="543"/>
      <c r="F7" s="544" t="s">
        <v>34</v>
      </c>
      <c r="G7" s="514">
        <f t="shared" si="0"/>
        <v>0</v>
      </c>
      <c r="H7" s="546">
        <f>G7+$B$3+$B$11+Character!$F$36+Character!$C$36</f>
        <v>0</v>
      </c>
      <c r="I7" s="523">
        <f>G7+$B$2+IF($B$4="Yes",0,$B$4)+$B$11+Character!$C$36+Character!$F$36+IF($C$4="Yes",2,0)+IF(Character!$K$51=F7,1,0)+IF(Character!$K$51=$E$2,1,0)</f>
        <v>0</v>
      </c>
      <c r="J7" s="547">
        <f t="shared" si="1"/>
        <v>0</v>
      </c>
      <c r="K7" s="548">
        <f t="shared" si="2"/>
        <v>0</v>
      </c>
      <c r="L7" s="642">
        <f t="shared" si="3"/>
        <v>0</v>
      </c>
      <c r="M7" s="546" t="str">
        <f>IF(AND($B$9="No",$B$10="No")," ",(((IF(OR($B$9="No",$B$10="No"),IF($B$9="No",$B$10,$B$9),($B$9+$B$10)))+IF($C$9="Yes",2,0)+IF($C$10="Yes",2,0)+IF(Character!$G$46="Ceremonial Casting",1,0)+IF(Character!$G$49="Ceremonial Casting",1,0))/5)+K7)</f>
        <v xml:space="preserve"> </v>
      </c>
      <c r="N7" s="549" t="str">
        <f>IF(AND($B$9="No",$B$10="No")," ",((IF(Character!G50="Ceremonial Casting",1,0)+((IF(OR($B$9="No",$B$10="No"),IF($B$9="No",$B$10,$B$9),($B$9+$B$10)))+IF($C$9="Yes",2,0)+IF($C$10="Yes",2,0))/2)+L7))</f>
        <v xml:space="preserve"> </v>
      </c>
      <c r="O7" s="642">
        <f t="shared" si="4"/>
        <v>0</v>
      </c>
      <c r="P7" s="523" t="str">
        <f>IF($B$7="No"," ",(IF(F7=Character!$K$52,1,0)+$B$7+IF($C$7="Yes",2,0))*5)</f>
        <v xml:space="preserve"> </v>
      </c>
      <c r="Q7" s="529">
        <f t="shared" si="5"/>
        <v>0</v>
      </c>
      <c r="S7" s="144" t="s">
        <v>269</v>
      </c>
      <c r="T7" s="248" t="s">
        <v>69</v>
      </c>
      <c r="U7" s="146" t="s">
        <v>291</v>
      </c>
    </row>
    <row r="8" spans="1:21" s="15" customFormat="1" x14ac:dyDescent="0.2">
      <c r="A8" s="345" t="s">
        <v>41</v>
      </c>
      <c r="B8" s="563" t="str">
        <f>Character!J53</f>
        <v>Yes</v>
      </c>
      <c r="C8" s="564" t="s">
        <v>185</v>
      </c>
      <c r="D8" s="17"/>
      <c r="E8" s="543"/>
      <c r="F8" s="544" t="s">
        <v>35</v>
      </c>
      <c r="G8" s="514">
        <f t="shared" si="0"/>
        <v>0</v>
      </c>
      <c r="H8" s="546">
        <f>G8+$B$3+$B$11+Character!$F$36+Character!$C$36</f>
        <v>0</v>
      </c>
      <c r="I8" s="523">
        <f>G8+$B$2+IF($B$4="Yes",0,$B$4)+$B$11+Character!$C$36+Character!$F$36+IF($C$4="Yes",2,0)+IF(Character!$K$51=F8,1,0)+IF(Character!$K$51=$E$2,1,0)</f>
        <v>0</v>
      </c>
      <c r="J8" s="547">
        <f t="shared" si="1"/>
        <v>0</v>
      </c>
      <c r="K8" s="548">
        <f t="shared" si="2"/>
        <v>0</v>
      </c>
      <c r="L8" s="642">
        <f t="shared" si="3"/>
        <v>0</v>
      </c>
      <c r="M8" s="546" t="str">
        <f>IF(AND($B$9="No",$B$10="No")," ",(((IF(OR($B$9="No",$B$10="No"),IF($B$9="No",$B$10,$B$9),($B$9+$B$10)))+IF($C$9="Yes",2,0)+IF($C$10="Yes",2,0)+IF(Character!$G$46="Ceremonial Casting",1,0)+IF(Character!$G$49="Ceremonial Casting",1,0))/5)+K8)</f>
        <v xml:space="preserve"> </v>
      </c>
      <c r="N8" s="549" t="str">
        <f>IF(AND($B$9="No",$B$10="No")," ",((IF(Character!G51="Ceremonial Casting",1,0)+((IF(OR($B$9="No",$B$10="No"),IF($B$9="No",$B$10,$B$9),($B$9+$B$10)))+IF($C$9="Yes",2,0)+IF($C$10="Yes",2,0))/2)+L8))</f>
        <v xml:space="preserve"> </v>
      </c>
      <c r="O8" s="642">
        <f t="shared" si="4"/>
        <v>0</v>
      </c>
      <c r="P8" s="523" t="str">
        <f>IF($B$7="No"," ",(IF(F8=Character!$K$52,1,0)+$B$7+IF($C$7="Yes",2,0))*5)</f>
        <v xml:space="preserve"> </v>
      </c>
      <c r="Q8" s="529">
        <f t="shared" si="5"/>
        <v>0</v>
      </c>
      <c r="S8" s="144" t="s">
        <v>294</v>
      </c>
      <c r="T8" s="248" t="s">
        <v>70</v>
      </c>
      <c r="U8" s="146" t="s">
        <v>295</v>
      </c>
    </row>
    <row r="9" spans="1:21" s="15" customFormat="1" x14ac:dyDescent="0.2">
      <c r="A9" s="348" t="s">
        <v>194</v>
      </c>
      <c r="B9" s="353" t="str">
        <f>Character!F45</f>
        <v>No</v>
      </c>
      <c r="C9" s="360" t="s">
        <v>185</v>
      </c>
      <c r="D9"/>
      <c r="E9" s="543"/>
      <c r="F9" s="544" t="s">
        <v>36</v>
      </c>
      <c r="G9" s="514">
        <f t="shared" si="0"/>
        <v>0</v>
      </c>
      <c r="H9" s="546">
        <f>G9+$B$3+$B$11+Character!$F$36+Character!$C$36</f>
        <v>0</v>
      </c>
      <c r="I9" s="523">
        <f>G9+$B$2+IF($B$4="Yes",0,$B$4)+$B$11+Character!$C$36+Character!$F$36+IF($C$4="Yes",2,0)+IF(Character!$K$51=F9,1,0)+IF(Character!$K$51=$E$2,1,0)</f>
        <v>0</v>
      </c>
      <c r="J9" s="547">
        <f t="shared" si="1"/>
        <v>0</v>
      </c>
      <c r="K9" s="548">
        <f t="shared" si="2"/>
        <v>0</v>
      </c>
      <c r="L9" s="642">
        <f t="shared" si="3"/>
        <v>0</v>
      </c>
      <c r="M9" s="546" t="str">
        <f>IF(AND($B$9="No",$B$10="No")," ",(((IF(OR($B$9="No",$B$10="No"),IF($B$9="No",$B$10,$B$9),($B$9+$B$10)))+IF($C$9="Yes",2,0)+IF($C$10="Yes",2,0)+IF(Character!$G$46="Ceremonial Casting",1,0)+IF(Character!$G$49="Ceremonial Casting",1,0))/5)+K9)</f>
        <v xml:space="preserve"> </v>
      </c>
      <c r="N9" s="549" t="str">
        <f>IF(AND($B$9="No",$B$10="No")," ",((IF(Character!G52="Ceremonial Casting",1,0)+((IF(OR($B$9="No",$B$10="No"),IF($B$9="No",$B$10,$B$9),($B$9+$B$10)))+IF($C$9="Yes",2,0)+IF($C$10="Yes",2,0))/2)+L9))</f>
        <v xml:space="preserve"> </v>
      </c>
      <c r="O9" s="642">
        <f t="shared" si="4"/>
        <v>0</v>
      </c>
      <c r="P9" s="523" t="str">
        <f>IF($B$7="No"," ",(IF(F9=Character!$K$52,1,0)+$B$7+IF($C$7="Yes",2,0))*5)</f>
        <v xml:space="preserve"> </v>
      </c>
      <c r="Q9" s="529">
        <f t="shared" si="5"/>
        <v>0</v>
      </c>
      <c r="S9" s="144" t="s">
        <v>293</v>
      </c>
      <c r="T9" s="248" t="s">
        <v>70</v>
      </c>
      <c r="U9" s="146" t="s">
        <v>296</v>
      </c>
    </row>
    <row r="10" spans="1:21" s="15" customFormat="1" ht="13.5" thickBot="1" x14ac:dyDescent="0.25">
      <c r="A10" s="349" t="s">
        <v>197</v>
      </c>
      <c r="B10" s="354" t="str">
        <f>Character!F49</f>
        <v>No</v>
      </c>
      <c r="C10" s="565" t="s">
        <v>185</v>
      </c>
      <c r="D10"/>
      <c r="E10" s="543"/>
      <c r="F10" s="544" t="s">
        <v>40</v>
      </c>
      <c r="G10" s="514">
        <f t="shared" si="0"/>
        <v>0</v>
      </c>
      <c r="H10" s="546">
        <f>G10+$B$3+$B$11+Character!$F$36+Character!$C$36</f>
        <v>0</v>
      </c>
      <c r="I10" s="523">
        <f>G10+$B$2+IF($B$4="Yes",0,$B$4)+$B$11+Character!$C$36+Character!$F$36+IF($C$4="Yes",2,0)+IF(Character!$K$51=F10,1,0)+IF(Character!$K$51=$E$2,1,0)</f>
        <v>0</v>
      </c>
      <c r="J10" s="547">
        <f t="shared" si="1"/>
        <v>0</v>
      </c>
      <c r="K10" s="548">
        <f t="shared" si="2"/>
        <v>0</v>
      </c>
      <c r="L10" s="642">
        <f t="shared" si="3"/>
        <v>0</v>
      </c>
      <c r="M10" s="546" t="str">
        <f>IF(AND($B$9="No",$B$10="No")," ",(((IF(OR($B$9="No",$B$10="No"),IF($B$9="No",$B$10,$B$9),($B$9+$B$10)))+IF($C$9="Yes",2,0)+IF($C$10="Yes",2,0)+IF(Character!$G$46="Ceremonial Casting",1,0)+IF(Character!$G$49="Ceremonial Casting",1,0))/5)+K10)</f>
        <v xml:space="preserve"> </v>
      </c>
      <c r="N10" s="549" t="str">
        <f>IF(AND($B$9="No",$B$10="No")," ",((IF(Character!G53="Ceremonial Casting",1,0)+((IF(OR($B$9="No",$B$10="No"),IF($B$9="No",$B$10,$B$9),($B$9+$B$10)))+IF($C$9="Yes",2,0)+IF($C$10="Yes",2,0))/2)+L10))</f>
        <v xml:space="preserve"> </v>
      </c>
      <c r="O10" s="642">
        <f t="shared" si="4"/>
        <v>0</v>
      </c>
      <c r="P10" s="523" t="str">
        <f>IF($B$7="No"," ",(IF(F10=Character!$K$52,1,0)+$B$7+IF($C$7="Yes",2,0))*5)</f>
        <v xml:space="preserve"> </v>
      </c>
      <c r="Q10" s="529">
        <f t="shared" si="5"/>
        <v>0</v>
      </c>
      <c r="S10" s="144" t="s">
        <v>58</v>
      </c>
      <c r="T10" s="248" t="s">
        <v>71</v>
      </c>
      <c r="U10" s="146" t="s">
        <v>72</v>
      </c>
    </row>
    <row r="11" spans="1:21" s="15" customFormat="1" ht="13.5" thickBot="1" x14ac:dyDescent="0.25">
      <c r="A11" s="141" t="s">
        <v>60</v>
      </c>
      <c r="B11" s="355"/>
      <c r="C11" s="361"/>
      <c r="D11"/>
      <c r="E11" s="550"/>
      <c r="F11" s="551" t="s">
        <v>42</v>
      </c>
      <c r="G11" s="558">
        <f t="shared" si="0"/>
        <v>0</v>
      </c>
      <c r="H11" s="553">
        <f>G11+$B$3+$B$11+Character!$F$36+Character!$C$36</f>
        <v>0</v>
      </c>
      <c r="I11" s="526">
        <f>G11+$B$2+IF($B$4="Yes",0,$B$4)+$B$11+Character!$C$36+Character!$F$36+IF($C$4="Yes",2,0)+IF(Character!$K$51=F11,1,0)+IF(Character!$K$51=$E$2,1,0)</f>
        <v>0</v>
      </c>
      <c r="J11" s="554">
        <f t="shared" si="1"/>
        <v>0</v>
      </c>
      <c r="K11" s="555">
        <f t="shared" si="2"/>
        <v>0</v>
      </c>
      <c r="L11" s="643">
        <f t="shared" si="3"/>
        <v>0</v>
      </c>
      <c r="M11" s="553" t="str">
        <f>IF(AND($B$9="No",$B$10="No")," ",(((IF(OR($B$9="No",$B$10="No"),IF($B$9="No",$B$10,$B$9),($B$9+$B$10)))+IF($C$9="Yes",2,0)+IF($C$10="Yes",2,0)+IF(Character!$G$46="Ceremonial Casting",1,0)+IF(Character!$G$49="Ceremonial Casting",1,0))/5)+K11)</f>
        <v xml:space="preserve"> </v>
      </c>
      <c r="N11" s="556" t="str">
        <f>IF(AND($B$9="No",$B$10="No")," ",((IF(Character!G54="Ceremonial Casting",1,0)+((IF(OR($B$9="No",$B$10="No"),IF($B$9="No",$B$10,$B$9),($B$9+$B$10)))+IF($C$9="Yes",2,0)+IF($C$10="Yes",2,0))/2)+L11))</f>
        <v xml:space="preserve"> </v>
      </c>
      <c r="O11" s="643">
        <f t="shared" si="4"/>
        <v>0</v>
      </c>
      <c r="P11" s="526" t="str">
        <f>IF($B$7="No"," ",(IF(F11=Character!$K$52,1,0)+$B$7+IF($C$7="Yes",2,0))*5)</f>
        <v xml:space="preserve"> </v>
      </c>
      <c r="Q11" s="532">
        <f t="shared" si="5"/>
        <v>0</v>
      </c>
      <c r="S11" s="144" t="s">
        <v>59</v>
      </c>
      <c r="T11" s="248" t="s">
        <v>73</v>
      </c>
      <c r="U11" s="146"/>
    </row>
    <row r="12" spans="1:21" s="15" customFormat="1" ht="13.5" thickBot="1" x14ac:dyDescent="0.25">
      <c r="A12" s="142"/>
      <c r="B12" s="143"/>
      <c r="C12" s="143"/>
      <c r="D12"/>
      <c r="E12" s="557" t="s">
        <v>16</v>
      </c>
      <c r="F12" s="513" t="s">
        <v>23</v>
      </c>
      <c r="G12" s="514">
        <f t="shared" ref="G12:G21" si="6">VLOOKUP($E$12,$A$15:$B$19,2,FALSE)+VLOOKUP($F12,$A$21:$B$30,2,FALSE)+IF(VLOOKUP($E$12,$A$15:$C$19,3)="Yes",3,0)+IF(VLOOKUP($F12,$A$21:$C$30,3)="Yes",3,0)+IF($S$19="Yes",MIN(VLOOKUP($E$12,$A$15:$B$19,2,FALSE),VLOOKUP($F12,$A$21:$B$30,2,FALSE)),0)</f>
        <v>0</v>
      </c>
      <c r="H12" s="515">
        <f>G12+$B$3+$B$11+Character!$F$36+Character!$C$36</f>
        <v>0</v>
      </c>
      <c r="I12" s="522">
        <f>G12+$B$2+IF($B$4="Yes",0,$B$4)+$B$11+Character!$C$36+Character!$F$36+IF($C$4="Yes",2,0)+IF(Character!$K$51=F12,1,0)+IF(Character!$K$51=$E$12,1,0)</f>
        <v>0</v>
      </c>
      <c r="J12" s="516">
        <f t="shared" si="1"/>
        <v>0</v>
      </c>
      <c r="K12" s="517">
        <f t="shared" si="2"/>
        <v>0</v>
      </c>
      <c r="L12" s="644">
        <f t="shared" si="3"/>
        <v>0</v>
      </c>
      <c r="M12" s="515" t="str">
        <f>IF(AND($B$9="No",$B$10="No")," ",(((IF(OR($B$9="No",$B$10="No"),IF($B$9="No",$B$10,$B$9),($B$9+$B$10)))+IF($C$9="Yes",2,0)+IF($C$10="Yes",2,0)+IF(Character!$G$46="Ceremonial Casting",1,0)+IF(Character!$G$49="Ceremonial Casting",1,0))/5)+K12)</f>
        <v xml:space="preserve"> </v>
      </c>
      <c r="N12" s="518" t="str">
        <f>IF(AND($B$9="No",$B$10="No")," ",((IF(Character!G55="Ceremonial Casting",1,0)+((IF(OR($B$9="No",$B$10="No"),IF($B$9="No",$B$10,$B$9),($B$9+$B$10)))+IF($C$9="Yes",2,0)+IF($C$10="Yes",2,0))/2)+L12))</f>
        <v xml:space="preserve"> </v>
      </c>
      <c r="O12" s="644">
        <f t="shared" si="4"/>
        <v>0</v>
      </c>
      <c r="P12" s="522" t="str">
        <f>IF($B$7="No"," ",(IF(F12=Character!$K$52,1,0)+$B$7+IF($C$7="Yes",2,0))*5)</f>
        <v xml:space="preserve"> </v>
      </c>
      <c r="Q12" s="528">
        <f t="shared" si="5"/>
        <v>0</v>
      </c>
      <c r="S12" s="145" t="s">
        <v>361</v>
      </c>
      <c r="T12" s="249" t="s">
        <v>362</v>
      </c>
      <c r="U12" s="147"/>
    </row>
    <row r="13" spans="1:21" s="15" customFormat="1" ht="13.5" thickBot="1" x14ac:dyDescent="0.25">
      <c r="A13" s="135" t="s">
        <v>177</v>
      </c>
      <c r="B13" s="566"/>
      <c r="C13" s="567"/>
      <c r="D13"/>
      <c r="E13" s="543"/>
      <c r="F13" s="544" t="s">
        <v>25</v>
      </c>
      <c r="G13" s="545">
        <f t="shared" si="6"/>
        <v>0</v>
      </c>
      <c r="H13" s="546">
        <f>G13+$B$3+$B$11+Character!$F$36+Character!$C$36</f>
        <v>0</v>
      </c>
      <c r="I13" s="523">
        <f>G13+$B$2+IF($B$4="Yes",0,$B$4)+$B$11+Character!$C$36+Character!$F$36+IF($C$4="Yes",2,0)+IF(Character!$K$51=F13,1,0)+IF(Character!$K$51=$E$12,1,0)</f>
        <v>0</v>
      </c>
      <c r="J13" s="547">
        <f t="shared" si="1"/>
        <v>0</v>
      </c>
      <c r="K13" s="548">
        <f t="shared" si="2"/>
        <v>0</v>
      </c>
      <c r="L13" s="642">
        <f t="shared" si="3"/>
        <v>0</v>
      </c>
      <c r="M13" s="546" t="str">
        <f>IF(AND($B$9="No",$B$10="No")," ",(((IF(OR($B$9="No",$B$10="No"),IF($B$9="No",$B$10,$B$9),($B$9+$B$10)))+IF($C$9="Yes",2,0)+IF($C$10="Yes",2,0)+IF(Character!$G$46="Ceremonial Casting",1,0)+IF(Character!$G$49="Ceremonial Casting",1,0))/5)+K13)</f>
        <v xml:space="preserve"> </v>
      </c>
      <c r="N13" s="549" t="str">
        <f>IF(AND($B$9="No",$B$10="No")," ",((IF(Character!G56="Ceremonial Casting",1,0)+((IF(OR($B$9="No",$B$10="No"),IF($B$9="No",$B$10,$B$9),($B$9+$B$10)))+IF($C$9="Yes",2,0)+IF($C$10="Yes",2,0))/2)+L13))</f>
        <v xml:space="preserve"> </v>
      </c>
      <c r="O13" s="642">
        <f t="shared" si="4"/>
        <v>0</v>
      </c>
      <c r="P13" s="523" t="str">
        <f>IF($B$7="No"," ",(IF(F13=Character!$K$52,1,0)+$B$7+IF($C$7="Yes",2,0))*5)</f>
        <v xml:space="preserve"> </v>
      </c>
      <c r="Q13" s="529">
        <f t="shared" si="5"/>
        <v>0</v>
      </c>
    </row>
    <row r="14" spans="1:21" s="15" customFormat="1" ht="13.5" thickBot="1" x14ac:dyDescent="0.25">
      <c r="A14" s="239" t="s">
        <v>109</v>
      </c>
      <c r="B14" s="365"/>
      <c r="C14" s="568" t="s">
        <v>349</v>
      </c>
      <c r="D14"/>
      <c r="E14" s="543"/>
      <c r="F14" s="544" t="s">
        <v>28</v>
      </c>
      <c r="G14" s="545">
        <f t="shared" si="6"/>
        <v>0</v>
      </c>
      <c r="H14" s="546">
        <f>G14+$B$3+$B$11+Character!$F$36+Character!$C$36</f>
        <v>0</v>
      </c>
      <c r="I14" s="523">
        <f>G14+$B$2+IF($B$4="Yes",0,$B$4)+$B$11+Character!$C$36+Character!$F$36+IF($C$4="Yes",2,0)+IF(Character!$K$51=F14,1,0)+IF(Character!$K$51=$E$12,1,0)</f>
        <v>0</v>
      </c>
      <c r="J14" s="547">
        <f t="shared" si="1"/>
        <v>0</v>
      </c>
      <c r="K14" s="548">
        <f t="shared" si="2"/>
        <v>0</v>
      </c>
      <c r="L14" s="642">
        <f t="shared" si="3"/>
        <v>0</v>
      </c>
      <c r="M14" s="546" t="str">
        <f>IF(AND($B$9="No",$B$10="No")," ",(((IF(OR($B$9="No",$B$10="No"),IF($B$9="No",$B$10,$B$9),($B$9+$B$10)))+IF($C$9="Yes",2,0)+IF($C$10="Yes",2,0)+IF(Character!$G$46="Ceremonial Casting",1,0)+IF(Character!$G$49="Ceremonial Casting",1,0))/5)+K14)</f>
        <v xml:space="preserve"> </v>
      </c>
      <c r="N14" s="549" t="str">
        <f>IF(AND($B$9="No",$B$10="No")," ",((IF(Character!G57="Ceremonial Casting",1,0)+((IF(OR($B$9="No",$B$10="No"),IF($B$9="No",$B$10,$B$9),($B$9+$B$10)))+IF($C$9="Yes",2,0)+IF($C$10="Yes",2,0))/2)+L14))</f>
        <v xml:space="preserve"> </v>
      </c>
      <c r="O14" s="642">
        <f t="shared" si="4"/>
        <v>0</v>
      </c>
      <c r="P14" s="523" t="str">
        <f>IF($B$7="No"," ",(IF(F14=Character!$K$52,1,0)+$B$7+IF($C$7="Yes",2,0))*5)</f>
        <v xml:space="preserve"> </v>
      </c>
      <c r="Q14" s="529">
        <f t="shared" si="5"/>
        <v>0</v>
      </c>
      <c r="S14" s="2" t="s">
        <v>221</v>
      </c>
    </row>
    <row r="15" spans="1:21" s="15" customFormat="1" x14ac:dyDescent="0.2">
      <c r="A15" s="386" t="s">
        <v>14</v>
      </c>
      <c r="B15" s="387">
        <f>Character!B70</f>
        <v>0</v>
      </c>
      <c r="C15" s="569" t="s">
        <v>185</v>
      </c>
      <c r="D15"/>
      <c r="E15" s="543"/>
      <c r="F15" s="544" t="s">
        <v>30</v>
      </c>
      <c r="G15" s="545">
        <f t="shared" si="6"/>
        <v>0</v>
      </c>
      <c r="H15" s="546">
        <f>G15+$B$3+$B$11+Character!$F$36+Character!$C$36</f>
        <v>0</v>
      </c>
      <c r="I15" s="523">
        <f>G15+$B$2+IF($B$4="Yes",0,$B$4)+$B$11+Character!$C$36+Character!$F$36+IF($C$4="Yes",2,0)+IF(Character!$K$51=F15,1,0)+IF(Character!$K$51=$E$12,1,0)</f>
        <v>0</v>
      </c>
      <c r="J15" s="547">
        <f t="shared" si="1"/>
        <v>0</v>
      </c>
      <c r="K15" s="548">
        <f t="shared" si="2"/>
        <v>0</v>
      </c>
      <c r="L15" s="642">
        <f t="shared" si="3"/>
        <v>0</v>
      </c>
      <c r="M15" s="546" t="str">
        <f>IF(AND($B$9="No",$B$10="No")," ",(((IF(OR($B$9="No",$B$10="No"),IF($B$9="No",$B$10,$B$9),($B$9+$B$10)))+IF($C$9="Yes",2,0)+IF($C$10="Yes",2,0)+IF(Character!$G$46="Ceremonial Casting",1,0)+IF(Character!$G$49="Ceremonial Casting",1,0))/5)+K15)</f>
        <v xml:space="preserve"> </v>
      </c>
      <c r="N15" s="549" t="str">
        <f>IF(AND($B$9="No",$B$10="No")," ",((IF(Character!G58="Ceremonial Casting",1,0)+((IF(OR($B$9="No",$B$10="No"),IF($B$9="No",$B$10,$B$9),($B$9+$B$10)))+IF($C$9="Yes",2,0)+IF($C$10="Yes",2,0))/2)+L15))</f>
        <v xml:space="preserve"> </v>
      </c>
      <c r="O15" s="642">
        <f t="shared" si="4"/>
        <v>0</v>
      </c>
      <c r="P15" s="523" t="str">
        <f>IF($B$7="No"," ",(IF(F15=Character!$K$52,1,0)+$B$7+IF($C$7="Yes",2,0))*5)</f>
        <v xml:space="preserve"> </v>
      </c>
      <c r="Q15" s="529">
        <f t="shared" si="5"/>
        <v>0</v>
      </c>
      <c r="S15" s="118" t="s">
        <v>372</v>
      </c>
    </row>
    <row r="16" spans="1:21" s="15" customFormat="1" x14ac:dyDescent="0.2">
      <c r="A16" s="388" t="s">
        <v>16</v>
      </c>
      <c r="B16" s="389">
        <f>Character!B71</f>
        <v>0</v>
      </c>
      <c r="C16" s="570" t="s">
        <v>185</v>
      </c>
      <c r="D16"/>
      <c r="E16" s="543"/>
      <c r="F16" s="544" t="s">
        <v>32</v>
      </c>
      <c r="G16" s="545">
        <f t="shared" si="6"/>
        <v>0</v>
      </c>
      <c r="H16" s="546">
        <f>G16+$B$3+$B$11+Character!$F$36+Character!$C$36</f>
        <v>0</v>
      </c>
      <c r="I16" s="523">
        <f>G16+$B$2+IF($B$4="Yes",0,$B$4)+$B$11+Character!$C$36+Character!$F$36+IF($C$4="Yes",2,0)+IF(Character!$K$51=F16,1,0)+IF(Character!$K$51=$E$12,1,0)</f>
        <v>0</v>
      </c>
      <c r="J16" s="547">
        <f t="shared" si="1"/>
        <v>0</v>
      </c>
      <c r="K16" s="548">
        <f t="shared" si="2"/>
        <v>0</v>
      </c>
      <c r="L16" s="642">
        <f t="shared" si="3"/>
        <v>0</v>
      </c>
      <c r="M16" s="546" t="str">
        <f>IF(AND($B$9="No",$B$10="No")," ",(((IF(OR($B$9="No",$B$10="No"),IF($B$9="No",$B$10,$B$9),($B$9+$B$10)))+IF($C$9="Yes",2,0)+IF($C$10="Yes",2,0)+IF(Character!$G$46="Ceremonial Casting",1,0)+IF(Character!$G$49="Ceremonial Casting",1,0))/5)+K16)</f>
        <v xml:space="preserve"> </v>
      </c>
      <c r="N16" s="549" t="str">
        <f>IF(AND($B$9="No",$B$10="No")," ",((IF(Character!G59="Ceremonial Casting",1,0)+((IF(OR($B$9="No",$B$10="No"),IF($B$9="No",$B$10,$B$9),($B$9+$B$10)))+IF($C$9="Yes",2,0)+IF($C$10="Yes",2,0))/2)+L16))</f>
        <v xml:space="preserve"> </v>
      </c>
      <c r="O16" s="642">
        <f t="shared" si="4"/>
        <v>0</v>
      </c>
      <c r="P16" s="523" t="str">
        <f>IF($B$7="No"," ",(IF(F16=Character!$K$52,1,0)+$B$7+IF($C$7="Yes",2,0))*5)</f>
        <v xml:space="preserve"> </v>
      </c>
      <c r="Q16" s="529">
        <f t="shared" si="5"/>
        <v>0</v>
      </c>
      <c r="S16" s="118" t="s">
        <v>374</v>
      </c>
    </row>
    <row r="17" spans="1:21" s="15" customFormat="1" x14ac:dyDescent="0.2">
      <c r="A17" s="388" t="s">
        <v>18</v>
      </c>
      <c r="B17" s="389">
        <f>Character!B72</f>
        <v>0</v>
      </c>
      <c r="C17" s="570" t="s">
        <v>185</v>
      </c>
      <c r="D17"/>
      <c r="E17" s="543"/>
      <c r="F17" s="544" t="s">
        <v>34</v>
      </c>
      <c r="G17" s="545">
        <f t="shared" si="6"/>
        <v>0</v>
      </c>
      <c r="H17" s="546">
        <f>G17+$B$3+$B$11+Character!$F$36+Character!$C$36</f>
        <v>0</v>
      </c>
      <c r="I17" s="523">
        <f>G17+$B$2+IF($B$4="Yes",0,$B$4)+$B$11+Character!$C$36+Character!$F$36+IF($C$4="Yes",2,0)+IF(Character!$K$51=F17,1,0)+IF(Character!$K$51=$E$12,1,0)</f>
        <v>0</v>
      </c>
      <c r="J17" s="547">
        <f t="shared" si="1"/>
        <v>0</v>
      </c>
      <c r="K17" s="548">
        <f t="shared" si="2"/>
        <v>0</v>
      </c>
      <c r="L17" s="642">
        <f t="shared" si="3"/>
        <v>0</v>
      </c>
      <c r="M17" s="546" t="str">
        <f>IF(AND($B$9="No",$B$10="No")," ",(((IF(OR($B$9="No",$B$10="No"),IF($B$9="No",$B$10,$B$9),($B$9+$B$10)))+IF($C$9="Yes",2,0)+IF($C$10="Yes",2,0)+IF(Character!$G$46="Ceremonial Casting",1,0)+IF(Character!$G$49="Ceremonial Casting",1,0))/5)+K17)</f>
        <v xml:space="preserve"> </v>
      </c>
      <c r="N17" s="549" t="str">
        <f>IF(AND($B$9="No",$B$10="No")," ",((IF(Character!G60="Ceremonial Casting",1,0)+((IF(OR($B$9="No",$B$10="No"),IF($B$9="No",$B$10,$B$9),($B$9+$B$10)))+IF($C$9="Yes",2,0)+IF($C$10="Yes",2,0))/2)+L17))</f>
        <v xml:space="preserve"> </v>
      </c>
      <c r="O17" s="642">
        <f t="shared" si="4"/>
        <v>0</v>
      </c>
      <c r="P17" s="523" t="str">
        <f>IF($B$7="No"," ",(IF(F17=Character!$K$52,1,0)+$B$7+IF($C$7="Yes",2,0))*5)</f>
        <v xml:space="preserve"> </v>
      </c>
      <c r="Q17" s="529">
        <f t="shared" si="5"/>
        <v>0</v>
      </c>
      <c r="S17" s="118" t="s">
        <v>373</v>
      </c>
    </row>
    <row r="18" spans="1:21" s="15" customFormat="1" x14ac:dyDescent="0.2">
      <c r="A18" s="388" t="s">
        <v>20</v>
      </c>
      <c r="B18" s="389">
        <f>Character!B73</f>
        <v>0</v>
      </c>
      <c r="C18" s="570" t="s">
        <v>185</v>
      </c>
      <c r="D18"/>
      <c r="E18" s="543"/>
      <c r="F18" s="544" t="s">
        <v>35</v>
      </c>
      <c r="G18" s="545">
        <f t="shared" si="6"/>
        <v>0</v>
      </c>
      <c r="H18" s="546">
        <f>G18+$B$3+$B$11+Character!$F$36+Character!$C$36</f>
        <v>0</v>
      </c>
      <c r="I18" s="523">
        <f>G18+$B$2+IF($B$4="Yes",0,$B$4)+$B$11+Character!$C$36+Character!$F$36+IF($C$4="Yes",2,0)+IF(Character!$K$51=F18,1,0)+IF(Character!$K$51=$E$12,1,0)</f>
        <v>0</v>
      </c>
      <c r="J18" s="547">
        <f t="shared" si="1"/>
        <v>0</v>
      </c>
      <c r="K18" s="548">
        <f t="shared" si="2"/>
        <v>0</v>
      </c>
      <c r="L18" s="642">
        <f t="shared" si="3"/>
        <v>0</v>
      </c>
      <c r="M18" s="546" t="str">
        <f>IF(AND($B$9="No",$B$10="No")," ",(((IF(OR($B$9="No",$B$10="No"),IF($B$9="No",$B$10,$B$9),($B$9+$B$10)))+IF($C$9="Yes",2,0)+IF($C$10="Yes",2,0)+IF(Character!$G$46="Ceremonial Casting",1,0)+IF(Character!$G$49="Ceremonial Casting",1,0))/5)+K18)</f>
        <v xml:space="preserve"> </v>
      </c>
      <c r="N18" s="549" t="str">
        <f>IF(AND($B$9="No",$B$10="No")," ",((IF(Character!G61="Ceremonial Casting",1,0)+((IF(OR($B$9="No",$B$10="No"),IF($B$9="No",$B$10,$B$9),($B$9+$B$10)))+IF($C$9="Yes",2,0)+IF($C$10="Yes",2,0))/2)+L18))</f>
        <v xml:space="preserve"> </v>
      </c>
      <c r="O18" s="642">
        <f t="shared" si="4"/>
        <v>0</v>
      </c>
      <c r="P18" s="523" t="str">
        <f>IF($B$7="No"," ",(IF(F18=Character!$K$52,1,0)+$B$7+IF($C$7="Yes",2,0))*5)</f>
        <v xml:space="preserve"> </v>
      </c>
      <c r="Q18" s="529">
        <f t="shared" si="5"/>
        <v>0</v>
      </c>
      <c r="S18" s="15" t="s">
        <v>469</v>
      </c>
      <c r="T18" s="2"/>
    </row>
    <row r="19" spans="1:21" s="15" customFormat="1" ht="13.5" thickBot="1" x14ac:dyDescent="0.25">
      <c r="A19" s="391" t="s">
        <v>21</v>
      </c>
      <c r="B19" s="392">
        <f>Character!B74</f>
        <v>0</v>
      </c>
      <c r="C19" s="571" t="s">
        <v>185</v>
      </c>
      <c r="D19"/>
      <c r="E19" s="543"/>
      <c r="F19" s="544" t="s">
        <v>36</v>
      </c>
      <c r="G19" s="545">
        <f t="shared" si="6"/>
        <v>0</v>
      </c>
      <c r="H19" s="546">
        <f>G19+$B$3+$B$11+Character!$F$36+Character!$C$36</f>
        <v>0</v>
      </c>
      <c r="I19" s="523">
        <f>G19+$B$2+IF($B$4="Yes",0,$B$4)+$B$11+Character!$C$36+Character!$F$36+IF($C$4="Yes",2,0)+IF(Character!$K$51=F19,1,0)+IF(Character!$K$51=$E$12,1,0)</f>
        <v>0</v>
      </c>
      <c r="J19" s="547">
        <f t="shared" si="1"/>
        <v>0</v>
      </c>
      <c r="K19" s="548">
        <f t="shared" si="2"/>
        <v>0</v>
      </c>
      <c r="L19" s="642">
        <f t="shared" si="3"/>
        <v>0</v>
      </c>
      <c r="M19" s="546" t="str">
        <f>IF(AND($B$9="No",$B$10="No")," ",(((IF(OR($B$9="No",$B$10="No"),IF($B$9="No",$B$10,$B$9),($B$9+$B$10)))+IF($C$9="Yes",2,0)+IF($C$10="Yes",2,0)+IF(Character!$G$46="Ceremonial Casting",1,0)+IF(Character!$G$49="Ceremonial Casting",1,0))/5)+K19)</f>
        <v xml:space="preserve"> </v>
      </c>
      <c r="N19" s="549" t="str">
        <f>IF(AND($B$9="No",$B$10="No")," ",((IF(Character!G62="Ceremonial Casting",1,0)+((IF(OR($B$9="No",$B$10="No"),IF($B$9="No",$B$10,$B$9),($B$9+$B$10)))+IF($C$9="Yes",2,0)+IF($C$10="Yes",2,0))/2)+L19))</f>
        <v xml:space="preserve"> </v>
      </c>
      <c r="O19" s="642">
        <f t="shared" si="4"/>
        <v>0</v>
      </c>
      <c r="P19" s="523" t="str">
        <f>IF($B$7="No"," ",(IF(F19=Character!$K$52,1,0)+$B$7+IF($C$7="Yes",2,0))*5)</f>
        <v xml:space="preserve"> </v>
      </c>
      <c r="Q19" s="529">
        <f t="shared" si="5"/>
        <v>0</v>
      </c>
      <c r="S19" s="533" t="s">
        <v>185</v>
      </c>
    </row>
    <row r="20" spans="1:21" s="15" customFormat="1" ht="13.5" thickBot="1" x14ac:dyDescent="0.25">
      <c r="A20" s="239" t="s">
        <v>110</v>
      </c>
      <c r="B20" s="365"/>
      <c r="C20" s="568" t="s">
        <v>349</v>
      </c>
      <c r="D20"/>
      <c r="E20" s="543"/>
      <c r="F20" s="544" t="s">
        <v>40</v>
      </c>
      <c r="G20" s="545">
        <f t="shared" si="6"/>
        <v>0</v>
      </c>
      <c r="H20" s="546">
        <f>G20+$B$3+$B$11+Character!$F$36+Character!$C$36</f>
        <v>0</v>
      </c>
      <c r="I20" s="523">
        <f>G20+$B$2+IF($B$4="Yes",0,$B$4)+$B$11+Character!$C$36+Character!$F$36+IF($C$4="Yes",2,0)+IF(Character!$K$51=F20,1,0)+IF(Character!$K$51=$E$12,1,0)</f>
        <v>0</v>
      </c>
      <c r="J20" s="547">
        <f t="shared" si="1"/>
        <v>0</v>
      </c>
      <c r="K20" s="548">
        <f t="shared" si="2"/>
        <v>0</v>
      </c>
      <c r="L20" s="642">
        <f t="shared" si="3"/>
        <v>0</v>
      </c>
      <c r="M20" s="546" t="str">
        <f>IF(AND($B$9="No",$B$10="No")," ",(((IF(OR($B$9="No",$B$10="No"),IF($B$9="No",$B$10,$B$9),($B$9+$B$10)))+IF($C$9="Yes",2,0)+IF($C$10="Yes",2,0)+IF(Character!$G$46="Ceremonial Casting",1,0)+IF(Character!$G$49="Ceremonial Casting",1,0))/5)+K20)</f>
        <v xml:space="preserve"> </v>
      </c>
      <c r="N20" s="549" t="str">
        <f>IF(AND($B$9="No",$B$10="No")," ",((IF(Character!G63="Ceremonial Casting",1,0)+((IF(OR($B$9="No",$B$10="No"),IF($B$9="No",$B$10,$B$9),($B$9+$B$10)))+IF($C$9="Yes",2,0)+IF($C$10="Yes",2,0))/2)+L20))</f>
        <v xml:space="preserve"> </v>
      </c>
      <c r="O20" s="642">
        <f t="shared" si="4"/>
        <v>0</v>
      </c>
      <c r="P20" s="523" t="str">
        <f>IF($B$7="No"," ",(IF(F20=Character!$K$52,1,0)+$B$7+IF($C$7="Yes",2,0))*5)</f>
        <v xml:space="preserve"> </v>
      </c>
      <c r="Q20" s="529">
        <f t="shared" si="5"/>
        <v>0</v>
      </c>
    </row>
    <row r="21" spans="1:21" s="15" customFormat="1" ht="13.5" thickBot="1" x14ac:dyDescent="0.25">
      <c r="A21" s="394" t="s">
        <v>23</v>
      </c>
      <c r="B21" s="387">
        <f>Character!D70</f>
        <v>0</v>
      </c>
      <c r="C21" s="569" t="s">
        <v>185</v>
      </c>
      <c r="D21"/>
      <c r="E21" s="550"/>
      <c r="F21" s="551" t="s">
        <v>42</v>
      </c>
      <c r="G21" s="552">
        <f t="shared" si="6"/>
        <v>0</v>
      </c>
      <c r="H21" s="553">
        <f>G21+$B$3+$B$11+Character!$F$36+Character!$C$36</f>
        <v>0</v>
      </c>
      <c r="I21" s="526">
        <f>G21+$B$2+IF($B$4="Yes",0,$B$4)+$B$11+Character!$C$36+Character!$F$36+IF($C$4="Yes",2,0)+IF(Character!$K$51=F21,1,0)+IF(Character!$K$51=$E$12,1,0)</f>
        <v>0</v>
      </c>
      <c r="J21" s="554">
        <f t="shared" si="1"/>
        <v>0</v>
      </c>
      <c r="K21" s="555">
        <f t="shared" si="2"/>
        <v>0</v>
      </c>
      <c r="L21" s="643">
        <f t="shared" si="3"/>
        <v>0</v>
      </c>
      <c r="M21" s="553" t="str">
        <f>IF(AND($B$9="No",$B$10="No")," ",(((IF(OR($B$9="No",$B$10="No"),IF($B$9="No",$B$10,$B$9),($B$9+$B$10)))+IF($C$9="Yes",2,0)+IF($C$10="Yes",2,0)+IF(Character!$G$46="Ceremonial Casting",1,0)+IF(Character!$G$49="Ceremonial Casting",1,0))/5)+K21)</f>
        <v xml:space="preserve"> </v>
      </c>
      <c r="N21" s="556" t="str">
        <f>IF(AND($B$9="No",$B$10="No")," ",((IF(Character!G64="Ceremonial Casting",1,0)+((IF(OR($B$9="No",$B$10="No"),IF($B$9="No",$B$10,$B$9),($B$9+$B$10)))+IF($C$9="Yes",2,0)+IF($C$10="Yes",2,0))/2)+L21))</f>
        <v xml:space="preserve"> </v>
      </c>
      <c r="O21" s="643">
        <f t="shared" si="4"/>
        <v>0</v>
      </c>
      <c r="P21" s="526" t="str">
        <f>IF($B$7="No"," ",(IF(F21=Character!$K$52,1,0)+$B$7+IF($C$7="Yes",2,0))*5)</f>
        <v xml:space="preserve"> </v>
      </c>
      <c r="Q21" s="532">
        <f t="shared" si="5"/>
        <v>0</v>
      </c>
      <c r="U21" s="134"/>
    </row>
    <row r="22" spans="1:21" s="15" customFormat="1" x14ac:dyDescent="0.2">
      <c r="A22" s="395" t="s">
        <v>25</v>
      </c>
      <c r="B22" s="389">
        <f>Character!D71</f>
        <v>0</v>
      </c>
      <c r="C22" s="570" t="s">
        <v>185</v>
      </c>
      <c r="D22"/>
      <c r="E22" s="512" t="s">
        <v>18</v>
      </c>
      <c r="F22" s="513" t="s">
        <v>23</v>
      </c>
      <c r="G22" s="514">
        <f t="shared" ref="G22:G31" si="7">VLOOKUP($E$22,$A$15:$B$19,2,FALSE)+VLOOKUP($F22,$A$21:$B$30,2,FALSE)+IF(VLOOKUP($E$22,$A$15:$C$19,3)="Yes",3,0)+IF(VLOOKUP($F22,$A$21:$C$30,3)="Yes",3,0)+IF($S$19="Yes",MIN(VLOOKUP($E$22,$A$15:$B$19,2,FALSE),VLOOKUP($F22,$A$21:$B$30,2,FALSE)),0)</f>
        <v>0</v>
      </c>
      <c r="H22" s="515">
        <f>G22+$B$3+$B$11+Character!$F$36+Character!$C$36</f>
        <v>0</v>
      </c>
      <c r="I22" s="522">
        <f>G22+$B$2+IF($B$4="Yes",0,$B$4)+$B$11+Character!$C$36+Character!$F$36+IF($C$4="Yes",2,0)+IF(Character!$K$51=F22,1,0)+IF(Character!$K$51=$E$22,1,0)</f>
        <v>0</v>
      </c>
      <c r="J22" s="516">
        <f t="shared" si="1"/>
        <v>0</v>
      </c>
      <c r="K22" s="517">
        <f t="shared" si="2"/>
        <v>0</v>
      </c>
      <c r="L22" s="644">
        <f t="shared" si="3"/>
        <v>0</v>
      </c>
      <c r="M22" s="515" t="str">
        <f>IF(AND($B$9="No",$B$10="No")," ",(((IF(OR($B$9="No",$B$10="No"),IF($B$9="No",$B$10,$B$9),($B$9+$B$10)))+IF($C$9="Yes",2,0)+IF($C$10="Yes",2,0)+IF(Character!$G$46="Ceremonial Casting",1,0)+IF(Character!$G$49="Ceremonial Casting",1,0))/5)+K22)</f>
        <v xml:space="preserve"> </v>
      </c>
      <c r="N22" s="518" t="str">
        <f>IF(AND($B$9="No",$B$10="No")," ",((IF(Character!G65="Ceremonial Casting",1,0)+((IF(OR($B$9="No",$B$10="No"),IF($B$9="No",$B$10,$B$9),($B$9+$B$10)))+IF($C$9="Yes",2,0)+IF($C$10="Yes",2,0))/2)+L22))</f>
        <v xml:space="preserve"> </v>
      </c>
      <c r="O22" s="644">
        <f t="shared" si="4"/>
        <v>0</v>
      </c>
      <c r="P22" s="522" t="str">
        <f>IF($B$7="No"," ",(IF(F22=Character!$K$52,1,0)+$B$7+IF($C$7="Yes",2,0))*5)</f>
        <v xml:space="preserve"> </v>
      </c>
      <c r="Q22" s="528">
        <f t="shared" si="5"/>
        <v>0</v>
      </c>
      <c r="R22"/>
      <c r="S22"/>
      <c r="U22" s="3"/>
    </row>
    <row r="23" spans="1:21" s="15" customFormat="1" x14ac:dyDescent="0.2">
      <c r="A23" s="395" t="s">
        <v>28</v>
      </c>
      <c r="B23" s="389">
        <f>Character!D72</f>
        <v>0</v>
      </c>
      <c r="C23" s="570" t="s">
        <v>185</v>
      </c>
      <c r="D23"/>
      <c r="E23" s="19"/>
      <c r="F23" s="131" t="s">
        <v>25</v>
      </c>
      <c r="G23" s="325">
        <f t="shared" si="7"/>
        <v>0</v>
      </c>
      <c r="H23" s="326">
        <f>G23+$B$3+$B$11+Character!$F$36+Character!$C$36</f>
        <v>0</v>
      </c>
      <c r="I23" s="523">
        <f>G23+$B$2+IF($B$4="Yes",0,$B$4)+$B$11+Character!$C$36+Character!$F$36+IF($C$4="Yes",2,0)+IF(Character!$K$51=F23,1,0)+IF(Character!$K$51=$E$22,1,0)</f>
        <v>0</v>
      </c>
      <c r="J23" s="334">
        <f t="shared" si="1"/>
        <v>0</v>
      </c>
      <c r="K23" s="327">
        <f t="shared" si="2"/>
        <v>0</v>
      </c>
      <c r="L23" s="642">
        <f t="shared" si="3"/>
        <v>0</v>
      </c>
      <c r="M23" s="326" t="str">
        <f>IF(AND($B$9="No",$B$10="No")," ",(((IF(OR($B$9="No",$B$10="No"),IF($B$9="No",$B$10,$B$9),($B$9+$B$10)))+IF($C$9="Yes",2,0)+IF($C$10="Yes",2,0)+IF(Character!$G$46="Ceremonial Casting",1,0)+IF(Character!$G$49="Ceremonial Casting",1,0))/5)+K23)</f>
        <v xml:space="preserve"> </v>
      </c>
      <c r="N23" s="338" t="str">
        <f>IF(AND($B$9="No",$B$10="No")," ",((IF(Character!G66="Ceremonial Casting",1,0)+((IF(OR($B$9="No",$B$10="No"),IF($B$9="No",$B$10,$B$9),($B$9+$B$10)))+IF($C$9="Yes",2,0)+IF($C$10="Yes",2,0))/2)+L23))</f>
        <v xml:space="preserve"> </v>
      </c>
      <c r="O23" s="642">
        <f t="shared" si="4"/>
        <v>0</v>
      </c>
      <c r="P23" s="523" t="str">
        <f>IF($B$7="No"," ",(IF(F23=Character!$K$52,1,0)+$B$7+IF($C$7="Yes",2,0))*5)</f>
        <v xml:space="preserve"> </v>
      </c>
      <c r="Q23" s="529">
        <f t="shared" si="5"/>
        <v>0</v>
      </c>
      <c r="R23"/>
      <c r="S23"/>
      <c r="T23"/>
      <c r="U23" s="3"/>
    </row>
    <row r="24" spans="1:21" s="15" customFormat="1" x14ac:dyDescent="0.2">
      <c r="A24" s="395" t="s">
        <v>30</v>
      </c>
      <c r="B24" s="389">
        <f>Character!D73</f>
        <v>0</v>
      </c>
      <c r="C24" s="570" t="s">
        <v>185</v>
      </c>
      <c r="D24"/>
      <c r="E24" s="19"/>
      <c r="F24" s="131" t="s">
        <v>28</v>
      </c>
      <c r="G24" s="325">
        <f t="shared" si="7"/>
        <v>0</v>
      </c>
      <c r="H24" s="326">
        <f>G24+$B$3+$B$11+Character!$F$36+Character!$C$36</f>
        <v>0</v>
      </c>
      <c r="I24" s="523">
        <f>G24+$B$2+IF($B$4="Yes",0,$B$4)+$B$11+Character!$C$36+Character!$F$36+IF($C$4="Yes",2,0)+IF(Character!$K$51=F24,1,0)+IF(Character!$K$51=$E$22,1,0)</f>
        <v>0</v>
      </c>
      <c r="J24" s="334">
        <f t="shared" si="1"/>
        <v>0</v>
      </c>
      <c r="K24" s="327">
        <f t="shared" si="2"/>
        <v>0</v>
      </c>
      <c r="L24" s="642">
        <f t="shared" si="3"/>
        <v>0</v>
      </c>
      <c r="M24" s="326" t="str">
        <f>IF(AND($B$9="No",$B$10="No")," ",(((IF(OR($B$9="No",$B$10="No"),IF($B$9="No",$B$10,$B$9),($B$9+$B$10)))+IF($C$9="Yes",2,0)+IF($C$10="Yes",2,0)+IF(Character!$G$46="Ceremonial Casting",1,0)+IF(Character!$G$49="Ceremonial Casting",1,0))/5)+K24)</f>
        <v xml:space="preserve"> </v>
      </c>
      <c r="N24" s="338" t="str">
        <f>IF(AND($B$9="No",$B$10="No")," ",((IF(Character!G67="Ceremonial Casting",1,0)+((IF(OR($B$9="No",$B$10="No"),IF($B$9="No",$B$10,$B$9),($B$9+$B$10)))+IF($C$9="Yes",2,0)+IF($C$10="Yes",2,0))/2)+L24))</f>
        <v xml:space="preserve"> </v>
      </c>
      <c r="O24" s="642">
        <f t="shared" si="4"/>
        <v>0</v>
      </c>
      <c r="P24" s="523" t="str">
        <f>IF($B$7="No"," ",(IF(F24=Character!$K$52,1,0)+$B$7+IF($C$7="Yes",2,0))*5)</f>
        <v xml:space="preserve"> </v>
      </c>
      <c r="Q24" s="529">
        <f t="shared" si="5"/>
        <v>0</v>
      </c>
      <c r="S24"/>
      <c r="T24"/>
    </row>
    <row r="25" spans="1:21" s="15" customFormat="1" x14ac:dyDescent="0.2">
      <c r="A25" s="395" t="s">
        <v>32</v>
      </c>
      <c r="B25" s="389">
        <f>Character!D74</f>
        <v>0</v>
      </c>
      <c r="C25" s="570" t="s">
        <v>185</v>
      </c>
      <c r="D25"/>
      <c r="E25" s="19"/>
      <c r="F25" s="131" t="s">
        <v>30</v>
      </c>
      <c r="G25" s="325">
        <f t="shared" si="7"/>
        <v>0</v>
      </c>
      <c r="H25" s="326">
        <f>G25+$B$3+$B$11+Character!$F$36+Character!$C$36</f>
        <v>0</v>
      </c>
      <c r="I25" s="523">
        <f>G25+$B$2+IF($B$4="Yes",0,$B$4)+$B$11+Character!$C$36+Character!$F$36+IF($C$4="Yes",2,0)+IF(Character!$K$51=F25,1,0)+IF(Character!$K$51=$E$22,1,0)</f>
        <v>0</v>
      </c>
      <c r="J25" s="334">
        <f t="shared" si="1"/>
        <v>0</v>
      </c>
      <c r="K25" s="327">
        <f t="shared" si="2"/>
        <v>0</v>
      </c>
      <c r="L25" s="642">
        <f t="shared" si="3"/>
        <v>0</v>
      </c>
      <c r="M25" s="326" t="str">
        <f>IF(AND($B$9="No",$B$10="No")," ",(((IF(OR($B$9="No",$B$10="No"),IF($B$9="No",$B$10,$B$9),($B$9+$B$10)))+IF($C$9="Yes",2,0)+IF($C$10="Yes",2,0)+IF(Character!$G$46="Ceremonial Casting",1,0)+IF(Character!$G$49="Ceremonial Casting",1,0))/5)+K25)</f>
        <v xml:space="preserve"> </v>
      </c>
      <c r="N25" s="338" t="str">
        <f>IF(AND($B$9="No",$B$10="No")," ",((IF(Character!G68="Ceremonial Casting",1,0)+((IF(OR($B$9="No",$B$10="No"),IF($B$9="No",$B$10,$B$9),($B$9+$B$10)))+IF($C$9="Yes",2,0)+IF($C$10="Yes",2,0))/2)+L25))</f>
        <v xml:space="preserve"> </v>
      </c>
      <c r="O25" s="642">
        <f t="shared" si="4"/>
        <v>0</v>
      </c>
      <c r="P25" s="523" t="str">
        <f>IF($B$7="No"," ",(IF(F25=Character!$K$52,1,0)+$B$7+IF($C$7="Yes",2,0))*5)</f>
        <v xml:space="preserve"> </v>
      </c>
      <c r="Q25" s="529">
        <f t="shared" si="5"/>
        <v>0</v>
      </c>
      <c r="R25"/>
      <c r="S25"/>
      <c r="T25"/>
    </row>
    <row r="26" spans="1:21" s="15" customFormat="1" x14ac:dyDescent="0.2">
      <c r="A26" s="395" t="s">
        <v>34</v>
      </c>
      <c r="B26" s="389">
        <f>Character!F70</f>
        <v>0</v>
      </c>
      <c r="C26" s="570" t="s">
        <v>185</v>
      </c>
      <c r="D26"/>
      <c r="E26" s="19"/>
      <c r="F26" s="131" t="s">
        <v>32</v>
      </c>
      <c r="G26" s="325">
        <f t="shared" si="7"/>
        <v>0</v>
      </c>
      <c r="H26" s="326">
        <f>G26+$B$3+$B$11+Character!$F$36+Character!$C$36</f>
        <v>0</v>
      </c>
      <c r="I26" s="523">
        <f>G26+$B$2+IF($B$4="Yes",0,$B$4)+$B$11+Character!$C$36+Character!$F$36+IF($C$4="Yes",2,0)+IF(Character!$K$51=F26,1,0)+IF(Character!$K$51=$E$22,1,0)</f>
        <v>0</v>
      </c>
      <c r="J26" s="334">
        <f t="shared" si="1"/>
        <v>0</v>
      </c>
      <c r="K26" s="327">
        <f t="shared" si="2"/>
        <v>0</v>
      </c>
      <c r="L26" s="642">
        <f t="shared" si="3"/>
        <v>0</v>
      </c>
      <c r="M26" s="326" t="str">
        <f>IF(AND($B$9="No",$B$10="No")," ",(((IF(OR($B$9="No",$B$10="No"),IF($B$9="No",$B$10,$B$9),($B$9+$B$10)))+IF($C$9="Yes",2,0)+IF($C$10="Yes",2,0)+IF(Character!$G$46="Ceremonial Casting",1,0)+IF(Character!$G$49="Ceremonial Casting",1,0))/5)+K26)</f>
        <v xml:space="preserve"> </v>
      </c>
      <c r="N26" s="338" t="str">
        <f>IF(AND($B$9="No",$B$10="No")," ",((IF(Character!G69="Ceremonial Casting",1,0)+((IF(OR($B$9="No",$B$10="No"),IF($B$9="No",$B$10,$B$9),($B$9+$B$10)))+IF($C$9="Yes",2,0)+IF($C$10="Yes",2,0))/2)+L26))</f>
        <v xml:space="preserve"> </v>
      </c>
      <c r="O26" s="642">
        <f t="shared" si="4"/>
        <v>0</v>
      </c>
      <c r="P26" s="523" t="str">
        <f>IF($B$7="No"," ",(IF(F26=Character!$K$52,1,0)+$B$7+IF($C$7="Yes",2,0))*5)</f>
        <v xml:space="preserve"> </v>
      </c>
      <c r="Q26" s="529">
        <f t="shared" si="5"/>
        <v>0</v>
      </c>
      <c r="R26"/>
      <c r="S26"/>
      <c r="T26"/>
    </row>
    <row r="27" spans="1:21" s="15" customFormat="1" x14ac:dyDescent="0.2">
      <c r="A27" s="395" t="s">
        <v>35</v>
      </c>
      <c r="B27" s="389">
        <f>Character!F71</f>
        <v>0</v>
      </c>
      <c r="C27" s="570" t="s">
        <v>185</v>
      </c>
      <c r="D27"/>
      <c r="E27" s="19"/>
      <c r="F27" s="131" t="s">
        <v>34</v>
      </c>
      <c r="G27" s="325">
        <f t="shared" si="7"/>
        <v>0</v>
      </c>
      <c r="H27" s="326">
        <f>G27+$B$3+$B$11+Character!$F$36+Character!$C$36</f>
        <v>0</v>
      </c>
      <c r="I27" s="523">
        <f>G27+$B$2+IF($B$4="Yes",0,$B$4)+$B$11+Character!$C$36+Character!$F$36+IF($C$4="Yes",2,0)+IF(Character!$K$51=F27,1,0)+IF(Character!$K$51=$E$22,1,0)</f>
        <v>0</v>
      </c>
      <c r="J27" s="334">
        <f t="shared" si="1"/>
        <v>0</v>
      </c>
      <c r="K27" s="327">
        <f t="shared" si="2"/>
        <v>0</v>
      </c>
      <c r="L27" s="642">
        <f t="shared" si="3"/>
        <v>0</v>
      </c>
      <c r="M27" s="326" t="str">
        <f>IF(AND($B$9="No",$B$10="No")," ",(((IF(OR($B$9="No",$B$10="No"),IF($B$9="No",$B$10,$B$9),($B$9+$B$10)))+IF($C$9="Yes",2,0)+IF($C$10="Yes",2,0)+IF(Character!$G$46="Ceremonial Casting",1,0)+IF(Character!$G$49="Ceremonial Casting",1,0))/5)+K27)</f>
        <v xml:space="preserve"> </v>
      </c>
      <c r="N27" s="338" t="str">
        <f>IF(AND($B$9="No",$B$10="No")," ",((IF(Character!G70="Ceremonial Casting",1,0)+((IF(OR($B$9="No",$B$10="No"),IF($B$9="No",$B$10,$B$9),($B$9+$B$10)))+IF($C$9="Yes",2,0)+IF($C$10="Yes",2,0))/2)+L27))</f>
        <v xml:space="preserve"> </v>
      </c>
      <c r="O27" s="642">
        <f t="shared" si="4"/>
        <v>0</v>
      </c>
      <c r="P27" s="523" t="str">
        <f>IF($B$7="No"," ",(IF(F27=Character!$K$52,1,0)+$B$7+IF($C$7="Yes",2,0))*5)</f>
        <v xml:space="preserve"> </v>
      </c>
      <c r="Q27" s="529">
        <f t="shared" si="5"/>
        <v>0</v>
      </c>
      <c r="R27"/>
      <c r="S27"/>
      <c r="T27"/>
    </row>
    <row r="28" spans="1:21" s="15" customFormat="1" x14ac:dyDescent="0.2">
      <c r="A28" s="395" t="s">
        <v>36</v>
      </c>
      <c r="B28" s="389">
        <f>Character!F72</f>
        <v>0</v>
      </c>
      <c r="C28" s="570" t="s">
        <v>185</v>
      </c>
      <c r="D28"/>
      <c r="E28" s="19"/>
      <c r="F28" s="131" t="s">
        <v>35</v>
      </c>
      <c r="G28" s="325">
        <f t="shared" si="7"/>
        <v>0</v>
      </c>
      <c r="H28" s="326">
        <f>G28+$B$3+$B$11+Character!$F$36+Character!$C$36</f>
        <v>0</v>
      </c>
      <c r="I28" s="523">
        <f>G28+$B$2+IF($B$4="Yes",0,$B$4)+$B$11+Character!$C$36+Character!$F$36+IF($C$4="Yes",2,0)+IF(Character!$K$51=F28,1,0)+IF(Character!$K$51=$E$22,1,0)</f>
        <v>0</v>
      </c>
      <c r="J28" s="334">
        <f t="shared" si="1"/>
        <v>0</v>
      </c>
      <c r="K28" s="327">
        <f t="shared" si="2"/>
        <v>0</v>
      </c>
      <c r="L28" s="642">
        <f t="shared" si="3"/>
        <v>0</v>
      </c>
      <c r="M28" s="326" t="str">
        <f>IF(AND($B$9="No",$B$10="No")," ",(((IF(OR($B$9="No",$B$10="No"),IF($B$9="No",$B$10,$B$9),($B$9+$B$10)))+IF($C$9="Yes",2,0)+IF($C$10="Yes",2,0)+IF(Character!$G$46="Ceremonial Casting",1,0)+IF(Character!$G$49="Ceremonial Casting",1,0))/5)+K28)</f>
        <v xml:space="preserve"> </v>
      </c>
      <c r="N28" s="338" t="str">
        <f>IF(AND($B$9="No",$B$10="No")," ",((IF(Character!G71="Ceremonial Casting",1,0)+((IF(OR($B$9="No",$B$10="No"),IF($B$9="No",$B$10,$B$9),($B$9+$B$10)))+IF($C$9="Yes",2,0)+IF($C$10="Yes",2,0))/2)+L28))</f>
        <v xml:space="preserve"> </v>
      </c>
      <c r="O28" s="642">
        <f t="shared" si="4"/>
        <v>0</v>
      </c>
      <c r="P28" s="523" t="str">
        <f>IF($B$7="No"," ",(IF(F28=Character!$K$52,1,0)+$B$7+IF($C$7="Yes",2,0))*5)</f>
        <v xml:space="preserve"> </v>
      </c>
      <c r="Q28" s="529">
        <f t="shared" si="5"/>
        <v>0</v>
      </c>
      <c r="R28"/>
      <c r="S28"/>
      <c r="T28"/>
    </row>
    <row r="29" spans="1:21" s="15" customFormat="1" x14ac:dyDescent="0.2">
      <c r="A29" s="395" t="s">
        <v>40</v>
      </c>
      <c r="B29" s="389">
        <f>Character!F73</f>
        <v>0</v>
      </c>
      <c r="C29" s="570" t="s">
        <v>185</v>
      </c>
      <c r="D29"/>
      <c r="E29" s="19"/>
      <c r="F29" s="131" t="s">
        <v>36</v>
      </c>
      <c r="G29" s="325">
        <f t="shared" si="7"/>
        <v>0</v>
      </c>
      <c r="H29" s="326">
        <f>G29+$B$3+$B$11+Character!$F$36+Character!$C$36</f>
        <v>0</v>
      </c>
      <c r="I29" s="523">
        <f>G29+$B$2+IF($B$4="Yes",0,$B$4)+$B$11+Character!$C$36+Character!$F$36+IF($C$4="Yes",2,0)+IF(Character!$K$51=F29,1,0)+IF(Character!$K$51=$E$22,1,0)</f>
        <v>0</v>
      </c>
      <c r="J29" s="334">
        <f t="shared" si="1"/>
        <v>0</v>
      </c>
      <c r="K29" s="327">
        <f t="shared" si="2"/>
        <v>0</v>
      </c>
      <c r="L29" s="642">
        <f t="shared" si="3"/>
        <v>0</v>
      </c>
      <c r="M29" s="326" t="str">
        <f>IF(AND($B$9="No",$B$10="No")," ",(((IF(OR($B$9="No",$B$10="No"),IF($B$9="No",$B$10,$B$9),($B$9+$B$10)))+IF($C$9="Yes",2,0)+IF($C$10="Yes",2,0)+IF(Character!$G$46="Ceremonial Casting",1,0)+IF(Character!$G$49="Ceremonial Casting",1,0))/5)+K29)</f>
        <v xml:space="preserve"> </v>
      </c>
      <c r="N29" s="338" t="str">
        <f>IF(AND($B$9="No",$B$10="No")," ",((IF(Character!G72="Ceremonial Casting",1,0)+((IF(OR($B$9="No",$B$10="No"),IF($B$9="No",$B$10,$B$9),($B$9+$B$10)))+IF($C$9="Yes",2,0)+IF($C$10="Yes",2,0))/2)+L29))</f>
        <v xml:space="preserve"> </v>
      </c>
      <c r="O29" s="642">
        <f t="shared" si="4"/>
        <v>0</v>
      </c>
      <c r="P29" s="523" t="str">
        <f>IF($B$7="No"," ",(IF(F29=Character!$K$52,1,0)+$B$7+IF($C$7="Yes",2,0))*5)</f>
        <v xml:space="preserve"> </v>
      </c>
      <c r="Q29" s="529">
        <f t="shared" si="5"/>
        <v>0</v>
      </c>
      <c r="R29"/>
      <c r="S29"/>
      <c r="T29"/>
    </row>
    <row r="30" spans="1:21" s="15" customFormat="1" ht="13.5" thickBot="1" x14ac:dyDescent="0.25">
      <c r="A30" s="396" t="s">
        <v>42</v>
      </c>
      <c r="B30" s="392">
        <f>Character!F74</f>
        <v>0</v>
      </c>
      <c r="C30" s="571" t="s">
        <v>185</v>
      </c>
      <c r="D30"/>
      <c r="E30" s="19"/>
      <c r="F30" s="131" t="s">
        <v>40</v>
      </c>
      <c r="G30" s="325">
        <f t="shared" si="7"/>
        <v>0</v>
      </c>
      <c r="H30" s="326">
        <f>G30+$B$3+$B$11+Character!$F$36+Character!$C$36</f>
        <v>0</v>
      </c>
      <c r="I30" s="523">
        <f>G30+$B$2+IF($B$4="Yes",0,$B$4)+$B$11+Character!$C$36+Character!$F$36+IF($C$4="Yes",2,0)+IF(Character!$K$51=F30,1,0)+IF(Character!$K$51=$E$22,1,0)</f>
        <v>0</v>
      </c>
      <c r="J30" s="334">
        <f t="shared" si="1"/>
        <v>0</v>
      </c>
      <c r="K30" s="327">
        <f t="shared" si="2"/>
        <v>0</v>
      </c>
      <c r="L30" s="642">
        <f t="shared" si="3"/>
        <v>0</v>
      </c>
      <c r="M30" s="326" t="str">
        <f>IF(AND($B$9="No",$B$10="No")," ",(((IF(OR($B$9="No",$B$10="No"),IF($B$9="No",$B$10,$B$9),($B$9+$B$10)))+IF($C$9="Yes",2,0)+IF($C$10="Yes",2,0)+IF(Character!$G$46="Ceremonial Casting",1,0)+IF(Character!$G$49="Ceremonial Casting",1,0))/5)+K30)</f>
        <v xml:space="preserve"> </v>
      </c>
      <c r="N30" s="338" t="str">
        <f>IF(AND($B$9="No",$B$10="No")," ",((IF(Character!G73="Ceremonial Casting",1,0)+((IF(OR($B$9="No",$B$10="No"),IF($B$9="No",$B$10,$B$9),($B$9+$B$10)))+IF($C$9="Yes",2,0)+IF($C$10="Yes",2,0))/2)+L30))</f>
        <v xml:space="preserve"> </v>
      </c>
      <c r="O30" s="642">
        <f t="shared" si="4"/>
        <v>0</v>
      </c>
      <c r="P30" s="523" t="str">
        <f>IF($B$7="No"," ",(IF(F30=Character!$K$52,1,0)+$B$7+IF($C$7="Yes",2,0))*5)</f>
        <v xml:space="preserve"> </v>
      </c>
      <c r="Q30" s="529">
        <f t="shared" si="5"/>
        <v>0</v>
      </c>
      <c r="R30"/>
      <c r="S30"/>
      <c r="T30"/>
    </row>
    <row r="31" spans="1:21" s="15" customFormat="1" ht="13.5" thickBot="1" x14ac:dyDescent="0.25">
      <c r="B31" s="572"/>
      <c r="C31" s="572"/>
      <c r="D31"/>
      <c r="E31" s="20"/>
      <c r="F31" s="132" t="s">
        <v>42</v>
      </c>
      <c r="G31" s="330">
        <f t="shared" si="7"/>
        <v>0</v>
      </c>
      <c r="H31" s="331">
        <f>G31+$B$3+$B$11+Character!$F$36+Character!$C$36</f>
        <v>0</v>
      </c>
      <c r="I31" s="526">
        <f>G31+$B$2+IF($B$4="Yes",0,$B$4)+$B$11+Character!$C$36+Character!$F$36+IF($C$4="Yes",2,0)+IF(Character!$K$51=F31,1,0)+IF(Character!$K$51=$E$22,1,0)</f>
        <v>0</v>
      </c>
      <c r="J31" s="336">
        <f t="shared" si="1"/>
        <v>0</v>
      </c>
      <c r="K31" s="332">
        <f t="shared" si="2"/>
        <v>0</v>
      </c>
      <c r="L31" s="643">
        <f t="shared" si="3"/>
        <v>0</v>
      </c>
      <c r="M31" s="331" t="str">
        <f>IF(AND($B$9="No",$B$10="No")," ",(((IF(OR($B$9="No",$B$10="No"),IF($B$9="No",$B$10,$B$9),($B$9+$B$10)))+IF($C$9="Yes",2,0)+IF($C$10="Yes",2,0)+IF(Character!$G$46="Ceremonial Casting",1,0)+IF(Character!$G$49="Ceremonial Casting",1,0))/5)+K31)</f>
        <v xml:space="preserve"> </v>
      </c>
      <c r="N31" s="339" t="str">
        <f>IF(AND($B$9="No",$B$10="No")," ",((IF(Character!G74="Ceremonial Casting",1,0)+((IF(OR($B$9="No",$B$10="No"),IF($B$9="No",$B$10,$B$9),($B$9+$B$10)))+IF($C$9="Yes",2,0)+IF($C$10="Yes",2,0))/2)+L31))</f>
        <v xml:space="preserve"> </v>
      </c>
      <c r="O31" s="643">
        <f t="shared" si="4"/>
        <v>0</v>
      </c>
      <c r="P31" s="526" t="str">
        <f>IF($B$7="No"," ",(IF(F31=Character!$K$52,1,0)+$B$7+IF($C$7="Yes",2,0))*5)</f>
        <v xml:space="preserve"> </v>
      </c>
      <c r="Q31" s="532">
        <f t="shared" si="5"/>
        <v>0</v>
      </c>
      <c r="R31"/>
      <c r="S31"/>
      <c r="T31"/>
    </row>
    <row r="32" spans="1:21" s="15" customFormat="1" ht="13.5" thickBot="1" x14ac:dyDescent="0.25">
      <c r="A32" s="135" t="s">
        <v>43</v>
      </c>
      <c r="B32" s="566"/>
      <c r="C32" s="567"/>
      <c r="D32"/>
      <c r="E32" s="18" t="s">
        <v>20</v>
      </c>
      <c r="F32" s="130" t="s">
        <v>23</v>
      </c>
      <c r="G32" s="322">
        <f t="shared" ref="G32:G41" si="8">VLOOKUP($E$32,$A$15:$B$19,2,FALSE)+VLOOKUP($F32,$A$21:$B$30,2,FALSE)+IF(VLOOKUP($E$32,$A$15:$C$19,3)="Yes",3,0)+IF(VLOOKUP($F32,$A$21:$C$30,3)="Yes",3,0)+IF($S$19="Yes",MIN(VLOOKUP($E$32,$A$15:$B$19,2,FALSE),VLOOKUP($F32,$A$21:$B$30,2,FALSE)),0)</f>
        <v>0</v>
      </c>
      <c r="H32" s="323">
        <f>G32+$B$3+$B$11+Character!$F$36+Character!$C$36</f>
        <v>0</v>
      </c>
      <c r="I32" s="525">
        <f>G32+$B$2+IF($B$4="Yes",0,$B$4)+$B$11+Character!$C$36+Character!$F$36+IF($C$4="Yes",2,0)+IF(Character!$K$51=F32,1,0)+IF(Character!$K$51=$E$32,1,0)</f>
        <v>0</v>
      </c>
      <c r="J32" s="333">
        <f t="shared" si="1"/>
        <v>0</v>
      </c>
      <c r="K32" s="324">
        <f t="shared" si="2"/>
        <v>0</v>
      </c>
      <c r="L32" s="645">
        <f t="shared" si="3"/>
        <v>0</v>
      </c>
      <c r="M32" s="323" t="str">
        <f>IF(AND($B$9="No",$B$10="No")," ",(((IF(OR($B$9="No",$B$10="No"),IF($B$9="No",$B$10,$B$9),($B$9+$B$10)))+IF($C$9="Yes",2,0)+IF($C$10="Yes",2,0)+IF(Character!$G$46="Ceremonial Casting",1,0)+IF(Character!$G$49="Ceremonial Casting",1,0))/5)+K32)</f>
        <v xml:space="preserve"> </v>
      </c>
      <c r="N32" s="337" t="str">
        <f>IF(AND($B$9="No",$B$10="No")," ",((IF(Character!G75="Ceremonial Casting",1,0)+((IF(OR($B$9="No",$B$10="No"),IF($B$9="No",$B$10,$B$9),($B$9+$B$10)))+IF($C$9="Yes",2,0)+IF($C$10="Yes",2,0))/2)+L32))</f>
        <v xml:space="preserve"> </v>
      </c>
      <c r="O32" s="645">
        <f t="shared" si="4"/>
        <v>0</v>
      </c>
      <c r="P32" s="525" t="str">
        <f>IF($B$7="No"," ",(IF(F32=Character!$K$52,1,0)+$B$7+IF($C$7="Yes",2,0))*5)</f>
        <v xml:space="preserve"> </v>
      </c>
      <c r="Q32" s="531">
        <f t="shared" si="5"/>
        <v>0</v>
      </c>
      <c r="R32"/>
      <c r="S32"/>
      <c r="T32"/>
    </row>
    <row r="33" spans="1:21" s="15" customFormat="1" x14ac:dyDescent="0.2">
      <c r="A33" s="364" t="s">
        <v>174</v>
      </c>
      <c r="B33" s="573"/>
      <c r="C33" s="574"/>
      <c r="D33"/>
      <c r="E33" s="19"/>
      <c r="F33" s="131" t="s">
        <v>25</v>
      </c>
      <c r="G33" s="341">
        <f t="shared" si="8"/>
        <v>0</v>
      </c>
      <c r="H33" s="326">
        <f>G33+$B$3+$B$11+Character!$F$36+Character!$C$36</f>
        <v>0</v>
      </c>
      <c r="I33" s="523">
        <f>G33+$B$2+IF($B$4="Yes",0,$B$4)+$B$11+Character!$C$36+Character!$F$36+IF($C$4="Yes",2,0)+IF(Character!$K$51=F33,1,0)+IF(Character!$K$51=$E$32,1,0)</f>
        <v>0</v>
      </c>
      <c r="J33" s="334">
        <f t="shared" si="1"/>
        <v>0</v>
      </c>
      <c r="K33" s="327">
        <f t="shared" si="2"/>
        <v>0</v>
      </c>
      <c r="L33" s="642">
        <f t="shared" si="3"/>
        <v>0</v>
      </c>
      <c r="M33" s="326" t="str">
        <f>IF(AND($B$9="No",$B$10="No")," ",(((IF(OR($B$9="No",$B$10="No"),IF($B$9="No",$B$10,$B$9),($B$9+$B$10)))+IF($C$9="Yes",2,0)+IF($C$10="Yes",2,0)+IF(Character!$G$46="Ceremonial Casting",1,0)+IF(Character!$G$49="Ceremonial Casting",1,0))/5)+K33)</f>
        <v xml:space="preserve"> </v>
      </c>
      <c r="N33" s="338" t="str">
        <f>IF(AND($B$9="No",$B$10="No")," ",((IF(Character!G76="Ceremonial Casting",1,0)+((IF(OR($B$9="No",$B$10="No"),IF($B$9="No",$B$10,$B$9),($B$9+$B$10)))+IF($C$9="Yes",2,0)+IF($C$10="Yes",2,0))/2)+L33))</f>
        <v xml:space="preserve"> </v>
      </c>
      <c r="O33" s="642">
        <f t="shared" si="4"/>
        <v>0</v>
      </c>
      <c r="P33" s="523" t="str">
        <f>IF($B$7="No"," ",(IF(F33=Character!$K$52,1,0)+$B$7+IF($C$7="Yes",2,0))*5)</f>
        <v xml:space="preserve"> </v>
      </c>
      <c r="Q33" s="529">
        <f t="shared" si="5"/>
        <v>0</v>
      </c>
      <c r="R33"/>
      <c r="S33"/>
      <c r="T33"/>
    </row>
    <row r="34" spans="1:21" s="15" customFormat="1" x14ac:dyDescent="0.2">
      <c r="A34" s="397" t="s">
        <v>175</v>
      </c>
      <c r="B34" s="575"/>
      <c r="C34" s="576"/>
      <c r="D34"/>
      <c r="E34" s="19"/>
      <c r="F34" s="131" t="s">
        <v>28</v>
      </c>
      <c r="G34" s="341">
        <f t="shared" si="8"/>
        <v>0</v>
      </c>
      <c r="H34" s="326">
        <f>G34+$B$3+$B$11+Character!$F$36+Character!$C$36</f>
        <v>0</v>
      </c>
      <c r="I34" s="523">
        <f>G34+$B$2+IF($B$4="Yes",0,$B$4)+$B$11+Character!$C$36+Character!$F$36+IF($C$4="Yes",2,0)+IF(Character!$K$51=F34,1,0)+IF(Character!$K$51=$E$32,1,0)</f>
        <v>0</v>
      </c>
      <c r="J34" s="334">
        <f t="shared" si="1"/>
        <v>0</v>
      </c>
      <c r="K34" s="327">
        <f t="shared" si="2"/>
        <v>0</v>
      </c>
      <c r="L34" s="642">
        <f t="shared" si="3"/>
        <v>0</v>
      </c>
      <c r="M34" s="326" t="str">
        <f>IF(AND($B$9="No",$B$10="No")," ",(((IF(OR($B$9="No",$B$10="No"),IF($B$9="No",$B$10,$B$9),($B$9+$B$10)))+IF($C$9="Yes",2,0)+IF($C$10="Yes",2,0)+IF(Character!$G$46="Ceremonial Casting",1,0)+IF(Character!$G$49="Ceremonial Casting",1,0))/5)+K34)</f>
        <v xml:space="preserve"> </v>
      </c>
      <c r="N34" s="338" t="str">
        <f>IF(AND($B$9="No",$B$10="No")," ",((IF(Character!G77="Ceremonial Casting",1,0)+((IF(OR($B$9="No",$B$10="No"),IF($B$9="No",$B$10,$B$9),($B$9+$B$10)))+IF($C$9="Yes",2,0)+IF($C$10="Yes",2,0))/2)+L34))</f>
        <v xml:space="preserve"> </v>
      </c>
      <c r="O34" s="642">
        <f t="shared" si="4"/>
        <v>0</v>
      </c>
      <c r="P34" s="523" t="str">
        <f>IF($B$7="No"," ",(IF(F34=Character!$K$52,1,0)+$B$7+IF($C$7="Yes",2,0))*5)</f>
        <v xml:space="preserve"> </v>
      </c>
      <c r="Q34" s="529">
        <f t="shared" si="5"/>
        <v>0</v>
      </c>
      <c r="R34"/>
      <c r="S34"/>
      <c r="T34"/>
    </row>
    <row r="35" spans="1:21" s="15" customFormat="1" ht="13.5" thickBot="1" x14ac:dyDescent="0.25">
      <c r="A35" s="398" t="s">
        <v>176</v>
      </c>
      <c r="B35" s="577"/>
      <c r="C35" s="578"/>
      <c r="E35" s="19"/>
      <c r="F35" s="131" t="s">
        <v>30</v>
      </c>
      <c r="G35" s="341">
        <f t="shared" si="8"/>
        <v>0</v>
      </c>
      <c r="H35" s="326">
        <f>G35+$B$3+$B$11+Character!$F$36+Character!$C$36</f>
        <v>0</v>
      </c>
      <c r="I35" s="523">
        <f>G35+$B$2+IF($B$4="Yes",0,$B$4)+$B$11+Character!$C$36+Character!$F$36+IF($C$4="Yes",2,0)+IF(Character!$K$51=F35,1,0)+IF(Character!$K$51=$E$32,1,0)</f>
        <v>0</v>
      </c>
      <c r="J35" s="334">
        <f t="shared" si="1"/>
        <v>0</v>
      </c>
      <c r="K35" s="327">
        <f t="shared" si="2"/>
        <v>0</v>
      </c>
      <c r="L35" s="642">
        <f t="shared" si="3"/>
        <v>0</v>
      </c>
      <c r="M35" s="326" t="str">
        <f>IF(AND($B$9="No",$B$10="No")," ",(((IF(OR($B$9="No",$B$10="No"),IF($B$9="No",$B$10,$B$9),($B$9+$B$10)))+IF($C$9="Yes",2,0)+IF($C$10="Yes",2,0)+IF(Character!$G$46="Ceremonial Casting",1,0)+IF(Character!$G$49="Ceremonial Casting",1,0))/5)+K35)</f>
        <v xml:space="preserve"> </v>
      </c>
      <c r="N35" s="338" t="str">
        <f>IF(AND($B$9="No",$B$10="No")," ",((IF(Character!G78="Ceremonial Casting",1,0)+((IF(OR($B$9="No",$B$10="No"),IF($B$9="No",$B$10,$B$9),($B$9+$B$10)))+IF($C$9="Yes",2,0)+IF($C$10="Yes",2,0))/2)+L35))</f>
        <v xml:space="preserve"> </v>
      </c>
      <c r="O35" s="642">
        <f t="shared" si="4"/>
        <v>0</v>
      </c>
      <c r="P35" s="523" t="str">
        <f>IF($B$7="No"," ",(IF(F35=Character!$K$52,1,0)+$B$7+IF($C$7="Yes",2,0))*5)</f>
        <v xml:space="preserve"> </v>
      </c>
      <c r="Q35" s="529">
        <f t="shared" si="5"/>
        <v>0</v>
      </c>
    </row>
    <row r="36" spans="1:21" s="15" customFormat="1" x14ac:dyDescent="0.2">
      <c r="A36"/>
      <c r="B36"/>
      <c r="C36"/>
      <c r="E36" s="19"/>
      <c r="F36" s="131" t="s">
        <v>32</v>
      </c>
      <c r="G36" s="341">
        <f t="shared" si="8"/>
        <v>0</v>
      </c>
      <c r="H36" s="326">
        <f>G36+$B$3+$B$11+Character!$F$36+Character!$C$36</f>
        <v>0</v>
      </c>
      <c r="I36" s="523">
        <f>G36+$B$2+IF($B$4="Yes",0,$B$4)+$B$11+Character!$C$36+Character!$F$36+IF($C$4="Yes",2,0)+IF(Character!$K$51=F36,1,0)+IF(Character!$K$51=$E$32,1,0)</f>
        <v>0</v>
      </c>
      <c r="J36" s="334">
        <f t="shared" si="1"/>
        <v>0</v>
      </c>
      <c r="K36" s="327">
        <f t="shared" si="2"/>
        <v>0</v>
      </c>
      <c r="L36" s="642">
        <f t="shared" si="3"/>
        <v>0</v>
      </c>
      <c r="M36" s="326" t="str">
        <f>IF(AND($B$9="No",$B$10="No")," ",(((IF(OR($B$9="No",$B$10="No"),IF($B$9="No",$B$10,$B$9),($B$9+$B$10)))+IF($C$9="Yes",2,0)+IF($C$10="Yes",2,0)+IF(Character!$G$46="Ceremonial Casting",1,0)+IF(Character!$G$49="Ceremonial Casting",1,0))/5)+K36)</f>
        <v xml:space="preserve"> </v>
      </c>
      <c r="N36" s="338" t="str">
        <f>IF(AND($B$9="No",$B$10="No")," ",((IF(Character!G79="Ceremonial Casting",1,0)+((IF(OR($B$9="No",$B$10="No"),IF($B$9="No",$B$10,$B$9),($B$9+$B$10)))+IF($C$9="Yes",2,0)+IF($C$10="Yes",2,0))/2)+L36))</f>
        <v xml:space="preserve"> </v>
      </c>
      <c r="O36" s="642">
        <f t="shared" si="4"/>
        <v>0</v>
      </c>
      <c r="P36" s="523" t="str">
        <f>IF($B$7="No"," ",(IF(F36=Character!$K$52,1,0)+$B$7+IF($C$7="Yes",2,0))*5)</f>
        <v xml:space="preserve"> </v>
      </c>
      <c r="Q36" s="529">
        <f t="shared" si="5"/>
        <v>0</v>
      </c>
    </row>
    <row r="37" spans="1:21" s="15" customFormat="1" x14ac:dyDescent="0.2">
      <c r="E37" s="19"/>
      <c r="F37" s="131" t="s">
        <v>34</v>
      </c>
      <c r="G37" s="341">
        <f t="shared" si="8"/>
        <v>0</v>
      </c>
      <c r="H37" s="326">
        <f>G37+$B$3+$B$11+Character!$F$36+Character!$C$36</f>
        <v>0</v>
      </c>
      <c r="I37" s="523">
        <f>G37+$B$2+IF($B$4="Yes",0,$B$4)+$B$11+Character!$C$36+Character!$F$36+IF($C$4="Yes",2,0)+IF(Character!$K$51=F37,1,0)+IF(Character!$K$51=$E$32,1,0)</f>
        <v>0</v>
      </c>
      <c r="J37" s="334">
        <f t="shared" si="1"/>
        <v>0</v>
      </c>
      <c r="K37" s="327">
        <f t="shared" si="2"/>
        <v>0</v>
      </c>
      <c r="L37" s="642">
        <f t="shared" si="3"/>
        <v>0</v>
      </c>
      <c r="M37" s="326" t="str">
        <f>IF(AND($B$9="No",$B$10="No")," ",(((IF(OR($B$9="No",$B$10="No"),IF($B$9="No",$B$10,$B$9),($B$9+$B$10)))+IF($C$9="Yes",2,0)+IF($C$10="Yes",2,0)+IF(Character!$G$46="Ceremonial Casting",1,0)+IF(Character!$G$49="Ceremonial Casting",1,0))/5)+K37)</f>
        <v xml:space="preserve"> </v>
      </c>
      <c r="N37" s="338" t="str">
        <f>IF(AND($B$9="No",$B$10="No")," ",((IF(Character!G80="Ceremonial Casting",1,0)+((IF(OR($B$9="No",$B$10="No"),IF($B$9="No",$B$10,$B$9),($B$9+$B$10)))+IF($C$9="Yes",2,0)+IF($C$10="Yes",2,0))/2)+L37))</f>
        <v xml:space="preserve"> </v>
      </c>
      <c r="O37" s="642">
        <f t="shared" si="4"/>
        <v>0</v>
      </c>
      <c r="P37" s="523" t="str">
        <f>IF($B$7="No"," ",(IF(F37=Character!$K$52,1,0)+$B$7+IF($C$7="Yes",2,0))*5)</f>
        <v xml:space="preserve"> </v>
      </c>
      <c r="Q37" s="529">
        <f t="shared" si="5"/>
        <v>0</v>
      </c>
    </row>
    <row r="38" spans="1:21" x14ac:dyDescent="0.2">
      <c r="A38" s="15"/>
      <c r="B38" s="15"/>
      <c r="C38" s="15"/>
      <c r="E38" s="19"/>
      <c r="F38" s="131" t="s">
        <v>35</v>
      </c>
      <c r="G38" s="341">
        <f t="shared" si="8"/>
        <v>0</v>
      </c>
      <c r="H38" s="326">
        <f>G38+$B$3+$B$11+Character!$F$36+Character!$C$36</f>
        <v>0</v>
      </c>
      <c r="I38" s="523">
        <f>G38+$B$2+IF($B$4="Yes",0,$B$4)+$B$11+Character!$C$36+Character!$F$36+IF($C$4="Yes",2,0)+IF(Character!$K$51=F38,1,0)+IF(Character!$K$51=$E$32,1,0)</f>
        <v>0</v>
      </c>
      <c r="J38" s="334">
        <f t="shared" si="1"/>
        <v>0</v>
      </c>
      <c r="K38" s="327">
        <f t="shared" si="2"/>
        <v>0</v>
      </c>
      <c r="L38" s="642">
        <f t="shared" si="3"/>
        <v>0</v>
      </c>
      <c r="M38" s="326" t="str">
        <f>IF(AND($B$9="No",$B$10="No")," ",(((IF(OR($B$9="No",$B$10="No"),IF($B$9="No",$B$10,$B$9),($B$9+$B$10)))+IF($C$9="Yes",2,0)+IF($C$10="Yes",2,0)+IF(Character!$G$46="Ceremonial Casting",1,0)+IF(Character!$G$49="Ceremonial Casting",1,0))/5)+K38)</f>
        <v xml:space="preserve"> </v>
      </c>
      <c r="N38" s="338" t="str">
        <f>IF(AND($B$9="No",$B$10="No")," ",((IF(Character!G81="Ceremonial Casting",1,0)+((IF(OR($B$9="No",$B$10="No"),IF($B$9="No",$B$10,$B$9),($B$9+$B$10)))+IF($C$9="Yes",2,0)+IF($C$10="Yes",2,0))/2)+L38))</f>
        <v xml:space="preserve"> </v>
      </c>
      <c r="O38" s="642">
        <f t="shared" si="4"/>
        <v>0</v>
      </c>
      <c r="P38" s="523" t="str">
        <f>IF($B$7="No"," ",(IF(F38=Character!$K$52,1,0)+$B$7+IF($C$7="Yes",2,0))*5)</f>
        <v xml:space="preserve"> </v>
      </c>
      <c r="Q38" s="529">
        <f t="shared" si="5"/>
        <v>0</v>
      </c>
    </row>
    <row r="39" spans="1:21" s="15" customFormat="1" x14ac:dyDescent="0.2">
      <c r="E39" s="19"/>
      <c r="F39" s="131" t="s">
        <v>36</v>
      </c>
      <c r="G39" s="341">
        <f t="shared" si="8"/>
        <v>0</v>
      </c>
      <c r="H39" s="326">
        <f>G39+$B$3+$B$11+Character!$F$36+Character!$C$36</f>
        <v>0</v>
      </c>
      <c r="I39" s="523">
        <f>G39+$B$2+IF($B$4="Yes",0,$B$4)+$B$11+Character!$C$36+Character!$F$36+IF($C$4="Yes",2,0)+IF(Character!$K$51=F39,1,0)+IF(Character!$K$51=$E$32,1,0)</f>
        <v>0</v>
      </c>
      <c r="J39" s="334">
        <f t="shared" si="1"/>
        <v>0</v>
      </c>
      <c r="K39" s="327">
        <f t="shared" si="2"/>
        <v>0</v>
      </c>
      <c r="L39" s="642">
        <f t="shared" si="3"/>
        <v>0</v>
      </c>
      <c r="M39" s="326" t="str">
        <f>IF(AND($B$9="No",$B$10="No")," ",(((IF(OR($B$9="No",$B$10="No"),IF($B$9="No",$B$10,$B$9),($B$9+$B$10)))+IF($C$9="Yes",2,0)+IF($C$10="Yes",2,0)+IF(Character!$G$46="Ceremonial Casting",1,0)+IF(Character!$G$49="Ceremonial Casting",1,0))/5)+K39)</f>
        <v xml:space="preserve"> </v>
      </c>
      <c r="N39" s="338" t="str">
        <f>IF(AND($B$9="No",$B$10="No")," ",((IF(Character!G82="Ceremonial Casting",1,0)+((IF(OR($B$9="No",$B$10="No"),IF($B$9="No",$B$10,$B$9),($B$9+$B$10)))+IF($C$9="Yes",2,0)+IF($C$10="Yes",2,0))/2)+L39))</f>
        <v xml:space="preserve"> </v>
      </c>
      <c r="O39" s="642">
        <f t="shared" si="4"/>
        <v>0</v>
      </c>
      <c r="P39" s="523" t="str">
        <f>IF($B$7="No"," ",(IF(F39=Character!$K$52,1,0)+$B$7+IF($C$7="Yes",2,0))*5)</f>
        <v xml:space="preserve"> </v>
      </c>
      <c r="Q39" s="529">
        <f t="shared" si="5"/>
        <v>0</v>
      </c>
    </row>
    <row r="40" spans="1:21" s="15" customFormat="1" x14ac:dyDescent="0.2">
      <c r="A40"/>
      <c r="B40" s="16"/>
      <c r="C40" s="129"/>
      <c r="E40" s="19"/>
      <c r="F40" s="131" t="s">
        <v>40</v>
      </c>
      <c r="G40" s="341">
        <f t="shared" si="8"/>
        <v>0</v>
      </c>
      <c r="H40" s="326">
        <f>G40+$B$3+$B$11+Character!$F$36+Character!$C$36</f>
        <v>0</v>
      </c>
      <c r="I40" s="523">
        <f>G40+$B$2+IF($B$4="Yes",0,$B$4)+$B$11+Character!$C$36+Character!$F$36+IF($C$4="Yes",2,0)+IF(Character!$K$51=F40,1,0)+IF(Character!$K$51=$E$32,1,0)</f>
        <v>0</v>
      </c>
      <c r="J40" s="334">
        <f t="shared" si="1"/>
        <v>0</v>
      </c>
      <c r="K40" s="327">
        <f t="shared" si="2"/>
        <v>0</v>
      </c>
      <c r="L40" s="642">
        <f t="shared" si="3"/>
        <v>0</v>
      </c>
      <c r="M40" s="326" t="str">
        <f>IF(AND($B$9="No",$B$10="No")," ",(((IF(OR($B$9="No",$B$10="No"),IF($B$9="No",$B$10,$B$9),($B$9+$B$10)))+IF($C$9="Yes",2,0)+IF($C$10="Yes",2,0)+IF(Character!$G$46="Ceremonial Casting",1,0)+IF(Character!$G$49="Ceremonial Casting",1,0))/5)+K40)</f>
        <v xml:space="preserve"> </v>
      </c>
      <c r="N40" s="338" t="str">
        <f>IF(AND($B$9="No",$B$10="No")," ",((IF(Character!G83="Ceremonial Casting",1,0)+((IF(OR($B$9="No",$B$10="No"),IF($B$9="No",$B$10,$B$9),($B$9+$B$10)))+IF($C$9="Yes",2,0)+IF($C$10="Yes",2,0))/2)+L40))</f>
        <v xml:space="preserve"> </v>
      </c>
      <c r="O40" s="642">
        <f t="shared" si="4"/>
        <v>0</v>
      </c>
      <c r="P40" s="523" t="str">
        <f>IF($B$7="No"," ",(IF(F40=Character!$K$52,1,0)+$B$7+IF($C$7="Yes",2,0))*5)</f>
        <v xml:space="preserve"> </v>
      </c>
      <c r="Q40" s="529">
        <f t="shared" si="5"/>
        <v>0</v>
      </c>
    </row>
    <row r="41" spans="1:21" s="15" customFormat="1" ht="13.5" thickBot="1" x14ac:dyDescent="0.25">
      <c r="E41" s="20"/>
      <c r="F41" s="132" t="s">
        <v>42</v>
      </c>
      <c r="G41" s="342">
        <f t="shared" si="8"/>
        <v>0</v>
      </c>
      <c r="H41" s="328">
        <f>G41+$B$3+$B$11+Character!$F$36+Character!$C$36</f>
        <v>0</v>
      </c>
      <c r="I41" s="524">
        <f>G41+$B$2+IF($B$4="Yes",0,$B$4)+$B$11+Character!$C$36+Character!$F$36+IF($C$4="Yes",2,0)+IF(Character!$K$51=F41,1,0)+IF(Character!$K$51=$E$32,1,0)</f>
        <v>0</v>
      </c>
      <c r="J41" s="335">
        <f t="shared" si="1"/>
        <v>0</v>
      </c>
      <c r="K41" s="329">
        <f t="shared" si="2"/>
        <v>0</v>
      </c>
      <c r="L41" s="646">
        <f t="shared" si="3"/>
        <v>0</v>
      </c>
      <c r="M41" s="328" t="str">
        <f>IF(AND($B$9="No",$B$10="No")," ",(((IF(OR($B$9="No",$B$10="No"),IF($B$9="No",$B$10,$B$9),($B$9+$B$10)))+IF($C$9="Yes",2,0)+IF($C$10="Yes",2,0)+IF(Character!$G$46="Ceremonial Casting",1,0)+IF(Character!$G$49="Ceremonial Casting",1,0))/5)+K41)</f>
        <v xml:space="preserve"> </v>
      </c>
      <c r="N41" s="339" t="str">
        <f>IF(AND($B$9="No",$B$10="No")," ",((IF(Character!G84="Ceremonial Casting",1,0)+((IF(OR($B$9="No",$B$10="No"),IF($B$9="No",$B$10,$B$9),($B$9+$B$10)))+IF($C$9="Yes",2,0)+IF($C$10="Yes",2,0))/2)+L41))</f>
        <v xml:space="preserve"> </v>
      </c>
      <c r="O41" s="646">
        <f t="shared" si="4"/>
        <v>0</v>
      </c>
      <c r="P41" s="524" t="str">
        <f>IF($B$7="No"," ",(IF(F41=Character!$K$52,1,0)+$B$7+IF($C$7="Yes",2,0))*5)</f>
        <v xml:space="preserve"> </v>
      </c>
      <c r="Q41" s="530">
        <f t="shared" si="5"/>
        <v>0</v>
      </c>
    </row>
    <row r="42" spans="1:21" s="15" customFormat="1" x14ac:dyDescent="0.2">
      <c r="E42" s="18" t="s">
        <v>21</v>
      </c>
      <c r="F42" s="130" t="s">
        <v>23</v>
      </c>
      <c r="G42" s="343">
        <f t="shared" ref="G42:G51" si="9">VLOOKUP($E$42,$A$15:$B$19,2,FALSE)+VLOOKUP($F42,$A$21:$B$30,2,FALSE)+IF(VLOOKUP($E$42,$A$15:$C$19,3)="Yes",3,0)+IF(VLOOKUP($F42,$A$21:$C$30,3)="Yes",3,0)+IF($S$19="Yes",MIN(VLOOKUP($E$42,$A$15:$B$19,2,FALSE),VLOOKUP($F42,$A$21:$B$30,2,FALSE)),0)</f>
        <v>0</v>
      </c>
      <c r="H42" s="323">
        <f>G42+$B$3+$B$11+Character!$F$36+Character!$C$36</f>
        <v>0</v>
      </c>
      <c r="I42" s="525">
        <f>G42+$B$2+IF($B$4="Yes",0,$B$4)+$B$11+Character!$C$36+Character!$F$36+IF($C$4="Yes",2,0)+IF(Character!$K$51=F42,1,0)+IF(Character!$K$51=$E$42,1,0)</f>
        <v>0</v>
      </c>
      <c r="J42" s="333">
        <f t="shared" si="1"/>
        <v>0</v>
      </c>
      <c r="K42" s="324">
        <f t="shared" si="2"/>
        <v>0</v>
      </c>
      <c r="L42" s="645">
        <f t="shared" si="3"/>
        <v>0</v>
      </c>
      <c r="M42" s="323" t="str">
        <f>IF(AND($B$9="No",$B$10="No")," ",(((IF(OR($B$9="No",$B$10="No"),IF($B$9="No",$B$10,$B$9),($B$9+$B$10)))+IF($C$9="Yes",2,0)+IF($C$10="Yes",2,0)+IF(Character!$G$46="Ceremonial Casting",1,0)+IF(Character!$G$49="Ceremonial Casting",1,0))/5)+K42)</f>
        <v xml:space="preserve"> </v>
      </c>
      <c r="N42" s="337" t="str">
        <f>IF(AND($B$9="No",$B$10="No")," ",((IF(Character!G85="Ceremonial Casting",1,0)+((IF(OR($B$9="No",$B$10="No"),IF($B$9="No",$B$10,$B$9),($B$9+$B$10)))+IF($C$9="Yes",2,0)+IF($C$10="Yes",2,0))/2)+L42))</f>
        <v xml:space="preserve"> </v>
      </c>
      <c r="O42" s="645">
        <f t="shared" si="4"/>
        <v>0</v>
      </c>
      <c r="P42" s="525" t="str">
        <f>IF($B$7="No"," ",(IF(F42=Character!$K$52,1,0)+$B$7+IF($C$7="Yes",2,0))*5)</f>
        <v xml:space="preserve"> </v>
      </c>
      <c r="Q42" s="531">
        <f t="shared" si="5"/>
        <v>0</v>
      </c>
    </row>
    <row r="43" spans="1:21" s="15" customFormat="1" x14ac:dyDescent="0.2">
      <c r="E43" s="19"/>
      <c r="F43" s="131" t="s">
        <v>25</v>
      </c>
      <c r="G43" s="341">
        <f t="shared" si="9"/>
        <v>0</v>
      </c>
      <c r="H43" s="326">
        <f>G43+$B$3+$B$11+Character!$F$36+Character!$C$36</f>
        <v>0</v>
      </c>
      <c r="I43" s="523">
        <f>G43+$B$2+IF($B$4="Yes",0,$B$4)+$B$11+Character!$C$36+Character!$F$36+IF($C$4="Yes",2,0)+IF(Character!$K$51=F43,1,0)+IF(Character!$K$51=$E$42,1,0)</f>
        <v>0</v>
      </c>
      <c r="J43" s="334">
        <f t="shared" si="1"/>
        <v>0</v>
      </c>
      <c r="K43" s="327">
        <f t="shared" si="2"/>
        <v>0</v>
      </c>
      <c r="L43" s="642">
        <f t="shared" si="3"/>
        <v>0</v>
      </c>
      <c r="M43" s="326" t="str">
        <f>IF(AND($B$9="No",$B$10="No")," ",(((IF(OR($B$9="No",$B$10="No"),IF($B$9="No",$B$10,$B$9),($B$9+$B$10)))+IF($C$9="Yes",2,0)+IF($C$10="Yes",2,0)+IF(Character!$G$46="Ceremonial Casting",1,0)+IF(Character!$G$49="Ceremonial Casting",1,0))/5)+K43)</f>
        <v xml:space="preserve"> </v>
      </c>
      <c r="N43" s="338" t="str">
        <f>IF(AND($B$9="No",$B$10="No")," ",((IF(Character!G86="Ceremonial Casting",1,0)+((IF(OR($B$9="No",$B$10="No"),IF($B$9="No",$B$10,$B$9),($B$9+$B$10)))+IF($C$9="Yes",2,0)+IF($C$10="Yes",2,0))/2)+L43))</f>
        <v xml:space="preserve"> </v>
      </c>
      <c r="O43" s="642">
        <f t="shared" si="4"/>
        <v>0</v>
      </c>
      <c r="P43" s="523" t="str">
        <f>IF($B$7="No"," ",(IF(F43=Character!$K$52,1,0)+$B$7+IF($C$7="Yes",2,0))*5)</f>
        <v xml:space="preserve"> </v>
      </c>
      <c r="Q43" s="529">
        <f t="shared" si="5"/>
        <v>0</v>
      </c>
    </row>
    <row r="44" spans="1:21" x14ac:dyDescent="0.2">
      <c r="A44" s="15"/>
      <c r="B44" s="15"/>
      <c r="C44" s="15"/>
      <c r="E44" s="19"/>
      <c r="F44" s="131" t="s">
        <v>28</v>
      </c>
      <c r="G44" s="341">
        <f t="shared" si="9"/>
        <v>0</v>
      </c>
      <c r="H44" s="326">
        <f>G44+$B$3+$B$11+Character!$F$36+Character!$C$36</f>
        <v>0</v>
      </c>
      <c r="I44" s="523">
        <f>G44+$B$2+IF($B$4="Yes",0,$B$4)+$B$11+Character!$C$36+Character!$F$36+IF($C$4="Yes",2,0)+IF(Character!$K$51=F44,1,0)+IF(Character!$K$51=$E$42,1,0)</f>
        <v>0</v>
      </c>
      <c r="J44" s="334">
        <f t="shared" si="1"/>
        <v>0</v>
      </c>
      <c r="K44" s="327">
        <f t="shared" si="2"/>
        <v>0</v>
      </c>
      <c r="L44" s="642">
        <f t="shared" si="3"/>
        <v>0</v>
      </c>
      <c r="M44" s="326" t="str">
        <f>IF(AND($B$9="No",$B$10="No")," ",(((IF(OR($B$9="No",$B$10="No"),IF($B$9="No",$B$10,$B$9),($B$9+$B$10)))+IF($C$9="Yes",2,0)+IF($C$10="Yes",2,0)+IF(Character!$G$46="Ceremonial Casting",1,0)+IF(Character!$G$49="Ceremonial Casting",1,0))/5)+K44)</f>
        <v xml:space="preserve"> </v>
      </c>
      <c r="N44" s="338" t="str">
        <f>IF(AND($B$9="No",$B$10="No")," ",((IF(Character!G87="Ceremonial Casting",1,0)+((IF(OR($B$9="No",$B$10="No"),IF($B$9="No",$B$10,$B$9),($B$9+$B$10)))+IF($C$9="Yes",2,0)+IF($C$10="Yes",2,0))/2)+L44))</f>
        <v xml:space="preserve"> </v>
      </c>
      <c r="O44" s="642">
        <f t="shared" si="4"/>
        <v>0</v>
      </c>
      <c r="P44" s="523" t="str">
        <f>IF($B$7="No"," ",(IF(F44=Character!$K$52,1,0)+$B$7+IF($C$7="Yes",2,0))*5)</f>
        <v xml:space="preserve"> </v>
      </c>
      <c r="Q44" s="529">
        <f t="shared" si="5"/>
        <v>0</v>
      </c>
    </row>
    <row r="45" spans="1:21" x14ac:dyDescent="0.2">
      <c r="E45" s="19"/>
      <c r="F45" s="131" t="s">
        <v>30</v>
      </c>
      <c r="G45" s="341">
        <f t="shared" si="9"/>
        <v>0</v>
      </c>
      <c r="H45" s="326">
        <f>G45+$B$3+$B$11+Character!$F$36+Character!$C$36</f>
        <v>0</v>
      </c>
      <c r="I45" s="523">
        <f>G45+$B$2+IF($B$4="Yes",0,$B$4)+$B$11+Character!$C$36+Character!$F$36+IF($C$4="Yes",2,0)+IF(Character!$K$51=F45,1,0)+IF(Character!$K$51=$E$42,1,0)</f>
        <v>0</v>
      </c>
      <c r="J45" s="334">
        <f t="shared" si="1"/>
        <v>0</v>
      </c>
      <c r="K45" s="327">
        <f t="shared" si="2"/>
        <v>0</v>
      </c>
      <c r="L45" s="642">
        <f t="shared" si="3"/>
        <v>0</v>
      </c>
      <c r="M45" s="326" t="str">
        <f>IF(AND($B$9="No",$B$10="No")," ",(((IF(OR($B$9="No",$B$10="No"),IF($B$9="No",$B$10,$B$9),($B$9+$B$10)))+IF($C$9="Yes",2,0)+IF($C$10="Yes",2,0)+IF(Character!$G$46="Ceremonial Casting",1,0)+IF(Character!$G$49="Ceremonial Casting",1,0))/5)+K45)</f>
        <v xml:space="preserve"> </v>
      </c>
      <c r="N45" s="338" t="str">
        <f>IF(AND($B$9="No",$B$10="No")," ",((IF(Character!G88="Ceremonial Casting",1,0)+((IF(OR($B$9="No",$B$10="No"),IF($B$9="No",$B$10,$B$9),($B$9+$B$10)))+IF($C$9="Yes",2,0)+IF($C$10="Yes",2,0))/2)+L45))</f>
        <v xml:space="preserve"> </v>
      </c>
      <c r="O45" s="642">
        <f t="shared" si="4"/>
        <v>0</v>
      </c>
      <c r="P45" s="523" t="str">
        <f>IF($B$7="No"," ",(IF(F45=Character!$K$52,1,0)+$B$7+IF($C$7="Yes",2,0))*5)</f>
        <v xml:space="preserve"> </v>
      </c>
      <c r="Q45" s="529">
        <f t="shared" si="5"/>
        <v>0</v>
      </c>
      <c r="U45" s="3"/>
    </row>
    <row r="46" spans="1:21" x14ac:dyDescent="0.2">
      <c r="E46" s="19"/>
      <c r="F46" s="131" t="s">
        <v>32</v>
      </c>
      <c r="G46" s="341">
        <f t="shared" si="9"/>
        <v>0</v>
      </c>
      <c r="H46" s="326">
        <f>G46+$B$3+$B$11+Character!$F$36+Character!$C$36</f>
        <v>0</v>
      </c>
      <c r="I46" s="523">
        <f>G46+$B$2+IF($B$4="Yes",0,$B$4)+$B$11+Character!$C$36+Character!$F$36+IF($C$4="Yes",2,0)+IF(Character!$K$51=F46,1,0)+IF(Character!$K$51=$E$42,1,0)</f>
        <v>0</v>
      </c>
      <c r="J46" s="334">
        <f t="shared" si="1"/>
        <v>0</v>
      </c>
      <c r="K46" s="327">
        <f t="shared" si="2"/>
        <v>0</v>
      </c>
      <c r="L46" s="642">
        <f t="shared" si="3"/>
        <v>0</v>
      </c>
      <c r="M46" s="326" t="str">
        <f>IF(AND($B$9="No",$B$10="No")," ",(((IF(OR($B$9="No",$B$10="No"),IF($B$9="No",$B$10,$B$9),($B$9+$B$10)))+IF($C$9="Yes",2,0)+IF($C$10="Yes",2,0)+IF(Character!$G$46="Ceremonial Casting",1,0)+IF(Character!$G$49="Ceremonial Casting",1,0))/5)+K46)</f>
        <v xml:space="preserve"> </v>
      </c>
      <c r="N46" s="338" t="str">
        <f>IF(AND($B$9="No",$B$10="No")," ",((IF(Character!G89="Ceremonial Casting",1,0)+((IF(OR($B$9="No",$B$10="No"),IF($B$9="No",$B$10,$B$9),($B$9+$B$10)))+IF($C$9="Yes",2,0)+IF($C$10="Yes",2,0))/2)+L46))</f>
        <v xml:space="preserve"> </v>
      </c>
      <c r="O46" s="642">
        <f t="shared" si="4"/>
        <v>0</v>
      </c>
      <c r="P46" s="523" t="str">
        <f>IF($B$7="No"," ",(IF(F46=Character!$K$52,1,0)+$B$7+IF($C$7="Yes",2,0))*5)</f>
        <v xml:space="preserve"> </v>
      </c>
      <c r="Q46" s="529">
        <f t="shared" si="5"/>
        <v>0</v>
      </c>
      <c r="U46" s="3"/>
    </row>
    <row r="47" spans="1:21" x14ac:dyDescent="0.2">
      <c r="E47" s="19"/>
      <c r="F47" s="131" t="s">
        <v>34</v>
      </c>
      <c r="G47" s="341">
        <f t="shared" si="9"/>
        <v>0</v>
      </c>
      <c r="H47" s="326">
        <f>G47+$B$3+$B$11+Character!$F$36+Character!$C$36</f>
        <v>0</v>
      </c>
      <c r="I47" s="523">
        <f>G47+$B$2+IF($B$4="Yes",0,$B$4)+$B$11+Character!$C$36+Character!$F$36+IF($C$4="Yes",2,0)+IF(Character!$K$51=F47,1,0)+IF(Character!$K$51=$E$42,1,0)</f>
        <v>0</v>
      </c>
      <c r="J47" s="334">
        <f t="shared" si="1"/>
        <v>0</v>
      </c>
      <c r="K47" s="327">
        <f t="shared" si="2"/>
        <v>0</v>
      </c>
      <c r="L47" s="642">
        <f t="shared" si="3"/>
        <v>0</v>
      </c>
      <c r="M47" s="326" t="str">
        <f>IF(AND($B$9="No",$B$10="No")," ",(((IF(OR($B$9="No",$B$10="No"),IF($B$9="No",$B$10,$B$9),($B$9+$B$10)))+IF($C$9="Yes",2,0)+IF($C$10="Yes",2,0)+IF(Character!$G$46="Ceremonial Casting",1,0)+IF(Character!$G$49="Ceremonial Casting",1,0))/5)+K47)</f>
        <v xml:space="preserve"> </v>
      </c>
      <c r="N47" s="338" t="str">
        <f>IF(AND($B$9="No",$B$10="No")," ",((IF(Character!G90="Ceremonial Casting",1,0)+((IF(OR($B$9="No",$B$10="No"),IF($B$9="No",$B$10,$B$9),($B$9+$B$10)))+IF($C$9="Yes",2,0)+IF($C$10="Yes",2,0))/2)+L47))</f>
        <v xml:space="preserve"> </v>
      </c>
      <c r="O47" s="642">
        <f t="shared" si="4"/>
        <v>0</v>
      </c>
      <c r="P47" s="523" t="str">
        <f>IF($B$7="No"," ",(IF(F47=Character!$K$52,1,0)+$B$7+IF($C$7="Yes",2,0))*5)</f>
        <v xml:space="preserve"> </v>
      </c>
      <c r="Q47" s="529">
        <f t="shared" si="5"/>
        <v>0</v>
      </c>
      <c r="U47" s="3"/>
    </row>
    <row r="48" spans="1:21" x14ac:dyDescent="0.2">
      <c r="A48" s="2"/>
      <c r="E48" s="21"/>
      <c r="F48" s="131" t="s">
        <v>35</v>
      </c>
      <c r="G48" s="341">
        <f t="shared" si="9"/>
        <v>0</v>
      </c>
      <c r="H48" s="326">
        <f>G48+$B$3+$B$11+Character!$F$36+Character!$C$36</f>
        <v>0</v>
      </c>
      <c r="I48" s="523">
        <f>G48+$B$2+IF($B$4="Yes",0,$B$4)+$B$11+Character!$C$36+Character!$F$36+IF($C$4="Yes",2,0)+IF(Character!$K$51=F48,1,0)+IF(Character!$K$51=$E$42,1,0)</f>
        <v>0</v>
      </c>
      <c r="J48" s="334">
        <f t="shared" si="1"/>
        <v>0</v>
      </c>
      <c r="K48" s="327">
        <f t="shared" si="2"/>
        <v>0</v>
      </c>
      <c r="L48" s="642">
        <f t="shared" si="3"/>
        <v>0</v>
      </c>
      <c r="M48" s="326" t="str">
        <f>IF(AND($B$9="No",$B$10="No")," ",(((IF(OR($B$9="No",$B$10="No"),IF($B$9="No",$B$10,$B$9),($B$9+$B$10)))+IF($C$9="Yes",2,0)+IF($C$10="Yes",2,0)+IF(Character!$G$46="Ceremonial Casting",1,0)+IF(Character!$G$49="Ceremonial Casting",1,0))/5)+K48)</f>
        <v xml:space="preserve"> </v>
      </c>
      <c r="N48" s="338" t="str">
        <f>IF(AND($B$9="No",$B$10="No")," ",((IF(Character!G91="Ceremonial Casting",1,0)+((IF(OR($B$9="No",$B$10="No"),IF($B$9="No",$B$10,$B$9),($B$9+$B$10)))+IF($C$9="Yes",2,0)+IF($C$10="Yes",2,0))/2)+L48))</f>
        <v xml:space="preserve"> </v>
      </c>
      <c r="O48" s="642">
        <f t="shared" si="4"/>
        <v>0</v>
      </c>
      <c r="P48" s="523" t="str">
        <f>IF($B$7="No"," ",(IF(F48=Character!$K$52,1,0)+$B$7+IF($C$7="Yes",2,0))*5)</f>
        <v xml:space="preserve"> </v>
      </c>
      <c r="Q48" s="529">
        <f t="shared" si="5"/>
        <v>0</v>
      </c>
      <c r="U48" s="3"/>
    </row>
    <row r="49" spans="1:21" x14ac:dyDescent="0.2">
      <c r="A49" s="2"/>
      <c r="E49" s="21"/>
      <c r="F49" s="131" t="s">
        <v>36</v>
      </c>
      <c r="G49" s="341">
        <f t="shared" si="9"/>
        <v>0</v>
      </c>
      <c r="H49" s="326">
        <f>G49+$B$3+$B$11+Character!$F$36+Character!$C$36</f>
        <v>0</v>
      </c>
      <c r="I49" s="523">
        <f>G49+$B$2+IF($B$4="Yes",0,$B$4)+$B$11+Character!$C$36+Character!$F$36+IF($C$4="Yes",2,0)+IF(Character!$K$51=F49,1,0)+IF(Character!$K$51=$E$42,1,0)</f>
        <v>0</v>
      </c>
      <c r="J49" s="334">
        <f t="shared" si="1"/>
        <v>0</v>
      </c>
      <c r="K49" s="327">
        <f t="shared" si="2"/>
        <v>0</v>
      </c>
      <c r="L49" s="642">
        <f t="shared" si="3"/>
        <v>0</v>
      </c>
      <c r="M49" s="326" t="str">
        <f>IF(AND($B$9="No",$B$10="No")," ",(((IF(OR($B$9="No",$B$10="No"),IF($B$9="No",$B$10,$B$9),($B$9+$B$10)))+IF($C$9="Yes",2,0)+IF($C$10="Yes",2,0)+IF(Character!$G$46="Ceremonial Casting",1,0)+IF(Character!$G$49="Ceremonial Casting",1,0))/5)+K49)</f>
        <v xml:space="preserve"> </v>
      </c>
      <c r="N49" s="338" t="str">
        <f>IF(AND($B$9="No",$B$10="No")," ",((IF(Character!G92="Ceremonial Casting",1,0)+((IF(OR($B$9="No",$B$10="No"),IF($B$9="No",$B$10,$B$9),($B$9+$B$10)))+IF($C$9="Yes",2,0)+IF($C$10="Yes",2,0))/2)+L49))</f>
        <v xml:space="preserve"> </v>
      </c>
      <c r="O49" s="642">
        <f t="shared" si="4"/>
        <v>0</v>
      </c>
      <c r="P49" s="523" t="str">
        <f>IF($B$7="No"," ",(IF(F49=Character!$K$52,1,0)+$B$7+IF($C$7="Yes",2,0))*5)</f>
        <v xml:space="preserve"> </v>
      </c>
      <c r="Q49" s="529">
        <f t="shared" si="5"/>
        <v>0</v>
      </c>
      <c r="U49" s="3"/>
    </row>
    <row r="50" spans="1:21" x14ac:dyDescent="0.2">
      <c r="A50" s="2"/>
      <c r="E50" s="21"/>
      <c r="F50" s="131" t="s">
        <v>40</v>
      </c>
      <c r="G50" s="341">
        <f t="shared" si="9"/>
        <v>0</v>
      </c>
      <c r="H50" s="326">
        <f>G50+$B$3+$B$11+Character!$F$36+Character!$C$36</f>
        <v>0</v>
      </c>
      <c r="I50" s="523">
        <f>G50+$B$2+IF($B$4="Yes",0,$B$4)+$B$11+Character!$C$36+Character!$F$36+IF($C$4="Yes",2,0)+IF(Character!$K$51=F50,1,0)+IF(Character!$K$51=$E$42,1,0)</f>
        <v>0</v>
      </c>
      <c r="J50" s="334">
        <f t="shared" si="1"/>
        <v>0</v>
      </c>
      <c r="K50" s="327">
        <f t="shared" si="2"/>
        <v>0</v>
      </c>
      <c r="L50" s="642">
        <f t="shared" si="3"/>
        <v>0</v>
      </c>
      <c r="M50" s="326" t="str">
        <f>IF(AND($B$9="No",$B$10="No")," ",(((IF(OR($B$9="No",$B$10="No"),IF($B$9="No",$B$10,$B$9),($B$9+$B$10)))+IF($C$9="Yes",2,0)+IF($C$10="Yes",2,0)+IF(Character!$G$46="Ceremonial Casting",1,0)+IF(Character!$G$49="Ceremonial Casting",1,0))/5)+K50)</f>
        <v xml:space="preserve"> </v>
      </c>
      <c r="N50" s="338" t="str">
        <f>IF(AND($B$9="No",$B$10="No")," ",((IF(Character!G93="Ceremonial Casting",1,0)+((IF(OR($B$9="No",$B$10="No"),IF($B$9="No",$B$10,$B$9),($B$9+$B$10)))+IF($C$9="Yes",2,0)+IF($C$10="Yes",2,0))/2)+L50))</f>
        <v xml:space="preserve"> </v>
      </c>
      <c r="O50" s="642">
        <f t="shared" si="4"/>
        <v>0</v>
      </c>
      <c r="P50" s="523" t="str">
        <f>IF($B$7="No"," ",(IF(F50=Character!$K$52,1,0)+$B$7+IF($C$7="Yes",2,0))*5)</f>
        <v xml:space="preserve"> </v>
      </c>
      <c r="Q50" s="529">
        <f t="shared" si="5"/>
        <v>0</v>
      </c>
      <c r="U50" s="3"/>
    </row>
    <row r="51" spans="1:21" ht="13.5" thickBot="1" x14ac:dyDescent="0.25">
      <c r="E51" s="22"/>
      <c r="F51" s="132" t="s">
        <v>42</v>
      </c>
      <c r="G51" s="344">
        <f t="shared" si="9"/>
        <v>0</v>
      </c>
      <c r="H51" s="331">
        <f>G51+$B$3+$B$11+Character!$F$36+Character!$C$36</f>
        <v>0</v>
      </c>
      <c r="I51" s="526">
        <f>G51+$B$2+IF($B$4="Yes",0,$B$4)+$B$11+Character!$C$36+Character!$F$36+IF($C$4="Yes",2,0)+IF(Character!$K$51=F51,1,0)+IF(Character!$K$51=$E$42,1,0)</f>
        <v>0</v>
      </c>
      <c r="J51" s="336">
        <f t="shared" si="1"/>
        <v>0</v>
      </c>
      <c r="K51" s="332">
        <f t="shared" si="2"/>
        <v>0</v>
      </c>
      <c r="L51" s="643">
        <f t="shared" si="3"/>
        <v>0</v>
      </c>
      <c r="M51" s="331" t="str">
        <f>IF(AND($B$9="No",$B$10="No")," ",(((IF(OR($B$9="No",$B$10="No"),IF($B$9="No",$B$10,$B$9),($B$9+$B$10)))+IF($C$9="Yes",2,0)+IF($C$10="Yes",2,0)+IF(Character!$G$46="Ceremonial Casting",1,0)+IF(Character!$G$49="Ceremonial Casting",1,0))/5)+K51)</f>
        <v xml:space="preserve"> </v>
      </c>
      <c r="N51" s="340" t="str">
        <f>IF(AND($B$9="No",$B$10="No")," ",((IF(Character!G94="Ceremonial Casting",1,0)+((IF(OR($B$9="No",$B$10="No"),IF($B$9="No",$B$10,$B$9),($B$9+$B$10)))+IF($C$9="Yes",2,0)+IF($C$10="Yes",2,0))/2)+L51))</f>
        <v xml:space="preserve"> </v>
      </c>
      <c r="O51" s="643">
        <f t="shared" si="4"/>
        <v>0</v>
      </c>
      <c r="P51" s="526" t="str">
        <f>IF($B$7="No"," ",(IF(F51=Character!$K$52,1,0)+$B$7+IF($C$7="Yes",2,0))*5)</f>
        <v xml:space="preserve"> </v>
      </c>
      <c r="Q51" s="532">
        <f t="shared" si="5"/>
        <v>0</v>
      </c>
      <c r="U51" s="3"/>
    </row>
    <row r="59" spans="1:21" ht="13.35" customHeight="1" x14ac:dyDescent="0.2"/>
    <row r="82" spans="2:3" x14ac:dyDescent="0.2">
      <c r="B82"/>
      <c r="C82"/>
    </row>
    <row r="83" spans="2:3" x14ac:dyDescent="0.2">
      <c r="B83"/>
      <c r="C83"/>
    </row>
  </sheetData>
  <sheetProtection selectLockedCells="1" selectUnlockedCells="1"/>
  <mergeCells count="1">
    <mergeCell ref="A1:B1"/>
  </mergeCells>
  <conditionalFormatting sqref="G1:G51">
    <cfRule type="colorScale" priority="13">
      <colorScale>
        <cfvo type="min"/>
        <cfvo type="percentile" val="50"/>
        <cfvo type="max"/>
        <color theme="5" tint="0.39997558519241921"/>
        <color theme="0"/>
        <color theme="9" tint="0.39997558519241921"/>
      </colorScale>
    </cfRule>
  </conditionalFormatting>
  <conditionalFormatting sqref="H1:H51">
    <cfRule type="colorScale" priority="12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conditionalFormatting sqref="I1:I51">
    <cfRule type="colorScale" priority="11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conditionalFormatting sqref="J1:J51">
    <cfRule type="colorScale" priority="10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conditionalFormatting sqref="K1:K51">
    <cfRule type="colorScale" priority="9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conditionalFormatting sqref="L1">
    <cfRule type="colorScale" priority="8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conditionalFormatting sqref="M1:M51">
    <cfRule type="colorScale" priority="7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conditionalFormatting sqref="N1:N51">
    <cfRule type="colorScale" priority="6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conditionalFormatting sqref="O1">
    <cfRule type="colorScale" priority="5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conditionalFormatting sqref="P1:P51">
    <cfRule type="colorScale" priority="4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conditionalFormatting sqref="Q1:Q51">
    <cfRule type="colorScale" priority="3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conditionalFormatting sqref="L2:L51">
    <cfRule type="colorScale" priority="2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conditionalFormatting sqref="O2:O51">
    <cfRule type="colorScale" priority="1">
      <colorScale>
        <cfvo type="min"/>
        <cfvo type="percentile" val="50"/>
        <cfvo type="max"/>
        <color theme="5" tint="0.39997558519241921"/>
        <color rgb="FFFCFCFF"/>
        <color theme="9" tint="0.39997558519241921"/>
      </colorScale>
    </cfRule>
  </conditionalFormatting>
  <dataValidations count="2">
    <dataValidation type="list" allowBlank="1" showInputMessage="1" showErrorMessage="1" promptTitle="Pick" prompt="Yes or No" sqref="C4:C10">
      <formula1>$A$49:$A$50</formula1>
    </dataValidation>
    <dataValidation type="list" allowBlank="1" showInputMessage="1" showErrorMessage="1" promptTitle="Pick" prompt="Yes or No" sqref="C21:C30">
      <formula1>$A$49:$A$50</formula1>
    </dataValidation>
  </dataValidations>
  <pageMargins left="0.78749999999999998" right="0.78749999999999998" top="1.0249999999999999" bottom="1.0249999999999999" header="0.78749999999999998" footer="0.78749999999999998"/>
  <pageSetup paperSize="9" scale="85" orientation="portrait" horizontalDpi="300" verticalDpi="300" r:id="rId1"/>
  <headerFooter alignWithMargins="0">
    <oddHeader>&amp;C&amp;A</oddHeader>
    <oddFooter>&amp;CPage &amp;P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Pick" prompt="Yes or No">
          <x14:formula1>
            <xm:f>Calcs!$A$49:$A$50</xm:f>
          </x14:formula1>
          <xm:sqref>C15:C19</xm:sqref>
        </x14:dataValidation>
        <x14:dataValidation type="list" showInputMessage="1" showErrorMessage="1">
          <x14:formula1>
            <xm:f>Calcs!$A$49:$A$50</xm:f>
          </x14:formula1>
          <xm:sqref>S19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4"/>
  <sheetViews>
    <sheetView workbookViewId="0">
      <selection activeCell="A2" sqref="A2"/>
    </sheetView>
  </sheetViews>
  <sheetFormatPr defaultColWidth="11.5703125" defaultRowHeight="12.75" x14ac:dyDescent="0.2"/>
  <cols>
    <col min="1" max="1" width="32.5703125" customWidth="1"/>
    <col min="2" max="2" width="8.42578125" customWidth="1"/>
    <col min="3" max="3" width="9.5703125" customWidth="1"/>
    <col min="4" max="4" width="9.42578125" customWidth="1"/>
    <col min="5" max="5" width="5.42578125" style="7" customWidth="1"/>
    <col min="6" max="9" width="9.7109375" customWidth="1"/>
    <col min="11" max="11" width="5.140625" bestFit="1" customWidth="1"/>
    <col min="12" max="12" width="2.5703125" bestFit="1" customWidth="1"/>
    <col min="13" max="13" width="17.5703125" customWidth="1"/>
    <col min="14" max="14" width="14.7109375" customWidth="1"/>
    <col min="15" max="15" width="46.7109375" customWidth="1"/>
    <col min="17" max="17" width="23.42578125" bestFit="1" customWidth="1"/>
    <col min="18" max="18" width="3" bestFit="1" customWidth="1"/>
  </cols>
  <sheetData>
    <row r="1" spans="1:18" ht="12.6" customHeight="1" x14ac:dyDescent="0.2">
      <c r="A1" s="11" t="s">
        <v>47</v>
      </c>
      <c r="B1" s="11" t="s">
        <v>466</v>
      </c>
      <c r="C1" s="11" t="s">
        <v>467</v>
      </c>
      <c r="D1" s="11" t="s">
        <v>468</v>
      </c>
      <c r="E1" s="5" t="s">
        <v>45</v>
      </c>
      <c r="F1" s="11" t="s">
        <v>44</v>
      </c>
      <c r="G1" s="103" t="s">
        <v>187</v>
      </c>
      <c r="H1" s="103" t="s">
        <v>382</v>
      </c>
      <c r="I1" s="103" t="s">
        <v>383</v>
      </c>
      <c r="J1" s="8" t="s">
        <v>46</v>
      </c>
      <c r="K1" s="11" t="s">
        <v>384</v>
      </c>
      <c r="L1" s="404" t="s">
        <v>49</v>
      </c>
      <c r="M1" s="11" t="s">
        <v>50</v>
      </c>
      <c r="N1" s="11" t="s">
        <v>51</v>
      </c>
      <c r="O1" s="11" t="s">
        <v>52</v>
      </c>
      <c r="P1" s="12"/>
      <c r="Q1" s="804" t="s">
        <v>387</v>
      </c>
      <c r="R1" s="743"/>
    </row>
    <row r="2" spans="1:18" ht="12.6" customHeight="1" x14ac:dyDescent="0.2">
      <c r="A2" s="405"/>
      <c r="B2" s="405"/>
      <c r="C2" s="405"/>
      <c r="D2" s="405"/>
      <c r="E2" s="406"/>
      <c r="F2" s="405"/>
      <c r="G2" s="407"/>
      <c r="H2" s="407"/>
      <c r="I2" s="407"/>
      <c r="J2" s="408"/>
      <c r="K2" s="405"/>
      <c r="L2" s="410">
        <f>VLOOKUP(K2+(COUNTIF('Start Character'!$A$63:$E$77,"Flawless Magic")*5),Calcs!$Q$4:$R$24,2,TRUE)</f>
        <v>0</v>
      </c>
      <c r="M2" s="405"/>
      <c r="N2" s="405"/>
      <c r="O2" s="405"/>
      <c r="P2" s="13"/>
      <c r="Q2" s="411" t="s">
        <v>370</v>
      </c>
      <c r="R2" s="81">
        <f>SUM(E2:E89)</f>
        <v>0</v>
      </c>
    </row>
    <row r="3" spans="1:18" ht="12.6" customHeight="1" x14ac:dyDescent="0.2">
      <c r="A3" s="405"/>
      <c r="B3" s="405"/>
      <c r="C3" s="405"/>
      <c r="D3" s="405"/>
      <c r="E3" s="406"/>
      <c r="F3" s="405"/>
      <c r="G3" s="407"/>
      <c r="H3" s="407"/>
      <c r="I3" s="407"/>
      <c r="J3" s="408"/>
      <c r="K3" s="405"/>
      <c r="L3" s="410">
        <f>VLOOKUP(K3+(COUNTIF('Start Character'!$A$63:$E$77,"Flawless Magic")*5),Calcs!$Q$4:$R$24,2,TRUE)</f>
        <v>0</v>
      </c>
      <c r="M3" s="409"/>
      <c r="N3" s="405"/>
      <c r="O3" s="409"/>
      <c r="P3" s="14"/>
      <c r="Q3" s="81" t="s">
        <v>385</v>
      </c>
      <c r="R3" s="412">
        <f>SUMIF(Timeline!$D$3:$D$1500,"Mastery",Timeline!$E$3:$E$1500)+SUMIF(Timeline!$F$3:$F$1500,"Mastery",Timeline!$G$3:$G$1500)+SUMIF(Timeline!$H$3:$H$1500,"Mastery",Timeline!$I$3:$I$1500)+SUMIF(Timeline!$J$3:$J$1500,"Mastery",Timeline!$K$3:$K$1500)+SUMIF(Timeline!$L$3:$L$1500,"Mastery",Timeline!$M$3:$M$1500)+SUMIF(Timeline!$N$3:$N$1500,"Mastery",Timeline!$O$3:$O$1500)+SUMIF(Timeline!$P$3:$P$1500,"Mastery",Timeline!$Q$3:$Q$1500)+SUMIF(Timeline!$R$3:$R$1500,"Mastery",Timeline!$S$3:$S$1500)+SUMIF(Timeline!$T$3:$T$1500,"Mastery",Timeline!$U$3:$U$1500)+SUMIF(Timeline!$V$3:$V$1500,"Mastery",Timeline!$W$3:$W$1500)+SUMIF(Timeline!$X$3:$X$1500,"Mastery",Timeline!$Y$3:$Y$1500)+SUMIF(Timeline!$Z$3:$Z$1500,"Mastery",Timeline!$AA$3:$AA$1500)+SUMIF(Timeline!$AB$3:$AB$1500,"Mastery",Timeline!$AC$3:$AC$1500)+SUMIF(Timeline!$AD$3:$AD$1500,"Mastery",Timeline!$AE$3:$AE$1500)+SUMIF(Timeline!$AF$3:$AF$1500,"Mastery",Timeline!$AG$3:$AG$1500)+COUNTIF('Start Character'!A63:E77,"Mastered Spells")*50</f>
        <v>0</v>
      </c>
    </row>
    <row r="4" spans="1:18" ht="12.6" customHeight="1" x14ac:dyDescent="0.2">
      <c r="A4" s="405"/>
      <c r="B4" s="405"/>
      <c r="C4" s="405"/>
      <c r="D4" s="405"/>
      <c r="E4" s="406"/>
      <c r="F4" s="405"/>
      <c r="G4" s="407"/>
      <c r="H4" s="407"/>
      <c r="I4" s="407"/>
      <c r="J4" s="408"/>
      <c r="K4" s="405"/>
      <c r="L4" s="410">
        <f>VLOOKUP(K4+(COUNTIF('Start Character'!$A$63:$E$77,"Flawless Magic")*5),Calcs!$Q$4:$R$24,2,TRUE)</f>
        <v>0</v>
      </c>
      <c r="M4" s="409"/>
      <c r="N4" s="405"/>
      <c r="O4" s="409"/>
      <c r="P4" s="14"/>
      <c r="Q4" s="81" t="s">
        <v>386</v>
      </c>
      <c r="R4" s="81">
        <f>SUM(K2:K133)</f>
        <v>0</v>
      </c>
    </row>
    <row r="5" spans="1:18" ht="12.6" customHeight="1" x14ac:dyDescent="0.2">
      <c r="A5" s="405"/>
      <c r="B5" s="405"/>
      <c r="C5" s="405"/>
      <c r="D5" s="405"/>
      <c r="E5" s="406"/>
      <c r="F5" s="405"/>
      <c r="G5" s="407"/>
      <c r="H5" s="407"/>
      <c r="I5" s="407"/>
      <c r="J5" s="408"/>
      <c r="K5" s="405"/>
      <c r="L5" s="410">
        <f>VLOOKUP(K5+(COUNTIF('Start Character'!$A$63:$E$77,"Flawless Magic")*5),Calcs!$Q$4:$R$24,2,TRUE)</f>
        <v>0</v>
      </c>
      <c r="M5" s="409"/>
      <c r="N5" s="405"/>
      <c r="O5" s="409"/>
      <c r="P5" s="14"/>
    </row>
    <row r="6" spans="1:18" ht="12.6" customHeight="1" x14ac:dyDescent="0.2">
      <c r="A6" s="405"/>
      <c r="B6" s="405"/>
      <c r="C6" s="405"/>
      <c r="D6" s="405"/>
      <c r="E6" s="406"/>
      <c r="F6" s="405"/>
      <c r="G6" s="407"/>
      <c r="H6" s="407"/>
      <c r="I6" s="407"/>
      <c r="J6" s="408"/>
      <c r="K6" s="405"/>
      <c r="L6" s="410">
        <f>VLOOKUP(K6+(COUNTIF('Start Character'!$A$63:$E$77,"Flawless Magic")*5),Calcs!$Q$4:$R$24,2,TRUE)</f>
        <v>0</v>
      </c>
      <c r="M6" s="409"/>
      <c r="N6" s="405"/>
      <c r="O6" s="409"/>
      <c r="P6" s="14"/>
    </row>
    <row r="7" spans="1:18" ht="12.6" customHeight="1" x14ac:dyDescent="0.2">
      <c r="A7" s="405"/>
      <c r="B7" s="405"/>
      <c r="C7" s="405"/>
      <c r="D7" s="405"/>
      <c r="E7" s="406"/>
      <c r="F7" s="405"/>
      <c r="G7" s="407"/>
      <c r="H7" s="407"/>
      <c r="I7" s="407"/>
      <c r="J7" s="408"/>
      <c r="K7" s="405"/>
      <c r="L7" s="410">
        <f>VLOOKUP(K7+(COUNTIF('Start Character'!$A$63:$E$77,"Flawless Magic")*5),Calcs!$Q$4:$R$24,2,TRUE)</f>
        <v>0</v>
      </c>
      <c r="M7" s="409"/>
      <c r="N7" s="405"/>
      <c r="O7" s="409"/>
      <c r="P7" s="14"/>
      <c r="Q7" s="372"/>
    </row>
    <row r="8" spans="1:18" ht="12.6" customHeight="1" x14ac:dyDescent="0.2">
      <c r="A8" s="405"/>
      <c r="B8" s="405"/>
      <c r="C8" s="405"/>
      <c r="D8" s="405"/>
      <c r="E8" s="406"/>
      <c r="F8" s="405"/>
      <c r="G8" s="407"/>
      <c r="H8" s="407"/>
      <c r="I8" s="407"/>
      <c r="J8" s="408"/>
      <c r="K8" s="405"/>
      <c r="L8" s="410">
        <f>VLOOKUP(K8+(COUNTIF('Start Character'!$A$63:$E$77,"Flawless Magic")*5),Calcs!$Q$4:$R$24,2,TRUE)</f>
        <v>0</v>
      </c>
      <c r="M8" s="409"/>
      <c r="N8" s="405"/>
      <c r="O8" s="409"/>
      <c r="P8" s="14"/>
      <c r="Q8" s="2"/>
    </row>
    <row r="9" spans="1:18" ht="12.6" customHeight="1" x14ac:dyDescent="0.2">
      <c r="A9" s="405"/>
      <c r="B9" s="405"/>
      <c r="C9" s="405"/>
      <c r="D9" s="405"/>
      <c r="E9" s="406"/>
      <c r="F9" s="405"/>
      <c r="G9" s="407"/>
      <c r="H9" s="407"/>
      <c r="I9" s="407"/>
      <c r="J9" s="408"/>
      <c r="K9" s="405"/>
      <c r="L9" s="410">
        <f>VLOOKUP(K9+(COUNTIF('Start Character'!$A$63:$E$77,"Flawless Magic")*5),Calcs!$Q$4:$R$24,2,TRUE)</f>
        <v>0</v>
      </c>
      <c r="M9" s="409"/>
      <c r="N9" s="405"/>
      <c r="O9" s="409"/>
      <c r="P9" s="14"/>
      <c r="Q9" s="2"/>
    </row>
    <row r="10" spans="1:18" ht="12.6" customHeight="1" x14ac:dyDescent="0.2">
      <c r="A10" s="405"/>
      <c r="B10" s="405"/>
      <c r="C10" s="405"/>
      <c r="D10" s="405"/>
      <c r="E10" s="406"/>
      <c r="F10" s="405"/>
      <c r="G10" s="407"/>
      <c r="H10" s="407"/>
      <c r="I10" s="407"/>
      <c r="J10" s="408"/>
      <c r="K10" s="405"/>
      <c r="L10" s="410">
        <f>VLOOKUP(K10+(COUNTIF('Start Character'!$A$63:$E$77,"Flawless Magic")*5),Calcs!$Q$4:$R$24,2,TRUE)</f>
        <v>0</v>
      </c>
      <c r="M10" s="409"/>
      <c r="N10" s="405"/>
      <c r="O10" s="409"/>
      <c r="P10" s="14"/>
    </row>
    <row r="11" spans="1:18" ht="12.6" customHeight="1" x14ac:dyDescent="0.2">
      <c r="A11" s="405"/>
      <c r="B11" s="405"/>
      <c r="C11" s="405"/>
      <c r="D11" s="405"/>
      <c r="E11" s="406"/>
      <c r="F11" s="405"/>
      <c r="G11" s="407"/>
      <c r="H11" s="407"/>
      <c r="I11" s="407"/>
      <c r="J11" s="408"/>
      <c r="K11" s="405"/>
      <c r="L11" s="410">
        <f>VLOOKUP(K11+(COUNTIF('Start Character'!$A$63:$E$77,"Flawless Magic")*5),Calcs!$Q$4:$R$24,2,TRUE)</f>
        <v>0</v>
      </c>
      <c r="M11" s="409"/>
      <c r="N11" s="405"/>
      <c r="O11" s="409"/>
      <c r="P11" s="14"/>
    </row>
    <row r="12" spans="1:18" ht="12.6" customHeight="1" x14ac:dyDescent="0.2">
      <c r="A12" s="405"/>
      <c r="B12" s="405"/>
      <c r="C12" s="405"/>
      <c r="D12" s="405"/>
      <c r="E12" s="406"/>
      <c r="F12" s="405"/>
      <c r="G12" s="407"/>
      <c r="H12" s="407"/>
      <c r="I12" s="407"/>
      <c r="J12" s="408"/>
      <c r="K12" s="405"/>
      <c r="L12" s="410">
        <f>VLOOKUP(K12+(COUNTIF('Start Character'!$A$63:$E$77,"Flawless Magic")*5),Calcs!$Q$4:$R$24,2,TRUE)</f>
        <v>0</v>
      </c>
      <c r="M12" s="409"/>
      <c r="N12" s="405"/>
      <c r="O12" s="409"/>
      <c r="P12" s="14"/>
    </row>
    <row r="13" spans="1:18" ht="12.6" customHeight="1" x14ac:dyDescent="0.2">
      <c r="A13" s="405"/>
      <c r="B13" s="405"/>
      <c r="C13" s="405"/>
      <c r="D13" s="405"/>
      <c r="E13" s="406"/>
      <c r="F13" s="405"/>
      <c r="G13" s="407"/>
      <c r="H13" s="407"/>
      <c r="I13" s="407"/>
      <c r="J13" s="408"/>
      <c r="K13" s="405"/>
      <c r="L13" s="410">
        <f>VLOOKUP(K13+(COUNTIF('Start Character'!$A$63:$E$77,"Flawless Magic")*5),Calcs!$Q$4:$R$24,2,TRUE)</f>
        <v>0</v>
      </c>
      <c r="M13" s="409"/>
      <c r="N13" s="405"/>
      <c r="O13" s="409"/>
      <c r="P13" s="14"/>
    </row>
    <row r="14" spans="1:18" ht="12.6" customHeight="1" x14ac:dyDescent="0.2">
      <c r="A14" s="405"/>
      <c r="B14" s="405"/>
      <c r="C14" s="405"/>
      <c r="D14" s="405"/>
      <c r="E14" s="406"/>
      <c r="F14" s="405"/>
      <c r="G14" s="407"/>
      <c r="H14" s="407"/>
      <c r="I14" s="407"/>
      <c r="J14" s="408"/>
      <c r="K14" s="405"/>
      <c r="L14" s="410">
        <f>VLOOKUP(K14+(COUNTIF('Start Character'!$A$63:$E$77,"Flawless Magic")*5),Calcs!$Q$4:$R$24,2,TRUE)</f>
        <v>0</v>
      </c>
      <c r="M14" s="409"/>
      <c r="N14" s="405"/>
      <c r="O14" s="409"/>
      <c r="P14" s="14"/>
    </row>
    <row r="15" spans="1:18" ht="12.6" customHeight="1" x14ac:dyDescent="0.2">
      <c r="A15" s="405"/>
      <c r="B15" s="405"/>
      <c r="C15" s="405"/>
      <c r="D15" s="405"/>
      <c r="E15" s="406"/>
      <c r="F15" s="405"/>
      <c r="G15" s="407"/>
      <c r="H15" s="407"/>
      <c r="I15" s="407"/>
      <c r="J15" s="408"/>
      <c r="K15" s="405"/>
      <c r="L15" s="410">
        <f>VLOOKUP(K15+(COUNTIF('Start Character'!$A$63:$E$77,"Flawless Magic")*5),Calcs!$Q$4:$R$24,2,TRUE)</f>
        <v>0</v>
      </c>
      <c r="M15" s="409"/>
      <c r="N15" s="405"/>
      <c r="O15" s="409"/>
      <c r="P15" s="14"/>
    </row>
    <row r="16" spans="1:18" ht="12.6" customHeight="1" x14ac:dyDescent="0.2">
      <c r="A16" s="405"/>
      <c r="B16" s="405"/>
      <c r="C16" s="405"/>
      <c r="D16" s="405"/>
      <c r="E16" s="406"/>
      <c r="F16" s="405"/>
      <c r="G16" s="407"/>
      <c r="H16" s="407"/>
      <c r="I16" s="407"/>
      <c r="J16" s="408"/>
      <c r="K16" s="405"/>
      <c r="L16" s="410">
        <f>VLOOKUP(K16+(COUNTIF('Start Character'!$A$63:$E$77,"Flawless Magic")*5),Calcs!$Q$4:$R$24,2,TRUE)</f>
        <v>0</v>
      </c>
      <c r="M16" s="409"/>
      <c r="N16" s="405"/>
      <c r="O16" s="409"/>
      <c r="P16" s="14"/>
    </row>
    <row r="17" spans="1:16" ht="12.6" customHeight="1" x14ac:dyDescent="0.2">
      <c r="A17" s="405"/>
      <c r="B17" s="405"/>
      <c r="C17" s="405"/>
      <c r="D17" s="405"/>
      <c r="E17" s="406"/>
      <c r="F17" s="405"/>
      <c r="G17" s="407"/>
      <c r="H17" s="407"/>
      <c r="I17" s="407"/>
      <c r="J17" s="408"/>
      <c r="K17" s="405"/>
      <c r="L17" s="410">
        <f>VLOOKUP(K17+(COUNTIF('Start Character'!$A$63:$E$77,"Flawless Magic")*5),Calcs!$Q$4:$R$24,2,TRUE)</f>
        <v>0</v>
      </c>
      <c r="M17" s="409"/>
      <c r="N17" s="405"/>
      <c r="O17" s="409"/>
      <c r="P17" s="14"/>
    </row>
    <row r="18" spans="1:16" ht="12.6" customHeight="1" x14ac:dyDescent="0.2">
      <c r="A18" s="405"/>
      <c r="B18" s="405"/>
      <c r="C18" s="405"/>
      <c r="D18" s="405"/>
      <c r="E18" s="406"/>
      <c r="F18" s="405"/>
      <c r="G18" s="407"/>
      <c r="H18" s="407"/>
      <c r="I18" s="407"/>
      <c r="J18" s="408"/>
      <c r="K18" s="405"/>
      <c r="L18" s="410">
        <f>VLOOKUP(K18+(COUNTIF('Start Character'!$A$63:$E$77,"Flawless Magic")*5),Calcs!$Q$4:$R$24,2,TRUE)</f>
        <v>0</v>
      </c>
      <c r="M18" s="409"/>
      <c r="N18" s="405"/>
      <c r="O18" s="409"/>
      <c r="P18" s="14"/>
    </row>
    <row r="19" spans="1:16" ht="12.6" customHeight="1" x14ac:dyDescent="0.2">
      <c r="A19" s="405"/>
      <c r="B19" s="405"/>
      <c r="C19" s="405"/>
      <c r="D19" s="405"/>
      <c r="E19" s="406"/>
      <c r="F19" s="405"/>
      <c r="G19" s="407"/>
      <c r="H19" s="407"/>
      <c r="I19" s="407"/>
      <c r="J19" s="408"/>
      <c r="K19" s="405"/>
      <c r="L19" s="410">
        <f>VLOOKUP(K19+(COUNTIF('Start Character'!$A$63:$E$77,"Flawless Magic")*5),Calcs!$Q$4:$R$24,2,TRUE)</f>
        <v>0</v>
      </c>
      <c r="M19" s="409"/>
      <c r="N19" s="405"/>
      <c r="O19" s="409"/>
      <c r="P19" s="14"/>
    </row>
    <row r="20" spans="1:16" ht="12.6" customHeight="1" x14ac:dyDescent="0.2">
      <c r="A20" s="405"/>
      <c r="B20" s="405"/>
      <c r="C20" s="405"/>
      <c r="D20" s="405"/>
      <c r="E20" s="406"/>
      <c r="F20" s="405"/>
      <c r="G20" s="407"/>
      <c r="H20" s="407"/>
      <c r="I20" s="407"/>
      <c r="J20" s="408"/>
      <c r="K20" s="405"/>
      <c r="L20" s="410">
        <f>VLOOKUP(K20+(COUNTIF('Start Character'!$A$63:$E$77,"Flawless Magic")*5),Calcs!$Q$4:$R$24,2,TRUE)</f>
        <v>0</v>
      </c>
      <c r="M20" s="409"/>
      <c r="N20" s="405"/>
      <c r="O20" s="409"/>
      <c r="P20" s="14"/>
    </row>
    <row r="21" spans="1:16" ht="12.6" customHeight="1" x14ac:dyDescent="0.2">
      <c r="A21" s="405"/>
      <c r="B21" s="405"/>
      <c r="C21" s="405"/>
      <c r="D21" s="405"/>
      <c r="E21" s="406"/>
      <c r="F21" s="405"/>
      <c r="G21" s="407"/>
      <c r="H21" s="407"/>
      <c r="I21" s="407"/>
      <c r="J21" s="408"/>
      <c r="K21" s="405"/>
      <c r="L21" s="410">
        <f>VLOOKUP(K21+(COUNTIF('Start Character'!$A$63:$E$77,"Flawless Magic")*5),Calcs!$Q$4:$R$24,2,TRUE)</f>
        <v>0</v>
      </c>
      <c r="M21" s="409"/>
      <c r="N21" s="405"/>
      <c r="O21" s="409"/>
      <c r="P21" s="14"/>
    </row>
    <row r="22" spans="1:16" ht="12.6" customHeight="1" x14ac:dyDescent="0.2">
      <c r="A22" s="405"/>
      <c r="B22" s="405"/>
      <c r="C22" s="405"/>
      <c r="D22" s="405"/>
      <c r="E22" s="406"/>
      <c r="F22" s="405"/>
      <c r="G22" s="407"/>
      <c r="H22" s="407"/>
      <c r="I22" s="407"/>
      <c r="J22" s="408"/>
      <c r="K22" s="405"/>
      <c r="L22" s="410">
        <f>VLOOKUP(K22+(COUNTIF('Start Character'!$A$63:$E$77,"Flawless Magic")*5),Calcs!$Q$4:$R$24,2,TRUE)</f>
        <v>0</v>
      </c>
      <c r="M22" s="409"/>
      <c r="N22" s="405"/>
      <c r="O22" s="409"/>
      <c r="P22" s="14"/>
    </row>
    <row r="23" spans="1:16" ht="12.6" customHeight="1" x14ac:dyDescent="0.2">
      <c r="A23" s="405"/>
      <c r="B23" s="405"/>
      <c r="C23" s="405"/>
      <c r="D23" s="405"/>
      <c r="E23" s="406"/>
      <c r="F23" s="405"/>
      <c r="G23" s="407"/>
      <c r="H23" s="407"/>
      <c r="I23" s="407"/>
      <c r="J23" s="408"/>
      <c r="K23" s="405"/>
      <c r="L23" s="410">
        <f>VLOOKUP(K23+(COUNTIF('Start Character'!$A$63:$E$77,"Flawless Magic")*5),Calcs!$Q$4:$R$24,2,TRUE)</f>
        <v>0</v>
      </c>
      <c r="M23" s="409"/>
      <c r="N23" s="405"/>
      <c r="O23" s="409"/>
      <c r="P23" s="14"/>
    </row>
    <row r="24" spans="1:16" ht="12.6" customHeight="1" x14ac:dyDescent="0.2">
      <c r="A24" s="405"/>
      <c r="B24" s="405"/>
      <c r="C24" s="405"/>
      <c r="D24" s="405"/>
      <c r="E24" s="406"/>
      <c r="F24" s="405"/>
      <c r="G24" s="407"/>
      <c r="H24" s="407"/>
      <c r="I24" s="407"/>
      <c r="J24" s="408"/>
      <c r="K24" s="405"/>
      <c r="L24" s="410">
        <f>VLOOKUP(K24+(COUNTIF('Start Character'!$A$63:$E$77,"Flawless Magic")*5),Calcs!$Q$4:$R$24,2,TRUE)</f>
        <v>0</v>
      </c>
      <c r="M24" s="409"/>
      <c r="N24" s="405"/>
      <c r="O24" s="409"/>
      <c r="P24" s="14"/>
    </row>
    <row r="25" spans="1:16" ht="12.6" customHeight="1" x14ac:dyDescent="0.2">
      <c r="A25" s="405"/>
      <c r="B25" s="405"/>
      <c r="C25" s="405"/>
      <c r="D25" s="405"/>
      <c r="E25" s="406"/>
      <c r="F25" s="405"/>
      <c r="G25" s="407"/>
      <c r="H25" s="407"/>
      <c r="I25" s="407"/>
      <c r="J25" s="408"/>
      <c r="K25" s="405"/>
      <c r="L25" s="410">
        <f>VLOOKUP(K25+(COUNTIF('Start Character'!$A$63:$E$77,"Flawless Magic")*5),Calcs!$Q$4:$R$24,2,TRUE)</f>
        <v>0</v>
      </c>
      <c r="M25" s="409"/>
      <c r="N25" s="405"/>
      <c r="O25" s="409"/>
      <c r="P25" s="14"/>
    </row>
    <row r="26" spans="1:16" ht="12.6" customHeight="1" x14ac:dyDescent="0.2">
      <c r="A26" s="381"/>
      <c r="B26" s="405"/>
      <c r="C26" s="405"/>
      <c r="D26" s="405"/>
      <c r="E26" s="406"/>
      <c r="F26" s="405"/>
      <c r="G26" s="407"/>
      <c r="H26" s="407"/>
      <c r="I26" s="407"/>
      <c r="J26" s="408"/>
      <c r="K26" s="405"/>
      <c r="L26" s="410">
        <f>VLOOKUP(K26+(COUNTIF('Start Character'!$A$63:$E$77,"Flawless Magic")*5),Calcs!$Q$4:$R$24,2,TRUE)</f>
        <v>0</v>
      </c>
      <c r="M26" s="409"/>
      <c r="N26" s="405"/>
      <c r="O26" s="409"/>
      <c r="P26" s="14"/>
    </row>
    <row r="27" spans="1:16" ht="12.6" customHeight="1" x14ac:dyDescent="0.2">
      <c r="A27" s="405"/>
      <c r="B27" s="405"/>
      <c r="C27" s="405"/>
      <c r="D27" s="405"/>
      <c r="E27" s="406"/>
      <c r="F27" s="405"/>
      <c r="G27" s="407"/>
      <c r="H27" s="407"/>
      <c r="I27" s="407"/>
      <c r="J27" s="408"/>
      <c r="K27" s="405"/>
      <c r="L27" s="410">
        <f>VLOOKUP(K27+(COUNTIF('Start Character'!$A$63:$E$77,"Flawless Magic")*5),Calcs!$Q$4:$R$24,2,TRUE)</f>
        <v>0</v>
      </c>
      <c r="M27" s="409"/>
      <c r="N27" s="405"/>
      <c r="O27" s="409"/>
      <c r="P27" s="14"/>
    </row>
    <row r="28" spans="1:16" ht="12.6" customHeight="1" x14ac:dyDescent="0.2">
      <c r="A28" s="405"/>
      <c r="B28" s="405"/>
      <c r="C28" s="405"/>
      <c r="D28" s="405"/>
      <c r="E28" s="406"/>
      <c r="F28" s="405"/>
      <c r="G28" s="407"/>
      <c r="H28" s="407"/>
      <c r="I28" s="407"/>
      <c r="J28" s="408"/>
      <c r="K28" s="405"/>
      <c r="L28" s="410">
        <f>VLOOKUP(K28+(COUNTIF('Start Character'!$A$63:$E$77,"Flawless Magic")*5),Calcs!$Q$4:$R$24,2,TRUE)</f>
        <v>0</v>
      </c>
      <c r="M28" s="409"/>
      <c r="N28" s="405"/>
      <c r="O28" s="409"/>
      <c r="P28" s="14"/>
    </row>
    <row r="29" spans="1:16" ht="12.6" customHeight="1" x14ac:dyDescent="0.2">
      <c r="A29" s="405"/>
      <c r="B29" s="405"/>
      <c r="C29" s="405"/>
      <c r="D29" s="405"/>
      <c r="E29" s="406"/>
      <c r="F29" s="405"/>
      <c r="G29" s="407"/>
      <c r="H29" s="407"/>
      <c r="I29" s="407"/>
      <c r="J29" s="408"/>
      <c r="K29" s="405"/>
      <c r="L29" s="410">
        <f>VLOOKUP(K29+(COUNTIF('Start Character'!$A$63:$E$77,"Flawless Magic")*5),Calcs!$Q$4:$R$24,2,TRUE)</f>
        <v>0</v>
      </c>
      <c r="M29" s="409"/>
      <c r="N29" s="405"/>
      <c r="O29" s="409"/>
      <c r="P29" s="14"/>
    </row>
    <row r="30" spans="1:16" ht="12.6" customHeight="1" x14ac:dyDescent="0.2">
      <c r="A30" s="405"/>
      <c r="B30" s="405"/>
      <c r="C30" s="405"/>
      <c r="D30" s="405"/>
      <c r="E30" s="406"/>
      <c r="F30" s="405"/>
      <c r="G30" s="407"/>
      <c r="H30" s="407"/>
      <c r="I30" s="407"/>
      <c r="J30" s="408"/>
      <c r="K30" s="405"/>
      <c r="L30" s="410">
        <f>VLOOKUP(K30+(COUNTIF('Start Character'!$A$63:$E$77,"Flawless Magic")*5),Calcs!$Q$4:$R$24,2,TRUE)</f>
        <v>0</v>
      </c>
      <c r="M30" s="409"/>
      <c r="N30" s="405"/>
      <c r="O30" s="409"/>
      <c r="P30" s="14"/>
    </row>
    <row r="31" spans="1:16" ht="12.6" customHeight="1" x14ac:dyDescent="0.2">
      <c r="A31" s="405"/>
      <c r="B31" s="405"/>
      <c r="C31" s="405"/>
      <c r="D31" s="405"/>
      <c r="E31" s="406"/>
      <c r="F31" s="405"/>
      <c r="G31" s="407"/>
      <c r="H31" s="407"/>
      <c r="I31" s="407"/>
      <c r="J31" s="408"/>
      <c r="K31" s="405"/>
      <c r="L31" s="410">
        <f>VLOOKUP(K31+(COUNTIF('Start Character'!$A$63:$E$77,"Flawless Magic")*5),Calcs!$Q$4:$R$24,2,TRUE)</f>
        <v>0</v>
      </c>
      <c r="M31" s="409"/>
      <c r="N31" s="405"/>
      <c r="O31" s="409"/>
      <c r="P31" s="14"/>
    </row>
    <row r="32" spans="1:16" ht="12.6" customHeight="1" x14ac:dyDescent="0.2">
      <c r="A32" s="405"/>
      <c r="B32" s="405"/>
      <c r="C32" s="405"/>
      <c r="D32" s="405"/>
      <c r="E32" s="406"/>
      <c r="F32" s="405"/>
      <c r="G32" s="407"/>
      <c r="H32" s="407"/>
      <c r="I32" s="407"/>
      <c r="J32" s="408"/>
      <c r="K32" s="405"/>
      <c r="L32" s="410">
        <f>VLOOKUP(K32+(COUNTIF('Start Character'!$A$63:$E$77,"Flawless Magic")*5),Calcs!$Q$4:$R$24,2,TRUE)</f>
        <v>0</v>
      </c>
      <c r="M32" s="409"/>
      <c r="N32" s="405"/>
      <c r="O32" s="409"/>
      <c r="P32" s="14"/>
    </row>
    <row r="33" spans="1:16" ht="12.6" customHeight="1" x14ac:dyDescent="0.2">
      <c r="A33" s="405"/>
      <c r="B33" s="405"/>
      <c r="C33" s="405"/>
      <c r="D33" s="405"/>
      <c r="E33" s="406"/>
      <c r="F33" s="405"/>
      <c r="G33" s="407"/>
      <c r="H33" s="407"/>
      <c r="I33" s="407"/>
      <c r="J33" s="408"/>
      <c r="K33" s="405"/>
      <c r="L33" s="410">
        <f>VLOOKUP(K33+(COUNTIF('Start Character'!$A$63:$E$77,"Flawless Magic")*5),Calcs!$Q$4:$R$24,2,TRUE)</f>
        <v>0</v>
      </c>
      <c r="M33" s="409"/>
      <c r="N33" s="405"/>
      <c r="O33" s="409"/>
      <c r="P33" s="14"/>
    </row>
    <row r="34" spans="1:16" ht="12.6" customHeight="1" x14ac:dyDescent="0.2">
      <c r="A34" s="405"/>
      <c r="B34" s="405"/>
      <c r="C34" s="405"/>
      <c r="D34" s="405"/>
      <c r="E34" s="406"/>
      <c r="F34" s="405"/>
      <c r="G34" s="407"/>
      <c r="H34" s="407"/>
      <c r="I34" s="407"/>
      <c r="J34" s="408"/>
      <c r="K34" s="405"/>
      <c r="L34" s="410">
        <f>VLOOKUP(K34+(COUNTIF('Start Character'!$A$63:$E$77,"Flawless Magic")*5),Calcs!$Q$4:$R$24,2,TRUE)</f>
        <v>0</v>
      </c>
      <c r="M34" s="409"/>
      <c r="N34" s="405"/>
      <c r="O34" s="409"/>
      <c r="P34" s="14"/>
    </row>
    <row r="35" spans="1:16" ht="12.6" customHeight="1" x14ac:dyDescent="0.2">
      <c r="A35" s="405"/>
      <c r="B35" s="405"/>
      <c r="C35" s="405"/>
      <c r="D35" s="405"/>
      <c r="E35" s="406"/>
      <c r="F35" s="405"/>
      <c r="G35" s="407"/>
      <c r="H35" s="407"/>
      <c r="I35" s="407"/>
      <c r="J35" s="408"/>
      <c r="K35" s="405"/>
      <c r="L35" s="410">
        <f>VLOOKUP(K35+(COUNTIF('Start Character'!$A$63:$E$77,"Flawless Magic")*5),Calcs!$Q$4:$R$24,2,TRUE)</f>
        <v>0</v>
      </c>
      <c r="M35" s="409"/>
      <c r="N35" s="405"/>
      <c r="O35" s="409"/>
      <c r="P35" s="14"/>
    </row>
    <row r="36" spans="1:16" ht="12.6" customHeight="1" x14ac:dyDescent="0.2">
      <c r="A36" s="409"/>
      <c r="B36" s="405"/>
      <c r="C36" s="405"/>
      <c r="D36" s="405"/>
      <c r="E36" s="406"/>
      <c r="F36" s="405"/>
      <c r="G36" s="407"/>
      <c r="H36" s="407"/>
      <c r="I36" s="407"/>
      <c r="J36" s="408"/>
      <c r="K36" s="405"/>
      <c r="L36" s="410">
        <f>VLOOKUP(K36+(COUNTIF('Start Character'!$A$63:$E$77,"Flawless Magic")*5),Calcs!$Q$4:$R$24,2,TRUE)</f>
        <v>0</v>
      </c>
      <c r="M36" s="409"/>
      <c r="N36" s="405"/>
      <c r="O36" s="409"/>
      <c r="P36" s="14"/>
    </row>
    <row r="37" spans="1:16" ht="12.6" customHeight="1" x14ac:dyDescent="0.2">
      <c r="A37" s="409"/>
      <c r="B37" s="405"/>
      <c r="C37" s="405"/>
      <c r="D37" s="405"/>
      <c r="E37" s="406"/>
      <c r="F37" s="405"/>
      <c r="G37" s="407"/>
      <c r="H37" s="407"/>
      <c r="I37" s="407"/>
      <c r="J37" s="408"/>
      <c r="K37" s="405"/>
      <c r="L37" s="410">
        <f>VLOOKUP(K37+(COUNTIF('Start Character'!$A$63:$E$77,"Flawless Magic")*5),Calcs!$Q$4:$R$24,2,TRUE)</f>
        <v>0</v>
      </c>
      <c r="M37" s="409"/>
      <c r="N37" s="405"/>
      <c r="O37" s="409"/>
      <c r="P37" s="14"/>
    </row>
    <row r="38" spans="1:16" ht="12.6" customHeight="1" x14ac:dyDescent="0.2">
      <c r="A38" s="405"/>
      <c r="B38" s="405"/>
      <c r="C38" s="405"/>
      <c r="D38" s="405"/>
      <c r="E38" s="406"/>
      <c r="F38" s="405"/>
      <c r="G38" s="407"/>
      <c r="H38" s="407"/>
      <c r="I38" s="407"/>
      <c r="J38" s="408"/>
      <c r="K38" s="405"/>
      <c r="L38" s="410">
        <f>VLOOKUP(K38+(COUNTIF('Start Character'!$A$63:$E$77,"Flawless Magic")*5),Calcs!$Q$4:$R$24,2,TRUE)</f>
        <v>0</v>
      </c>
      <c r="M38" s="409"/>
      <c r="N38" s="405"/>
      <c r="O38" s="409"/>
      <c r="P38" s="14"/>
    </row>
    <row r="39" spans="1:16" ht="12.6" customHeight="1" x14ac:dyDescent="0.2">
      <c r="A39" s="405"/>
      <c r="B39" s="405"/>
      <c r="C39" s="405"/>
      <c r="D39" s="405"/>
      <c r="E39" s="406"/>
      <c r="F39" s="405"/>
      <c r="G39" s="407"/>
      <c r="H39" s="407"/>
      <c r="I39" s="407"/>
      <c r="J39" s="408"/>
      <c r="K39" s="405"/>
      <c r="L39" s="410">
        <f>VLOOKUP(K39+(COUNTIF('Start Character'!$A$63:$E$77,"Flawless Magic")*5),Calcs!$Q$4:$R$24,2,TRUE)</f>
        <v>0</v>
      </c>
      <c r="M39" s="409"/>
      <c r="N39" s="405"/>
      <c r="O39" s="409"/>
      <c r="P39" s="14"/>
    </row>
    <row r="40" spans="1:16" ht="12.6" customHeight="1" x14ac:dyDescent="0.2">
      <c r="A40" s="409"/>
      <c r="B40" s="405"/>
      <c r="C40" s="405"/>
      <c r="D40" s="405"/>
      <c r="E40" s="406"/>
      <c r="F40" s="405"/>
      <c r="G40" s="407"/>
      <c r="H40" s="407"/>
      <c r="I40" s="407"/>
      <c r="J40" s="408"/>
      <c r="K40" s="405"/>
      <c r="L40" s="410">
        <f>VLOOKUP(K40+(COUNTIF('Start Character'!$A$63:$E$77,"Flawless Magic")*5),Calcs!$Q$4:$R$24,2,TRUE)</f>
        <v>0</v>
      </c>
      <c r="M40" s="409"/>
      <c r="N40" s="405"/>
      <c r="O40" s="409"/>
      <c r="P40" s="14"/>
    </row>
    <row r="41" spans="1:16" ht="12.6" customHeight="1" x14ac:dyDescent="0.2">
      <c r="A41" s="409"/>
      <c r="B41" s="405"/>
      <c r="C41" s="405"/>
      <c r="D41" s="405"/>
      <c r="E41" s="406"/>
      <c r="F41" s="405"/>
      <c r="G41" s="407"/>
      <c r="H41" s="407"/>
      <c r="I41" s="407"/>
      <c r="J41" s="408"/>
      <c r="K41" s="405"/>
      <c r="L41" s="410">
        <f>VLOOKUP(K41+(COUNTIF('Start Character'!$A$63:$E$77,"Flawless Magic")*5),Calcs!$Q$4:$R$24,2,TRUE)</f>
        <v>0</v>
      </c>
      <c r="M41" s="409"/>
      <c r="N41" s="405"/>
      <c r="O41" s="409"/>
      <c r="P41" s="14"/>
    </row>
    <row r="42" spans="1:16" ht="12.6" customHeight="1" x14ac:dyDescent="0.2">
      <c r="A42" s="405"/>
      <c r="B42" s="405"/>
      <c r="C42" s="405"/>
      <c r="D42" s="405"/>
      <c r="E42" s="406"/>
      <c r="F42" s="405"/>
      <c r="G42" s="407"/>
      <c r="H42" s="407"/>
      <c r="I42" s="407"/>
      <c r="J42" s="408"/>
      <c r="K42" s="405"/>
      <c r="L42" s="410">
        <f>VLOOKUP(K42+(COUNTIF('Start Character'!$A$63:$E$77,"Flawless Magic")*5),Calcs!$Q$4:$R$24,2,TRUE)</f>
        <v>0</v>
      </c>
      <c r="M42" s="409"/>
      <c r="N42" s="405"/>
      <c r="O42" s="409"/>
      <c r="P42" s="14"/>
    </row>
    <row r="43" spans="1:16" ht="12.6" customHeight="1" x14ac:dyDescent="0.2">
      <c r="A43" s="405"/>
      <c r="B43" s="405"/>
      <c r="C43" s="405"/>
      <c r="D43" s="405"/>
      <c r="E43" s="406"/>
      <c r="F43" s="405"/>
      <c r="G43" s="407"/>
      <c r="H43" s="407"/>
      <c r="I43" s="407"/>
      <c r="J43" s="408"/>
      <c r="K43" s="405"/>
      <c r="L43" s="410">
        <f>VLOOKUP(K43+(COUNTIF('Start Character'!$A$63:$E$77,"Flawless Magic")*5),Calcs!$Q$4:$R$24,2,TRUE)</f>
        <v>0</v>
      </c>
      <c r="M43" s="409"/>
      <c r="N43" s="405"/>
      <c r="O43" s="409"/>
      <c r="P43" s="14"/>
    </row>
    <row r="44" spans="1:16" ht="12.6" customHeight="1" x14ac:dyDescent="0.2">
      <c r="A44" s="405"/>
      <c r="B44" s="405"/>
      <c r="C44" s="405"/>
      <c r="D44" s="405"/>
      <c r="E44" s="406"/>
      <c r="F44" s="405"/>
      <c r="G44" s="407"/>
      <c r="H44" s="407"/>
      <c r="I44" s="407"/>
      <c r="J44" s="408"/>
      <c r="K44" s="405"/>
      <c r="L44" s="410">
        <f>VLOOKUP(K44+(COUNTIF('Start Character'!$A$63:$E$77,"Flawless Magic")*5),Calcs!$Q$4:$R$24,2,TRUE)</f>
        <v>0</v>
      </c>
      <c r="M44" s="409"/>
      <c r="N44" s="405"/>
      <c r="O44" s="409"/>
      <c r="P44" s="14"/>
    </row>
    <row r="45" spans="1:16" ht="12.6" customHeight="1" x14ac:dyDescent="0.2">
      <c r="A45" s="405"/>
      <c r="B45" s="405"/>
      <c r="C45" s="405"/>
      <c r="D45" s="405"/>
      <c r="E45" s="406"/>
      <c r="F45" s="405"/>
      <c r="G45" s="407"/>
      <c r="H45" s="407"/>
      <c r="I45" s="407"/>
      <c r="J45" s="408"/>
      <c r="K45" s="405"/>
      <c r="L45" s="410">
        <f>VLOOKUP(K45+(COUNTIF('Start Character'!$A$63:$E$77,"Flawless Magic")*5),Calcs!$Q$4:$R$24,2,TRUE)</f>
        <v>0</v>
      </c>
      <c r="M45" s="409"/>
      <c r="N45" s="405"/>
      <c r="O45" s="409"/>
      <c r="P45" s="14"/>
    </row>
    <row r="46" spans="1:16" ht="12.6" customHeight="1" x14ac:dyDescent="0.2">
      <c r="A46" s="405"/>
      <c r="B46" s="405"/>
      <c r="C46" s="405"/>
      <c r="D46" s="405"/>
      <c r="E46" s="406"/>
      <c r="F46" s="405"/>
      <c r="G46" s="407"/>
      <c r="H46" s="407"/>
      <c r="I46" s="407"/>
      <c r="J46" s="408"/>
      <c r="K46" s="405"/>
      <c r="L46" s="410">
        <f>VLOOKUP(K46+(COUNTIF('Start Character'!$A$63:$E$77,"Flawless Magic")*5),Calcs!$Q$4:$R$24,2,TRUE)</f>
        <v>0</v>
      </c>
      <c r="M46" s="409"/>
      <c r="N46" s="405"/>
      <c r="O46" s="409"/>
      <c r="P46" s="14"/>
    </row>
    <row r="47" spans="1:16" ht="12.6" customHeight="1" x14ac:dyDescent="0.2">
      <c r="A47" s="405"/>
      <c r="B47" s="405"/>
      <c r="C47" s="405"/>
      <c r="D47" s="405"/>
      <c r="E47" s="406"/>
      <c r="F47" s="405"/>
      <c r="G47" s="407"/>
      <c r="H47" s="407"/>
      <c r="I47" s="407"/>
      <c r="J47" s="408"/>
      <c r="K47" s="405"/>
      <c r="L47" s="410">
        <f>VLOOKUP(K47+(COUNTIF('Start Character'!$A$63:$E$77,"Flawless Magic")*5),Calcs!$Q$4:$R$24,2,TRUE)</f>
        <v>0</v>
      </c>
      <c r="M47" s="409"/>
      <c r="N47" s="405"/>
      <c r="O47" s="409"/>
      <c r="P47" s="14"/>
    </row>
    <row r="48" spans="1:16" ht="12.6" customHeight="1" x14ac:dyDescent="0.2">
      <c r="A48" s="405"/>
      <c r="B48" s="405"/>
      <c r="C48" s="405"/>
      <c r="D48" s="405"/>
      <c r="E48" s="406"/>
      <c r="F48" s="405"/>
      <c r="G48" s="407"/>
      <c r="H48" s="407"/>
      <c r="I48" s="407"/>
      <c r="J48" s="408"/>
      <c r="K48" s="405"/>
      <c r="L48" s="410">
        <f>VLOOKUP(K48+(COUNTIF('Start Character'!$A$63:$E$77,"Flawless Magic")*5),Calcs!$Q$4:$R$24,2,TRUE)</f>
        <v>0</v>
      </c>
      <c r="M48" s="409"/>
      <c r="N48" s="405"/>
      <c r="O48" s="409"/>
      <c r="P48" s="14"/>
    </row>
    <row r="49" spans="1:16" ht="12.6" customHeight="1" x14ac:dyDescent="0.2">
      <c r="A49" s="409"/>
      <c r="B49" s="405"/>
      <c r="C49" s="405"/>
      <c r="D49" s="405"/>
      <c r="E49" s="406"/>
      <c r="F49" s="405"/>
      <c r="G49" s="407"/>
      <c r="H49" s="407"/>
      <c r="I49" s="407"/>
      <c r="J49" s="408"/>
      <c r="K49" s="405"/>
      <c r="L49" s="410">
        <f>VLOOKUP(K49+(COUNTIF('Start Character'!$A$63:$E$77,"Flawless Magic")*5),Calcs!$Q$4:$R$24,2,TRUE)</f>
        <v>0</v>
      </c>
      <c r="M49" s="409"/>
      <c r="N49" s="405"/>
      <c r="O49" s="409"/>
      <c r="P49" s="14"/>
    </row>
    <row r="50" spans="1:16" ht="12.6" customHeight="1" x14ac:dyDescent="0.2">
      <c r="A50" s="409"/>
      <c r="B50" s="405"/>
      <c r="C50" s="405"/>
      <c r="D50" s="405"/>
      <c r="E50" s="406"/>
      <c r="F50" s="405"/>
      <c r="G50" s="407"/>
      <c r="H50" s="407"/>
      <c r="I50" s="407"/>
      <c r="J50" s="408"/>
      <c r="K50" s="405"/>
      <c r="L50" s="410">
        <f>VLOOKUP(K50+(COUNTIF('Start Character'!$A$63:$E$77,"Flawless Magic")*5),Calcs!$Q$4:$R$24,2,TRUE)</f>
        <v>0</v>
      </c>
      <c r="M50" s="409"/>
      <c r="N50" s="405"/>
      <c r="O50" s="409"/>
      <c r="P50" s="14"/>
    </row>
    <row r="51" spans="1:16" ht="12.6" customHeight="1" x14ac:dyDescent="0.2">
      <c r="A51" s="405"/>
      <c r="B51" s="405"/>
      <c r="C51" s="405"/>
      <c r="D51" s="405"/>
      <c r="E51" s="406"/>
      <c r="F51" s="405"/>
      <c r="G51" s="407"/>
      <c r="H51" s="407"/>
      <c r="I51" s="407"/>
      <c r="J51" s="408"/>
      <c r="K51" s="405"/>
      <c r="L51" s="410">
        <f>VLOOKUP(K51+(COUNTIF('Start Character'!$A$63:$E$77,"Flawless Magic")*5),Calcs!$Q$4:$R$24,2,TRUE)</f>
        <v>0</v>
      </c>
      <c r="M51" s="409"/>
      <c r="N51" s="405"/>
      <c r="O51" s="409"/>
      <c r="P51" s="14"/>
    </row>
    <row r="52" spans="1:16" ht="12.6" customHeight="1" x14ac:dyDescent="0.2">
      <c r="A52" s="405"/>
      <c r="B52" s="405"/>
      <c r="C52" s="405"/>
      <c r="D52" s="405"/>
      <c r="E52" s="406"/>
      <c r="F52" s="405"/>
      <c r="G52" s="407"/>
      <c r="H52" s="407"/>
      <c r="I52" s="407"/>
      <c r="J52" s="408"/>
      <c r="K52" s="405"/>
      <c r="L52" s="410">
        <f>VLOOKUP(K52+(COUNTIF('Start Character'!$A$63:$E$77,"Flawless Magic")*5),Calcs!$Q$4:$R$24,2,TRUE)</f>
        <v>0</v>
      </c>
      <c r="M52" s="409"/>
      <c r="N52" s="405"/>
      <c r="O52" s="409"/>
      <c r="P52" s="14"/>
    </row>
    <row r="53" spans="1:16" ht="12.6" customHeight="1" x14ac:dyDescent="0.2">
      <c r="A53" s="405"/>
      <c r="B53" s="405"/>
      <c r="C53" s="405"/>
      <c r="D53" s="405"/>
      <c r="E53" s="406"/>
      <c r="F53" s="405"/>
      <c r="G53" s="407"/>
      <c r="H53" s="407"/>
      <c r="I53" s="407"/>
      <c r="J53" s="408"/>
      <c r="K53" s="405"/>
      <c r="L53" s="410">
        <f>VLOOKUP(K53+(COUNTIF('Start Character'!$A$63:$E$77,"Flawless Magic")*5),Calcs!$Q$4:$R$24,2,TRUE)</f>
        <v>0</v>
      </c>
      <c r="M53" s="409"/>
      <c r="N53" s="405"/>
      <c r="O53" s="409"/>
      <c r="P53" s="14"/>
    </row>
    <row r="54" spans="1:16" ht="12.6" customHeight="1" x14ac:dyDescent="0.2">
      <c r="A54" s="405"/>
      <c r="B54" s="405"/>
      <c r="C54" s="405"/>
      <c r="D54" s="405"/>
      <c r="E54" s="406"/>
      <c r="F54" s="405"/>
      <c r="G54" s="407"/>
      <c r="H54" s="407"/>
      <c r="I54" s="407"/>
      <c r="J54" s="408"/>
      <c r="K54" s="405"/>
      <c r="L54" s="410">
        <f>VLOOKUP(K54+(COUNTIF('Start Character'!$A$63:$E$77,"Flawless Magic")*5),Calcs!$Q$4:$R$24,2,TRUE)</f>
        <v>0</v>
      </c>
      <c r="M54" s="409"/>
      <c r="N54" s="405"/>
      <c r="O54" s="409"/>
      <c r="P54" s="14"/>
    </row>
    <row r="55" spans="1:16" ht="12.6" customHeight="1" x14ac:dyDescent="0.2">
      <c r="A55" s="405"/>
      <c r="B55" s="405"/>
      <c r="C55" s="405"/>
      <c r="D55" s="405"/>
      <c r="E55" s="406"/>
      <c r="F55" s="405"/>
      <c r="G55" s="407"/>
      <c r="H55" s="407"/>
      <c r="I55" s="407"/>
      <c r="J55" s="408"/>
      <c r="K55" s="405"/>
      <c r="L55" s="410">
        <f>VLOOKUP(K55+(COUNTIF('Start Character'!$A$63:$E$77,"Flawless Magic")*5),Calcs!$Q$4:$R$24,2,TRUE)</f>
        <v>0</v>
      </c>
      <c r="M55" s="409"/>
      <c r="N55" s="405"/>
      <c r="O55" s="409"/>
      <c r="P55" s="14"/>
    </row>
    <row r="56" spans="1:16" ht="12.6" customHeight="1" x14ac:dyDescent="0.2">
      <c r="A56" s="405"/>
      <c r="B56" s="405"/>
      <c r="C56" s="405"/>
      <c r="D56" s="405"/>
      <c r="E56" s="406"/>
      <c r="F56" s="405"/>
      <c r="G56" s="407"/>
      <c r="H56" s="407"/>
      <c r="I56" s="407"/>
      <c r="J56" s="408"/>
      <c r="K56" s="405"/>
      <c r="L56" s="410">
        <f>VLOOKUP(K56+(COUNTIF('Start Character'!$A$63:$E$77,"Flawless Magic")*5),Calcs!$Q$4:$R$24,2,TRUE)</f>
        <v>0</v>
      </c>
      <c r="M56" s="409"/>
      <c r="N56" s="405"/>
      <c r="O56" s="409"/>
      <c r="P56" s="14"/>
    </row>
    <row r="57" spans="1:16" ht="12.6" customHeight="1" x14ac:dyDescent="0.2">
      <c r="A57" s="405"/>
      <c r="B57" s="405"/>
      <c r="C57" s="405"/>
      <c r="D57" s="405"/>
      <c r="E57" s="406"/>
      <c r="F57" s="405"/>
      <c r="G57" s="407"/>
      <c r="H57" s="407"/>
      <c r="I57" s="407"/>
      <c r="J57" s="408"/>
      <c r="K57" s="405"/>
      <c r="L57" s="410">
        <f>VLOOKUP(K57+(COUNTIF('Start Character'!$A$63:$E$77,"Flawless Magic")*5),Calcs!$Q$4:$R$24,2,TRUE)</f>
        <v>0</v>
      </c>
      <c r="M57" s="409"/>
      <c r="N57" s="405"/>
      <c r="O57" s="409"/>
      <c r="P57" s="14"/>
    </row>
    <row r="58" spans="1:16" ht="12.6" customHeight="1" x14ac:dyDescent="0.2">
      <c r="A58" s="405"/>
      <c r="B58" s="405"/>
      <c r="C58" s="405"/>
      <c r="D58" s="405"/>
      <c r="E58" s="406"/>
      <c r="F58" s="405"/>
      <c r="G58" s="407"/>
      <c r="H58" s="407"/>
      <c r="I58" s="407"/>
      <c r="J58" s="408"/>
      <c r="K58" s="405"/>
      <c r="L58" s="410">
        <f>VLOOKUP(K58+(COUNTIF('Start Character'!$A$63:$E$77,"Flawless Magic")*5),Calcs!$Q$4:$R$24,2,TRUE)</f>
        <v>0</v>
      </c>
      <c r="M58" s="409"/>
      <c r="N58" s="405"/>
      <c r="O58" s="409"/>
      <c r="P58" s="14"/>
    </row>
    <row r="59" spans="1:16" ht="12.6" customHeight="1" x14ac:dyDescent="0.2">
      <c r="A59" s="409"/>
      <c r="B59" s="405"/>
      <c r="C59" s="405"/>
      <c r="D59" s="405"/>
      <c r="E59" s="406"/>
      <c r="F59" s="405"/>
      <c r="G59" s="407"/>
      <c r="H59" s="407"/>
      <c r="I59" s="407"/>
      <c r="J59" s="408"/>
      <c r="K59" s="405"/>
      <c r="L59" s="410">
        <f>VLOOKUP(K59+(COUNTIF('Start Character'!$A$63:$E$77,"Flawless Magic")*5),Calcs!$Q$4:$R$24,2,TRUE)</f>
        <v>0</v>
      </c>
      <c r="M59" s="409"/>
      <c r="N59" s="405"/>
      <c r="O59" s="409"/>
      <c r="P59" s="14"/>
    </row>
    <row r="60" spans="1:16" ht="12.6" customHeight="1" x14ac:dyDescent="0.2">
      <c r="A60" s="409"/>
      <c r="B60" s="405"/>
      <c r="C60" s="405"/>
      <c r="D60" s="405"/>
      <c r="E60" s="406"/>
      <c r="F60" s="405"/>
      <c r="G60" s="407"/>
      <c r="H60" s="407"/>
      <c r="I60" s="407"/>
      <c r="J60" s="408"/>
      <c r="K60" s="405"/>
      <c r="L60" s="410">
        <f>VLOOKUP(K60+(COUNTIF('Start Character'!$A$63:$E$77,"Flawless Magic")*5),Calcs!$Q$4:$R$24,2,TRUE)</f>
        <v>0</v>
      </c>
      <c r="M60" s="409"/>
      <c r="N60" s="405"/>
      <c r="O60" s="409"/>
      <c r="P60" s="14"/>
    </row>
    <row r="61" spans="1:16" ht="12.6" customHeight="1" x14ac:dyDescent="0.2">
      <c r="A61" s="405"/>
      <c r="B61" s="405"/>
      <c r="C61" s="405"/>
      <c r="D61" s="405"/>
      <c r="E61" s="406"/>
      <c r="F61" s="405"/>
      <c r="G61" s="407"/>
      <c r="H61" s="407"/>
      <c r="I61" s="407"/>
      <c r="J61" s="408"/>
      <c r="K61" s="405"/>
      <c r="L61" s="410">
        <f>VLOOKUP(K61+(COUNTIF('Start Character'!$A$63:$E$77,"Flawless Magic")*5),Calcs!$Q$4:$R$24,2,TRUE)</f>
        <v>0</v>
      </c>
      <c r="M61" s="409"/>
      <c r="N61" s="405"/>
      <c r="O61" s="409"/>
      <c r="P61" s="14"/>
    </row>
    <row r="62" spans="1:16" ht="12.6" customHeight="1" x14ac:dyDescent="0.2">
      <c r="A62" s="405"/>
      <c r="B62" s="405"/>
      <c r="C62" s="405"/>
      <c r="D62" s="405"/>
      <c r="E62" s="406"/>
      <c r="F62" s="405"/>
      <c r="G62" s="407"/>
      <c r="H62" s="407"/>
      <c r="I62" s="407"/>
      <c r="J62" s="408"/>
      <c r="K62" s="405"/>
      <c r="L62" s="410">
        <f>VLOOKUP(K62+(COUNTIF('Start Character'!$A$63:$E$77,"Flawless Magic")*5),Calcs!$Q$4:$R$24,2,TRUE)</f>
        <v>0</v>
      </c>
      <c r="M62" s="409"/>
      <c r="N62" s="405"/>
      <c r="O62" s="409"/>
      <c r="P62" s="14"/>
    </row>
    <row r="63" spans="1:16" ht="12.6" customHeight="1" x14ac:dyDescent="0.2">
      <c r="A63" s="405"/>
      <c r="B63" s="405"/>
      <c r="C63" s="405"/>
      <c r="D63" s="405"/>
      <c r="E63" s="406"/>
      <c r="F63" s="405"/>
      <c r="G63" s="407"/>
      <c r="H63" s="407"/>
      <c r="I63" s="407"/>
      <c r="J63" s="408"/>
      <c r="K63" s="405"/>
      <c r="L63" s="410">
        <f>VLOOKUP(K63+(COUNTIF('Start Character'!$A$63:$E$77,"Flawless Magic")*5),Calcs!$Q$4:$R$24,2,TRUE)</f>
        <v>0</v>
      </c>
      <c r="M63" s="409"/>
      <c r="N63" s="405"/>
      <c r="O63" s="409"/>
      <c r="P63" s="14"/>
    </row>
    <row r="64" spans="1:16" ht="12.6" customHeight="1" x14ac:dyDescent="0.2">
      <c r="A64" s="405"/>
      <c r="B64" s="405"/>
      <c r="C64" s="405"/>
      <c r="D64" s="405"/>
      <c r="E64" s="406"/>
      <c r="F64" s="405"/>
      <c r="G64" s="407"/>
      <c r="H64" s="407"/>
      <c r="I64" s="407"/>
      <c r="J64" s="408"/>
      <c r="K64" s="405"/>
      <c r="L64" s="410">
        <f>VLOOKUP(K64+(COUNTIF('Start Character'!$A$63:$E$77,"Flawless Magic")*5),Calcs!$Q$4:$R$24,2,TRUE)</f>
        <v>0</v>
      </c>
      <c r="M64" s="409"/>
      <c r="N64" s="405"/>
      <c r="O64" s="409"/>
      <c r="P64" s="14"/>
    </row>
    <row r="65" spans="1:16" ht="12.6" customHeight="1" x14ac:dyDescent="0.2">
      <c r="A65" s="405"/>
      <c r="B65" s="405"/>
      <c r="C65" s="405"/>
      <c r="D65" s="405"/>
      <c r="E65" s="406"/>
      <c r="F65" s="405"/>
      <c r="G65" s="407"/>
      <c r="H65" s="407"/>
      <c r="I65" s="407"/>
      <c r="J65" s="408"/>
      <c r="K65" s="405"/>
      <c r="L65" s="410">
        <f>VLOOKUP(K65+(COUNTIF('Start Character'!$A$63:$E$77,"Flawless Magic")*5),Calcs!$Q$4:$R$24,2,TRUE)</f>
        <v>0</v>
      </c>
      <c r="M65" s="409"/>
      <c r="N65" s="405"/>
      <c r="O65" s="409"/>
      <c r="P65" s="14"/>
    </row>
    <row r="66" spans="1:16" ht="12.6" customHeight="1" x14ac:dyDescent="0.2">
      <c r="A66" s="405"/>
      <c r="B66" s="405"/>
      <c r="C66" s="405"/>
      <c r="D66" s="405"/>
      <c r="E66" s="406"/>
      <c r="F66" s="405"/>
      <c r="G66" s="407"/>
      <c r="H66" s="407"/>
      <c r="I66" s="407"/>
      <c r="J66" s="408"/>
      <c r="K66" s="405"/>
      <c r="L66" s="410">
        <f>VLOOKUP(K66+(COUNTIF('Start Character'!$A$63:$E$77,"Flawless Magic")*5),Calcs!$Q$4:$R$24,2,TRUE)</f>
        <v>0</v>
      </c>
      <c r="M66" s="409"/>
      <c r="N66" s="405"/>
      <c r="O66" s="409"/>
      <c r="P66" s="14"/>
    </row>
    <row r="67" spans="1:16" ht="12.6" customHeight="1" x14ac:dyDescent="0.2">
      <c r="A67" s="405"/>
      <c r="B67" s="405"/>
      <c r="C67" s="405"/>
      <c r="D67" s="405"/>
      <c r="E67" s="406"/>
      <c r="F67" s="405"/>
      <c r="G67" s="407"/>
      <c r="H67" s="407"/>
      <c r="I67" s="407"/>
      <c r="J67" s="408"/>
      <c r="K67" s="405"/>
      <c r="L67" s="410">
        <f>VLOOKUP(K67+(COUNTIF('Start Character'!$A$63:$E$77,"Flawless Magic")*5),Calcs!$Q$4:$R$24,2,TRUE)</f>
        <v>0</v>
      </c>
      <c r="M67" s="409"/>
      <c r="N67" s="405"/>
      <c r="O67" s="409"/>
      <c r="P67" s="14"/>
    </row>
    <row r="68" spans="1:16" ht="12.6" customHeight="1" x14ac:dyDescent="0.2">
      <c r="A68" s="405"/>
      <c r="B68" s="405"/>
      <c r="C68" s="405"/>
      <c r="D68" s="405"/>
      <c r="E68" s="406"/>
      <c r="F68" s="405"/>
      <c r="G68" s="407"/>
      <c r="H68" s="407"/>
      <c r="I68" s="407"/>
      <c r="J68" s="408"/>
      <c r="K68" s="405"/>
      <c r="L68" s="410">
        <f>VLOOKUP(K68+(COUNTIF('Start Character'!$A$63:$E$77,"Flawless Magic")*5),Calcs!$Q$4:$R$24,2,TRUE)</f>
        <v>0</v>
      </c>
      <c r="M68" s="409"/>
      <c r="N68" s="405"/>
      <c r="O68" s="409"/>
      <c r="P68" s="14"/>
    </row>
    <row r="69" spans="1:16" ht="12.6" customHeight="1" x14ac:dyDescent="0.2">
      <c r="A69" s="405"/>
      <c r="B69" s="405"/>
      <c r="C69" s="405"/>
      <c r="D69" s="405"/>
      <c r="E69" s="406"/>
      <c r="F69" s="405"/>
      <c r="G69" s="407"/>
      <c r="H69" s="407"/>
      <c r="I69" s="407"/>
      <c r="J69" s="408"/>
      <c r="K69" s="405"/>
      <c r="L69" s="410">
        <f>VLOOKUP(K69+(COUNTIF('Start Character'!$A$63:$E$77,"Flawless Magic")*5),Calcs!$Q$4:$R$24,2,TRUE)</f>
        <v>0</v>
      </c>
      <c r="M69" s="409"/>
      <c r="N69" s="405"/>
      <c r="O69" s="409"/>
      <c r="P69" s="14"/>
    </row>
    <row r="70" spans="1:16" ht="12.6" customHeight="1" x14ac:dyDescent="0.2">
      <c r="A70" s="405"/>
      <c r="B70" s="405"/>
      <c r="C70" s="405"/>
      <c r="D70" s="405"/>
      <c r="E70" s="406"/>
      <c r="F70" s="405"/>
      <c r="G70" s="407"/>
      <c r="H70" s="407"/>
      <c r="I70" s="407"/>
      <c r="J70" s="408"/>
      <c r="K70" s="405"/>
      <c r="L70" s="410">
        <f>VLOOKUP(K70+(COUNTIF('Start Character'!$A$63:$E$77,"Flawless Magic")*5),Calcs!$Q$4:$R$24,2,TRUE)</f>
        <v>0</v>
      </c>
      <c r="M70" s="409"/>
      <c r="N70" s="405"/>
      <c r="O70" s="409"/>
      <c r="P70" s="14"/>
    </row>
    <row r="71" spans="1:16" ht="12.6" customHeight="1" x14ac:dyDescent="0.2">
      <c r="A71" s="405"/>
      <c r="B71" s="405"/>
      <c r="C71" s="405"/>
      <c r="D71" s="405"/>
      <c r="E71" s="406"/>
      <c r="F71" s="405"/>
      <c r="G71" s="407"/>
      <c r="H71" s="407"/>
      <c r="I71" s="407"/>
      <c r="J71" s="408"/>
      <c r="K71" s="405"/>
      <c r="L71" s="410">
        <f>VLOOKUP(K71+(COUNTIF('Start Character'!$A$63:$E$77,"Flawless Magic")*5),Calcs!$Q$4:$R$24,2,TRUE)</f>
        <v>0</v>
      </c>
      <c r="M71" s="409"/>
      <c r="N71" s="405"/>
      <c r="O71" s="409"/>
    </row>
    <row r="72" spans="1:16" ht="12.6" customHeight="1" x14ac:dyDescent="0.2">
      <c r="A72" s="405"/>
      <c r="B72" s="405"/>
      <c r="C72" s="405"/>
      <c r="D72" s="405"/>
      <c r="E72" s="406"/>
      <c r="F72" s="405"/>
      <c r="G72" s="407"/>
      <c r="H72" s="407"/>
      <c r="I72" s="407"/>
      <c r="J72" s="408"/>
      <c r="K72" s="405"/>
      <c r="L72" s="410">
        <f>VLOOKUP(K72+(COUNTIF('Start Character'!$A$63:$E$77,"Flawless Magic")*5),Calcs!$Q$4:$R$24,2,TRUE)</f>
        <v>0</v>
      </c>
      <c r="M72" s="409"/>
      <c r="N72" s="405"/>
      <c r="O72" s="409"/>
    </row>
    <row r="73" spans="1:16" ht="12.6" customHeight="1" x14ac:dyDescent="0.2">
      <c r="A73" s="405"/>
      <c r="B73" s="405"/>
      <c r="C73" s="405"/>
      <c r="D73" s="405"/>
      <c r="E73" s="406"/>
      <c r="F73" s="405"/>
      <c r="G73" s="407"/>
      <c r="H73" s="407"/>
      <c r="I73" s="407"/>
      <c r="J73" s="408"/>
      <c r="K73" s="405"/>
      <c r="L73" s="410">
        <f>VLOOKUP(K73+(COUNTIF('Start Character'!$A$63:$E$77,"Flawless Magic")*5),Calcs!$Q$4:$R$24,2,TRUE)</f>
        <v>0</v>
      </c>
      <c r="M73" s="409"/>
      <c r="N73" s="405"/>
      <c r="O73" s="409"/>
    </row>
    <row r="74" spans="1:16" ht="12.6" customHeight="1" x14ac:dyDescent="0.2">
      <c r="A74" s="405"/>
      <c r="B74" s="405"/>
      <c r="C74" s="405"/>
      <c r="D74" s="405"/>
      <c r="E74" s="406"/>
      <c r="F74" s="405"/>
      <c r="G74" s="407"/>
      <c r="H74" s="407"/>
      <c r="I74" s="407"/>
      <c r="J74" s="408"/>
      <c r="K74" s="405"/>
      <c r="L74" s="410">
        <f>VLOOKUP(K74+(COUNTIF('Start Character'!$A$63:$E$77,"Flawless Magic")*5),Calcs!$Q$4:$R$24,2,TRUE)</f>
        <v>0</v>
      </c>
      <c r="M74" s="409"/>
      <c r="N74" s="405"/>
      <c r="O74" s="409"/>
    </row>
    <row r="75" spans="1:16" ht="12.6" customHeight="1" x14ac:dyDescent="0.2">
      <c r="A75" s="405"/>
      <c r="B75" s="405"/>
      <c r="C75" s="405"/>
      <c r="D75" s="405"/>
      <c r="E75" s="406"/>
      <c r="F75" s="405"/>
      <c r="G75" s="407"/>
      <c r="H75" s="407"/>
      <c r="I75" s="407"/>
      <c r="J75" s="408"/>
      <c r="K75" s="405"/>
      <c r="L75" s="410">
        <f>VLOOKUP(K75+(COUNTIF('Start Character'!$A$63:$E$77,"Flawless Magic")*5),Calcs!$Q$4:$R$24,2,TRUE)</f>
        <v>0</v>
      </c>
      <c r="M75" s="409"/>
      <c r="N75" s="405"/>
      <c r="O75" s="409"/>
    </row>
    <row r="76" spans="1:16" ht="12.6" customHeight="1" x14ac:dyDescent="0.2">
      <c r="A76" s="405"/>
      <c r="B76" s="405"/>
      <c r="C76" s="405"/>
      <c r="D76" s="405"/>
      <c r="E76" s="406"/>
      <c r="F76" s="405"/>
      <c r="G76" s="407"/>
      <c r="H76" s="407"/>
      <c r="I76" s="407"/>
      <c r="J76" s="408"/>
      <c r="K76" s="405"/>
      <c r="L76" s="410">
        <f>VLOOKUP(K76+(COUNTIF('Start Character'!$A$63:$E$77,"Flawless Magic")*5),Calcs!$Q$4:$R$24,2,TRUE)</f>
        <v>0</v>
      </c>
      <c r="M76" s="409"/>
      <c r="N76" s="405"/>
      <c r="O76" s="409"/>
    </row>
    <row r="77" spans="1:16" ht="12.6" customHeight="1" x14ac:dyDescent="0.2">
      <c r="A77" s="405"/>
      <c r="B77" s="405"/>
      <c r="C77" s="405"/>
      <c r="D77" s="405"/>
      <c r="E77" s="406"/>
      <c r="F77" s="405"/>
      <c r="G77" s="407"/>
      <c r="H77" s="407"/>
      <c r="I77" s="407"/>
      <c r="J77" s="408"/>
      <c r="K77" s="405"/>
      <c r="L77" s="410">
        <f>VLOOKUP(K77+(COUNTIF('Start Character'!$A$63:$E$77,"Flawless Magic")*5),Calcs!$Q$4:$R$24,2,TRUE)</f>
        <v>0</v>
      </c>
      <c r="M77" s="409"/>
      <c r="N77" s="405"/>
      <c r="O77" s="409"/>
    </row>
    <row r="78" spans="1:16" ht="12.6" customHeight="1" x14ac:dyDescent="0.2">
      <c r="A78" s="405"/>
      <c r="B78" s="405"/>
      <c r="C78" s="405"/>
      <c r="D78" s="405"/>
      <c r="E78" s="406"/>
      <c r="F78" s="405"/>
      <c r="G78" s="407"/>
      <c r="H78" s="407"/>
      <c r="I78" s="407"/>
      <c r="J78" s="408"/>
      <c r="K78" s="405"/>
      <c r="L78" s="410">
        <f>VLOOKUP(K78+(COUNTIF('Start Character'!$A$63:$E$77,"Flawless Magic")*5),Calcs!$Q$4:$R$24,2,TRUE)</f>
        <v>0</v>
      </c>
      <c r="M78" s="409"/>
      <c r="N78" s="405"/>
      <c r="O78" s="409"/>
    </row>
    <row r="79" spans="1:16" ht="12.6" customHeight="1" x14ac:dyDescent="0.2">
      <c r="A79" s="405"/>
      <c r="B79" s="405"/>
      <c r="C79" s="405"/>
      <c r="D79" s="405"/>
      <c r="E79" s="406"/>
      <c r="F79" s="405"/>
      <c r="G79" s="407"/>
      <c r="H79" s="407"/>
      <c r="I79" s="407"/>
      <c r="J79" s="408"/>
      <c r="K79" s="405"/>
      <c r="L79" s="410">
        <f>VLOOKUP(K79+(COUNTIF('Start Character'!$A$63:$E$77,"Flawless Magic")*5),Calcs!$Q$4:$R$24,2,TRUE)</f>
        <v>0</v>
      </c>
      <c r="M79" s="409"/>
      <c r="N79" s="405"/>
      <c r="O79" s="409"/>
    </row>
    <row r="80" spans="1:16" ht="12.6" customHeight="1" x14ac:dyDescent="0.2">
      <c r="A80" s="405"/>
      <c r="B80" s="405"/>
      <c r="C80" s="405"/>
      <c r="D80" s="405"/>
      <c r="E80" s="406"/>
      <c r="F80" s="405"/>
      <c r="G80" s="407"/>
      <c r="H80" s="407"/>
      <c r="I80" s="407"/>
      <c r="J80" s="408"/>
      <c r="K80" s="405"/>
      <c r="L80" s="410">
        <f>VLOOKUP(K80+(COUNTIF('Start Character'!$A$63:$E$77,"Flawless Magic")*5),Calcs!$Q$4:$R$24,2,TRUE)</f>
        <v>0</v>
      </c>
      <c r="M80" s="409"/>
      <c r="N80" s="405"/>
      <c r="O80" s="409"/>
    </row>
    <row r="81" spans="1:15" ht="12.6" customHeight="1" x14ac:dyDescent="0.2">
      <c r="A81" s="405"/>
      <c r="B81" s="405"/>
      <c r="C81" s="405"/>
      <c r="D81" s="405"/>
      <c r="E81" s="406"/>
      <c r="F81" s="405"/>
      <c r="G81" s="407"/>
      <c r="H81" s="407"/>
      <c r="I81" s="407"/>
      <c r="J81" s="408"/>
      <c r="K81" s="405"/>
      <c r="L81" s="410">
        <f>VLOOKUP(K81+(COUNTIF('Start Character'!$A$63:$E$77,"Flawless Magic")*5),Calcs!$Q$4:$R$24,2,TRUE)</f>
        <v>0</v>
      </c>
      <c r="M81" s="409"/>
      <c r="N81" s="405"/>
      <c r="O81" s="409"/>
    </row>
    <row r="82" spans="1:15" ht="12.6" customHeight="1" x14ac:dyDescent="0.2">
      <c r="A82" s="405"/>
      <c r="B82" s="405"/>
      <c r="C82" s="405"/>
      <c r="D82" s="405"/>
      <c r="E82" s="406"/>
      <c r="F82" s="405"/>
      <c r="G82" s="407"/>
      <c r="H82" s="407"/>
      <c r="I82" s="407"/>
      <c r="J82" s="408"/>
      <c r="K82" s="405"/>
      <c r="L82" s="410">
        <f>VLOOKUP(K82+(COUNTIF('Start Character'!$A$63:$E$77,"Flawless Magic")*5),Calcs!$Q$4:$R$24,2,TRUE)</f>
        <v>0</v>
      </c>
      <c r="M82" s="409"/>
      <c r="N82" s="405"/>
      <c r="O82" s="409"/>
    </row>
    <row r="83" spans="1:15" ht="12.6" customHeight="1" x14ac:dyDescent="0.2">
      <c r="A83" s="405"/>
      <c r="B83" s="405"/>
      <c r="C83" s="405"/>
      <c r="D83" s="405"/>
      <c r="E83" s="406"/>
      <c r="F83" s="405"/>
      <c r="G83" s="407"/>
      <c r="H83" s="407"/>
      <c r="I83" s="407"/>
      <c r="J83" s="408"/>
      <c r="K83" s="405"/>
      <c r="L83" s="410">
        <f>VLOOKUP(K83+(COUNTIF('Start Character'!$A$63:$E$77,"Flawless Magic")*5),Calcs!$Q$4:$R$24,2,TRUE)</f>
        <v>0</v>
      </c>
      <c r="M83" s="409"/>
      <c r="N83" s="405"/>
      <c r="O83" s="409"/>
    </row>
    <row r="84" spans="1:15" ht="12.6" customHeight="1" x14ac:dyDescent="0.2">
      <c r="A84" s="405"/>
      <c r="B84" s="405"/>
      <c r="C84" s="405"/>
      <c r="D84" s="405"/>
      <c r="E84" s="406"/>
      <c r="F84" s="405"/>
      <c r="G84" s="407"/>
      <c r="H84" s="407"/>
      <c r="I84" s="407"/>
      <c r="J84" s="408"/>
      <c r="K84" s="405"/>
      <c r="L84" s="410">
        <f>VLOOKUP(K84+(COUNTIF('Start Character'!$A$63:$E$77,"Flawless Magic")*5),Calcs!$Q$4:$R$24,2,TRUE)</f>
        <v>0</v>
      </c>
      <c r="M84" s="409"/>
      <c r="N84" s="405"/>
      <c r="O84" s="409"/>
    </row>
    <row r="85" spans="1:15" ht="12.6" customHeight="1" x14ac:dyDescent="0.2">
      <c r="A85" s="405"/>
      <c r="B85" s="405"/>
      <c r="C85" s="405"/>
      <c r="D85" s="405"/>
      <c r="E85" s="406"/>
      <c r="F85" s="405"/>
      <c r="G85" s="407"/>
      <c r="H85" s="407"/>
      <c r="I85" s="407"/>
      <c r="J85" s="408"/>
      <c r="K85" s="405"/>
      <c r="L85" s="410">
        <f>VLOOKUP(K85+(COUNTIF('Start Character'!$A$63:$E$77,"Flawless Magic")*5),Calcs!$Q$4:$R$24,2,TRUE)</f>
        <v>0</v>
      </c>
      <c r="M85" s="409"/>
      <c r="N85" s="405"/>
      <c r="O85" s="409"/>
    </row>
    <row r="86" spans="1:15" ht="12.6" customHeight="1" x14ac:dyDescent="0.2">
      <c r="A86" s="405"/>
      <c r="B86" s="405"/>
      <c r="C86" s="405"/>
      <c r="D86" s="405"/>
      <c r="E86" s="406"/>
      <c r="F86" s="405"/>
      <c r="G86" s="407"/>
      <c r="H86" s="407"/>
      <c r="I86" s="407"/>
      <c r="J86" s="408"/>
      <c r="K86" s="405"/>
      <c r="L86" s="410">
        <f>VLOOKUP(K86+(COUNTIF('Start Character'!$A$63:$E$77,"Flawless Magic")*5),Calcs!$Q$4:$R$24,2,TRUE)</f>
        <v>0</v>
      </c>
      <c r="M86" s="409"/>
      <c r="N86" s="405"/>
      <c r="O86" s="409"/>
    </row>
    <row r="87" spans="1:15" ht="12.6" customHeight="1" x14ac:dyDescent="0.2">
      <c r="A87" s="405"/>
      <c r="B87" s="405"/>
      <c r="C87" s="405"/>
      <c r="D87" s="405"/>
      <c r="E87" s="406"/>
      <c r="F87" s="405"/>
      <c r="G87" s="407"/>
      <c r="H87" s="407"/>
      <c r="I87" s="407"/>
      <c r="J87" s="408"/>
      <c r="K87" s="405"/>
      <c r="L87" s="410">
        <f>VLOOKUP(K87+(COUNTIF('Start Character'!$A$63:$E$77,"Flawless Magic")*5),Calcs!$Q$4:$R$24,2,TRUE)</f>
        <v>0</v>
      </c>
      <c r="M87" s="409"/>
      <c r="N87" s="405"/>
      <c r="O87" s="409"/>
    </row>
    <row r="88" spans="1:15" ht="12.6" customHeight="1" x14ac:dyDescent="0.2">
      <c r="A88" s="405"/>
      <c r="B88" s="405"/>
      <c r="C88" s="405"/>
      <c r="D88" s="405"/>
      <c r="E88" s="406"/>
      <c r="F88" s="405"/>
      <c r="G88" s="407"/>
      <c r="H88" s="407"/>
      <c r="I88" s="407"/>
      <c r="J88" s="408"/>
      <c r="K88" s="405"/>
      <c r="L88" s="410">
        <f>VLOOKUP(K88+(COUNTIF('Start Character'!$A$63:$E$77,"Flawless Magic")*5),Calcs!$Q$4:$R$24,2,TRUE)</f>
        <v>0</v>
      </c>
      <c r="M88" s="409"/>
      <c r="N88" s="405"/>
      <c r="O88" s="409"/>
    </row>
    <row r="89" spans="1:15" ht="12.6" customHeight="1" x14ac:dyDescent="0.2">
      <c r="A89" s="405"/>
      <c r="B89" s="405"/>
      <c r="C89" s="405"/>
      <c r="D89" s="405"/>
      <c r="E89" s="406"/>
      <c r="F89" s="405"/>
      <c r="G89" s="407"/>
      <c r="H89" s="407"/>
      <c r="I89" s="407"/>
      <c r="J89" s="408"/>
      <c r="K89" s="405"/>
      <c r="L89" s="410">
        <f>VLOOKUP(K89+(COUNTIF('Start Character'!$A$63:$E$77,"Flawless Magic")*5),Calcs!$Q$4:$R$24,2,TRUE)</f>
        <v>0</v>
      </c>
      <c r="M89" s="409"/>
      <c r="N89" s="405"/>
      <c r="O89" s="409"/>
    </row>
    <row r="90" spans="1:15" ht="12.6" customHeight="1" x14ac:dyDescent="0.2">
      <c r="A90" s="405"/>
      <c r="B90" s="405"/>
      <c r="C90" s="405"/>
      <c r="D90" s="405"/>
      <c r="E90" s="406"/>
      <c r="F90" s="405"/>
      <c r="G90" s="407"/>
      <c r="H90" s="407"/>
      <c r="I90" s="407"/>
      <c r="J90" s="408"/>
      <c r="K90" s="405"/>
      <c r="L90" s="410">
        <f>VLOOKUP(K90+(COUNTIF('Start Character'!$A$63:$E$77,"Flawless Magic")*5),Calcs!$Q$4:$R$24,2,TRUE)</f>
        <v>0</v>
      </c>
      <c r="M90" s="409"/>
      <c r="N90" s="405"/>
      <c r="O90" s="409"/>
    </row>
    <row r="91" spans="1:15" ht="12.6" customHeight="1" x14ac:dyDescent="0.2">
      <c r="A91" s="405"/>
      <c r="B91" s="405"/>
      <c r="C91" s="405"/>
      <c r="D91" s="405"/>
      <c r="E91" s="406"/>
      <c r="F91" s="405"/>
      <c r="G91" s="407"/>
      <c r="H91" s="407"/>
      <c r="I91" s="407"/>
      <c r="J91" s="408"/>
      <c r="K91" s="405"/>
      <c r="L91" s="410">
        <f>VLOOKUP(K91+(COUNTIF('Start Character'!$A$63:$E$77,"Flawless Magic")*5),Calcs!$Q$4:$R$24,2,TRUE)</f>
        <v>0</v>
      </c>
      <c r="M91" s="409"/>
      <c r="N91" s="405"/>
      <c r="O91" s="409"/>
    </row>
    <row r="92" spans="1:15" ht="12.6" customHeight="1" x14ac:dyDescent="0.2">
      <c r="A92" s="405"/>
      <c r="B92" s="405"/>
      <c r="C92" s="405"/>
      <c r="D92" s="405"/>
      <c r="E92" s="406"/>
      <c r="F92" s="405"/>
      <c r="G92" s="407"/>
      <c r="H92" s="407"/>
      <c r="I92" s="407"/>
      <c r="J92" s="408"/>
      <c r="K92" s="405"/>
      <c r="L92" s="410">
        <f>VLOOKUP(K92+(COUNTIF('Start Character'!$A$63:$E$77,"Flawless Magic")*5),Calcs!$Q$4:$R$24,2,TRUE)</f>
        <v>0</v>
      </c>
      <c r="M92" s="409"/>
      <c r="N92" s="405"/>
      <c r="O92" s="409"/>
    </row>
    <row r="93" spans="1:15" ht="12.6" customHeight="1" x14ac:dyDescent="0.2">
      <c r="A93" s="405"/>
      <c r="B93" s="405"/>
      <c r="C93" s="405"/>
      <c r="D93" s="405"/>
      <c r="E93" s="406"/>
      <c r="F93" s="405"/>
      <c r="G93" s="407"/>
      <c r="H93" s="407"/>
      <c r="I93" s="407"/>
      <c r="J93" s="408"/>
      <c r="K93" s="405"/>
      <c r="L93" s="410">
        <f>VLOOKUP(K93+(COUNTIF('Start Character'!$A$63:$E$77,"Flawless Magic")*5),Calcs!$Q$4:$R$24,2,TRUE)</f>
        <v>0</v>
      </c>
      <c r="M93" s="409"/>
      <c r="N93" s="405"/>
      <c r="O93" s="409"/>
    </row>
    <row r="94" spans="1:15" ht="12.6" customHeight="1" x14ac:dyDescent="0.2">
      <c r="A94" s="405"/>
      <c r="B94" s="405"/>
      <c r="C94" s="405"/>
      <c r="D94" s="405"/>
      <c r="E94" s="406"/>
      <c r="F94" s="405"/>
      <c r="G94" s="407"/>
      <c r="H94" s="407"/>
      <c r="I94" s="407"/>
      <c r="J94" s="408"/>
      <c r="K94" s="405"/>
      <c r="L94" s="410">
        <f>VLOOKUP(K94+(COUNTIF('Start Character'!$A$63:$E$77,"Flawless Magic")*5),Calcs!$Q$4:$R$24,2,TRUE)</f>
        <v>0</v>
      </c>
      <c r="M94" s="409"/>
      <c r="N94" s="405"/>
      <c r="O94" s="409"/>
    </row>
    <row r="95" spans="1:15" ht="12.6" customHeight="1" x14ac:dyDescent="0.2">
      <c r="A95" s="405"/>
      <c r="B95" s="405"/>
      <c r="C95" s="405"/>
      <c r="D95" s="405"/>
      <c r="E95" s="406"/>
      <c r="F95" s="405"/>
      <c r="G95" s="407"/>
      <c r="H95" s="407"/>
      <c r="I95" s="407"/>
      <c r="J95" s="408"/>
      <c r="K95" s="405"/>
      <c r="L95" s="410">
        <f>VLOOKUP(K95+(COUNTIF('Start Character'!$A$63:$E$77,"Flawless Magic")*5),Calcs!$Q$4:$R$24,2,TRUE)</f>
        <v>0</v>
      </c>
      <c r="M95" s="409"/>
      <c r="N95" s="405"/>
      <c r="O95" s="409"/>
    </row>
    <row r="96" spans="1:15" ht="12.6" customHeight="1" x14ac:dyDescent="0.2">
      <c r="A96" s="405"/>
      <c r="B96" s="405"/>
      <c r="C96" s="405"/>
      <c r="D96" s="405"/>
      <c r="E96" s="406"/>
      <c r="F96" s="405"/>
      <c r="G96" s="407"/>
      <c r="H96" s="407"/>
      <c r="I96" s="407"/>
      <c r="J96" s="408"/>
      <c r="K96" s="405"/>
      <c r="L96" s="410">
        <f>VLOOKUP(K96+(COUNTIF('Start Character'!$A$63:$E$77,"Flawless Magic")*5),Calcs!$Q$4:$R$24,2,TRUE)</f>
        <v>0</v>
      </c>
      <c r="M96" s="409"/>
      <c r="N96" s="405"/>
      <c r="O96" s="409"/>
    </row>
    <row r="97" spans="1:15" ht="12.6" customHeight="1" x14ac:dyDescent="0.2">
      <c r="A97" s="405"/>
      <c r="B97" s="405"/>
      <c r="C97" s="405"/>
      <c r="D97" s="405"/>
      <c r="E97" s="406"/>
      <c r="F97" s="405"/>
      <c r="G97" s="407"/>
      <c r="H97" s="407"/>
      <c r="I97" s="407"/>
      <c r="J97" s="408"/>
      <c r="K97" s="405"/>
      <c r="L97" s="410">
        <f>VLOOKUP(K97+(COUNTIF('Start Character'!$A$63:$E$77,"Flawless Magic")*5),Calcs!$Q$4:$R$24,2,TRUE)</f>
        <v>0</v>
      </c>
      <c r="M97" s="409"/>
      <c r="N97" s="405"/>
      <c r="O97" s="409"/>
    </row>
    <row r="98" spans="1:15" ht="12.6" customHeight="1" x14ac:dyDescent="0.2">
      <c r="A98" s="405"/>
      <c r="B98" s="405"/>
      <c r="C98" s="405"/>
      <c r="D98" s="405"/>
      <c r="E98" s="406"/>
      <c r="F98" s="405"/>
      <c r="G98" s="407"/>
      <c r="H98" s="407"/>
      <c r="I98" s="407"/>
      <c r="J98" s="408"/>
      <c r="K98" s="405"/>
      <c r="L98" s="410">
        <f>VLOOKUP(K98+(COUNTIF('Start Character'!$A$63:$E$77,"Flawless Magic")*5),Calcs!$Q$4:$R$24,2,TRUE)</f>
        <v>0</v>
      </c>
      <c r="M98" s="409"/>
      <c r="N98" s="405"/>
      <c r="O98" s="409"/>
    </row>
    <row r="99" spans="1:15" ht="12.6" customHeight="1" x14ac:dyDescent="0.2">
      <c r="A99" s="405"/>
      <c r="B99" s="405"/>
      <c r="C99" s="405"/>
      <c r="D99" s="405"/>
      <c r="E99" s="406"/>
      <c r="F99" s="405"/>
      <c r="G99" s="407"/>
      <c r="H99" s="407"/>
      <c r="I99" s="407"/>
      <c r="J99" s="408"/>
      <c r="K99" s="405"/>
      <c r="L99" s="410">
        <f>VLOOKUP(K99+(COUNTIF('Start Character'!$A$63:$E$77,"Flawless Magic")*5),Calcs!$Q$4:$R$24,2,TRUE)</f>
        <v>0</v>
      </c>
      <c r="M99" s="409"/>
      <c r="N99" s="405"/>
      <c r="O99" s="409"/>
    </row>
    <row r="100" spans="1:15" ht="12.6" customHeight="1" x14ac:dyDescent="0.2">
      <c r="A100" s="405"/>
      <c r="B100" s="405"/>
      <c r="C100" s="405"/>
      <c r="D100" s="405"/>
      <c r="E100" s="406"/>
      <c r="F100" s="405"/>
      <c r="G100" s="407"/>
      <c r="H100" s="407"/>
      <c r="I100" s="407"/>
      <c r="J100" s="408"/>
      <c r="K100" s="405"/>
      <c r="L100" s="410">
        <f>VLOOKUP(K100+(COUNTIF('Start Character'!$A$63:$E$77,"Flawless Magic")*5),Calcs!$Q$4:$R$24,2,TRUE)</f>
        <v>0</v>
      </c>
      <c r="M100" s="409"/>
      <c r="N100" s="405"/>
      <c r="O100" s="409"/>
    </row>
    <row r="101" spans="1:15" ht="12.6" customHeight="1" x14ac:dyDescent="0.2">
      <c r="A101" s="405"/>
      <c r="B101" s="405"/>
      <c r="C101" s="405"/>
      <c r="D101" s="405"/>
      <c r="E101" s="406"/>
      <c r="F101" s="405"/>
      <c r="G101" s="407"/>
      <c r="H101" s="407"/>
      <c r="I101" s="407"/>
      <c r="J101" s="408"/>
      <c r="K101" s="405"/>
      <c r="L101" s="410">
        <f>VLOOKUP(K101+(COUNTIF('Start Character'!$A$63:$E$77,"Flawless Magic")*5),Calcs!$Q$4:$R$24,2,TRUE)</f>
        <v>0</v>
      </c>
      <c r="M101" s="409"/>
      <c r="N101" s="405"/>
      <c r="O101" s="409"/>
    </row>
    <row r="102" spans="1:15" ht="12.6" customHeight="1" x14ac:dyDescent="0.2">
      <c r="A102" s="405"/>
      <c r="B102" s="405"/>
      <c r="C102" s="405"/>
      <c r="D102" s="405"/>
      <c r="E102" s="406"/>
      <c r="F102" s="405"/>
      <c r="G102" s="407"/>
      <c r="H102" s="407"/>
      <c r="I102" s="407"/>
      <c r="J102" s="408"/>
      <c r="K102" s="405"/>
      <c r="L102" s="410">
        <f>VLOOKUP(K102+(COUNTIF('Start Character'!$A$63:$E$77,"Flawless Magic")*5),Calcs!$Q$4:$R$24,2,TRUE)</f>
        <v>0</v>
      </c>
      <c r="M102" s="409"/>
      <c r="N102" s="405"/>
      <c r="O102" s="409"/>
    </row>
    <row r="103" spans="1:15" ht="12.6" customHeight="1" x14ac:dyDescent="0.2">
      <c r="A103" s="405"/>
      <c r="B103" s="405"/>
      <c r="C103" s="405"/>
      <c r="D103" s="405"/>
      <c r="E103" s="406"/>
      <c r="F103" s="405"/>
      <c r="G103" s="407"/>
      <c r="H103" s="407"/>
      <c r="I103" s="407"/>
      <c r="J103" s="408"/>
      <c r="K103" s="405"/>
      <c r="L103" s="410">
        <f>VLOOKUP(K103+(COUNTIF('Start Character'!$A$63:$E$77,"Flawless Magic")*5),Calcs!$Q$4:$R$24,2,TRUE)</f>
        <v>0</v>
      </c>
      <c r="M103" s="409"/>
      <c r="N103" s="405"/>
      <c r="O103" s="409"/>
    </row>
    <row r="104" spans="1:15" x14ac:dyDescent="0.2">
      <c r="A104" s="405"/>
      <c r="B104" s="405"/>
      <c r="C104" s="405"/>
      <c r="D104" s="405"/>
      <c r="E104" s="406"/>
      <c r="F104" s="405"/>
      <c r="G104" s="407"/>
      <c r="H104" s="407"/>
      <c r="I104" s="407"/>
      <c r="J104" s="408"/>
      <c r="K104" s="405"/>
      <c r="L104" s="410">
        <f>VLOOKUP(K104+(COUNTIF('Start Character'!$A$63:$E$77,"Flawless Magic")*5),Calcs!$Q$4:$R$24,2,TRUE)</f>
        <v>0</v>
      </c>
      <c r="M104" s="409"/>
      <c r="N104" s="405"/>
      <c r="O104" s="409"/>
    </row>
    <row r="105" spans="1:15" x14ac:dyDescent="0.2">
      <c r="A105" s="405"/>
      <c r="B105" s="405"/>
      <c r="C105" s="405"/>
      <c r="D105" s="405"/>
      <c r="E105" s="406"/>
      <c r="F105" s="405"/>
      <c r="G105" s="407"/>
      <c r="H105" s="407"/>
      <c r="I105" s="407"/>
      <c r="J105" s="408"/>
      <c r="K105" s="405"/>
      <c r="L105" s="410">
        <f>VLOOKUP(K105+(COUNTIF('Start Character'!$A$63:$E$77,"Flawless Magic")*5),Calcs!$Q$4:$R$24,2,TRUE)</f>
        <v>0</v>
      </c>
      <c r="M105" s="409"/>
      <c r="N105" s="405"/>
      <c r="O105" s="409"/>
    </row>
    <row r="106" spans="1:15" x14ac:dyDescent="0.2">
      <c r="A106" s="405"/>
      <c r="B106" s="405"/>
      <c r="C106" s="405"/>
      <c r="D106" s="405"/>
      <c r="E106" s="406"/>
      <c r="F106" s="405"/>
      <c r="G106" s="407"/>
      <c r="H106" s="407"/>
      <c r="I106" s="407"/>
      <c r="J106" s="408"/>
      <c r="K106" s="405"/>
      <c r="L106" s="410">
        <f>VLOOKUP(K106+(COUNTIF('Start Character'!$A$63:$E$77,"Flawless Magic")*5),Calcs!$Q$4:$R$24,2,TRUE)</f>
        <v>0</v>
      </c>
      <c r="M106" s="409"/>
      <c r="N106" s="405"/>
      <c r="O106" s="409"/>
    </row>
    <row r="107" spans="1:15" x14ac:dyDescent="0.2">
      <c r="A107" s="405"/>
      <c r="B107" s="405"/>
      <c r="C107" s="405"/>
      <c r="D107" s="405"/>
      <c r="E107" s="406"/>
      <c r="F107" s="405"/>
      <c r="G107" s="407"/>
      <c r="H107" s="407"/>
      <c r="I107" s="407"/>
      <c r="J107" s="408"/>
      <c r="K107" s="405"/>
      <c r="L107" s="410">
        <f>VLOOKUP(K107+(COUNTIF('Start Character'!$A$63:$E$77,"Flawless Magic")*5),Calcs!$Q$4:$R$24,2,TRUE)</f>
        <v>0</v>
      </c>
      <c r="M107" s="409"/>
      <c r="N107" s="405"/>
      <c r="O107" s="409"/>
    </row>
    <row r="108" spans="1:15" x14ac:dyDescent="0.2">
      <c r="A108" s="405"/>
      <c r="B108" s="405"/>
      <c r="C108" s="405"/>
      <c r="D108" s="405"/>
      <c r="E108" s="406"/>
      <c r="F108" s="405"/>
      <c r="G108" s="407"/>
      <c r="H108" s="407"/>
      <c r="I108" s="407"/>
      <c r="J108" s="408"/>
      <c r="K108" s="405"/>
      <c r="L108" s="410">
        <f>VLOOKUP(K108+(COUNTIF('Start Character'!$A$63:$E$77,"Flawless Magic")*5),Calcs!$Q$4:$R$24,2,TRUE)</f>
        <v>0</v>
      </c>
      <c r="M108" s="409"/>
      <c r="N108" s="405"/>
      <c r="O108" s="409"/>
    </row>
    <row r="109" spans="1:15" x14ac:dyDescent="0.2">
      <c r="A109" s="405"/>
      <c r="B109" s="405"/>
      <c r="C109" s="405"/>
      <c r="D109" s="405"/>
      <c r="E109" s="406"/>
      <c r="F109" s="405"/>
      <c r="G109" s="407"/>
      <c r="H109" s="407"/>
      <c r="I109" s="407"/>
      <c r="J109" s="408"/>
      <c r="K109" s="405"/>
      <c r="L109" s="410">
        <f>VLOOKUP(K109+(COUNTIF('Start Character'!$A$63:$E$77,"Flawless Magic")*5),Calcs!$Q$4:$R$24,2,TRUE)</f>
        <v>0</v>
      </c>
      <c r="M109" s="409"/>
      <c r="N109" s="405"/>
      <c r="O109" s="409"/>
    </row>
    <row r="110" spans="1:15" x14ac:dyDescent="0.2">
      <c r="A110" s="405"/>
      <c r="B110" s="405"/>
      <c r="C110" s="405"/>
      <c r="D110" s="405"/>
      <c r="E110" s="406"/>
      <c r="F110" s="405"/>
      <c r="G110" s="407"/>
      <c r="H110" s="407"/>
      <c r="I110" s="407"/>
      <c r="J110" s="408"/>
      <c r="K110" s="405"/>
      <c r="L110" s="410">
        <f>VLOOKUP(K110+(COUNTIF('Start Character'!$A$63:$E$77,"Flawless Magic")*5),Calcs!$Q$4:$R$24,2,TRUE)</f>
        <v>0</v>
      </c>
      <c r="M110" s="409"/>
      <c r="N110" s="405"/>
      <c r="O110" s="409"/>
    </row>
    <row r="111" spans="1:15" x14ac:dyDescent="0.2">
      <c r="A111" s="405"/>
      <c r="B111" s="405"/>
      <c r="C111" s="405"/>
      <c r="D111" s="405"/>
      <c r="E111" s="406"/>
      <c r="F111" s="405"/>
      <c r="G111" s="407"/>
      <c r="H111" s="407"/>
      <c r="I111" s="407"/>
      <c r="J111" s="408"/>
      <c r="K111" s="405"/>
      <c r="L111" s="410">
        <f>VLOOKUP(K111+(COUNTIF('Start Character'!$A$63:$E$77,"Flawless Magic")*5),Calcs!$Q$4:$R$24,2,TRUE)</f>
        <v>0</v>
      </c>
      <c r="M111" s="409"/>
      <c r="N111" s="405"/>
      <c r="O111" s="409"/>
    </row>
    <row r="112" spans="1:15" x14ac:dyDescent="0.2">
      <c r="A112" s="405"/>
      <c r="B112" s="405"/>
      <c r="C112" s="405"/>
      <c r="D112" s="405"/>
      <c r="E112" s="406"/>
      <c r="F112" s="405"/>
      <c r="G112" s="407"/>
      <c r="H112" s="407"/>
      <c r="I112" s="407"/>
      <c r="J112" s="408"/>
      <c r="K112" s="405"/>
      <c r="L112" s="410">
        <f>VLOOKUP(K112+(COUNTIF('Start Character'!$A$63:$E$77,"Flawless Magic")*5),Calcs!$Q$4:$R$24,2,TRUE)</f>
        <v>0</v>
      </c>
      <c r="M112" s="409"/>
      <c r="N112" s="405"/>
      <c r="O112" s="409"/>
    </row>
    <row r="113" spans="1:15" x14ac:dyDescent="0.2">
      <c r="A113" s="405"/>
      <c r="B113" s="405"/>
      <c r="C113" s="405"/>
      <c r="D113" s="405"/>
      <c r="E113" s="406"/>
      <c r="F113" s="405"/>
      <c r="G113" s="407"/>
      <c r="H113" s="407"/>
      <c r="I113" s="407"/>
      <c r="J113" s="408"/>
      <c r="K113" s="405"/>
      <c r="L113" s="410">
        <f>VLOOKUP(K113+(COUNTIF('Start Character'!$A$63:$E$77,"Flawless Magic")*5),Calcs!$Q$4:$R$24,2,TRUE)</f>
        <v>0</v>
      </c>
      <c r="M113" s="409"/>
      <c r="N113" s="405"/>
      <c r="O113" s="409"/>
    </row>
    <row r="114" spans="1:15" x14ac:dyDescent="0.2">
      <c r="A114" s="405"/>
      <c r="B114" s="405"/>
      <c r="C114" s="405"/>
      <c r="D114" s="405"/>
      <c r="E114" s="406"/>
      <c r="F114" s="405"/>
      <c r="G114" s="407"/>
      <c r="H114" s="407"/>
      <c r="I114" s="407"/>
      <c r="J114" s="408"/>
      <c r="K114" s="405"/>
      <c r="L114" s="410">
        <f>VLOOKUP(K114+(COUNTIF('Start Character'!$A$63:$E$77,"Flawless Magic")*5),Calcs!$Q$4:$R$24,2,TRUE)</f>
        <v>0</v>
      </c>
      <c r="M114" s="409"/>
      <c r="N114" s="405"/>
      <c r="O114" s="409"/>
    </row>
    <row r="115" spans="1:15" x14ac:dyDescent="0.2">
      <c r="A115" s="405"/>
      <c r="B115" s="405"/>
      <c r="C115" s="405"/>
      <c r="D115" s="405"/>
      <c r="E115" s="406"/>
      <c r="F115" s="405"/>
      <c r="G115" s="407"/>
      <c r="H115" s="407"/>
      <c r="I115" s="407"/>
      <c r="J115" s="408"/>
      <c r="K115" s="405"/>
      <c r="L115" s="410">
        <f>VLOOKUP(K115+(COUNTIF('Start Character'!$A$63:$E$77,"Flawless Magic")*5),Calcs!$Q$4:$R$24,2,TRUE)</f>
        <v>0</v>
      </c>
      <c r="M115" s="409"/>
      <c r="N115" s="405"/>
      <c r="O115" s="409"/>
    </row>
    <row r="116" spans="1:15" x14ac:dyDescent="0.2">
      <c r="A116" s="405"/>
      <c r="B116" s="405"/>
      <c r="C116" s="405"/>
      <c r="D116" s="405"/>
      <c r="E116" s="406"/>
      <c r="F116" s="405"/>
      <c r="G116" s="407"/>
      <c r="H116" s="407"/>
      <c r="I116" s="407"/>
      <c r="J116" s="408"/>
      <c r="K116" s="405"/>
      <c r="L116" s="410">
        <f>VLOOKUP(K116+(COUNTIF('Start Character'!$A$63:$E$77,"Flawless Magic")*5),Calcs!$Q$4:$R$24,2,TRUE)</f>
        <v>0</v>
      </c>
      <c r="M116" s="409"/>
      <c r="N116" s="405"/>
      <c r="O116" s="409"/>
    </row>
    <row r="117" spans="1:15" x14ac:dyDescent="0.2">
      <c r="A117" s="405"/>
      <c r="B117" s="405"/>
      <c r="C117" s="405"/>
      <c r="D117" s="405"/>
      <c r="E117" s="406"/>
      <c r="F117" s="405"/>
      <c r="G117" s="407"/>
      <c r="H117" s="407"/>
      <c r="I117" s="407"/>
      <c r="J117" s="408"/>
      <c r="K117" s="405"/>
      <c r="L117" s="410">
        <f>VLOOKUP(K117+(COUNTIF('Start Character'!$A$63:$E$77,"Flawless Magic")*5),Calcs!$Q$4:$R$24,2,TRUE)</f>
        <v>0</v>
      </c>
      <c r="M117" s="409"/>
      <c r="N117" s="405"/>
      <c r="O117" s="409"/>
    </row>
    <row r="118" spans="1:15" x14ac:dyDescent="0.2">
      <c r="A118" s="405"/>
      <c r="B118" s="405"/>
      <c r="C118" s="405"/>
      <c r="D118" s="405"/>
      <c r="E118" s="406"/>
      <c r="F118" s="405"/>
      <c r="G118" s="407"/>
      <c r="H118" s="407"/>
      <c r="I118" s="407"/>
      <c r="J118" s="408"/>
      <c r="K118" s="405"/>
      <c r="L118" s="410">
        <f>VLOOKUP(K118+(COUNTIF('Start Character'!$A$63:$E$77,"Flawless Magic")*5),Calcs!$Q$4:$R$24,2,TRUE)</f>
        <v>0</v>
      </c>
      <c r="M118" s="409"/>
      <c r="N118" s="405"/>
      <c r="O118" s="409"/>
    </row>
    <row r="119" spans="1:15" x14ac:dyDescent="0.2">
      <c r="A119" s="405"/>
      <c r="B119" s="405"/>
      <c r="C119" s="405"/>
      <c r="D119" s="405"/>
      <c r="E119" s="406"/>
      <c r="F119" s="405"/>
      <c r="G119" s="407"/>
      <c r="H119" s="407"/>
      <c r="I119" s="407"/>
      <c r="J119" s="408"/>
      <c r="K119" s="405"/>
      <c r="L119" s="410">
        <f>VLOOKUP(K119+(COUNTIF('Start Character'!$A$63:$E$77,"Flawless Magic")*5),Calcs!$Q$4:$R$24,2,TRUE)</f>
        <v>0</v>
      </c>
      <c r="M119" s="409"/>
      <c r="N119" s="405"/>
      <c r="O119" s="409"/>
    </row>
    <row r="120" spans="1:15" x14ac:dyDescent="0.2">
      <c r="A120" s="405"/>
      <c r="B120" s="405"/>
      <c r="C120" s="405"/>
      <c r="D120" s="405"/>
      <c r="E120" s="406"/>
      <c r="F120" s="405"/>
      <c r="G120" s="407"/>
      <c r="H120" s="407"/>
      <c r="I120" s="407"/>
      <c r="J120" s="408"/>
      <c r="K120" s="405"/>
      <c r="L120" s="410">
        <f>VLOOKUP(K120+(COUNTIF('Start Character'!$A$63:$E$77,"Flawless Magic")*5),Calcs!$Q$4:$R$24,2,TRUE)</f>
        <v>0</v>
      </c>
      <c r="M120" s="409"/>
      <c r="N120" s="405"/>
      <c r="O120" s="409"/>
    </row>
    <row r="121" spans="1:15" x14ac:dyDescent="0.2">
      <c r="A121" s="405"/>
      <c r="B121" s="405"/>
      <c r="C121" s="405"/>
      <c r="D121" s="405"/>
      <c r="E121" s="406"/>
      <c r="F121" s="405"/>
      <c r="G121" s="407"/>
      <c r="H121" s="407"/>
      <c r="I121" s="407"/>
      <c r="J121" s="408"/>
      <c r="K121" s="405"/>
      <c r="L121" s="410">
        <f>VLOOKUP(K121+(COUNTIF('Start Character'!$A$63:$E$77,"Flawless Magic")*5),Calcs!$Q$4:$R$24,2,TRUE)</f>
        <v>0</v>
      </c>
      <c r="M121" s="409"/>
      <c r="N121" s="405"/>
      <c r="O121" s="409"/>
    </row>
    <row r="122" spans="1:15" x14ac:dyDescent="0.2">
      <c r="A122" s="405"/>
      <c r="B122" s="405"/>
      <c r="C122" s="405"/>
      <c r="D122" s="405"/>
      <c r="E122" s="406"/>
      <c r="F122" s="405"/>
      <c r="G122" s="407"/>
      <c r="H122" s="407"/>
      <c r="I122" s="407"/>
      <c r="J122" s="408"/>
      <c r="K122" s="405"/>
      <c r="L122" s="410">
        <f>VLOOKUP(K122+(COUNTIF('Start Character'!$A$63:$E$77,"Flawless Magic")*5),Calcs!$Q$4:$R$24,2,TRUE)</f>
        <v>0</v>
      </c>
      <c r="M122" s="409"/>
      <c r="N122" s="405"/>
      <c r="O122" s="409"/>
    </row>
    <row r="123" spans="1:15" x14ac:dyDescent="0.2">
      <c r="A123" s="405"/>
      <c r="B123" s="405"/>
      <c r="C123" s="405"/>
      <c r="D123" s="405"/>
      <c r="E123" s="406"/>
      <c r="F123" s="405"/>
      <c r="G123" s="407"/>
      <c r="H123" s="407"/>
      <c r="I123" s="407"/>
      <c r="J123" s="408"/>
      <c r="K123" s="405"/>
      <c r="L123" s="410">
        <f>VLOOKUP(K123+(COUNTIF('Start Character'!$A$63:$E$77,"Flawless Magic")*5),Calcs!$Q$4:$R$24,2,TRUE)</f>
        <v>0</v>
      </c>
      <c r="M123" s="409"/>
      <c r="N123" s="405"/>
      <c r="O123" s="409"/>
    </row>
    <row r="124" spans="1:15" x14ac:dyDescent="0.2">
      <c r="A124" s="405"/>
      <c r="B124" s="405"/>
      <c r="C124" s="405"/>
      <c r="D124" s="405"/>
      <c r="E124" s="406"/>
      <c r="F124" s="405"/>
      <c r="G124" s="407"/>
      <c r="H124" s="407"/>
      <c r="I124" s="407"/>
      <c r="J124" s="408"/>
      <c r="K124" s="405"/>
      <c r="L124" s="410">
        <f>VLOOKUP(K124+(COUNTIF('Start Character'!$A$63:$E$77,"Flawless Magic")*5),Calcs!$Q$4:$R$24,2,TRUE)</f>
        <v>0</v>
      </c>
      <c r="M124" s="409"/>
      <c r="N124" s="405"/>
      <c r="O124" s="409"/>
    </row>
    <row r="125" spans="1:15" x14ac:dyDescent="0.2">
      <c r="A125" s="405"/>
      <c r="B125" s="405"/>
      <c r="C125" s="405"/>
      <c r="D125" s="405"/>
      <c r="E125" s="406"/>
      <c r="F125" s="405"/>
      <c r="G125" s="407"/>
      <c r="H125" s="407"/>
      <c r="I125" s="407"/>
      <c r="J125" s="408"/>
      <c r="K125" s="405"/>
      <c r="L125" s="410">
        <f>VLOOKUP(K125+(COUNTIF('Start Character'!$A$63:$E$77,"Flawless Magic")*5),Calcs!$Q$4:$R$24,2,TRUE)</f>
        <v>0</v>
      </c>
      <c r="M125" s="409"/>
      <c r="N125" s="405"/>
      <c r="O125" s="409"/>
    </row>
    <row r="126" spans="1:15" x14ac:dyDescent="0.2">
      <c r="A126" s="405"/>
      <c r="B126" s="405"/>
      <c r="C126" s="405"/>
      <c r="D126" s="405"/>
      <c r="E126" s="406"/>
      <c r="F126" s="405"/>
      <c r="G126" s="407"/>
      <c r="H126" s="407"/>
      <c r="I126" s="407"/>
      <c r="J126" s="408"/>
      <c r="K126" s="405"/>
      <c r="L126" s="410">
        <f>VLOOKUP(K126+(COUNTIF('Start Character'!$A$63:$E$77,"Flawless Magic")*5),Calcs!$Q$4:$R$24,2,TRUE)</f>
        <v>0</v>
      </c>
      <c r="M126" s="409"/>
      <c r="N126" s="405"/>
      <c r="O126" s="409"/>
    </row>
    <row r="127" spans="1:15" x14ac:dyDescent="0.2">
      <c r="A127" s="405"/>
      <c r="B127" s="405"/>
      <c r="C127" s="405"/>
      <c r="D127" s="405"/>
      <c r="E127" s="406"/>
      <c r="F127" s="405"/>
      <c r="G127" s="407"/>
      <c r="H127" s="407"/>
      <c r="I127" s="407"/>
      <c r="J127" s="408"/>
      <c r="K127" s="405"/>
      <c r="L127" s="410">
        <f>VLOOKUP(K127+(COUNTIF('Start Character'!$A$63:$E$77,"Flawless Magic")*5),Calcs!$Q$4:$R$24,2,TRUE)</f>
        <v>0</v>
      </c>
      <c r="M127" s="409"/>
      <c r="N127" s="405"/>
      <c r="O127" s="409"/>
    </row>
    <row r="128" spans="1:15" x14ac:dyDescent="0.2">
      <c r="A128" s="405"/>
      <c r="B128" s="405"/>
      <c r="C128" s="405"/>
      <c r="D128" s="405"/>
      <c r="E128" s="406"/>
      <c r="F128" s="405"/>
      <c r="G128" s="407"/>
      <c r="H128" s="407"/>
      <c r="I128" s="407"/>
      <c r="J128" s="408"/>
      <c r="K128" s="405"/>
      <c r="L128" s="410">
        <f>VLOOKUP(K128+(COUNTIF('Start Character'!$A$63:$E$77,"Flawless Magic")*5),Calcs!$Q$4:$R$24,2,TRUE)</f>
        <v>0</v>
      </c>
      <c r="M128" s="409"/>
      <c r="N128" s="405"/>
      <c r="O128" s="409"/>
    </row>
    <row r="129" spans="1:15" x14ac:dyDescent="0.2">
      <c r="A129" s="405"/>
      <c r="B129" s="405"/>
      <c r="C129" s="405"/>
      <c r="D129" s="405"/>
      <c r="E129" s="406"/>
      <c r="F129" s="405"/>
      <c r="G129" s="407"/>
      <c r="H129" s="407"/>
      <c r="I129" s="407"/>
      <c r="J129" s="408"/>
      <c r="K129" s="405"/>
      <c r="L129" s="410">
        <f>VLOOKUP(K129+(COUNTIF('Start Character'!$A$63:$E$77,"Flawless Magic")*5),Calcs!$Q$4:$R$24,2,TRUE)</f>
        <v>0</v>
      </c>
      <c r="M129" s="409"/>
      <c r="N129" s="405"/>
      <c r="O129" s="409"/>
    </row>
    <row r="130" spans="1:15" x14ac:dyDescent="0.2">
      <c r="A130" s="405"/>
      <c r="B130" s="405"/>
      <c r="C130" s="405"/>
      <c r="D130" s="405"/>
      <c r="E130" s="406"/>
      <c r="F130" s="405"/>
      <c r="G130" s="407"/>
      <c r="H130" s="407"/>
      <c r="I130" s="407"/>
      <c r="J130" s="408"/>
      <c r="K130" s="405"/>
      <c r="L130" s="410">
        <f>VLOOKUP(K130+(COUNTIF('Start Character'!$A$63:$E$77,"Flawless Magic")*5),Calcs!$Q$4:$R$24,2,TRUE)</f>
        <v>0</v>
      </c>
      <c r="M130" s="409"/>
      <c r="N130" s="405"/>
      <c r="O130" s="409"/>
    </row>
    <row r="131" spans="1:15" x14ac:dyDescent="0.2">
      <c r="A131" s="405"/>
      <c r="B131" s="405"/>
      <c r="C131" s="405"/>
      <c r="D131" s="405"/>
      <c r="E131" s="406"/>
      <c r="F131" s="405"/>
      <c r="G131" s="407"/>
      <c r="H131" s="407"/>
      <c r="I131" s="407"/>
      <c r="J131" s="408"/>
      <c r="K131" s="405"/>
      <c r="L131" s="410">
        <f>VLOOKUP(K131+(COUNTIF('Start Character'!$A$63:$E$77,"Flawless Magic")*5),Calcs!$Q$4:$R$24,2,TRUE)</f>
        <v>0</v>
      </c>
      <c r="M131" s="409"/>
      <c r="N131" s="405"/>
      <c r="O131" s="409"/>
    </row>
    <row r="132" spans="1:15" x14ac:dyDescent="0.2">
      <c r="A132" s="405"/>
      <c r="B132" s="405"/>
      <c r="C132" s="405"/>
      <c r="D132" s="405"/>
      <c r="E132" s="406"/>
      <c r="F132" s="405"/>
      <c r="G132" s="407"/>
      <c r="H132" s="407"/>
      <c r="I132" s="407"/>
      <c r="J132" s="408"/>
      <c r="K132" s="405"/>
      <c r="L132" s="410">
        <f>VLOOKUP(K132+(COUNTIF('Start Character'!$A$63:$E$77,"Flawless Magic")*5),Calcs!$Q$4:$R$24,2,TRUE)</f>
        <v>0</v>
      </c>
      <c r="M132" s="409"/>
      <c r="N132" s="405"/>
      <c r="O132" s="409"/>
    </row>
    <row r="133" spans="1:15" x14ac:dyDescent="0.2">
      <c r="A133" s="405"/>
      <c r="B133" s="405"/>
      <c r="C133" s="405"/>
      <c r="D133" s="405"/>
      <c r="E133" s="406"/>
      <c r="F133" s="405"/>
      <c r="G133" s="407"/>
      <c r="H133" s="407"/>
      <c r="I133" s="407"/>
      <c r="J133" s="408"/>
      <c r="K133" s="405"/>
      <c r="L133" s="410">
        <f>VLOOKUP(K133+(COUNTIF('Start Character'!$A$63:$E$77,"Flawless Magic")*5),Calcs!$Q$4:$R$24,2,TRUE)</f>
        <v>0</v>
      </c>
      <c r="M133" s="409"/>
      <c r="N133" s="405"/>
      <c r="O133" s="409"/>
    </row>
    <row r="134" spans="1:15" x14ac:dyDescent="0.2">
      <c r="A134" t="s">
        <v>425</v>
      </c>
    </row>
  </sheetData>
  <sheetProtection selectLockedCells="1" selectUnlockedCells="1"/>
  <mergeCells count="1">
    <mergeCell ref="Q1:R1"/>
  </mergeCells>
  <conditionalFormatting sqref="R3:R4">
    <cfRule type="expression" dxfId="10" priority="1">
      <formula>$R$4&gt;$R$3</formula>
    </cfRule>
  </conditionalFormatting>
  <pageMargins left="0.78749999999999998" right="0.78749999999999998" top="1.0249999999999999" bottom="1.0249999999999999" header="0.78749999999999998" footer="0.78749999999999998"/>
  <pageSetup paperSize="9" scale="85" orientation="portrait" horizontalDpi="300" verticalDpi="300"/>
  <headerFooter alignWithMargins="0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8"/>
  <sheetViews>
    <sheetView workbookViewId="0">
      <selection activeCell="L32" sqref="L32"/>
    </sheetView>
  </sheetViews>
  <sheetFormatPr defaultRowHeight="12.75" x14ac:dyDescent="0.2"/>
  <cols>
    <col min="1" max="1" width="12" customWidth="1"/>
    <col min="2" max="2" width="25.28515625" customWidth="1"/>
    <col min="3" max="3" width="8.85546875" bestFit="1" customWidth="1"/>
    <col min="4" max="4" width="11.140625" bestFit="1" customWidth="1"/>
  </cols>
  <sheetData>
    <row r="1" spans="1:4" ht="13.5" thickBot="1" x14ac:dyDescent="0.25">
      <c r="A1" s="319" t="s">
        <v>182</v>
      </c>
      <c r="B1" s="320" t="s">
        <v>46</v>
      </c>
      <c r="C1" s="320" t="s">
        <v>180</v>
      </c>
      <c r="D1" s="321" t="s">
        <v>183</v>
      </c>
    </row>
    <row r="2" spans="1:4" x14ac:dyDescent="0.2">
      <c r="A2" s="316"/>
      <c r="B2" s="317"/>
      <c r="C2" s="317"/>
      <c r="D2" s="318"/>
    </row>
    <row r="3" spans="1:4" x14ac:dyDescent="0.2">
      <c r="A3" s="311"/>
      <c r="B3" s="310"/>
      <c r="C3" s="310"/>
      <c r="D3" s="312"/>
    </row>
    <row r="4" spans="1:4" x14ac:dyDescent="0.2">
      <c r="A4" s="311"/>
      <c r="B4" s="310"/>
      <c r="C4" s="310"/>
      <c r="D4" s="312"/>
    </row>
    <row r="5" spans="1:4" x14ac:dyDescent="0.2">
      <c r="A5" s="311"/>
      <c r="B5" s="310"/>
      <c r="C5" s="310"/>
      <c r="D5" s="312"/>
    </row>
    <row r="6" spans="1:4" x14ac:dyDescent="0.2">
      <c r="A6" s="311"/>
      <c r="B6" s="310"/>
      <c r="C6" s="310"/>
      <c r="D6" s="312"/>
    </row>
    <row r="7" spans="1:4" x14ac:dyDescent="0.2">
      <c r="A7" s="311"/>
      <c r="B7" s="310"/>
      <c r="C7" s="310"/>
      <c r="D7" s="312"/>
    </row>
    <row r="8" spans="1:4" x14ac:dyDescent="0.2">
      <c r="A8" s="311"/>
      <c r="B8" s="310"/>
      <c r="C8" s="310"/>
      <c r="D8" s="312"/>
    </row>
    <row r="9" spans="1:4" x14ac:dyDescent="0.2">
      <c r="A9" s="311"/>
      <c r="B9" s="310"/>
      <c r="C9" s="310"/>
      <c r="D9" s="312"/>
    </row>
    <row r="10" spans="1:4" x14ac:dyDescent="0.2">
      <c r="A10" s="311"/>
      <c r="B10" s="310"/>
      <c r="C10" s="310"/>
      <c r="D10" s="312"/>
    </row>
    <row r="11" spans="1:4" x14ac:dyDescent="0.2">
      <c r="A11" s="311"/>
      <c r="B11" s="310"/>
      <c r="C11" s="310"/>
      <c r="D11" s="312"/>
    </row>
    <row r="12" spans="1:4" x14ac:dyDescent="0.2">
      <c r="A12" s="311"/>
      <c r="B12" s="310"/>
      <c r="C12" s="310"/>
      <c r="D12" s="312"/>
    </row>
    <row r="13" spans="1:4" x14ac:dyDescent="0.2">
      <c r="A13" s="311"/>
      <c r="B13" s="310"/>
      <c r="C13" s="310"/>
      <c r="D13" s="312"/>
    </row>
    <row r="14" spans="1:4" x14ac:dyDescent="0.2">
      <c r="A14" s="311"/>
      <c r="B14" s="310"/>
      <c r="C14" s="310"/>
      <c r="D14" s="312"/>
    </row>
    <row r="15" spans="1:4" x14ac:dyDescent="0.2">
      <c r="A15" s="311"/>
      <c r="B15" s="310"/>
      <c r="C15" s="310"/>
      <c r="D15" s="312"/>
    </row>
    <row r="16" spans="1:4" x14ac:dyDescent="0.2">
      <c r="A16" s="311"/>
      <c r="B16" s="310"/>
      <c r="C16" s="310"/>
      <c r="D16" s="312"/>
    </row>
    <row r="17" spans="1:4" x14ac:dyDescent="0.2">
      <c r="A17" s="311"/>
      <c r="B17" s="310"/>
      <c r="C17" s="310"/>
      <c r="D17" s="312"/>
    </row>
    <row r="18" spans="1:4" x14ac:dyDescent="0.2">
      <c r="A18" s="311"/>
      <c r="B18" s="310"/>
      <c r="C18" s="310"/>
      <c r="D18" s="312"/>
    </row>
    <row r="19" spans="1:4" x14ac:dyDescent="0.2">
      <c r="A19" s="311"/>
      <c r="B19" s="310"/>
      <c r="C19" s="310"/>
      <c r="D19" s="312"/>
    </row>
    <row r="20" spans="1:4" x14ac:dyDescent="0.2">
      <c r="A20" s="311"/>
      <c r="B20" s="310"/>
      <c r="C20" s="310"/>
      <c r="D20" s="312"/>
    </row>
    <row r="21" spans="1:4" x14ac:dyDescent="0.2">
      <c r="A21" s="311"/>
      <c r="B21" s="310"/>
      <c r="C21" s="310"/>
      <c r="D21" s="312"/>
    </row>
    <row r="22" spans="1:4" x14ac:dyDescent="0.2">
      <c r="A22" s="311"/>
      <c r="B22" s="310"/>
      <c r="C22" s="310"/>
      <c r="D22" s="312"/>
    </row>
    <row r="23" spans="1:4" x14ac:dyDescent="0.2">
      <c r="A23" s="311"/>
      <c r="B23" s="310"/>
      <c r="C23" s="310"/>
      <c r="D23" s="312"/>
    </row>
    <row r="24" spans="1:4" x14ac:dyDescent="0.2">
      <c r="A24" s="311"/>
      <c r="B24" s="310"/>
      <c r="C24" s="310"/>
      <c r="D24" s="312"/>
    </row>
    <row r="25" spans="1:4" x14ac:dyDescent="0.2">
      <c r="A25" s="311"/>
      <c r="B25" s="310"/>
      <c r="C25" s="310"/>
      <c r="D25" s="312"/>
    </row>
    <row r="26" spans="1:4" x14ac:dyDescent="0.2">
      <c r="A26" s="311"/>
      <c r="B26" s="310"/>
      <c r="C26" s="310"/>
      <c r="D26" s="312"/>
    </row>
    <row r="27" spans="1:4" x14ac:dyDescent="0.2">
      <c r="A27" s="311"/>
      <c r="B27" s="310"/>
      <c r="C27" s="310"/>
      <c r="D27" s="312"/>
    </row>
    <row r="28" spans="1:4" x14ac:dyDescent="0.2">
      <c r="A28" s="311"/>
      <c r="B28" s="310"/>
      <c r="C28" s="310"/>
      <c r="D28" s="312"/>
    </row>
    <row r="29" spans="1:4" x14ac:dyDescent="0.2">
      <c r="A29" s="311"/>
      <c r="B29" s="310"/>
      <c r="C29" s="310"/>
      <c r="D29" s="312"/>
    </row>
    <row r="30" spans="1:4" x14ac:dyDescent="0.2">
      <c r="A30" s="311"/>
      <c r="B30" s="310"/>
      <c r="C30" s="310"/>
      <c r="D30" s="312"/>
    </row>
    <row r="31" spans="1:4" x14ac:dyDescent="0.2">
      <c r="A31" s="311"/>
      <c r="B31" s="310"/>
      <c r="C31" s="310"/>
      <c r="D31" s="312"/>
    </row>
    <row r="32" spans="1:4" x14ac:dyDescent="0.2">
      <c r="A32" s="311"/>
      <c r="B32" s="310"/>
      <c r="C32" s="310"/>
      <c r="D32" s="312"/>
    </row>
    <row r="33" spans="1:4" x14ac:dyDescent="0.2">
      <c r="A33" s="311"/>
      <c r="B33" s="310"/>
      <c r="C33" s="310"/>
      <c r="D33" s="312"/>
    </row>
    <row r="34" spans="1:4" x14ac:dyDescent="0.2">
      <c r="A34" s="311"/>
      <c r="B34" s="310"/>
      <c r="C34" s="310"/>
      <c r="D34" s="312"/>
    </row>
    <row r="35" spans="1:4" x14ac:dyDescent="0.2">
      <c r="A35" s="311"/>
      <c r="B35" s="310"/>
      <c r="C35" s="310"/>
      <c r="D35" s="312"/>
    </row>
    <row r="36" spans="1:4" x14ac:dyDescent="0.2">
      <c r="A36" s="311"/>
      <c r="B36" s="310"/>
      <c r="C36" s="310"/>
      <c r="D36" s="312"/>
    </row>
    <row r="37" spans="1:4" x14ac:dyDescent="0.2">
      <c r="A37" s="311"/>
      <c r="B37" s="310"/>
      <c r="C37" s="310"/>
      <c r="D37" s="312"/>
    </row>
    <row r="38" spans="1:4" x14ac:dyDescent="0.2">
      <c r="A38" s="311"/>
      <c r="B38" s="310"/>
      <c r="C38" s="310"/>
      <c r="D38" s="312"/>
    </row>
    <row r="39" spans="1:4" x14ac:dyDescent="0.2">
      <c r="A39" s="311"/>
      <c r="B39" s="310"/>
      <c r="C39" s="310"/>
      <c r="D39" s="312"/>
    </row>
    <row r="40" spans="1:4" x14ac:dyDescent="0.2">
      <c r="A40" s="311"/>
      <c r="B40" s="310"/>
      <c r="C40" s="310"/>
      <c r="D40" s="312"/>
    </row>
    <row r="41" spans="1:4" x14ac:dyDescent="0.2">
      <c r="A41" s="311"/>
      <c r="B41" s="310"/>
      <c r="C41" s="310"/>
      <c r="D41" s="312"/>
    </row>
    <row r="42" spans="1:4" x14ac:dyDescent="0.2">
      <c r="A42" s="311"/>
      <c r="B42" s="310"/>
      <c r="C42" s="310"/>
      <c r="D42" s="312"/>
    </row>
    <row r="43" spans="1:4" x14ac:dyDescent="0.2">
      <c r="A43" s="311"/>
      <c r="B43" s="310"/>
      <c r="C43" s="310"/>
      <c r="D43" s="312"/>
    </row>
    <row r="44" spans="1:4" x14ac:dyDescent="0.2">
      <c r="A44" s="311"/>
      <c r="B44" s="310"/>
      <c r="C44" s="310"/>
      <c r="D44" s="312"/>
    </row>
    <row r="45" spans="1:4" x14ac:dyDescent="0.2">
      <c r="A45" s="311"/>
      <c r="B45" s="310"/>
      <c r="C45" s="310"/>
      <c r="D45" s="312"/>
    </row>
    <row r="46" spans="1:4" x14ac:dyDescent="0.2">
      <c r="A46" s="311"/>
      <c r="B46" s="310"/>
      <c r="C46" s="310"/>
      <c r="D46" s="312"/>
    </row>
    <row r="47" spans="1:4" x14ac:dyDescent="0.2">
      <c r="A47" s="311"/>
      <c r="B47" s="310"/>
      <c r="C47" s="310"/>
      <c r="D47" s="312"/>
    </row>
    <row r="48" spans="1:4" x14ac:dyDescent="0.2">
      <c r="A48" s="311"/>
      <c r="B48" s="310"/>
      <c r="C48" s="310"/>
      <c r="D48" s="312"/>
    </row>
    <row r="49" spans="1:4" x14ac:dyDescent="0.2">
      <c r="A49" s="311"/>
      <c r="B49" s="310"/>
      <c r="C49" s="310"/>
      <c r="D49" s="312"/>
    </row>
    <row r="50" spans="1:4" x14ac:dyDescent="0.2">
      <c r="A50" s="311"/>
      <c r="B50" s="310"/>
      <c r="C50" s="310"/>
      <c r="D50" s="312"/>
    </row>
    <row r="51" spans="1:4" x14ac:dyDescent="0.2">
      <c r="A51" s="311"/>
      <c r="B51" s="310"/>
      <c r="C51" s="310"/>
      <c r="D51" s="312"/>
    </row>
    <row r="52" spans="1:4" x14ac:dyDescent="0.2">
      <c r="A52" s="311"/>
      <c r="B52" s="310"/>
      <c r="C52" s="310"/>
      <c r="D52" s="312"/>
    </row>
    <row r="53" spans="1:4" x14ac:dyDescent="0.2">
      <c r="A53" s="311"/>
      <c r="B53" s="310"/>
      <c r="C53" s="310"/>
      <c r="D53" s="312"/>
    </row>
    <row r="54" spans="1:4" x14ac:dyDescent="0.2">
      <c r="A54" s="311"/>
      <c r="B54" s="310"/>
      <c r="C54" s="310"/>
      <c r="D54" s="312"/>
    </row>
    <row r="55" spans="1:4" x14ac:dyDescent="0.2">
      <c r="A55" s="311"/>
      <c r="B55" s="310"/>
      <c r="C55" s="310"/>
      <c r="D55" s="312"/>
    </row>
    <row r="56" spans="1:4" x14ac:dyDescent="0.2">
      <c r="A56" s="311"/>
      <c r="B56" s="310"/>
      <c r="C56" s="310"/>
      <c r="D56" s="312"/>
    </row>
    <row r="57" spans="1:4" x14ac:dyDescent="0.2">
      <c r="A57" s="311"/>
      <c r="B57" s="310"/>
      <c r="C57" s="310"/>
      <c r="D57" s="312"/>
    </row>
    <row r="58" spans="1:4" x14ac:dyDescent="0.2">
      <c r="A58" s="311"/>
      <c r="B58" s="310"/>
      <c r="C58" s="310"/>
      <c r="D58" s="312"/>
    </row>
    <row r="59" spans="1:4" x14ac:dyDescent="0.2">
      <c r="A59" s="311"/>
      <c r="B59" s="310"/>
      <c r="C59" s="310"/>
      <c r="D59" s="312"/>
    </row>
    <row r="60" spans="1:4" x14ac:dyDescent="0.2">
      <c r="A60" s="311"/>
      <c r="B60" s="310"/>
      <c r="C60" s="310"/>
      <c r="D60" s="312"/>
    </row>
    <row r="61" spans="1:4" x14ac:dyDescent="0.2">
      <c r="A61" s="311"/>
      <c r="B61" s="310"/>
      <c r="C61" s="310"/>
      <c r="D61" s="312"/>
    </row>
    <row r="62" spans="1:4" x14ac:dyDescent="0.2">
      <c r="A62" s="311"/>
      <c r="B62" s="310"/>
      <c r="C62" s="310"/>
      <c r="D62" s="312"/>
    </row>
    <row r="63" spans="1:4" x14ac:dyDescent="0.2">
      <c r="A63" s="311"/>
      <c r="B63" s="310"/>
      <c r="C63" s="310"/>
      <c r="D63" s="312"/>
    </row>
    <row r="64" spans="1:4" x14ac:dyDescent="0.2">
      <c r="A64" s="311"/>
      <c r="B64" s="310"/>
      <c r="C64" s="310"/>
      <c r="D64" s="312"/>
    </row>
    <row r="65" spans="1:4" x14ac:dyDescent="0.2">
      <c r="A65" s="311"/>
      <c r="B65" s="310"/>
      <c r="C65" s="310"/>
      <c r="D65" s="312"/>
    </row>
    <row r="66" spans="1:4" x14ac:dyDescent="0.2">
      <c r="A66" s="311"/>
      <c r="B66" s="310"/>
      <c r="C66" s="310"/>
      <c r="D66" s="312"/>
    </row>
    <row r="67" spans="1:4" x14ac:dyDescent="0.2">
      <c r="A67" s="311"/>
      <c r="B67" s="310"/>
      <c r="C67" s="310"/>
      <c r="D67" s="312"/>
    </row>
    <row r="68" spans="1:4" x14ac:dyDescent="0.2">
      <c r="A68" s="311"/>
      <c r="B68" s="310"/>
      <c r="C68" s="310"/>
      <c r="D68" s="312"/>
    </row>
    <row r="69" spans="1:4" x14ac:dyDescent="0.2">
      <c r="A69" s="311"/>
      <c r="B69" s="310"/>
      <c r="C69" s="310"/>
      <c r="D69" s="312"/>
    </row>
    <row r="70" spans="1:4" x14ac:dyDescent="0.2">
      <c r="A70" s="311"/>
      <c r="B70" s="310"/>
      <c r="C70" s="310"/>
      <c r="D70" s="312"/>
    </row>
    <row r="71" spans="1:4" x14ac:dyDescent="0.2">
      <c r="A71" s="311"/>
      <c r="B71" s="310"/>
      <c r="C71" s="310"/>
      <c r="D71" s="312"/>
    </row>
    <row r="72" spans="1:4" x14ac:dyDescent="0.2">
      <c r="A72" s="311"/>
      <c r="B72" s="310"/>
      <c r="C72" s="310"/>
      <c r="D72" s="312"/>
    </row>
    <row r="73" spans="1:4" x14ac:dyDescent="0.2">
      <c r="A73" s="311"/>
      <c r="B73" s="310"/>
      <c r="C73" s="310"/>
      <c r="D73" s="312"/>
    </row>
    <row r="74" spans="1:4" x14ac:dyDescent="0.2">
      <c r="A74" s="311"/>
      <c r="B74" s="310"/>
      <c r="C74" s="310"/>
      <c r="D74" s="312"/>
    </row>
    <row r="75" spans="1:4" x14ac:dyDescent="0.2">
      <c r="A75" s="311"/>
      <c r="B75" s="310"/>
      <c r="C75" s="310"/>
      <c r="D75" s="312"/>
    </row>
    <row r="76" spans="1:4" x14ac:dyDescent="0.2">
      <c r="A76" s="311"/>
      <c r="B76" s="310"/>
      <c r="C76" s="310"/>
      <c r="D76" s="312"/>
    </row>
    <row r="77" spans="1:4" x14ac:dyDescent="0.2">
      <c r="A77" s="311"/>
      <c r="B77" s="310"/>
      <c r="C77" s="310"/>
      <c r="D77" s="312"/>
    </row>
    <row r="78" spans="1:4" x14ac:dyDescent="0.2">
      <c r="A78" s="311"/>
      <c r="B78" s="310"/>
      <c r="C78" s="310"/>
      <c r="D78" s="312"/>
    </row>
    <row r="79" spans="1:4" x14ac:dyDescent="0.2">
      <c r="A79" s="311"/>
      <c r="B79" s="310"/>
      <c r="C79" s="310"/>
      <c r="D79" s="312"/>
    </row>
    <row r="80" spans="1:4" x14ac:dyDescent="0.2">
      <c r="A80" s="311"/>
      <c r="B80" s="310"/>
      <c r="C80" s="310"/>
      <c r="D80" s="312"/>
    </row>
    <row r="81" spans="1:4" x14ac:dyDescent="0.2">
      <c r="A81" s="311"/>
      <c r="B81" s="310"/>
      <c r="C81" s="310"/>
      <c r="D81" s="312"/>
    </row>
    <row r="82" spans="1:4" x14ac:dyDescent="0.2">
      <c r="A82" s="311"/>
      <c r="B82" s="310"/>
      <c r="C82" s="310"/>
      <c r="D82" s="312"/>
    </row>
    <row r="83" spans="1:4" x14ac:dyDescent="0.2">
      <c r="A83" s="311"/>
      <c r="B83" s="310"/>
      <c r="C83" s="310"/>
      <c r="D83" s="312"/>
    </row>
    <row r="84" spans="1:4" x14ac:dyDescent="0.2">
      <c r="A84" s="311"/>
      <c r="B84" s="310"/>
      <c r="C84" s="310"/>
      <c r="D84" s="312"/>
    </row>
    <row r="85" spans="1:4" x14ac:dyDescent="0.2">
      <c r="A85" s="311"/>
      <c r="B85" s="310"/>
      <c r="C85" s="310"/>
      <c r="D85" s="312"/>
    </row>
    <row r="86" spans="1:4" x14ac:dyDescent="0.2">
      <c r="A86" s="311"/>
      <c r="B86" s="310"/>
      <c r="C86" s="310"/>
      <c r="D86" s="312"/>
    </row>
    <row r="87" spans="1:4" x14ac:dyDescent="0.2">
      <c r="A87" s="311"/>
      <c r="B87" s="310"/>
      <c r="C87" s="310"/>
      <c r="D87" s="312"/>
    </row>
    <row r="88" spans="1:4" x14ac:dyDescent="0.2">
      <c r="A88" s="311"/>
      <c r="B88" s="310"/>
      <c r="C88" s="310"/>
      <c r="D88" s="312"/>
    </row>
    <row r="89" spans="1:4" x14ac:dyDescent="0.2">
      <c r="A89" s="311"/>
      <c r="B89" s="310"/>
      <c r="C89" s="310"/>
      <c r="D89" s="312"/>
    </row>
    <row r="90" spans="1:4" x14ac:dyDescent="0.2">
      <c r="A90" s="311"/>
      <c r="B90" s="310"/>
      <c r="C90" s="310"/>
      <c r="D90" s="312"/>
    </row>
    <row r="91" spans="1:4" x14ac:dyDescent="0.2">
      <c r="A91" s="311"/>
      <c r="B91" s="310"/>
      <c r="C91" s="310"/>
      <c r="D91" s="312"/>
    </row>
    <row r="92" spans="1:4" x14ac:dyDescent="0.2">
      <c r="A92" s="311"/>
      <c r="B92" s="310"/>
      <c r="C92" s="310"/>
      <c r="D92" s="312"/>
    </row>
    <row r="93" spans="1:4" x14ac:dyDescent="0.2">
      <c r="A93" s="311"/>
      <c r="B93" s="310"/>
      <c r="C93" s="310"/>
      <c r="D93" s="312"/>
    </row>
    <row r="94" spans="1:4" x14ac:dyDescent="0.2">
      <c r="A94" s="311"/>
      <c r="B94" s="310"/>
      <c r="C94" s="310"/>
      <c r="D94" s="312"/>
    </row>
    <row r="95" spans="1:4" x14ac:dyDescent="0.2">
      <c r="A95" s="311"/>
      <c r="B95" s="310"/>
      <c r="C95" s="310"/>
      <c r="D95" s="312"/>
    </row>
    <row r="96" spans="1:4" x14ac:dyDescent="0.2">
      <c r="A96" s="311"/>
      <c r="B96" s="310"/>
      <c r="C96" s="310"/>
      <c r="D96" s="312"/>
    </row>
    <row r="97" spans="1:4" x14ac:dyDescent="0.2">
      <c r="A97" s="311"/>
      <c r="B97" s="310"/>
      <c r="C97" s="310"/>
      <c r="D97" s="312"/>
    </row>
    <row r="98" spans="1:4" x14ac:dyDescent="0.2">
      <c r="A98" s="311"/>
      <c r="B98" s="310"/>
      <c r="C98" s="310"/>
      <c r="D98" s="312"/>
    </row>
    <row r="99" spans="1:4" x14ac:dyDescent="0.2">
      <c r="A99" s="311"/>
      <c r="B99" s="310"/>
      <c r="C99" s="310"/>
      <c r="D99" s="312"/>
    </row>
    <row r="100" spans="1:4" x14ac:dyDescent="0.2">
      <c r="A100" s="311"/>
      <c r="B100" s="310"/>
      <c r="C100" s="310"/>
      <c r="D100" s="312"/>
    </row>
    <row r="101" spans="1:4" x14ac:dyDescent="0.2">
      <c r="A101" s="311"/>
      <c r="B101" s="310"/>
      <c r="C101" s="310"/>
      <c r="D101" s="312"/>
    </row>
    <row r="102" spans="1:4" x14ac:dyDescent="0.2">
      <c r="A102" s="311"/>
      <c r="B102" s="310"/>
      <c r="C102" s="310"/>
      <c r="D102" s="312"/>
    </row>
    <row r="103" spans="1:4" x14ac:dyDescent="0.2">
      <c r="A103" s="311"/>
      <c r="B103" s="310"/>
      <c r="C103" s="310"/>
      <c r="D103" s="312"/>
    </row>
    <row r="104" spans="1:4" x14ac:dyDescent="0.2">
      <c r="A104" s="311"/>
      <c r="B104" s="310"/>
      <c r="C104" s="310"/>
      <c r="D104" s="312"/>
    </row>
    <row r="105" spans="1:4" x14ac:dyDescent="0.2">
      <c r="A105" s="311"/>
      <c r="B105" s="310"/>
      <c r="C105" s="310"/>
      <c r="D105" s="312"/>
    </row>
    <row r="106" spans="1:4" x14ac:dyDescent="0.2">
      <c r="A106" s="311"/>
      <c r="B106" s="310"/>
      <c r="C106" s="310"/>
      <c r="D106" s="312"/>
    </row>
    <row r="107" spans="1:4" x14ac:dyDescent="0.2">
      <c r="A107" s="311"/>
      <c r="B107" s="310"/>
      <c r="C107" s="310"/>
      <c r="D107" s="312"/>
    </row>
    <row r="108" spans="1:4" x14ac:dyDescent="0.2">
      <c r="A108" s="311"/>
      <c r="B108" s="310"/>
      <c r="C108" s="310"/>
      <c r="D108" s="312"/>
    </row>
    <row r="109" spans="1:4" x14ac:dyDescent="0.2">
      <c r="A109" s="311"/>
      <c r="B109" s="310"/>
      <c r="C109" s="310"/>
      <c r="D109" s="312"/>
    </row>
    <row r="110" spans="1:4" x14ac:dyDescent="0.2">
      <c r="A110" s="311"/>
      <c r="B110" s="310"/>
      <c r="C110" s="310"/>
      <c r="D110" s="312"/>
    </row>
    <row r="111" spans="1:4" x14ac:dyDescent="0.2">
      <c r="A111" s="311"/>
      <c r="B111" s="310"/>
      <c r="C111" s="310"/>
      <c r="D111" s="312"/>
    </row>
    <row r="112" spans="1:4" x14ac:dyDescent="0.2">
      <c r="A112" s="311"/>
      <c r="B112" s="310"/>
      <c r="C112" s="310"/>
      <c r="D112" s="312"/>
    </row>
    <row r="113" spans="1:4" x14ac:dyDescent="0.2">
      <c r="A113" s="311"/>
      <c r="B113" s="310"/>
      <c r="C113" s="310"/>
      <c r="D113" s="312"/>
    </row>
    <row r="114" spans="1:4" x14ac:dyDescent="0.2">
      <c r="A114" s="311"/>
      <c r="B114" s="310"/>
      <c r="C114" s="310"/>
      <c r="D114" s="312"/>
    </row>
    <row r="115" spans="1:4" x14ac:dyDescent="0.2">
      <c r="A115" s="311"/>
      <c r="B115" s="310"/>
      <c r="C115" s="310"/>
      <c r="D115" s="312"/>
    </row>
    <row r="116" spans="1:4" x14ac:dyDescent="0.2">
      <c r="A116" s="311"/>
      <c r="B116" s="310"/>
      <c r="C116" s="310"/>
      <c r="D116" s="312"/>
    </row>
    <row r="117" spans="1:4" x14ac:dyDescent="0.2">
      <c r="A117" s="311"/>
      <c r="B117" s="310"/>
      <c r="C117" s="310"/>
      <c r="D117" s="312"/>
    </row>
    <row r="118" spans="1:4" x14ac:dyDescent="0.2">
      <c r="A118" s="311"/>
      <c r="B118" s="310"/>
      <c r="C118" s="310"/>
      <c r="D118" s="312"/>
    </row>
    <row r="119" spans="1:4" x14ac:dyDescent="0.2">
      <c r="A119" s="311"/>
      <c r="B119" s="310"/>
      <c r="C119" s="310"/>
      <c r="D119" s="312"/>
    </row>
    <row r="120" spans="1:4" x14ac:dyDescent="0.2">
      <c r="A120" s="311"/>
      <c r="B120" s="310"/>
      <c r="C120" s="310"/>
      <c r="D120" s="312"/>
    </row>
    <row r="121" spans="1:4" x14ac:dyDescent="0.2">
      <c r="A121" s="311"/>
      <c r="B121" s="310"/>
      <c r="C121" s="310"/>
      <c r="D121" s="312"/>
    </row>
    <row r="122" spans="1:4" x14ac:dyDescent="0.2">
      <c r="A122" s="311"/>
      <c r="B122" s="310"/>
      <c r="C122" s="310"/>
      <c r="D122" s="312"/>
    </row>
    <row r="123" spans="1:4" x14ac:dyDescent="0.2">
      <c r="A123" s="311"/>
      <c r="B123" s="310"/>
      <c r="C123" s="310"/>
      <c r="D123" s="312"/>
    </row>
    <row r="124" spans="1:4" x14ac:dyDescent="0.2">
      <c r="A124" s="311"/>
      <c r="B124" s="310"/>
      <c r="C124" s="310"/>
      <c r="D124" s="312"/>
    </row>
    <row r="125" spans="1:4" x14ac:dyDescent="0.2">
      <c r="A125" s="311"/>
      <c r="B125" s="310"/>
      <c r="C125" s="310"/>
      <c r="D125" s="312"/>
    </row>
    <row r="126" spans="1:4" x14ac:dyDescent="0.2">
      <c r="A126" s="311"/>
      <c r="B126" s="310"/>
      <c r="C126" s="310"/>
      <c r="D126" s="312"/>
    </row>
    <row r="127" spans="1:4" x14ac:dyDescent="0.2">
      <c r="A127" s="311"/>
      <c r="B127" s="310"/>
      <c r="C127" s="310"/>
      <c r="D127" s="312"/>
    </row>
    <row r="128" spans="1:4" x14ac:dyDescent="0.2">
      <c r="A128" s="311"/>
      <c r="B128" s="310"/>
      <c r="C128" s="310"/>
      <c r="D128" s="312"/>
    </row>
    <row r="129" spans="1:4" x14ac:dyDescent="0.2">
      <c r="A129" s="311"/>
      <c r="B129" s="310"/>
      <c r="C129" s="310"/>
      <c r="D129" s="312"/>
    </row>
    <row r="130" spans="1:4" x14ac:dyDescent="0.2">
      <c r="A130" s="311"/>
      <c r="B130" s="310"/>
      <c r="C130" s="310"/>
      <c r="D130" s="312"/>
    </row>
    <row r="131" spans="1:4" x14ac:dyDescent="0.2">
      <c r="A131" s="311"/>
      <c r="B131" s="310"/>
      <c r="C131" s="310"/>
      <c r="D131" s="312"/>
    </row>
    <row r="132" spans="1:4" x14ac:dyDescent="0.2">
      <c r="A132" s="311"/>
      <c r="B132" s="310"/>
      <c r="C132" s="310"/>
      <c r="D132" s="312"/>
    </row>
    <row r="133" spans="1:4" x14ac:dyDescent="0.2">
      <c r="A133" s="311"/>
      <c r="B133" s="310"/>
      <c r="C133" s="310"/>
      <c r="D133" s="312"/>
    </row>
    <row r="134" spans="1:4" x14ac:dyDescent="0.2">
      <c r="A134" s="311"/>
      <c r="B134" s="310"/>
      <c r="C134" s="310"/>
      <c r="D134" s="312"/>
    </row>
    <row r="135" spans="1:4" x14ac:dyDescent="0.2">
      <c r="A135" s="311"/>
      <c r="B135" s="310"/>
      <c r="C135" s="310"/>
      <c r="D135" s="312"/>
    </row>
    <row r="136" spans="1:4" x14ac:dyDescent="0.2">
      <c r="A136" s="311"/>
      <c r="B136" s="310"/>
      <c r="C136" s="310"/>
      <c r="D136" s="312"/>
    </row>
    <row r="137" spans="1:4" x14ac:dyDescent="0.2">
      <c r="A137" s="311"/>
      <c r="B137" s="310"/>
      <c r="C137" s="310"/>
      <c r="D137" s="312"/>
    </row>
    <row r="138" spans="1:4" x14ac:dyDescent="0.2">
      <c r="A138" s="311"/>
      <c r="B138" s="310"/>
      <c r="C138" s="310"/>
      <c r="D138" s="312"/>
    </row>
    <row r="139" spans="1:4" x14ac:dyDescent="0.2">
      <c r="A139" s="311"/>
      <c r="B139" s="310"/>
      <c r="C139" s="310"/>
      <c r="D139" s="312"/>
    </row>
    <row r="140" spans="1:4" x14ac:dyDescent="0.2">
      <c r="A140" s="311"/>
      <c r="B140" s="310"/>
      <c r="C140" s="310"/>
      <c r="D140" s="312"/>
    </row>
    <row r="141" spans="1:4" x14ac:dyDescent="0.2">
      <c r="A141" s="311"/>
      <c r="B141" s="310"/>
      <c r="C141" s="310"/>
      <c r="D141" s="312"/>
    </row>
    <row r="142" spans="1:4" x14ac:dyDescent="0.2">
      <c r="A142" s="311"/>
      <c r="B142" s="310"/>
      <c r="C142" s="310"/>
      <c r="D142" s="312"/>
    </row>
    <row r="143" spans="1:4" x14ac:dyDescent="0.2">
      <c r="A143" s="311"/>
      <c r="B143" s="310"/>
      <c r="C143" s="310"/>
      <c r="D143" s="312"/>
    </row>
    <row r="144" spans="1:4" x14ac:dyDescent="0.2">
      <c r="A144" s="311"/>
      <c r="B144" s="310"/>
      <c r="C144" s="310"/>
      <c r="D144" s="312"/>
    </row>
    <row r="145" spans="1:4" x14ac:dyDescent="0.2">
      <c r="A145" s="311"/>
      <c r="B145" s="310"/>
      <c r="C145" s="310"/>
      <c r="D145" s="312"/>
    </row>
    <row r="146" spans="1:4" x14ac:dyDescent="0.2">
      <c r="A146" s="311"/>
      <c r="B146" s="310"/>
      <c r="C146" s="310"/>
      <c r="D146" s="312"/>
    </row>
    <row r="147" spans="1:4" x14ac:dyDescent="0.2">
      <c r="A147" s="311"/>
      <c r="B147" s="310"/>
      <c r="C147" s="310"/>
      <c r="D147" s="312"/>
    </row>
    <row r="148" spans="1:4" x14ac:dyDescent="0.2">
      <c r="A148" s="311"/>
      <c r="B148" s="310"/>
      <c r="C148" s="310"/>
      <c r="D148" s="312"/>
    </row>
    <row r="149" spans="1:4" x14ac:dyDescent="0.2">
      <c r="A149" s="311"/>
      <c r="B149" s="310"/>
      <c r="C149" s="310"/>
      <c r="D149" s="312"/>
    </row>
    <row r="150" spans="1:4" x14ac:dyDescent="0.2">
      <c r="A150" s="311"/>
      <c r="B150" s="310"/>
      <c r="C150" s="310"/>
      <c r="D150" s="312"/>
    </row>
    <row r="151" spans="1:4" x14ac:dyDescent="0.2">
      <c r="A151" s="311"/>
      <c r="B151" s="310"/>
      <c r="C151" s="310"/>
      <c r="D151" s="312"/>
    </row>
    <row r="152" spans="1:4" x14ac:dyDescent="0.2">
      <c r="A152" s="311"/>
      <c r="B152" s="310"/>
      <c r="C152" s="310"/>
      <c r="D152" s="312"/>
    </row>
    <row r="153" spans="1:4" x14ac:dyDescent="0.2">
      <c r="A153" s="311"/>
      <c r="B153" s="310"/>
      <c r="C153" s="310"/>
      <c r="D153" s="312"/>
    </row>
    <row r="154" spans="1:4" x14ac:dyDescent="0.2">
      <c r="A154" s="311"/>
      <c r="B154" s="310"/>
      <c r="C154" s="310"/>
      <c r="D154" s="312"/>
    </row>
    <row r="155" spans="1:4" x14ac:dyDescent="0.2">
      <c r="A155" s="311"/>
      <c r="B155" s="310"/>
      <c r="C155" s="310"/>
      <c r="D155" s="312"/>
    </row>
    <row r="156" spans="1:4" x14ac:dyDescent="0.2">
      <c r="A156" s="311"/>
      <c r="B156" s="310"/>
      <c r="C156" s="310"/>
      <c r="D156" s="312"/>
    </row>
    <row r="157" spans="1:4" x14ac:dyDescent="0.2">
      <c r="A157" s="311"/>
      <c r="B157" s="310"/>
      <c r="C157" s="310"/>
      <c r="D157" s="312"/>
    </row>
    <row r="158" spans="1:4" x14ac:dyDescent="0.2">
      <c r="A158" s="311"/>
      <c r="B158" s="310"/>
      <c r="C158" s="310"/>
      <c r="D158" s="312"/>
    </row>
    <row r="159" spans="1:4" x14ac:dyDescent="0.2">
      <c r="A159" s="311"/>
      <c r="B159" s="310"/>
      <c r="C159" s="310"/>
      <c r="D159" s="312"/>
    </row>
    <row r="160" spans="1:4" x14ac:dyDescent="0.2">
      <c r="A160" s="311"/>
      <c r="B160" s="310"/>
      <c r="C160" s="310"/>
      <c r="D160" s="312"/>
    </row>
    <row r="161" spans="1:4" x14ac:dyDescent="0.2">
      <c r="A161" s="311"/>
      <c r="B161" s="310"/>
      <c r="C161" s="310"/>
      <c r="D161" s="312"/>
    </row>
    <row r="162" spans="1:4" x14ac:dyDescent="0.2">
      <c r="A162" s="311"/>
      <c r="B162" s="310"/>
      <c r="C162" s="310"/>
      <c r="D162" s="312"/>
    </row>
    <row r="163" spans="1:4" x14ac:dyDescent="0.2">
      <c r="A163" s="311"/>
      <c r="B163" s="310"/>
      <c r="C163" s="310"/>
      <c r="D163" s="312"/>
    </row>
    <row r="164" spans="1:4" x14ac:dyDescent="0.2">
      <c r="A164" s="311"/>
      <c r="B164" s="310"/>
      <c r="C164" s="310"/>
      <c r="D164" s="312"/>
    </row>
    <row r="165" spans="1:4" x14ac:dyDescent="0.2">
      <c r="A165" s="311"/>
      <c r="B165" s="310"/>
      <c r="C165" s="310"/>
      <c r="D165" s="312"/>
    </row>
    <row r="166" spans="1:4" x14ac:dyDescent="0.2">
      <c r="A166" s="311"/>
      <c r="B166" s="310"/>
      <c r="C166" s="310"/>
      <c r="D166" s="312"/>
    </row>
    <row r="167" spans="1:4" x14ac:dyDescent="0.2">
      <c r="A167" s="311"/>
      <c r="B167" s="310"/>
      <c r="C167" s="310"/>
      <c r="D167" s="312"/>
    </row>
    <row r="168" spans="1:4" x14ac:dyDescent="0.2">
      <c r="A168" s="311"/>
      <c r="B168" s="310"/>
      <c r="C168" s="310"/>
      <c r="D168" s="312"/>
    </row>
    <row r="169" spans="1:4" x14ac:dyDescent="0.2">
      <c r="A169" s="311"/>
      <c r="B169" s="310"/>
      <c r="C169" s="310"/>
      <c r="D169" s="312"/>
    </row>
    <row r="170" spans="1:4" x14ac:dyDescent="0.2">
      <c r="A170" s="311"/>
      <c r="B170" s="310"/>
      <c r="C170" s="310"/>
      <c r="D170" s="312"/>
    </row>
    <row r="171" spans="1:4" x14ac:dyDescent="0.2">
      <c r="A171" s="311"/>
      <c r="B171" s="310"/>
      <c r="C171" s="310"/>
      <c r="D171" s="312"/>
    </row>
    <row r="172" spans="1:4" x14ac:dyDescent="0.2">
      <c r="A172" s="311"/>
      <c r="B172" s="310"/>
      <c r="C172" s="310"/>
      <c r="D172" s="312"/>
    </row>
    <row r="173" spans="1:4" x14ac:dyDescent="0.2">
      <c r="A173" s="311"/>
      <c r="B173" s="310"/>
      <c r="C173" s="310"/>
      <c r="D173" s="312"/>
    </row>
    <row r="174" spans="1:4" x14ac:dyDescent="0.2">
      <c r="A174" s="311"/>
      <c r="B174" s="310"/>
      <c r="C174" s="310"/>
      <c r="D174" s="312"/>
    </row>
    <row r="175" spans="1:4" x14ac:dyDescent="0.2">
      <c r="A175" s="311"/>
      <c r="B175" s="310"/>
      <c r="C175" s="310"/>
      <c r="D175" s="312"/>
    </row>
    <row r="176" spans="1:4" x14ac:dyDescent="0.2">
      <c r="A176" s="311"/>
      <c r="B176" s="310"/>
      <c r="C176" s="310"/>
      <c r="D176" s="312"/>
    </row>
    <row r="177" spans="1:4" x14ac:dyDescent="0.2">
      <c r="A177" s="311"/>
      <c r="B177" s="310"/>
      <c r="C177" s="310"/>
      <c r="D177" s="312"/>
    </row>
    <row r="178" spans="1:4" x14ac:dyDescent="0.2">
      <c r="A178" s="311"/>
      <c r="B178" s="310"/>
      <c r="C178" s="310"/>
      <c r="D178" s="312"/>
    </row>
    <row r="179" spans="1:4" x14ac:dyDescent="0.2">
      <c r="A179" s="311"/>
      <c r="B179" s="310"/>
      <c r="C179" s="310"/>
      <c r="D179" s="312"/>
    </row>
    <row r="180" spans="1:4" x14ac:dyDescent="0.2">
      <c r="A180" s="311"/>
      <c r="B180" s="310"/>
      <c r="C180" s="310"/>
      <c r="D180" s="312"/>
    </row>
    <row r="181" spans="1:4" x14ac:dyDescent="0.2">
      <c r="A181" s="311"/>
      <c r="B181" s="310"/>
      <c r="C181" s="310"/>
      <c r="D181" s="312"/>
    </row>
    <row r="182" spans="1:4" x14ac:dyDescent="0.2">
      <c r="A182" s="311"/>
      <c r="B182" s="310"/>
      <c r="C182" s="310"/>
      <c r="D182" s="312"/>
    </row>
    <row r="183" spans="1:4" x14ac:dyDescent="0.2">
      <c r="A183" s="311"/>
      <c r="B183" s="310"/>
      <c r="C183" s="310"/>
      <c r="D183" s="312"/>
    </row>
    <row r="184" spans="1:4" x14ac:dyDescent="0.2">
      <c r="A184" s="311"/>
      <c r="B184" s="310"/>
      <c r="C184" s="310"/>
      <c r="D184" s="312"/>
    </row>
    <row r="185" spans="1:4" x14ac:dyDescent="0.2">
      <c r="A185" s="311"/>
      <c r="B185" s="310"/>
      <c r="C185" s="310"/>
      <c r="D185" s="312"/>
    </row>
    <row r="186" spans="1:4" x14ac:dyDescent="0.2">
      <c r="A186" s="311"/>
      <c r="B186" s="310"/>
      <c r="C186" s="310"/>
      <c r="D186" s="312"/>
    </row>
    <row r="187" spans="1:4" x14ac:dyDescent="0.2">
      <c r="A187" s="311"/>
      <c r="B187" s="310"/>
      <c r="C187" s="310"/>
      <c r="D187" s="312"/>
    </row>
    <row r="188" spans="1:4" x14ac:dyDescent="0.2">
      <c r="A188" s="311"/>
      <c r="B188" s="310"/>
      <c r="C188" s="310"/>
      <c r="D188" s="312"/>
    </row>
    <row r="189" spans="1:4" x14ac:dyDescent="0.2">
      <c r="A189" s="311"/>
      <c r="B189" s="310"/>
      <c r="C189" s="310"/>
      <c r="D189" s="312"/>
    </row>
    <row r="190" spans="1:4" x14ac:dyDescent="0.2">
      <c r="A190" s="311"/>
      <c r="B190" s="310"/>
      <c r="C190" s="310"/>
      <c r="D190" s="312"/>
    </row>
    <row r="191" spans="1:4" x14ac:dyDescent="0.2">
      <c r="A191" s="311"/>
      <c r="B191" s="310"/>
      <c r="C191" s="310"/>
      <c r="D191" s="312"/>
    </row>
    <row r="192" spans="1:4" x14ac:dyDescent="0.2">
      <c r="A192" s="311"/>
      <c r="B192" s="310"/>
      <c r="C192" s="310"/>
      <c r="D192" s="312"/>
    </row>
    <row r="193" spans="1:4" x14ac:dyDescent="0.2">
      <c r="A193" s="311"/>
      <c r="B193" s="310"/>
      <c r="C193" s="310"/>
      <c r="D193" s="312"/>
    </row>
    <row r="194" spans="1:4" x14ac:dyDescent="0.2">
      <c r="A194" s="311"/>
      <c r="B194" s="310"/>
      <c r="C194" s="310"/>
      <c r="D194" s="312"/>
    </row>
    <row r="195" spans="1:4" x14ac:dyDescent="0.2">
      <c r="A195" s="311"/>
      <c r="B195" s="310"/>
      <c r="C195" s="310"/>
      <c r="D195" s="312"/>
    </row>
    <row r="196" spans="1:4" x14ac:dyDescent="0.2">
      <c r="A196" s="311"/>
      <c r="B196" s="310"/>
      <c r="C196" s="310"/>
      <c r="D196" s="312"/>
    </row>
    <row r="197" spans="1:4" x14ac:dyDescent="0.2">
      <c r="A197" s="311"/>
      <c r="B197" s="310"/>
      <c r="C197" s="310"/>
      <c r="D197" s="312"/>
    </row>
    <row r="198" spans="1:4" x14ac:dyDescent="0.2">
      <c r="A198" s="311"/>
      <c r="B198" s="310"/>
      <c r="C198" s="310"/>
      <c r="D198" s="312"/>
    </row>
    <row r="199" spans="1:4" x14ac:dyDescent="0.2">
      <c r="A199" s="311"/>
      <c r="B199" s="310"/>
      <c r="C199" s="310"/>
      <c r="D199" s="312"/>
    </row>
    <row r="200" spans="1:4" x14ac:dyDescent="0.2">
      <c r="A200" s="311"/>
      <c r="B200" s="310"/>
      <c r="C200" s="310"/>
      <c r="D200" s="312"/>
    </row>
    <row r="201" spans="1:4" x14ac:dyDescent="0.2">
      <c r="A201" s="311"/>
      <c r="B201" s="310"/>
      <c r="C201" s="310"/>
      <c r="D201" s="312"/>
    </row>
    <row r="202" spans="1:4" x14ac:dyDescent="0.2">
      <c r="A202" s="311"/>
      <c r="B202" s="310"/>
      <c r="C202" s="310"/>
      <c r="D202" s="312"/>
    </row>
    <row r="203" spans="1:4" x14ac:dyDescent="0.2">
      <c r="A203" s="311"/>
      <c r="B203" s="310"/>
      <c r="C203" s="310"/>
      <c r="D203" s="312"/>
    </row>
    <row r="204" spans="1:4" x14ac:dyDescent="0.2">
      <c r="A204" s="311"/>
      <c r="B204" s="310"/>
      <c r="C204" s="310"/>
      <c r="D204" s="312"/>
    </row>
    <row r="205" spans="1:4" x14ac:dyDescent="0.2">
      <c r="A205" s="311"/>
      <c r="B205" s="310"/>
      <c r="C205" s="310"/>
      <c r="D205" s="312"/>
    </row>
    <row r="206" spans="1:4" x14ac:dyDescent="0.2">
      <c r="A206" s="311"/>
      <c r="B206" s="310"/>
      <c r="C206" s="310"/>
      <c r="D206" s="312"/>
    </row>
    <row r="207" spans="1:4" x14ac:dyDescent="0.2">
      <c r="A207" s="311"/>
      <c r="B207" s="310"/>
      <c r="C207" s="310"/>
      <c r="D207" s="312"/>
    </row>
    <row r="208" spans="1:4" x14ac:dyDescent="0.2">
      <c r="A208" s="311"/>
      <c r="B208" s="310"/>
      <c r="C208" s="310"/>
      <c r="D208" s="312"/>
    </row>
    <row r="209" spans="1:4" x14ac:dyDescent="0.2">
      <c r="A209" s="311"/>
      <c r="B209" s="310"/>
      <c r="C209" s="310"/>
      <c r="D209" s="312"/>
    </row>
    <row r="210" spans="1:4" x14ac:dyDescent="0.2">
      <c r="A210" s="311"/>
      <c r="B210" s="310"/>
      <c r="C210" s="310"/>
      <c r="D210" s="312"/>
    </row>
    <row r="211" spans="1:4" x14ac:dyDescent="0.2">
      <c r="A211" s="311"/>
      <c r="B211" s="310"/>
      <c r="C211" s="310"/>
      <c r="D211" s="312"/>
    </row>
    <row r="212" spans="1:4" x14ac:dyDescent="0.2">
      <c r="A212" s="311"/>
      <c r="B212" s="310"/>
      <c r="C212" s="310"/>
      <c r="D212" s="312"/>
    </row>
    <row r="213" spans="1:4" x14ac:dyDescent="0.2">
      <c r="A213" s="311"/>
      <c r="B213" s="310"/>
      <c r="C213" s="310"/>
      <c r="D213" s="312"/>
    </row>
    <row r="214" spans="1:4" x14ac:dyDescent="0.2">
      <c r="A214" s="311"/>
      <c r="B214" s="310"/>
      <c r="C214" s="310"/>
      <c r="D214" s="312"/>
    </row>
    <row r="215" spans="1:4" x14ac:dyDescent="0.2">
      <c r="A215" s="311"/>
      <c r="B215" s="310"/>
      <c r="C215" s="310"/>
      <c r="D215" s="312"/>
    </row>
    <row r="216" spans="1:4" x14ac:dyDescent="0.2">
      <c r="A216" s="311"/>
      <c r="B216" s="310"/>
      <c r="C216" s="310"/>
      <c r="D216" s="312"/>
    </row>
    <row r="217" spans="1:4" x14ac:dyDescent="0.2">
      <c r="A217" s="311"/>
      <c r="B217" s="310"/>
      <c r="C217" s="310"/>
      <c r="D217" s="312"/>
    </row>
    <row r="218" spans="1:4" x14ac:dyDescent="0.2">
      <c r="A218" s="311"/>
      <c r="B218" s="310"/>
      <c r="C218" s="310"/>
      <c r="D218" s="312"/>
    </row>
    <row r="219" spans="1:4" x14ac:dyDescent="0.2">
      <c r="A219" s="311"/>
      <c r="B219" s="310"/>
      <c r="C219" s="310"/>
      <c r="D219" s="312"/>
    </row>
    <row r="220" spans="1:4" x14ac:dyDescent="0.2">
      <c r="A220" s="311"/>
      <c r="B220" s="310"/>
      <c r="C220" s="310"/>
      <c r="D220" s="312"/>
    </row>
    <row r="221" spans="1:4" x14ac:dyDescent="0.2">
      <c r="A221" s="311"/>
      <c r="B221" s="310"/>
      <c r="C221" s="310"/>
      <c r="D221" s="312"/>
    </row>
    <row r="222" spans="1:4" x14ac:dyDescent="0.2">
      <c r="A222" s="311"/>
      <c r="B222" s="310"/>
      <c r="C222" s="310"/>
      <c r="D222" s="312"/>
    </row>
    <row r="223" spans="1:4" x14ac:dyDescent="0.2">
      <c r="A223" s="311"/>
      <c r="B223" s="310"/>
      <c r="C223" s="310"/>
      <c r="D223" s="312"/>
    </row>
    <row r="224" spans="1:4" x14ac:dyDescent="0.2">
      <c r="A224" s="311"/>
      <c r="B224" s="310"/>
      <c r="C224" s="310"/>
      <c r="D224" s="312"/>
    </row>
    <row r="225" spans="1:4" x14ac:dyDescent="0.2">
      <c r="A225" s="311"/>
      <c r="B225" s="310"/>
      <c r="C225" s="310"/>
      <c r="D225" s="312"/>
    </row>
    <row r="226" spans="1:4" x14ac:dyDescent="0.2">
      <c r="A226" s="311"/>
      <c r="B226" s="310"/>
      <c r="C226" s="310"/>
      <c r="D226" s="312"/>
    </row>
    <row r="227" spans="1:4" x14ac:dyDescent="0.2">
      <c r="A227" s="311"/>
      <c r="B227" s="310"/>
      <c r="C227" s="310"/>
      <c r="D227" s="312"/>
    </row>
    <row r="228" spans="1:4" x14ac:dyDescent="0.2">
      <c r="A228" s="311"/>
      <c r="B228" s="310"/>
      <c r="C228" s="310"/>
      <c r="D228" s="312"/>
    </row>
    <row r="229" spans="1:4" x14ac:dyDescent="0.2">
      <c r="A229" s="311"/>
      <c r="B229" s="310"/>
      <c r="C229" s="310"/>
      <c r="D229" s="312"/>
    </row>
    <row r="230" spans="1:4" x14ac:dyDescent="0.2">
      <c r="A230" s="311"/>
      <c r="B230" s="310"/>
      <c r="C230" s="310"/>
      <c r="D230" s="312"/>
    </row>
    <row r="231" spans="1:4" x14ac:dyDescent="0.2">
      <c r="A231" s="311"/>
      <c r="B231" s="310"/>
      <c r="C231" s="310"/>
      <c r="D231" s="312"/>
    </row>
    <row r="232" spans="1:4" x14ac:dyDescent="0.2">
      <c r="A232" s="311"/>
      <c r="B232" s="310"/>
      <c r="C232" s="310"/>
      <c r="D232" s="312"/>
    </row>
    <row r="233" spans="1:4" x14ac:dyDescent="0.2">
      <c r="A233" s="311"/>
      <c r="B233" s="310"/>
      <c r="C233" s="310"/>
      <c r="D233" s="312"/>
    </row>
    <row r="234" spans="1:4" x14ac:dyDescent="0.2">
      <c r="A234" s="311"/>
      <c r="B234" s="310"/>
      <c r="C234" s="310"/>
      <c r="D234" s="312"/>
    </row>
    <row r="235" spans="1:4" x14ac:dyDescent="0.2">
      <c r="A235" s="311"/>
      <c r="B235" s="310"/>
      <c r="C235" s="310"/>
      <c r="D235" s="312"/>
    </row>
    <row r="236" spans="1:4" x14ac:dyDescent="0.2">
      <c r="A236" s="311"/>
      <c r="B236" s="310"/>
      <c r="C236" s="310"/>
      <c r="D236" s="312"/>
    </row>
    <row r="237" spans="1:4" x14ac:dyDescent="0.2">
      <c r="A237" s="311"/>
      <c r="B237" s="310"/>
      <c r="C237" s="310"/>
      <c r="D237" s="312"/>
    </row>
    <row r="238" spans="1:4" x14ac:dyDescent="0.2">
      <c r="A238" s="311"/>
      <c r="B238" s="310"/>
      <c r="C238" s="310"/>
      <c r="D238" s="312"/>
    </row>
    <row r="239" spans="1:4" x14ac:dyDescent="0.2">
      <c r="A239" s="311"/>
      <c r="B239" s="310"/>
      <c r="C239" s="310"/>
      <c r="D239" s="312"/>
    </row>
    <row r="240" spans="1:4" x14ac:dyDescent="0.2">
      <c r="A240" s="311"/>
      <c r="B240" s="310"/>
      <c r="C240" s="310"/>
      <c r="D240" s="312"/>
    </row>
    <row r="241" spans="1:4" x14ac:dyDescent="0.2">
      <c r="A241" s="311"/>
      <c r="B241" s="310"/>
      <c r="C241" s="310"/>
      <c r="D241" s="312"/>
    </row>
    <row r="242" spans="1:4" x14ac:dyDescent="0.2">
      <c r="A242" s="311"/>
      <c r="B242" s="310"/>
      <c r="C242" s="310"/>
      <c r="D242" s="312"/>
    </row>
    <row r="243" spans="1:4" x14ac:dyDescent="0.2">
      <c r="A243" s="311"/>
      <c r="B243" s="310"/>
      <c r="C243" s="310"/>
      <c r="D243" s="312"/>
    </row>
    <row r="244" spans="1:4" x14ac:dyDescent="0.2">
      <c r="A244" s="311"/>
      <c r="B244" s="310"/>
      <c r="C244" s="310"/>
      <c r="D244" s="312"/>
    </row>
    <row r="245" spans="1:4" x14ac:dyDescent="0.2">
      <c r="A245" s="311"/>
      <c r="B245" s="310"/>
      <c r="C245" s="310"/>
      <c r="D245" s="312"/>
    </row>
    <row r="246" spans="1:4" x14ac:dyDescent="0.2">
      <c r="A246" s="311"/>
      <c r="B246" s="310"/>
      <c r="C246" s="310"/>
      <c r="D246" s="312"/>
    </row>
    <row r="247" spans="1:4" x14ac:dyDescent="0.2">
      <c r="A247" s="311"/>
      <c r="B247" s="310"/>
      <c r="C247" s="310"/>
      <c r="D247" s="312"/>
    </row>
    <row r="248" spans="1:4" x14ac:dyDescent="0.2">
      <c r="A248" s="311"/>
      <c r="B248" s="310"/>
      <c r="C248" s="310"/>
      <c r="D248" s="312"/>
    </row>
    <row r="249" spans="1:4" x14ac:dyDescent="0.2">
      <c r="A249" s="311"/>
      <c r="B249" s="310"/>
      <c r="C249" s="310"/>
      <c r="D249" s="312"/>
    </row>
    <row r="250" spans="1:4" x14ac:dyDescent="0.2">
      <c r="A250" s="311"/>
      <c r="B250" s="310"/>
      <c r="C250" s="310"/>
      <c r="D250" s="312"/>
    </row>
    <row r="251" spans="1:4" x14ac:dyDescent="0.2">
      <c r="A251" s="311"/>
      <c r="B251" s="310"/>
      <c r="C251" s="310"/>
      <c r="D251" s="312"/>
    </row>
    <row r="252" spans="1:4" x14ac:dyDescent="0.2">
      <c r="A252" s="311"/>
      <c r="B252" s="310"/>
      <c r="C252" s="310"/>
      <c r="D252" s="312"/>
    </row>
    <row r="253" spans="1:4" x14ac:dyDescent="0.2">
      <c r="A253" s="311"/>
      <c r="B253" s="310"/>
      <c r="C253" s="310"/>
      <c r="D253" s="312"/>
    </row>
    <row r="254" spans="1:4" x14ac:dyDescent="0.2">
      <c r="A254" s="311"/>
      <c r="B254" s="310"/>
      <c r="C254" s="310"/>
      <c r="D254" s="312"/>
    </row>
    <row r="255" spans="1:4" x14ac:dyDescent="0.2">
      <c r="A255" s="311"/>
      <c r="B255" s="310"/>
      <c r="C255" s="310"/>
      <c r="D255" s="312"/>
    </row>
    <row r="256" spans="1:4" x14ac:dyDescent="0.2">
      <c r="A256" s="311"/>
      <c r="B256" s="310"/>
      <c r="C256" s="310"/>
      <c r="D256" s="312"/>
    </row>
    <row r="257" spans="1:4" x14ac:dyDescent="0.2">
      <c r="A257" s="311"/>
      <c r="B257" s="310"/>
      <c r="C257" s="310"/>
      <c r="D257" s="312"/>
    </row>
    <row r="258" spans="1:4" x14ac:dyDescent="0.2">
      <c r="A258" s="311"/>
      <c r="B258" s="310"/>
      <c r="C258" s="310"/>
      <c r="D258" s="312"/>
    </row>
    <row r="259" spans="1:4" x14ac:dyDescent="0.2">
      <c r="A259" s="311"/>
      <c r="B259" s="310"/>
      <c r="C259" s="310"/>
      <c r="D259" s="312"/>
    </row>
    <row r="260" spans="1:4" x14ac:dyDescent="0.2">
      <c r="A260" s="311"/>
      <c r="B260" s="310"/>
      <c r="C260" s="310"/>
      <c r="D260" s="312"/>
    </row>
    <row r="261" spans="1:4" x14ac:dyDescent="0.2">
      <c r="A261" s="311"/>
      <c r="B261" s="310"/>
      <c r="C261" s="310"/>
      <c r="D261" s="312"/>
    </row>
    <row r="262" spans="1:4" x14ac:dyDescent="0.2">
      <c r="A262" s="311"/>
      <c r="B262" s="310"/>
      <c r="C262" s="310"/>
      <c r="D262" s="312"/>
    </row>
    <row r="263" spans="1:4" x14ac:dyDescent="0.2">
      <c r="A263" s="311"/>
      <c r="B263" s="310"/>
      <c r="C263" s="310"/>
      <c r="D263" s="312"/>
    </row>
    <row r="264" spans="1:4" x14ac:dyDescent="0.2">
      <c r="A264" s="311"/>
      <c r="B264" s="310"/>
      <c r="C264" s="310"/>
      <c r="D264" s="312"/>
    </row>
    <row r="265" spans="1:4" x14ac:dyDescent="0.2">
      <c r="A265" s="311"/>
      <c r="B265" s="310"/>
      <c r="C265" s="310"/>
      <c r="D265" s="312"/>
    </row>
    <row r="266" spans="1:4" x14ac:dyDescent="0.2">
      <c r="A266" s="311"/>
      <c r="B266" s="310"/>
      <c r="C266" s="310"/>
      <c r="D266" s="312"/>
    </row>
    <row r="267" spans="1:4" x14ac:dyDescent="0.2">
      <c r="A267" s="311"/>
      <c r="B267" s="310"/>
      <c r="C267" s="310"/>
      <c r="D267" s="312"/>
    </row>
    <row r="268" spans="1:4" x14ac:dyDescent="0.2">
      <c r="A268" s="311"/>
      <c r="B268" s="310"/>
      <c r="C268" s="310"/>
      <c r="D268" s="312"/>
    </row>
    <row r="269" spans="1:4" x14ac:dyDescent="0.2">
      <c r="A269" s="311"/>
      <c r="B269" s="310"/>
      <c r="C269" s="310"/>
      <c r="D269" s="312"/>
    </row>
    <row r="270" spans="1:4" x14ac:dyDescent="0.2">
      <c r="A270" s="311"/>
      <c r="B270" s="310"/>
      <c r="C270" s="310"/>
      <c r="D270" s="312"/>
    </row>
    <row r="271" spans="1:4" x14ac:dyDescent="0.2">
      <c r="A271" s="311"/>
      <c r="B271" s="310"/>
      <c r="C271" s="310"/>
      <c r="D271" s="312"/>
    </row>
    <row r="272" spans="1:4" x14ac:dyDescent="0.2">
      <c r="A272" s="311"/>
      <c r="B272" s="310"/>
      <c r="C272" s="310"/>
      <c r="D272" s="312"/>
    </row>
    <row r="273" spans="1:4" x14ac:dyDescent="0.2">
      <c r="A273" s="311"/>
      <c r="B273" s="310"/>
      <c r="C273" s="310"/>
      <c r="D273" s="312"/>
    </row>
    <row r="274" spans="1:4" x14ac:dyDescent="0.2">
      <c r="A274" s="311"/>
      <c r="B274" s="310"/>
      <c r="C274" s="310"/>
      <c r="D274" s="312"/>
    </row>
    <row r="275" spans="1:4" x14ac:dyDescent="0.2">
      <c r="A275" s="311"/>
      <c r="B275" s="310"/>
      <c r="C275" s="310"/>
      <c r="D275" s="312"/>
    </row>
    <row r="276" spans="1:4" x14ac:dyDescent="0.2">
      <c r="A276" s="311"/>
      <c r="B276" s="310"/>
      <c r="C276" s="310"/>
      <c r="D276" s="312"/>
    </row>
    <row r="277" spans="1:4" x14ac:dyDescent="0.2">
      <c r="A277" s="311"/>
      <c r="B277" s="310"/>
      <c r="C277" s="310"/>
      <c r="D277" s="312"/>
    </row>
    <row r="278" spans="1:4" x14ac:dyDescent="0.2">
      <c r="A278" s="311"/>
      <c r="B278" s="310"/>
      <c r="C278" s="310"/>
      <c r="D278" s="312"/>
    </row>
    <row r="279" spans="1:4" x14ac:dyDescent="0.2">
      <c r="A279" s="311"/>
      <c r="B279" s="310"/>
      <c r="C279" s="310"/>
      <c r="D279" s="312"/>
    </row>
    <row r="280" spans="1:4" x14ac:dyDescent="0.2">
      <c r="A280" s="311"/>
      <c r="B280" s="310"/>
      <c r="C280" s="310"/>
      <c r="D280" s="312"/>
    </row>
    <row r="281" spans="1:4" x14ac:dyDescent="0.2">
      <c r="A281" s="311"/>
      <c r="B281" s="310"/>
      <c r="C281" s="310"/>
      <c r="D281" s="312"/>
    </row>
    <row r="282" spans="1:4" x14ac:dyDescent="0.2">
      <c r="A282" s="311"/>
      <c r="B282" s="310"/>
      <c r="C282" s="310"/>
      <c r="D282" s="312"/>
    </row>
    <row r="283" spans="1:4" x14ac:dyDescent="0.2">
      <c r="A283" s="311"/>
      <c r="B283" s="310"/>
      <c r="C283" s="310"/>
      <c r="D283" s="312"/>
    </row>
    <row r="284" spans="1:4" x14ac:dyDescent="0.2">
      <c r="A284" s="311"/>
      <c r="B284" s="310"/>
      <c r="C284" s="310"/>
      <c r="D284" s="312"/>
    </row>
    <row r="285" spans="1:4" x14ac:dyDescent="0.2">
      <c r="A285" s="311"/>
      <c r="B285" s="310"/>
      <c r="C285" s="310"/>
      <c r="D285" s="312"/>
    </row>
    <row r="286" spans="1:4" x14ac:dyDescent="0.2">
      <c r="A286" s="311"/>
      <c r="B286" s="310"/>
      <c r="C286" s="310"/>
      <c r="D286" s="312"/>
    </row>
    <row r="287" spans="1:4" x14ac:dyDescent="0.2">
      <c r="A287" s="311"/>
      <c r="B287" s="310"/>
      <c r="C287" s="310"/>
      <c r="D287" s="312"/>
    </row>
    <row r="288" spans="1:4" ht="13.5" thickBot="1" x14ac:dyDescent="0.25">
      <c r="A288" s="313"/>
      <c r="B288" s="314"/>
      <c r="C288" s="314"/>
      <c r="D288" s="315"/>
    </row>
  </sheetData>
  <dataValidations count="1">
    <dataValidation type="decimal" operator="greaterThanOrEqual" allowBlank="1" showInputMessage="1" showErrorMessage="1" errorTitle="Everything has a Load Value!" error="It has to be at least zero!" sqref="D2:D288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Calcs!$A$49:$A$50</xm:f>
          </x14:formula1>
          <xm:sqref>C2:C1335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88"/>
  <sheetViews>
    <sheetView workbookViewId="0">
      <selection activeCell="A10" sqref="A10"/>
    </sheetView>
  </sheetViews>
  <sheetFormatPr defaultRowHeight="12.75" x14ac:dyDescent="0.2"/>
  <cols>
    <col min="1" max="1" width="6.85546875" customWidth="1"/>
    <col min="2" max="2" width="8.5703125" customWidth="1"/>
    <col min="3" max="3" width="4.85546875" customWidth="1"/>
    <col min="4" max="4" width="10.5703125" customWidth="1"/>
    <col min="5" max="5" width="8.7109375" customWidth="1"/>
    <col min="6" max="6" width="9.42578125" customWidth="1"/>
    <col min="7" max="7" width="8.7109375" customWidth="1"/>
    <col min="8" max="8" width="10.42578125" customWidth="1"/>
    <col min="9" max="9" width="9.140625" customWidth="1"/>
    <col min="10" max="10" width="6.5703125" customWidth="1"/>
    <col min="11" max="11" width="48.42578125" bestFit="1" customWidth="1"/>
    <col min="14" max="14" width="4.28515625" customWidth="1"/>
    <col min="15" max="15" width="5.140625" customWidth="1"/>
    <col min="16" max="16" width="4.28515625" customWidth="1"/>
    <col min="17" max="17" width="4.5703125" customWidth="1"/>
    <col min="18" max="19" width="4.85546875" customWidth="1"/>
    <col min="20" max="20" width="4.28515625" customWidth="1"/>
    <col min="21" max="21" width="4.42578125" customWidth="1"/>
    <col min="22" max="22" width="10" style="26" bestFit="1" customWidth="1"/>
    <col min="23" max="23" width="11.7109375" style="26" customWidth="1"/>
    <col min="24" max="24" width="6.7109375" style="434" bestFit="1" customWidth="1"/>
    <col min="25" max="25" width="6.85546875" style="434" customWidth="1"/>
    <col min="26" max="26" width="7.28515625" style="434" bestFit="1" customWidth="1"/>
    <col min="27" max="27" width="95.42578125" bestFit="1" customWidth="1"/>
  </cols>
  <sheetData>
    <row r="1" spans="1:27" x14ac:dyDescent="0.2">
      <c r="A1" s="402" t="s">
        <v>347</v>
      </c>
      <c r="B1" s="403"/>
      <c r="C1" s="403"/>
      <c r="D1" s="403"/>
      <c r="E1" s="403"/>
      <c r="F1" s="402" t="s">
        <v>369</v>
      </c>
      <c r="G1" s="403"/>
      <c r="H1" s="403"/>
      <c r="I1" s="403"/>
      <c r="J1" s="403"/>
      <c r="K1" s="805" t="s">
        <v>336</v>
      </c>
      <c r="L1" s="805"/>
      <c r="M1" s="805"/>
      <c r="N1" s="805"/>
      <c r="O1" s="805"/>
      <c r="P1" s="805"/>
      <c r="Q1" s="805"/>
      <c r="R1" s="805"/>
      <c r="S1" s="805"/>
      <c r="T1" s="805"/>
      <c r="U1" s="805"/>
    </row>
    <row r="2" spans="1:27" x14ac:dyDescent="0.2">
      <c r="A2" t="s">
        <v>302</v>
      </c>
      <c r="D2" s="246" t="s">
        <v>299</v>
      </c>
      <c r="F2" s="2" t="s">
        <v>288</v>
      </c>
      <c r="G2" t="s">
        <v>368</v>
      </c>
      <c r="K2" s="263"/>
      <c r="L2" s="262" t="s">
        <v>333</v>
      </c>
      <c r="M2" s="262" t="s">
        <v>334</v>
      </c>
      <c r="N2" s="262" t="s">
        <v>335</v>
      </c>
      <c r="O2" s="262" t="s">
        <v>340</v>
      </c>
      <c r="P2" s="262" t="s">
        <v>341</v>
      </c>
      <c r="Q2" s="262" t="s">
        <v>342</v>
      </c>
      <c r="R2" s="262" t="s">
        <v>343</v>
      </c>
      <c r="S2" s="262" t="s">
        <v>344</v>
      </c>
      <c r="T2" s="262" t="s">
        <v>345</v>
      </c>
      <c r="U2" s="262" t="s">
        <v>346</v>
      </c>
    </row>
    <row r="3" spans="1:27" x14ac:dyDescent="0.2">
      <c r="A3" t="s">
        <v>303</v>
      </c>
      <c r="D3" s="399" t="s">
        <v>299</v>
      </c>
      <c r="F3" s="2" t="s">
        <v>43</v>
      </c>
      <c r="G3" t="s">
        <v>365</v>
      </c>
      <c r="K3" s="264" t="s">
        <v>337</v>
      </c>
      <c r="L3" s="261"/>
      <c r="M3" s="261"/>
      <c r="N3" s="261"/>
      <c r="O3" s="261"/>
      <c r="P3" s="261"/>
      <c r="Q3" s="261"/>
      <c r="R3" s="261"/>
      <c r="S3" s="261"/>
      <c r="T3" s="261"/>
      <c r="U3" s="261"/>
    </row>
    <row r="4" spans="1:27" x14ac:dyDescent="0.2">
      <c r="A4" t="s">
        <v>377</v>
      </c>
      <c r="D4" s="83" t="s">
        <v>381</v>
      </c>
      <c r="F4" s="2" t="s">
        <v>364</v>
      </c>
      <c r="G4" t="s">
        <v>366</v>
      </c>
      <c r="K4" s="264" t="s">
        <v>268</v>
      </c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7" x14ac:dyDescent="0.2">
      <c r="A5" t="s">
        <v>301</v>
      </c>
      <c r="D5" s="400">
        <f>IF(D2="Age Quickly",IF('Start Character'!K7&gt;6,'Start Character'!K6+20+1,'Start Character'!K6+20),IF(D2="Strong Faerie Blood",'Start Character'!K6+50+1,'Start Character'!K6+35+1))</f>
        <v>36</v>
      </c>
      <c r="F5" s="2" t="s">
        <v>367</v>
      </c>
      <c r="G5" t="s">
        <v>375</v>
      </c>
      <c r="K5" s="264" t="s">
        <v>376</v>
      </c>
      <c r="L5" s="254">
        <f>IF($D$4="Is Mundane",L4/10,L4/5)</f>
        <v>0</v>
      </c>
      <c r="M5" s="254">
        <f t="shared" ref="M5:U5" si="0">IF($D$4="Is Mundane",M4/10,M4/5)</f>
        <v>0</v>
      </c>
      <c r="N5" s="254">
        <f t="shared" si="0"/>
        <v>0</v>
      </c>
      <c r="O5" s="254">
        <f t="shared" si="0"/>
        <v>0</v>
      </c>
      <c r="P5" s="254">
        <f t="shared" si="0"/>
        <v>0</v>
      </c>
      <c r="Q5" s="254">
        <f t="shared" si="0"/>
        <v>0</v>
      </c>
      <c r="R5" s="254">
        <f t="shared" si="0"/>
        <v>0</v>
      </c>
      <c r="S5" s="254">
        <f t="shared" si="0"/>
        <v>0</v>
      </c>
      <c r="T5" s="254">
        <f t="shared" si="0"/>
        <v>0</v>
      </c>
      <c r="U5" s="254">
        <f t="shared" si="0"/>
        <v>0</v>
      </c>
    </row>
    <row r="6" spans="1:27" x14ac:dyDescent="0.2">
      <c r="A6" t="s">
        <v>319</v>
      </c>
      <c r="D6" s="254">
        <f>SUM(N10:U488)</f>
        <v>0</v>
      </c>
      <c r="F6" s="2"/>
      <c r="K6" s="264" t="s">
        <v>339</v>
      </c>
      <c r="L6" s="261"/>
      <c r="M6" s="261"/>
      <c r="N6" s="261"/>
      <c r="O6" s="261"/>
      <c r="P6" s="261"/>
      <c r="Q6" s="261"/>
      <c r="R6" s="261"/>
      <c r="S6" s="261"/>
      <c r="T6" s="261"/>
      <c r="U6" s="261"/>
    </row>
    <row r="7" spans="1:27" x14ac:dyDescent="0.2">
      <c r="E7" s="30"/>
      <c r="F7" s="30"/>
      <c r="G7" s="30"/>
    </row>
    <row r="8" spans="1:27" x14ac:dyDescent="0.2">
      <c r="A8" s="806" t="s">
        <v>166</v>
      </c>
      <c r="B8" s="806" t="s">
        <v>167</v>
      </c>
      <c r="C8" s="806" t="s">
        <v>2</v>
      </c>
      <c r="D8" s="806" t="s">
        <v>300</v>
      </c>
      <c r="E8" s="806" t="s">
        <v>288</v>
      </c>
      <c r="F8" s="809" t="s">
        <v>43</v>
      </c>
      <c r="G8" s="809" t="s">
        <v>364</v>
      </c>
      <c r="H8" s="806" t="s">
        <v>367</v>
      </c>
      <c r="I8" s="806" t="s">
        <v>413</v>
      </c>
      <c r="J8" s="806" t="s">
        <v>289</v>
      </c>
      <c r="K8" s="806" t="s">
        <v>290</v>
      </c>
      <c r="L8" s="811" t="s">
        <v>305</v>
      </c>
      <c r="M8" s="811" t="s">
        <v>321</v>
      </c>
      <c r="N8" s="807" t="s">
        <v>310</v>
      </c>
      <c r="O8" s="807"/>
      <c r="P8" s="807"/>
      <c r="Q8" s="807"/>
      <c r="R8" s="807"/>
      <c r="S8" s="807"/>
      <c r="T8" s="807"/>
      <c r="U8" s="807"/>
      <c r="V8" s="806" t="s">
        <v>320</v>
      </c>
      <c r="W8" s="806" t="s">
        <v>106</v>
      </c>
      <c r="X8" s="808" t="s">
        <v>322</v>
      </c>
      <c r="Y8" s="808" t="s">
        <v>414</v>
      </c>
      <c r="Z8" s="808" t="s">
        <v>331</v>
      </c>
      <c r="AA8" s="808" t="s">
        <v>332</v>
      </c>
    </row>
    <row r="9" spans="1:27" x14ac:dyDescent="0.2">
      <c r="A9" s="807"/>
      <c r="B9" s="807"/>
      <c r="C9" s="807"/>
      <c r="D9" s="807"/>
      <c r="E9" s="807"/>
      <c r="F9" s="810"/>
      <c r="G9" s="810"/>
      <c r="H9" s="807"/>
      <c r="I9" s="807"/>
      <c r="J9" s="807"/>
      <c r="K9" s="807"/>
      <c r="L9" s="807"/>
      <c r="M9" s="807"/>
      <c r="N9" s="268" t="s">
        <v>100</v>
      </c>
      <c r="O9" s="268" t="s">
        <v>13</v>
      </c>
      <c r="P9" s="268" t="s">
        <v>101</v>
      </c>
      <c r="Q9" s="269" t="s">
        <v>102</v>
      </c>
      <c r="R9" s="269" t="s">
        <v>6</v>
      </c>
      <c r="S9" s="268" t="s">
        <v>8</v>
      </c>
      <c r="T9" s="268" t="s">
        <v>7</v>
      </c>
      <c r="U9" s="268" t="s">
        <v>103</v>
      </c>
      <c r="V9" s="807"/>
      <c r="W9" s="807"/>
      <c r="X9" s="807"/>
      <c r="Y9" s="807"/>
      <c r="Z9" s="807"/>
      <c r="AA9" s="807"/>
    </row>
    <row r="10" spans="1:27" x14ac:dyDescent="0.2">
      <c r="A10" s="425">
        <f>D5</f>
        <v>36</v>
      </c>
      <c r="B10" s="425" t="str">
        <f>IF(D2="Age Quickly",IF(MONTH(Character!K3)&lt;7,"Summer","Winter"),"Winter")</f>
        <v>Winter</v>
      </c>
      <c r="C10" s="247">
        <f>IF(B10="Winter",A10-('Start Character'!$K$6)-1,IF('Start Character'!$K$7&gt;6,A10-('Start Character'!$K$6)-1,A10-('Start Character'!$K$6)))</f>
        <v>35</v>
      </c>
      <c r="D10" s="247">
        <f>IF($D$2="Age Quickly",C10*2,C10)</f>
        <v>35</v>
      </c>
      <c r="E10" s="246"/>
      <c r="F10" s="83"/>
      <c r="G10" s="83"/>
      <c r="H10" s="246"/>
      <c r="I10" s="433"/>
      <c r="J10" s="432">
        <f>IF(ISBLANK(I10),0,ROUNDUP(D10/10,0)-E10-H10-F10-G10+VLOOKUP($D$2,Calcs!$A$23:$B$27,2,FALSE)+I10)</f>
        <v>0</v>
      </c>
      <c r="K10" s="245" t="str">
        <f>IF(ISBLANK(I10)," ",VLOOKUP(J10,Calcs!$A$82:$H$106,2,TRUE))</f>
        <v xml:space="preserve"> </v>
      </c>
      <c r="L10" s="245">
        <f>IF(ISBLANK(I10),0,VLOOKUP(J10,Calcs!$A$82:$F$106,5,TRUE))</f>
        <v>0</v>
      </c>
      <c r="M10" s="208">
        <f>IF(J10=13,IF(ISNUMBER(W8),VLOOKUP(W8+1,Calcs!$O$4:$Q$24,3,TRUE)-V8,5),IF(J10&lt;10,0,IF(J10&lt;18,1,IF(J10&lt;22,2,IF(ISNUMBER(W8),VLOOKUP(W8+1,Calcs!$O$4:$Q$24,3,TRUE)-V8,5)))))</f>
        <v>0</v>
      </c>
      <c r="N10" s="245" t="str">
        <f t="shared" ref="N10:U25" si="1">IF(ISERROR(FIND(N$9,$K10))," ",1)</f>
        <v xml:space="preserve"> </v>
      </c>
      <c r="O10" s="245" t="str">
        <f t="shared" si="1"/>
        <v xml:space="preserve"> </v>
      </c>
      <c r="P10" s="245" t="str">
        <f t="shared" si="1"/>
        <v xml:space="preserve"> </v>
      </c>
      <c r="Q10" s="245" t="str">
        <f t="shared" si="1"/>
        <v xml:space="preserve"> </v>
      </c>
      <c r="R10" s="245" t="str">
        <f t="shared" si="1"/>
        <v xml:space="preserve"> </v>
      </c>
      <c r="S10" s="245" t="str">
        <f t="shared" si="1"/>
        <v xml:space="preserve"> </v>
      </c>
      <c r="T10" s="245" t="str">
        <f t="shared" si="1"/>
        <v xml:space="preserve"> </v>
      </c>
      <c r="U10" s="245" t="str">
        <f>IF(ISERROR(FIND(U$9,$K10))," ",1)</f>
        <v xml:space="preserve"> </v>
      </c>
      <c r="V10" s="208">
        <f>SUM($N$10:$U10)</f>
        <v>0</v>
      </c>
      <c r="W10" s="208">
        <f>VLOOKUP(V10,Calcs!$Q$4:$R$24,2,TRUE)</f>
        <v>0</v>
      </c>
      <c r="X10" s="435" t="str">
        <f>IF(ISERROR(FIND("Crisis",K10)),"No","Yes")</f>
        <v>No</v>
      </c>
      <c r="Y10" s="436"/>
      <c r="Z10" s="437">
        <f>IF(ISBLANK(Y10),0,ROUNDUP(D10/10,0)+W10+Y10)</f>
        <v>0</v>
      </c>
      <c r="AA10" s="245" t="str">
        <f>IF(AND(D3="Unaging",Z10&lt;15,X10="Yes"),"No Effect",IF(AND(X10="Yes",NOT(ISBLANK(Z10))),VLOOKUP(Z10,Calcs!$Y$48:$Z$57,2,TRUE)," "))</f>
        <v xml:space="preserve"> </v>
      </c>
    </row>
    <row r="11" spans="1:27" x14ac:dyDescent="0.2">
      <c r="A11" s="425">
        <f>IF(AND(D2="Age Quickly",B10="Winter"),A10,A10+1)</f>
        <v>37</v>
      </c>
      <c r="B11" s="425" t="str">
        <f t="shared" ref="B11:B74" si="2">IF(AND($D$2="Age Quickly",B10="Winter"),"Summer","Winter")</f>
        <v>Winter</v>
      </c>
      <c r="C11" s="247">
        <f>IF(B11="Winter",A11-('Start Character'!$K$6)-1,IF('Start Character'!$K$7&gt;6,A11-('Start Character'!$K$6)-1,A11-('Start Character'!$K$6)))</f>
        <v>36</v>
      </c>
      <c r="D11" s="247">
        <f t="shared" ref="D11:D74" si="3">IF($D$2="Age Quickly",IF(C10=C11,(C11*2)+1,C11*2),C11)</f>
        <v>36</v>
      </c>
      <c r="E11" s="246"/>
      <c r="F11" s="83"/>
      <c r="G11" s="83"/>
      <c r="H11" s="246"/>
      <c r="I11" s="433"/>
      <c r="J11" s="254">
        <f>IF(ISBLANK(I11),0,ROUNDUP(D11/10,0)-E11-H11-F11-G11+VLOOKUP($D$2,Calcs!$A$23:$B$27,2,FALSE)+I11)</f>
        <v>0</v>
      </c>
      <c r="K11" s="245" t="str">
        <f>IF(ISBLANK(I11)," ",VLOOKUP(J11,Calcs!$A$82:$H$106,2,TRUE))</f>
        <v xml:space="preserve"> </v>
      </c>
      <c r="L11" s="245">
        <f>IF(ISBLANK(I11),0,VLOOKUP(J11,Calcs!$A$82:$F$106,5,TRUE))</f>
        <v>0</v>
      </c>
      <c r="M11" s="208">
        <f>IF(J11=13,IF(ISNUMBER(W10),VLOOKUP(W10+1,Calcs!$O$4:$Q$24,3,TRUE)-V10,5),IF(J11&lt;10,0,IF(J11&lt;18,1,IF(J11&lt;22,2,IF(ISNUMBER(W10),VLOOKUP(W10+1,Calcs!$O$4:$Q$24,3,TRUE)-V10,5)))))</f>
        <v>0</v>
      </c>
      <c r="N11" s="245" t="str">
        <f t="shared" si="1"/>
        <v xml:space="preserve"> </v>
      </c>
      <c r="O11" s="245" t="str">
        <f t="shared" si="1"/>
        <v xml:space="preserve"> </v>
      </c>
      <c r="P11" s="245" t="str">
        <f t="shared" si="1"/>
        <v xml:space="preserve"> </v>
      </c>
      <c r="Q11" s="245" t="str">
        <f t="shared" si="1"/>
        <v xml:space="preserve"> </v>
      </c>
      <c r="R11" s="245" t="str">
        <f t="shared" si="1"/>
        <v xml:space="preserve"> </v>
      </c>
      <c r="S11" s="245" t="str">
        <f t="shared" si="1"/>
        <v xml:space="preserve"> </v>
      </c>
      <c r="T11" s="245" t="str">
        <f t="shared" si="1"/>
        <v xml:space="preserve"> </v>
      </c>
      <c r="U11" s="245" t="str">
        <f t="shared" si="1"/>
        <v xml:space="preserve"> </v>
      </c>
      <c r="V11" s="208">
        <f>SUM($N$10:$U11)</f>
        <v>0</v>
      </c>
      <c r="W11" s="208">
        <f>VLOOKUP(V11,Calcs!$Q$4:$R$24,2,TRUE)</f>
        <v>0</v>
      </c>
      <c r="X11" s="435" t="str">
        <f t="shared" ref="X11:X74" si="4">IF(ISERROR(FIND("Crisis",K11)),"No","Yes")</f>
        <v>No</v>
      </c>
      <c r="Y11" s="436"/>
      <c r="Z11" s="435">
        <f t="shared" ref="Z11:Z74" si="5">IF(ISBLANK(Y11),0,ROUNDUP(D11/10,0)+W11+Y11)</f>
        <v>0</v>
      </c>
      <c r="AA11" s="245" t="str">
        <f>IF(AND(X11="Yes",NOT(ISBLANK(Z11))),VLOOKUP(Z11,Calcs!$Y$48:$Z$57,2,TRUE)," ")</f>
        <v xml:space="preserve"> </v>
      </c>
    </row>
    <row r="12" spans="1:27" x14ac:dyDescent="0.2">
      <c r="A12" s="425">
        <f t="shared" ref="A12:A75" si="6">IF($D$2&lt;&gt;"Age Quickly",A11+1,IF(A11=A10,A11+1,A11))</f>
        <v>38</v>
      </c>
      <c r="B12" s="425" t="str">
        <f t="shared" si="2"/>
        <v>Winter</v>
      </c>
      <c r="C12" s="247">
        <f>IF(B12="Winter",A12-('Start Character'!$K$6)-1,IF('Start Character'!$K$7&gt;6,A12-('Start Character'!$K$6)-1,A12-('Start Character'!$K$6)))</f>
        <v>37</v>
      </c>
      <c r="D12" s="247">
        <f t="shared" si="3"/>
        <v>37</v>
      </c>
      <c r="E12" s="246"/>
      <c r="F12" s="83"/>
      <c r="G12" s="83"/>
      <c r="H12" s="246"/>
      <c r="I12" s="433"/>
      <c r="J12" s="254">
        <f>IF(ISBLANK(I12),0,ROUNDUP(D12/10,0)-E12-H12-F12-G12+VLOOKUP($D$2,Calcs!$A$23:$B$27,2,FALSE)+I12)</f>
        <v>0</v>
      </c>
      <c r="K12" s="245" t="str">
        <f>IF(ISBLANK(I12)," ",VLOOKUP(J12,Calcs!$A$82:$H$106,2,TRUE))</f>
        <v xml:space="preserve"> </v>
      </c>
      <c r="L12" s="245">
        <f>IF(ISBLANK(I12),0,VLOOKUP(J12,Calcs!$A$82:$F$106,5,TRUE))</f>
        <v>0</v>
      </c>
      <c r="M12" s="208">
        <f>IF(J12=13,IF(ISNUMBER(W11),VLOOKUP(W11+1,Calcs!$O$4:$Q$24,3,TRUE)-V11,5),IF(J12&lt;10,0,IF(J12&lt;18,1,IF(J12&lt;22,2,IF(ISNUMBER(W11),VLOOKUP(W11+1,Calcs!$O$4:$Q$24,3,TRUE)-V11,5)))))</f>
        <v>0</v>
      </c>
      <c r="N12" s="245" t="str">
        <f t="shared" si="1"/>
        <v xml:space="preserve"> </v>
      </c>
      <c r="O12" s="245" t="str">
        <f t="shared" si="1"/>
        <v xml:space="preserve"> </v>
      </c>
      <c r="P12" s="245" t="str">
        <f t="shared" si="1"/>
        <v xml:space="preserve"> </v>
      </c>
      <c r="Q12" s="245" t="str">
        <f t="shared" si="1"/>
        <v xml:space="preserve"> </v>
      </c>
      <c r="R12" s="245" t="str">
        <f t="shared" si="1"/>
        <v xml:space="preserve"> </v>
      </c>
      <c r="S12" s="245" t="str">
        <f t="shared" si="1"/>
        <v xml:space="preserve"> </v>
      </c>
      <c r="T12" s="245" t="str">
        <f t="shared" si="1"/>
        <v xml:space="preserve"> </v>
      </c>
      <c r="U12" s="245" t="str">
        <f t="shared" si="1"/>
        <v xml:space="preserve"> </v>
      </c>
      <c r="V12" s="208">
        <f>SUM($N$10:$U12)</f>
        <v>0</v>
      </c>
      <c r="W12" s="208">
        <f>VLOOKUP(V12,Calcs!$Q$4:$R$24,2,TRUE)</f>
        <v>0</v>
      </c>
      <c r="X12" s="435" t="str">
        <f t="shared" si="4"/>
        <v>No</v>
      </c>
      <c r="Y12" s="436"/>
      <c r="Z12" s="435">
        <f t="shared" si="5"/>
        <v>0</v>
      </c>
      <c r="AA12" s="245" t="str">
        <f>IF(AND(X12="Yes",NOT(ISBLANK(Z12))),VLOOKUP(Z12,Calcs!$Y$48:$Z$57,2,TRUE)," ")</f>
        <v xml:space="preserve"> </v>
      </c>
    </row>
    <row r="13" spans="1:27" x14ac:dyDescent="0.2">
      <c r="A13" s="425">
        <f t="shared" si="6"/>
        <v>39</v>
      </c>
      <c r="B13" s="425" t="str">
        <f t="shared" si="2"/>
        <v>Winter</v>
      </c>
      <c r="C13" s="247">
        <f>IF(B13="Winter",A13-('Start Character'!$K$6)-1,IF('Start Character'!$K$7&gt;6,A13-('Start Character'!$K$6)-1,A13-('Start Character'!$K$6)))</f>
        <v>38</v>
      </c>
      <c r="D13" s="247">
        <f t="shared" si="3"/>
        <v>38</v>
      </c>
      <c r="E13" s="246"/>
      <c r="F13" s="83"/>
      <c r="G13" s="83"/>
      <c r="H13" s="246"/>
      <c r="I13" s="433"/>
      <c r="J13" s="254">
        <f>IF(ISBLANK(I13),0,ROUNDUP(D13/10,0)-E13-H13-F13-G13+VLOOKUP($D$2,Calcs!$A$23:$B$27,2,FALSE)+I13)</f>
        <v>0</v>
      </c>
      <c r="K13" s="245" t="str">
        <f>IF(ISBLANK(I13)," ",VLOOKUP(J13,Calcs!$A$82:$H$106,2,TRUE))</f>
        <v xml:space="preserve"> </v>
      </c>
      <c r="L13" s="245">
        <f>IF(ISBLANK(I13),0,VLOOKUP(J13,Calcs!$A$82:$F$106,5,TRUE))</f>
        <v>0</v>
      </c>
      <c r="M13" s="208">
        <f>IF(J13=13,IF(ISNUMBER(W12),VLOOKUP(W12+1,Calcs!$O$4:$Q$24,3,TRUE)-V12,5),IF(J13&lt;10,0,IF(J13&lt;18,1,IF(J13&lt;22,2,IF(ISNUMBER(W12),VLOOKUP(W12+1,Calcs!$O$4:$Q$24,3,TRUE)-V12,5)))))</f>
        <v>0</v>
      </c>
      <c r="N13" s="245" t="str">
        <f t="shared" si="1"/>
        <v xml:space="preserve"> </v>
      </c>
      <c r="O13" s="245" t="str">
        <f t="shared" si="1"/>
        <v xml:space="preserve"> </v>
      </c>
      <c r="P13" s="245" t="str">
        <f t="shared" si="1"/>
        <v xml:space="preserve"> </v>
      </c>
      <c r="Q13" s="245" t="str">
        <f t="shared" si="1"/>
        <v xml:space="preserve"> </v>
      </c>
      <c r="R13" s="245" t="str">
        <f t="shared" si="1"/>
        <v xml:space="preserve"> </v>
      </c>
      <c r="S13" s="245" t="str">
        <f t="shared" si="1"/>
        <v xml:space="preserve"> </v>
      </c>
      <c r="T13" s="245" t="str">
        <f t="shared" si="1"/>
        <v xml:space="preserve"> </v>
      </c>
      <c r="U13" s="245" t="str">
        <f t="shared" si="1"/>
        <v xml:space="preserve"> </v>
      </c>
      <c r="V13" s="208">
        <f>SUM($N$10:$U13)</f>
        <v>0</v>
      </c>
      <c r="W13" s="208">
        <f>VLOOKUP(V13,Calcs!$Q$4:$R$24,2,TRUE)</f>
        <v>0</v>
      </c>
      <c r="X13" s="435" t="str">
        <f t="shared" si="4"/>
        <v>No</v>
      </c>
      <c r="Y13" s="436"/>
      <c r="Z13" s="435">
        <f t="shared" si="5"/>
        <v>0</v>
      </c>
      <c r="AA13" s="245" t="str">
        <f>IF(AND(X13="Yes",NOT(ISBLANK(Z13))),VLOOKUP(Z13,Calcs!$Y$48:$Z$57,2,TRUE)," ")</f>
        <v xml:space="preserve"> </v>
      </c>
    </row>
    <row r="14" spans="1:27" x14ac:dyDescent="0.2">
      <c r="A14" s="425">
        <f t="shared" si="6"/>
        <v>40</v>
      </c>
      <c r="B14" s="425" t="str">
        <f t="shared" si="2"/>
        <v>Winter</v>
      </c>
      <c r="C14" s="247">
        <f>IF(B14="Winter",A14-('Start Character'!$K$6)-1,IF('Start Character'!$K$7&gt;6,A14-('Start Character'!$K$6)-1,A14-('Start Character'!$K$6)))</f>
        <v>39</v>
      </c>
      <c r="D14" s="247">
        <f t="shared" si="3"/>
        <v>39</v>
      </c>
      <c r="E14" s="246"/>
      <c r="F14" s="83"/>
      <c r="G14" s="83"/>
      <c r="H14" s="246"/>
      <c r="I14" s="433"/>
      <c r="J14" s="254">
        <f>IF(ISBLANK(I14),0,ROUNDUP(D14/10,0)-E14-H14-F14-G14+VLOOKUP($D$2,Calcs!$A$23:$B$27,2,FALSE)+I14)</f>
        <v>0</v>
      </c>
      <c r="K14" s="245" t="str">
        <f>IF(ISBLANK(I14)," ",VLOOKUP(J14,Calcs!$A$82:$H$106,2,TRUE))</f>
        <v xml:space="preserve"> </v>
      </c>
      <c r="L14" s="245">
        <f>IF(ISBLANK(I14),0,VLOOKUP(J14,Calcs!$A$82:$F$106,5,TRUE))</f>
        <v>0</v>
      </c>
      <c r="M14" s="208">
        <f>IF(J14=13,IF(ISNUMBER(W13),VLOOKUP(W13+1,Calcs!$O$4:$Q$24,3,TRUE)-V13,5),IF(J14&lt;10,0,IF(J14&lt;18,1,IF(J14&lt;22,2,IF(ISNUMBER(W13),VLOOKUP(W13+1,Calcs!$O$4:$Q$24,3,TRUE)-V13,5)))))</f>
        <v>0</v>
      </c>
      <c r="N14" s="245" t="str">
        <f t="shared" si="1"/>
        <v xml:space="preserve"> </v>
      </c>
      <c r="O14" s="245" t="str">
        <f t="shared" si="1"/>
        <v xml:space="preserve"> </v>
      </c>
      <c r="P14" s="245" t="str">
        <f t="shared" si="1"/>
        <v xml:space="preserve"> </v>
      </c>
      <c r="Q14" s="245" t="str">
        <f t="shared" si="1"/>
        <v xml:space="preserve"> </v>
      </c>
      <c r="R14" s="245" t="str">
        <f t="shared" si="1"/>
        <v xml:space="preserve"> </v>
      </c>
      <c r="S14" s="245" t="str">
        <f t="shared" si="1"/>
        <v xml:space="preserve"> </v>
      </c>
      <c r="T14" s="245" t="str">
        <f t="shared" si="1"/>
        <v xml:space="preserve"> </v>
      </c>
      <c r="U14" s="245" t="str">
        <f t="shared" si="1"/>
        <v xml:space="preserve"> </v>
      </c>
      <c r="V14" s="208">
        <f>SUM($N$10:$U14)</f>
        <v>0</v>
      </c>
      <c r="W14" s="208">
        <f>VLOOKUP(V14,Calcs!$Q$4:$R$24,2,TRUE)</f>
        <v>0</v>
      </c>
      <c r="X14" s="435" t="str">
        <f t="shared" si="4"/>
        <v>No</v>
      </c>
      <c r="Y14" s="436"/>
      <c r="Z14" s="435">
        <f t="shared" si="5"/>
        <v>0</v>
      </c>
      <c r="AA14" s="245" t="str">
        <f>IF(AND(X14="Yes",NOT(ISBLANK(Z14))),VLOOKUP(Z14,Calcs!$Y$48:$Z$57,2,TRUE)," ")</f>
        <v xml:space="preserve"> </v>
      </c>
    </row>
    <row r="15" spans="1:27" x14ac:dyDescent="0.2">
      <c r="A15" s="425">
        <f t="shared" si="6"/>
        <v>41</v>
      </c>
      <c r="B15" s="425" t="str">
        <f t="shared" si="2"/>
        <v>Winter</v>
      </c>
      <c r="C15" s="247">
        <f>IF(B15="Winter",A15-('Start Character'!$K$6)-1,IF('Start Character'!$K$7&gt;6,A15-('Start Character'!$K$6)-1,A15-('Start Character'!$K$6)))</f>
        <v>40</v>
      </c>
      <c r="D15" s="247">
        <f t="shared" si="3"/>
        <v>40</v>
      </c>
      <c r="E15" s="246"/>
      <c r="F15" s="83"/>
      <c r="G15" s="83"/>
      <c r="H15" s="246"/>
      <c r="I15" s="433"/>
      <c r="J15" s="254">
        <f>IF(ISBLANK(I15),0,ROUNDUP(D15/10,0)-E15-H15-F15-G15+VLOOKUP($D$2,Calcs!$A$23:$B$27,2,FALSE)+I15)</f>
        <v>0</v>
      </c>
      <c r="K15" s="245" t="str">
        <f>IF(ISBLANK(I15)," ",VLOOKUP(J15,Calcs!$A$82:$H$106,2,TRUE))</f>
        <v xml:space="preserve"> </v>
      </c>
      <c r="L15" s="245">
        <f>IF(ISBLANK(I15),0,VLOOKUP(J15,Calcs!$A$82:$F$106,5,TRUE))</f>
        <v>0</v>
      </c>
      <c r="M15" s="208">
        <f>IF(J15=13,IF(ISNUMBER(W14),VLOOKUP(W14+1,Calcs!$O$4:$Q$24,3,TRUE)-V14,5),IF(J15&lt;10,0,IF(J15&lt;18,1,IF(J15&lt;22,2,IF(ISNUMBER(W14),VLOOKUP(W14+1,Calcs!$O$4:$Q$24,3,TRUE)-V14,5)))))</f>
        <v>0</v>
      </c>
      <c r="N15" s="245" t="str">
        <f t="shared" si="1"/>
        <v xml:space="preserve"> </v>
      </c>
      <c r="O15" s="245" t="str">
        <f t="shared" si="1"/>
        <v xml:space="preserve"> </v>
      </c>
      <c r="P15" s="245" t="str">
        <f t="shared" si="1"/>
        <v xml:space="preserve"> </v>
      </c>
      <c r="Q15" s="245" t="str">
        <f t="shared" si="1"/>
        <v xml:space="preserve"> </v>
      </c>
      <c r="R15" s="245" t="str">
        <f t="shared" si="1"/>
        <v xml:space="preserve"> </v>
      </c>
      <c r="S15" s="245" t="str">
        <f t="shared" si="1"/>
        <v xml:space="preserve"> </v>
      </c>
      <c r="T15" s="245" t="str">
        <f t="shared" si="1"/>
        <v xml:space="preserve"> </v>
      </c>
      <c r="U15" s="245" t="str">
        <f t="shared" si="1"/>
        <v xml:space="preserve"> </v>
      </c>
      <c r="V15" s="208">
        <f>SUM($N$10:$U15)</f>
        <v>0</v>
      </c>
      <c r="W15" s="208">
        <f>VLOOKUP(V15,Calcs!$Q$4:$R$24,2,TRUE)</f>
        <v>0</v>
      </c>
      <c r="X15" s="435" t="str">
        <f t="shared" si="4"/>
        <v>No</v>
      </c>
      <c r="Y15" s="436"/>
      <c r="Z15" s="435">
        <f t="shared" si="5"/>
        <v>0</v>
      </c>
      <c r="AA15" s="245" t="str">
        <f>IF(AND(X15="Yes",NOT(ISBLANK(Z15))),VLOOKUP(Z15,Calcs!$Y$48:$Z$57,2,TRUE)," ")</f>
        <v xml:space="preserve"> </v>
      </c>
    </row>
    <row r="16" spans="1:27" x14ac:dyDescent="0.2">
      <c r="A16" s="425">
        <f t="shared" si="6"/>
        <v>42</v>
      </c>
      <c r="B16" s="425" t="str">
        <f t="shared" si="2"/>
        <v>Winter</v>
      </c>
      <c r="C16" s="247">
        <f>IF(B16="Winter",A16-('Start Character'!$K$6)-1,IF('Start Character'!$K$7&gt;6,A16-('Start Character'!$K$6)-1,A16-('Start Character'!$K$6)))</f>
        <v>41</v>
      </c>
      <c r="D16" s="247">
        <f t="shared" si="3"/>
        <v>41</v>
      </c>
      <c r="E16" s="246"/>
      <c r="F16" s="83"/>
      <c r="G16" s="83"/>
      <c r="H16" s="246"/>
      <c r="I16" s="433"/>
      <c r="J16" s="254">
        <f>IF(ISBLANK(I16),0,ROUNDUP(D16/10,0)-E16-H16-F16-G16+VLOOKUP($D$2,Calcs!$A$23:$B$27,2,FALSE)+I16)</f>
        <v>0</v>
      </c>
      <c r="K16" s="245" t="str">
        <f>IF(ISBLANK(I16)," ",VLOOKUP(J16,Calcs!$A$82:$H$106,2,TRUE))</f>
        <v xml:space="preserve"> </v>
      </c>
      <c r="L16" s="245">
        <f>IF(ISBLANK(I16),0,VLOOKUP(J16,Calcs!$A$82:$F$106,5,TRUE))</f>
        <v>0</v>
      </c>
      <c r="M16" s="208">
        <f>IF(J16=13,IF(ISNUMBER(W15),VLOOKUP(W15+1,Calcs!$O$4:$Q$24,3,TRUE)-V15,5),IF(J16&lt;10,0,IF(J16&lt;18,1,IF(J16&lt;22,2,IF(ISNUMBER(W15),VLOOKUP(W15+1,Calcs!$O$4:$Q$24,3,TRUE)-V15,5)))))</f>
        <v>0</v>
      </c>
      <c r="N16" s="245" t="str">
        <f t="shared" si="1"/>
        <v xml:space="preserve"> </v>
      </c>
      <c r="O16" s="245" t="str">
        <f t="shared" si="1"/>
        <v xml:space="preserve"> </v>
      </c>
      <c r="P16" s="245" t="str">
        <f t="shared" si="1"/>
        <v xml:space="preserve"> </v>
      </c>
      <c r="Q16" s="245" t="str">
        <f t="shared" si="1"/>
        <v xml:space="preserve"> </v>
      </c>
      <c r="R16" s="245" t="str">
        <f t="shared" si="1"/>
        <v xml:space="preserve"> </v>
      </c>
      <c r="S16" s="245" t="str">
        <f t="shared" si="1"/>
        <v xml:space="preserve"> </v>
      </c>
      <c r="T16" s="245" t="str">
        <f t="shared" si="1"/>
        <v xml:space="preserve"> </v>
      </c>
      <c r="U16" s="245" t="str">
        <f t="shared" si="1"/>
        <v xml:space="preserve"> </v>
      </c>
      <c r="V16" s="208">
        <f>SUM($N$10:$U16)</f>
        <v>0</v>
      </c>
      <c r="W16" s="208">
        <f>VLOOKUP(V16,Calcs!$Q$4:$R$24,2,TRUE)</f>
        <v>0</v>
      </c>
      <c r="X16" s="435" t="str">
        <f t="shared" si="4"/>
        <v>No</v>
      </c>
      <c r="Y16" s="436"/>
      <c r="Z16" s="435">
        <f t="shared" si="5"/>
        <v>0</v>
      </c>
      <c r="AA16" s="245" t="str">
        <f>IF(AND(X16="Yes",NOT(ISBLANK(Z16))),VLOOKUP(Z16,Calcs!$Y$48:$Z$57,2,TRUE)," ")</f>
        <v xml:space="preserve"> </v>
      </c>
    </row>
    <row r="17" spans="1:27" x14ac:dyDescent="0.2">
      <c r="A17" s="425">
        <f t="shared" si="6"/>
        <v>43</v>
      </c>
      <c r="B17" s="425" t="str">
        <f t="shared" si="2"/>
        <v>Winter</v>
      </c>
      <c r="C17" s="247">
        <f>IF(B17="Winter",A17-('Start Character'!$K$6)-1,IF('Start Character'!$K$7&gt;6,A17-('Start Character'!$K$6)-1,A17-('Start Character'!$K$6)))</f>
        <v>42</v>
      </c>
      <c r="D17" s="247">
        <f t="shared" si="3"/>
        <v>42</v>
      </c>
      <c r="E17" s="246"/>
      <c r="F17" s="83"/>
      <c r="G17" s="83"/>
      <c r="H17" s="246"/>
      <c r="I17" s="433"/>
      <c r="J17" s="254">
        <f>IF(ISBLANK(I17),0,ROUNDUP(D17/10,0)-E17-H17-F17-G17+VLOOKUP($D$2,Calcs!$A$23:$B$27,2,FALSE)+I17)</f>
        <v>0</v>
      </c>
      <c r="K17" s="245" t="str">
        <f>IF(ISBLANK(I17)," ",VLOOKUP(J17,Calcs!$A$82:$H$106,2,TRUE))</f>
        <v xml:space="preserve"> </v>
      </c>
      <c r="L17" s="245">
        <f>IF(ISBLANK(I17),0,VLOOKUP(J17,Calcs!$A$82:$F$106,5,TRUE))</f>
        <v>0</v>
      </c>
      <c r="M17" s="208">
        <f>IF(J17=13,IF(ISNUMBER(W16),VLOOKUP(W16+1,Calcs!$O$4:$Q$24,3,TRUE)-V16,5),IF(J17&lt;10,0,IF(J17&lt;18,1,IF(J17&lt;22,2,IF(ISNUMBER(W16),VLOOKUP(W16+1,Calcs!$O$4:$Q$24,3,TRUE)-V16,5)))))</f>
        <v>0</v>
      </c>
      <c r="N17" s="245" t="str">
        <f t="shared" si="1"/>
        <v xml:space="preserve"> </v>
      </c>
      <c r="O17" s="245" t="str">
        <f t="shared" si="1"/>
        <v xml:space="preserve"> </v>
      </c>
      <c r="P17" s="245" t="str">
        <f t="shared" si="1"/>
        <v xml:space="preserve"> </v>
      </c>
      <c r="Q17" s="245" t="str">
        <f t="shared" si="1"/>
        <v xml:space="preserve"> </v>
      </c>
      <c r="R17" s="245" t="str">
        <f t="shared" si="1"/>
        <v xml:space="preserve"> </v>
      </c>
      <c r="S17" s="245" t="str">
        <f t="shared" si="1"/>
        <v xml:space="preserve"> </v>
      </c>
      <c r="T17" s="245" t="str">
        <f t="shared" si="1"/>
        <v xml:space="preserve"> </v>
      </c>
      <c r="U17" s="245" t="str">
        <f t="shared" si="1"/>
        <v xml:space="preserve"> </v>
      </c>
      <c r="V17" s="208">
        <f>SUM($N$10:$U17)</f>
        <v>0</v>
      </c>
      <c r="W17" s="208">
        <f>VLOOKUP(V17,Calcs!$Q$4:$R$24,2,TRUE)</f>
        <v>0</v>
      </c>
      <c r="X17" s="435" t="str">
        <f t="shared" si="4"/>
        <v>No</v>
      </c>
      <c r="Y17" s="436"/>
      <c r="Z17" s="435">
        <f t="shared" si="5"/>
        <v>0</v>
      </c>
      <c r="AA17" s="245" t="str">
        <f>IF(AND(X17="Yes",NOT(ISBLANK(Z17))),VLOOKUP(Z17,Calcs!$Y$48:$Z$57,2,TRUE)," ")</f>
        <v xml:space="preserve"> </v>
      </c>
    </row>
    <row r="18" spans="1:27" x14ac:dyDescent="0.2">
      <c r="A18" s="425">
        <f t="shared" si="6"/>
        <v>44</v>
      </c>
      <c r="B18" s="425" t="str">
        <f t="shared" si="2"/>
        <v>Winter</v>
      </c>
      <c r="C18" s="247">
        <f>IF(B18="Winter",A18-('Start Character'!$K$6)-1,IF('Start Character'!$K$7&gt;6,A18-('Start Character'!$K$6)-1,A18-('Start Character'!$K$6)))</f>
        <v>43</v>
      </c>
      <c r="D18" s="247">
        <f t="shared" si="3"/>
        <v>43</v>
      </c>
      <c r="E18" s="246"/>
      <c r="F18" s="83"/>
      <c r="G18" s="83"/>
      <c r="H18" s="246"/>
      <c r="I18" s="433"/>
      <c r="J18" s="254">
        <f>IF(ISBLANK(I18),0,ROUNDUP(D18/10,0)-E18-H18-F18-G18+VLOOKUP($D$2,Calcs!$A$23:$B$27,2,FALSE)+I18)</f>
        <v>0</v>
      </c>
      <c r="K18" s="245" t="str">
        <f>IF(ISBLANK(I18)," ",VLOOKUP(J18,Calcs!$A$82:$H$106,2,TRUE))</f>
        <v xml:space="preserve"> </v>
      </c>
      <c r="L18" s="245">
        <f>IF(ISBLANK(I18),0,VLOOKUP(J18,Calcs!$A$82:$F$106,5,TRUE))</f>
        <v>0</v>
      </c>
      <c r="M18" s="208">
        <f>IF(J18=13,IF(ISNUMBER(W17),VLOOKUP(W17+1,Calcs!$O$4:$Q$24,3,TRUE)-V17,5),IF(J18&lt;10,0,IF(J18&lt;18,1,IF(J18&lt;22,2,IF(ISNUMBER(W17),VLOOKUP(W17+1,Calcs!$O$4:$Q$24,3,TRUE)-V17,5)))))</f>
        <v>0</v>
      </c>
      <c r="N18" s="245" t="str">
        <f t="shared" si="1"/>
        <v xml:space="preserve"> </v>
      </c>
      <c r="O18" s="245" t="str">
        <f t="shared" si="1"/>
        <v xml:space="preserve"> </v>
      </c>
      <c r="P18" s="245" t="str">
        <f t="shared" si="1"/>
        <v xml:space="preserve"> </v>
      </c>
      <c r="Q18" s="245" t="str">
        <f t="shared" si="1"/>
        <v xml:space="preserve"> </v>
      </c>
      <c r="R18" s="245" t="str">
        <f t="shared" si="1"/>
        <v xml:space="preserve"> </v>
      </c>
      <c r="S18" s="245" t="str">
        <f t="shared" si="1"/>
        <v xml:space="preserve"> </v>
      </c>
      <c r="T18" s="245" t="str">
        <f t="shared" si="1"/>
        <v xml:space="preserve"> </v>
      </c>
      <c r="U18" s="245" t="str">
        <f t="shared" si="1"/>
        <v xml:space="preserve"> </v>
      </c>
      <c r="V18" s="208">
        <f>SUM($N$10:$U18)</f>
        <v>0</v>
      </c>
      <c r="W18" s="208">
        <f>VLOOKUP(V18,Calcs!$Q$4:$R$24,2,TRUE)</f>
        <v>0</v>
      </c>
      <c r="X18" s="435" t="str">
        <f t="shared" si="4"/>
        <v>No</v>
      </c>
      <c r="Y18" s="436"/>
      <c r="Z18" s="435">
        <f t="shared" si="5"/>
        <v>0</v>
      </c>
      <c r="AA18" s="245" t="str">
        <f>IF(AND(X18="Yes",NOT(ISBLANK(Z18))),VLOOKUP(Z18,Calcs!$Y$48:$Z$57,2,TRUE)," ")</f>
        <v xml:space="preserve"> </v>
      </c>
    </row>
    <row r="19" spans="1:27" x14ac:dyDescent="0.2">
      <c r="A19" s="425">
        <f t="shared" si="6"/>
        <v>45</v>
      </c>
      <c r="B19" s="425" t="str">
        <f t="shared" si="2"/>
        <v>Winter</v>
      </c>
      <c r="C19" s="247">
        <f>IF(B19="Winter",A19-('Start Character'!$K$6)-1,IF('Start Character'!$K$7&gt;6,A19-('Start Character'!$K$6)-1,A19-('Start Character'!$K$6)))</f>
        <v>44</v>
      </c>
      <c r="D19" s="247">
        <f t="shared" si="3"/>
        <v>44</v>
      </c>
      <c r="E19" s="246"/>
      <c r="F19" s="83"/>
      <c r="G19" s="83"/>
      <c r="H19" s="246"/>
      <c r="I19" s="433"/>
      <c r="J19" s="254">
        <f>IF(ISBLANK(I19),0,ROUNDUP(D19/10,0)-E19-H19-F19-G19+VLOOKUP($D$2,Calcs!$A$23:$B$27,2,FALSE)+I19)</f>
        <v>0</v>
      </c>
      <c r="K19" s="245" t="str">
        <f>IF(ISBLANK(I19)," ",VLOOKUP(J19,Calcs!$A$82:$H$106,2,TRUE))</f>
        <v xml:space="preserve"> </v>
      </c>
      <c r="L19" s="245">
        <f>IF(ISBLANK(I19),0,VLOOKUP(J19,Calcs!$A$82:$F$106,5,TRUE))</f>
        <v>0</v>
      </c>
      <c r="M19" s="208">
        <f>IF(J19=13,IF(ISNUMBER(W18),VLOOKUP(W18+1,Calcs!$O$4:$Q$24,3,TRUE)-V18,5),IF(J19&lt;10,0,IF(J19&lt;18,1,IF(J19&lt;22,2,IF(ISNUMBER(W18),VLOOKUP(W18+1,Calcs!$O$4:$Q$24,3,TRUE)-V18,5)))))</f>
        <v>0</v>
      </c>
      <c r="N19" s="245" t="str">
        <f t="shared" si="1"/>
        <v xml:space="preserve"> </v>
      </c>
      <c r="O19" s="245" t="str">
        <f t="shared" si="1"/>
        <v xml:space="preserve"> </v>
      </c>
      <c r="P19" s="245" t="str">
        <f t="shared" si="1"/>
        <v xml:space="preserve"> </v>
      </c>
      <c r="Q19" s="245" t="str">
        <f t="shared" si="1"/>
        <v xml:space="preserve"> </v>
      </c>
      <c r="R19" s="245" t="str">
        <f t="shared" si="1"/>
        <v xml:space="preserve"> </v>
      </c>
      <c r="S19" s="245" t="str">
        <f t="shared" si="1"/>
        <v xml:space="preserve"> </v>
      </c>
      <c r="T19" s="245" t="str">
        <f t="shared" si="1"/>
        <v xml:space="preserve"> </v>
      </c>
      <c r="U19" s="245" t="str">
        <f t="shared" si="1"/>
        <v xml:space="preserve"> </v>
      </c>
      <c r="V19" s="208">
        <f>SUM($N$10:$U19)</f>
        <v>0</v>
      </c>
      <c r="W19" s="208">
        <f>VLOOKUP(V19,Calcs!$Q$4:$R$24,2,TRUE)</f>
        <v>0</v>
      </c>
      <c r="X19" s="435" t="str">
        <f t="shared" si="4"/>
        <v>No</v>
      </c>
      <c r="Y19" s="436"/>
      <c r="Z19" s="435">
        <f t="shared" si="5"/>
        <v>0</v>
      </c>
      <c r="AA19" s="245" t="str">
        <f>IF(AND(X19="Yes",NOT(ISBLANK(Z19))),VLOOKUP(Z19,Calcs!$Y$48:$Z$57,2,TRUE)," ")</f>
        <v xml:space="preserve"> </v>
      </c>
    </row>
    <row r="20" spans="1:27" x14ac:dyDescent="0.2">
      <c r="A20" s="425">
        <f t="shared" si="6"/>
        <v>46</v>
      </c>
      <c r="B20" s="425" t="str">
        <f t="shared" si="2"/>
        <v>Winter</v>
      </c>
      <c r="C20" s="247">
        <f>IF(B20="Winter",A20-('Start Character'!$K$6)-1,IF('Start Character'!$K$7&gt;6,A20-('Start Character'!$K$6)-1,A20-('Start Character'!$K$6)))</f>
        <v>45</v>
      </c>
      <c r="D20" s="247">
        <f t="shared" si="3"/>
        <v>45</v>
      </c>
      <c r="E20" s="246"/>
      <c r="F20" s="83"/>
      <c r="G20" s="83"/>
      <c r="H20" s="246"/>
      <c r="I20" s="433"/>
      <c r="J20" s="254">
        <f>IF(ISBLANK(I20),0,ROUNDUP(D20/10,0)-E20-H20-F20-G20+VLOOKUP($D$2,Calcs!$A$23:$B$27,2,FALSE)+I20)</f>
        <v>0</v>
      </c>
      <c r="K20" s="245" t="str">
        <f>IF(ISBLANK(I20)," ",VLOOKUP(J20,Calcs!$A$82:$H$106,2,TRUE))</f>
        <v xml:space="preserve"> </v>
      </c>
      <c r="L20" s="245">
        <f>IF(ISBLANK(I20),0,VLOOKUP(J20,Calcs!$A$82:$F$106,5,TRUE))</f>
        <v>0</v>
      </c>
      <c r="M20" s="208">
        <f>IF(J20=13,IF(ISNUMBER(W19),VLOOKUP(W19+1,Calcs!$O$4:$Q$24,3,TRUE)-V19,5),IF(J20&lt;10,0,IF(J20&lt;18,1,IF(J20&lt;22,2,IF(ISNUMBER(W19),VLOOKUP(W19+1,Calcs!$O$4:$Q$24,3,TRUE)-V19,5)))))</f>
        <v>0</v>
      </c>
      <c r="N20" s="245" t="str">
        <f t="shared" si="1"/>
        <v xml:space="preserve"> </v>
      </c>
      <c r="O20" s="245" t="str">
        <f t="shared" si="1"/>
        <v xml:space="preserve"> </v>
      </c>
      <c r="P20" s="245" t="str">
        <f t="shared" si="1"/>
        <v xml:space="preserve"> </v>
      </c>
      <c r="Q20" s="245" t="str">
        <f t="shared" si="1"/>
        <v xml:space="preserve"> </v>
      </c>
      <c r="R20" s="245" t="str">
        <f t="shared" si="1"/>
        <v xml:space="preserve"> </v>
      </c>
      <c r="S20" s="245" t="str">
        <f t="shared" si="1"/>
        <v xml:space="preserve"> </v>
      </c>
      <c r="T20" s="245" t="str">
        <f t="shared" si="1"/>
        <v xml:space="preserve"> </v>
      </c>
      <c r="U20" s="245" t="str">
        <f t="shared" si="1"/>
        <v xml:space="preserve"> </v>
      </c>
      <c r="V20" s="208">
        <f>SUM($N$10:$U20)</f>
        <v>0</v>
      </c>
      <c r="W20" s="208">
        <f>VLOOKUP(V20,Calcs!$Q$4:$R$24,2,TRUE)</f>
        <v>0</v>
      </c>
      <c r="X20" s="435" t="str">
        <f t="shared" si="4"/>
        <v>No</v>
      </c>
      <c r="Y20" s="436"/>
      <c r="Z20" s="435">
        <f t="shared" si="5"/>
        <v>0</v>
      </c>
      <c r="AA20" s="245" t="str">
        <f>IF(AND(X20="Yes",NOT(ISBLANK(Z20))),VLOOKUP(Z20,Calcs!$Y$48:$Z$57,2,TRUE)," ")</f>
        <v xml:space="preserve"> </v>
      </c>
    </row>
    <row r="21" spans="1:27" x14ac:dyDescent="0.2">
      <c r="A21" s="425">
        <f t="shared" si="6"/>
        <v>47</v>
      </c>
      <c r="B21" s="425" t="str">
        <f t="shared" si="2"/>
        <v>Winter</v>
      </c>
      <c r="C21" s="247">
        <f>IF(B21="Winter",A21-('Start Character'!$K$6)-1,IF('Start Character'!$K$7&gt;6,A21-('Start Character'!$K$6)-1,A21-('Start Character'!$K$6)))</f>
        <v>46</v>
      </c>
      <c r="D21" s="247">
        <f t="shared" si="3"/>
        <v>46</v>
      </c>
      <c r="E21" s="246"/>
      <c r="F21" s="83"/>
      <c r="G21" s="83"/>
      <c r="H21" s="246"/>
      <c r="I21" s="433"/>
      <c r="J21" s="254">
        <f>IF(ISBLANK(I21),0,ROUNDUP(D21/10,0)-E21-H21-F21-G21+VLOOKUP($D$2,Calcs!$A$23:$B$27,2,FALSE)+I21)</f>
        <v>0</v>
      </c>
      <c r="K21" s="245" t="str">
        <f>IF(ISBLANK(I21)," ",VLOOKUP(J21,Calcs!$A$82:$H$106,2,TRUE))</f>
        <v xml:space="preserve"> </v>
      </c>
      <c r="L21" s="245">
        <f>IF(ISBLANK(I21),0,VLOOKUP(J21,Calcs!$A$82:$F$106,5,TRUE))</f>
        <v>0</v>
      </c>
      <c r="M21" s="208">
        <f>IF(J21=13,IF(ISNUMBER(W20),VLOOKUP(W20+1,Calcs!$O$4:$Q$24,3,TRUE)-V20,5),IF(J21&lt;10,0,IF(J21&lt;18,1,IF(J21&lt;22,2,IF(ISNUMBER(W20),VLOOKUP(W20+1,Calcs!$O$4:$Q$24,3,TRUE)-V20,5)))))</f>
        <v>0</v>
      </c>
      <c r="N21" s="245" t="str">
        <f t="shared" si="1"/>
        <v xml:space="preserve"> </v>
      </c>
      <c r="O21" s="245" t="str">
        <f t="shared" si="1"/>
        <v xml:space="preserve"> </v>
      </c>
      <c r="P21" s="245" t="str">
        <f t="shared" si="1"/>
        <v xml:space="preserve"> </v>
      </c>
      <c r="Q21" s="245" t="str">
        <f t="shared" si="1"/>
        <v xml:space="preserve"> </v>
      </c>
      <c r="R21" s="245" t="str">
        <f t="shared" si="1"/>
        <v xml:space="preserve"> </v>
      </c>
      <c r="S21" s="245" t="str">
        <f t="shared" si="1"/>
        <v xml:space="preserve"> </v>
      </c>
      <c r="T21" s="245" t="str">
        <f t="shared" si="1"/>
        <v xml:space="preserve"> </v>
      </c>
      <c r="U21" s="245" t="str">
        <f t="shared" si="1"/>
        <v xml:space="preserve"> </v>
      </c>
      <c r="V21" s="208">
        <f>SUM($N$10:$U21)</f>
        <v>0</v>
      </c>
      <c r="W21" s="208">
        <f>VLOOKUP(V21,Calcs!$Q$4:$R$24,2,TRUE)</f>
        <v>0</v>
      </c>
      <c r="X21" s="435" t="str">
        <f t="shared" si="4"/>
        <v>No</v>
      </c>
      <c r="Y21" s="436"/>
      <c r="Z21" s="435">
        <f t="shared" si="5"/>
        <v>0</v>
      </c>
      <c r="AA21" s="245" t="str">
        <f>IF(AND(X21="Yes",NOT(ISBLANK(Z21))),VLOOKUP(Z21,Calcs!$Y$48:$Z$57,2,TRUE)," ")</f>
        <v xml:space="preserve"> </v>
      </c>
    </row>
    <row r="22" spans="1:27" x14ac:dyDescent="0.2">
      <c r="A22" s="425">
        <f t="shared" si="6"/>
        <v>48</v>
      </c>
      <c r="B22" s="425" t="str">
        <f t="shared" si="2"/>
        <v>Winter</v>
      </c>
      <c r="C22" s="247">
        <f>IF(B22="Winter",A22-('Start Character'!$K$6)-1,IF('Start Character'!$K$7&gt;6,A22-('Start Character'!$K$6)-1,A22-('Start Character'!$K$6)))</f>
        <v>47</v>
      </c>
      <c r="D22" s="247">
        <f t="shared" si="3"/>
        <v>47</v>
      </c>
      <c r="E22" s="246"/>
      <c r="F22" s="83"/>
      <c r="G22" s="83"/>
      <c r="H22" s="246"/>
      <c r="I22" s="433"/>
      <c r="J22" s="254">
        <f>IF(ISBLANK(I22),0,ROUNDUP(D22/10,0)-E22-H22-F22-G22+VLOOKUP($D$2,Calcs!$A$23:$B$27,2,FALSE)+I22)</f>
        <v>0</v>
      </c>
      <c r="K22" s="245" t="str">
        <f>IF(ISBLANK(I22)," ",VLOOKUP(J22,Calcs!$A$82:$H$106,2,TRUE))</f>
        <v xml:space="preserve"> </v>
      </c>
      <c r="L22" s="245">
        <f>IF(ISBLANK(I22),0,VLOOKUP(J22,Calcs!$A$82:$F$106,5,TRUE))</f>
        <v>0</v>
      </c>
      <c r="M22" s="208">
        <f>IF(J22=13,IF(ISNUMBER(W21),VLOOKUP(W21+1,Calcs!$O$4:$Q$24,3,TRUE)-V21,5),IF(J22&lt;10,0,IF(J22&lt;18,1,IF(J22&lt;22,2,IF(ISNUMBER(W21),VLOOKUP(W21+1,Calcs!$O$4:$Q$24,3,TRUE)-V21,5)))))</f>
        <v>0</v>
      </c>
      <c r="N22" s="245" t="str">
        <f t="shared" si="1"/>
        <v xml:space="preserve"> </v>
      </c>
      <c r="O22" s="245" t="str">
        <f t="shared" si="1"/>
        <v xml:space="preserve"> </v>
      </c>
      <c r="P22" s="245" t="str">
        <f t="shared" si="1"/>
        <v xml:space="preserve"> </v>
      </c>
      <c r="Q22" s="245" t="str">
        <f t="shared" si="1"/>
        <v xml:space="preserve"> </v>
      </c>
      <c r="R22" s="245" t="str">
        <f t="shared" si="1"/>
        <v xml:space="preserve"> </v>
      </c>
      <c r="S22" s="245" t="str">
        <f t="shared" si="1"/>
        <v xml:space="preserve"> </v>
      </c>
      <c r="T22" s="245" t="str">
        <f t="shared" si="1"/>
        <v xml:space="preserve"> </v>
      </c>
      <c r="U22" s="245" t="str">
        <f t="shared" si="1"/>
        <v xml:space="preserve"> </v>
      </c>
      <c r="V22" s="208">
        <f>SUM($N$10:$U22)</f>
        <v>0</v>
      </c>
      <c r="W22" s="208">
        <f>VLOOKUP(V22,Calcs!$Q$4:$R$24,2,TRUE)</f>
        <v>0</v>
      </c>
      <c r="X22" s="435" t="str">
        <f t="shared" si="4"/>
        <v>No</v>
      </c>
      <c r="Y22" s="436"/>
      <c r="Z22" s="435">
        <f t="shared" si="5"/>
        <v>0</v>
      </c>
      <c r="AA22" s="245" t="str">
        <f>IF(AND(X22="Yes",NOT(ISBLANK(Z22))),VLOOKUP(Z22,Calcs!$Y$48:$Z$57,2,TRUE)," ")</f>
        <v xml:space="preserve"> </v>
      </c>
    </row>
    <row r="23" spans="1:27" x14ac:dyDescent="0.2">
      <c r="A23" s="425">
        <f t="shared" si="6"/>
        <v>49</v>
      </c>
      <c r="B23" s="425" t="str">
        <f t="shared" si="2"/>
        <v>Winter</v>
      </c>
      <c r="C23" s="247">
        <f>IF(B23="Winter",A23-('Start Character'!$K$6)-1,IF('Start Character'!$K$7&gt;6,A23-('Start Character'!$K$6)-1,A23-('Start Character'!$K$6)))</f>
        <v>48</v>
      </c>
      <c r="D23" s="247">
        <f t="shared" si="3"/>
        <v>48</v>
      </c>
      <c r="E23" s="246"/>
      <c r="F23" s="83"/>
      <c r="G23" s="83"/>
      <c r="H23" s="246"/>
      <c r="I23" s="433"/>
      <c r="J23" s="254">
        <f>IF(ISBLANK(I23),0,ROUNDUP(D23/10,0)-E23-H23-F23-G23+VLOOKUP($D$2,Calcs!$A$23:$B$27,2,FALSE)+I23)</f>
        <v>0</v>
      </c>
      <c r="K23" s="245" t="str">
        <f>IF(ISBLANK(I23)," ",VLOOKUP(J23,Calcs!$A$82:$H$106,2,TRUE))</f>
        <v xml:space="preserve"> </v>
      </c>
      <c r="L23" s="245">
        <f>IF(ISBLANK(I23),0,VLOOKUP(J23,Calcs!$A$82:$F$106,5,TRUE))</f>
        <v>0</v>
      </c>
      <c r="M23" s="208">
        <f>IF(J23=13,IF(ISNUMBER(W22),VLOOKUP(W22+1,Calcs!$O$4:$Q$24,3,TRUE)-V22,5),IF(J23&lt;10,0,IF(J23&lt;18,1,IF(J23&lt;22,2,IF(ISNUMBER(W22),VLOOKUP(W22+1,Calcs!$O$4:$Q$24,3,TRUE)-V22,5)))))</f>
        <v>0</v>
      </c>
      <c r="N23" s="245" t="str">
        <f t="shared" si="1"/>
        <v xml:space="preserve"> </v>
      </c>
      <c r="O23" s="245" t="str">
        <f t="shared" si="1"/>
        <v xml:space="preserve"> </v>
      </c>
      <c r="P23" s="245" t="str">
        <f t="shared" si="1"/>
        <v xml:space="preserve"> </v>
      </c>
      <c r="Q23" s="245" t="str">
        <f t="shared" si="1"/>
        <v xml:space="preserve"> </v>
      </c>
      <c r="R23" s="245" t="str">
        <f t="shared" si="1"/>
        <v xml:space="preserve"> </v>
      </c>
      <c r="S23" s="245" t="str">
        <f t="shared" si="1"/>
        <v xml:space="preserve"> </v>
      </c>
      <c r="T23" s="245" t="str">
        <f t="shared" si="1"/>
        <v xml:space="preserve"> </v>
      </c>
      <c r="U23" s="245" t="str">
        <f t="shared" si="1"/>
        <v xml:space="preserve"> </v>
      </c>
      <c r="V23" s="208">
        <f>SUM($N$10:$U23)</f>
        <v>0</v>
      </c>
      <c r="W23" s="208">
        <f>VLOOKUP(V23,Calcs!$Q$4:$R$24,2,TRUE)</f>
        <v>0</v>
      </c>
      <c r="X23" s="435" t="str">
        <f t="shared" si="4"/>
        <v>No</v>
      </c>
      <c r="Y23" s="436"/>
      <c r="Z23" s="435">
        <f t="shared" si="5"/>
        <v>0</v>
      </c>
      <c r="AA23" s="245" t="str">
        <f>IF(AND(X23="Yes",NOT(ISBLANK(Z23))),VLOOKUP(Z23,Calcs!$Y$48:$Z$57,2,TRUE)," ")</f>
        <v xml:space="preserve"> </v>
      </c>
    </row>
    <row r="24" spans="1:27" x14ac:dyDescent="0.2">
      <c r="A24" s="425">
        <f t="shared" si="6"/>
        <v>50</v>
      </c>
      <c r="B24" s="425" t="str">
        <f t="shared" si="2"/>
        <v>Winter</v>
      </c>
      <c r="C24" s="247">
        <f>IF(B24="Winter",A24-('Start Character'!$K$6)-1,IF('Start Character'!$K$7&gt;6,A24-('Start Character'!$K$6)-1,A24-('Start Character'!$K$6)))</f>
        <v>49</v>
      </c>
      <c r="D24" s="247">
        <f t="shared" si="3"/>
        <v>49</v>
      </c>
      <c r="E24" s="246"/>
      <c r="F24" s="83"/>
      <c r="G24" s="83"/>
      <c r="H24" s="246"/>
      <c r="I24" s="433"/>
      <c r="J24" s="254">
        <f>IF(ISBLANK(I24),0,ROUNDUP(D24/10,0)-E24-H24-F24-G24+VLOOKUP($D$2,Calcs!$A$23:$B$27,2,FALSE)+I24)</f>
        <v>0</v>
      </c>
      <c r="K24" s="245" t="str">
        <f>IF(ISBLANK(I24)," ",VLOOKUP(J24,Calcs!$A$82:$H$106,2,TRUE))</f>
        <v xml:space="preserve"> </v>
      </c>
      <c r="L24" s="245">
        <f>IF(ISBLANK(I24),0,VLOOKUP(J24,Calcs!$A$82:$F$106,5,TRUE))</f>
        <v>0</v>
      </c>
      <c r="M24" s="208">
        <f>IF(J24=13,IF(ISNUMBER(W23),VLOOKUP(W23+1,Calcs!$O$4:$Q$24,3,TRUE)-V23,5),IF(J24&lt;10,0,IF(J24&lt;18,1,IF(J24&lt;22,2,IF(ISNUMBER(W23),VLOOKUP(W23+1,Calcs!$O$4:$Q$24,3,TRUE)-V23,5)))))</f>
        <v>0</v>
      </c>
      <c r="N24" s="245" t="str">
        <f t="shared" si="1"/>
        <v xml:space="preserve"> </v>
      </c>
      <c r="O24" s="245" t="str">
        <f t="shared" si="1"/>
        <v xml:space="preserve"> </v>
      </c>
      <c r="P24" s="245" t="str">
        <f t="shared" si="1"/>
        <v xml:space="preserve"> </v>
      </c>
      <c r="Q24" s="245" t="str">
        <f t="shared" si="1"/>
        <v xml:space="preserve"> </v>
      </c>
      <c r="R24" s="245" t="str">
        <f t="shared" si="1"/>
        <v xml:space="preserve"> </v>
      </c>
      <c r="S24" s="245" t="str">
        <f t="shared" si="1"/>
        <v xml:space="preserve"> </v>
      </c>
      <c r="T24" s="245" t="str">
        <f t="shared" si="1"/>
        <v xml:space="preserve"> </v>
      </c>
      <c r="U24" s="245" t="str">
        <f t="shared" si="1"/>
        <v xml:space="preserve"> </v>
      </c>
      <c r="V24" s="208">
        <f>SUM($N$10:$U24)</f>
        <v>0</v>
      </c>
      <c r="W24" s="208">
        <f>VLOOKUP(V24,Calcs!$Q$4:$R$24,2,TRUE)</f>
        <v>0</v>
      </c>
      <c r="X24" s="435" t="str">
        <f t="shared" si="4"/>
        <v>No</v>
      </c>
      <c r="Y24" s="436"/>
      <c r="Z24" s="435">
        <f t="shared" si="5"/>
        <v>0</v>
      </c>
      <c r="AA24" s="245" t="str">
        <f>IF(AND(X24="Yes",NOT(ISBLANK(Z24))),VLOOKUP(Z24,Calcs!$Y$48:$Z$57,2,TRUE)," ")</f>
        <v xml:space="preserve"> </v>
      </c>
    </row>
    <row r="25" spans="1:27" x14ac:dyDescent="0.2">
      <c r="A25" s="425">
        <f t="shared" si="6"/>
        <v>51</v>
      </c>
      <c r="B25" s="425" t="str">
        <f t="shared" si="2"/>
        <v>Winter</v>
      </c>
      <c r="C25" s="247">
        <f>IF(B25="Winter",A25-('Start Character'!$K$6)-1,IF('Start Character'!$K$7&gt;6,A25-('Start Character'!$K$6)-1,A25-('Start Character'!$K$6)))</f>
        <v>50</v>
      </c>
      <c r="D25" s="247">
        <f t="shared" si="3"/>
        <v>50</v>
      </c>
      <c r="E25" s="246"/>
      <c r="F25" s="83"/>
      <c r="G25" s="83"/>
      <c r="H25" s="246"/>
      <c r="I25" s="433"/>
      <c r="J25" s="254">
        <f>IF(ISBLANK(I25),0,ROUNDUP(D25/10,0)-E25-H25-F25-G25+VLOOKUP($D$2,Calcs!$A$23:$B$27,2,FALSE)+I25)</f>
        <v>0</v>
      </c>
      <c r="K25" s="245" t="str">
        <f>IF(ISBLANK(I25)," ",VLOOKUP(J25,Calcs!$A$82:$H$106,2,TRUE))</f>
        <v xml:space="preserve"> </v>
      </c>
      <c r="L25" s="245">
        <f>IF(ISBLANK(I25),0,VLOOKUP(J25,Calcs!$A$82:$F$106,5,TRUE))</f>
        <v>0</v>
      </c>
      <c r="M25" s="208">
        <f>IF(J25=13,IF(ISNUMBER(W24),VLOOKUP(W24+1,Calcs!$O$4:$Q$24,3,TRUE)-V24,5),IF(J25&lt;10,0,IF(J25&lt;18,1,IF(J25&lt;22,2,IF(ISNUMBER(W24),VLOOKUP(W24+1,Calcs!$O$4:$Q$24,3,TRUE)-V24,5)))))</f>
        <v>0</v>
      </c>
      <c r="N25" s="245" t="str">
        <f t="shared" si="1"/>
        <v xml:space="preserve"> </v>
      </c>
      <c r="O25" s="245" t="str">
        <f t="shared" si="1"/>
        <v xml:space="preserve"> </v>
      </c>
      <c r="P25" s="245" t="str">
        <f t="shared" si="1"/>
        <v xml:space="preserve"> </v>
      </c>
      <c r="Q25" s="245" t="str">
        <f t="shared" si="1"/>
        <v xml:space="preserve"> </v>
      </c>
      <c r="R25" s="245" t="str">
        <f t="shared" si="1"/>
        <v xml:space="preserve"> </v>
      </c>
      <c r="S25" s="245" t="str">
        <f t="shared" si="1"/>
        <v xml:space="preserve"> </v>
      </c>
      <c r="T25" s="245" t="str">
        <f t="shared" si="1"/>
        <v xml:space="preserve"> </v>
      </c>
      <c r="U25" s="245" t="str">
        <f t="shared" si="1"/>
        <v xml:space="preserve"> </v>
      </c>
      <c r="V25" s="208">
        <f>SUM($N$10:$U25)</f>
        <v>0</v>
      </c>
      <c r="W25" s="208">
        <f>VLOOKUP(V25,Calcs!$Q$4:$R$24,2,TRUE)</f>
        <v>0</v>
      </c>
      <c r="X25" s="435" t="str">
        <f t="shared" si="4"/>
        <v>No</v>
      </c>
      <c r="Y25" s="436"/>
      <c r="Z25" s="435">
        <f t="shared" si="5"/>
        <v>0</v>
      </c>
      <c r="AA25" s="245" t="str">
        <f>IF(AND(X25="Yes",NOT(ISBLANK(Z25))),VLOOKUP(Z25,Calcs!$Y$48:$Z$57,2,TRUE)," ")</f>
        <v xml:space="preserve"> </v>
      </c>
    </row>
    <row r="26" spans="1:27" x14ac:dyDescent="0.2">
      <c r="A26" s="425">
        <f t="shared" si="6"/>
        <v>52</v>
      </c>
      <c r="B26" s="425" t="str">
        <f t="shared" si="2"/>
        <v>Winter</v>
      </c>
      <c r="C26" s="247">
        <f>IF(B26="Winter",A26-('Start Character'!$K$6)-1,IF('Start Character'!$K$7&gt;6,A26-('Start Character'!$K$6)-1,A26-('Start Character'!$K$6)))</f>
        <v>51</v>
      </c>
      <c r="D26" s="247">
        <f t="shared" si="3"/>
        <v>51</v>
      </c>
      <c r="E26" s="246"/>
      <c r="F26" s="83"/>
      <c r="G26" s="83"/>
      <c r="H26" s="246"/>
      <c r="I26" s="433"/>
      <c r="J26" s="254">
        <f>IF(ISBLANK(I26),0,ROUNDUP(D26/10,0)-E26-H26-F26-G26+VLOOKUP($D$2,Calcs!$A$23:$B$27,2,FALSE)+I26)</f>
        <v>0</v>
      </c>
      <c r="K26" s="245" t="str">
        <f>IF(ISBLANK(I26)," ",VLOOKUP(J26,Calcs!$A$82:$H$106,2,TRUE))</f>
        <v xml:space="preserve"> </v>
      </c>
      <c r="L26" s="245">
        <f>IF(ISBLANK(I26),0,VLOOKUP(J26,Calcs!$A$82:$F$106,5,TRUE))</f>
        <v>0</v>
      </c>
      <c r="M26" s="208">
        <f>IF(J26=13,IF(ISNUMBER(W25),VLOOKUP(W25+1,Calcs!$O$4:$Q$24,3,TRUE)-V25,5),IF(J26&lt;10,0,IF(J26&lt;18,1,IF(J26&lt;22,2,IF(ISNUMBER(W25),VLOOKUP(W25+1,Calcs!$O$4:$Q$24,3,TRUE)-V25,5)))))</f>
        <v>0</v>
      </c>
      <c r="N26" s="245" t="str">
        <f t="shared" ref="N26:U57" si="7">IF(ISERROR(FIND(N$9,$K26))," ",1)</f>
        <v xml:space="preserve"> </v>
      </c>
      <c r="O26" s="245" t="str">
        <f t="shared" si="7"/>
        <v xml:space="preserve"> </v>
      </c>
      <c r="P26" s="245" t="str">
        <f t="shared" si="7"/>
        <v xml:space="preserve"> </v>
      </c>
      <c r="Q26" s="245" t="str">
        <f t="shared" si="7"/>
        <v xml:space="preserve"> </v>
      </c>
      <c r="R26" s="245" t="str">
        <f t="shared" si="7"/>
        <v xml:space="preserve"> </v>
      </c>
      <c r="S26" s="245" t="str">
        <f t="shared" si="7"/>
        <v xml:space="preserve"> </v>
      </c>
      <c r="T26" s="245" t="str">
        <f t="shared" si="7"/>
        <v xml:space="preserve"> </v>
      </c>
      <c r="U26" s="245" t="str">
        <f t="shared" si="7"/>
        <v xml:space="preserve"> </v>
      </c>
      <c r="V26" s="208">
        <f>SUM($N$10:$U26)</f>
        <v>0</v>
      </c>
      <c r="W26" s="208">
        <f>VLOOKUP(V26,Calcs!$Q$4:$R$24,2,TRUE)</f>
        <v>0</v>
      </c>
      <c r="X26" s="435" t="str">
        <f t="shared" si="4"/>
        <v>No</v>
      </c>
      <c r="Y26" s="436"/>
      <c r="Z26" s="435">
        <f t="shared" si="5"/>
        <v>0</v>
      </c>
      <c r="AA26" s="245" t="str">
        <f>IF(AND(X26="Yes",NOT(ISBLANK(Z26))),VLOOKUP(Z26,Calcs!$Y$48:$Z$57,2,TRUE)," ")</f>
        <v xml:space="preserve"> </v>
      </c>
    </row>
    <row r="27" spans="1:27" x14ac:dyDescent="0.2">
      <c r="A27" s="425">
        <f t="shared" si="6"/>
        <v>53</v>
      </c>
      <c r="B27" s="425" t="str">
        <f t="shared" si="2"/>
        <v>Winter</v>
      </c>
      <c r="C27" s="247">
        <f>IF(B27="Winter",A27-('Start Character'!$K$6)-1,IF('Start Character'!$K$7&gt;6,A27-('Start Character'!$K$6)-1,A27-('Start Character'!$K$6)))</f>
        <v>52</v>
      </c>
      <c r="D27" s="247">
        <f t="shared" si="3"/>
        <v>52</v>
      </c>
      <c r="E27" s="246"/>
      <c r="F27" s="83"/>
      <c r="G27" s="83"/>
      <c r="H27" s="246"/>
      <c r="I27" s="433"/>
      <c r="J27" s="254">
        <f>IF(ISBLANK(I27),0,ROUNDUP(D27/10,0)-E27-H27-F27-G27+VLOOKUP($D$2,Calcs!$A$23:$B$27,2,FALSE)+I27)</f>
        <v>0</v>
      </c>
      <c r="K27" s="245" t="str">
        <f>IF(ISBLANK(I27)," ",VLOOKUP(J27,Calcs!$A$82:$H$106,2,TRUE))</f>
        <v xml:space="preserve"> </v>
      </c>
      <c r="L27" s="245">
        <f>IF(ISBLANK(I27),0,VLOOKUP(J27,Calcs!$A$82:$F$106,5,TRUE))</f>
        <v>0</v>
      </c>
      <c r="M27" s="208">
        <f>IF(J27=13,IF(ISNUMBER(W26),VLOOKUP(W26+1,Calcs!$O$4:$Q$24,3,TRUE)-V26,5),IF(J27&lt;10,0,IF(J27&lt;18,1,IF(J27&lt;22,2,IF(ISNUMBER(W26),VLOOKUP(W26+1,Calcs!$O$4:$Q$24,3,TRUE)-V26,5)))))</f>
        <v>0</v>
      </c>
      <c r="N27" s="245" t="str">
        <f t="shared" si="7"/>
        <v xml:space="preserve"> </v>
      </c>
      <c r="O27" s="245" t="str">
        <f t="shared" si="7"/>
        <v xml:space="preserve"> </v>
      </c>
      <c r="P27" s="245" t="str">
        <f t="shared" si="7"/>
        <v xml:space="preserve"> </v>
      </c>
      <c r="Q27" s="245" t="str">
        <f t="shared" si="7"/>
        <v xml:space="preserve"> </v>
      </c>
      <c r="R27" s="245" t="str">
        <f t="shared" si="7"/>
        <v xml:space="preserve"> </v>
      </c>
      <c r="S27" s="245" t="str">
        <f t="shared" si="7"/>
        <v xml:space="preserve"> </v>
      </c>
      <c r="T27" s="245" t="str">
        <f t="shared" si="7"/>
        <v xml:space="preserve"> </v>
      </c>
      <c r="U27" s="245" t="str">
        <f t="shared" si="7"/>
        <v xml:space="preserve"> </v>
      </c>
      <c r="V27" s="208">
        <f>SUM($N$10:$U27)</f>
        <v>0</v>
      </c>
      <c r="W27" s="208">
        <f>VLOOKUP(V27,Calcs!$Q$4:$R$24,2,TRUE)</f>
        <v>0</v>
      </c>
      <c r="X27" s="435" t="str">
        <f t="shared" si="4"/>
        <v>No</v>
      </c>
      <c r="Y27" s="436"/>
      <c r="Z27" s="435">
        <f t="shared" si="5"/>
        <v>0</v>
      </c>
      <c r="AA27" s="245" t="str">
        <f>IF(AND(X27="Yes",NOT(ISBLANK(Z27))),VLOOKUP(Z27,Calcs!$Y$48:$Z$57,2,TRUE)," ")</f>
        <v xml:space="preserve"> </v>
      </c>
    </row>
    <row r="28" spans="1:27" x14ac:dyDescent="0.2">
      <c r="A28" s="425">
        <f t="shared" si="6"/>
        <v>54</v>
      </c>
      <c r="B28" s="425" t="str">
        <f t="shared" si="2"/>
        <v>Winter</v>
      </c>
      <c r="C28" s="247">
        <f>IF(B28="Winter",A28-('Start Character'!$K$6)-1,IF('Start Character'!$K$7&gt;6,A28-('Start Character'!$K$6)-1,A28-('Start Character'!$K$6)))</f>
        <v>53</v>
      </c>
      <c r="D28" s="247">
        <f t="shared" si="3"/>
        <v>53</v>
      </c>
      <c r="E28" s="246"/>
      <c r="F28" s="83"/>
      <c r="G28" s="83"/>
      <c r="H28" s="246"/>
      <c r="I28" s="433"/>
      <c r="J28" s="254">
        <f>IF(ISBLANK(I28),0,ROUNDUP(D28/10,0)-E28-H28-F28-G28+VLOOKUP($D$2,Calcs!$A$23:$B$27,2,FALSE)+I28)</f>
        <v>0</v>
      </c>
      <c r="K28" s="245" t="str">
        <f>IF(ISBLANK(I28)," ",VLOOKUP(J28,Calcs!$A$82:$H$106,2,TRUE))</f>
        <v xml:space="preserve"> </v>
      </c>
      <c r="L28" s="245">
        <f>IF(ISBLANK(I28),0,VLOOKUP(J28,Calcs!$A$82:$F$106,5,TRUE))</f>
        <v>0</v>
      </c>
      <c r="M28" s="208">
        <f>IF(J28=13,IF(ISNUMBER(W27),VLOOKUP(W27+1,Calcs!$O$4:$Q$24,3,TRUE)-V27,5),IF(J28&lt;10,0,IF(J28&lt;18,1,IF(J28&lt;22,2,IF(ISNUMBER(W27),VLOOKUP(W27+1,Calcs!$O$4:$Q$24,3,TRUE)-V27,5)))))</f>
        <v>0</v>
      </c>
      <c r="N28" s="245" t="str">
        <f t="shared" si="7"/>
        <v xml:space="preserve"> </v>
      </c>
      <c r="O28" s="245" t="str">
        <f t="shared" si="7"/>
        <v xml:space="preserve"> </v>
      </c>
      <c r="P28" s="245" t="str">
        <f t="shared" si="7"/>
        <v xml:space="preserve"> </v>
      </c>
      <c r="Q28" s="245" t="str">
        <f t="shared" si="7"/>
        <v xml:space="preserve"> </v>
      </c>
      <c r="R28" s="245" t="str">
        <f t="shared" si="7"/>
        <v xml:space="preserve"> </v>
      </c>
      <c r="S28" s="245" t="str">
        <f t="shared" si="7"/>
        <v xml:space="preserve"> </v>
      </c>
      <c r="T28" s="245" t="str">
        <f t="shared" si="7"/>
        <v xml:space="preserve"> </v>
      </c>
      <c r="U28" s="245" t="str">
        <f t="shared" si="7"/>
        <v xml:space="preserve"> </v>
      </c>
      <c r="V28" s="208">
        <f>SUM($N$10:$U28)</f>
        <v>0</v>
      </c>
      <c r="W28" s="208">
        <f>VLOOKUP(V28,Calcs!$Q$4:$R$24,2,TRUE)</f>
        <v>0</v>
      </c>
      <c r="X28" s="435" t="str">
        <f t="shared" si="4"/>
        <v>No</v>
      </c>
      <c r="Y28" s="436"/>
      <c r="Z28" s="435">
        <f t="shared" si="5"/>
        <v>0</v>
      </c>
      <c r="AA28" s="245" t="str">
        <f>IF(AND(X28="Yes",NOT(ISBLANK(Z28))),VLOOKUP(Z28,Calcs!$Y$48:$Z$57,2,TRUE)," ")</f>
        <v xml:space="preserve"> </v>
      </c>
    </row>
    <row r="29" spans="1:27" x14ac:dyDescent="0.2">
      <c r="A29" s="425">
        <f t="shared" si="6"/>
        <v>55</v>
      </c>
      <c r="B29" s="425" t="str">
        <f t="shared" si="2"/>
        <v>Winter</v>
      </c>
      <c r="C29" s="247">
        <f>IF(B29="Winter",A29-('Start Character'!$K$6)-1,IF('Start Character'!$K$7&gt;6,A29-('Start Character'!$K$6)-1,A29-('Start Character'!$K$6)))</f>
        <v>54</v>
      </c>
      <c r="D29" s="247">
        <f t="shared" si="3"/>
        <v>54</v>
      </c>
      <c r="E29" s="246"/>
      <c r="F29" s="83"/>
      <c r="G29" s="83"/>
      <c r="H29" s="246"/>
      <c r="I29" s="433"/>
      <c r="J29" s="254">
        <f>IF(ISBLANK(I29),0,ROUNDUP(D29/10,0)-E29-H29-F29-G29+VLOOKUP($D$2,Calcs!$A$23:$B$27,2,FALSE)+I29)</f>
        <v>0</v>
      </c>
      <c r="K29" s="245" t="str">
        <f>IF(ISBLANK(I29)," ",VLOOKUP(J29,Calcs!$A$82:$H$106,2,TRUE))</f>
        <v xml:space="preserve"> </v>
      </c>
      <c r="L29" s="245">
        <f>IF(ISBLANK(I29),0,VLOOKUP(J29,Calcs!$A$82:$F$106,5,TRUE))</f>
        <v>0</v>
      </c>
      <c r="M29" s="208">
        <f>IF(J29=13,IF(ISNUMBER(W28),VLOOKUP(W28+1,Calcs!$O$4:$Q$24,3,TRUE)-V28,5),IF(J29&lt;10,0,IF(J29&lt;18,1,IF(J29&lt;22,2,IF(ISNUMBER(W28),VLOOKUP(W28+1,Calcs!$O$4:$Q$24,3,TRUE)-V28,5)))))</f>
        <v>0</v>
      </c>
      <c r="N29" s="245" t="str">
        <f t="shared" si="7"/>
        <v xml:space="preserve"> </v>
      </c>
      <c r="O29" s="245" t="str">
        <f t="shared" si="7"/>
        <v xml:space="preserve"> </v>
      </c>
      <c r="P29" s="245" t="str">
        <f t="shared" si="7"/>
        <v xml:space="preserve"> </v>
      </c>
      <c r="Q29" s="245" t="str">
        <f t="shared" si="7"/>
        <v xml:space="preserve"> </v>
      </c>
      <c r="R29" s="245" t="str">
        <f t="shared" si="7"/>
        <v xml:space="preserve"> </v>
      </c>
      <c r="S29" s="245" t="str">
        <f t="shared" si="7"/>
        <v xml:space="preserve"> </v>
      </c>
      <c r="T29" s="245" t="str">
        <f t="shared" si="7"/>
        <v xml:space="preserve"> </v>
      </c>
      <c r="U29" s="245" t="str">
        <f t="shared" si="7"/>
        <v xml:space="preserve"> </v>
      </c>
      <c r="V29" s="208">
        <f>SUM($N$10:$U29)</f>
        <v>0</v>
      </c>
      <c r="W29" s="208">
        <f>VLOOKUP(V29,Calcs!$Q$4:$R$24,2,TRUE)</f>
        <v>0</v>
      </c>
      <c r="X29" s="435" t="str">
        <f t="shared" si="4"/>
        <v>No</v>
      </c>
      <c r="Y29" s="436"/>
      <c r="Z29" s="435">
        <f t="shared" si="5"/>
        <v>0</v>
      </c>
      <c r="AA29" s="245" t="str">
        <f>IF(AND(X29="Yes",NOT(ISBLANK(Z29))),VLOOKUP(Z29,Calcs!$Y$48:$Z$57,2,TRUE)," ")</f>
        <v xml:space="preserve"> </v>
      </c>
    </row>
    <row r="30" spans="1:27" x14ac:dyDescent="0.2">
      <c r="A30" s="425">
        <f t="shared" si="6"/>
        <v>56</v>
      </c>
      <c r="B30" s="425" t="str">
        <f t="shared" si="2"/>
        <v>Winter</v>
      </c>
      <c r="C30" s="247">
        <f>IF(B30="Winter",A30-('Start Character'!$K$6)-1,IF('Start Character'!$K$7&gt;6,A30-('Start Character'!$K$6)-1,A30-('Start Character'!$K$6)))</f>
        <v>55</v>
      </c>
      <c r="D30" s="247">
        <f t="shared" si="3"/>
        <v>55</v>
      </c>
      <c r="E30" s="246"/>
      <c r="F30" s="83"/>
      <c r="G30" s="83"/>
      <c r="H30" s="246"/>
      <c r="I30" s="433"/>
      <c r="J30" s="254">
        <f>IF(ISBLANK(I30),0,ROUNDUP(D30/10,0)-E30-H30-F30-G30+VLOOKUP($D$2,Calcs!$A$23:$B$27,2,FALSE)+I30)</f>
        <v>0</v>
      </c>
      <c r="K30" s="245" t="str">
        <f>IF(ISBLANK(I30)," ",VLOOKUP(J30,Calcs!$A$82:$H$106,2,TRUE))</f>
        <v xml:space="preserve"> </v>
      </c>
      <c r="L30" s="245">
        <f>IF(ISBLANK(I30),0,VLOOKUP(J30,Calcs!$A$82:$F$106,5,TRUE))</f>
        <v>0</v>
      </c>
      <c r="M30" s="208">
        <f>IF(J30=13,IF(ISNUMBER(W29),VLOOKUP(W29+1,Calcs!$O$4:$Q$24,3,TRUE)-V29,5),IF(J30&lt;10,0,IF(J30&lt;18,1,IF(J30&lt;22,2,IF(ISNUMBER(W29),VLOOKUP(W29+1,Calcs!$O$4:$Q$24,3,TRUE)-V29,5)))))</f>
        <v>0</v>
      </c>
      <c r="N30" s="245" t="str">
        <f t="shared" si="7"/>
        <v xml:space="preserve"> </v>
      </c>
      <c r="O30" s="245" t="str">
        <f t="shared" si="7"/>
        <v xml:space="preserve"> </v>
      </c>
      <c r="P30" s="245" t="str">
        <f t="shared" si="7"/>
        <v xml:space="preserve"> </v>
      </c>
      <c r="Q30" s="245" t="str">
        <f t="shared" si="7"/>
        <v xml:space="preserve"> </v>
      </c>
      <c r="R30" s="245" t="str">
        <f t="shared" si="7"/>
        <v xml:space="preserve"> </v>
      </c>
      <c r="S30" s="245" t="str">
        <f t="shared" si="7"/>
        <v xml:space="preserve"> </v>
      </c>
      <c r="T30" s="245" t="str">
        <f t="shared" si="7"/>
        <v xml:space="preserve"> </v>
      </c>
      <c r="U30" s="245" t="str">
        <f t="shared" si="7"/>
        <v xml:space="preserve"> </v>
      </c>
      <c r="V30" s="208">
        <f>SUM($N$10:$U30)</f>
        <v>0</v>
      </c>
      <c r="W30" s="208">
        <f>VLOOKUP(V30,Calcs!$Q$4:$R$24,2,TRUE)</f>
        <v>0</v>
      </c>
      <c r="X30" s="435" t="str">
        <f t="shared" si="4"/>
        <v>No</v>
      </c>
      <c r="Y30" s="436"/>
      <c r="Z30" s="435">
        <f t="shared" si="5"/>
        <v>0</v>
      </c>
      <c r="AA30" s="245" t="str">
        <f>IF(AND(X30="Yes",NOT(ISBLANK(Z30))),VLOOKUP(Z30,Calcs!$Y$48:$Z$57,2,TRUE)," ")</f>
        <v xml:space="preserve"> </v>
      </c>
    </row>
    <row r="31" spans="1:27" x14ac:dyDescent="0.2">
      <c r="A31" s="425">
        <f t="shared" si="6"/>
        <v>57</v>
      </c>
      <c r="B31" s="425" t="str">
        <f t="shared" si="2"/>
        <v>Winter</v>
      </c>
      <c r="C31" s="247">
        <f>IF(B31="Winter",A31-('Start Character'!$K$6)-1,IF('Start Character'!$K$7&gt;6,A31-('Start Character'!$K$6)-1,A31-('Start Character'!$K$6)))</f>
        <v>56</v>
      </c>
      <c r="D31" s="247">
        <f t="shared" si="3"/>
        <v>56</v>
      </c>
      <c r="E31" s="246"/>
      <c r="F31" s="83"/>
      <c r="G31" s="83"/>
      <c r="H31" s="246"/>
      <c r="I31" s="433"/>
      <c r="J31" s="254">
        <f>IF(ISBLANK(I31),0,ROUNDUP(D31/10,0)-E31-H31-F31-G31+VLOOKUP($D$2,Calcs!$A$23:$B$27,2,FALSE)+I31)</f>
        <v>0</v>
      </c>
      <c r="K31" s="245" t="str">
        <f>IF(ISBLANK(I31)," ",VLOOKUP(J31,Calcs!$A$82:$H$106,2,TRUE))</f>
        <v xml:space="preserve"> </v>
      </c>
      <c r="L31" s="245">
        <f>IF(ISBLANK(I31),0,VLOOKUP(J31,Calcs!$A$82:$F$106,5,TRUE))</f>
        <v>0</v>
      </c>
      <c r="M31" s="208">
        <f>IF(J31=13,IF(ISNUMBER(W30),VLOOKUP(W30+1,Calcs!$O$4:$Q$24,3,TRUE)-V30,5),IF(J31&lt;10,0,IF(J31&lt;18,1,IF(J31&lt;22,2,IF(ISNUMBER(W30),VLOOKUP(W30+1,Calcs!$O$4:$Q$24,3,TRUE)-V30,5)))))</f>
        <v>0</v>
      </c>
      <c r="N31" s="245" t="str">
        <f t="shared" si="7"/>
        <v xml:space="preserve"> </v>
      </c>
      <c r="O31" s="245" t="str">
        <f t="shared" si="7"/>
        <v xml:space="preserve"> </v>
      </c>
      <c r="P31" s="245" t="str">
        <f t="shared" si="7"/>
        <v xml:space="preserve"> </v>
      </c>
      <c r="Q31" s="245" t="str">
        <f t="shared" si="7"/>
        <v xml:space="preserve"> </v>
      </c>
      <c r="R31" s="245" t="str">
        <f t="shared" si="7"/>
        <v xml:space="preserve"> </v>
      </c>
      <c r="S31" s="245" t="str">
        <f t="shared" si="7"/>
        <v xml:space="preserve"> </v>
      </c>
      <c r="T31" s="245" t="str">
        <f t="shared" si="7"/>
        <v xml:space="preserve"> </v>
      </c>
      <c r="U31" s="245" t="str">
        <f t="shared" si="7"/>
        <v xml:space="preserve"> </v>
      </c>
      <c r="V31" s="208">
        <f>SUM($N$10:$U31)</f>
        <v>0</v>
      </c>
      <c r="W31" s="208">
        <f>VLOOKUP(V31,Calcs!$Q$4:$R$24,2,TRUE)</f>
        <v>0</v>
      </c>
      <c r="X31" s="435" t="str">
        <f t="shared" si="4"/>
        <v>No</v>
      </c>
      <c r="Y31" s="436"/>
      <c r="Z31" s="435">
        <f t="shared" si="5"/>
        <v>0</v>
      </c>
      <c r="AA31" s="245" t="str">
        <f>IF(AND(X31="Yes",NOT(ISBLANK(Z31))),VLOOKUP(Z31,Calcs!$Y$48:$Z$57,2,TRUE)," ")</f>
        <v xml:space="preserve"> </v>
      </c>
    </row>
    <row r="32" spans="1:27" x14ac:dyDescent="0.2">
      <c r="A32" s="425">
        <f t="shared" si="6"/>
        <v>58</v>
      </c>
      <c r="B32" s="425" t="str">
        <f t="shared" si="2"/>
        <v>Winter</v>
      </c>
      <c r="C32" s="247">
        <f>IF(B32="Winter",A32-('Start Character'!$K$6)-1,IF('Start Character'!$K$7&gt;6,A32-('Start Character'!$K$6)-1,A32-('Start Character'!$K$6)))</f>
        <v>57</v>
      </c>
      <c r="D32" s="247">
        <f t="shared" si="3"/>
        <v>57</v>
      </c>
      <c r="E32" s="246"/>
      <c r="F32" s="83"/>
      <c r="G32" s="83"/>
      <c r="H32" s="246"/>
      <c r="I32" s="433"/>
      <c r="J32" s="254">
        <f>IF(ISBLANK(I32),0,ROUNDUP(D32/10,0)-E32-H32-F32-G32+VLOOKUP($D$2,Calcs!$A$23:$B$27,2,FALSE)+I32)</f>
        <v>0</v>
      </c>
      <c r="K32" s="245" t="str">
        <f>IF(ISBLANK(I32)," ",VLOOKUP(J32,Calcs!$A$82:$H$106,2,TRUE))</f>
        <v xml:space="preserve"> </v>
      </c>
      <c r="L32" s="245">
        <f>IF(ISBLANK(I32),0,VLOOKUP(J32,Calcs!$A$82:$F$106,5,TRUE))</f>
        <v>0</v>
      </c>
      <c r="M32" s="208">
        <f>IF(J32=13,IF(ISNUMBER(W31),VLOOKUP(W31+1,Calcs!$O$4:$Q$24,3,TRUE)-V31,5),IF(J32&lt;10,0,IF(J32&lt;18,1,IF(J32&lt;22,2,IF(ISNUMBER(W31),VLOOKUP(W31+1,Calcs!$O$4:$Q$24,3,TRUE)-V31,5)))))</f>
        <v>0</v>
      </c>
      <c r="N32" s="245" t="str">
        <f t="shared" si="7"/>
        <v xml:space="preserve"> </v>
      </c>
      <c r="O32" s="245" t="str">
        <f t="shared" si="7"/>
        <v xml:space="preserve"> </v>
      </c>
      <c r="P32" s="245" t="str">
        <f t="shared" si="7"/>
        <v xml:space="preserve"> </v>
      </c>
      <c r="Q32" s="245" t="str">
        <f t="shared" si="7"/>
        <v xml:space="preserve"> </v>
      </c>
      <c r="R32" s="245" t="str">
        <f t="shared" si="7"/>
        <v xml:space="preserve"> </v>
      </c>
      <c r="S32" s="245" t="str">
        <f t="shared" si="7"/>
        <v xml:space="preserve"> </v>
      </c>
      <c r="T32" s="245" t="str">
        <f t="shared" si="7"/>
        <v xml:space="preserve"> </v>
      </c>
      <c r="U32" s="245" t="str">
        <f t="shared" si="7"/>
        <v xml:space="preserve"> </v>
      </c>
      <c r="V32" s="208">
        <f>SUM($N$10:$U32)</f>
        <v>0</v>
      </c>
      <c r="W32" s="208">
        <f>VLOOKUP(V32,Calcs!$Q$4:$R$24,2,TRUE)</f>
        <v>0</v>
      </c>
      <c r="X32" s="435" t="str">
        <f t="shared" si="4"/>
        <v>No</v>
      </c>
      <c r="Y32" s="436"/>
      <c r="Z32" s="435">
        <f t="shared" si="5"/>
        <v>0</v>
      </c>
      <c r="AA32" s="245" t="str">
        <f>IF(AND(X32="Yes",NOT(ISBLANK(Z32))),VLOOKUP(Z32,Calcs!$Y$48:$Z$57,2,TRUE)," ")</f>
        <v xml:space="preserve"> </v>
      </c>
    </row>
    <row r="33" spans="1:27" x14ac:dyDescent="0.2">
      <c r="A33" s="425">
        <f t="shared" si="6"/>
        <v>59</v>
      </c>
      <c r="B33" s="425" t="str">
        <f t="shared" si="2"/>
        <v>Winter</v>
      </c>
      <c r="C33" s="247">
        <f>IF(B33="Winter",A33-('Start Character'!$K$6)-1,IF('Start Character'!$K$7&gt;6,A33-('Start Character'!$K$6)-1,A33-('Start Character'!$K$6)))</f>
        <v>58</v>
      </c>
      <c r="D33" s="247">
        <f t="shared" si="3"/>
        <v>58</v>
      </c>
      <c r="E33" s="246"/>
      <c r="F33" s="83"/>
      <c r="G33" s="83"/>
      <c r="H33" s="246"/>
      <c r="I33" s="433"/>
      <c r="J33" s="254">
        <f>IF(ISBLANK(I33),0,ROUNDUP(D33/10,0)-E33-H33-F33-G33+VLOOKUP($D$2,Calcs!$A$23:$B$27,2,FALSE)+I33)</f>
        <v>0</v>
      </c>
      <c r="K33" s="245" t="str">
        <f>IF(ISBLANK(I33)," ",VLOOKUP(J33,Calcs!$A$82:$H$106,2,TRUE))</f>
        <v xml:space="preserve"> </v>
      </c>
      <c r="L33" s="245">
        <f>IF(ISBLANK(I33),0,VLOOKUP(J33,Calcs!$A$82:$F$106,5,TRUE))</f>
        <v>0</v>
      </c>
      <c r="M33" s="208">
        <f>IF(J33=13,IF(ISNUMBER(W32),VLOOKUP(W32+1,Calcs!$O$4:$Q$24,3,TRUE)-V32,5),IF(J33&lt;10,0,IF(J33&lt;18,1,IF(J33&lt;22,2,IF(ISNUMBER(W32),VLOOKUP(W32+1,Calcs!$O$4:$Q$24,3,TRUE)-V32,5)))))</f>
        <v>0</v>
      </c>
      <c r="N33" s="245" t="str">
        <f t="shared" si="7"/>
        <v xml:space="preserve"> </v>
      </c>
      <c r="O33" s="245" t="str">
        <f t="shared" si="7"/>
        <v xml:space="preserve"> </v>
      </c>
      <c r="P33" s="245" t="str">
        <f t="shared" si="7"/>
        <v xml:space="preserve"> </v>
      </c>
      <c r="Q33" s="245" t="str">
        <f t="shared" si="7"/>
        <v xml:space="preserve"> </v>
      </c>
      <c r="R33" s="245" t="str">
        <f t="shared" si="7"/>
        <v xml:space="preserve"> </v>
      </c>
      <c r="S33" s="245" t="str">
        <f t="shared" si="7"/>
        <v xml:space="preserve"> </v>
      </c>
      <c r="T33" s="245" t="str">
        <f t="shared" si="7"/>
        <v xml:space="preserve"> </v>
      </c>
      <c r="U33" s="245" t="str">
        <f t="shared" si="7"/>
        <v xml:space="preserve"> </v>
      </c>
      <c r="V33" s="208">
        <f>SUM($N$10:$U33)</f>
        <v>0</v>
      </c>
      <c r="W33" s="208">
        <f>VLOOKUP(V33,Calcs!$Q$4:$R$24,2,TRUE)</f>
        <v>0</v>
      </c>
      <c r="X33" s="435" t="str">
        <f t="shared" si="4"/>
        <v>No</v>
      </c>
      <c r="Y33" s="436"/>
      <c r="Z33" s="435">
        <f t="shared" si="5"/>
        <v>0</v>
      </c>
      <c r="AA33" s="245" t="str">
        <f>IF(AND(X33="Yes",NOT(ISBLANK(Z33))),VLOOKUP(Z33,Calcs!$Y$48:$Z$57,2,TRUE)," ")</f>
        <v xml:space="preserve"> </v>
      </c>
    </row>
    <row r="34" spans="1:27" x14ac:dyDescent="0.2">
      <c r="A34" s="425">
        <f t="shared" si="6"/>
        <v>60</v>
      </c>
      <c r="B34" s="425" t="str">
        <f t="shared" si="2"/>
        <v>Winter</v>
      </c>
      <c r="C34" s="247">
        <f>IF(B34="Winter",A34-('Start Character'!$K$6)-1,IF('Start Character'!$K$7&gt;6,A34-('Start Character'!$K$6)-1,A34-('Start Character'!$K$6)))</f>
        <v>59</v>
      </c>
      <c r="D34" s="247">
        <f t="shared" si="3"/>
        <v>59</v>
      </c>
      <c r="E34" s="246"/>
      <c r="F34" s="83"/>
      <c r="G34" s="83"/>
      <c r="H34" s="246"/>
      <c r="I34" s="433"/>
      <c r="J34" s="254">
        <f>IF(ISBLANK(I34),0,ROUNDUP(D34/10,0)-E34-H34-F34-G34+VLOOKUP($D$2,Calcs!$A$23:$B$27,2,FALSE)+I34)</f>
        <v>0</v>
      </c>
      <c r="K34" s="245" t="str">
        <f>IF(ISBLANK(I34)," ",VLOOKUP(J34,Calcs!$A$82:$H$106,2,TRUE))</f>
        <v xml:space="preserve"> </v>
      </c>
      <c r="L34" s="245">
        <f>IF(ISBLANK(I34),0,VLOOKUP(J34,Calcs!$A$82:$F$106,5,TRUE))</f>
        <v>0</v>
      </c>
      <c r="M34" s="208">
        <f>IF(J34=13,IF(ISNUMBER(W33),VLOOKUP(W33+1,Calcs!$O$4:$Q$24,3,TRUE)-V33,5),IF(J34&lt;10,0,IF(J34&lt;18,1,IF(J34&lt;22,2,IF(ISNUMBER(W33),VLOOKUP(W33+1,Calcs!$O$4:$Q$24,3,TRUE)-V33,5)))))</f>
        <v>0</v>
      </c>
      <c r="N34" s="245" t="str">
        <f t="shared" si="7"/>
        <v xml:space="preserve"> </v>
      </c>
      <c r="O34" s="245" t="str">
        <f t="shared" si="7"/>
        <v xml:space="preserve"> </v>
      </c>
      <c r="P34" s="245" t="str">
        <f t="shared" si="7"/>
        <v xml:space="preserve"> </v>
      </c>
      <c r="Q34" s="245" t="str">
        <f t="shared" si="7"/>
        <v xml:space="preserve"> </v>
      </c>
      <c r="R34" s="245" t="str">
        <f t="shared" si="7"/>
        <v xml:space="preserve"> </v>
      </c>
      <c r="S34" s="245" t="str">
        <f t="shared" si="7"/>
        <v xml:space="preserve"> </v>
      </c>
      <c r="T34" s="245" t="str">
        <f t="shared" si="7"/>
        <v xml:space="preserve"> </v>
      </c>
      <c r="U34" s="245" t="str">
        <f t="shared" si="7"/>
        <v xml:space="preserve"> </v>
      </c>
      <c r="V34" s="208">
        <f>SUM($N$10:$U34)</f>
        <v>0</v>
      </c>
      <c r="W34" s="208">
        <f>VLOOKUP(V34,Calcs!$Q$4:$R$24,2,TRUE)</f>
        <v>0</v>
      </c>
      <c r="X34" s="435" t="str">
        <f t="shared" si="4"/>
        <v>No</v>
      </c>
      <c r="Y34" s="436"/>
      <c r="Z34" s="435">
        <f t="shared" si="5"/>
        <v>0</v>
      </c>
      <c r="AA34" s="245" t="str">
        <f>IF(AND(X34="Yes",NOT(ISBLANK(Z34))),VLOOKUP(Z34,Calcs!$Y$48:$Z$57,2,TRUE)," ")</f>
        <v xml:space="preserve"> </v>
      </c>
    </row>
    <row r="35" spans="1:27" x14ac:dyDescent="0.2">
      <c r="A35" s="425">
        <f t="shared" si="6"/>
        <v>61</v>
      </c>
      <c r="B35" s="425" t="str">
        <f t="shared" si="2"/>
        <v>Winter</v>
      </c>
      <c r="C35" s="247">
        <f>IF(B35="Winter",A35-('Start Character'!$K$6)-1,IF('Start Character'!$K$7&gt;6,A35-('Start Character'!$K$6)-1,A35-('Start Character'!$K$6)))</f>
        <v>60</v>
      </c>
      <c r="D35" s="247">
        <f t="shared" si="3"/>
        <v>60</v>
      </c>
      <c r="E35" s="246"/>
      <c r="F35" s="83"/>
      <c r="G35" s="83"/>
      <c r="H35" s="246"/>
      <c r="I35" s="433"/>
      <c r="J35" s="254">
        <f>IF(ISBLANK(I35),0,ROUNDUP(D35/10,0)-E35-H35-F35-G35+VLOOKUP($D$2,Calcs!$A$23:$B$27,2,FALSE)+I35)</f>
        <v>0</v>
      </c>
      <c r="K35" s="245" t="str">
        <f>IF(ISBLANK(I35)," ",VLOOKUP(J35,Calcs!$A$82:$H$106,2,TRUE))</f>
        <v xml:space="preserve"> </v>
      </c>
      <c r="L35" s="245">
        <f>IF(ISBLANK(I35),0,VLOOKUP(J35,Calcs!$A$82:$F$106,5,TRUE))</f>
        <v>0</v>
      </c>
      <c r="M35" s="208">
        <f>IF(J35=13,IF(ISNUMBER(W34),VLOOKUP(W34+1,Calcs!$O$4:$Q$24,3,TRUE)-V34,5),IF(J35&lt;10,0,IF(J35&lt;18,1,IF(J35&lt;22,2,IF(ISNUMBER(W34),VLOOKUP(W34+1,Calcs!$O$4:$Q$24,3,TRUE)-V34,5)))))</f>
        <v>0</v>
      </c>
      <c r="N35" s="245" t="str">
        <f t="shared" si="7"/>
        <v xml:space="preserve"> </v>
      </c>
      <c r="O35" s="245" t="str">
        <f t="shared" si="7"/>
        <v xml:space="preserve"> </v>
      </c>
      <c r="P35" s="245" t="str">
        <f t="shared" si="7"/>
        <v xml:space="preserve"> </v>
      </c>
      <c r="Q35" s="245" t="str">
        <f t="shared" si="7"/>
        <v xml:space="preserve"> </v>
      </c>
      <c r="R35" s="245" t="str">
        <f t="shared" si="7"/>
        <v xml:space="preserve"> </v>
      </c>
      <c r="S35" s="245" t="str">
        <f t="shared" si="7"/>
        <v xml:space="preserve"> </v>
      </c>
      <c r="T35" s="245" t="str">
        <f t="shared" si="7"/>
        <v xml:space="preserve"> </v>
      </c>
      <c r="U35" s="245" t="str">
        <f t="shared" si="7"/>
        <v xml:space="preserve"> </v>
      </c>
      <c r="V35" s="208">
        <f>SUM($N$10:$U35)</f>
        <v>0</v>
      </c>
      <c r="W35" s="208">
        <f>VLOOKUP(V35,Calcs!$Q$4:$R$24,2,TRUE)</f>
        <v>0</v>
      </c>
      <c r="X35" s="435" t="str">
        <f t="shared" si="4"/>
        <v>No</v>
      </c>
      <c r="Y35" s="436"/>
      <c r="Z35" s="435">
        <f t="shared" si="5"/>
        <v>0</v>
      </c>
      <c r="AA35" s="245" t="str">
        <f>IF(AND(X35="Yes",NOT(ISBLANK(Z35))),VLOOKUP(Z35,Calcs!$Y$48:$Z$57,2,TRUE)," ")</f>
        <v xml:space="preserve"> </v>
      </c>
    </row>
    <row r="36" spans="1:27" x14ac:dyDescent="0.2">
      <c r="A36" s="425">
        <f t="shared" si="6"/>
        <v>62</v>
      </c>
      <c r="B36" s="425" t="str">
        <f t="shared" si="2"/>
        <v>Winter</v>
      </c>
      <c r="C36" s="247">
        <f>IF(B36="Winter",A36-('Start Character'!$K$6)-1,IF('Start Character'!$K$7&gt;6,A36-('Start Character'!$K$6)-1,A36-('Start Character'!$K$6)))</f>
        <v>61</v>
      </c>
      <c r="D36" s="247">
        <f t="shared" si="3"/>
        <v>61</v>
      </c>
      <c r="E36" s="246"/>
      <c r="F36" s="83"/>
      <c r="G36" s="83"/>
      <c r="H36" s="246"/>
      <c r="I36" s="433"/>
      <c r="J36" s="254">
        <f>IF(ISBLANK(I36),0,ROUNDUP(D36/10,0)-E36-H36-F36-G36+VLOOKUP($D$2,Calcs!$A$23:$B$27,2,FALSE)+I36)</f>
        <v>0</v>
      </c>
      <c r="K36" s="245" t="str">
        <f>IF(ISBLANK(I36)," ",VLOOKUP(J36,Calcs!$A$82:$H$106,2,TRUE))</f>
        <v xml:space="preserve"> </v>
      </c>
      <c r="L36" s="245">
        <f>IF(ISBLANK(I36),0,VLOOKUP(J36,Calcs!$A$82:$F$106,5,TRUE))</f>
        <v>0</v>
      </c>
      <c r="M36" s="208">
        <f>IF(J36=13,IF(ISNUMBER(W35),VLOOKUP(W35+1,Calcs!$O$4:$Q$24,3,TRUE)-V35,5),IF(J36&lt;10,0,IF(J36&lt;18,1,IF(J36&lt;22,2,IF(ISNUMBER(W35),VLOOKUP(W35+1,Calcs!$O$4:$Q$24,3,TRUE)-V35,5)))))</f>
        <v>0</v>
      </c>
      <c r="N36" s="245" t="str">
        <f t="shared" si="7"/>
        <v xml:space="preserve"> </v>
      </c>
      <c r="O36" s="245" t="str">
        <f t="shared" si="7"/>
        <v xml:space="preserve"> </v>
      </c>
      <c r="P36" s="245" t="str">
        <f t="shared" si="7"/>
        <v xml:space="preserve"> </v>
      </c>
      <c r="Q36" s="245" t="str">
        <f t="shared" si="7"/>
        <v xml:space="preserve"> </v>
      </c>
      <c r="R36" s="245" t="str">
        <f t="shared" si="7"/>
        <v xml:space="preserve"> </v>
      </c>
      <c r="S36" s="245" t="str">
        <f t="shared" si="7"/>
        <v xml:space="preserve"> </v>
      </c>
      <c r="T36" s="245" t="str">
        <f t="shared" si="7"/>
        <v xml:space="preserve"> </v>
      </c>
      <c r="U36" s="245" t="str">
        <f t="shared" si="7"/>
        <v xml:space="preserve"> </v>
      </c>
      <c r="V36" s="208">
        <f>SUM($N$10:$U36)</f>
        <v>0</v>
      </c>
      <c r="W36" s="208">
        <f>VLOOKUP(V36,Calcs!$Q$4:$R$24,2,TRUE)</f>
        <v>0</v>
      </c>
      <c r="X36" s="435" t="str">
        <f t="shared" si="4"/>
        <v>No</v>
      </c>
      <c r="Y36" s="436"/>
      <c r="Z36" s="435">
        <f t="shared" si="5"/>
        <v>0</v>
      </c>
      <c r="AA36" s="245" t="str">
        <f>IF(AND(X36="Yes",NOT(ISBLANK(Z36))),VLOOKUP(Z36,Calcs!$Y$48:$Z$57,2,TRUE)," ")</f>
        <v xml:space="preserve"> </v>
      </c>
    </row>
    <row r="37" spans="1:27" x14ac:dyDescent="0.2">
      <c r="A37" s="425">
        <f t="shared" si="6"/>
        <v>63</v>
      </c>
      <c r="B37" s="425" t="str">
        <f t="shared" si="2"/>
        <v>Winter</v>
      </c>
      <c r="C37" s="247">
        <f>IF(B37="Winter",A37-('Start Character'!$K$6)-1,IF('Start Character'!$K$7&gt;6,A37-('Start Character'!$K$6)-1,A37-('Start Character'!$K$6)))</f>
        <v>62</v>
      </c>
      <c r="D37" s="247">
        <f t="shared" si="3"/>
        <v>62</v>
      </c>
      <c r="E37" s="246"/>
      <c r="F37" s="83"/>
      <c r="G37" s="83"/>
      <c r="H37" s="246"/>
      <c r="I37" s="433"/>
      <c r="J37" s="254">
        <f>IF(ISBLANK(I37),0,ROUNDUP(D37/10,0)-E37-H37-F37-G37+VLOOKUP($D$2,Calcs!$A$23:$B$27,2,FALSE)+I37)</f>
        <v>0</v>
      </c>
      <c r="K37" s="245" t="str">
        <f>IF(ISBLANK(I37)," ",VLOOKUP(J37,Calcs!$A$82:$H$106,2,TRUE))</f>
        <v xml:space="preserve"> </v>
      </c>
      <c r="L37" s="245">
        <f>IF(ISBLANK(I37),0,VLOOKUP(J37,Calcs!$A$82:$F$106,5,TRUE))</f>
        <v>0</v>
      </c>
      <c r="M37" s="208">
        <f>IF(J37=13,IF(ISNUMBER(W36),VLOOKUP(W36+1,Calcs!$O$4:$Q$24,3,TRUE)-V36,5),IF(J37&lt;10,0,IF(J37&lt;18,1,IF(J37&lt;22,2,IF(ISNUMBER(W36),VLOOKUP(W36+1,Calcs!$O$4:$Q$24,3,TRUE)-V36,5)))))</f>
        <v>0</v>
      </c>
      <c r="N37" s="245" t="str">
        <f t="shared" si="7"/>
        <v xml:space="preserve"> </v>
      </c>
      <c r="O37" s="245" t="str">
        <f t="shared" si="7"/>
        <v xml:space="preserve"> </v>
      </c>
      <c r="P37" s="245" t="str">
        <f t="shared" si="7"/>
        <v xml:space="preserve"> </v>
      </c>
      <c r="Q37" s="245" t="str">
        <f t="shared" si="7"/>
        <v xml:space="preserve"> </v>
      </c>
      <c r="R37" s="245" t="str">
        <f t="shared" si="7"/>
        <v xml:space="preserve"> </v>
      </c>
      <c r="S37" s="245" t="str">
        <f t="shared" si="7"/>
        <v xml:space="preserve"> </v>
      </c>
      <c r="T37" s="245" t="str">
        <f t="shared" si="7"/>
        <v xml:space="preserve"> </v>
      </c>
      <c r="U37" s="245" t="str">
        <f t="shared" si="7"/>
        <v xml:space="preserve"> </v>
      </c>
      <c r="V37" s="208">
        <f>SUM($N$10:$U37)</f>
        <v>0</v>
      </c>
      <c r="W37" s="208">
        <f>VLOOKUP(V37,Calcs!$Q$4:$R$24,2,TRUE)</f>
        <v>0</v>
      </c>
      <c r="X37" s="435" t="str">
        <f t="shared" si="4"/>
        <v>No</v>
      </c>
      <c r="Y37" s="436"/>
      <c r="Z37" s="435">
        <f t="shared" si="5"/>
        <v>0</v>
      </c>
      <c r="AA37" s="245" t="str">
        <f>IF(AND(X37="Yes",NOT(ISBLANK(Z37))),VLOOKUP(Z37,Calcs!$Y$48:$Z$57,2,TRUE)," ")</f>
        <v xml:space="preserve"> </v>
      </c>
    </row>
    <row r="38" spans="1:27" x14ac:dyDescent="0.2">
      <c r="A38" s="425">
        <f t="shared" si="6"/>
        <v>64</v>
      </c>
      <c r="B38" s="425" t="str">
        <f t="shared" si="2"/>
        <v>Winter</v>
      </c>
      <c r="C38" s="247">
        <f>IF(B38="Winter",A38-('Start Character'!$K$6)-1,IF('Start Character'!$K$7&gt;6,A38-('Start Character'!$K$6)-1,A38-('Start Character'!$K$6)))</f>
        <v>63</v>
      </c>
      <c r="D38" s="247">
        <f t="shared" si="3"/>
        <v>63</v>
      </c>
      <c r="E38" s="246"/>
      <c r="F38" s="83"/>
      <c r="G38" s="83"/>
      <c r="H38" s="246"/>
      <c r="I38" s="433"/>
      <c r="J38" s="254">
        <f>IF(ISBLANK(I38),0,ROUNDUP(D38/10,0)-E38-H38-F38-G38+VLOOKUP($D$2,Calcs!$A$23:$B$27,2,FALSE)+I38)</f>
        <v>0</v>
      </c>
      <c r="K38" s="245" t="str">
        <f>IF(ISBLANK(I38)," ",VLOOKUP(J38,Calcs!$A$82:$H$106,2,TRUE))</f>
        <v xml:space="preserve"> </v>
      </c>
      <c r="L38" s="245">
        <f>IF(ISBLANK(I38),0,VLOOKUP(J38,Calcs!$A$82:$F$106,5,TRUE))</f>
        <v>0</v>
      </c>
      <c r="M38" s="208">
        <f>IF(J38=13,IF(ISNUMBER(W37),VLOOKUP(W37+1,Calcs!$O$4:$Q$24,3,TRUE)-V37,5),IF(J38&lt;10,0,IF(J38&lt;18,1,IF(J38&lt;22,2,IF(ISNUMBER(W37),VLOOKUP(W37+1,Calcs!$O$4:$Q$24,3,TRUE)-V37,5)))))</f>
        <v>0</v>
      </c>
      <c r="N38" s="245" t="str">
        <f t="shared" si="7"/>
        <v xml:space="preserve"> </v>
      </c>
      <c r="O38" s="245" t="str">
        <f t="shared" si="7"/>
        <v xml:space="preserve"> </v>
      </c>
      <c r="P38" s="245" t="str">
        <f t="shared" si="7"/>
        <v xml:space="preserve"> </v>
      </c>
      <c r="Q38" s="245" t="str">
        <f t="shared" si="7"/>
        <v xml:space="preserve"> </v>
      </c>
      <c r="R38" s="245" t="str">
        <f t="shared" si="7"/>
        <v xml:space="preserve"> </v>
      </c>
      <c r="S38" s="245" t="str">
        <f t="shared" si="7"/>
        <v xml:space="preserve"> </v>
      </c>
      <c r="T38" s="245" t="str">
        <f t="shared" si="7"/>
        <v xml:space="preserve"> </v>
      </c>
      <c r="U38" s="245" t="str">
        <f t="shared" si="7"/>
        <v xml:space="preserve"> </v>
      </c>
      <c r="V38" s="208">
        <f>SUM($N$10:$U38)</f>
        <v>0</v>
      </c>
      <c r="W38" s="208">
        <f>VLOOKUP(V38,Calcs!$Q$4:$R$24,2,TRUE)</f>
        <v>0</v>
      </c>
      <c r="X38" s="435" t="str">
        <f t="shared" si="4"/>
        <v>No</v>
      </c>
      <c r="Y38" s="436"/>
      <c r="Z38" s="435">
        <f t="shared" si="5"/>
        <v>0</v>
      </c>
      <c r="AA38" s="245" t="str">
        <f>IF(AND(X38="Yes",NOT(ISBLANK(Z38))),VLOOKUP(Z38,Calcs!$Y$48:$Z$57,2,TRUE)," ")</f>
        <v xml:space="preserve"> </v>
      </c>
    </row>
    <row r="39" spans="1:27" x14ac:dyDescent="0.2">
      <c r="A39" s="425">
        <f t="shared" si="6"/>
        <v>65</v>
      </c>
      <c r="B39" s="425" t="str">
        <f t="shared" si="2"/>
        <v>Winter</v>
      </c>
      <c r="C39" s="247">
        <f>IF(B39="Winter",A39-('Start Character'!$K$6)-1,IF('Start Character'!$K$7&gt;6,A39-('Start Character'!$K$6)-1,A39-('Start Character'!$K$6)))</f>
        <v>64</v>
      </c>
      <c r="D39" s="247">
        <f t="shared" si="3"/>
        <v>64</v>
      </c>
      <c r="E39" s="246"/>
      <c r="F39" s="83"/>
      <c r="G39" s="83"/>
      <c r="H39" s="246"/>
      <c r="I39" s="433"/>
      <c r="J39" s="254">
        <f>IF(ISBLANK(I39),0,ROUNDUP(D39/10,0)-E39-H39-F39-G39+VLOOKUP($D$2,Calcs!$A$23:$B$27,2,FALSE)+I39)</f>
        <v>0</v>
      </c>
      <c r="K39" s="245" t="str">
        <f>IF(ISBLANK(I39)," ",VLOOKUP(J39,Calcs!$A$82:$H$106,2,TRUE))</f>
        <v xml:space="preserve"> </v>
      </c>
      <c r="L39" s="245">
        <f>IF(ISBLANK(I39),0,VLOOKUP(J39,Calcs!$A$82:$F$106,5,TRUE))</f>
        <v>0</v>
      </c>
      <c r="M39" s="208">
        <f>IF(J39=13,IF(ISNUMBER(W38),VLOOKUP(W38+1,Calcs!$O$4:$Q$24,3,TRUE)-V38,5),IF(J39&lt;10,0,IF(J39&lt;18,1,IF(J39&lt;22,2,IF(ISNUMBER(W38),VLOOKUP(W38+1,Calcs!$O$4:$Q$24,3,TRUE)-V38,5)))))</f>
        <v>0</v>
      </c>
      <c r="N39" s="245" t="str">
        <f t="shared" si="7"/>
        <v xml:space="preserve"> </v>
      </c>
      <c r="O39" s="245" t="str">
        <f t="shared" si="7"/>
        <v xml:space="preserve"> </v>
      </c>
      <c r="P39" s="245" t="str">
        <f t="shared" si="7"/>
        <v xml:space="preserve"> </v>
      </c>
      <c r="Q39" s="245" t="str">
        <f t="shared" si="7"/>
        <v xml:space="preserve"> </v>
      </c>
      <c r="R39" s="245" t="str">
        <f t="shared" si="7"/>
        <v xml:space="preserve"> </v>
      </c>
      <c r="S39" s="245" t="str">
        <f t="shared" si="7"/>
        <v xml:space="preserve"> </v>
      </c>
      <c r="T39" s="245" t="str">
        <f t="shared" si="7"/>
        <v xml:space="preserve"> </v>
      </c>
      <c r="U39" s="245" t="str">
        <f t="shared" si="7"/>
        <v xml:space="preserve"> </v>
      </c>
      <c r="V39" s="208">
        <f>SUM($N$10:$U39)</f>
        <v>0</v>
      </c>
      <c r="W39" s="208">
        <f>VLOOKUP(V39,Calcs!$Q$4:$R$24,2,TRUE)</f>
        <v>0</v>
      </c>
      <c r="X39" s="435" t="str">
        <f t="shared" si="4"/>
        <v>No</v>
      </c>
      <c r="Y39" s="436"/>
      <c r="Z39" s="435">
        <f t="shared" si="5"/>
        <v>0</v>
      </c>
      <c r="AA39" s="245" t="str">
        <f>IF(AND(X39="Yes",NOT(ISBLANK(Z39))),VLOOKUP(Z39,Calcs!$Y$48:$Z$57,2,TRUE)," ")</f>
        <v xml:space="preserve"> </v>
      </c>
    </row>
    <row r="40" spans="1:27" x14ac:dyDescent="0.2">
      <c r="A40" s="425">
        <f t="shared" si="6"/>
        <v>66</v>
      </c>
      <c r="B40" s="425" t="str">
        <f t="shared" si="2"/>
        <v>Winter</v>
      </c>
      <c r="C40" s="247">
        <f>IF(B40="Winter",A40-('Start Character'!$K$6)-1,IF('Start Character'!$K$7&gt;6,A40-('Start Character'!$K$6)-1,A40-('Start Character'!$K$6)))</f>
        <v>65</v>
      </c>
      <c r="D40" s="247">
        <f t="shared" si="3"/>
        <v>65</v>
      </c>
      <c r="E40" s="246"/>
      <c r="F40" s="83"/>
      <c r="G40" s="83"/>
      <c r="H40" s="246"/>
      <c r="I40" s="433"/>
      <c r="J40" s="254">
        <f>IF(ISBLANK(I40),0,ROUNDUP(D40/10,0)-E40-H40-F40-G40+VLOOKUP($D$2,Calcs!$A$23:$B$27,2,FALSE)+I40)</f>
        <v>0</v>
      </c>
      <c r="K40" s="245" t="str">
        <f>IF(ISBLANK(I40)," ",VLOOKUP(J40,Calcs!$A$82:$H$106,2,TRUE))</f>
        <v xml:space="preserve"> </v>
      </c>
      <c r="L40" s="245">
        <f>IF(ISBLANK(I40),0,VLOOKUP(J40,Calcs!$A$82:$F$106,5,TRUE))</f>
        <v>0</v>
      </c>
      <c r="M40" s="208">
        <f>IF(J40=13,IF(ISNUMBER(W39),VLOOKUP(W39+1,Calcs!$O$4:$Q$24,3,TRUE)-V39,5),IF(J40&lt;10,0,IF(J40&lt;18,1,IF(J40&lt;22,2,IF(ISNUMBER(W39),VLOOKUP(W39+1,Calcs!$O$4:$Q$24,3,TRUE)-V39,5)))))</f>
        <v>0</v>
      </c>
      <c r="N40" s="245" t="str">
        <f t="shared" si="7"/>
        <v xml:space="preserve"> </v>
      </c>
      <c r="O40" s="245" t="str">
        <f t="shared" si="7"/>
        <v xml:space="preserve"> </v>
      </c>
      <c r="P40" s="245" t="str">
        <f t="shared" si="7"/>
        <v xml:space="preserve"> </v>
      </c>
      <c r="Q40" s="245" t="str">
        <f t="shared" si="7"/>
        <v xml:space="preserve"> </v>
      </c>
      <c r="R40" s="245" t="str">
        <f t="shared" si="7"/>
        <v xml:space="preserve"> </v>
      </c>
      <c r="S40" s="245" t="str">
        <f t="shared" si="7"/>
        <v xml:space="preserve"> </v>
      </c>
      <c r="T40" s="245" t="str">
        <f t="shared" si="7"/>
        <v xml:space="preserve"> </v>
      </c>
      <c r="U40" s="245" t="str">
        <f t="shared" si="7"/>
        <v xml:space="preserve"> </v>
      </c>
      <c r="V40" s="208">
        <f>SUM($N$10:$U40)</f>
        <v>0</v>
      </c>
      <c r="W40" s="208">
        <f>VLOOKUP(V40,Calcs!$Q$4:$R$24,2,TRUE)</f>
        <v>0</v>
      </c>
      <c r="X40" s="435" t="str">
        <f t="shared" si="4"/>
        <v>No</v>
      </c>
      <c r="Y40" s="436"/>
      <c r="Z40" s="435">
        <f t="shared" si="5"/>
        <v>0</v>
      </c>
      <c r="AA40" s="245" t="str">
        <f>IF(AND(X40="Yes",NOT(ISBLANK(Z40))),VLOOKUP(Z40,Calcs!$Y$48:$Z$57,2,TRUE)," ")</f>
        <v xml:space="preserve"> </v>
      </c>
    </row>
    <row r="41" spans="1:27" x14ac:dyDescent="0.2">
      <c r="A41" s="425">
        <f t="shared" si="6"/>
        <v>67</v>
      </c>
      <c r="B41" s="425" t="str">
        <f t="shared" si="2"/>
        <v>Winter</v>
      </c>
      <c r="C41" s="247">
        <f>IF(B41="Winter",A41-('Start Character'!$K$6)-1,IF('Start Character'!$K$7&gt;6,A41-('Start Character'!$K$6)-1,A41-('Start Character'!$K$6)))</f>
        <v>66</v>
      </c>
      <c r="D41" s="247">
        <f t="shared" si="3"/>
        <v>66</v>
      </c>
      <c r="E41" s="246"/>
      <c r="F41" s="83"/>
      <c r="G41" s="83"/>
      <c r="H41" s="246"/>
      <c r="I41" s="433"/>
      <c r="J41" s="254">
        <f>IF(ISBLANK(I41),0,ROUNDUP(D41/10,0)-E41-H41-F41-G41+VLOOKUP($D$2,Calcs!$A$23:$B$27,2,FALSE)+I41)</f>
        <v>0</v>
      </c>
      <c r="K41" s="245" t="str">
        <f>IF(ISBLANK(I41)," ",VLOOKUP(J41,Calcs!$A$82:$H$106,2,TRUE))</f>
        <v xml:space="preserve"> </v>
      </c>
      <c r="L41" s="245">
        <f>IF(ISBLANK(I41),0,VLOOKUP(J41,Calcs!$A$82:$F$106,5,TRUE))</f>
        <v>0</v>
      </c>
      <c r="M41" s="208">
        <f>IF(J41=13,IF(ISNUMBER(W40),VLOOKUP(W40+1,Calcs!$O$4:$Q$24,3,TRUE)-V40,5),IF(J41&lt;10,0,IF(J41&lt;18,1,IF(J41&lt;22,2,IF(ISNUMBER(W40),VLOOKUP(W40+1,Calcs!$O$4:$Q$24,3,TRUE)-V40,5)))))</f>
        <v>0</v>
      </c>
      <c r="N41" s="245" t="str">
        <f t="shared" si="7"/>
        <v xml:space="preserve"> </v>
      </c>
      <c r="O41" s="245" t="str">
        <f t="shared" si="7"/>
        <v xml:space="preserve"> </v>
      </c>
      <c r="P41" s="245" t="str">
        <f t="shared" si="7"/>
        <v xml:space="preserve"> </v>
      </c>
      <c r="Q41" s="245" t="str">
        <f t="shared" si="7"/>
        <v xml:space="preserve"> </v>
      </c>
      <c r="R41" s="245" t="str">
        <f t="shared" si="7"/>
        <v xml:space="preserve"> </v>
      </c>
      <c r="S41" s="245" t="str">
        <f t="shared" si="7"/>
        <v xml:space="preserve"> </v>
      </c>
      <c r="T41" s="245" t="str">
        <f t="shared" si="7"/>
        <v xml:space="preserve"> </v>
      </c>
      <c r="U41" s="245" t="str">
        <f t="shared" si="7"/>
        <v xml:space="preserve"> </v>
      </c>
      <c r="V41" s="208">
        <f>SUM($N$10:$U41)</f>
        <v>0</v>
      </c>
      <c r="W41" s="208">
        <f>VLOOKUP(V41,Calcs!$Q$4:$R$24,2,TRUE)</f>
        <v>0</v>
      </c>
      <c r="X41" s="435" t="str">
        <f t="shared" si="4"/>
        <v>No</v>
      </c>
      <c r="Y41" s="436"/>
      <c r="Z41" s="435">
        <f t="shared" si="5"/>
        <v>0</v>
      </c>
      <c r="AA41" s="245" t="str">
        <f>IF(AND(X41="Yes",NOT(ISBLANK(Z41))),VLOOKUP(Z41,Calcs!$Y$48:$Z$57,2,TRUE)," ")</f>
        <v xml:space="preserve"> </v>
      </c>
    </row>
    <row r="42" spans="1:27" x14ac:dyDescent="0.2">
      <c r="A42" s="425">
        <f t="shared" si="6"/>
        <v>68</v>
      </c>
      <c r="B42" s="425" t="str">
        <f t="shared" si="2"/>
        <v>Winter</v>
      </c>
      <c r="C42" s="247">
        <f>IF(B42="Winter",A42-('Start Character'!$K$6)-1,IF('Start Character'!$K$7&gt;6,A42-('Start Character'!$K$6)-1,A42-('Start Character'!$K$6)))</f>
        <v>67</v>
      </c>
      <c r="D42" s="247">
        <f t="shared" si="3"/>
        <v>67</v>
      </c>
      <c r="E42" s="246"/>
      <c r="F42" s="83"/>
      <c r="G42" s="83"/>
      <c r="H42" s="246"/>
      <c r="I42" s="433"/>
      <c r="J42" s="254">
        <f>IF(ISBLANK(I42),0,ROUNDUP(D42/10,0)-E42-H42-F42-G42+VLOOKUP($D$2,Calcs!$A$23:$B$27,2,FALSE)+I42)</f>
        <v>0</v>
      </c>
      <c r="K42" s="245" t="str">
        <f>IF(ISBLANK(I42)," ",VLOOKUP(J42,Calcs!$A$82:$H$106,2,TRUE))</f>
        <v xml:space="preserve"> </v>
      </c>
      <c r="L42" s="245">
        <f>IF(ISBLANK(I42),0,VLOOKUP(J42,Calcs!$A$82:$F$106,5,TRUE))</f>
        <v>0</v>
      </c>
      <c r="M42" s="208">
        <f>IF(J42=13,IF(ISNUMBER(W41),VLOOKUP(W41+1,Calcs!$O$4:$Q$24,3,TRUE)-V41,5),IF(J42&lt;10,0,IF(J42&lt;18,1,IF(J42&lt;22,2,IF(ISNUMBER(W41),VLOOKUP(W41+1,Calcs!$O$4:$Q$24,3,TRUE)-V41,5)))))</f>
        <v>0</v>
      </c>
      <c r="N42" s="245" t="str">
        <f t="shared" si="7"/>
        <v xml:space="preserve"> </v>
      </c>
      <c r="O42" s="245" t="str">
        <f t="shared" si="7"/>
        <v xml:space="preserve"> </v>
      </c>
      <c r="P42" s="245" t="str">
        <f t="shared" si="7"/>
        <v xml:space="preserve"> </v>
      </c>
      <c r="Q42" s="245" t="str">
        <f t="shared" si="7"/>
        <v xml:space="preserve"> </v>
      </c>
      <c r="R42" s="245" t="str">
        <f t="shared" si="7"/>
        <v xml:space="preserve"> </v>
      </c>
      <c r="S42" s="245" t="str">
        <f t="shared" si="7"/>
        <v xml:space="preserve"> </v>
      </c>
      <c r="T42" s="245" t="str">
        <f t="shared" si="7"/>
        <v xml:space="preserve"> </v>
      </c>
      <c r="U42" s="245" t="str">
        <f t="shared" si="7"/>
        <v xml:space="preserve"> </v>
      </c>
      <c r="V42" s="208">
        <f>SUM($N$10:$U42)</f>
        <v>0</v>
      </c>
      <c r="W42" s="208">
        <f>VLOOKUP(V42,Calcs!$Q$4:$R$24,2,TRUE)</f>
        <v>0</v>
      </c>
      <c r="X42" s="435" t="str">
        <f t="shared" si="4"/>
        <v>No</v>
      </c>
      <c r="Y42" s="436"/>
      <c r="Z42" s="435">
        <f t="shared" si="5"/>
        <v>0</v>
      </c>
      <c r="AA42" s="245" t="str">
        <f>IF(AND(X42="Yes",NOT(ISBLANK(Z42))),VLOOKUP(Z42,Calcs!$Y$48:$Z$57,2,TRUE)," ")</f>
        <v xml:space="preserve"> </v>
      </c>
    </row>
    <row r="43" spans="1:27" x14ac:dyDescent="0.2">
      <c r="A43" s="425">
        <f t="shared" si="6"/>
        <v>69</v>
      </c>
      <c r="B43" s="425" t="str">
        <f t="shared" si="2"/>
        <v>Winter</v>
      </c>
      <c r="C43" s="247">
        <f>IF(B43="Winter",A43-('Start Character'!$K$6)-1,IF('Start Character'!$K$7&gt;6,A43-('Start Character'!$K$6)-1,A43-('Start Character'!$K$6)))</f>
        <v>68</v>
      </c>
      <c r="D43" s="247">
        <f t="shared" si="3"/>
        <v>68</v>
      </c>
      <c r="E43" s="246"/>
      <c r="F43" s="83"/>
      <c r="G43" s="83"/>
      <c r="H43" s="246"/>
      <c r="I43" s="433"/>
      <c r="J43" s="254">
        <f>IF(ISBLANK(I43),0,ROUNDUP(D43/10,0)-E43-H43-F43-G43+VLOOKUP($D$2,Calcs!$A$23:$B$27,2,FALSE)+I43)</f>
        <v>0</v>
      </c>
      <c r="K43" s="245" t="str">
        <f>IF(ISBLANK(I43)," ",VLOOKUP(J43,Calcs!$A$82:$H$106,2,TRUE))</f>
        <v xml:space="preserve"> </v>
      </c>
      <c r="L43" s="245">
        <f>IF(ISBLANK(I43),0,VLOOKUP(J43,Calcs!$A$82:$F$106,5,TRUE))</f>
        <v>0</v>
      </c>
      <c r="M43" s="208">
        <f>IF(J43=13,IF(ISNUMBER(W42),VLOOKUP(W42+1,Calcs!$O$4:$Q$24,3,TRUE)-V42,5),IF(J43&lt;10,0,IF(J43&lt;18,1,IF(J43&lt;22,2,IF(ISNUMBER(W42),VLOOKUP(W42+1,Calcs!$O$4:$Q$24,3,TRUE)-V42,5)))))</f>
        <v>0</v>
      </c>
      <c r="N43" s="245" t="str">
        <f t="shared" si="7"/>
        <v xml:space="preserve"> </v>
      </c>
      <c r="O43" s="245" t="str">
        <f t="shared" si="7"/>
        <v xml:space="preserve"> </v>
      </c>
      <c r="P43" s="245" t="str">
        <f t="shared" si="7"/>
        <v xml:space="preserve"> </v>
      </c>
      <c r="Q43" s="245" t="str">
        <f t="shared" si="7"/>
        <v xml:space="preserve"> </v>
      </c>
      <c r="R43" s="245" t="str">
        <f t="shared" si="7"/>
        <v xml:space="preserve"> </v>
      </c>
      <c r="S43" s="245" t="str">
        <f t="shared" si="7"/>
        <v xml:space="preserve"> </v>
      </c>
      <c r="T43" s="245" t="str">
        <f t="shared" si="7"/>
        <v xml:space="preserve"> </v>
      </c>
      <c r="U43" s="245" t="str">
        <f t="shared" si="7"/>
        <v xml:space="preserve"> </v>
      </c>
      <c r="V43" s="208">
        <f>SUM($N$10:$U43)</f>
        <v>0</v>
      </c>
      <c r="W43" s="208">
        <f>VLOOKUP(V43,Calcs!$Q$4:$R$24,2,TRUE)</f>
        <v>0</v>
      </c>
      <c r="X43" s="435" t="str">
        <f t="shared" si="4"/>
        <v>No</v>
      </c>
      <c r="Y43" s="436"/>
      <c r="Z43" s="435">
        <f t="shared" si="5"/>
        <v>0</v>
      </c>
      <c r="AA43" s="245" t="str">
        <f>IF(AND(X43="Yes",NOT(ISBLANK(Z43))),VLOOKUP(Z43,Calcs!$Y$48:$Z$57,2,TRUE)," ")</f>
        <v xml:space="preserve"> </v>
      </c>
    </row>
    <row r="44" spans="1:27" x14ac:dyDescent="0.2">
      <c r="A44" s="425">
        <f t="shared" si="6"/>
        <v>70</v>
      </c>
      <c r="B44" s="425" t="str">
        <f t="shared" si="2"/>
        <v>Winter</v>
      </c>
      <c r="C44" s="247">
        <f>IF(B44="Winter",A44-('Start Character'!$K$6)-1,IF('Start Character'!$K$7&gt;6,A44-('Start Character'!$K$6)-1,A44-('Start Character'!$K$6)))</f>
        <v>69</v>
      </c>
      <c r="D44" s="247">
        <f t="shared" si="3"/>
        <v>69</v>
      </c>
      <c r="E44" s="246"/>
      <c r="F44" s="83"/>
      <c r="G44" s="83"/>
      <c r="H44" s="246"/>
      <c r="I44" s="433"/>
      <c r="J44" s="254">
        <f>IF(ISBLANK(I44),0,ROUNDUP(D44/10,0)-E44-H44-F44-G44+VLOOKUP($D$2,Calcs!$A$23:$B$27,2,FALSE)+I44)</f>
        <v>0</v>
      </c>
      <c r="K44" s="245" t="str">
        <f>IF(ISBLANK(I44)," ",VLOOKUP(J44,Calcs!$A$82:$H$106,2,TRUE))</f>
        <v xml:space="preserve"> </v>
      </c>
      <c r="L44" s="245">
        <f>IF(ISBLANK(I44),0,VLOOKUP(J44,Calcs!$A$82:$F$106,5,TRUE))</f>
        <v>0</v>
      </c>
      <c r="M44" s="208">
        <f>IF(J44=13,IF(ISNUMBER(W43),VLOOKUP(W43+1,Calcs!$O$4:$Q$24,3,TRUE)-V43,5),IF(J44&lt;10,0,IF(J44&lt;18,1,IF(J44&lt;22,2,IF(ISNUMBER(W43),VLOOKUP(W43+1,Calcs!$O$4:$Q$24,3,TRUE)-V43,5)))))</f>
        <v>0</v>
      </c>
      <c r="N44" s="245" t="str">
        <f t="shared" si="7"/>
        <v xml:space="preserve"> </v>
      </c>
      <c r="O44" s="245" t="str">
        <f t="shared" si="7"/>
        <v xml:space="preserve"> </v>
      </c>
      <c r="P44" s="245" t="str">
        <f t="shared" si="7"/>
        <v xml:space="preserve"> </v>
      </c>
      <c r="Q44" s="245" t="str">
        <f t="shared" si="7"/>
        <v xml:space="preserve"> </v>
      </c>
      <c r="R44" s="245" t="str">
        <f t="shared" si="7"/>
        <v xml:space="preserve"> </v>
      </c>
      <c r="S44" s="245" t="str">
        <f t="shared" si="7"/>
        <v xml:space="preserve"> </v>
      </c>
      <c r="T44" s="245" t="str">
        <f t="shared" si="7"/>
        <v xml:space="preserve"> </v>
      </c>
      <c r="U44" s="245" t="str">
        <f t="shared" si="7"/>
        <v xml:space="preserve"> </v>
      </c>
      <c r="V44" s="208">
        <f>SUM($N$10:$U44)</f>
        <v>0</v>
      </c>
      <c r="W44" s="208">
        <f>VLOOKUP(V44,Calcs!$Q$4:$R$24,2,TRUE)</f>
        <v>0</v>
      </c>
      <c r="X44" s="435" t="str">
        <f t="shared" si="4"/>
        <v>No</v>
      </c>
      <c r="Y44" s="436"/>
      <c r="Z44" s="435">
        <f t="shared" si="5"/>
        <v>0</v>
      </c>
      <c r="AA44" s="245" t="str">
        <f>IF(AND(X44="Yes",NOT(ISBLANK(Z44))),VLOOKUP(Z44,Calcs!$Y$48:$Z$57,2,TRUE)," ")</f>
        <v xml:space="preserve"> </v>
      </c>
    </row>
    <row r="45" spans="1:27" x14ac:dyDescent="0.2">
      <c r="A45" s="425">
        <f t="shared" si="6"/>
        <v>71</v>
      </c>
      <c r="B45" s="425" t="str">
        <f t="shared" si="2"/>
        <v>Winter</v>
      </c>
      <c r="C45" s="247">
        <f>IF(B45="Winter",A45-('Start Character'!$K$6)-1,IF('Start Character'!$K$7&gt;6,A45-('Start Character'!$K$6)-1,A45-('Start Character'!$K$6)))</f>
        <v>70</v>
      </c>
      <c r="D45" s="247">
        <f t="shared" si="3"/>
        <v>70</v>
      </c>
      <c r="E45" s="246"/>
      <c r="F45" s="83"/>
      <c r="G45" s="83"/>
      <c r="H45" s="246"/>
      <c r="I45" s="433"/>
      <c r="J45" s="254">
        <f>IF(ISBLANK(I45),0,ROUNDUP(D45/10,0)-E45-H45-F45-G45+VLOOKUP($D$2,Calcs!$A$23:$B$27,2,FALSE)+I45)</f>
        <v>0</v>
      </c>
      <c r="K45" s="245" t="str">
        <f>IF(ISBLANK(I45)," ",VLOOKUP(J45,Calcs!$A$82:$H$106,2,TRUE))</f>
        <v xml:space="preserve"> </v>
      </c>
      <c r="L45" s="245">
        <f>IF(ISBLANK(I45),0,VLOOKUP(J45,Calcs!$A$82:$F$106,5,TRUE))</f>
        <v>0</v>
      </c>
      <c r="M45" s="208">
        <f>IF(J45=13,IF(ISNUMBER(W44),VLOOKUP(W44+1,Calcs!$O$4:$Q$24,3,TRUE)-V44,5),IF(J45&lt;10,0,IF(J45&lt;18,1,IF(J45&lt;22,2,IF(ISNUMBER(W44),VLOOKUP(W44+1,Calcs!$O$4:$Q$24,3,TRUE)-V44,5)))))</f>
        <v>0</v>
      </c>
      <c r="N45" s="245" t="str">
        <f t="shared" si="7"/>
        <v xml:space="preserve"> </v>
      </c>
      <c r="O45" s="245" t="str">
        <f t="shared" si="7"/>
        <v xml:space="preserve"> </v>
      </c>
      <c r="P45" s="245" t="str">
        <f t="shared" si="7"/>
        <v xml:space="preserve"> </v>
      </c>
      <c r="Q45" s="245" t="str">
        <f t="shared" si="7"/>
        <v xml:space="preserve"> </v>
      </c>
      <c r="R45" s="245" t="str">
        <f t="shared" si="7"/>
        <v xml:space="preserve"> </v>
      </c>
      <c r="S45" s="245" t="str">
        <f t="shared" si="7"/>
        <v xml:space="preserve"> </v>
      </c>
      <c r="T45" s="245" t="str">
        <f t="shared" si="7"/>
        <v xml:space="preserve"> </v>
      </c>
      <c r="U45" s="245" t="str">
        <f t="shared" si="7"/>
        <v xml:space="preserve"> </v>
      </c>
      <c r="V45" s="208">
        <f>SUM($N$10:$U45)</f>
        <v>0</v>
      </c>
      <c r="W45" s="208">
        <f>VLOOKUP(V45,Calcs!$Q$4:$R$24,2,TRUE)</f>
        <v>0</v>
      </c>
      <c r="X45" s="435" t="str">
        <f t="shared" si="4"/>
        <v>No</v>
      </c>
      <c r="Y45" s="436"/>
      <c r="Z45" s="435">
        <f t="shared" si="5"/>
        <v>0</v>
      </c>
      <c r="AA45" s="245" t="str">
        <f>IF(AND(X45="Yes",NOT(ISBLANK(Z45))),VLOOKUP(Z45,Calcs!$Y$48:$Z$57,2,TRUE)," ")</f>
        <v xml:space="preserve"> </v>
      </c>
    </row>
    <row r="46" spans="1:27" x14ac:dyDescent="0.2">
      <c r="A46" s="425">
        <f t="shared" si="6"/>
        <v>72</v>
      </c>
      <c r="B46" s="425" t="str">
        <f t="shared" si="2"/>
        <v>Winter</v>
      </c>
      <c r="C46" s="247">
        <f>IF(B46="Winter",A46-('Start Character'!$K$6)-1,IF('Start Character'!$K$7&gt;6,A46-('Start Character'!$K$6)-1,A46-('Start Character'!$K$6)))</f>
        <v>71</v>
      </c>
      <c r="D46" s="247">
        <f t="shared" si="3"/>
        <v>71</v>
      </c>
      <c r="E46" s="246"/>
      <c r="F46" s="83"/>
      <c r="G46" s="83"/>
      <c r="H46" s="246"/>
      <c r="I46" s="433"/>
      <c r="J46" s="254">
        <f>IF(ISBLANK(I46),0,ROUNDUP(D46/10,0)-E46-H46-F46-G46+VLOOKUP($D$2,Calcs!$A$23:$B$27,2,FALSE)+I46)</f>
        <v>0</v>
      </c>
      <c r="K46" s="245" t="str">
        <f>IF(ISBLANK(I46)," ",VLOOKUP(J46,Calcs!$A$82:$H$106,2,TRUE))</f>
        <v xml:space="preserve"> </v>
      </c>
      <c r="L46" s="245">
        <f>IF(ISBLANK(I46),0,VLOOKUP(J46,Calcs!$A$82:$F$106,5,TRUE))</f>
        <v>0</v>
      </c>
      <c r="M46" s="208">
        <f>IF(J46=13,IF(ISNUMBER(W45),VLOOKUP(W45+1,Calcs!$O$4:$Q$24,3,TRUE)-V45,5),IF(J46&lt;10,0,IF(J46&lt;18,1,IF(J46&lt;22,2,IF(ISNUMBER(W45),VLOOKUP(W45+1,Calcs!$O$4:$Q$24,3,TRUE)-V45,5)))))</f>
        <v>0</v>
      </c>
      <c r="N46" s="245" t="str">
        <f t="shared" si="7"/>
        <v xml:space="preserve"> </v>
      </c>
      <c r="O46" s="245" t="str">
        <f t="shared" si="7"/>
        <v xml:space="preserve"> </v>
      </c>
      <c r="P46" s="245" t="str">
        <f t="shared" si="7"/>
        <v xml:space="preserve"> </v>
      </c>
      <c r="Q46" s="245" t="str">
        <f t="shared" si="7"/>
        <v xml:space="preserve"> </v>
      </c>
      <c r="R46" s="245" t="str">
        <f t="shared" si="7"/>
        <v xml:space="preserve"> </v>
      </c>
      <c r="S46" s="245" t="str">
        <f t="shared" si="7"/>
        <v xml:space="preserve"> </v>
      </c>
      <c r="T46" s="245" t="str">
        <f t="shared" si="7"/>
        <v xml:space="preserve"> </v>
      </c>
      <c r="U46" s="245" t="str">
        <f t="shared" si="7"/>
        <v xml:space="preserve"> </v>
      </c>
      <c r="V46" s="208">
        <f>SUM($N$10:$U46)</f>
        <v>0</v>
      </c>
      <c r="W46" s="208">
        <f>VLOOKUP(V46,Calcs!$Q$4:$R$24,2,TRUE)</f>
        <v>0</v>
      </c>
      <c r="X46" s="435" t="str">
        <f t="shared" si="4"/>
        <v>No</v>
      </c>
      <c r="Y46" s="436"/>
      <c r="Z46" s="435">
        <f t="shared" si="5"/>
        <v>0</v>
      </c>
      <c r="AA46" s="245" t="str">
        <f>IF(AND(X46="Yes",NOT(ISBLANK(Z46))),VLOOKUP(Z46,Calcs!$Y$48:$Z$57,2,TRUE)," ")</f>
        <v xml:space="preserve"> </v>
      </c>
    </row>
    <row r="47" spans="1:27" x14ac:dyDescent="0.2">
      <c r="A47" s="425">
        <f t="shared" si="6"/>
        <v>73</v>
      </c>
      <c r="B47" s="425" t="str">
        <f t="shared" si="2"/>
        <v>Winter</v>
      </c>
      <c r="C47" s="247">
        <f>IF(B47="Winter",A47-('Start Character'!$K$6)-1,IF('Start Character'!$K$7&gt;6,A47-('Start Character'!$K$6)-1,A47-('Start Character'!$K$6)))</f>
        <v>72</v>
      </c>
      <c r="D47" s="247">
        <f t="shared" si="3"/>
        <v>72</v>
      </c>
      <c r="E47" s="246"/>
      <c r="F47" s="83"/>
      <c r="G47" s="83"/>
      <c r="H47" s="246"/>
      <c r="I47" s="433"/>
      <c r="J47" s="254">
        <f>IF(ISBLANK(I47),0,ROUNDUP(D47/10,0)-E47-H47-F47-G47+VLOOKUP($D$2,Calcs!$A$23:$B$27,2,FALSE)+I47)</f>
        <v>0</v>
      </c>
      <c r="K47" s="245" t="str">
        <f>IF(ISBLANK(I47)," ",VLOOKUP(J47,Calcs!$A$82:$H$106,2,TRUE))</f>
        <v xml:space="preserve"> </v>
      </c>
      <c r="L47" s="245">
        <f>IF(ISBLANK(I47),0,VLOOKUP(J47,Calcs!$A$82:$F$106,5,TRUE))</f>
        <v>0</v>
      </c>
      <c r="M47" s="208">
        <f>IF(J47=13,IF(ISNUMBER(W46),VLOOKUP(W46+1,Calcs!$O$4:$Q$24,3,TRUE)-V46,5),IF(J47&lt;10,0,IF(J47&lt;18,1,IF(J47&lt;22,2,IF(ISNUMBER(W46),VLOOKUP(W46+1,Calcs!$O$4:$Q$24,3,TRUE)-V46,5)))))</f>
        <v>0</v>
      </c>
      <c r="N47" s="245" t="str">
        <f t="shared" si="7"/>
        <v xml:space="preserve"> </v>
      </c>
      <c r="O47" s="245" t="str">
        <f t="shared" si="7"/>
        <v xml:space="preserve"> </v>
      </c>
      <c r="P47" s="245" t="str">
        <f t="shared" si="7"/>
        <v xml:space="preserve"> </v>
      </c>
      <c r="Q47" s="245" t="str">
        <f t="shared" si="7"/>
        <v xml:space="preserve"> </v>
      </c>
      <c r="R47" s="245" t="str">
        <f t="shared" si="7"/>
        <v xml:space="preserve"> </v>
      </c>
      <c r="S47" s="245" t="str">
        <f t="shared" si="7"/>
        <v xml:space="preserve"> </v>
      </c>
      <c r="T47" s="245" t="str">
        <f t="shared" si="7"/>
        <v xml:space="preserve"> </v>
      </c>
      <c r="U47" s="245" t="str">
        <f t="shared" si="7"/>
        <v xml:space="preserve"> </v>
      </c>
      <c r="V47" s="208">
        <f>SUM($N$10:$U47)</f>
        <v>0</v>
      </c>
      <c r="W47" s="208">
        <f>VLOOKUP(V47,Calcs!$Q$4:$R$24,2,TRUE)</f>
        <v>0</v>
      </c>
      <c r="X47" s="435" t="str">
        <f t="shared" si="4"/>
        <v>No</v>
      </c>
      <c r="Y47" s="436"/>
      <c r="Z47" s="435">
        <f t="shared" si="5"/>
        <v>0</v>
      </c>
      <c r="AA47" s="245" t="str">
        <f>IF(AND(X47="Yes",NOT(ISBLANK(Z47))),VLOOKUP(Z47,Calcs!$Y$48:$Z$57,2,TRUE)," ")</f>
        <v xml:space="preserve"> </v>
      </c>
    </row>
    <row r="48" spans="1:27" x14ac:dyDescent="0.2">
      <c r="A48" s="425">
        <f t="shared" si="6"/>
        <v>74</v>
      </c>
      <c r="B48" s="425" t="str">
        <f t="shared" si="2"/>
        <v>Winter</v>
      </c>
      <c r="C48" s="247">
        <f>IF(B48="Winter",A48-('Start Character'!$K$6)-1,IF('Start Character'!$K$7&gt;6,A48-('Start Character'!$K$6)-1,A48-('Start Character'!$K$6)))</f>
        <v>73</v>
      </c>
      <c r="D48" s="247">
        <f t="shared" si="3"/>
        <v>73</v>
      </c>
      <c r="E48" s="246"/>
      <c r="F48" s="83"/>
      <c r="G48" s="83"/>
      <c r="H48" s="246"/>
      <c r="I48" s="433"/>
      <c r="J48" s="254">
        <f>IF(ISBLANK(I48),0,ROUNDUP(D48/10,0)-E48-H48-F48-G48+VLOOKUP($D$2,Calcs!$A$23:$B$27,2,FALSE)+I48)</f>
        <v>0</v>
      </c>
      <c r="K48" s="245" t="str">
        <f>IF(ISBLANK(I48)," ",VLOOKUP(J48,Calcs!$A$82:$H$106,2,TRUE))</f>
        <v xml:space="preserve"> </v>
      </c>
      <c r="L48" s="245">
        <f>IF(ISBLANK(I48),0,VLOOKUP(J48,Calcs!$A$82:$F$106,5,TRUE))</f>
        <v>0</v>
      </c>
      <c r="M48" s="208">
        <f>IF(J48=13,IF(ISNUMBER(W47),VLOOKUP(W47+1,Calcs!$O$4:$Q$24,3,TRUE)-V47,5),IF(J48&lt;10,0,IF(J48&lt;18,1,IF(J48&lt;22,2,IF(ISNUMBER(W47),VLOOKUP(W47+1,Calcs!$O$4:$Q$24,3,TRUE)-V47,5)))))</f>
        <v>0</v>
      </c>
      <c r="N48" s="245" t="str">
        <f t="shared" si="7"/>
        <v xml:space="preserve"> </v>
      </c>
      <c r="O48" s="245" t="str">
        <f t="shared" si="7"/>
        <v xml:space="preserve"> </v>
      </c>
      <c r="P48" s="245" t="str">
        <f t="shared" si="7"/>
        <v xml:space="preserve"> </v>
      </c>
      <c r="Q48" s="245" t="str">
        <f t="shared" si="7"/>
        <v xml:space="preserve"> </v>
      </c>
      <c r="R48" s="245" t="str">
        <f t="shared" si="7"/>
        <v xml:space="preserve"> </v>
      </c>
      <c r="S48" s="245" t="str">
        <f t="shared" si="7"/>
        <v xml:space="preserve"> </v>
      </c>
      <c r="T48" s="245" t="str">
        <f t="shared" si="7"/>
        <v xml:space="preserve"> </v>
      </c>
      <c r="U48" s="245" t="str">
        <f t="shared" si="7"/>
        <v xml:space="preserve"> </v>
      </c>
      <c r="V48" s="208">
        <f>SUM($N$10:$U48)</f>
        <v>0</v>
      </c>
      <c r="W48" s="208">
        <f>VLOOKUP(V48,Calcs!$Q$4:$R$24,2,TRUE)</f>
        <v>0</v>
      </c>
      <c r="X48" s="435" t="str">
        <f t="shared" si="4"/>
        <v>No</v>
      </c>
      <c r="Y48" s="436"/>
      <c r="Z48" s="435">
        <f t="shared" si="5"/>
        <v>0</v>
      </c>
      <c r="AA48" s="245" t="str">
        <f>IF(AND(X48="Yes",NOT(ISBLANK(Z48))),VLOOKUP(Z48,Calcs!$Y$48:$Z$57,2,TRUE)," ")</f>
        <v xml:space="preserve"> </v>
      </c>
    </row>
    <row r="49" spans="1:27" x14ac:dyDescent="0.2">
      <c r="A49" s="425">
        <f t="shared" si="6"/>
        <v>75</v>
      </c>
      <c r="B49" s="425" t="str">
        <f t="shared" si="2"/>
        <v>Winter</v>
      </c>
      <c r="C49" s="247">
        <f>IF(B49="Winter",A49-('Start Character'!$K$6)-1,IF('Start Character'!$K$7&gt;6,A49-('Start Character'!$K$6)-1,A49-('Start Character'!$K$6)))</f>
        <v>74</v>
      </c>
      <c r="D49" s="247">
        <f t="shared" si="3"/>
        <v>74</v>
      </c>
      <c r="E49" s="246"/>
      <c r="F49" s="83"/>
      <c r="G49" s="83"/>
      <c r="H49" s="246"/>
      <c r="I49" s="433"/>
      <c r="J49" s="254">
        <f>IF(ISBLANK(I49),0,ROUNDUP(D49/10,0)-E49-H49-F49-G49+VLOOKUP($D$2,Calcs!$A$23:$B$27,2,FALSE)+I49)</f>
        <v>0</v>
      </c>
      <c r="K49" s="245" t="str">
        <f>IF(ISBLANK(I49)," ",VLOOKUP(J49,Calcs!$A$82:$H$106,2,TRUE))</f>
        <v xml:space="preserve"> </v>
      </c>
      <c r="L49" s="245">
        <f>IF(ISBLANK(I49),0,VLOOKUP(J49,Calcs!$A$82:$F$106,5,TRUE))</f>
        <v>0</v>
      </c>
      <c r="M49" s="208">
        <f>IF(J49=13,IF(ISNUMBER(W48),VLOOKUP(W48+1,Calcs!$O$4:$Q$24,3,TRUE)-V48,5),IF(J49&lt;10,0,IF(J49&lt;18,1,IF(J49&lt;22,2,IF(ISNUMBER(W48),VLOOKUP(W48+1,Calcs!$O$4:$Q$24,3,TRUE)-V48,5)))))</f>
        <v>0</v>
      </c>
      <c r="N49" s="245" t="str">
        <f t="shared" si="7"/>
        <v xml:space="preserve"> </v>
      </c>
      <c r="O49" s="245" t="str">
        <f t="shared" si="7"/>
        <v xml:space="preserve"> </v>
      </c>
      <c r="P49" s="245" t="str">
        <f t="shared" si="7"/>
        <v xml:space="preserve"> </v>
      </c>
      <c r="Q49" s="245" t="str">
        <f t="shared" si="7"/>
        <v xml:space="preserve"> </v>
      </c>
      <c r="R49" s="245" t="str">
        <f t="shared" si="7"/>
        <v xml:space="preserve"> </v>
      </c>
      <c r="S49" s="245" t="str">
        <f t="shared" si="7"/>
        <v xml:space="preserve"> </v>
      </c>
      <c r="T49" s="245" t="str">
        <f t="shared" si="7"/>
        <v xml:space="preserve"> </v>
      </c>
      <c r="U49" s="245" t="str">
        <f t="shared" si="7"/>
        <v xml:space="preserve"> </v>
      </c>
      <c r="V49" s="208">
        <f>SUM($N$10:$U49)</f>
        <v>0</v>
      </c>
      <c r="W49" s="208">
        <f>VLOOKUP(V49,Calcs!$Q$4:$R$24,2,TRUE)</f>
        <v>0</v>
      </c>
      <c r="X49" s="435" t="str">
        <f t="shared" si="4"/>
        <v>No</v>
      </c>
      <c r="Y49" s="436"/>
      <c r="Z49" s="435">
        <f t="shared" si="5"/>
        <v>0</v>
      </c>
      <c r="AA49" s="245" t="str">
        <f>IF(AND(X49="Yes",NOT(ISBLANK(Z49))),VLOOKUP(Z49,Calcs!$Y$48:$Z$57,2,TRUE)," ")</f>
        <v xml:space="preserve"> </v>
      </c>
    </row>
    <row r="50" spans="1:27" x14ac:dyDescent="0.2">
      <c r="A50" s="425">
        <f t="shared" si="6"/>
        <v>76</v>
      </c>
      <c r="B50" s="425" t="str">
        <f t="shared" si="2"/>
        <v>Winter</v>
      </c>
      <c r="C50" s="247">
        <f>IF(B50="Winter",A50-('Start Character'!$K$6)-1,IF('Start Character'!$K$7&gt;6,A50-('Start Character'!$K$6)-1,A50-('Start Character'!$K$6)))</f>
        <v>75</v>
      </c>
      <c r="D50" s="247">
        <f t="shared" si="3"/>
        <v>75</v>
      </c>
      <c r="E50" s="246"/>
      <c r="F50" s="83"/>
      <c r="G50" s="83"/>
      <c r="H50" s="246"/>
      <c r="I50" s="433"/>
      <c r="J50" s="254">
        <f>IF(ISBLANK(I50),0,ROUNDUP(D50/10,0)-E50-H50-F50-G50+VLOOKUP($D$2,Calcs!$A$23:$B$27,2,FALSE)+I50)</f>
        <v>0</v>
      </c>
      <c r="K50" s="245" t="str">
        <f>IF(ISBLANK(I50)," ",VLOOKUP(J50,Calcs!$A$82:$H$106,2,TRUE))</f>
        <v xml:space="preserve"> </v>
      </c>
      <c r="L50" s="245">
        <f>IF(ISBLANK(I50),0,VLOOKUP(J50,Calcs!$A$82:$F$106,5,TRUE))</f>
        <v>0</v>
      </c>
      <c r="M50" s="208">
        <f>IF(J50=13,IF(ISNUMBER(W49),VLOOKUP(W49+1,Calcs!$O$4:$Q$24,3,TRUE)-V49,5),IF(J50&lt;10,0,IF(J50&lt;18,1,IF(J50&lt;22,2,IF(ISNUMBER(W49),VLOOKUP(W49+1,Calcs!$O$4:$Q$24,3,TRUE)-V49,5)))))</f>
        <v>0</v>
      </c>
      <c r="N50" s="245" t="str">
        <f t="shared" si="7"/>
        <v xml:space="preserve"> </v>
      </c>
      <c r="O50" s="245" t="str">
        <f t="shared" si="7"/>
        <v xml:space="preserve"> </v>
      </c>
      <c r="P50" s="245" t="str">
        <f t="shared" si="7"/>
        <v xml:space="preserve"> </v>
      </c>
      <c r="Q50" s="245" t="str">
        <f t="shared" si="7"/>
        <v xml:space="preserve"> </v>
      </c>
      <c r="R50" s="245" t="str">
        <f t="shared" si="7"/>
        <v xml:space="preserve"> </v>
      </c>
      <c r="S50" s="245" t="str">
        <f t="shared" si="7"/>
        <v xml:space="preserve"> </v>
      </c>
      <c r="T50" s="245" t="str">
        <f t="shared" si="7"/>
        <v xml:space="preserve"> </v>
      </c>
      <c r="U50" s="245" t="str">
        <f t="shared" si="7"/>
        <v xml:space="preserve"> </v>
      </c>
      <c r="V50" s="208">
        <f>SUM($N$10:$U50)</f>
        <v>0</v>
      </c>
      <c r="W50" s="208">
        <f>VLOOKUP(V50,Calcs!$Q$4:$R$24,2,TRUE)</f>
        <v>0</v>
      </c>
      <c r="X50" s="435" t="str">
        <f t="shared" si="4"/>
        <v>No</v>
      </c>
      <c r="Y50" s="436"/>
      <c r="Z50" s="435">
        <f t="shared" si="5"/>
        <v>0</v>
      </c>
      <c r="AA50" s="245" t="str">
        <f>IF(AND(X50="Yes",NOT(ISBLANK(Z50))),VLOOKUP(Z50,Calcs!$Y$48:$Z$57,2,TRUE)," ")</f>
        <v xml:space="preserve"> </v>
      </c>
    </row>
    <row r="51" spans="1:27" x14ac:dyDescent="0.2">
      <c r="A51" s="425">
        <f t="shared" si="6"/>
        <v>77</v>
      </c>
      <c r="B51" s="425" t="str">
        <f t="shared" si="2"/>
        <v>Winter</v>
      </c>
      <c r="C51" s="247">
        <f>IF(B51="Winter",A51-('Start Character'!$K$6)-1,IF('Start Character'!$K$7&gt;6,A51-('Start Character'!$K$6)-1,A51-('Start Character'!$K$6)))</f>
        <v>76</v>
      </c>
      <c r="D51" s="247">
        <f t="shared" si="3"/>
        <v>76</v>
      </c>
      <c r="E51" s="246"/>
      <c r="F51" s="83"/>
      <c r="G51" s="83"/>
      <c r="H51" s="246"/>
      <c r="I51" s="433"/>
      <c r="J51" s="254">
        <f>IF(ISBLANK(I51),0,ROUNDUP(D51/10,0)-E51-H51-F51-G51+VLOOKUP($D$2,Calcs!$A$23:$B$27,2,FALSE)+I51)</f>
        <v>0</v>
      </c>
      <c r="K51" s="245" t="str">
        <f>IF(ISBLANK(I51)," ",VLOOKUP(J51,Calcs!$A$82:$H$106,2,TRUE))</f>
        <v xml:space="preserve"> </v>
      </c>
      <c r="L51" s="245">
        <f>IF(ISBLANK(I51),0,VLOOKUP(J51,Calcs!$A$82:$F$106,5,TRUE))</f>
        <v>0</v>
      </c>
      <c r="M51" s="208">
        <f>IF(J51=13,IF(ISNUMBER(W50),VLOOKUP(W50+1,Calcs!$O$4:$Q$24,3,TRUE)-V50,5),IF(J51&lt;10,0,IF(J51&lt;18,1,IF(J51&lt;22,2,IF(ISNUMBER(W50),VLOOKUP(W50+1,Calcs!$O$4:$Q$24,3,TRUE)-V50,5)))))</f>
        <v>0</v>
      </c>
      <c r="N51" s="245" t="str">
        <f t="shared" si="7"/>
        <v xml:space="preserve"> </v>
      </c>
      <c r="O51" s="245" t="str">
        <f t="shared" si="7"/>
        <v xml:space="preserve"> </v>
      </c>
      <c r="P51" s="245" t="str">
        <f t="shared" si="7"/>
        <v xml:space="preserve"> </v>
      </c>
      <c r="Q51" s="245" t="str">
        <f t="shared" si="7"/>
        <v xml:space="preserve"> </v>
      </c>
      <c r="R51" s="245" t="str">
        <f t="shared" si="7"/>
        <v xml:space="preserve"> </v>
      </c>
      <c r="S51" s="245" t="str">
        <f t="shared" si="7"/>
        <v xml:space="preserve"> </v>
      </c>
      <c r="T51" s="245" t="str">
        <f t="shared" si="7"/>
        <v xml:space="preserve"> </v>
      </c>
      <c r="U51" s="245" t="str">
        <f t="shared" si="7"/>
        <v xml:space="preserve"> </v>
      </c>
      <c r="V51" s="208">
        <f>SUM($N$10:$U51)</f>
        <v>0</v>
      </c>
      <c r="W51" s="208">
        <f>VLOOKUP(V51,Calcs!$Q$4:$R$24,2,TRUE)</f>
        <v>0</v>
      </c>
      <c r="X51" s="435" t="str">
        <f t="shared" si="4"/>
        <v>No</v>
      </c>
      <c r="Y51" s="436"/>
      <c r="Z51" s="435">
        <f t="shared" si="5"/>
        <v>0</v>
      </c>
      <c r="AA51" s="245" t="str">
        <f>IF(AND(X51="Yes",NOT(ISBLANK(Z51))),VLOOKUP(Z51,Calcs!$Y$48:$Z$57,2,TRUE)," ")</f>
        <v xml:space="preserve"> </v>
      </c>
    </row>
    <row r="52" spans="1:27" x14ac:dyDescent="0.2">
      <c r="A52" s="425">
        <f t="shared" si="6"/>
        <v>78</v>
      </c>
      <c r="B52" s="425" t="str">
        <f t="shared" si="2"/>
        <v>Winter</v>
      </c>
      <c r="C52" s="247">
        <f>IF(B52="Winter",A52-('Start Character'!$K$6)-1,IF('Start Character'!$K$7&gt;6,A52-('Start Character'!$K$6)-1,A52-('Start Character'!$K$6)))</f>
        <v>77</v>
      </c>
      <c r="D52" s="247">
        <f t="shared" si="3"/>
        <v>77</v>
      </c>
      <c r="E52" s="246"/>
      <c r="F52" s="83"/>
      <c r="G52" s="83"/>
      <c r="H52" s="246"/>
      <c r="I52" s="433"/>
      <c r="J52" s="254">
        <f>IF(ISBLANK(I52),0,ROUNDUP(D52/10,0)-E52-H52-F52-G52+VLOOKUP($D$2,Calcs!$A$23:$B$27,2,FALSE)+I52)</f>
        <v>0</v>
      </c>
      <c r="K52" s="245" t="str">
        <f>IF(ISBLANK(I52)," ",VLOOKUP(J52,Calcs!$A$82:$H$106,2,TRUE))</f>
        <v xml:space="preserve"> </v>
      </c>
      <c r="L52" s="245">
        <f>IF(ISBLANK(I52),0,VLOOKUP(J52,Calcs!$A$82:$F$106,5,TRUE))</f>
        <v>0</v>
      </c>
      <c r="M52" s="208">
        <f>IF(J52=13,IF(ISNUMBER(W51),VLOOKUP(W51+1,Calcs!$O$4:$Q$24,3,TRUE)-V51,5),IF(J52&lt;10,0,IF(J52&lt;18,1,IF(J52&lt;22,2,IF(ISNUMBER(W51),VLOOKUP(W51+1,Calcs!$O$4:$Q$24,3,TRUE)-V51,5)))))</f>
        <v>0</v>
      </c>
      <c r="N52" s="245" t="str">
        <f t="shared" si="7"/>
        <v xml:space="preserve"> </v>
      </c>
      <c r="O52" s="245" t="str">
        <f t="shared" si="7"/>
        <v xml:space="preserve"> </v>
      </c>
      <c r="P52" s="245" t="str">
        <f t="shared" si="7"/>
        <v xml:space="preserve"> </v>
      </c>
      <c r="Q52" s="245" t="str">
        <f t="shared" si="7"/>
        <v xml:space="preserve"> </v>
      </c>
      <c r="R52" s="245" t="str">
        <f t="shared" si="7"/>
        <v xml:space="preserve"> </v>
      </c>
      <c r="S52" s="245" t="str">
        <f t="shared" si="7"/>
        <v xml:space="preserve"> </v>
      </c>
      <c r="T52" s="245" t="str">
        <f t="shared" si="7"/>
        <v xml:space="preserve"> </v>
      </c>
      <c r="U52" s="245" t="str">
        <f t="shared" si="7"/>
        <v xml:space="preserve"> </v>
      </c>
      <c r="V52" s="208">
        <f>SUM($N$10:$U52)</f>
        <v>0</v>
      </c>
      <c r="W52" s="208">
        <f>VLOOKUP(V52,Calcs!$Q$4:$R$24,2,TRUE)</f>
        <v>0</v>
      </c>
      <c r="X52" s="435" t="str">
        <f t="shared" si="4"/>
        <v>No</v>
      </c>
      <c r="Y52" s="436"/>
      <c r="Z52" s="435">
        <f t="shared" si="5"/>
        <v>0</v>
      </c>
      <c r="AA52" s="245" t="str">
        <f>IF(AND(X52="Yes",NOT(ISBLANK(Z52))),VLOOKUP(Z52,Calcs!$Y$48:$Z$57,2,TRUE)," ")</f>
        <v xml:space="preserve"> </v>
      </c>
    </row>
    <row r="53" spans="1:27" x14ac:dyDescent="0.2">
      <c r="A53" s="425">
        <f t="shared" si="6"/>
        <v>79</v>
      </c>
      <c r="B53" s="425" t="str">
        <f t="shared" si="2"/>
        <v>Winter</v>
      </c>
      <c r="C53" s="247">
        <f>IF(B53="Winter",A53-('Start Character'!$K$6)-1,IF('Start Character'!$K$7&gt;6,A53-('Start Character'!$K$6)-1,A53-('Start Character'!$K$6)))</f>
        <v>78</v>
      </c>
      <c r="D53" s="247">
        <f t="shared" si="3"/>
        <v>78</v>
      </c>
      <c r="E53" s="246"/>
      <c r="F53" s="83"/>
      <c r="G53" s="83"/>
      <c r="H53" s="246"/>
      <c r="I53" s="433"/>
      <c r="J53" s="254">
        <f>IF(ISBLANK(I53),0,ROUNDUP(D53/10,0)-E53-H53-F53-G53+VLOOKUP($D$2,Calcs!$A$23:$B$27,2,FALSE)+I53)</f>
        <v>0</v>
      </c>
      <c r="K53" s="245" t="str">
        <f>IF(ISBLANK(I53)," ",VLOOKUP(J53,Calcs!$A$82:$H$106,2,TRUE))</f>
        <v xml:space="preserve"> </v>
      </c>
      <c r="L53" s="245">
        <f>IF(ISBLANK(I53),0,VLOOKUP(J53,Calcs!$A$82:$F$106,5,TRUE))</f>
        <v>0</v>
      </c>
      <c r="M53" s="208">
        <f>IF(J53=13,IF(ISNUMBER(W52),VLOOKUP(W52+1,Calcs!$O$4:$Q$24,3,TRUE)-V52,5),IF(J53&lt;10,0,IF(J53&lt;18,1,IF(J53&lt;22,2,IF(ISNUMBER(W52),VLOOKUP(W52+1,Calcs!$O$4:$Q$24,3,TRUE)-V52,5)))))</f>
        <v>0</v>
      </c>
      <c r="N53" s="245" t="str">
        <f t="shared" si="7"/>
        <v xml:space="preserve"> </v>
      </c>
      <c r="O53" s="245" t="str">
        <f t="shared" si="7"/>
        <v xml:space="preserve"> </v>
      </c>
      <c r="P53" s="245" t="str">
        <f t="shared" si="7"/>
        <v xml:space="preserve"> </v>
      </c>
      <c r="Q53" s="245" t="str">
        <f t="shared" si="7"/>
        <v xml:space="preserve"> </v>
      </c>
      <c r="R53" s="245" t="str">
        <f t="shared" si="7"/>
        <v xml:space="preserve"> </v>
      </c>
      <c r="S53" s="245" t="str">
        <f t="shared" si="7"/>
        <v xml:space="preserve"> </v>
      </c>
      <c r="T53" s="245" t="str">
        <f t="shared" si="7"/>
        <v xml:space="preserve"> </v>
      </c>
      <c r="U53" s="245" t="str">
        <f t="shared" si="7"/>
        <v xml:space="preserve"> </v>
      </c>
      <c r="V53" s="208">
        <f>SUM($N$10:$U53)</f>
        <v>0</v>
      </c>
      <c r="W53" s="208">
        <f>VLOOKUP(V53,Calcs!$Q$4:$R$24,2,TRUE)</f>
        <v>0</v>
      </c>
      <c r="X53" s="435" t="str">
        <f t="shared" si="4"/>
        <v>No</v>
      </c>
      <c r="Y53" s="436"/>
      <c r="Z53" s="435">
        <f t="shared" si="5"/>
        <v>0</v>
      </c>
      <c r="AA53" s="245" t="str">
        <f>IF(AND(X53="Yes",NOT(ISBLANK(Z53))),VLOOKUP(Z53,Calcs!$Y$48:$Z$57,2,TRUE)," ")</f>
        <v xml:space="preserve"> </v>
      </c>
    </row>
    <row r="54" spans="1:27" x14ac:dyDescent="0.2">
      <c r="A54" s="425">
        <f t="shared" si="6"/>
        <v>80</v>
      </c>
      <c r="B54" s="425" t="str">
        <f t="shared" si="2"/>
        <v>Winter</v>
      </c>
      <c r="C54" s="247">
        <f>IF(B54="Winter",A54-('Start Character'!$K$6)-1,IF('Start Character'!$K$7&gt;6,A54-('Start Character'!$K$6)-1,A54-('Start Character'!$K$6)))</f>
        <v>79</v>
      </c>
      <c r="D54" s="247">
        <f t="shared" si="3"/>
        <v>79</v>
      </c>
      <c r="E54" s="246"/>
      <c r="F54" s="83"/>
      <c r="G54" s="83"/>
      <c r="H54" s="246"/>
      <c r="I54" s="433"/>
      <c r="J54" s="254">
        <f>IF(ISBLANK(I54),0,ROUNDUP(D54/10,0)-E54-H54-F54-G54+VLOOKUP($D$2,Calcs!$A$23:$B$27,2,FALSE)+I54)</f>
        <v>0</v>
      </c>
      <c r="K54" s="245" t="str">
        <f>IF(ISBLANK(I54)," ",VLOOKUP(J54,Calcs!$A$82:$H$106,2,TRUE))</f>
        <v xml:space="preserve"> </v>
      </c>
      <c r="L54" s="245">
        <f>IF(ISBLANK(I54),0,VLOOKUP(J54,Calcs!$A$82:$F$106,5,TRUE))</f>
        <v>0</v>
      </c>
      <c r="M54" s="208">
        <f>IF(J54=13,IF(ISNUMBER(W53),VLOOKUP(W53+1,Calcs!$O$4:$Q$24,3,TRUE)-V53,5),IF(J54&lt;10,0,IF(J54&lt;18,1,IF(J54&lt;22,2,IF(ISNUMBER(W53),VLOOKUP(W53+1,Calcs!$O$4:$Q$24,3,TRUE)-V53,5)))))</f>
        <v>0</v>
      </c>
      <c r="N54" s="245" t="str">
        <f t="shared" si="7"/>
        <v xml:space="preserve"> </v>
      </c>
      <c r="O54" s="245" t="str">
        <f t="shared" si="7"/>
        <v xml:space="preserve"> </v>
      </c>
      <c r="P54" s="245" t="str">
        <f t="shared" si="7"/>
        <v xml:space="preserve"> </v>
      </c>
      <c r="Q54" s="245" t="str">
        <f t="shared" si="7"/>
        <v xml:space="preserve"> </v>
      </c>
      <c r="R54" s="245" t="str">
        <f t="shared" si="7"/>
        <v xml:space="preserve"> </v>
      </c>
      <c r="S54" s="245" t="str">
        <f t="shared" si="7"/>
        <v xml:space="preserve"> </v>
      </c>
      <c r="T54" s="245" t="str">
        <f t="shared" si="7"/>
        <v xml:space="preserve"> </v>
      </c>
      <c r="U54" s="245" t="str">
        <f t="shared" si="7"/>
        <v xml:space="preserve"> </v>
      </c>
      <c r="V54" s="208">
        <f>SUM($N$10:$U54)</f>
        <v>0</v>
      </c>
      <c r="W54" s="208">
        <f>VLOOKUP(V54,Calcs!$Q$4:$R$24,2,TRUE)</f>
        <v>0</v>
      </c>
      <c r="X54" s="435" t="str">
        <f t="shared" si="4"/>
        <v>No</v>
      </c>
      <c r="Y54" s="436"/>
      <c r="Z54" s="435">
        <f t="shared" si="5"/>
        <v>0</v>
      </c>
      <c r="AA54" s="245" t="str">
        <f>IF(AND(X54="Yes",NOT(ISBLANK(Z54))),VLOOKUP(Z54,Calcs!$Y$48:$Z$57,2,TRUE)," ")</f>
        <v xml:space="preserve"> </v>
      </c>
    </row>
    <row r="55" spans="1:27" x14ac:dyDescent="0.2">
      <c r="A55" s="425">
        <f t="shared" si="6"/>
        <v>81</v>
      </c>
      <c r="B55" s="425" t="str">
        <f t="shared" si="2"/>
        <v>Winter</v>
      </c>
      <c r="C55" s="247">
        <f>IF(B55="Winter",A55-('Start Character'!$K$6)-1,IF('Start Character'!$K$7&gt;6,A55-('Start Character'!$K$6)-1,A55-('Start Character'!$K$6)))</f>
        <v>80</v>
      </c>
      <c r="D55" s="247">
        <f t="shared" si="3"/>
        <v>80</v>
      </c>
      <c r="E55" s="246"/>
      <c r="F55" s="83"/>
      <c r="G55" s="83"/>
      <c r="H55" s="246"/>
      <c r="I55" s="433"/>
      <c r="J55" s="254">
        <f>IF(ISBLANK(I55),0,ROUNDUP(D55/10,0)-E55-H55-F55-G55+VLOOKUP($D$2,Calcs!$A$23:$B$27,2,FALSE)+I55)</f>
        <v>0</v>
      </c>
      <c r="K55" s="245" t="str">
        <f>IF(ISBLANK(I55)," ",VLOOKUP(J55,Calcs!$A$82:$H$106,2,TRUE))</f>
        <v xml:space="preserve"> </v>
      </c>
      <c r="L55" s="245">
        <f>IF(ISBLANK(I55),0,VLOOKUP(J55,Calcs!$A$82:$F$106,5,TRUE))</f>
        <v>0</v>
      </c>
      <c r="M55" s="208">
        <f>IF(J55=13,IF(ISNUMBER(W54),VLOOKUP(W54+1,Calcs!$O$4:$Q$24,3,TRUE)-V54,5),IF(J55&lt;10,0,IF(J55&lt;18,1,IF(J55&lt;22,2,IF(ISNUMBER(W54),VLOOKUP(W54+1,Calcs!$O$4:$Q$24,3,TRUE)-V54,5)))))</f>
        <v>0</v>
      </c>
      <c r="N55" s="245" t="str">
        <f t="shared" si="7"/>
        <v xml:space="preserve"> </v>
      </c>
      <c r="O55" s="245" t="str">
        <f t="shared" si="7"/>
        <v xml:space="preserve"> </v>
      </c>
      <c r="P55" s="245" t="str">
        <f t="shared" si="7"/>
        <v xml:space="preserve"> </v>
      </c>
      <c r="Q55" s="245" t="str">
        <f t="shared" si="7"/>
        <v xml:space="preserve"> </v>
      </c>
      <c r="R55" s="245" t="str">
        <f t="shared" si="7"/>
        <v xml:space="preserve"> </v>
      </c>
      <c r="S55" s="245" t="str">
        <f t="shared" si="7"/>
        <v xml:space="preserve"> </v>
      </c>
      <c r="T55" s="245" t="str">
        <f t="shared" si="7"/>
        <v xml:space="preserve"> </v>
      </c>
      <c r="U55" s="245" t="str">
        <f t="shared" si="7"/>
        <v xml:space="preserve"> </v>
      </c>
      <c r="V55" s="208">
        <f>SUM($N$10:$U55)</f>
        <v>0</v>
      </c>
      <c r="W55" s="208">
        <f>VLOOKUP(V55,Calcs!$Q$4:$R$24,2,TRUE)</f>
        <v>0</v>
      </c>
      <c r="X55" s="435" t="str">
        <f t="shared" si="4"/>
        <v>No</v>
      </c>
      <c r="Y55" s="436"/>
      <c r="Z55" s="435">
        <f t="shared" si="5"/>
        <v>0</v>
      </c>
      <c r="AA55" s="245" t="str">
        <f>IF(AND(X55="Yes",NOT(ISBLANK(Z55))),VLOOKUP(Z55,Calcs!$Y$48:$Z$57,2,TRUE)," ")</f>
        <v xml:space="preserve"> </v>
      </c>
    </row>
    <row r="56" spans="1:27" x14ac:dyDescent="0.2">
      <c r="A56" s="425">
        <f t="shared" si="6"/>
        <v>82</v>
      </c>
      <c r="B56" s="425" t="str">
        <f t="shared" si="2"/>
        <v>Winter</v>
      </c>
      <c r="C56" s="247">
        <f>IF(B56="Winter",A56-('Start Character'!$K$6)-1,IF('Start Character'!$K$7&gt;6,A56-('Start Character'!$K$6)-1,A56-('Start Character'!$K$6)))</f>
        <v>81</v>
      </c>
      <c r="D56" s="247">
        <f t="shared" si="3"/>
        <v>81</v>
      </c>
      <c r="E56" s="246"/>
      <c r="F56" s="83"/>
      <c r="G56" s="83"/>
      <c r="H56" s="246"/>
      <c r="I56" s="433"/>
      <c r="J56" s="254">
        <f>IF(ISBLANK(I56),0,ROUNDUP(D56/10,0)-E56-H56-F56-G56+VLOOKUP($D$2,Calcs!$A$23:$B$27,2,FALSE)+I56)</f>
        <v>0</v>
      </c>
      <c r="K56" s="245" t="str">
        <f>IF(ISBLANK(I56)," ",VLOOKUP(J56,Calcs!$A$82:$H$106,2,TRUE))</f>
        <v xml:space="preserve"> </v>
      </c>
      <c r="L56" s="245">
        <f>IF(ISBLANK(I56),0,VLOOKUP(J56,Calcs!$A$82:$F$106,5,TRUE))</f>
        <v>0</v>
      </c>
      <c r="M56" s="208">
        <f>IF(J56=13,IF(ISNUMBER(W55),VLOOKUP(W55+1,Calcs!$O$4:$Q$24,3,TRUE)-V55,5),IF(J56&lt;10,0,IF(J56&lt;18,1,IF(J56&lt;22,2,IF(ISNUMBER(W55),VLOOKUP(W55+1,Calcs!$O$4:$Q$24,3,TRUE)-V55,5)))))</f>
        <v>0</v>
      </c>
      <c r="N56" s="245" t="str">
        <f t="shared" si="7"/>
        <v xml:space="preserve"> </v>
      </c>
      <c r="O56" s="245" t="str">
        <f t="shared" si="7"/>
        <v xml:space="preserve"> </v>
      </c>
      <c r="P56" s="245" t="str">
        <f t="shared" si="7"/>
        <v xml:space="preserve"> </v>
      </c>
      <c r="Q56" s="245" t="str">
        <f t="shared" si="7"/>
        <v xml:space="preserve"> </v>
      </c>
      <c r="R56" s="245" t="str">
        <f t="shared" si="7"/>
        <v xml:space="preserve"> </v>
      </c>
      <c r="S56" s="245" t="str">
        <f t="shared" si="7"/>
        <v xml:space="preserve"> </v>
      </c>
      <c r="T56" s="245" t="str">
        <f t="shared" si="7"/>
        <v xml:space="preserve"> </v>
      </c>
      <c r="U56" s="245" t="str">
        <f t="shared" si="7"/>
        <v xml:space="preserve"> </v>
      </c>
      <c r="V56" s="208">
        <f>SUM($N$10:$U56)</f>
        <v>0</v>
      </c>
      <c r="W56" s="208">
        <f>VLOOKUP(V56,Calcs!$Q$4:$R$24,2,TRUE)</f>
        <v>0</v>
      </c>
      <c r="X56" s="435" t="str">
        <f t="shared" si="4"/>
        <v>No</v>
      </c>
      <c r="Y56" s="436"/>
      <c r="Z56" s="435">
        <f t="shared" si="5"/>
        <v>0</v>
      </c>
      <c r="AA56" s="245" t="str">
        <f>IF(AND(X56="Yes",NOT(ISBLANK(Z56))),VLOOKUP(Z56,Calcs!$Y$48:$Z$57,2,TRUE)," ")</f>
        <v xml:space="preserve"> </v>
      </c>
    </row>
    <row r="57" spans="1:27" x14ac:dyDescent="0.2">
      <c r="A57" s="425">
        <f t="shared" si="6"/>
        <v>83</v>
      </c>
      <c r="B57" s="425" t="str">
        <f t="shared" si="2"/>
        <v>Winter</v>
      </c>
      <c r="C57" s="247">
        <f>IF(B57="Winter",A57-('Start Character'!$K$6)-1,IF('Start Character'!$K$7&gt;6,A57-('Start Character'!$K$6)-1,A57-('Start Character'!$K$6)))</f>
        <v>82</v>
      </c>
      <c r="D57" s="247">
        <f t="shared" si="3"/>
        <v>82</v>
      </c>
      <c r="E57" s="246"/>
      <c r="F57" s="83"/>
      <c r="G57" s="83"/>
      <c r="H57" s="246"/>
      <c r="I57" s="433"/>
      <c r="J57" s="254">
        <f>IF(ISBLANK(I57),0,ROUNDUP(D57/10,0)-E57-H57-F57-G57+VLOOKUP($D$2,Calcs!$A$23:$B$27,2,FALSE)+I57)</f>
        <v>0</v>
      </c>
      <c r="K57" s="245" t="str">
        <f>IF(ISBLANK(I57)," ",VLOOKUP(J57,Calcs!$A$82:$H$106,2,TRUE))</f>
        <v xml:space="preserve"> </v>
      </c>
      <c r="L57" s="245">
        <f>IF(ISBLANK(I57),0,VLOOKUP(J57,Calcs!$A$82:$F$106,5,TRUE))</f>
        <v>0</v>
      </c>
      <c r="M57" s="208">
        <f>IF(J57=13,IF(ISNUMBER(W56),VLOOKUP(W56+1,Calcs!$O$4:$Q$24,3,TRUE)-V56,5),IF(J57&lt;10,0,IF(J57&lt;18,1,IF(J57&lt;22,2,IF(ISNUMBER(W56),VLOOKUP(W56+1,Calcs!$O$4:$Q$24,3,TRUE)-V56,5)))))</f>
        <v>0</v>
      </c>
      <c r="N57" s="245" t="str">
        <f t="shared" si="7"/>
        <v xml:space="preserve"> </v>
      </c>
      <c r="O57" s="245" t="str">
        <f t="shared" si="7"/>
        <v xml:space="preserve"> </v>
      </c>
      <c r="P57" s="245" t="str">
        <f t="shared" si="7"/>
        <v xml:space="preserve"> </v>
      </c>
      <c r="Q57" s="245" t="str">
        <f t="shared" si="7"/>
        <v xml:space="preserve"> </v>
      </c>
      <c r="R57" s="245" t="str">
        <f t="shared" si="7"/>
        <v xml:space="preserve"> </v>
      </c>
      <c r="S57" s="245" t="str">
        <f t="shared" si="7"/>
        <v xml:space="preserve"> </v>
      </c>
      <c r="T57" s="245" t="str">
        <f t="shared" si="7"/>
        <v xml:space="preserve"> </v>
      </c>
      <c r="U57" s="245" t="str">
        <f t="shared" ref="U57:U120" si="8">IF(ISERROR(FIND(U$9,$K57))," ",1)</f>
        <v xml:space="preserve"> </v>
      </c>
      <c r="V57" s="208">
        <f>SUM($N$10:$U57)</f>
        <v>0</v>
      </c>
      <c r="W57" s="208">
        <f>VLOOKUP(V57,Calcs!$Q$4:$R$24,2,TRUE)</f>
        <v>0</v>
      </c>
      <c r="X57" s="435" t="str">
        <f t="shared" si="4"/>
        <v>No</v>
      </c>
      <c r="Y57" s="436"/>
      <c r="Z57" s="435">
        <f t="shared" si="5"/>
        <v>0</v>
      </c>
      <c r="AA57" s="245" t="str">
        <f>IF(AND(X57="Yes",NOT(ISBLANK(Z57))),VLOOKUP(Z57,Calcs!$Y$48:$Z$57,2,TRUE)," ")</f>
        <v xml:space="preserve"> </v>
      </c>
    </row>
    <row r="58" spans="1:27" x14ac:dyDescent="0.2">
      <c r="A58" s="425">
        <f t="shared" si="6"/>
        <v>84</v>
      </c>
      <c r="B58" s="425" t="str">
        <f t="shared" si="2"/>
        <v>Winter</v>
      </c>
      <c r="C58" s="247">
        <f>IF(B58="Winter",A58-('Start Character'!$K$6)-1,IF('Start Character'!$K$7&gt;6,A58-('Start Character'!$K$6)-1,A58-('Start Character'!$K$6)))</f>
        <v>83</v>
      </c>
      <c r="D58" s="247">
        <f t="shared" si="3"/>
        <v>83</v>
      </c>
      <c r="E58" s="246"/>
      <c r="F58" s="83"/>
      <c r="G58" s="83"/>
      <c r="H58" s="246"/>
      <c r="I58" s="433"/>
      <c r="J58" s="254">
        <f>IF(ISBLANK(I58),0,ROUNDUP(D58/10,0)-E58-H58-F58-G58+VLOOKUP($D$2,Calcs!$A$23:$B$27,2,FALSE)+I58)</f>
        <v>0</v>
      </c>
      <c r="K58" s="245" t="str">
        <f>IF(ISBLANK(I58)," ",VLOOKUP(J58,Calcs!$A$82:$H$106,2,TRUE))</f>
        <v xml:space="preserve"> </v>
      </c>
      <c r="L58" s="245">
        <f>IF(ISBLANK(I58),0,VLOOKUP(J58,Calcs!$A$82:$F$106,5,TRUE))</f>
        <v>0</v>
      </c>
      <c r="M58" s="208">
        <f>IF(J58=13,IF(ISNUMBER(W57),VLOOKUP(W57+1,Calcs!$O$4:$Q$24,3,TRUE)-V57,5),IF(J58&lt;10,0,IF(J58&lt;18,1,IF(J58&lt;22,2,IF(ISNUMBER(W57),VLOOKUP(W57+1,Calcs!$O$4:$Q$24,3,TRUE)-V57,5)))))</f>
        <v>0</v>
      </c>
      <c r="N58" s="245" t="str">
        <f t="shared" ref="N58:T94" si="9">IF(ISERROR(FIND(N$9,$K58))," ",1)</f>
        <v xml:space="preserve"> </v>
      </c>
      <c r="O58" s="245" t="str">
        <f t="shared" si="9"/>
        <v xml:space="preserve"> </v>
      </c>
      <c r="P58" s="245" t="str">
        <f t="shared" si="9"/>
        <v xml:space="preserve"> </v>
      </c>
      <c r="Q58" s="245" t="str">
        <f t="shared" si="9"/>
        <v xml:space="preserve"> </v>
      </c>
      <c r="R58" s="245" t="str">
        <f t="shared" si="9"/>
        <v xml:space="preserve"> </v>
      </c>
      <c r="S58" s="245" t="str">
        <f t="shared" si="9"/>
        <v xml:space="preserve"> </v>
      </c>
      <c r="T58" s="245" t="str">
        <f t="shared" si="9"/>
        <v xml:space="preserve"> </v>
      </c>
      <c r="U58" s="245" t="str">
        <f t="shared" si="8"/>
        <v xml:space="preserve"> </v>
      </c>
      <c r="V58" s="208">
        <f>SUM($N$10:$U58)</f>
        <v>0</v>
      </c>
      <c r="W58" s="208">
        <f>VLOOKUP(V58,Calcs!$Q$4:$R$24,2,TRUE)</f>
        <v>0</v>
      </c>
      <c r="X58" s="435" t="str">
        <f t="shared" si="4"/>
        <v>No</v>
      </c>
      <c r="Y58" s="436"/>
      <c r="Z58" s="435">
        <f t="shared" si="5"/>
        <v>0</v>
      </c>
      <c r="AA58" s="245" t="str">
        <f>IF(AND(X58="Yes",NOT(ISBLANK(Z58))),VLOOKUP(Z58,Calcs!$Y$48:$Z$57,2,TRUE)," ")</f>
        <v xml:space="preserve"> </v>
      </c>
    </row>
    <row r="59" spans="1:27" x14ac:dyDescent="0.2">
      <c r="A59" s="425">
        <f t="shared" si="6"/>
        <v>85</v>
      </c>
      <c r="B59" s="425" t="str">
        <f t="shared" si="2"/>
        <v>Winter</v>
      </c>
      <c r="C59" s="247">
        <f>IF(B59="Winter",A59-('Start Character'!$K$6)-1,IF('Start Character'!$K$7&gt;6,A59-('Start Character'!$K$6)-1,A59-('Start Character'!$K$6)))</f>
        <v>84</v>
      </c>
      <c r="D59" s="247">
        <f t="shared" si="3"/>
        <v>84</v>
      </c>
      <c r="E59" s="246"/>
      <c r="F59" s="83"/>
      <c r="G59" s="83"/>
      <c r="H59" s="246"/>
      <c r="I59" s="433"/>
      <c r="J59" s="254">
        <f>IF(ISBLANK(I59),0,ROUNDUP(D59/10,0)-E59-H59-F59-G59+VLOOKUP($D$2,Calcs!$A$23:$B$27,2,FALSE)+I59)</f>
        <v>0</v>
      </c>
      <c r="K59" s="245" t="str">
        <f>IF(ISBLANK(I59)," ",VLOOKUP(J59,Calcs!$A$82:$H$106,2,TRUE))</f>
        <v xml:space="preserve"> </v>
      </c>
      <c r="L59" s="245">
        <f>IF(ISBLANK(I59),0,VLOOKUP(J59,Calcs!$A$82:$F$106,5,TRUE))</f>
        <v>0</v>
      </c>
      <c r="M59" s="208">
        <f>IF(J59=13,IF(ISNUMBER(W58),VLOOKUP(W58+1,Calcs!$O$4:$Q$24,3,TRUE)-V58,5),IF(J59&lt;10,0,IF(J59&lt;18,1,IF(J59&lt;22,2,IF(ISNUMBER(W58),VLOOKUP(W58+1,Calcs!$O$4:$Q$24,3,TRUE)-V58,5)))))</f>
        <v>0</v>
      </c>
      <c r="N59" s="245" t="str">
        <f t="shared" si="9"/>
        <v xml:space="preserve"> </v>
      </c>
      <c r="O59" s="245" t="str">
        <f t="shared" si="9"/>
        <v xml:space="preserve"> </v>
      </c>
      <c r="P59" s="245" t="str">
        <f t="shared" si="9"/>
        <v xml:space="preserve"> </v>
      </c>
      <c r="Q59" s="245" t="str">
        <f t="shared" si="9"/>
        <v xml:space="preserve"> </v>
      </c>
      <c r="R59" s="245" t="str">
        <f t="shared" si="9"/>
        <v xml:space="preserve"> </v>
      </c>
      <c r="S59" s="245" t="str">
        <f t="shared" si="9"/>
        <v xml:space="preserve"> </v>
      </c>
      <c r="T59" s="245" t="str">
        <f t="shared" si="9"/>
        <v xml:space="preserve"> </v>
      </c>
      <c r="U59" s="245" t="str">
        <f t="shared" si="8"/>
        <v xml:space="preserve"> </v>
      </c>
      <c r="V59" s="208">
        <f>SUM($N$10:$U59)</f>
        <v>0</v>
      </c>
      <c r="W59" s="208">
        <f>VLOOKUP(V59,Calcs!$Q$4:$R$24,2,TRUE)</f>
        <v>0</v>
      </c>
      <c r="X59" s="435" t="str">
        <f t="shared" si="4"/>
        <v>No</v>
      </c>
      <c r="Y59" s="436"/>
      <c r="Z59" s="435">
        <f t="shared" si="5"/>
        <v>0</v>
      </c>
      <c r="AA59" s="245" t="str">
        <f>IF(AND(X59="Yes",NOT(ISBLANK(Z59))),VLOOKUP(Z59,Calcs!$Y$48:$Z$57,2,TRUE)," ")</f>
        <v xml:space="preserve"> </v>
      </c>
    </row>
    <row r="60" spans="1:27" x14ac:dyDescent="0.2">
      <c r="A60" s="425">
        <f t="shared" si="6"/>
        <v>86</v>
      </c>
      <c r="B60" s="425" t="str">
        <f t="shared" si="2"/>
        <v>Winter</v>
      </c>
      <c r="C60" s="247">
        <f>IF(B60="Winter",A60-('Start Character'!$K$6)-1,IF('Start Character'!$K$7&gt;6,A60-('Start Character'!$K$6)-1,A60-('Start Character'!$K$6)))</f>
        <v>85</v>
      </c>
      <c r="D60" s="247">
        <f t="shared" si="3"/>
        <v>85</v>
      </c>
      <c r="E60" s="246"/>
      <c r="F60" s="83"/>
      <c r="G60" s="83"/>
      <c r="H60" s="246"/>
      <c r="I60" s="433"/>
      <c r="J60" s="254">
        <f>IF(ISBLANK(I60),0,ROUNDUP(D60/10,0)-E60-H60-F60-G60+VLOOKUP($D$2,Calcs!$A$23:$B$27,2,FALSE)+I60)</f>
        <v>0</v>
      </c>
      <c r="K60" s="245" t="str">
        <f>IF(ISBLANK(I60)," ",VLOOKUP(J60,Calcs!$A$82:$H$106,2,TRUE))</f>
        <v xml:space="preserve"> </v>
      </c>
      <c r="L60" s="245">
        <f>IF(ISBLANK(I60),0,VLOOKUP(J60,Calcs!$A$82:$F$106,5,TRUE))</f>
        <v>0</v>
      </c>
      <c r="M60" s="208">
        <f>IF(J60=13,IF(ISNUMBER(W59),VLOOKUP(W59+1,Calcs!$O$4:$Q$24,3,TRUE)-V59,5),IF(J60&lt;10,0,IF(J60&lt;18,1,IF(J60&lt;22,2,IF(ISNUMBER(W59),VLOOKUP(W59+1,Calcs!$O$4:$Q$24,3,TRUE)-V59,5)))))</f>
        <v>0</v>
      </c>
      <c r="N60" s="245" t="str">
        <f t="shared" si="9"/>
        <v xml:space="preserve"> </v>
      </c>
      <c r="O60" s="245" t="str">
        <f t="shared" si="9"/>
        <v xml:space="preserve"> </v>
      </c>
      <c r="P60" s="245" t="str">
        <f t="shared" si="9"/>
        <v xml:space="preserve"> </v>
      </c>
      <c r="Q60" s="245" t="str">
        <f t="shared" si="9"/>
        <v xml:space="preserve"> </v>
      </c>
      <c r="R60" s="245" t="str">
        <f t="shared" si="9"/>
        <v xml:space="preserve"> </v>
      </c>
      <c r="S60" s="245" t="str">
        <f t="shared" si="9"/>
        <v xml:space="preserve"> </v>
      </c>
      <c r="T60" s="245" t="str">
        <f t="shared" si="9"/>
        <v xml:space="preserve"> </v>
      </c>
      <c r="U60" s="245" t="str">
        <f t="shared" si="8"/>
        <v xml:space="preserve"> </v>
      </c>
      <c r="V60" s="208">
        <f>SUM($N$10:$U60)</f>
        <v>0</v>
      </c>
      <c r="W60" s="208">
        <f>VLOOKUP(V60,Calcs!$Q$4:$R$24,2,TRUE)</f>
        <v>0</v>
      </c>
      <c r="X60" s="435" t="str">
        <f t="shared" si="4"/>
        <v>No</v>
      </c>
      <c r="Y60" s="436"/>
      <c r="Z60" s="435">
        <f t="shared" si="5"/>
        <v>0</v>
      </c>
      <c r="AA60" s="245" t="str">
        <f>IF(AND(X60="Yes",NOT(ISBLANK(Z60))),VLOOKUP(Z60,Calcs!$Y$48:$Z$57,2,TRUE)," ")</f>
        <v xml:space="preserve"> </v>
      </c>
    </row>
    <row r="61" spans="1:27" x14ac:dyDescent="0.2">
      <c r="A61" s="425">
        <f t="shared" si="6"/>
        <v>87</v>
      </c>
      <c r="B61" s="425" t="str">
        <f t="shared" si="2"/>
        <v>Winter</v>
      </c>
      <c r="C61" s="247">
        <f>IF(B61="Winter",A61-('Start Character'!$K$6)-1,IF('Start Character'!$K$7&gt;6,A61-('Start Character'!$K$6)-1,A61-('Start Character'!$K$6)))</f>
        <v>86</v>
      </c>
      <c r="D61" s="247">
        <f t="shared" si="3"/>
        <v>86</v>
      </c>
      <c r="E61" s="246"/>
      <c r="F61" s="83"/>
      <c r="G61" s="83"/>
      <c r="H61" s="246"/>
      <c r="I61" s="433"/>
      <c r="J61" s="254">
        <f>IF(ISBLANK(I61),0,ROUNDUP(D61/10,0)-E61-H61-F61-G61+VLOOKUP($D$2,Calcs!$A$23:$B$27,2,FALSE)+I61)</f>
        <v>0</v>
      </c>
      <c r="K61" s="245" t="str">
        <f>IF(ISBLANK(I61)," ",VLOOKUP(J61,Calcs!$A$82:$H$106,2,TRUE))</f>
        <v xml:space="preserve"> </v>
      </c>
      <c r="L61" s="245">
        <f>IF(ISBLANK(I61),0,VLOOKUP(J61,Calcs!$A$82:$F$106,5,TRUE))</f>
        <v>0</v>
      </c>
      <c r="M61" s="208">
        <f>IF(J61=13,IF(ISNUMBER(W60),VLOOKUP(W60+1,Calcs!$O$4:$Q$24,3,TRUE)-V60,5),IF(J61&lt;10,0,IF(J61&lt;18,1,IF(J61&lt;22,2,IF(ISNUMBER(W60),VLOOKUP(W60+1,Calcs!$O$4:$Q$24,3,TRUE)-V60,5)))))</f>
        <v>0</v>
      </c>
      <c r="N61" s="245" t="str">
        <f t="shared" si="9"/>
        <v xml:space="preserve"> </v>
      </c>
      <c r="O61" s="245" t="str">
        <f t="shared" si="9"/>
        <v xml:space="preserve"> </v>
      </c>
      <c r="P61" s="245" t="str">
        <f t="shared" si="9"/>
        <v xml:space="preserve"> </v>
      </c>
      <c r="Q61" s="245" t="str">
        <f t="shared" si="9"/>
        <v xml:space="preserve"> </v>
      </c>
      <c r="R61" s="245" t="str">
        <f t="shared" si="9"/>
        <v xml:space="preserve"> </v>
      </c>
      <c r="S61" s="245" t="str">
        <f t="shared" si="9"/>
        <v xml:space="preserve"> </v>
      </c>
      <c r="T61" s="245" t="str">
        <f t="shared" si="9"/>
        <v xml:space="preserve"> </v>
      </c>
      <c r="U61" s="245" t="str">
        <f t="shared" si="8"/>
        <v xml:space="preserve"> </v>
      </c>
      <c r="V61" s="208">
        <f>SUM($N$10:$U61)</f>
        <v>0</v>
      </c>
      <c r="W61" s="208">
        <f>VLOOKUP(V61,Calcs!$Q$4:$R$24,2,TRUE)</f>
        <v>0</v>
      </c>
      <c r="X61" s="435" t="str">
        <f t="shared" si="4"/>
        <v>No</v>
      </c>
      <c r="Y61" s="436"/>
      <c r="Z61" s="435">
        <f t="shared" si="5"/>
        <v>0</v>
      </c>
      <c r="AA61" s="245" t="str">
        <f>IF(AND(X61="Yes",NOT(ISBLANK(Z61))),VLOOKUP(Z61,Calcs!$Y$48:$Z$57,2,TRUE)," ")</f>
        <v xml:space="preserve"> </v>
      </c>
    </row>
    <row r="62" spans="1:27" x14ac:dyDescent="0.2">
      <c r="A62" s="425">
        <f t="shared" si="6"/>
        <v>88</v>
      </c>
      <c r="B62" s="425" t="str">
        <f t="shared" si="2"/>
        <v>Winter</v>
      </c>
      <c r="C62" s="247">
        <f>IF(B62="Winter",A62-('Start Character'!$K$6)-1,IF('Start Character'!$K$7&gt;6,A62-('Start Character'!$K$6)-1,A62-('Start Character'!$K$6)))</f>
        <v>87</v>
      </c>
      <c r="D62" s="247">
        <f t="shared" si="3"/>
        <v>87</v>
      </c>
      <c r="E62" s="246"/>
      <c r="F62" s="83"/>
      <c r="G62" s="83"/>
      <c r="H62" s="246"/>
      <c r="I62" s="433"/>
      <c r="J62" s="254">
        <f>IF(ISBLANK(I62),0,ROUNDUP(D62/10,0)-E62-H62-F62-G62+VLOOKUP($D$2,Calcs!$A$23:$B$27,2,FALSE)+I62)</f>
        <v>0</v>
      </c>
      <c r="K62" s="245" t="str">
        <f>IF(ISBLANK(I62)," ",VLOOKUP(J62,Calcs!$A$82:$H$106,2,TRUE))</f>
        <v xml:space="preserve"> </v>
      </c>
      <c r="L62" s="245">
        <f>IF(ISBLANK(I62),0,VLOOKUP(J62,Calcs!$A$82:$F$106,5,TRUE))</f>
        <v>0</v>
      </c>
      <c r="M62" s="208">
        <f>IF(J62=13,IF(ISNUMBER(W61),VLOOKUP(W61+1,Calcs!$O$4:$Q$24,3,TRUE)-V61,5),IF(J62&lt;10,0,IF(J62&lt;18,1,IF(J62&lt;22,2,IF(ISNUMBER(W61),VLOOKUP(W61+1,Calcs!$O$4:$Q$24,3,TRUE)-V61,5)))))</f>
        <v>0</v>
      </c>
      <c r="N62" s="245" t="str">
        <f t="shared" si="9"/>
        <v xml:space="preserve"> </v>
      </c>
      <c r="O62" s="245" t="str">
        <f t="shared" si="9"/>
        <v xml:space="preserve"> </v>
      </c>
      <c r="P62" s="245" t="str">
        <f t="shared" si="9"/>
        <v xml:space="preserve"> </v>
      </c>
      <c r="Q62" s="245" t="str">
        <f t="shared" si="9"/>
        <v xml:space="preserve"> </v>
      </c>
      <c r="R62" s="245" t="str">
        <f t="shared" si="9"/>
        <v xml:space="preserve"> </v>
      </c>
      <c r="S62" s="245" t="str">
        <f t="shared" si="9"/>
        <v xml:space="preserve"> </v>
      </c>
      <c r="T62" s="245" t="str">
        <f t="shared" si="9"/>
        <v xml:space="preserve"> </v>
      </c>
      <c r="U62" s="245" t="str">
        <f t="shared" si="8"/>
        <v xml:space="preserve"> </v>
      </c>
      <c r="V62" s="208">
        <f>SUM($N$10:$U62)</f>
        <v>0</v>
      </c>
      <c r="W62" s="208">
        <f>VLOOKUP(V62,Calcs!$Q$4:$R$24,2,TRUE)</f>
        <v>0</v>
      </c>
      <c r="X62" s="435" t="str">
        <f t="shared" si="4"/>
        <v>No</v>
      </c>
      <c r="Y62" s="436"/>
      <c r="Z62" s="435">
        <f t="shared" si="5"/>
        <v>0</v>
      </c>
      <c r="AA62" s="245" t="str">
        <f>IF(AND(X62="Yes",NOT(ISBLANK(Z62))),VLOOKUP(Z62,Calcs!$Y$48:$Z$57,2,TRUE)," ")</f>
        <v xml:space="preserve"> </v>
      </c>
    </row>
    <row r="63" spans="1:27" x14ac:dyDescent="0.2">
      <c r="A63" s="425">
        <f t="shared" si="6"/>
        <v>89</v>
      </c>
      <c r="B63" s="425" t="str">
        <f t="shared" si="2"/>
        <v>Winter</v>
      </c>
      <c r="C63" s="247">
        <f>IF(B63="Winter",A63-('Start Character'!$K$6)-1,IF('Start Character'!$K$7&gt;6,A63-('Start Character'!$K$6)-1,A63-('Start Character'!$K$6)))</f>
        <v>88</v>
      </c>
      <c r="D63" s="247">
        <f t="shared" si="3"/>
        <v>88</v>
      </c>
      <c r="E63" s="246"/>
      <c r="F63" s="83"/>
      <c r="G63" s="83"/>
      <c r="H63" s="246"/>
      <c r="I63" s="433"/>
      <c r="J63" s="254">
        <f>IF(ISBLANK(I63),0,ROUNDUP(D63/10,0)-E63-H63-F63-G63+VLOOKUP($D$2,Calcs!$A$23:$B$27,2,FALSE)+I63)</f>
        <v>0</v>
      </c>
      <c r="K63" s="245" t="str">
        <f>IF(ISBLANK(I63)," ",VLOOKUP(J63,Calcs!$A$82:$H$106,2,TRUE))</f>
        <v xml:space="preserve"> </v>
      </c>
      <c r="L63" s="245">
        <f>IF(ISBLANK(I63),0,VLOOKUP(J63,Calcs!$A$82:$F$106,5,TRUE))</f>
        <v>0</v>
      </c>
      <c r="M63" s="208">
        <f>IF(J63=13,IF(ISNUMBER(W62),VLOOKUP(W62+1,Calcs!$O$4:$Q$24,3,TRUE)-V62,5),IF(J63&lt;10,0,IF(J63&lt;18,1,IF(J63&lt;22,2,IF(ISNUMBER(W62),VLOOKUP(W62+1,Calcs!$O$4:$Q$24,3,TRUE)-V62,5)))))</f>
        <v>0</v>
      </c>
      <c r="N63" s="245" t="str">
        <f t="shared" si="9"/>
        <v xml:space="preserve"> </v>
      </c>
      <c r="O63" s="245" t="str">
        <f t="shared" si="9"/>
        <v xml:space="preserve"> </v>
      </c>
      <c r="P63" s="245" t="str">
        <f t="shared" si="9"/>
        <v xml:space="preserve"> </v>
      </c>
      <c r="Q63" s="245" t="str">
        <f t="shared" si="9"/>
        <v xml:space="preserve"> </v>
      </c>
      <c r="R63" s="245" t="str">
        <f t="shared" si="9"/>
        <v xml:space="preserve"> </v>
      </c>
      <c r="S63" s="245" t="str">
        <f t="shared" si="9"/>
        <v xml:space="preserve"> </v>
      </c>
      <c r="T63" s="245" t="str">
        <f t="shared" si="9"/>
        <v xml:space="preserve"> </v>
      </c>
      <c r="U63" s="245" t="str">
        <f t="shared" si="8"/>
        <v xml:space="preserve"> </v>
      </c>
      <c r="V63" s="208">
        <f>SUM($N$10:$U63)</f>
        <v>0</v>
      </c>
      <c r="W63" s="208">
        <f>VLOOKUP(V63,Calcs!$Q$4:$R$24,2,TRUE)</f>
        <v>0</v>
      </c>
      <c r="X63" s="435" t="str">
        <f t="shared" si="4"/>
        <v>No</v>
      </c>
      <c r="Y63" s="436"/>
      <c r="Z63" s="435">
        <f t="shared" si="5"/>
        <v>0</v>
      </c>
      <c r="AA63" s="245" t="str">
        <f>IF(AND(X63="Yes",NOT(ISBLANK(Z63))),VLOOKUP(Z63,Calcs!$Y$48:$Z$57,2,TRUE)," ")</f>
        <v xml:space="preserve"> </v>
      </c>
    </row>
    <row r="64" spans="1:27" x14ac:dyDescent="0.2">
      <c r="A64" s="425">
        <f t="shared" si="6"/>
        <v>90</v>
      </c>
      <c r="B64" s="425" t="str">
        <f t="shared" si="2"/>
        <v>Winter</v>
      </c>
      <c r="C64" s="247">
        <f>IF(B64="Winter",A64-('Start Character'!$K$6)-1,IF('Start Character'!$K$7&gt;6,A64-('Start Character'!$K$6)-1,A64-('Start Character'!$K$6)))</f>
        <v>89</v>
      </c>
      <c r="D64" s="247">
        <f t="shared" si="3"/>
        <v>89</v>
      </c>
      <c r="E64" s="246"/>
      <c r="F64" s="83"/>
      <c r="G64" s="83"/>
      <c r="H64" s="246"/>
      <c r="I64" s="433"/>
      <c r="J64" s="254">
        <f>IF(ISBLANK(I64),0,ROUNDUP(D64/10,0)-E64-H64-F64-G64+VLOOKUP($D$2,Calcs!$A$23:$B$27,2,FALSE)+I64)</f>
        <v>0</v>
      </c>
      <c r="K64" s="245" t="str">
        <f>IF(ISBLANK(I64)," ",VLOOKUP(J64,Calcs!$A$82:$H$106,2,TRUE))</f>
        <v xml:space="preserve"> </v>
      </c>
      <c r="L64" s="245">
        <f>IF(ISBLANK(I64),0,VLOOKUP(J64,Calcs!$A$82:$F$106,5,TRUE))</f>
        <v>0</v>
      </c>
      <c r="M64" s="208">
        <f>IF(J64=13,IF(ISNUMBER(W63),VLOOKUP(W63+1,Calcs!$O$4:$Q$24,3,TRUE)-V63,5),IF(J64&lt;10,0,IF(J64&lt;18,1,IF(J64&lt;22,2,IF(ISNUMBER(W63),VLOOKUP(W63+1,Calcs!$O$4:$Q$24,3,TRUE)-V63,5)))))</f>
        <v>0</v>
      </c>
      <c r="N64" s="245" t="str">
        <f t="shared" si="9"/>
        <v xml:space="preserve"> </v>
      </c>
      <c r="O64" s="245" t="str">
        <f t="shared" si="9"/>
        <v xml:space="preserve"> </v>
      </c>
      <c r="P64" s="245" t="str">
        <f t="shared" si="9"/>
        <v xml:space="preserve"> </v>
      </c>
      <c r="Q64" s="245" t="str">
        <f t="shared" si="9"/>
        <v xml:space="preserve"> </v>
      </c>
      <c r="R64" s="245" t="str">
        <f t="shared" si="9"/>
        <v xml:space="preserve"> </v>
      </c>
      <c r="S64" s="245" t="str">
        <f t="shared" si="9"/>
        <v xml:space="preserve"> </v>
      </c>
      <c r="T64" s="245" t="str">
        <f t="shared" si="9"/>
        <v xml:space="preserve"> </v>
      </c>
      <c r="U64" s="245" t="str">
        <f t="shared" si="8"/>
        <v xml:space="preserve"> </v>
      </c>
      <c r="V64" s="208">
        <f>SUM($N$10:$U64)</f>
        <v>0</v>
      </c>
      <c r="W64" s="208">
        <f>VLOOKUP(V64,Calcs!$Q$4:$R$24,2,TRUE)</f>
        <v>0</v>
      </c>
      <c r="X64" s="435" t="str">
        <f t="shared" si="4"/>
        <v>No</v>
      </c>
      <c r="Y64" s="436"/>
      <c r="Z64" s="435">
        <f t="shared" si="5"/>
        <v>0</v>
      </c>
      <c r="AA64" s="245" t="str">
        <f>IF(AND(X64="Yes",NOT(ISBLANK(Z64))),VLOOKUP(Z64,Calcs!$Y$48:$Z$57,2,TRUE)," ")</f>
        <v xml:space="preserve"> </v>
      </c>
    </row>
    <row r="65" spans="1:27" x14ac:dyDescent="0.2">
      <c r="A65" s="425">
        <f t="shared" si="6"/>
        <v>91</v>
      </c>
      <c r="B65" s="425" t="str">
        <f t="shared" si="2"/>
        <v>Winter</v>
      </c>
      <c r="C65" s="247">
        <f>IF(B65="Winter",A65-('Start Character'!$K$6)-1,IF('Start Character'!$K$7&gt;6,A65-('Start Character'!$K$6)-1,A65-('Start Character'!$K$6)))</f>
        <v>90</v>
      </c>
      <c r="D65" s="247">
        <f t="shared" si="3"/>
        <v>90</v>
      </c>
      <c r="E65" s="246"/>
      <c r="F65" s="83"/>
      <c r="G65" s="83"/>
      <c r="H65" s="246"/>
      <c r="I65" s="433"/>
      <c r="J65" s="254">
        <f>IF(ISBLANK(I65),0,ROUNDUP(D65/10,0)-E65-H65-F65-G65+VLOOKUP($D$2,Calcs!$A$23:$B$27,2,FALSE)+I65)</f>
        <v>0</v>
      </c>
      <c r="K65" s="245" t="str">
        <f>IF(ISBLANK(I65)," ",VLOOKUP(J65,Calcs!$A$82:$H$106,2,TRUE))</f>
        <v xml:space="preserve"> </v>
      </c>
      <c r="L65" s="245">
        <f>IF(ISBLANK(I65),0,VLOOKUP(J65,Calcs!$A$82:$F$106,5,TRUE))</f>
        <v>0</v>
      </c>
      <c r="M65" s="208">
        <f>IF(J65=13,IF(ISNUMBER(W64),VLOOKUP(W64+1,Calcs!$O$4:$Q$24,3,TRUE)-V64,5),IF(J65&lt;10,0,IF(J65&lt;18,1,IF(J65&lt;22,2,IF(ISNUMBER(W64),VLOOKUP(W64+1,Calcs!$O$4:$Q$24,3,TRUE)-V64,5)))))</f>
        <v>0</v>
      </c>
      <c r="N65" s="245" t="str">
        <f t="shared" si="9"/>
        <v xml:space="preserve"> </v>
      </c>
      <c r="O65" s="245" t="str">
        <f t="shared" si="9"/>
        <v xml:space="preserve"> </v>
      </c>
      <c r="P65" s="245" t="str">
        <f t="shared" si="9"/>
        <v xml:space="preserve"> </v>
      </c>
      <c r="Q65" s="245" t="str">
        <f t="shared" si="9"/>
        <v xml:space="preserve"> </v>
      </c>
      <c r="R65" s="245" t="str">
        <f t="shared" si="9"/>
        <v xml:space="preserve"> </v>
      </c>
      <c r="S65" s="245" t="str">
        <f t="shared" si="9"/>
        <v xml:space="preserve"> </v>
      </c>
      <c r="T65" s="245" t="str">
        <f t="shared" si="9"/>
        <v xml:space="preserve"> </v>
      </c>
      <c r="U65" s="245" t="str">
        <f t="shared" si="8"/>
        <v xml:space="preserve"> </v>
      </c>
      <c r="V65" s="208">
        <f>SUM($N$10:$U65)</f>
        <v>0</v>
      </c>
      <c r="W65" s="208">
        <f>VLOOKUP(V65,Calcs!$Q$4:$R$24,2,TRUE)</f>
        <v>0</v>
      </c>
      <c r="X65" s="435" t="str">
        <f t="shared" si="4"/>
        <v>No</v>
      </c>
      <c r="Y65" s="436"/>
      <c r="Z65" s="435">
        <f t="shared" si="5"/>
        <v>0</v>
      </c>
      <c r="AA65" s="245" t="str">
        <f>IF(AND(X65="Yes",NOT(ISBLANK(Z65))),VLOOKUP(Z65,Calcs!$Y$48:$Z$57,2,TRUE)," ")</f>
        <v xml:space="preserve"> </v>
      </c>
    </row>
    <row r="66" spans="1:27" x14ac:dyDescent="0.2">
      <c r="A66" s="425">
        <f t="shared" si="6"/>
        <v>92</v>
      </c>
      <c r="B66" s="425" t="str">
        <f t="shared" si="2"/>
        <v>Winter</v>
      </c>
      <c r="C66" s="247">
        <f>IF(B66="Winter",A66-('Start Character'!$K$6)-1,IF('Start Character'!$K$7&gt;6,A66-('Start Character'!$K$6)-1,A66-('Start Character'!$K$6)))</f>
        <v>91</v>
      </c>
      <c r="D66" s="247">
        <f t="shared" si="3"/>
        <v>91</v>
      </c>
      <c r="E66" s="246"/>
      <c r="F66" s="83"/>
      <c r="G66" s="83"/>
      <c r="H66" s="246"/>
      <c r="I66" s="433"/>
      <c r="J66" s="254">
        <f>IF(ISBLANK(I66),0,ROUNDUP(D66/10,0)-E66-H66-F66-G66+VLOOKUP($D$2,Calcs!$A$23:$B$27,2,FALSE)+I66)</f>
        <v>0</v>
      </c>
      <c r="K66" s="245" t="str">
        <f>IF(ISBLANK(I66)," ",VLOOKUP(J66,Calcs!$A$82:$H$106,2,TRUE))</f>
        <v xml:space="preserve"> </v>
      </c>
      <c r="L66" s="245">
        <f>IF(ISBLANK(I66),0,VLOOKUP(J66,Calcs!$A$82:$F$106,5,TRUE))</f>
        <v>0</v>
      </c>
      <c r="M66" s="208">
        <f>IF(J66=13,IF(ISNUMBER(W65),VLOOKUP(W65+1,Calcs!$O$4:$Q$24,3,TRUE)-V65,5),IF(J66&lt;10,0,IF(J66&lt;18,1,IF(J66&lt;22,2,IF(ISNUMBER(W65),VLOOKUP(W65+1,Calcs!$O$4:$Q$24,3,TRUE)-V65,5)))))</f>
        <v>0</v>
      </c>
      <c r="N66" s="245" t="str">
        <f t="shared" si="9"/>
        <v xml:space="preserve"> </v>
      </c>
      <c r="O66" s="245" t="str">
        <f t="shared" si="9"/>
        <v xml:space="preserve"> </v>
      </c>
      <c r="P66" s="245" t="str">
        <f t="shared" si="9"/>
        <v xml:space="preserve"> </v>
      </c>
      <c r="Q66" s="245" t="str">
        <f t="shared" si="9"/>
        <v xml:space="preserve"> </v>
      </c>
      <c r="R66" s="245" t="str">
        <f t="shared" si="9"/>
        <v xml:space="preserve"> </v>
      </c>
      <c r="S66" s="245" t="str">
        <f t="shared" si="9"/>
        <v xml:space="preserve"> </v>
      </c>
      <c r="T66" s="245" t="str">
        <f t="shared" si="9"/>
        <v xml:space="preserve"> </v>
      </c>
      <c r="U66" s="245" t="str">
        <f t="shared" si="8"/>
        <v xml:space="preserve"> </v>
      </c>
      <c r="V66" s="208">
        <f>SUM($N$10:$U66)</f>
        <v>0</v>
      </c>
      <c r="W66" s="208">
        <f>VLOOKUP(V66,Calcs!$Q$4:$R$24,2,TRUE)</f>
        <v>0</v>
      </c>
      <c r="X66" s="435" t="str">
        <f t="shared" si="4"/>
        <v>No</v>
      </c>
      <c r="Y66" s="436"/>
      <c r="Z66" s="435">
        <f t="shared" si="5"/>
        <v>0</v>
      </c>
      <c r="AA66" s="245" t="str">
        <f>IF(AND(X66="Yes",NOT(ISBLANK(Z66))),VLOOKUP(Z66,Calcs!$Y$48:$Z$57,2,TRUE)," ")</f>
        <v xml:space="preserve"> </v>
      </c>
    </row>
    <row r="67" spans="1:27" x14ac:dyDescent="0.2">
      <c r="A67" s="425">
        <f t="shared" si="6"/>
        <v>93</v>
      </c>
      <c r="B67" s="425" t="str">
        <f t="shared" si="2"/>
        <v>Winter</v>
      </c>
      <c r="C67" s="247">
        <f>IF(B67="Winter",A67-('Start Character'!$K$6)-1,IF('Start Character'!$K$7&gt;6,A67-('Start Character'!$K$6)-1,A67-('Start Character'!$K$6)))</f>
        <v>92</v>
      </c>
      <c r="D67" s="247">
        <f t="shared" si="3"/>
        <v>92</v>
      </c>
      <c r="E67" s="246"/>
      <c r="F67" s="83"/>
      <c r="G67" s="83"/>
      <c r="H67" s="246"/>
      <c r="I67" s="433"/>
      <c r="J67" s="254">
        <f>IF(ISBLANK(I67),0,ROUNDUP(D67/10,0)-E67-H67-F67-G67+VLOOKUP($D$2,Calcs!$A$23:$B$27,2,FALSE)+I67)</f>
        <v>0</v>
      </c>
      <c r="K67" s="245" t="str">
        <f>IF(ISBLANK(I67)," ",VLOOKUP(J67,Calcs!$A$82:$H$106,2,TRUE))</f>
        <v xml:space="preserve"> </v>
      </c>
      <c r="L67" s="245">
        <f>IF(ISBLANK(I67),0,VLOOKUP(J67,Calcs!$A$82:$F$106,5,TRUE))</f>
        <v>0</v>
      </c>
      <c r="M67" s="208">
        <f>IF(J67=13,IF(ISNUMBER(W66),VLOOKUP(W66+1,Calcs!$O$4:$Q$24,3,TRUE)-V66,5),IF(J67&lt;10,0,IF(J67&lt;18,1,IF(J67&lt;22,2,IF(ISNUMBER(W66),VLOOKUP(W66+1,Calcs!$O$4:$Q$24,3,TRUE)-V66,5)))))</f>
        <v>0</v>
      </c>
      <c r="N67" s="245" t="str">
        <f t="shared" si="9"/>
        <v xml:space="preserve"> </v>
      </c>
      <c r="O67" s="245" t="str">
        <f t="shared" si="9"/>
        <v xml:space="preserve"> </v>
      </c>
      <c r="P67" s="245" t="str">
        <f t="shared" si="9"/>
        <v xml:space="preserve"> </v>
      </c>
      <c r="Q67" s="245" t="str">
        <f t="shared" si="9"/>
        <v xml:space="preserve"> </v>
      </c>
      <c r="R67" s="245" t="str">
        <f t="shared" si="9"/>
        <v xml:space="preserve"> </v>
      </c>
      <c r="S67" s="245" t="str">
        <f t="shared" si="9"/>
        <v xml:space="preserve"> </v>
      </c>
      <c r="T67" s="245" t="str">
        <f t="shared" si="9"/>
        <v xml:space="preserve"> </v>
      </c>
      <c r="U67" s="245" t="str">
        <f t="shared" si="8"/>
        <v xml:space="preserve"> </v>
      </c>
      <c r="V67" s="208">
        <f>SUM($N$10:$U67)</f>
        <v>0</v>
      </c>
      <c r="W67" s="208">
        <f>VLOOKUP(V67,Calcs!$Q$4:$R$24,2,TRUE)</f>
        <v>0</v>
      </c>
      <c r="X67" s="435" t="str">
        <f t="shared" si="4"/>
        <v>No</v>
      </c>
      <c r="Y67" s="436"/>
      <c r="Z67" s="435">
        <f t="shared" si="5"/>
        <v>0</v>
      </c>
      <c r="AA67" s="245" t="str">
        <f>IF(AND(X67="Yes",NOT(ISBLANK(Z67))),VLOOKUP(Z67,Calcs!$Y$48:$Z$57,2,TRUE)," ")</f>
        <v xml:space="preserve"> </v>
      </c>
    </row>
    <row r="68" spans="1:27" x14ac:dyDescent="0.2">
      <c r="A68" s="425">
        <f t="shared" si="6"/>
        <v>94</v>
      </c>
      <c r="B68" s="425" t="str">
        <f t="shared" si="2"/>
        <v>Winter</v>
      </c>
      <c r="C68" s="247">
        <f>IF(B68="Winter",A68-('Start Character'!$K$6)-1,IF('Start Character'!$K$7&gt;6,A68-('Start Character'!$K$6)-1,A68-('Start Character'!$K$6)))</f>
        <v>93</v>
      </c>
      <c r="D68" s="247">
        <f t="shared" si="3"/>
        <v>93</v>
      </c>
      <c r="E68" s="246"/>
      <c r="F68" s="83"/>
      <c r="G68" s="83"/>
      <c r="H68" s="246"/>
      <c r="I68" s="433"/>
      <c r="J68" s="254">
        <f>IF(ISBLANK(I68),0,ROUNDUP(D68/10,0)-E68-H68-F68-G68+VLOOKUP($D$2,Calcs!$A$23:$B$27,2,FALSE)+I68)</f>
        <v>0</v>
      </c>
      <c r="K68" s="245" t="str">
        <f>IF(ISBLANK(I68)," ",VLOOKUP(J68,Calcs!$A$82:$H$106,2,TRUE))</f>
        <v xml:space="preserve"> </v>
      </c>
      <c r="L68" s="245">
        <f>IF(ISBLANK(I68),0,VLOOKUP(J68,Calcs!$A$82:$F$106,5,TRUE))</f>
        <v>0</v>
      </c>
      <c r="M68" s="208">
        <f>IF(J68=13,IF(ISNUMBER(W67),VLOOKUP(W67+1,Calcs!$O$4:$Q$24,3,TRUE)-V67,5),IF(J68&lt;10,0,IF(J68&lt;18,1,IF(J68&lt;22,2,IF(ISNUMBER(W67),VLOOKUP(W67+1,Calcs!$O$4:$Q$24,3,TRUE)-V67,5)))))</f>
        <v>0</v>
      </c>
      <c r="N68" s="245" t="str">
        <f t="shared" si="9"/>
        <v xml:space="preserve"> </v>
      </c>
      <c r="O68" s="245" t="str">
        <f t="shared" si="9"/>
        <v xml:space="preserve"> </v>
      </c>
      <c r="P68" s="245" t="str">
        <f t="shared" si="9"/>
        <v xml:space="preserve"> </v>
      </c>
      <c r="Q68" s="245" t="str">
        <f t="shared" si="9"/>
        <v xml:space="preserve"> </v>
      </c>
      <c r="R68" s="245" t="str">
        <f t="shared" si="9"/>
        <v xml:space="preserve"> </v>
      </c>
      <c r="S68" s="245" t="str">
        <f t="shared" si="9"/>
        <v xml:space="preserve"> </v>
      </c>
      <c r="T68" s="245" t="str">
        <f t="shared" si="9"/>
        <v xml:space="preserve"> </v>
      </c>
      <c r="U68" s="245" t="str">
        <f t="shared" si="8"/>
        <v xml:space="preserve"> </v>
      </c>
      <c r="V68" s="208">
        <f>SUM($N$10:$U68)</f>
        <v>0</v>
      </c>
      <c r="W68" s="208">
        <f>VLOOKUP(V68,Calcs!$Q$4:$R$24,2,TRUE)</f>
        <v>0</v>
      </c>
      <c r="X68" s="435" t="str">
        <f t="shared" si="4"/>
        <v>No</v>
      </c>
      <c r="Y68" s="436"/>
      <c r="Z68" s="435">
        <f t="shared" si="5"/>
        <v>0</v>
      </c>
      <c r="AA68" s="245" t="str">
        <f>IF(AND(X68="Yes",NOT(ISBLANK(Z68))),VLOOKUP(Z68,Calcs!$Y$48:$Z$57,2,TRUE)," ")</f>
        <v xml:space="preserve"> </v>
      </c>
    </row>
    <row r="69" spans="1:27" x14ac:dyDescent="0.2">
      <c r="A69" s="425">
        <f t="shared" si="6"/>
        <v>95</v>
      </c>
      <c r="B69" s="425" t="str">
        <f t="shared" si="2"/>
        <v>Winter</v>
      </c>
      <c r="C69" s="247">
        <f>IF(B69="Winter",A69-('Start Character'!$K$6)-1,IF('Start Character'!$K$7&gt;6,A69-('Start Character'!$K$6)-1,A69-('Start Character'!$K$6)))</f>
        <v>94</v>
      </c>
      <c r="D69" s="247">
        <f t="shared" si="3"/>
        <v>94</v>
      </c>
      <c r="E69" s="246"/>
      <c r="F69" s="83"/>
      <c r="G69" s="83"/>
      <c r="H69" s="246"/>
      <c r="I69" s="433"/>
      <c r="J69" s="254">
        <f>IF(ISBLANK(I69),0,ROUNDUP(D69/10,0)-E69-H69-F69-G69+VLOOKUP($D$2,Calcs!$A$23:$B$27,2,FALSE)+I69)</f>
        <v>0</v>
      </c>
      <c r="K69" s="245" t="str">
        <f>IF(ISBLANK(I69)," ",VLOOKUP(J69,Calcs!$A$82:$H$106,2,TRUE))</f>
        <v xml:space="preserve"> </v>
      </c>
      <c r="L69" s="245">
        <f>IF(ISBLANK(I69),0,VLOOKUP(J69,Calcs!$A$82:$F$106,5,TRUE))</f>
        <v>0</v>
      </c>
      <c r="M69" s="208">
        <f>IF(J69=13,IF(ISNUMBER(W68),VLOOKUP(W68+1,Calcs!$O$4:$Q$24,3,TRUE)-V68,5),IF(J69&lt;10,0,IF(J69&lt;18,1,IF(J69&lt;22,2,IF(ISNUMBER(W68),VLOOKUP(W68+1,Calcs!$O$4:$Q$24,3,TRUE)-V68,5)))))</f>
        <v>0</v>
      </c>
      <c r="N69" s="245" t="str">
        <f t="shared" si="9"/>
        <v xml:space="preserve"> </v>
      </c>
      <c r="O69" s="245" t="str">
        <f t="shared" si="9"/>
        <v xml:space="preserve"> </v>
      </c>
      <c r="P69" s="245" t="str">
        <f t="shared" si="9"/>
        <v xml:space="preserve"> </v>
      </c>
      <c r="Q69" s="245" t="str">
        <f t="shared" si="9"/>
        <v xml:space="preserve"> </v>
      </c>
      <c r="R69" s="245" t="str">
        <f t="shared" si="9"/>
        <v xml:space="preserve"> </v>
      </c>
      <c r="S69" s="245" t="str">
        <f t="shared" si="9"/>
        <v xml:space="preserve"> </v>
      </c>
      <c r="T69" s="245" t="str">
        <f t="shared" si="9"/>
        <v xml:space="preserve"> </v>
      </c>
      <c r="U69" s="245" t="str">
        <f t="shared" si="8"/>
        <v xml:space="preserve"> </v>
      </c>
      <c r="V69" s="208">
        <f>SUM($N$10:$U69)</f>
        <v>0</v>
      </c>
      <c r="W69" s="208">
        <f>VLOOKUP(V69,Calcs!$Q$4:$R$24,2,TRUE)</f>
        <v>0</v>
      </c>
      <c r="X69" s="435" t="str">
        <f t="shared" si="4"/>
        <v>No</v>
      </c>
      <c r="Y69" s="436"/>
      <c r="Z69" s="435">
        <f t="shared" si="5"/>
        <v>0</v>
      </c>
      <c r="AA69" s="245" t="str">
        <f>IF(AND(X69="Yes",NOT(ISBLANK(Z69))),VLOOKUP(Z69,Calcs!$Y$48:$Z$57,2,TRUE)," ")</f>
        <v xml:space="preserve"> </v>
      </c>
    </row>
    <row r="70" spans="1:27" x14ac:dyDescent="0.2">
      <c r="A70" s="425">
        <f t="shared" si="6"/>
        <v>96</v>
      </c>
      <c r="B70" s="425" t="str">
        <f t="shared" si="2"/>
        <v>Winter</v>
      </c>
      <c r="C70" s="247">
        <f>IF(B70="Winter",A70-('Start Character'!$K$6)-1,IF('Start Character'!$K$7&gt;6,A70-('Start Character'!$K$6)-1,A70-('Start Character'!$K$6)))</f>
        <v>95</v>
      </c>
      <c r="D70" s="247">
        <f t="shared" si="3"/>
        <v>95</v>
      </c>
      <c r="E70" s="246"/>
      <c r="F70" s="83"/>
      <c r="G70" s="83"/>
      <c r="H70" s="246"/>
      <c r="I70" s="433"/>
      <c r="J70" s="254">
        <f>IF(ISBLANK(I70),0,ROUNDUP(D70/10,0)-E70-H70-F70-G70+VLOOKUP($D$2,Calcs!$A$23:$B$27,2,FALSE)+I70)</f>
        <v>0</v>
      </c>
      <c r="K70" s="245" t="str">
        <f>IF(ISBLANK(I70)," ",VLOOKUP(J70,Calcs!$A$82:$H$106,2,TRUE))</f>
        <v xml:space="preserve"> </v>
      </c>
      <c r="L70" s="245">
        <f>IF(ISBLANK(I70),0,VLOOKUP(J70,Calcs!$A$82:$F$106,5,TRUE))</f>
        <v>0</v>
      </c>
      <c r="M70" s="208">
        <f>IF(J70=13,IF(ISNUMBER(W69),VLOOKUP(W69+1,Calcs!$O$4:$Q$24,3,TRUE)-V69,5),IF(J70&lt;10,0,IF(J70&lt;18,1,IF(J70&lt;22,2,IF(ISNUMBER(W69),VLOOKUP(W69+1,Calcs!$O$4:$Q$24,3,TRUE)-V69,5)))))</f>
        <v>0</v>
      </c>
      <c r="N70" s="245" t="str">
        <f t="shared" si="9"/>
        <v xml:space="preserve"> </v>
      </c>
      <c r="O70" s="245" t="str">
        <f t="shared" si="9"/>
        <v xml:space="preserve"> </v>
      </c>
      <c r="P70" s="245" t="str">
        <f t="shared" si="9"/>
        <v xml:space="preserve"> </v>
      </c>
      <c r="Q70" s="245" t="str">
        <f t="shared" si="9"/>
        <v xml:space="preserve"> </v>
      </c>
      <c r="R70" s="245" t="str">
        <f t="shared" si="9"/>
        <v xml:space="preserve"> </v>
      </c>
      <c r="S70" s="245" t="str">
        <f t="shared" si="9"/>
        <v xml:space="preserve"> </v>
      </c>
      <c r="T70" s="245" t="str">
        <f t="shared" si="9"/>
        <v xml:space="preserve"> </v>
      </c>
      <c r="U70" s="245" t="str">
        <f t="shared" si="8"/>
        <v xml:space="preserve"> </v>
      </c>
      <c r="V70" s="208">
        <f>SUM($N$10:$U70)</f>
        <v>0</v>
      </c>
      <c r="W70" s="208">
        <f>VLOOKUP(V70,Calcs!$Q$4:$R$24,2,TRUE)</f>
        <v>0</v>
      </c>
      <c r="X70" s="435" t="str">
        <f t="shared" si="4"/>
        <v>No</v>
      </c>
      <c r="Y70" s="436"/>
      <c r="Z70" s="435">
        <f t="shared" si="5"/>
        <v>0</v>
      </c>
      <c r="AA70" s="245" t="str">
        <f>IF(AND(X70="Yes",NOT(ISBLANK(Z70))),VLOOKUP(Z70,Calcs!$Y$48:$Z$57,2,TRUE)," ")</f>
        <v xml:space="preserve"> </v>
      </c>
    </row>
    <row r="71" spans="1:27" x14ac:dyDescent="0.2">
      <c r="A71" s="425">
        <f t="shared" si="6"/>
        <v>97</v>
      </c>
      <c r="B71" s="425" t="str">
        <f t="shared" si="2"/>
        <v>Winter</v>
      </c>
      <c r="C71" s="247">
        <f>IF(B71="Winter",A71-('Start Character'!$K$6)-1,IF('Start Character'!$K$7&gt;6,A71-('Start Character'!$K$6)-1,A71-('Start Character'!$K$6)))</f>
        <v>96</v>
      </c>
      <c r="D71" s="247">
        <f t="shared" si="3"/>
        <v>96</v>
      </c>
      <c r="E71" s="246"/>
      <c r="F71" s="83"/>
      <c r="G71" s="83"/>
      <c r="H71" s="246"/>
      <c r="I71" s="433"/>
      <c r="J71" s="254">
        <f>IF(ISBLANK(I71),0,ROUNDUP(D71/10,0)-E71-H71-F71-G71+VLOOKUP($D$2,Calcs!$A$23:$B$27,2,FALSE)+I71)</f>
        <v>0</v>
      </c>
      <c r="K71" s="245" t="str">
        <f>IF(ISBLANK(I71)," ",VLOOKUP(J71,Calcs!$A$82:$H$106,2,TRUE))</f>
        <v xml:space="preserve"> </v>
      </c>
      <c r="L71" s="245">
        <f>IF(ISBLANK(I71),0,VLOOKUP(J71,Calcs!$A$82:$F$106,5,TRUE))</f>
        <v>0</v>
      </c>
      <c r="M71" s="208">
        <f>IF(J71=13,IF(ISNUMBER(W70),VLOOKUP(W70+1,Calcs!$O$4:$Q$24,3,TRUE)-V70,5),IF(J71&lt;10,0,IF(J71&lt;18,1,IF(J71&lt;22,2,IF(ISNUMBER(W70),VLOOKUP(W70+1,Calcs!$O$4:$Q$24,3,TRUE)-V70,5)))))</f>
        <v>0</v>
      </c>
      <c r="N71" s="245" t="str">
        <f t="shared" si="9"/>
        <v xml:space="preserve"> </v>
      </c>
      <c r="O71" s="245" t="str">
        <f t="shared" si="9"/>
        <v xml:space="preserve"> </v>
      </c>
      <c r="P71" s="245" t="str">
        <f t="shared" si="9"/>
        <v xml:space="preserve"> </v>
      </c>
      <c r="Q71" s="245" t="str">
        <f t="shared" si="9"/>
        <v xml:space="preserve"> </v>
      </c>
      <c r="R71" s="245" t="str">
        <f t="shared" si="9"/>
        <v xml:space="preserve"> </v>
      </c>
      <c r="S71" s="245" t="str">
        <f t="shared" si="9"/>
        <v xml:space="preserve"> </v>
      </c>
      <c r="T71" s="245" t="str">
        <f t="shared" si="9"/>
        <v xml:space="preserve"> </v>
      </c>
      <c r="U71" s="245" t="str">
        <f t="shared" si="8"/>
        <v xml:space="preserve"> </v>
      </c>
      <c r="V71" s="208">
        <f>SUM($N$10:$U71)</f>
        <v>0</v>
      </c>
      <c r="W71" s="208">
        <f>VLOOKUP(V71,Calcs!$Q$4:$R$24,2,TRUE)</f>
        <v>0</v>
      </c>
      <c r="X71" s="435" t="str">
        <f t="shared" si="4"/>
        <v>No</v>
      </c>
      <c r="Y71" s="436"/>
      <c r="Z71" s="435">
        <f t="shared" si="5"/>
        <v>0</v>
      </c>
      <c r="AA71" s="245" t="str">
        <f>IF(AND(X71="Yes",NOT(ISBLANK(Z71))),VLOOKUP(Z71,Calcs!$Y$48:$Z$57,2,TRUE)," ")</f>
        <v xml:space="preserve"> </v>
      </c>
    </row>
    <row r="72" spans="1:27" x14ac:dyDescent="0.2">
      <c r="A72" s="425">
        <f t="shared" si="6"/>
        <v>98</v>
      </c>
      <c r="B72" s="425" t="str">
        <f t="shared" si="2"/>
        <v>Winter</v>
      </c>
      <c r="C72" s="247">
        <f>IF(B72="Winter",A72-('Start Character'!$K$6)-1,IF('Start Character'!$K$7&gt;6,A72-('Start Character'!$K$6)-1,A72-('Start Character'!$K$6)))</f>
        <v>97</v>
      </c>
      <c r="D72" s="247">
        <f t="shared" si="3"/>
        <v>97</v>
      </c>
      <c r="E72" s="246"/>
      <c r="F72" s="83"/>
      <c r="G72" s="83"/>
      <c r="H72" s="246"/>
      <c r="I72" s="433"/>
      <c r="J72" s="254">
        <f>IF(ISBLANK(I72),0,ROUNDUP(D72/10,0)-E72-H72-F72-G72+VLOOKUP($D$2,Calcs!$A$23:$B$27,2,FALSE)+I72)</f>
        <v>0</v>
      </c>
      <c r="K72" s="245" t="str">
        <f>IF(ISBLANK(I72)," ",VLOOKUP(J72,Calcs!$A$82:$H$106,2,TRUE))</f>
        <v xml:space="preserve"> </v>
      </c>
      <c r="L72" s="245">
        <f>IF(ISBLANK(I72),0,VLOOKUP(J72,Calcs!$A$82:$F$106,5,TRUE))</f>
        <v>0</v>
      </c>
      <c r="M72" s="208">
        <f>IF(J72=13,IF(ISNUMBER(W71),VLOOKUP(W71+1,Calcs!$O$4:$Q$24,3,TRUE)-V71,5),IF(J72&lt;10,0,IF(J72&lt;18,1,IF(J72&lt;22,2,IF(ISNUMBER(W71),VLOOKUP(W71+1,Calcs!$O$4:$Q$24,3,TRUE)-V71,5)))))</f>
        <v>0</v>
      </c>
      <c r="N72" s="245" t="str">
        <f t="shared" si="9"/>
        <v xml:space="preserve"> </v>
      </c>
      <c r="O72" s="245" t="str">
        <f t="shared" si="9"/>
        <v xml:space="preserve"> </v>
      </c>
      <c r="P72" s="245" t="str">
        <f t="shared" si="9"/>
        <v xml:space="preserve"> </v>
      </c>
      <c r="Q72" s="245" t="str">
        <f t="shared" si="9"/>
        <v xml:space="preserve"> </v>
      </c>
      <c r="R72" s="245" t="str">
        <f t="shared" si="9"/>
        <v xml:space="preserve"> </v>
      </c>
      <c r="S72" s="245" t="str">
        <f t="shared" si="9"/>
        <v xml:space="preserve"> </v>
      </c>
      <c r="T72" s="245" t="str">
        <f t="shared" si="9"/>
        <v xml:space="preserve"> </v>
      </c>
      <c r="U72" s="245" t="str">
        <f t="shared" si="8"/>
        <v xml:space="preserve"> </v>
      </c>
      <c r="V72" s="208">
        <f>SUM($N$10:$U72)</f>
        <v>0</v>
      </c>
      <c r="W72" s="208">
        <f>VLOOKUP(V72,Calcs!$Q$4:$R$24,2,TRUE)</f>
        <v>0</v>
      </c>
      <c r="X72" s="435" t="str">
        <f t="shared" si="4"/>
        <v>No</v>
      </c>
      <c r="Y72" s="436"/>
      <c r="Z72" s="435">
        <f t="shared" si="5"/>
        <v>0</v>
      </c>
      <c r="AA72" s="245" t="str">
        <f>IF(AND(X72="Yes",NOT(ISBLANK(Z72))),VLOOKUP(Z72,Calcs!$Y$48:$Z$57,2,TRUE)," ")</f>
        <v xml:space="preserve"> </v>
      </c>
    </row>
    <row r="73" spans="1:27" x14ac:dyDescent="0.2">
      <c r="A73" s="425">
        <f t="shared" si="6"/>
        <v>99</v>
      </c>
      <c r="B73" s="425" t="str">
        <f t="shared" si="2"/>
        <v>Winter</v>
      </c>
      <c r="C73" s="247">
        <f>IF(B73="Winter",A73-('Start Character'!$K$6)-1,IF('Start Character'!$K$7&gt;6,A73-('Start Character'!$K$6)-1,A73-('Start Character'!$K$6)))</f>
        <v>98</v>
      </c>
      <c r="D73" s="247">
        <f t="shared" si="3"/>
        <v>98</v>
      </c>
      <c r="E73" s="246"/>
      <c r="F73" s="83"/>
      <c r="G73" s="83"/>
      <c r="H73" s="246"/>
      <c r="I73" s="433"/>
      <c r="J73" s="254">
        <f>IF(ISBLANK(I73),0,ROUNDUP(D73/10,0)-E73-H73-F73-G73+VLOOKUP($D$2,Calcs!$A$23:$B$27,2,FALSE)+I73)</f>
        <v>0</v>
      </c>
      <c r="K73" s="245" t="str">
        <f>IF(ISBLANK(I73)," ",VLOOKUP(J73,Calcs!$A$82:$H$106,2,TRUE))</f>
        <v xml:space="preserve"> </v>
      </c>
      <c r="L73" s="245">
        <f>IF(ISBLANK(I73),0,VLOOKUP(J73,Calcs!$A$82:$F$106,5,TRUE))</f>
        <v>0</v>
      </c>
      <c r="M73" s="208">
        <f>IF(J73=13,IF(ISNUMBER(W72),VLOOKUP(W72+1,Calcs!$O$4:$Q$24,3,TRUE)-V72,5),IF(J73&lt;10,0,IF(J73&lt;18,1,IF(J73&lt;22,2,IF(ISNUMBER(W72),VLOOKUP(W72+1,Calcs!$O$4:$Q$24,3,TRUE)-V72,5)))))</f>
        <v>0</v>
      </c>
      <c r="N73" s="245" t="str">
        <f t="shared" si="9"/>
        <v xml:space="preserve"> </v>
      </c>
      <c r="O73" s="245" t="str">
        <f t="shared" si="9"/>
        <v xml:space="preserve"> </v>
      </c>
      <c r="P73" s="245" t="str">
        <f t="shared" si="9"/>
        <v xml:space="preserve"> </v>
      </c>
      <c r="Q73" s="245" t="str">
        <f t="shared" si="9"/>
        <v xml:space="preserve"> </v>
      </c>
      <c r="R73" s="245" t="str">
        <f t="shared" si="9"/>
        <v xml:space="preserve"> </v>
      </c>
      <c r="S73" s="245" t="str">
        <f t="shared" si="9"/>
        <v xml:space="preserve"> </v>
      </c>
      <c r="T73" s="245" t="str">
        <f t="shared" si="9"/>
        <v xml:space="preserve"> </v>
      </c>
      <c r="U73" s="245" t="str">
        <f t="shared" si="8"/>
        <v xml:space="preserve"> </v>
      </c>
      <c r="V73" s="208">
        <f>SUM($N$10:$U73)</f>
        <v>0</v>
      </c>
      <c r="W73" s="208">
        <f>VLOOKUP(V73,Calcs!$Q$4:$R$24,2,TRUE)</f>
        <v>0</v>
      </c>
      <c r="X73" s="435" t="str">
        <f t="shared" si="4"/>
        <v>No</v>
      </c>
      <c r="Y73" s="436"/>
      <c r="Z73" s="435">
        <f t="shared" si="5"/>
        <v>0</v>
      </c>
      <c r="AA73" s="245" t="str">
        <f>IF(AND(X73="Yes",NOT(ISBLANK(Z73))),VLOOKUP(Z73,Calcs!$Y$48:$Z$57,2,TRUE)," ")</f>
        <v xml:space="preserve"> </v>
      </c>
    </row>
    <row r="74" spans="1:27" x14ac:dyDescent="0.2">
      <c r="A74" s="425">
        <f t="shared" si="6"/>
        <v>100</v>
      </c>
      <c r="B74" s="425" t="str">
        <f t="shared" si="2"/>
        <v>Winter</v>
      </c>
      <c r="C74" s="247">
        <f>IF(B74="Winter",A74-('Start Character'!$K$6)-1,IF('Start Character'!$K$7&gt;6,A74-('Start Character'!$K$6)-1,A74-('Start Character'!$K$6)))</f>
        <v>99</v>
      </c>
      <c r="D74" s="247">
        <f t="shared" si="3"/>
        <v>99</v>
      </c>
      <c r="E74" s="246"/>
      <c r="F74" s="83"/>
      <c r="G74" s="83"/>
      <c r="H74" s="246"/>
      <c r="I74" s="433"/>
      <c r="J74" s="254">
        <f>IF(ISBLANK(I74),0,ROUNDUP(D74/10,0)-E74-H74-F74-G74+VLOOKUP($D$2,Calcs!$A$23:$B$27,2,FALSE)+I74)</f>
        <v>0</v>
      </c>
      <c r="K74" s="245" t="str">
        <f>IF(ISBLANK(I74)," ",VLOOKUP(J74,Calcs!$A$82:$H$106,2,TRUE))</f>
        <v xml:space="preserve"> </v>
      </c>
      <c r="L74" s="245">
        <f>IF(ISBLANK(I74),0,VLOOKUP(J74,Calcs!$A$82:$F$106,5,TRUE))</f>
        <v>0</v>
      </c>
      <c r="M74" s="208">
        <f>IF(J74=13,IF(ISNUMBER(W73),VLOOKUP(W73+1,Calcs!$O$4:$Q$24,3,TRUE)-V73,5),IF(J74&lt;10,0,IF(J74&lt;18,1,IF(J74&lt;22,2,IF(ISNUMBER(W73),VLOOKUP(W73+1,Calcs!$O$4:$Q$24,3,TRUE)-V73,5)))))</f>
        <v>0</v>
      </c>
      <c r="N74" s="245" t="str">
        <f t="shared" si="9"/>
        <v xml:space="preserve"> </v>
      </c>
      <c r="O74" s="245" t="str">
        <f t="shared" si="9"/>
        <v xml:space="preserve"> </v>
      </c>
      <c r="P74" s="245" t="str">
        <f t="shared" si="9"/>
        <v xml:space="preserve"> </v>
      </c>
      <c r="Q74" s="245" t="str">
        <f t="shared" si="9"/>
        <v xml:space="preserve"> </v>
      </c>
      <c r="R74" s="245" t="str">
        <f t="shared" si="9"/>
        <v xml:space="preserve"> </v>
      </c>
      <c r="S74" s="245" t="str">
        <f t="shared" si="9"/>
        <v xml:space="preserve"> </v>
      </c>
      <c r="T74" s="245" t="str">
        <f t="shared" si="9"/>
        <v xml:space="preserve"> </v>
      </c>
      <c r="U74" s="245" t="str">
        <f t="shared" si="8"/>
        <v xml:space="preserve"> </v>
      </c>
      <c r="V74" s="208">
        <f>SUM($N$10:$U74)</f>
        <v>0</v>
      </c>
      <c r="W74" s="208">
        <f>VLOOKUP(V74,Calcs!$Q$4:$R$24,2,TRUE)</f>
        <v>0</v>
      </c>
      <c r="X74" s="435" t="str">
        <f t="shared" si="4"/>
        <v>No</v>
      </c>
      <c r="Y74" s="436"/>
      <c r="Z74" s="435">
        <f t="shared" si="5"/>
        <v>0</v>
      </c>
      <c r="AA74" s="245" t="str">
        <f>IF(AND(X74="Yes",NOT(ISBLANK(Z74))),VLOOKUP(Z74,Calcs!$Y$48:$Z$57,2,TRUE)," ")</f>
        <v xml:space="preserve"> </v>
      </c>
    </row>
    <row r="75" spans="1:27" x14ac:dyDescent="0.2">
      <c r="A75" s="425">
        <f t="shared" si="6"/>
        <v>101</v>
      </c>
      <c r="B75" s="425" t="str">
        <f t="shared" ref="B75:B138" si="10">IF(AND($D$2="Age Quickly",B74="Winter"),"Summer","Winter")</f>
        <v>Winter</v>
      </c>
      <c r="C75" s="247">
        <f>IF(B75="Winter",A75-('Start Character'!$K$6)-1,IF('Start Character'!$K$7&gt;6,A75-('Start Character'!$K$6)-1,A75-('Start Character'!$K$6)))</f>
        <v>100</v>
      </c>
      <c r="D75" s="247">
        <f t="shared" ref="D75:D138" si="11">IF($D$2="Age Quickly",IF(C74=C75,(C75*2)+1,C75*2),C75)</f>
        <v>100</v>
      </c>
      <c r="E75" s="246"/>
      <c r="F75" s="83"/>
      <c r="G75" s="83"/>
      <c r="H75" s="246"/>
      <c r="I75" s="433"/>
      <c r="J75" s="254">
        <f>IF(ISBLANK(I75),0,ROUNDUP(D75/10,0)-E75-H75-F75-G75+VLOOKUP($D$2,Calcs!$A$23:$B$27,2,FALSE)+I75)</f>
        <v>0</v>
      </c>
      <c r="K75" s="245" t="str">
        <f>IF(ISBLANK(I75)," ",VLOOKUP(J75,Calcs!$A$82:$H$106,2,TRUE))</f>
        <v xml:space="preserve"> </v>
      </c>
      <c r="L75" s="245">
        <f>IF(ISBLANK(I75),0,VLOOKUP(J75,Calcs!$A$82:$F$106,5,TRUE))</f>
        <v>0</v>
      </c>
      <c r="M75" s="208">
        <f>IF(J75=13,IF(ISNUMBER(W74),VLOOKUP(W74+1,Calcs!$O$4:$Q$24,3,TRUE)-V74,5),IF(J75&lt;10,0,IF(J75&lt;18,1,IF(J75&lt;22,2,IF(ISNUMBER(W74),VLOOKUP(W74+1,Calcs!$O$4:$Q$24,3,TRUE)-V74,5)))))</f>
        <v>0</v>
      </c>
      <c r="N75" s="245" t="str">
        <f t="shared" si="9"/>
        <v xml:space="preserve"> </v>
      </c>
      <c r="O75" s="245" t="str">
        <f t="shared" si="9"/>
        <v xml:space="preserve"> </v>
      </c>
      <c r="P75" s="245" t="str">
        <f t="shared" si="9"/>
        <v xml:space="preserve"> </v>
      </c>
      <c r="Q75" s="245" t="str">
        <f t="shared" si="9"/>
        <v xml:space="preserve"> </v>
      </c>
      <c r="R75" s="245" t="str">
        <f t="shared" si="9"/>
        <v xml:space="preserve"> </v>
      </c>
      <c r="S75" s="245" t="str">
        <f t="shared" si="9"/>
        <v xml:space="preserve"> </v>
      </c>
      <c r="T75" s="245" t="str">
        <f t="shared" si="9"/>
        <v xml:space="preserve"> </v>
      </c>
      <c r="U75" s="245" t="str">
        <f t="shared" si="8"/>
        <v xml:space="preserve"> </v>
      </c>
      <c r="V75" s="208">
        <f>SUM($N$10:$U75)</f>
        <v>0</v>
      </c>
      <c r="W75" s="208">
        <f>VLOOKUP(V75,Calcs!$Q$4:$R$24,2,TRUE)</f>
        <v>0</v>
      </c>
      <c r="X75" s="435" t="str">
        <f t="shared" ref="X75:X138" si="12">IF(ISERROR(FIND("Crisis",K75)),"No","Yes")</f>
        <v>No</v>
      </c>
      <c r="Y75" s="436"/>
      <c r="Z75" s="435">
        <f t="shared" ref="Z75:Z138" si="13">IF(ISBLANK(Y75),0,ROUNDUP(D75/10,0)+W75+Y75)</f>
        <v>0</v>
      </c>
      <c r="AA75" s="245" t="str">
        <f>IF(AND(X75="Yes",NOT(ISBLANK(Z75))),VLOOKUP(Z75,Calcs!$Y$48:$Z$57,2,TRUE)," ")</f>
        <v xml:space="preserve"> </v>
      </c>
    </row>
    <row r="76" spans="1:27" x14ac:dyDescent="0.2">
      <c r="A76" s="425">
        <f t="shared" ref="A76:A139" si="14">IF($D$2&lt;&gt;"Age Quickly",A75+1,IF(A75=A74,A75+1,A75))</f>
        <v>102</v>
      </c>
      <c r="B76" s="425" t="str">
        <f t="shared" si="10"/>
        <v>Winter</v>
      </c>
      <c r="C76" s="247">
        <f>IF(B76="Winter",A76-('Start Character'!$K$6)-1,IF('Start Character'!$K$7&gt;6,A76-('Start Character'!$K$6)-1,A76-('Start Character'!$K$6)))</f>
        <v>101</v>
      </c>
      <c r="D76" s="247">
        <f t="shared" si="11"/>
        <v>101</v>
      </c>
      <c r="E76" s="246"/>
      <c r="F76" s="83"/>
      <c r="G76" s="83"/>
      <c r="H76" s="246"/>
      <c r="I76" s="433"/>
      <c r="J76" s="254">
        <f>IF(ISBLANK(I76),0,ROUNDUP(D76/10,0)-E76-H76-F76-G76+VLOOKUP($D$2,Calcs!$A$23:$B$27,2,FALSE)+I76)</f>
        <v>0</v>
      </c>
      <c r="K76" s="245" t="str">
        <f>IF(ISBLANK(I76)," ",VLOOKUP(J76,Calcs!$A$82:$H$106,2,TRUE))</f>
        <v xml:space="preserve"> </v>
      </c>
      <c r="L76" s="245">
        <f>IF(ISBLANK(I76),0,VLOOKUP(J76,Calcs!$A$82:$F$106,5,TRUE))</f>
        <v>0</v>
      </c>
      <c r="M76" s="208">
        <f>IF(J76=13,IF(ISNUMBER(W75),VLOOKUP(W75+1,Calcs!$O$4:$Q$24,3,TRUE)-V75,5),IF(J76&lt;10,0,IF(J76&lt;18,1,IF(J76&lt;22,2,IF(ISNUMBER(W75),VLOOKUP(W75+1,Calcs!$O$4:$Q$24,3,TRUE)-V75,5)))))</f>
        <v>0</v>
      </c>
      <c r="N76" s="245" t="str">
        <f t="shared" si="9"/>
        <v xml:space="preserve"> </v>
      </c>
      <c r="O76" s="245" t="str">
        <f t="shared" si="9"/>
        <v xml:space="preserve"> </v>
      </c>
      <c r="P76" s="245" t="str">
        <f t="shared" si="9"/>
        <v xml:space="preserve"> </v>
      </c>
      <c r="Q76" s="245" t="str">
        <f t="shared" si="9"/>
        <v xml:space="preserve"> </v>
      </c>
      <c r="R76" s="245" t="str">
        <f t="shared" si="9"/>
        <v xml:space="preserve"> </v>
      </c>
      <c r="S76" s="245" t="str">
        <f t="shared" si="9"/>
        <v xml:space="preserve"> </v>
      </c>
      <c r="T76" s="245" t="str">
        <f t="shared" si="9"/>
        <v xml:space="preserve"> </v>
      </c>
      <c r="U76" s="245" t="str">
        <f t="shared" si="8"/>
        <v xml:space="preserve"> </v>
      </c>
      <c r="V76" s="208">
        <f>SUM($N$10:$U76)</f>
        <v>0</v>
      </c>
      <c r="W76" s="208">
        <f>VLOOKUP(V76,Calcs!$Q$4:$R$24,2,TRUE)</f>
        <v>0</v>
      </c>
      <c r="X76" s="435" t="str">
        <f t="shared" si="12"/>
        <v>No</v>
      </c>
      <c r="Y76" s="436"/>
      <c r="Z76" s="435">
        <f t="shared" si="13"/>
        <v>0</v>
      </c>
      <c r="AA76" s="245" t="str">
        <f>IF(AND(X76="Yes",NOT(ISBLANK(Z76))),VLOOKUP(Z76,Calcs!$Y$48:$Z$57,2,TRUE)," ")</f>
        <v xml:space="preserve"> </v>
      </c>
    </row>
    <row r="77" spans="1:27" x14ac:dyDescent="0.2">
      <c r="A77" s="425">
        <f t="shared" si="14"/>
        <v>103</v>
      </c>
      <c r="B77" s="425" t="str">
        <f t="shared" si="10"/>
        <v>Winter</v>
      </c>
      <c r="C77" s="247">
        <f>IF(B77="Winter",A77-('Start Character'!$K$6)-1,IF('Start Character'!$K$7&gt;6,A77-('Start Character'!$K$6)-1,A77-('Start Character'!$K$6)))</f>
        <v>102</v>
      </c>
      <c r="D77" s="247">
        <f t="shared" si="11"/>
        <v>102</v>
      </c>
      <c r="E77" s="246"/>
      <c r="F77" s="83"/>
      <c r="G77" s="83"/>
      <c r="H77" s="246"/>
      <c r="I77" s="433"/>
      <c r="J77" s="254">
        <f>IF(ISBLANK(I77),0,ROUNDUP(D77/10,0)-E77-H77-F77-G77+VLOOKUP($D$2,Calcs!$A$23:$B$27,2,FALSE)+I77)</f>
        <v>0</v>
      </c>
      <c r="K77" s="245" t="str">
        <f>IF(ISBLANK(I77)," ",VLOOKUP(J77,Calcs!$A$82:$H$106,2,TRUE))</f>
        <v xml:space="preserve"> </v>
      </c>
      <c r="L77" s="245">
        <f>IF(ISBLANK(I77),0,VLOOKUP(J77,Calcs!$A$82:$F$106,5,TRUE))</f>
        <v>0</v>
      </c>
      <c r="M77" s="208">
        <f>IF(J77=13,IF(ISNUMBER(W76),VLOOKUP(W76+1,Calcs!$O$4:$Q$24,3,TRUE)-V76,5),IF(J77&lt;10,0,IF(J77&lt;18,1,IF(J77&lt;22,2,IF(ISNUMBER(W76),VLOOKUP(W76+1,Calcs!$O$4:$Q$24,3,TRUE)-V76,5)))))</f>
        <v>0</v>
      </c>
      <c r="N77" s="245" t="str">
        <f t="shared" si="9"/>
        <v xml:space="preserve"> </v>
      </c>
      <c r="O77" s="245" t="str">
        <f t="shared" si="9"/>
        <v xml:space="preserve"> </v>
      </c>
      <c r="P77" s="245" t="str">
        <f t="shared" si="9"/>
        <v xml:space="preserve"> </v>
      </c>
      <c r="Q77" s="245" t="str">
        <f t="shared" si="9"/>
        <v xml:space="preserve"> </v>
      </c>
      <c r="R77" s="245" t="str">
        <f t="shared" si="9"/>
        <v xml:space="preserve"> </v>
      </c>
      <c r="S77" s="245" t="str">
        <f t="shared" si="9"/>
        <v xml:space="preserve"> </v>
      </c>
      <c r="T77" s="245" t="str">
        <f t="shared" si="9"/>
        <v xml:space="preserve"> </v>
      </c>
      <c r="U77" s="245" t="str">
        <f t="shared" si="8"/>
        <v xml:space="preserve"> </v>
      </c>
      <c r="V77" s="208">
        <f>SUM($N$10:$U77)</f>
        <v>0</v>
      </c>
      <c r="W77" s="208">
        <f>VLOOKUP(V77,Calcs!$Q$4:$R$24,2,TRUE)</f>
        <v>0</v>
      </c>
      <c r="X77" s="435" t="str">
        <f t="shared" si="12"/>
        <v>No</v>
      </c>
      <c r="Y77" s="436"/>
      <c r="Z77" s="435">
        <f t="shared" si="13"/>
        <v>0</v>
      </c>
      <c r="AA77" s="245" t="str">
        <f>IF(AND(X77="Yes",NOT(ISBLANK(Z77))),VLOOKUP(Z77,Calcs!$Y$48:$Z$57,2,TRUE)," ")</f>
        <v xml:space="preserve"> </v>
      </c>
    </row>
    <row r="78" spans="1:27" x14ac:dyDescent="0.2">
      <c r="A78" s="425">
        <f t="shared" si="14"/>
        <v>104</v>
      </c>
      <c r="B78" s="425" t="str">
        <f t="shared" si="10"/>
        <v>Winter</v>
      </c>
      <c r="C78" s="247">
        <f>IF(B78="Winter",A78-('Start Character'!$K$6)-1,IF('Start Character'!$K$7&gt;6,A78-('Start Character'!$K$6)-1,A78-('Start Character'!$K$6)))</f>
        <v>103</v>
      </c>
      <c r="D78" s="247">
        <f t="shared" si="11"/>
        <v>103</v>
      </c>
      <c r="E78" s="246"/>
      <c r="F78" s="83"/>
      <c r="G78" s="83"/>
      <c r="H78" s="246"/>
      <c r="I78" s="433"/>
      <c r="J78" s="254">
        <f>IF(ISBLANK(I78),0,ROUNDUP(D78/10,0)-E78-H78-F78-G78+VLOOKUP($D$2,Calcs!$A$23:$B$27,2,FALSE)+I78)</f>
        <v>0</v>
      </c>
      <c r="K78" s="245" t="str">
        <f>IF(ISBLANK(I78)," ",VLOOKUP(J78,Calcs!$A$82:$H$106,2,TRUE))</f>
        <v xml:space="preserve"> </v>
      </c>
      <c r="L78" s="245">
        <f>IF(ISBLANK(I78),0,VLOOKUP(J78,Calcs!$A$82:$F$106,5,TRUE))</f>
        <v>0</v>
      </c>
      <c r="M78" s="208">
        <f>IF(J78=13,IF(ISNUMBER(W77),VLOOKUP(W77+1,Calcs!$O$4:$Q$24,3,TRUE)-V77,5),IF(J78&lt;10,0,IF(J78&lt;18,1,IF(J78&lt;22,2,IF(ISNUMBER(W77),VLOOKUP(W77+1,Calcs!$O$4:$Q$24,3,TRUE)-V77,5)))))</f>
        <v>0</v>
      </c>
      <c r="N78" s="245" t="str">
        <f t="shared" si="9"/>
        <v xml:space="preserve"> </v>
      </c>
      <c r="O78" s="245" t="str">
        <f t="shared" si="9"/>
        <v xml:space="preserve"> </v>
      </c>
      <c r="P78" s="245" t="str">
        <f t="shared" si="9"/>
        <v xml:space="preserve"> </v>
      </c>
      <c r="Q78" s="245" t="str">
        <f t="shared" si="9"/>
        <v xml:space="preserve"> </v>
      </c>
      <c r="R78" s="245" t="str">
        <f t="shared" si="9"/>
        <v xml:space="preserve"> </v>
      </c>
      <c r="S78" s="245" t="str">
        <f t="shared" si="9"/>
        <v xml:space="preserve"> </v>
      </c>
      <c r="T78" s="245" t="str">
        <f t="shared" si="9"/>
        <v xml:space="preserve"> </v>
      </c>
      <c r="U78" s="245" t="str">
        <f t="shared" si="8"/>
        <v xml:space="preserve"> </v>
      </c>
      <c r="V78" s="208">
        <f>SUM($N$10:$U78)</f>
        <v>0</v>
      </c>
      <c r="W78" s="208">
        <f>VLOOKUP(V78,Calcs!$Q$4:$R$24,2,TRUE)</f>
        <v>0</v>
      </c>
      <c r="X78" s="435" t="str">
        <f t="shared" si="12"/>
        <v>No</v>
      </c>
      <c r="Y78" s="436"/>
      <c r="Z78" s="435">
        <f t="shared" si="13"/>
        <v>0</v>
      </c>
      <c r="AA78" s="245" t="str">
        <f>IF(AND(X78="Yes",NOT(ISBLANK(Z78))),VLOOKUP(Z78,Calcs!$Y$48:$Z$57,2,TRUE)," ")</f>
        <v xml:space="preserve"> </v>
      </c>
    </row>
    <row r="79" spans="1:27" x14ac:dyDescent="0.2">
      <c r="A79" s="425">
        <f t="shared" si="14"/>
        <v>105</v>
      </c>
      <c r="B79" s="425" t="str">
        <f t="shared" si="10"/>
        <v>Winter</v>
      </c>
      <c r="C79" s="247">
        <f>IF(B79="Winter",A79-('Start Character'!$K$6)-1,IF('Start Character'!$K$7&gt;6,A79-('Start Character'!$K$6)-1,A79-('Start Character'!$K$6)))</f>
        <v>104</v>
      </c>
      <c r="D79" s="247">
        <f t="shared" si="11"/>
        <v>104</v>
      </c>
      <c r="E79" s="246"/>
      <c r="F79" s="83"/>
      <c r="G79" s="83"/>
      <c r="H79" s="246"/>
      <c r="I79" s="433"/>
      <c r="J79" s="254">
        <f>IF(ISBLANK(I79),0,ROUNDUP(D79/10,0)-E79-H79-F79-G79+VLOOKUP($D$2,Calcs!$A$23:$B$27,2,FALSE)+I79)</f>
        <v>0</v>
      </c>
      <c r="K79" s="245" t="str">
        <f>IF(ISBLANK(I79)," ",VLOOKUP(J79,Calcs!$A$82:$H$106,2,TRUE))</f>
        <v xml:space="preserve"> </v>
      </c>
      <c r="L79" s="245">
        <f>IF(ISBLANK(I79),0,VLOOKUP(J79,Calcs!$A$82:$F$106,5,TRUE))</f>
        <v>0</v>
      </c>
      <c r="M79" s="208">
        <f>IF(J79=13,IF(ISNUMBER(W78),VLOOKUP(W78+1,Calcs!$O$4:$Q$24,3,TRUE)-V78,5),IF(J79&lt;10,0,IF(J79&lt;18,1,IF(J79&lt;22,2,IF(ISNUMBER(W78),VLOOKUP(W78+1,Calcs!$O$4:$Q$24,3,TRUE)-V78,5)))))</f>
        <v>0</v>
      </c>
      <c r="N79" s="245" t="str">
        <f t="shared" si="9"/>
        <v xml:space="preserve"> </v>
      </c>
      <c r="O79" s="245" t="str">
        <f t="shared" si="9"/>
        <v xml:space="preserve"> </v>
      </c>
      <c r="P79" s="245" t="str">
        <f t="shared" si="9"/>
        <v xml:space="preserve"> </v>
      </c>
      <c r="Q79" s="245" t="str">
        <f t="shared" si="9"/>
        <v xml:space="preserve"> </v>
      </c>
      <c r="R79" s="245" t="str">
        <f t="shared" si="9"/>
        <v xml:space="preserve"> </v>
      </c>
      <c r="S79" s="245" t="str">
        <f t="shared" si="9"/>
        <v xml:space="preserve"> </v>
      </c>
      <c r="T79" s="245" t="str">
        <f t="shared" si="9"/>
        <v xml:space="preserve"> </v>
      </c>
      <c r="U79" s="245" t="str">
        <f t="shared" si="8"/>
        <v xml:space="preserve"> </v>
      </c>
      <c r="V79" s="208">
        <f>SUM($N$10:$U79)</f>
        <v>0</v>
      </c>
      <c r="W79" s="208">
        <f>VLOOKUP(V79,Calcs!$Q$4:$R$24,2,TRUE)</f>
        <v>0</v>
      </c>
      <c r="X79" s="435" t="str">
        <f t="shared" si="12"/>
        <v>No</v>
      </c>
      <c r="Y79" s="436"/>
      <c r="Z79" s="435">
        <f t="shared" si="13"/>
        <v>0</v>
      </c>
      <c r="AA79" s="245" t="str">
        <f>IF(AND(X79="Yes",NOT(ISBLANK(Z79))),VLOOKUP(Z79,Calcs!$Y$48:$Z$57,2,TRUE)," ")</f>
        <v xml:space="preserve"> </v>
      </c>
    </row>
    <row r="80" spans="1:27" x14ac:dyDescent="0.2">
      <c r="A80" s="425">
        <f t="shared" si="14"/>
        <v>106</v>
      </c>
      <c r="B80" s="425" t="str">
        <f t="shared" si="10"/>
        <v>Winter</v>
      </c>
      <c r="C80" s="247">
        <f>IF(B80="Winter",A80-('Start Character'!$K$6)-1,IF('Start Character'!$K$7&gt;6,A80-('Start Character'!$K$6)-1,A80-('Start Character'!$K$6)))</f>
        <v>105</v>
      </c>
      <c r="D80" s="247">
        <f t="shared" si="11"/>
        <v>105</v>
      </c>
      <c r="E80" s="246"/>
      <c r="F80" s="83"/>
      <c r="G80" s="83"/>
      <c r="H80" s="246"/>
      <c r="I80" s="433"/>
      <c r="J80" s="254">
        <f>IF(ISBLANK(I80),0,ROUNDUP(D80/10,0)-E80-H80-F80-G80+VLOOKUP($D$2,Calcs!$A$23:$B$27,2,FALSE)+I80)</f>
        <v>0</v>
      </c>
      <c r="K80" s="245" t="str">
        <f>IF(ISBLANK(I80)," ",VLOOKUP(J80,Calcs!$A$82:$H$106,2,TRUE))</f>
        <v xml:space="preserve"> </v>
      </c>
      <c r="L80" s="245">
        <f>IF(ISBLANK(I80),0,VLOOKUP(J80,Calcs!$A$82:$F$106,5,TRUE))</f>
        <v>0</v>
      </c>
      <c r="M80" s="208">
        <f>IF(J80=13,IF(ISNUMBER(W79),VLOOKUP(W79+1,Calcs!$O$4:$Q$24,3,TRUE)-V79,5),IF(J80&lt;10,0,IF(J80&lt;18,1,IF(J80&lt;22,2,IF(ISNUMBER(W79),VLOOKUP(W79+1,Calcs!$O$4:$Q$24,3,TRUE)-V79,5)))))</f>
        <v>0</v>
      </c>
      <c r="N80" s="245" t="str">
        <f t="shared" si="9"/>
        <v xml:space="preserve"> </v>
      </c>
      <c r="O80" s="245" t="str">
        <f t="shared" si="9"/>
        <v xml:space="preserve"> </v>
      </c>
      <c r="P80" s="245" t="str">
        <f t="shared" si="9"/>
        <v xml:space="preserve"> </v>
      </c>
      <c r="Q80" s="245" t="str">
        <f t="shared" si="9"/>
        <v xml:space="preserve"> </v>
      </c>
      <c r="R80" s="245" t="str">
        <f t="shared" si="9"/>
        <v xml:space="preserve"> </v>
      </c>
      <c r="S80" s="245" t="str">
        <f t="shared" si="9"/>
        <v xml:space="preserve"> </v>
      </c>
      <c r="T80" s="245" t="str">
        <f t="shared" si="9"/>
        <v xml:space="preserve"> </v>
      </c>
      <c r="U80" s="245" t="str">
        <f t="shared" si="8"/>
        <v xml:space="preserve"> </v>
      </c>
      <c r="V80" s="208">
        <f>SUM($N$10:$U80)</f>
        <v>0</v>
      </c>
      <c r="W80" s="208">
        <f>VLOOKUP(V80,Calcs!$Q$4:$R$24,2,TRUE)</f>
        <v>0</v>
      </c>
      <c r="X80" s="435" t="str">
        <f t="shared" si="12"/>
        <v>No</v>
      </c>
      <c r="Y80" s="436"/>
      <c r="Z80" s="435">
        <f t="shared" si="13"/>
        <v>0</v>
      </c>
      <c r="AA80" s="245" t="str">
        <f>IF(AND(X80="Yes",NOT(ISBLANK(Z80))),VLOOKUP(Z80,Calcs!$Y$48:$Z$57,2,TRUE)," ")</f>
        <v xml:space="preserve"> </v>
      </c>
    </row>
    <row r="81" spans="1:27" x14ac:dyDescent="0.2">
      <c r="A81" s="425">
        <f t="shared" si="14"/>
        <v>107</v>
      </c>
      <c r="B81" s="425" t="str">
        <f t="shared" si="10"/>
        <v>Winter</v>
      </c>
      <c r="C81" s="247">
        <f>IF(B81="Winter",A81-('Start Character'!$K$6)-1,IF('Start Character'!$K$7&gt;6,A81-('Start Character'!$K$6)-1,A81-('Start Character'!$K$6)))</f>
        <v>106</v>
      </c>
      <c r="D81" s="247">
        <f t="shared" si="11"/>
        <v>106</v>
      </c>
      <c r="E81" s="246"/>
      <c r="F81" s="83"/>
      <c r="G81" s="83"/>
      <c r="H81" s="246"/>
      <c r="I81" s="433"/>
      <c r="J81" s="254">
        <f>IF(ISBLANK(I81),0,ROUNDUP(D81/10,0)-E81-H81-F81-G81+VLOOKUP($D$2,Calcs!$A$23:$B$27,2,FALSE)+I81)</f>
        <v>0</v>
      </c>
      <c r="K81" s="245" t="str">
        <f>IF(ISBLANK(I81)," ",VLOOKUP(J81,Calcs!$A$82:$H$106,2,TRUE))</f>
        <v xml:space="preserve"> </v>
      </c>
      <c r="L81" s="245">
        <f>IF(ISBLANK(I81),0,VLOOKUP(J81,Calcs!$A$82:$F$106,5,TRUE))</f>
        <v>0</v>
      </c>
      <c r="M81" s="208">
        <f>IF(J81=13,IF(ISNUMBER(W80),VLOOKUP(W80+1,Calcs!$O$4:$Q$24,3,TRUE)-V80,5),IF(J81&lt;10,0,IF(J81&lt;18,1,IF(J81&lt;22,2,IF(ISNUMBER(W80),VLOOKUP(W80+1,Calcs!$O$4:$Q$24,3,TRUE)-V80,5)))))</f>
        <v>0</v>
      </c>
      <c r="N81" s="245" t="str">
        <f t="shared" si="9"/>
        <v xml:space="preserve"> </v>
      </c>
      <c r="O81" s="245" t="str">
        <f t="shared" si="9"/>
        <v xml:space="preserve"> </v>
      </c>
      <c r="P81" s="245" t="str">
        <f t="shared" si="9"/>
        <v xml:space="preserve"> </v>
      </c>
      <c r="Q81" s="245" t="str">
        <f t="shared" si="9"/>
        <v xml:space="preserve"> </v>
      </c>
      <c r="R81" s="245" t="str">
        <f t="shared" si="9"/>
        <v xml:space="preserve"> </v>
      </c>
      <c r="S81" s="245" t="str">
        <f t="shared" si="9"/>
        <v xml:space="preserve"> </v>
      </c>
      <c r="T81" s="245" t="str">
        <f t="shared" si="9"/>
        <v xml:space="preserve"> </v>
      </c>
      <c r="U81" s="245" t="str">
        <f t="shared" si="8"/>
        <v xml:space="preserve"> </v>
      </c>
      <c r="V81" s="208">
        <f>SUM($N$10:$U81)</f>
        <v>0</v>
      </c>
      <c r="W81" s="208">
        <f>VLOOKUP(V81,Calcs!$Q$4:$R$24,2,TRUE)</f>
        <v>0</v>
      </c>
      <c r="X81" s="435" t="str">
        <f t="shared" si="12"/>
        <v>No</v>
      </c>
      <c r="Y81" s="436"/>
      <c r="Z81" s="435">
        <f t="shared" si="13"/>
        <v>0</v>
      </c>
      <c r="AA81" s="245" t="str">
        <f>IF(AND(X81="Yes",NOT(ISBLANK(Z81))),VLOOKUP(Z81,Calcs!$Y$48:$Z$57,2,TRUE)," ")</f>
        <v xml:space="preserve"> </v>
      </c>
    </row>
    <row r="82" spans="1:27" x14ac:dyDescent="0.2">
      <c r="A82" s="425">
        <f t="shared" si="14"/>
        <v>108</v>
      </c>
      <c r="B82" s="425" t="str">
        <f t="shared" si="10"/>
        <v>Winter</v>
      </c>
      <c r="C82" s="247">
        <f>IF(B82="Winter",A82-('Start Character'!$K$6)-1,IF('Start Character'!$K$7&gt;6,A82-('Start Character'!$K$6)-1,A82-('Start Character'!$K$6)))</f>
        <v>107</v>
      </c>
      <c r="D82" s="247">
        <f t="shared" si="11"/>
        <v>107</v>
      </c>
      <c r="E82" s="246"/>
      <c r="F82" s="83"/>
      <c r="G82" s="83"/>
      <c r="H82" s="246"/>
      <c r="I82" s="433"/>
      <c r="J82" s="254">
        <f>IF(ISBLANK(I82),0,ROUNDUP(D82/10,0)-E82-H82-F82-G82+VLOOKUP($D$2,Calcs!$A$23:$B$27,2,FALSE)+I82)</f>
        <v>0</v>
      </c>
      <c r="K82" s="245" t="str">
        <f>IF(ISBLANK(I82)," ",VLOOKUP(J82,Calcs!$A$82:$H$106,2,TRUE))</f>
        <v xml:space="preserve"> </v>
      </c>
      <c r="L82" s="245">
        <f>IF(ISBLANK(I82),0,VLOOKUP(J82,Calcs!$A$82:$F$106,5,TRUE))</f>
        <v>0</v>
      </c>
      <c r="M82" s="208">
        <f>IF(J82=13,IF(ISNUMBER(W81),VLOOKUP(W81+1,Calcs!$O$4:$Q$24,3,TRUE)-V81,5),IF(J82&lt;10,0,IF(J82&lt;18,1,IF(J82&lt;22,2,IF(ISNUMBER(W81),VLOOKUP(W81+1,Calcs!$O$4:$Q$24,3,TRUE)-V81,5)))))</f>
        <v>0</v>
      </c>
      <c r="N82" s="245" t="str">
        <f t="shared" si="9"/>
        <v xml:space="preserve"> </v>
      </c>
      <c r="O82" s="245" t="str">
        <f t="shared" si="9"/>
        <v xml:space="preserve"> </v>
      </c>
      <c r="P82" s="245" t="str">
        <f t="shared" si="9"/>
        <v xml:space="preserve"> </v>
      </c>
      <c r="Q82" s="245" t="str">
        <f t="shared" si="9"/>
        <v xml:space="preserve"> </v>
      </c>
      <c r="R82" s="245" t="str">
        <f t="shared" si="9"/>
        <v xml:space="preserve"> </v>
      </c>
      <c r="S82" s="245" t="str">
        <f t="shared" si="9"/>
        <v xml:space="preserve"> </v>
      </c>
      <c r="T82" s="245" t="str">
        <f t="shared" si="9"/>
        <v xml:space="preserve"> </v>
      </c>
      <c r="U82" s="245" t="str">
        <f t="shared" si="8"/>
        <v xml:space="preserve"> </v>
      </c>
      <c r="V82" s="208">
        <f>SUM($N$10:$U82)</f>
        <v>0</v>
      </c>
      <c r="W82" s="208">
        <f>VLOOKUP(V82,Calcs!$Q$4:$R$24,2,TRUE)</f>
        <v>0</v>
      </c>
      <c r="X82" s="435" t="str">
        <f t="shared" si="12"/>
        <v>No</v>
      </c>
      <c r="Y82" s="436"/>
      <c r="Z82" s="435">
        <f t="shared" si="13"/>
        <v>0</v>
      </c>
      <c r="AA82" s="245" t="str">
        <f>IF(AND(X82="Yes",NOT(ISBLANK(Z82))),VLOOKUP(Z82,Calcs!$Y$48:$Z$57,2,TRUE)," ")</f>
        <v xml:space="preserve"> </v>
      </c>
    </row>
    <row r="83" spans="1:27" x14ac:dyDescent="0.2">
      <c r="A83" s="425">
        <f t="shared" si="14"/>
        <v>109</v>
      </c>
      <c r="B83" s="425" t="str">
        <f t="shared" si="10"/>
        <v>Winter</v>
      </c>
      <c r="C83" s="247">
        <f>IF(B83="Winter",A83-('Start Character'!$K$6)-1,IF('Start Character'!$K$7&gt;6,A83-('Start Character'!$K$6)-1,A83-('Start Character'!$K$6)))</f>
        <v>108</v>
      </c>
      <c r="D83" s="247">
        <f t="shared" si="11"/>
        <v>108</v>
      </c>
      <c r="E83" s="246"/>
      <c r="F83" s="83"/>
      <c r="G83" s="83"/>
      <c r="H83" s="246"/>
      <c r="I83" s="433"/>
      <c r="J83" s="254">
        <f>IF(ISBLANK(I83),0,ROUNDUP(D83/10,0)-E83-H83-F83-G83+VLOOKUP($D$2,Calcs!$A$23:$B$27,2,FALSE)+I83)</f>
        <v>0</v>
      </c>
      <c r="K83" s="245" t="str">
        <f>IF(ISBLANK(I83)," ",VLOOKUP(J83,Calcs!$A$82:$H$106,2,TRUE))</f>
        <v xml:space="preserve"> </v>
      </c>
      <c r="L83" s="245">
        <f>IF(ISBLANK(I83),0,VLOOKUP(J83,Calcs!$A$82:$F$106,5,TRUE))</f>
        <v>0</v>
      </c>
      <c r="M83" s="208">
        <f>IF(J83=13,IF(ISNUMBER(W82),VLOOKUP(W82+1,Calcs!$O$4:$Q$24,3,TRUE)-V82,5),IF(J83&lt;10,0,IF(J83&lt;18,1,IF(J83&lt;22,2,IF(ISNUMBER(W82),VLOOKUP(W82+1,Calcs!$O$4:$Q$24,3,TRUE)-V82,5)))))</f>
        <v>0</v>
      </c>
      <c r="N83" s="245" t="str">
        <f t="shared" si="9"/>
        <v xml:space="preserve"> </v>
      </c>
      <c r="O83" s="245" t="str">
        <f t="shared" si="9"/>
        <v xml:space="preserve"> </v>
      </c>
      <c r="P83" s="245" t="str">
        <f t="shared" si="9"/>
        <v xml:space="preserve"> </v>
      </c>
      <c r="Q83" s="245" t="str">
        <f t="shared" si="9"/>
        <v xml:space="preserve"> </v>
      </c>
      <c r="R83" s="245" t="str">
        <f t="shared" si="9"/>
        <v xml:space="preserve"> </v>
      </c>
      <c r="S83" s="245" t="str">
        <f t="shared" si="9"/>
        <v xml:space="preserve"> </v>
      </c>
      <c r="T83" s="245" t="str">
        <f t="shared" si="9"/>
        <v xml:space="preserve"> </v>
      </c>
      <c r="U83" s="245" t="str">
        <f t="shared" si="8"/>
        <v xml:space="preserve"> </v>
      </c>
      <c r="V83" s="208">
        <f>SUM($N$10:$U83)</f>
        <v>0</v>
      </c>
      <c r="W83" s="208">
        <f>VLOOKUP(V83,Calcs!$Q$4:$R$24,2,TRUE)</f>
        <v>0</v>
      </c>
      <c r="X83" s="435" t="str">
        <f t="shared" si="12"/>
        <v>No</v>
      </c>
      <c r="Y83" s="436"/>
      <c r="Z83" s="435">
        <f t="shared" si="13"/>
        <v>0</v>
      </c>
      <c r="AA83" s="245" t="str">
        <f>IF(AND(X83="Yes",NOT(ISBLANK(Z83))),VLOOKUP(Z83,Calcs!$Y$48:$Z$57,2,TRUE)," ")</f>
        <v xml:space="preserve"> </v>
      </c>
    </row>
    <row r="84" spans="1:27" x14ac:dyDescent="0.2">
      <c r="A84" s="425">
        <f t="shared" si="14"/>
        <v>110</v>
      </c>
      <c r="B84" s="425" t="str">
        <f t="shared" si="10"/>
        <v>Winter</v>
      </c>
      <c r="C84" s="247">
        <f>IF(B84="Winter",A84-('Start Character'!$K$6)-1,IF('Start Character'!$K$7&gt;6,A84-('Start Character'!$K$6)-1,A84-('Start Character'!$K$6)))</f>
        <v>109</v>
      </c>
      <c r="D84" s="247">
        <f t="shared" si="11"/>
        <v>109</v>
      </c>
      <c r="E84" s="246"/>
      <c r="F84" s="83"/>
      <c r="G84" s="83"/>
      <c r="H84" s="246"/>
      <c r="I84" s="433"/>
      <c r="J84" s="254">
        <f>IF(ISBLANK(I84),0,ROUNDUP(D84/10,0)-E84-H84-F84-G84+VLOOKUP($D$2,Calcs!$A$23:$B$27,2,FALSE)+I84)</f>
        <v>0</v>
      </c>
      <c r="K84" s="245" t="str">
        <f>IF(ISBLANK(I84)," ",VLOOKUP(J84,Calcs!$A$82:$H$106,2,TRUE))</f>
        <v xml:space="preserve"> </v>
      </c>
      <c r="L84" s="245">
        <f>IF(ISBLANK(I84),0,VLOOKUP(J84,Calcs!$A$82:$F$106,5,TRUE))</f>
        <v>0</v>
      </c>
      <c r="M84" s="208">
        <f>IF(J84=13,IF(ISNUMBER(W83),VLOOKUP(W83+1,Calcs!$O$4:$Q$24,3,TRUE)-V83,5),IF(J84&lt;10,0,IF(J84&lt;18,1,IF(J84&lt;22,2,IF(ISNUMBER(W83),VLOOKUP(W83+1,Calcs!$O$4:$Q$24,3,TRUE)-V83,5)))))</f>
        <v>0</v>
      </c>
      <c r="N84" s="245" t="str">
        <f t="shared" si="9"/>
        <v xml:space="preserve"> </v>
      </c>
      <c r="O84" s="245" t="str">
        <f t="shared" si="9"/>
        <v xml:space="preserve"> </v>
      </c>
      <c r="P84" s="245" t="str">
        <f t="shared" si="9"/>
        <v xml:space="preserve"> </v>
      </c>
      <c r="Q84" s="245" t="str">
        <f t="shared" si="9"/>
        <v xml:space="preserve"> </v>
      </c>
      <c r="R84" s="245" t="str">
        <f t="shared" si="9"/>
        <v xml:space="preserve"> </v>
      </c>
      <c r="S84" s="245" t="str">
        <f t="shared" si="9"/>
        <v xml:space="preserve"> </v>
      </c>
      <c r="T84" s="245" t="str">
        <f t="shared" si="9"/>
        <v xml:space="preserve"> </v>
      </c>
      <c r="U84" s="245" t="str">
        <f t="shared" si="8"/>
        <v xml:space="preserve"> </v>
      </c>
      <c r="V84" s="208">
        <f>SUM($N$10:$U84)</f>
        <v>0</v>
      </c>
      <c r="W84" s="208">
        <f>VLOOKUP(V84,Calcs!$Q$4:$R$24,2,TRUE)</f>
        <v>0</v>
      </c>
      <c r="X84" s="435" t="str">
        <f t="shared" si="12"/>
        <v>No</v>
      </c>
      <c r="Y84" s="436"/>
      <c r="Z84" s="435">
        <f t="shared" si="13"/>
        <v>0</v>
      </c>
      <c r="AA84" s="245" t="str">
        <f>IF(AND(X84="Yes",NOT(ISBLANK(Z84))),VLOOKUP(Z84,Calcs!$Y$48:$Z$57,2,TRUE)," ")</f>
        <v xml:space="preserve"> </v>
      </c>
    </row>
    <row r="85" spans="1:27" x14ac:dyDescent="0.2">
      <c r="A85" s="425">
        <f t="shared" si="14"/>
        <v>111</v>
      </c>
      <c r="B85" s="425" t="str">
        <f t="shared" si="10"/>
        <v>Winter</v>
      </c>
      <c r="C85" s="247">
        <f>IF(B85="Winter",A85-('Start Character'!$K$6)-1,IF('Start Character'!$K$7&gt;6,A85-('Start Character'!$K$6)-1,A85-('Start Character'!$K$6)))</f>
        <v>110</v>
      </c>
      <c r="D85" s="247">
        <f t="shared" si="11"/>
        <v>110</v>
      </c>
      <c r="E85" s="246"/>
      <c r="F85" s="83"/>
      <c r="G85" s="83"/>
      <c r="H85" s="246"/>
      <c r="I85" s="433"/>
      <c r="J85" s="254">
        <f>IF(ISBLANK(I85),0,ROUNDUP(D85/10,0)-E85-H85-F85-G85+VLOOKUP($D$2,Calcs!$A$23:$B$27,2,FALSE)+I85)</f>
        <v>0</v>
      </c>
      <c r="K85" s="245" t="str">
        <f>IF(ISBLANK(I85)," ",VLOOKUP(J85,Calcs!$A$82:$H$106,2,TRUE))</f>
        <v xml:space="preserve"> </v>
      </c>
      <c r="L85" s="245">
        <f>IF(ISBLANK(I85),0,VLOOKUP(J85,Calcs!$A$82:$F$106,5,TRUE))</f>
        <v>0</v>
      </c>
      <c r="M85" s="208">
        <f>IF(J85=13,IF(ISNUMBER(W84),VLOOKUP(W84+1,Calcs!$O$4:$Q$24,3,TRUE)-V84,5),IF(J85&lt;10,0,IF(J85&lt;18,1,IF(J85&lt;22,2,IF(ISNUMBER(W84),VLOOKUP(W84+1,Calcs!$O$4:$Q$24,3,TRUE)-V84,5)))))</f>
        <v>0</v>
      </c>
      <c r="N85" s="245" t="str">
        <f t="shared" si="9"/>
        <v xml:space="preserve"> </v>
      </c>
      <c r="O85" s="245" t="str">
        <f t="shared" si="9"/>
        <v xml:space="preserve"> </v>
      </c>
      <c r="P85" s="245" t="str">
        <f t="shared" si="9"/>
        <v xml:space="preserve"> </v>
      </c>
      <c r="Q85" s="245" t="str">
        <f t="shared" si="9"/>
        <v xml:space="preserve"> </v>
      </c>
      <c r="R85" s="245" t="str">
        <f t="shared" si="9"/>
        <v xml:space="preserve"> </v>
      </c>
      <c r="S85" s="245" t="str">
        <f t="shared" si="9"/>
        <v xml:space="preserve"> </v>
      </c>
      <c r="T85" s="245" t="str">
        <f t="shared" si="9"/>
        <v xml:space="preserve"> </v>
      </c>
      <c r="U85" s="245" t="str">
        <f t="shared" si="8"/>
        <v xml:space="preserve"> </v>
      </c>
      <c r="V85" s="208">
        <f>SUM($N$10:$U85)</f>
        <v>0</v>
      </c>
      <c r="W85" s="208">
        <f>VLOOKUP(V85,Calcs!$Q$4:$R$24,2,TRUE)</f>
        <v>0</v>
      </c>
      <c r="X85" s="435" t="str">
        <f t="shared" si="12"/>
        <v>No</v>
      </c>
      <c r="Y85" s="436"/>
      <c r="Z85" s="435">
        <f t="shared" si="13"/>
        <v>0</v>
      </c>
      <c r="AA85" s="245" t="str">
        <f>IF(AND(X85="Yes",NOT(ISBLANK(Z85))),VLOOKUP(Z85,Calcs!$Y$48:$Z$57,2,TRUE)," ")</f>
        <v xml:space="preserve"> </v>
      </c>
    </row>
    <row r="86" spans="1:27" x14ac:dyDescent="0.2">
      <c r="A86" s="425">
        <f t="shared" si="14"/>
        <v>112</v>
      </c>
      <c r="B86" s="425" t="str">
        <f t="shared" si="10"/>
        <v>Winter</v>
      </c>
      <c r="C86" s="247">
        <f>IF(B86="Winter",A86-('Start Character'!$K$6)-1,IF('Start Character'!$K$7&gt;6,A86-('Start Character'!$K$6)-1,A86-('Start Character'!$K$6)))</f>
        <v>111</v>
      </c>
      <c r="D86" s="247">
        <f t="shared" si="11"/>
        <v>111</v>
      </c>
      <c r="E86" s="246"/>
      <c r="F86" s="83"/>
      <c r="G86" s="83"/>
      <c r="H86" s="246"/>
      <c r="I86" s="433"/>
      <c r="J86" s="254">
        <f>IF(ISBLANK(I86),0,ROUNDUP(D86/10,0)-E86-H86-F86-G86+VLOOKUP($D$2,Calcs!$A$23:$B$27,2,FALSE)+I86)</f>
        <v>0</v>
      </c>
      <c r="K86" s="245" t="str">
        <f>IF(ISBLANK(I86)," ",VLOOKUP(J86,Calcs!$A$82:$H$106,2,TRUE))</f>
        <v xml:space="preserve"> </v>
      </c>
      <c r="L86" s="245">
        <f>IF(ISBLANK(I86),0,VLOOKUP(J86,Calcs!$A$82:$F$106,5,TRUE))</f>
        <v>0</v>
      </c>
      <c r="M86" s="208">
        <f>IF(J86=13,IF(ISNUMBER(W85),VLOOKUP(W85+1,Calcs!$O$4:$Q$24,3,TRUE)-V85,5),IF(J86&lt;10,0,IF(J86&lt;18,1,IF(J86&lt;22,2,IF(ISNUMBER(W85),VLOOKUP(W85+1,Calcs!$O$4:$Q$24,3,TRUE)-V85,5)))))</f>
        <v>0</v>
      </c>
      <c r="N86" s="245" t="str">
        <f t="shared" si="9"/>
        <v xml:space="preserve"> </v>
      </c>
      <c r="O86" s="245" t="str">
        <f t="shared" si="9"/>
        <v xml:space="preserve"> </v>
      </c>
      <c r="P86" s="245" t="str">
        <f t="shared" si="9"/>
        <v xml:space="preserve"> </v>
      </c>
      <c r="Q86" s="245" t="str">
        <f t="shared" si="9"/>
        <v xml:space="preserve"> </v>
      </c>
      <c r="R86" s="245" t="str">
        <f t="shared" si="9"/>
        <v xml:space="preserve"> </v>
      </c>
      <c r="S86" s="245" t="str">
        <f t="shared" si="9"/>
        <v xml:space="preserve"> </v>
      </c>
      <c r="T86" s="245" t="str">
        <f t="shared" si="9"/>
        <v xml:space="preserve"> </v>
      </c>
      <c r="U86" s="245" t="str">
        <f t="shared" si="8"/>
        <v xml:space="preserve"> </v>
      </c>
      <c r="V86" s="208">
        <f>SUM($N$10:$U86)</f>
        <v>0</v>
      </c>
      <c r="W86" s="208">
        <f>VLOOKUP(V86,Calcs!$Q$4:$R$24,2,TRUE)</f>
        <v>0</v>
      </c>
      <c r="X86" s="435" t="str">
        <f t="shared" si="12"/>
        <v>No</v>
      </c>
      <c r="Y86" s="436"/>
      <c r="Z86" s="435">
        <f t="shared" si="13"/>
        <v>0</v>
      </c>
      <c r="AA86" s="245" t="str">
        <f>IF(AND(X86="Yes",NOT(ISBLANK(Z86))),VLOOKUP(Z86,Calcs!$Y$48:$Z$57,2,TRUE)," ")</f>
        <v xml:space="preserve"> </v>
      </c>
    </row>
    <row r="87" spans="1:27" x14ac:dyDescent="0.2">
      <c r="A87" s="425">
        <f t="shared" si="14"/>
        <v>113</v>
      </c>
      <c r="B87" s="425" t="str">
        <f t="shared" si="10"/>
        <v>Winter</v>
      </c>
      <c r="C87" s="247">
        <f>IF(B87="Winter",A87-('Start Character'!$K$6)-1,IF('Start Character'!$K$7&gt;6,A87-('Start Character'!$K$6)-1,A87-('Start Character'!$K$6)))</f>
        <v>112</v>
      </c>
      <c r="D87" s="247">
        <f t="shared" si="11"/>
        <v>112</v>
      </c>
      <c r="E87" s="246"/>
      <c r="F87" s="83"/>
      <c r="G87" s="83"/>
      <c r="H87" s="246"/>
      <c r="I87" s="433"/>
      <c r="J87" s="254">
        <f>IF(ISBLANK(I87),0,ROUNDUP(D87/10,0)-E87-H87-F87-G87+VLOOKUP($D$2,Calcs!$A$23:$B$27,2,FALSE)+I87)</f>
        <v>0</v>
      </c>
      <c r="K87" s="245" t="str">
        <f>IF(ISBLANK(I87)," ",VLOOKUP(J87,Calcs!$A$82:$H$106,2,TRUE))</f>
        <v xml:space="preserve"> </v>
      </c>
      <c r="L87" s="245">
        <f>IF(ISBLANK(I87),0,VLOOKUP(J87,Calcs!$A$82:$F$106,5,TRUE))</f>
        <v>0</v>
      </c>
      <c r="M87" s="208">
        <f>IF(J87=13,IF(ISNUMBER(W86),VLOOKUP(W86+1,Calcs!$O$4:$Q$24,3,TRUE)-V86,5),IF(J87&lt;10,0,IF(J87&lt;18,1,IF(J87&lt;22,2,IF(ISNUMBER(W86),VLOOKUP(W86+1,Calcs!$O$4:$Q$24,3,TRUE)-V86,5)))))</f>
        <v>0</v>
      </c>
      <c r="N87" s="245" t="str">
        <f t="shared" si="9"/>
        <v xml:space="preserve"> </v>
      </c>
      <c r="O87" s="245" t="str">
        <f t="shared" si="9"/>
        <v xml:space="preserve"> </v>
      </c>
      <c r="P87" s="245" t="str">
        <f t="shared" si="9"/>
        <v xml:space="preserve"> </v>
      </c>
      <c r="Q87" s="245" t="str">
        <f t="shared" si="9"/>
        <v xml:space="preserve"> </v>
      </c>
      <c r="R87" s="245" t="str">
        <f t="shared" si="9"/>
        <v xml:space="preserve"> </v>
      </c>
      <c r="S87" s="245" t="str">
        <f t="shared" si="9"/>
        <v xml:space="preserve"> </v>
      </c>
      <c r="T87" s="245" t="str">
        <f t="shared" si="9"/>
        <v xml:space="preserve"> </v>
      </c>
      <c r="U87" s="245" t="str">
        <f t="shared" si="8"/>
        <v xml:space="preserve"> </v>
      </c>
      <c r="V87" s="208">
        <f>SUM($N$10:$U87)</f>
        <v>0</v>
      </c>
      <c r="W87" s="208">
        <f>VLOOKUP(V87,Calcs!$Q$4:$R$24,2,TRUE)</f>
        <v>0</v>
      </c>
      <c r="X87" s="435" t="str">
        <f t="shared" si="12"/>
        <v>No</v>
      </c>
      <c r="Y87" s="436"/>
      <c r="Z87" s="435">
        <f t="shared" si="13"/>
        <v>0</v>
      </c>
      <c r="AA87" s="245" t="str">
        <f>IF(AND(X87="Yes",NOT(ISBLANK(Z87))),VLOOKUP(Z87,Calcs!$Y$48:$Z$57,2,TRUE)," ")</f>
        <v xml:space="preserve"> </v>
      </c>
    </row>
    <row r="88" spans="1:27" x14ac:dyDescent="0.2">
      <c r="A88" s="425">
        <f t="shared" si="14"/>
        <v>114</v>
      </c>
      <c r="B88" s="425" t="str">
        <f t="shared" si="10"/>
        <v>Winter</v>
      </c>
      <c r="C88" s="247">
        <f>IF(B88="Winter",A88-('Start Character'!$K$6)-1,IF('Start Character'!$K$7&gt;6,A88-('Start Character'!$K$6)-1,A88-('Start Character'!$K$6)))</f>
        <v>113</v>
      </c>
      <c r="D88" s="247">
        <f t="shared" si="11"/>
        <v>113</v>
      </c>
      <c r="E88" s="246"/>
      <c r="F88" s="83"/>
      <c r="G88" s="83"/>
      <c r="H88" s="246"/>
      <c r="I88" s="433"/>
      <c r="J88" s="254">
        <f>IF(ISBLANK(I88),0,ROUNDUP(D88/10,0)-E88-H88-F88-G88+VLOOKUP($D$2,Calcs!$A$23:$B$27,2,FALSE)+I88)</f>
        <v>0</v>
      </c>
      <c r="K88" s="245" t="str">
        <f>IF(ISBLANK(I88)," ",VLOOKUP(J88,Calcs!$A$82:$H$106,2,TRUE))</f>
        <v xml:space="preserve"> </v>
      </c>
      <c r="L88" s="245">
        <f>IF(ISBLANK(I88),0,VLOOKUP(J88,Calcs!$A$82:$F$106,5,TRUE))</f>
        <v>0</v>
      </c>
      <c r="M88" s="208">
        <f>IF(J88=13,IF(ISNUMBER(W87),VLOOKUP(W87+1,Calcs!$O$4:$Q$24,3,TRUE)-V87,5),IF(J88&lt;10,0,IF(J88&lt;18,1,IF(J88&lt;22,2,IF(ISNUMBER(W87),VLOOKUP(W87+1,Calcs!$O$4:$Q$24,3,TRUE)-V87,5)))))</f>
        <v>0</v>
      </c>
      <c r="N88" s="245" t="str">
        <f t="shared" si="9"/>
        <v xml:space="preserve"> </v>
      </c>
      <c r="O88" s="245" t="str">
        <f t="shared" si="9"/>
        <v xml:space="preserve"> </v>
      </c>
      <c r="P88" s="245" t="str">
        <f t="shared" si="9"/>
        <v xml:space="preserve"> </v>
      </c>
      <c r="Q88" s="245" t="str">
        <f t="shared" si="9"/>
        <v xml:space="preserve"> </v>
      </c>
      <c r="R88" s="245" t="str">
        <f t="shared" si="9"/>
        <v xml:space="preserve"> </v>
      </c>
      <c r="S88" s="245" t="str">
        <f t="shared" si="9"/>
        <v xml:space="preserve"> </v>
      </c>
      <c r="T88" s="245" t="str">
        <f t="shared" si="9"/>
        <v xml:space="preserve"> </v>
      </c>
      <c r="U88" s="245" t="str">
        <f t="shared" si="8"/>
        <v xml:space="preserve"> </v>
      </c>
      <c r="V88" s="208">
        <f>SUM($N$10:$U88)</f>
        <v>0</v>
      </c>
      <c r="W88" s="208">
        <f>VLOOKUP(V88,Calcs!$Q$4:$R$24,2,TRUE)</f>
        <v>0</v>
      </c>
      <c r="X88" s="435" t="str">
        <f t="shared" si="12"/>
        <v>No</v>
      </c>
      <c r="Y88" s="436"/>
      <c r="Z88" s="435">
        <f t="shared" si="13"/>
        <v>0</v>
      </c>
      <c r="AA88" s="245" t="str">
        <f>IF(AND(X88="Yes",NOT(ISBLANK(Z88))),VLOOKUP(Z88,Calcs!$Y$48:$Z$57,2,TRUE)," ")</f>
        <v xml:space="preserve"> </v>
      </c>
    </row>
    <row r="89" spans="1:27" x14ac:dyDescent="0.2">
      <c r="A89" s="425">
        <f t="shared" si="14"/>
        <v>115</v>
      </c>
      <c r="B89" s="425" t="str">
        <f t="shared" si="10"/>
        <v>Winter</v>
      </c>
      <c r="C89" s="247">
        <f>IF(B89="Winter",A89-('Start Character'!$K$6)-1,IF('Start Character'!$K$7&gt;6,A89-('Start Character'!$K$6)-1,A89-('Start Character'!$K$6)))</f>
        <v>114</v>
      </c>
      <c r="D89" s="247">
        <f t="shared" si="11"/>
        <v>114</v>
      </c>
      <c r="E89" s="246"/>
      <c r="F89" s="83"/>
      <c r="G89" s="83"/>
      <c r="H89" s="246"/>
      <c r="I89" s="433"/>
      <c r="J89" s="254">
        <f>IF(ISBLANK(I89),0,ROUNDUP(D89/10,0)-E89-H89-F89-G89+VLOOKUP($D$2,Calcs!$A$23:$B$27,2,FALSE)+I89)</f>
        <v>0</v>
      </c>
      <c r="K89" s="245" t="str">
        <f>IF(ISBLANK(I89)," ",VLOOKUP(J89,Calcs!$A$82:$H$106,2,TRUE))</f>
        <v xml:space="preserve"> </v>
      </c>
      <c r="L89" s="245">
        <f>IF(ISBLANK(I89),0,VLOOKUP(J89,Calcs!$A$82:$F$106,5,TRUE))</f>
        <v>0</v>
      </c>
      <c r="M89" s="208">
        <f>IF(J89=13,IF(ISNUMBER(W88),VLOOKUP(W88+1,Calcs!$O$4:$Q$24,3,TRUE)-V88,5),IF(J89&lt;10,0,IF(J89&lt;18,1,IF(J89&lt;22,2,IF(ISNUMBER(W88),VLOOKUP(W88+1,Calcs!$O$4:$Q$24,3,TRUE)-V88,5)))))</f>
        <v>0</v>
      </c>
      <c r="N89" s="245" t="str">
        <f t="shared" si="9"/>
        <v xml:space="preserve"> </v>
      </c>
      <c r="O89" s="245" t="str">
        <f t="shared" si="9"/>
        <v xml:space="preserve"> </v>
      </c>
      <c r="P89" s="245" t="str">
        <f t="shared" si="9"/>
        <v xml:space="preserve"> </v>
      </c>
      <c r="Q89" s="245" t="str">
        <f t="shared" si="9"/>
        <v xml:space="preserve"> </v>
      </c>
      <c r="R89" s="245" t="str">
        <f t="shared" si="9"/>
        <v xml:space="preserve"> </v>
      </c>
      <c r="S89" s="245" t="str">
        <f t="shared" si="9"/>
        <v xml:space="preserve"> </v>
      </c>
      <c r="T89" s="245" t="str">
        <f t="shared" si="9"/>
        <v xml:space="preserve"> </v>
      </c>
      <c r="U89" s="245" t="str">
        <f t="shared" si="8"/>
        <v xml:space="preserve"> </v>
      </c>
      <c r="V89" s="208">
        <f>SUM($N$10:$U89)</f>
        <v>0</v>
      </c>
      <c r="W89" s="208">
        <f>VLOOKUP(V89,Calcs!$Q$4:$R$24,2,TRUE)</f>
        <v>0</v>
      </c>
      <c r="X89" s="435" t="str">
        <f t="shared" si="12"/>
        <v>No</v>
      </c>
      <c r="Y89" s="436"/>
      <c r="Z89" s="435">
        <f t="shared" si="13"/>
        <v>0</v>
      </c>
      <c r="AA89" s="245" t="str">
        <f>IF(AND(X89="Yes",NOT(ISBLANK(Z89))),VLOOKUP(Z89,Calcs!$Y$48:$Z$57,2,TRUE)," ")</f>
        <v xml:space="preserve"> </v>
      </c>
    </row>
    <row r="90" spans="1:27" x14ac:dyDescent="0.2">
      <c r="A90" s="425">
        <f t="shared" si="14"/>
        <v>116</v>
      </c>
      <c r="B90" s="425" t="str">
        <f t="shared" si="10"/>
        <v>Winter</v>
      </c>
      <c r="C90" s="247">
        <f>IF(B90="Winter",A90-('Start Character'!$K$6)-1,IF('Start Character'!$K$7&gt;6,A90-('Start Character'!$K$6)-1,A90-('Start Character'!$K$6)))</f>
        <v>115</v>
      </c>
      <c r="D90" s="247">
        <f t="shared" si="11"/>
        <v>115</v>
      </c>
      <c r="E90" s="246"/>
      <c r="F90" s="83"/>
      <c r="G90" s="83"/>
      <c r="H90" s="246"/>
      <c r="I90" s="433"/>
      <c r="J90" s="254">
        <f>IF(ISBLANK(I90),0,ROUNDUP(D90/10,0)-E90-H90-F90-G90+VLOOKUP($D$2,Calcs!$A$23:$B$27,2,FALSE)+I90)</f>
        <v>0</v>
      </c>
      <c r="K90" s="245" t="str">
        <f>IF(ISBLANK(I90)," ",VLOOKUP(J90,Calcs!$A$82:$H$106,2,TRUE))</f>
        <v xml:space="preserve"> </v>
      </c>
      <c r="L90" s="245">
        <f>IF(ISBLANK(I90),0,VLOOKUP(J90,Calcs!$A$82:$F$106,5,TRUE))</f>
        <v>0</v>
      </c>
      <c r="M90" s="208">
        <f>IF(J90=13,IF(ISNUMBER(W89),VLOOKUP(W89+1,Calcs!$O$4:$Q$24,3,TRUE)-V89,5),IF(J90&lt;10,0,IF(J90&lt;18,1,IF(J90&lt;22,2,IF(ISNUMBER(W89),VLOOKUP(W89+1,Calcs!$O$4:$Q$24,3,TRUE)-V89,5)))))</f>
        <v>0</v>
      </c>
      <c r="N90" s="245" t="str">
        <f t="shared" si="9"/>
        <v xml:space="preserve"> </v>
      </c>
      <c r="O90" s="245" t="str">
        <f t="shared" si="9"/>
        <v xml:space="preserve"> </v>
      </c>
      <c r="P90" s="245" t="str">
        <f t="shared" si="9"/>
        <v xml:space="preserve"> </v>
      </c>
      <c r="Q90" s="245" t="str">
        <f t="shared" si="9"/>
        <v xml:space="preserve"> </v>
      </c>
      <c r="R90" s="245" t="str">
        <f t="shared" si="9"/>
        <v xml:space="preserve"> </v>
      </c>
      <c r="S90" s="245" t="str">
        <f t="shared" si="9"/>
        <v xml:space="preserve"> </v>
      </c>
      <c r="T90" s="245" t="str">
        <f t="shared" si="9"/>
        <v xml:space="preserve"> </v>
      </c>
      <c r="U90" s="245" t="str">
        <f t="shared" si="8"/>
        <v xml:space="preserve"> </v>
      </c>
      <c r="V90" s="208">
        <f>SUM($N$10:$U90)</f>
        <v>0</v>
      </c>
      <c r="W90" s="208">
        <f>VLOOKUP(V90,Calcs!$Q$4:$R$24,2,TRUE)</f>
        <v>0</v>
      </c>
      <c r="X90" s="435" t="str">
        <f t="shared" si="12"/>
        <v>No</v>
      </c>
      <c r="Y90" s="436"/>
      <c r="Z90" s="435">
        <f t="shared" si="13"/>
        <v>0</v>
      </c>
      <c r="AA90" s="245" t="str">
        <f>IF(AND(X90="Yes",NOT(ISBLANK(Z90))),VLOOKUP(Z90,Calcs!$Y$48:$Z$57,2,TRUE)," ")</f>
        <v xml:space="preserve"> </v>
      </c>
    </row>
    <row r="91" spans="1:27" x14ac:dyDescent="0.2">
      <c r="A91" s="425">
        <f t="shared" si="14"/>
        <v>117</v>
      </c>
      <c r="B91" s="425" t="str">
        <f t="shared" si="10"/>
        <v>Winter</v>
      </c>
      <c r="C91" s="247">
        <f>IF(B91="Winter",A91-('Start Character'!$K$6)-1,IF('Start Character'!$K$7&gt;6,A91-('Start Character'!$K$6)-1,A91-('Start Character'!$K$6)))</f>
        <v>116</v>
      </c>
      <c r="D91" s="247">
        <f t="shared" si="11"/>
        <v>116</v>
      </c>
      <c r="E91" s="246"/>
      <c r="F91" s="83"/>
      <c r="G91" s="83"/>
      <c r="H91" s="246"/>
      <c r="I91" s="433"/>
      <c r="J91" s="254">
        <f>IF(ISBLANK(I91),0,ROUNDUP(D91/10,0)-E91-H91-F91-G91+VLOOKUP($D$2,Calcs!$A$23:$B$27,2,FALSE)+I91)</f>
        <v>0</v>
      </c>
      <c r="K91" s="245" t="str">
        <f>IF(ISBLANK(I91)," ",VLOOKUP(J91,Calcs!$A$82:$H$106,2,TRUE))</f>
        <v xml:space="preserve"> </v>
      </c>
      <c r="L91" s="245">
        <f>IF(ISBLANK(I91),0,VLOOKUP(J91,Calcs!$A$82:$F$106,5,TRUE))</f>
        <v>0</v>
      </c>
      <c r="M91" s="208">
        <f>IF(J91=13,IF(ISNUMBER(W90),VLOOKUP(W90+1,Calcs!$O$4:$Q$24,3,TRUE)-V90,5),IF(J91&lt;10,0,IF(J91&lt;18,1,IF(J91&lt;22,2,IF(ISNUMBER(W90),VLOOKUP(W90+1,Calcs!$O$4:$Q$24,3,TRUE)-V90,5)))))</f>
        <v>0</v>
      </c>
      <c r="N91" s="245" t="str">
        <f t="shared" si="9"/>
        <v xml:space="preserve"> </v>
      </c>
      <c r="O91" s="245" t="str">
        <f t="shared" si="9"/>
        <v xml:space="preserve"> </v>
      </c>
      <c r="P91" s="245" t="str">
        <f t="shared" si="9"/>
        <v xml:space="preserve"> </v>
      </c>
      <c r="Q91" s="245" t="str">
        <f t="shared" si="9"/>
        <v xml:space="preserve"> </v>
      </c>
      <c r="R91" s="245" t="str">
        <f t="shared" si="9"/>
        <v xml:space="preserve"> </v>
      </c>
      <c r="S91" s="245" t="str">
        <f t="shared" si="9"/>
        <v xml:space="preserve"> </v>
      </c>
      <c r="T91" s="245" t="str">
        <f t="shared" si="9"/>
        <v xml:space="preserve"> </v>
      </c>
      <c r="U91" s="245" t="str">
        <f t="shared" si="8"/>
        <v xml:space="preserve"> </v>
      </c>
      <c r="V91" s="208">
        <f>SUM($N$10:$U91)</f>
        <v>0</v>
      </c>
      <c r="W91" s="208">
        <f>VLOOKUP(V91,Calcs!$Q$4:$R$24,2,TRUE)</f>
        <v>0</v>
      </c>
      <c r="X91" s="435" t="str">
        <f t="shared" si="12"/>
        <v>No</v>
      </c>
      <c r="Y91" s="436"/>
      <c r="Z91" s="435">
        <f t="shared" si="13"/>
        <v>0</v>
      </c>
      <c r="AA91" s="245" t="str">
        <f>IF(AND(X91="Yes",NOT(ISBLANK(Z91))),VLOOKUP(Z91,Calcs!$Y$48:$Z$57,2,TRUE)," ")</f>
        <v xml:space="preserve"> </v>
      </c>
    </row>
    <row r="92" spans="1:27" x14ac:dyDescent="0.2">
      <c r="A92" s="425">
        <f t="shared" si="14"/>
        <v>118</v>
      </c>
      <c r="B92" s="425" t="str">
        <f t="shared" si="10"/>
        <v>Winter</v>
      </c>
      <c r="C92" s="247">
        <f>IF(B92="Winter",A92-('Start Character'!$K$6)-1,IF('Start Character'!$K$7&gt;6,A92-('Start Character'!$K$6)-1,A92-('Start Character'!$K$6)))</f>
        <v>117</v>
      </c>
      <c r="D92" s="247">
        <f t="shared" si="11"/>
        <v>117</v>
      </c>
      <c r="E92" s="246"/>
      <c r="F92" s="83"/>
      <c r="G92" s="83"/>
      <c r="H92" s="246"/>
      <c r="I92" s="433"/>
      <c r="J92" s="254">
        <f>IF(ISBLANK(I92),0,ROUNDUP(D92/10,0)-E92-H92-F92-G92+VLOOKUP($D$2,Calcs!$A$23:$B$27,2,FALSE)+I92)</f>
        <v>0</v>
      </c>
      <c r="K92" s="245" t="str">
        <f>IF(ISBLANK(I92)," ",VLOOKUP(J92,Calcs!$A$82:$H$106,2,TRUE))</f>
        <v xml:space="preserve"> </v>
      </c>
      <c r="L92" s="245">
        <f>IF(ISBLANK(I92),0,VLOOKUP(J92,Calcs!$A$82:$F$106,5,TRUE))</f>
        <v>0</v>
      </c>
      <c r="M92" s="208">
        <f>IF(J92=13,IF(ISNUMBER(W91),VLOOKUP(W91+1,Calcs!$O$4:$Q$24,3,TRUE)-V91,5),IF(J92&lt;10,0,IF(J92&lt;18,1,IF(J92&lt;22,2,IF(ISNUMBER(W91),VLOOKUP(W91+1,Calcs!$O$4:$Q$24,3,TRUE)-V91,5)))))</f>
        <v>0</v>
      </c>
      <c r="N92" s="245" t="str">
        <f t="shared" si="9"/>
        <v xml:space="preserve"> </v>
      </c>
      <c r="O92" s="245" t="str">
        <f t="shared" si="9"/>
        <v xml:space="preserve"> </v>
      </c>
      <c r="P92" s="245" t="str">
        <f t="shared" si="9"/>
        <v xml:space="preserve"> </v>
      </c>
      <c r="Q92" s="245" t="str">
        <f t="shared" si="9"/>
        <v xml:space="preserve"> </v>
      </c>
      <c r="R92" s="245" t="str">
        <f t="shared" si="9"/>
        <v xml:space="preserve"> </v>
      </c>
      <c r="S92" s="245" t="str">
        <f t="shared" si="9"/>
        <v xml:space="preserve"> </v>
      </c>
      <c r="T92" s="245" t="str">
        <f t="shared" si="9"/>
        <v xml:space="preserve"> </v>
      </c>
      <c r="U92" s="245" t="str">
        <f t="shared" si="8"/>
        <v xml:space="preserve"> </v>
      </c>
      <c r="V92" s="208">
        <f>SUM($N$10:$U92)</f>
        <v>0</v>
      </c>
      <c r="W92" s="208">
        <f>VLOOKUP(V92,Calcs!$Q$4:$R$24,2,TRUE)</f>
        <v>0</v>
      </c>
      <c r="X92" s="435" t="str">
        <f t="shared" si="12"/>
        <v>No</v>
      </c>
      <c r="Y92" s="436"/>
      <c r="Z92" s="435">
        <f t="shared" si="13"/>
        <v>0</v>
      </c>
      <c r="AA92" s="245" t="str">
        <f>IF(AND(X92="Yes",NOT(ISBLANK(Z92))),VLOOKUP(Z92,Calcs!$Y$48:$Z$57,2,TRUE)," ")</f>
        <v xml:space="preserve"> </v>
      </c>
    </row>
    <row r="93" spans="1:27" x14ac:dyDescent="0.2">
      <c r="A93" s="425">
        <f t="shared" si="14"/>
        <v>119</v>
      </c>
      <c r="B93" s="425" t="str">
        <f t="shared" si="10"/>
        <v>Winter</v>
      </c>
      <c r="C93" s="247">
        <f>IF(B93="Winter",A93-('Start Character'!$K$6)-1,IF('Start Character'!$K$7&gt;6,A93-('Start Character'!$K$6)-1,A93-('Start Character'!$K$6)))</f>
        <v>118</v>
      </c>
      <c r="D93" s="247">
        <f t="shared" si="11"/>
        <v>118</v>
      </c>
      <c r="E93" s="246"/>
      <c r="F93" s="83"/>
      <c r="G93" s="83"/>
      <c r="H93" s="246"/>
      <c r="I93" s="433"/>
      <c r="J93" s="254">
        <f>IF(ISBLANK(I93),0,ROUNDUP(D93/10,0)-E93-H93-F93-G93+VLOOKUP($D$2,Calcs!$A$23:$B$27,2,FALSE)+I93)</f>
        <v>0</v>
      </c>
      <c r="K93" s="245" t="str">
        <f>IF(ISBLANK(I93)," ",VLOOKUP(J93,Calcs!$A$82:$H$106,2,TRUE))</f>
        <v xml:space="preserve"> </v>
      </c>
      <c r="L93" s="245">
        <f>IF(ISBLANK(I93),0,VLOOKUP(J93,Calcs!$A$82:$F$106,5,TRUE))</f>
        <v>0</v>
      </c>
      <c r="M93" s="208">
        <f>IF(J93=13,IF(ISNUMBER(W92),VLOOKUP(W92+1,Calcs!$O$4:$Q$24,3,TRUE)-V92,5),IF(J93&lt;10,0,IF(J93&lt;18,1,IF(J93&lt;22,2,IF(ISNUMBER(W92),VLOOKUP(W92+1,Calcs!$O$4:$Q$24,3,TRUE)-V92,5)))))</f>
        <v>0</v>
      </c>
      <c r="N93" s="245" t="str">
        <f t="shared" si="9"/>
        <v xml:space="preserve"> </v>
      </c>
      <c r="O93" s="245" t="str">
        <f t="shared" si="9"/>
        <v xml:space="preserve"> </v>
      </c>
      <c r="P93" s="245" t="str">
        <f t="shared" si="9"/>
        <v xml:space="preserve"> </v>
      </c>
      <c r="Q93" s="245" t="str">
        <f t="shared" si="9"/>
        <v xml:space="preserve"> </v>
      </c>
      <c r="R93" s="245" t="str">
        <f t="shared" si="9"/>
        <v xml:space="preserve"> </v>
      </c>
      <c r="S93" s="245" t="str">
        <f t="shared" si="9"/>
        <v xml:space="preserve"> </v>
      </c>
      <c r="T93" s="245" t="str">
        <f t="shared" si="9"/>
        <v xml:space="preserve"> </v>
      </c>
      <c r="U93" s="245" t="str">
        <f t="shared" si="8"/>
        <v xml:space="preserve"> </v>
      </c>
      <c r="V93" s="208">
        <f>SUM($N$10:$U93)</f>
        <v>0</v>
      </c>
      <c r="W93" s="208">
        <f>VLOOKUP(V93,Calcs!$Q$4:$R$24,2,TRUE)</f>
        <v>0</v>
      </c>
      <c r="X93" s="435" t="str">
        <f t="shared" si="12"/>
        <v>No</v>
      </c>
      <c r="Y93" s="436"/>
      <c r="Z93" s="435">
        <f t="shared" si="13"/>
        <v>0</v>
      </c>
      <c r="AA93" s="245" t="str">
        <f>IF(AND(X93="Yes",NOT(ISBLANK(Z93))),VLOOKUP(Z93,Calcs!$Y$48:$Z$57,2,TRUE)," ")</f>
        <v xml:space="preserve"> </v>
      </c>
    </row>
    <row r="94" spans="1:27" x14ac:dyDescent="0.2">
      <c r="A94" s="425">
        <f t="shared" si="14"/>
        <v>120</v>
      </c>
      <c r="B94" s="425" t="str">
        <f t="shared" si="10"/>
        <v>Winter</v>
      </c>
      <c r="C94" s="247">
        <f>IF(B94="Winter",A94-('Start Character'!$K$6)-1,IF('Start Character'!$K$7&gt;6,A94-('Start Character'!$K$6)-1,A94-('Start Character'!$K$6)))</f>
        <v>119</v>
      </c>
      <c r="D94" s="247">
        <f t="shared" si="11"/>
        <v>119</v>
      </c>
      <c r="E94" s="246"/>
      <c r="F94" s="83"/>
      <c r="G94" s="83"/>
      <c r="H94" s="246"/>
      <c r="I94" s="433"/>
      <c r="J94" s="254">
        <f>IF(ISBLANK(I94),0,ROUNDUP(D94/10,0)-E94-H94-F94-G94+VLOOKUP($D$2,Calcs!$A$23:$B$27,2,FALSE)+I94)</f>
        <v>0</v>
      </c>
      <c r="K94" s="245" t="str">
        <f>IF(ISBLANK(I94)," ",VLOOKUP(J94,Calcs!$A$82:$H$106,2,TRUE))</f>
        <v xml:space="preserve"> </v>
      </c>
      <c r="L94" s="245">
        <f>IF(ISBLANK(I94),0,VLOOKUP(J94,Calcs!$A$82:$F$106,5,TRUE))</f>
        <v>0</v>
      </c>
      <c r="M94" s="208">
        <f>IF(J94=13,IF(ISNUMBER(W93),VLOOKUP(W93+1,Calcs!$O$4:$Q$24,3,TRUE)-V93,5),IF(J94&lt;10,0,IF(J94&lt;18,1,IF(J94&lt;22,2,IF(ISNUMBER(W93),VLOOKUP(W93+1,Calcs!$O$4:$Q$24,3,TRUE)-V93,5)))))</f>
        <v>0</v>
      </c>
      <c r="N94" s="245" t="str">
        <f t="shared" si="9"/>
        <v xml:space="preserve"> </v>
      </c>
      <c r="O94" s="245" t="str">
        <f t="shared" si="9"/>
        <v xml:space="preserve"> </v>
      </c>
      <c r="P94" s="245" t="str">
        <f t="shared" si="9"/>
        <v xml:space="preserve"> </v>
      </c>
      <c r="Q94" s="245" t="str">
        <f t="shared" ref="N94:U129" si="15">IF(ISERROR(FIND(Q$9,$K94))," ",1)</f>
        <v xml:space="preserve"> </v>
      </c>
      <c r="R94" s="245" t="str">
        <f t="shared" si="15"/>
        <v xml:space="preserve"> </v>
      </c>
      <c r="S94" s="245" t="str">
        <f t="shared" si="15"/>
        <v xml:space="preserve"> </v>
      </c>
      <c r="T94" s="245" t="str">
        <f t="shared" si="15"/>
        <v xml:space="preserve"> </v>
      </c>
      <c r="U94" s="245" t="str">
        <f t="shared" si="8"/>
        <v xml:space="preserve"> </v>
      </c>
      <c r="V94" s="208">
        <f>SUM($N$10:$U94)</f>
        <v>0</v>
      </c>
      <c r="W94" s="208">
        <f>VLOOKUP(V94,Calcs!$Q$4:$R$24,2,TRUE)</f>
        <v>0</v>
      </c>
      <c r="X94" s="435" t="str">
        <f t="shared" si="12"/>
        <v>No</v>
      </c>
      <c r="Y94" s="436"/>
      <c r="Z94" s="435">
        <f t="shared" si="13"/>
        <v>0</v>
      </c>
      <c r="AA94" s="245" t="str">
        <f>IF(AND(X94="Yes",NOT(ISBLANK(Z94))),VLOOKUP(Z94,Calcs!$Y$48:$Z$57,2,TRUE)," ")</f>
        <v xml:space="preserve"> </v>
      </c>
    </row>
    <row r="95" spans="1:27" x14ac:dyDescent="0.2">
      <c r="A95" s="425">
        <f t="shared" si="14"/>
        <v>121</v>
      </c>
      <c r="B95" s="425" t="str">
        <f t="shared" si="10"/>
        <v>Winter</v>
      </c>
      <c r="C95" s="247">
        <f>IF(B95="Winter",A95-('Start Character'!$K$6)-1,IF('Start Character'!$K$7&gt;6,A95-('Start Character'!$K$6)-1,A95-('Start Character'!$K$6)))</f>
        <v>120</v>
      </c>
      <c r="D95" s="247">
        <f t="shared" si="11"/>
        <v>120</v>
      </c>
      <c r="E95" s="246"/>
      <c r="F95" s="83"/>
      <c r="G95" s="83"/>
      <c r="H95" s="246"/>
      <c r="I95" s="433"/>
      <c r="J95" s="254">
        <f>IF(ISBLANK(I95),0,ROUNDUP(D95/10,0)-E95-H95-F95-G95+VLOOKUP($D$2,Calcs!$A$23:$B$27,2,FALSE)+I95)</f>
        <v>0</v>
      </c>
      <c r="K95" s="245" t="str">
        <f>IF(ISBLANK(I95)," ",VLOOKUP(J95,Calcs!$A$82:$H$106,2,TRUE))</f>
        <v xml:space="preserve"> </v>
      </c>
      <c r="L95" s="245">
        <f>IF(ISBLANK(I95),0,VLOOKUP(J95,Calcs!$A$82:$F$106,5,TRUE))</f>
        <v>0</v>
      </c>
      <c r="M95" s="208">
        <f>IF(J95=13,IF(ISNUMBER(W94),VLOOKUP(W94+1,Calcs!$O$4:$Q$24,3,TRUE)-V94,5),IF(J95&lt;10,0,IF(J95&lt;18,1,IF(J95&lt;22,2,IF(ISNUMBER(W94),VLOOKUP(W94+1,Calcs!$O$4:$Q$24,3,TRUE)-V94,5)))))</f>
        <v>0</v>
      </c>
      <c r="N95" s="245" t="str">
        <f t="shared" si="15"/>
        <v xml:space="preserve"> </v>
      </c>
      <c r="O95" s="245" t="str">
        <f t="shared" si="15"/>
        <v xml:space="preserve"> </v>
      </c>
      <c r="P95" s="245" t="str">
        <f t="shared" si="15"/>
        <v xml:space="preserve"> </v>
      </c>
      <c r="Q95" s="245" t="str">
        <f t="shared" si="15"/>
        <v xml:space="preserve"> </v>
      </c>
      <c r="R95" s="245" t="str">
        <f t="shared" si="15"/>
        <v xml:space="preserve"> </v>
      </c>
      <c r="S95" s="245" t="str">
        <f t="shared" si="15"/>
        <v xml:space="preserve"> </v>
      </c>
      <c r="T95" s="245" t="str">
        <f t="shared" si="15"/>
        <v xml:space="preserve"> </v>
      </c>
      <c r="U95" s="245" t="str">
        <f t="shared" si="8"/>
        <v xml:space="preserve"> </v>
      </c>
      <c r="V95" s="208">
        <f>SUM($N$10:$U95)</f>
        <v>0</v>
      </c>
      <c r="W95" s="208">
        <f>VLOOKUP(V95,Calcs!$Q$4:$R$24,2,TRUE)</f>
        <v>0</v>
      </c>
      <c r="X95" s="435" t="str">
        <f t="shared" si="12"/>
        <v>No</v>
      </c>
      <c r="Y95" s="436"/>
      <c r="Z95" s="435">
        <f t="shared" si="13"/>
        <v>0</v>
      </c>
      <c r="AA95" s="245" t="str">
        <f>IF(AND(X95="Yes",NOT(ISBLANK(Z95))),VLOOKUP(Z95,Calcs!$Y$48:$Z$57,2,TRUE)," ")</f>
        <v xml:space="preserve"> </v>
      </c>
    </row>
    <row r="96" spans="1:27" x14ac:dyDescent="0.2">
      <c r="A96" s="425">
        <f t="shared" si="14"/>
        <v>122</v>
      </c>
      <c r="B96" s="425" t="str">
        <f t="shared" si="10"/>
        <v>Winter</v>
      </c>
      <c r="C96" s="247">
        <f>IF(B96="Winter",A96-('Start Character'!$K$6)-1,IF('Start Character'!$K$7&gt;6,A96-('Start Character'!$K$6)-1,A96-('Start Character'!$K$6)))</f>
        <v>121</v>
      </c>
      <c r="D96" s="247">
        <f t="shared" si="11"/>
        <v>121</v>
      </c>
      <c r="E96" s="246"/>
      <c r="F96" s="83"/>
      <c r="G96" s="83"/>
      <c r="H96" s="246"/>
      <c r="I96" s="433"/>
      <c r="J96" s="254">
        <f>IF(ISBLANK(I96),0,ROUNDUP(D96/10,0)-E96-H96-F96-G96+VLOOKUP($D$2,Calcs!$A$23:$B$27,2,FALSE)+I96)</f>
        <v>0</v>
      </c>
      <c r="K96" s="245" t="str">
        <f>IF(ISBLANK(I96)," ",VLOOKUP(J96,Calcs!$A$82:$H$106,2,TRUE))</f>
        <v xml:space="preserve"> </v>
      </c>
      <c r="L96" s="245">
        <f>IF(ISBLANK(I96),0,VLOOKUP(J96,Calcs!$A$82:$F$106,5,TRUE))</f>
        <v>0</v>
      </c>
      <c r="M96" s="208">
        <f>IF(J96=13,IF(ISNUMBER(W95),VLOOKUP(W95+1,Calcs!$O$4:$Q$24,3,TRUE)-V95,5),IF(J96&lt;10,0,IF(J96&lt;18,1,IF(J96&lt;22,2,IF(ISNUMBER(W95),VLOOKUP(W95+1,Calcs!$O$4:$Q$24,3,TRUE)-V95,5)))))</f>
        <v>0</v>
      </c>
      <c r="N96" s="245" t="str">
        <f t="shared" si="15"/>
        <v xml:space="preserve"> </v>
      </c>
      <c r="O96" s="245" t="str">
        <f t="shared" si="15"/>
        <v xml:space="preserve"> </v>
      </c>
      <c r="P96" s="245" t="str">
        <f t="shared" si="15"/>
        <v xml:space="preserve"> </v>
      </c>
      <c r="Q96" s="245" t="str">
        <f t="shared" si="15"/>
        <v xml:space="preserve"> </v>
      </c>
      <c r="R96" s="245" t="str">
        <f t="shared" si="15"/>
        <v xml:space="preserve"> </v>
      </c>
      <c r="S96" s="245" t="str">
        <f t="shared" si="15"/>
        <v xml:space="preserve"> </v>
      </c>
      <c r="T96" s="245" t="str">
        <f t="shared" si="15"/>
        <v xml:space="preserve"> </v>
      </c>
      <c r="U96" s="245" t="str">
        <f t="shared" si="8"/>
        <v xml:space="preserve"> </v>
      </c>
      <c r="V96" s="208">
        <f>SUM($N$10:$U96)</f>
        <v>0</v>
      </c>
      <c r="W96" s="208">
        <f>VLOOKUP(V96,Calcs!$Q$4:$R$24,2,TRUE)</f>
        <v>0</v>
      </c>
      <c r="X96" s="435" t="str">
        <f t="shared" si="12"/>
        <v>No</v>
      </c>
      <c r="Y96" s="436"/>
      <c r="Z96" s="435">
        <f t="shared" si="13"/>
        <v>0</v>
      </c>
      <c r="AA96" s="245" t="str">
        <f>IF(AND(X96="Yes",NOT(ISBLANK(Z96))),VLOOKUP(Z96,Calcs!$Y$48:$Z$57,2,TRUE)," ")</f>
        <v xml:space="preserve"> </v>
      </c>
    </row>
    <row r="97" spans="1:27" x14ac:dyDescent="0.2">
      <c r="A97" s="425">
        <f t="shared" si="14"/>
        <v>123</v>
      </c>
      <c r="B97" s="425" t="str">
        <f t="shared" si="10"/>
        <v>Winter</v>
      </c>
      <c r="C97" s="247">
        <f>IF(B97="Winter",A97-('Start Character'!$K$6)-1,IF('Start Character'!$K$7&gt;6,A97-('Start Character'!$K$6)-1,A97-('Start Character'!$K$6)))</f>
        <v>122</v>
      </c>
      <c r="D97" s="247">
        <f t="shared" si="11"/>
        <v>122</v>
      </c>
      <c r="E97" s="246"/>
      <c r="F97" s="83"/>
      <c r="G97" s="83"/>
      <c r="H97" s="246"/>
      <c r="I97" s="433"/>
      <c r="J97" s="254">
        <f>IF(ISBLANK(I97),0,ROUNDUP(D97/10,0)-E97-H97-F97-G97+VLOOKUP($D$2,Calcs!$A$23:$B$27,2,FALSE)+I97)</f>
        <v>0</v>
      </c>
      <c r="K97" s="245" t="str">
        <f>IF(ISBLANK(I97)," ",VLOOKUP(J97,Calcs!$A$82:$H$106,2,TRUE))</f>
        <v xml:space="preserve"> </v>
      </c>
      <c r="L97" s="245">
        <f>IF(ISBLANK(I97),0,VLOOKUP(J97,Calcs!$A$82:$F$106,5,TRUE))</f>
        <v>0</v>
      </c>
      <c r="M97" s="208">
        <f>IF(J97=13,IF(ISNUMBER(W96),VLOOKUP(W96+1,Calcs!$O$4:$Q$24,3,TRUE)-V96,5),IF(J97&lt;10,0,IF(J97&lt;18,1,IF(J97&lt;22,2,IF(ISNUMBER(W96),VLOOKUP(W96+1,Calcs!$O$4:$Q$24,3,TRUE)-V96,5)))))</f>
        <v>0</v>
      </c>
      <c r="N97" s="245" t="str">
        <f t="shared" si="15"/>
        <v xml:space="preserve"> </v>
      </c>
      <c r="O97" s="245" t="str">
        <f t="shared" si="15"/>
        <v xml:space="preserve"> </v>
      </c>
      <c r="P97" s="245" t="str">
        <f t="shared" si="15"/>
        <v xml:space="preserve"> </v>
      </c>
      <c r="Q97" s="245" t="str">
        <f t="shared" si="15"/>
        <v xml:space="preserve"> </v>
      </c>
      <c r="R97" s="245" t="str">
        <f t="shared" si="15"/>
        <v xml:space="preserve"> </v>
      </c>
      <c r="S97" s="245" t="str">
        <f t="shared" si="15"/>
        <v xml:space="preserve"> </v>
      </c>
      <c r="T97" s="245" t="str">
        <f t="shared" si="15"/>
        <v xml:space="preserve"> </v>
      </c>
      <c r="U97" s="245" t="str">
        <f t="shared" si="8"/>
        <v xml:space="preserve"> </v>
      </c>
      <c r="V97" s="208">
        <f>SUM($N$10:$U97)</f>
        <v>0</v>
      </c>
      <c r="W97" s="208">
        <f>VLOOKUP(V97,Calcs!$Q$4:$R$24,2,TRUE)</f>
        <v>0</v>
      </c>
      <c r="X97" s="435" t="str">
        <f t="shared" si="12"/>
        <v>No</v>
      </c>
      <c r="Y97" s="436"/>
      <c r="Z97" s="435">
        <f t="shared" si="13"/>
        <v>0</v>
      </c>
      <c r="AA97" s="245" t="str">
        <f>IF(AND(X97="Yes",NOT(ISBLANK(Z97))),VLOOKUP(Z97,Calcs!$Y$48:$Z$57,2,TRUE)," ")</f>
        <v xml:space="preserve"> </v>
      </c>
    </row>
    <row r="98" spans="1:27" x14ac:dyDescent="0.2">
      <c r="A98" s="425">
        <f t="shared" si="14"/>
        <v>124</v>
      </c>
      <c r="B98" s="425" t="str">
        <f t="shared" si="10"/>
        <v>Winter</v>
      </c>
      <c r="C98" s="247">
        <f>IF(B98="Winter",A98-('Start Character'!$K$6)-1,IF('Start Character'!$K$7&gt;6,A98-('Start Character'!$K$6)-1,A98-('Start Character'!$K$6)))</f>
        <v>123</v>
      </c>
      <c r="D98" s="247">
        <f t="shared" si="11"/>
        <v>123</v>
      </c>
      <c r="E98" s="246"/>
      <c r="F98" s="83"/>
      <c r="G98" s="83"/>
      <c r="H98" s="246"/>
      <c r="I98" s="433"/>
      <c r="J98" s="254">
        <f>IF(ISBLANK(I98),0,ROUNDUP(D98/10,0)-E98-H98-F98-G98+VLOOKUP($D$2,Calcs!$A$23:$B$27,2,FALSE)+I98)</f>
        <v>0</v>
      </c>
      <c r="K98" s="245" t="str">
        <f>IF(ISBLANK(I98)," ",VLOOKUP(J98,Calcs!$A$82:$H$106,2,TRUE))</f>
        <v xml:space="preserve"> </v>
      </c>
      <c r="L98" s="245">
        <f>IF(ISBLANK(I98),0,VLOOKUP(J98,Calcs!$A$82:$F$106,5,TRUE))</f>
        <v>0</v>
      </c>
      <c r="M98" s="208">
        <f>IF(J98=13,IF(ISNUMBER(W97),VLOOKUP(W97+1,Calcs!$O$4:$Q$24,3,TRUE)-V97,5),IF(J98&lt;10,0,IF(J98&lt;18,1,IF(J98&lt;22,2,IF(ISNUMBER(W97),VLOOKUP(W97+1,Calcs!$O$4:$Q$24,3,TRUE)-V97,5)))))</f>
        <v>0</v>
      </c>
      <c r="N98" s="245" t="str">
        <f t="shared" si="15"/>
        <v xml:space="preserve"> </v>
      </c>
      <c r="O98" s="245" t="str">
        <f t="shared" si="15"/>
        <v xml:space="preserve"> </v>
      </c>
      <c r="P98" s="245" t="str">
        <f t="shared" si="15"/>
        <v xml:space="preserve"> </v>
      </c>
      <c r="Q98" s="245" t="str">
        <f t="shared" si="15"/>
        <v xml:space="preserve"> </v>
      </c>
      <c r="R98" s="245" t="str">
        <f t="shared" si="15"/>
        <v xml:space="preserve"> </v>
      </c>
      <c r="S98" s="245" t="str">
        <f t="shared" si="15"/>
        <v xml:space="preserve"> </v>
      </c>
      <c r="T98" s="245" t="str">
        <f t="shared" si="15"/>
        <v xml:space="preserve"> </v>
      </c>
      <c r="U98" s="245" t="str">
        <f t="shared" si="8"/>
        <v xml:space="preserve"> </v>
      </c>
      <c r="V98" s="208">
        <f>SUM($N$10:$U98)</f>
        <v>0</v>
      </c>
      <c r="W98" s="208">
        <f>VLOOKUP(V98,Calcs!$Q$4:$R$24,2,TRUE)</f>
        <v>0</v>
      </c>
      <c r="X98" s="435" t="str">
        <f t="shared" si="12"/>
        <v>No</v>
      </c>
      <c r="Y98" s="436"/>
      <c r="Z98" s="435">
        <f t="shared" si="13"/>
        <v>0</v>
      </c>
      <c r="AA98" s="245" t="str">
        <f>IF(AND(X98="Yes",NOT(ISBLANK(Z98))),VLOOKUP(Z98,Calcs!$Y$48:$Z$57,2,TRUE)," ")</f>
        <v xml:space="preserve"> </v>
      </c>
    </row>
    <row r="99" spans="1:27" x14ac:dyDescent="0.2">
      <c r="A99" s="425">
        <f t="shared" si="14"/>
        <v>125</v>
      </c>
      <c r="B99" s="425" t="str">
        <f t="shared" si="10"/>
        <v>Winter</v>
      </c>
      <c r="C99" s="247">
        <f>IF(B99="Winter",A99-('Start Character'!$K$6)-1,IF('Start Character'!$K$7&gt;6,A99-('Start Character'!$K$6)-1,A99-('Start Character'!$K$6)))</f>
        <v>124</v>
      </c>
      <c r="D99" s="247">
        <f t="shared" si="11"/>
        <v>124</v>
      </c>
      <c r="E99" s="246"/>
      <c r="F99" s="83"/>
      <c r="G99" s="83"/>
      <c r="H99" s="246"/>
      <c r="I99" s="433"/>
      <c r="J99" s="254">
        <f>IF(ISBLANK(I99),0,ROUNDUP(D99/10,0)-E99-H99-F99-G99+VLOOKUP($D$2,Calcs!$A$23:$B$27,2,FALSE)+I99)</f>
        <v>0</v>
      </c>
      <c r="K99" s="245" t="str">
        <f>IF(ISBLANK(I99)," ",VLOOKUP(J99,Calcs!$A$82:$H$106,2,TRUE))</f>
        <v xml:space="preserve"> </v>
      </c>
      <c r="L99" s="245">
        <f>IF(ISBLANK(I99),0,VLOOKUP(J99,Calcs!$A$82:$F$106,5,TRUE))</f>
        <v>0</v>
      </c>
      <c r="M99" s="208">
        <f>IF(J99=13,IF(ISNUMBER(W98),VLOOKUP(W98+1,Calcs!$O$4:$Q$24,3,TRUE)-V98,5),IF(J99&lt;10,0,IF(J99&lt;18,1,IF(J99&lt;22,2,IF(ISNUMBER(W98),VLOOKUP(W98+1,Calcs!$O$4:$Q$24,3,TRUE)-V98,5)))))</f>
        <v>0</v>
      </c>
      <c r="N99" s="245" t="str">
        <f t="shared" si="15"/>
        <v xml:space="preserve"> </v>
      </c>
      <c r="O99" s="245" t="str">
        <f t="shared" si="15"/>
        <v xml:space="preserve"> </v>
      </c>
      <c r="P99" s="245" t="str">
        <f t="shared" si="15"/>
        <v xml:space="preserve"> </v>
      </c>
      <c r="Q99" s="245" t="str">
        <f t="shared" si="15"/>
        <v xml:space="preserve"> </v>
      </c>
      <c r="R99" s="245" t="str">
        <f t="shared" si="15"/>
        <v xml:space="preserve"> </v>
      </c>
      <c r="S99" s="245" t="str">
        <f t="shared" si="15"/>
        <v xml:space="preserve"> </v>
      </c>
      <c r="T99" s="245" t="str">
        <f t="shared" si="15"/>
        <v xml:space="preserve"> </v>
      </c>
      <c r="U99" s="245" t="str">
        <f t="shared" si="8"/>
        <v xml:space="preserve"> </v>
      </c>
      <c r="V99" s="208">
        <f>SUM($N$10:$U99)</f>
        <v>0</v>
      </c>
      <c r="W99" s="208">
        <f>VLOOKUP(V99,Calcs!$Q$4:$R$24,2,TRUE)</f>
        <v>0</v>
      </c>
      <c r="X99" s="435" t="str">
        <f t="shared" si="12"/>
        <v>No</v>
      </c>
      <c r="Y99" s="436"/>
      <c r="Z99" s="435">
        <f t="shared" si="13"/>
        <v>0</v>
      </c>
      <c r="AA99" s="245" t="str">
        <f>IF(AND(X99="Yes",NOT(ISBLANK(Z99))),VLOOKUP(Z99,Calcs!$Y$48:$Z$57,2,TRUE)," ")</f>
        <v xml:space="preserve"> </v>
      </c>
    </row>
    <row r="100" spans="1:27" x14ac:dyDescent="0.2">
      <c r="A100" s="425">
        <f t="shared" si="14"/>
        <v>126</v>
      </c>
      <c r="B100" s="425" t="str">
        <f t="shared" si="10"/>
        <v>Winter</v>
      </c>
      <c r="C100" s="247">
        <f>IF(B100="Winter",A100-('Start Character'!$K$6)-1,IF('Start Character'!$K$7&gt;6,A100-('Start Character'!$K$6)-1,A100-('Start Character'!$K$6)))</f>
        <v>125</v>
      </c>
      <c r="D100" s="247">
        <f t="shared" si="11"/>
        <v>125</v>
      </c>
      <c r="E100" s="246"/>
      <c r="F100" s="83"/>
      <c r="G100" s="83"/>
      <c r="H100" s="246"/>
      <c r="I100" s="433"/>
      <c r="J100" s="254">
        <f>IF(ISBLANK(I100),0,ROUNDUP(D100/10,0)-E100-H100-F100-G100+VLOOKUP($D$2,Calcs!$A$23:$B$27,2,FALSE)+I100)</f>
        <v>0</v>
      </c>
      <c r="K100" s="245" t="str">
        <f>IF(ISBLANK(I100)," ",VLOOKUP(J100,Calcs!$A$82:$H$106,2,TRUE))</f>
        <v xml:space="preserve"> </v>
      </c>
      <c r="L100" s="245">
        <f>IF(ISBLANK(I100),0,VLOOKUP(J100,Calcs!$A$82:$F$106,5,TRUE))</f>
        <v>0</v>
      </c>
      <c r="M100" s="208">
        <f>IF(J100=13,IF(ISNUMBER(W99),VLOOKUP(W99+1,Calcs!$O$4:$Q$24,3,TRUE)-V99,5),IF(J100&lt;10,0,IF(J100&lt;18,1,IF(J100&lt;22,2,IF(ISNUMBER(W99),VLOOKUP(W99+1,Calcs!$O$4:$Q$24,3,TRUE)-V99,5)))))</f>
        <v>0</v>
      </c>
      <c r="N100" s="245" t="str">
        <f t="shared" si="15"/>
        <v xml:space="preserve"> </v>
      </c>
      <c r="O100" s="245" t="str">
        <f t="shared" si="15"/>
        <v xml:space="preserve"> </v>
      </c>
      <c r="P100" s="245" t="str">
        <f t="shared" si="15"/>
        <v xml:space="preserve"> </v>
      </c>
      <c r="Q100" s="245" t="str">
        <f t="shared" si="15"/>
        <v xml:space="preserve"> </v>
      </c>
      <c r="R100" s="245" t="str">
        <f t="shared" si="15"/>
        <v xml:space="preserve"> </v>
      </c>
      <c r="S100" s="245" t="str">
        <f t="shared" si="15"/>
        <v xml:space="preserve"> </v>
      </c>
      <c r="T100" s="245" t="str">
        <f t="shared" si="15"/>
        <v xml:space="preserve"> </v>
      </c>
      <c r="U100" s="245" t="str">
        <f t="shared" si="8"/>
        <v xml:space="preserve"> </v>
      </c>
      <c r="V100" s="208">
        <f>SUM($N$10:$U100)</f>
        <v>0</v>
      </c>
      <c r="W100" s="208">
        <f>VLOOKUP(V100,Calcs!$Q$4:$R$24,2,TRUE)</f>
        <v>0</v>
      </c>
      <c r="X100" s="435" t="str">
        <f t="shared" si="12"/>
        <v>No</v>
      </c>
      <c r="Y100" s="436"/>
      <c r="Z100" s="435">
        <f t="shared" si="13"/>
        <v>0</v>
      </c>
      <c r="AA100" s="245" t="str">
        <f>IF(AND(X100="Yes",NOT(ISBLANK(Z100))),VLOOKUP(Z100,Calcs!$Y$48:$Z$57,2,TRUE)," ")</f>
        <v xml:space="preserve"> </v>
      </c>
    </row>
    <row r="101" spans="1:27" x14ac:dyDescent="0.2">
      <c r="A101" s="425">
        <f t="shared" si="14"/>
        <v>127</v>
      </c>
      <c r="B101" s="425" t="str">
        <f t="shared" si="10"/>
        <v>Winter</v>
      </c>
      <c r="C101" s="247">
        <f>IF(B101="Winter",A101-('Start Character'!$K$6)-1,IF('Start Character'!$K$7&gt;6,A101-('Start Character'!$K$6)-1,A101-('Start Character'!$K$6)))</f>
        <v>126</v>
      </c>
      <c r="D101" s="247">
        <f t="shared" si="11"/>
        <v>126</v>
      </c>
      <c r="E101" s="246"/>
      <c r="F101" s="83"/>
      <c r="G101" s="83"/>
      <c r="H101" s="246"/>
      <c r="I101" s="433"/>
      <c r="J101" s="254">
        <f>IF(ISBLANK(I101),0,ROUNDUP(D101/10,0)-E101-H101-F101-G101+VLOOKUP($D$2,Calcs!$A$23:$B$27,2,FALSE)+I101)</f>
        <v>0</v>
      </c>
      <c r="K101" s="245" t="str">
        <f>IF(ISBLANK(I101)," ",VLOOKUP(J101,Calcs!$A$82:$H$106,2,TRUE))</f>
        <v xml:space="preserve"> </v>
      </c>
      <c r="L101" s="245">
        <f>IF(ISBLANK(I101),0,VLOOKUP(J101,Calcs!$A$82:$F$106,5,TRUE))</f>
        <v>0</v>
      </c>
      <c r="M101" s="208">
        <f>IF(J101=13,IF(ISNUMBER(W100),VLOOKUP(W100+1,Calcs!$O$4:$Q$24,3,TRUE)-V100,5),IF(J101&lt;10,0,IF(J101&lt;18,1,IF(J101&lt;22,2,IF(ISNUMBER(W100),VLOOKUP(W100+1,Calcs!$O$4:$Q$24,3,TRUE)-V100,5)))))</f>
        <v>0</v>
      </c>
      <c r="N101" s="245" t="str">
        <f t="shared" si="15"/>
        <v xml:space="preserve"> </v>
      </c>
      <c r="O101" s="245" t="str">
        <f t="shared" si="15"/>
        <v xml:space="preserve"> </v>
      </c>
      <c r="P101" s="245" t="str">
        <f t="shared" si="15"/>
        <v xml:space="preserve"> </v>
      </c>
      <c r="Q101" s="245" t="str">
        <f t="shared" si="15"/>
        <v xml:space="preserve"> </v>
      </c>
      <c r="R101" s="245" t="str">
        <f t="shared" si="15"/>
        <v xml:space="preserve"> </v>
      </c>
      <c r="S101" s="245" t="str">
        <f t="shared" si="15"/>
        <v xml:space="preserve"> </v>
      </c>
      <c r="T101" s="245" t="str">
        <f t="shared" si="15"/>
        <v xml:space="preserve"> </v>
      </c>
      <c r="U101" s="245" t="str">
        <f t="shared" si="8"/>
        <v xml:space="preserve"> </v>
      </c>
      <c r="V101" s="208">
        <f>SUM($N$10:$U101)</f>
        <v>0</v>
      </c>
      <c r="W101" s="208">
        <f>VLOOKUP(V101,Calcs!$Q$4:$R$24,2,TRUE)</f>
        <v>0</v>
      </c>
      <c r="X101" s="435" t="str">
        <f t="shared" si="12"/>
        <v>No</v>
      </c>
      <c r="Y101" s="436"/>
      <c r="Z101" s="435">
        <f t="shared" si="13"/>
        <v>0</v>
      </c>
      <c r="AA101" s="245" t="str">
        <f>IF(AND(X101="Yes",NOT(ISBLANK(Z101))),VLOOKUP(Z101,Calcs!$Y$48:$Z$57,2,TRUE)," ")</f>
        <v xml:space="preserve"> </v>
      </c>
    </row>
    <row r="102" spans="1:27" x14ac:dyDescent="0.2">
      <c r="A102" s="425">
        <f t="shared" si="14"/>
        <v>128</v>
      </c>
      <c r="B102" s="425" t="str">
        <f t="shared" si="10"/>
        <v>Winter</v>
      </c>
      <c r="C102" s="247">
        <f>IF(B102="Winter",A102-('Start Character'!$K$6)-1,IF('Start Character'!$K$7&gt;6,A102-('Start Character'!$K$6)-1,A102-('Start Character'!$K$6)))</f>
        <v>127</v>
      </c>
      <c r="D102" s="247">
        <f t="shared" si="11"/>
        <v>127</v>
      </c>
      <c r="E102" s="246"/>
      <c r="F102" s="83"/>
      <c r="G102" s="83"/>
      <c r="H102" s="246"/>
      <c r="I102" s="433"/>
      <c r="J102" s="254">
        <f>IF(ISBLANK(I102),0,ROUNDUP(D102/10,0)-E102-H102-F102-G102+VLOOKUP($D$2,Calcs!$A$23:$B$27,2,FALSE)+I102)</f>
        <v>0</v>
      </c>
      <c r="K102" s="245" t="str">
        <f>IF(ISBLANK(I102)," ",VLOOKUP(J102,Calcs!$A$82:$H$106,2,TRUE))</f>
        <v xml:space="preserve"> </v>
      </c>
      <c r="L102" s="245">
        <f>IF(ISBLANK(I102),0,VLOOKUP(J102,Calcs!$A$82:$F$106,5,TRUE))</f>
        <v>0</v>
      </c>
      <c r="M102" s="208">
        <f>IF(J102=13,IF(ISNUMBER(W101),VLOOKUP(W101+1,Calcs!$O$4:$Q$24,3,TRUE)-V101,5),IF(J102&lt;10,0,IF(J102&lt;18,1,IF(J102&lt;22,2,IF(ISNUMBER(W101),VLOOKUP(W101+1,Calcs!$O$4:$Q$24,3,TRUE)-V101,5)))))</f>
        <v>0</v>
      </c>
      <c r="N102" s="245" t="str">
        <f t="shared" si="15"/>
        <v xml:space="preserve"> </v>
      </c>
      <c r="O102" s="245" t="str">
        <f t="shared" si="15"/>
        <v xml:space="preserve"> </v>
      </c>
      <c r="P102" s="245" t="str">
        <f t="shared" si="15"/>
        <v xml:space="preserve"> </v>
      </c>
      <c r="Q102" s="245" t="str">
        <f t="shared" si="15"/>
        <v xml:space="preserve"> </v>
      </c>
      <c r="R102" s="245" t="str">
        <f t="shared" si="15"/>
        <v xml:space="preserve"> </v>
      </c>
      <c r="S102" s="245" t="str">
        <f t="shared" si="15"/>
        <v xml:space="preserve"> </v>
      </c>
      <c r="T102" s="245" t="str">
        <f t="shared" si="15"/>
        <v xml:space="preserve"> </v>
      </c>
      <c r="U102" s="245" t="str">
        <f t="shared" si="8"/>
        <v xml:space="preserve"> </v>
      </c>
      <c r="V102" s="208">
        <f>SUM($N$10:$U102)</f>
        <v>0</v>
      </c>
      <c r="W102" s="208">
        <f>VLOOKUP(V102,Calcs!$Q$4:$R$24,2,TRUE)</f>
        <v>0</v>
      </c>
      <c r="X102" s="435" t="str">
        <f t="shared" si="12"/>
        <v>No</v>
      </c>
      <c r="Y102" s="436"/>
      <c r="Z102" s="435">
        <f t="shared" si="13"/>
        <v>0</v>
      </c>
      <c r="AA102" s="245" t="str">
        <f>IF(AND(X102="Yes",NOT(ISBLANK(Z102))),VLOOKUP(Z102,Calcs!$Y$48:$Z$57,2,TRUE)," ")</f>
        <v xml:space="preserve"> </v>
      </c>
    </row>
    <row r="103" spans="1:27" x14ac:dyDescent="0.2">
      <c r="A103" s="425">
        <f t="shared" si="14"/>
        <v>129</v>
      </c>
      <c r="B103" s="425" t="str">
        <f t="shared" si="10"/>
        <v>Winter</v>
      </c>
      <c r="C103" s="247">
        <f>IF(B103="Winter",A103-('Start Character'!$K$6)-1,IF('Start Character'!$K$7&gt;6,A103-('Start Character'!$K$6)-1,A103-('Start Character'!$K$6)))</f>
        <v>128</v>
      </c>
      <c r="D103" s="247">
        <f t="shared" si="11"/>
        <v>128</v>
      </c>
      <c r="E103" s="246"/>
      <c r="F103" s="83"/>
      <c r="G103" s="83"/>
      <c r="H103" s="246"/>
      <c r="I103" s="433"/>
      <c r="J103" s="254">
        <f>IF(ISBLANK(I103),0,ROUNDUP(D103/10,0)-E103-H103-F103-G103+VLOOKUP($D$2,Calcs!$A$23:$B$27,2,FALSE)+I103)</f>
        <v>0</v>
      </c>
      <c r="K103" s="245" t="str">
        <f>IF(ISBLANK(I103)," ",VLOOKUP(J103,Calcs!$A$82:$H$106,2,TRUE))</f>
        <v xml:space="preserve"> </v>
      </c>
      <c r="L103" s="245">
        <f>IF(ISBLANK(I103),0,VLOOKUP(J103,Calcs!$A$82:$F$106,5,TRUE))</f>
        <v>0</v>
      </c>
      <c r="M103" s="208">
        <f>IF(J103=13,IF(ISNUMBER(W102),VLOOKUP(W102+1,Calcs!$O$4:$Q$24,3,TRUE)-V102,5),IF(J103&lt;10,0,IF(J103&lt;18,1,IF(J103&lt;22,2,IF(ISNUMBER(W102),VLOOKUP(W102+1,Calcs!$O$4:$Q$24,3,TRUE)-V102,5)))))</f>
        <v>0</v>
      </c>
      <c r="N103" s="245" t="str">
        <f t="shared" si="15"/>
        <v xml:space="preserve"> </v>
      </c>
      <c r="O103" s="245" t="str">
        <f t="shared" si="15"/>
        <v xml:space="preserve"> </v>
      </c>
      <c r="P103" s="245" t="str">
        <f t="shared" si="15"/>
        <v xml:space="preserve"> </v>
      </c>
      <c r="Q103" s="245" t="str">
        <f t="shared" si="15"/>
        <v xml:space="preserve"> </v>
      </c>
      <c r="R103" s="245" t="str">
        <f t="shared" si="15"/>
        <v xml:space="preserve"> </v>
      </c>
      <c r="S103" s="245" t="str">
        <f t="shared" si="15"/>
        <v xml:space="preserve"> </v>
      </c>
      <c r="T103" s="245" t="str">
        <f t="shared" si="15"/>
        <v xml:space="preserve"> </v>
      </c>
      <c r="U103" s="245" t="str">
        <f t="shared" si="8"/>
        <v xml:space="preserve"> </v>
      </c>
      <c r="V103" s="208">
        <f>SUM($N$10:$U103)</f>
        <v>0</v>
      </c>
      <c r="W103" s="208">
        <f>VLOOKUP(V103,Calcs!$Q$4:$R$24,2,TRUE)</f>
        <v>0</v>
      </c>
      <c r="X103" s="435" t="str">
        <f t="shared" si="12"/>
        <v>No</v>
      </c>
      <c r="Y103" s="436"/>
      <c r="Z103" s="435">
        <f t="shared" si="13"/>
        <v>0</v>
      </c>
      <c r="AA103" s="245" t="str">
        <f>IF(AND(X103="Yes",NOT(ISBLANK(Z103))),VLOOKUP(Z103,Calcs!$Y$48:$Z$57,2,TRUE)," ")</f>
        <v xml:space="preserve"> </v>
      </c>
    </row>
    <row r="104" spans="1:27" x14ac:dyDescent="0.2">
      <c r="A104" s="425">
        <f t="shared" si="14"/>
        <v>130</v>
      </c>
      <c r="B104" s="425" t="str">
        <f t="shared" si="10"/>
        <v>Winter</v>
      </c>
      <c r="C104" s="247">
        <f>IF(B104="Winter",A104-('Start Character'!$K$6)-1,IF('Start Character'!$K$7&gt;6,A104-('Start Character'!$K$6)-1,A104-('Start Character'!$K$6)))</f>
        <v>129</v>
      </c>
      <c r="D104" s="247">
        <f t="shared" si="11"/>
        <v>129</v>
      </c>
      <c r="E104" s="246"/>
      <c r="F104" s="83"/>
      <c r="G104" s="83"/>
      <c r="H104" s="246"/>
      <c r="I104" s="433"/>
      <c r="J104" s="254">
        <f>IF(ISBLANK(I104),0,ROUNDUP(D104/10,0)-E104-H104-F104-G104+VLOOKUP($D$2,Calcs!$A$23:$B$27,2,FALSE)+I104)</f>
        <v>0</v>
      </c>
      <c r="K104" s="245" t="str">
        <f>IF(ISBLANK(I104)," ",VLOOKUP(J104,Calcs!$A$82:$H$106,2,TRUE))</f>
        <v xml:space="preserve"> </v>
      </c>
      <c r="L104" s="245">
        <f>IF(ISBLANK(I104),0,VLOOKUP(J104,Calcs!$A$82:$F$106,5,TRUE))</f>
        <v>0</v>
      </c>
      <c r="M104" s="208">
        <f>IF(J104=13,IF(ISNUMBER(W103),VLOOKUP(W103+1,Calcs!$O$4:$Q$24,3,TRUE)-V103,5),IF(J104&lt;10,0,IF(J104&lt;18,1,IF(J104&lt;22,2,IF(ISNUMBER(W103),VLOOKUP(W103+1,Calcs!$O$4:$Q$24,3,TRUE)-V103,5)))))</f>
        <v>0</v>
      </c>
      <c r="N104" s="245" t="str">
        <f t="shared" si="15"/>
        <v xml:space="preserve"> </v>
      </c>
      <c r="O104" s="245" t="str">
        <f t="shared" si="15"/>
        <v xml:space="preserve"> </v>
      </c>
      <c r="P104" s="245" t="str">
        <f t="shared" si="15"/>
        <v xml:space="preserve"> </v>
      </c>
      <c r="Q104" s="245" t="str">
        <f t="shared" si="15"/>
        <v xml:space="preserve"> </v>
      </c>
      <c r="R104" s="245" t="str">
        <f t="shared" si="15"/>
        <v xml:space="preserve"> </v>
      </c>
      <c r="S104" s="245" t="str">
        <f t="shared" si="15"/>
        <v xml:space="preserve"> </v>
      </c>
      <c r="T104" s="245" t="str">
        <f t="shared" si="15"/>
        <v xml:space="preserve"> </v>
      </c>
      <c r="U104" s="245" t="str">
        <f t="shared" si="8"/>
        <v xml:space="preserve"> </v>
      </c>
      <c r="V104" s="208">
        <f>SUM($N$10:$U104)</f>
        <v>0</v>
      </c>
      <c r="W104" s="208">
        <f>VLOOKUP(V104,Calcs!$Q$4:$R$24,2,TRUE)</f>
        <v>0</v>
      </c>
      <c r="X104" s="435" t="str">
        <f t="shared" si="12"/>
        <v>No</v>
      </c>
      <c r="Y104" s="436"/>
      <c r="Z104" s="435">
        <f t="shared" si="13"/>
        <v>0</v>
      </c>
      <c r="AA104" s="245" t="str">
        <f>IF(AND(X104="Yes",NOT(ISBLANK(Z104))),VLOOKUP(Z104,Calcs!$Y$48:$Z$57,2,TRUE)," ")</f>
        <v xml:space="preserve"> </v>
      </c>
    </row>
    <row r="105" spans="1:27" x14ac:dyDescent="0.2">
      <c r="A105" s="425">
        <f t="shared" si="14"/>
        <v>131</v>
      </c>
      <c r="B105" s="425" t="str">
        <f t="shared" si="10"/>
        <v>Winter</v>
      </c>
      <c r="C105" s="247">
        <f>IF(B105="Winter",A105-('Start Character'!$K$6)-1,IF('Start Character'!$K$7&gt;6,A105-('Start Character'!$K$6)-1,A105-('Start Character'!$K$6)))</f>
        <v>130</v>
      </c>
      <c r="D105" s="247">
        <f t="shared" si="11"/>
        <v>130</v>
      </c>
      <c r="E105" s="246"/>
      <c r="F105" s="83"/>
      <c r="G105" s="83"/>
      <c r="H105" s="246"/>
      <c r="I105" s="433"/>
      <c r="J105" s="254">
        <f>IF(ISBLANK(I105),0,ROUNDUP(D105/10,0)-E105-H105-F105-G105+VLOOKUP($D$2,Calcs!$A$23:$B$27,2,FALSE)+I105)</f>
        <v>0</v>
      </c>
      <c r="K105" s="245" t="str">
        <f>IF(ISBLANK(I105)," ",VLOOKUP(J105,Calcs!$A$82:$H$106,2,TRUE))</f>
        <v xml:space="preserve"> </v>
      </c>
      <c r="L105" s="245">
        <f>IF(ISBLANK(I105),0,VLOOKUP(J105,Calcs!$A$82:$F$106,5,TRUE))</f>
        <v>0</v>
      </c>
      <c r="M105" s="208">
        <f>IF(J105=13,IF(ISNUMBER(W104),VLOOKUP(W104+1,Calcs!$O$4:$Q$24,3,TRUE)-V104,5),IF(J105&lt;10,0,IF(J105&lt;18,1,IF(J105&lt;22,2,IF(ISNUMBER(W104),VLOOKUP(W104+1,Calcs!$O$4:$Q$24,3,TRUE)-V104,5)))))</f>
        <v>0</v>
      </c>
      <c r="N105" s="245" t="str">
        <f t="shared" si="15"/>
        <v xml:space="preserve"> </v>
      </c>
      <c r="O105" s="245" t="str">
        <f t="shared" si="15"/>
        <v xml:space="preserve"> </v>
      </c>
      <c r="P105" s="245" t="str">
        <f t="shared" si="15"/>
        <v xml:space="preserve"> </v>
      </c>
      <c r="Q105" s="245" t="str">
        <f t="shared" si="15"/>
        <v xml:space="preserve"> </v>
      </c>
      <c r="R105" s="245" t="str">
        <f t="shared" si="15"/>
        <v xml:space="preserve"> </v>
      </c>
      <c r="S105" s="245" t="str">
        <f t="shared" si="15"/>
        <v xml:space="preserve"> </v>
      </c>
      <c r="T105" s="245" t="str">
        <f t="shared" si="15"/>
        <v xml:space="preserve"> </v>
      </c>
      <c r="U105" s="245" t="str">
        <f t="shared" si="8"/>
        <v xml:space="preserve"> </v>
      </c>
      <c r="V105" s="208">
        <f>SUM($N$10:$U105)</f>
        <v>0</v>
      </c>
      <c r="W105" s="208">
        <f>VLOOKUP(V105,Calcs!$Q$4:$R$24,2,TRUE)</f>
        <v>0</v>
      </c>
      <c r="X105" s="435" t="str">
        <f t="shared" si="12"/>
        <v>No</v>
      </c>
      <c r="Y105" s="436"/>
      <c r="Z105" s="435">
        <f t="shared" si="13"/>
        <v>0</v>
      </c>
      <c r="AA105" s="245" t="str">
        <f>IF(AND(X105="Yes",NOT(ISBLANK(Z105))),VLOOKUP(Z105,Calcs!$Y$48:$Z$57,2,TRUE)," ")</f>
        <v xml:space="preserve"> </v>
      </c>
    </row>
    <row r="106" spans="1:27" x14ac:dyDescent="0.2">
      <c r="A106" s="425">
        <f t="shared" si="14"/>
        <v>132</v>
      </c>
      <c r="B106" s="425" t="str">
        <f t="shared" si="10"/>
        <v>Winter</v>
      </c>
      <c r="C106" s="247">
        <f>IF(B106="Winter",A106-('Start Character'!$K$6)-1,IF('Start Character'!$K$7&gt;6,A106-('Start Character'!$K$6)-1,A106-('Start Character'!$K$6)))</f>
        <v>131</v>
      </c>
      <c r="D106" s="247">
        <f t="shared" si="11"/>
        <v>131</v>
      </c>
      <c r="E106" s="246"/>
      <c r="F106" s="83"/>
      <c r="G106" s="83"/>
      <c r="H106" s="246"/>
      <c r="I106" s="433"/>
      <c r="J106" s="254">
        <f>IF(ISBLANK(I106),0,ROUNDUP(D106/10,0)-E106-H106-F106-G106+VLOOKUP($D$2,Calcs!$A$23:$B$27,2,FALSE)+I106)</f>
        <v>0</v>
      </c>
      <c r="K106" s="245" t="str">
        <f>IF(ISBLANK(I106)," ",VLOOKUP(J106,Calcs!$A$82:$H$106,2,TRUE))</f>
        <v xml:space="preserve"> </v>
      </c>
      <c r="L106" s="245">
        <f>IF(ISBLANK(I106),0,VLOOKUP(J106,Calcs!$A$82:$F$106,5,TRUE))</f>
        <v>0</v>
      </c>
      <c r="M106" s="208">
        <f>IF(J106=13,IF(ISNUMBER(W105),VLOOKUP(W105+1,Calcs!$O$4:$Q$24,3,TRUE)-V105,5),IF(J106&lt;10,0,IF(J106&lt;18,1,IF(J106&lt;22,2,IF(ISNUMBER(W105),VLOOKUP(W105+1,Calcs!$O$4:$Q$24,3,TRUE)-V105,5)))))</f>
        <v>0</v>
      </c>
      <c r="N106" s="245" t="str">
        <f t="shared" si="15"/>
        <v xml:space="preserve"> </v>
      </c>
      <c r="O106" s="245" t="str">
        <f t="shared" si="15"/>
        <v xml:space="preserve"> </v>
      </c>
      <c r="P106" s="245" t="str">
        <f t="shared" si="15"/>
        <v xml:space="preserve"> </v>
      </c>
      <c r="Q106" s="245" t="str">
        <f t="shared" si="15"/>
        <v xml:space="preserve"> </v>
      </c>
      <c r="R106" s="245" t="str">
        <f t="shared" si="15"/>
        <v xml:space="preserve"> </v>
      </c>
      <c r="S106" s="245" t="str">
        <f t="shared" si="15"/>
        <v xml:space="preserve"> </v>
      </c>
      <c r="T106" s="245" t="str">
        <f t="shared" si="15"/>
        <v xml:space="preserve"> </v>
      </c>
      <c r="U106" s="245" t="str">
        <f t="shared" si="8"/>
        <v xml:space="preserve"> </v>
      </c>
      <c r="V106" s="208">
        <f>SUM($N$10:$U106)</f>
        <v>0</v>
      </c>
      <c r="W106" s="208">
        <f>VLOOKUP(V106,Calcs!$Q$4:$R$24,2,TRUE)</f>
        <v>0</v>
      </c>
      <c r="X106" s="435" t="str">
        <f t="shared" si="12"/>
        <v>No</v>
      </c>
      <c r="Y106" s="436"/>
      <c r="Z106" s="435">
        <f t="shared" si="13"/>
        <v>0</v>
      </c>
      <c r="AA106" s="245" t="str">
        <f>IF(AND(X106="Yes",NOT(ISBLANK(Z106))),VLOOKUP(Z106,Calcs!$Y$48:$Z$57,2,TRUE)," ")</f>
        <v xml:space="preserve"> </v>
      </c>
    </row>
    <row r="107" spans="1:27" x14ac:dyDescent="0.2">
      <c r="A107" s="425">
        <f t="shared" si="14"/>
        <v>133</v>
      </c>
      <c r="B107" s="425" t="str">
        <f t="shared" si="10"/>
        <v>Winter</v>
      </c>
      <c r="C107" s="247">
        <f>IF(B107="Winter",A107-('Start Character'!$K$6)-1,IF('Start Character'!$K$7&gt;6,A107-('Start Character'!$K$6)-1,A107-('Start Character'!$K$6)))</f>
        <v>132</v>
      </c>
      <c r="D107" s="247">
        <f t="shared" si="11"/>
        <v>132</v>
      </c>
      <c r="E107" s="246"/>
      <c r="F107" s="83"/>
      <c r="G107" s="83"/>
      <c r="H107" s="246"/>
      <c r="I107" s="433"/>
      <c r="J107" s="254">
        <f>IF(ISBLANK(I107),0,ROUNDUP(D107/10,0)-E107-H107-F107-G107+VLOOKUP($D$2,Calcs!$A$23:$B$27,2,FALSE)+I107)</f>
        <v>0</v>
      </c>
      <c r="K107" s="245" t="str">
        <f>IF(ISBLANK(I107)," ",VLOOKUP(J107,Calcs!$A$82:$H$106,2,TRUE))</f>
        <v xml:space="preserve"> </v>
      </c>
      <c r="L107" s="245">
        <f>IF(ISBLANK(I107),0,VLOOKUP(J107,Calcs!$A$82:$F$106,5,TRUE))</f>
        <v>0</v>
      </c>
      <c r="M107" s="208">
        <f>IF(J107=13,IF(ISNUMBER(W106),VLOOKUP(W106+1,Calcs!$O$4:$Q$24,3,TRUE)-V106,5),IF(J107&lt;10,0,IF(J107&lt;18,1,IF(J107&lt;22,2,IF(ISNUMBER(W106),VLOOKUP(W106+1,Calcs!$O$4:$Q$24,3,TRUE)-V106,5)))))</f>
        <v>0</v>
      </c>
      <c r="N107" s="245" t="str">
        <f t="shared" si="15"/>
        <v xml:space="preserve"> </v>
      </c>
      <c r="O107" s="245" t="str">
        <f t="shared" si="15"/>
        <v xml:space="preserve"> </v>
      </c>
      <c r="P107" s="245" t="str">
        <f t="shared" si="15"/>
        <v xml:space="preserve"> </v>
      </c>
      <c r="Q107" s="245" t="str">
        <f t="shared" si="15"/>
        <v xml:space="preserve"> </v>
      </c>
      <c r="R107" s="245" t="str">
        <f t="shared" si="15"/>
        <v xml:space="preserve"> </v>
      </c>
      <c r="S107" s="245" t="str">
        <f t="shared" si="15"/>
        <v xml:space="preserve"> </v>
      </c>
      <c r="T107" s="245" t="str">
        <f t="shared" si="15"/>
        <v xml:space="preserve"> </v>
      </c>
      <c r="U107" s="245" t="str">
        <f t="shared" si="8"/>
        <v xml:space="preserve"> </v>
      </c>
      <c r="V107" s="208">
        <f>SUM($N$10:$U107)</f>
        <v>0</v>
      </c>
      <c r="W107" s="208">
        <f>VLOOKUP(V107,Calcs!$Q$4:$R$24,2,TRUE)</f>
        <v>0</v>
      </c>
      <c r="X107" s="435" t="str">
        <f t="shared" si="12"/>
        <v>No</v>
      </c>
      <c r="Y107" s="436"/>
      <c r="Z107" s="435">
        <f t="shared" si="13"/>
        <v>0</v>
      </c>
      <c r="AA107" s="245" t="str">
        <f>IF(AND(X107="Yes",NOT(ISBLANK(Z107))),VLOOKUP(Z107,Calcs!$Y$48:$Z$57,2,TRUE)," ")</f>
        <v xml:space="preserve"> </v>
      </c>
    </row>
    <row r="108" spans="1:27" x14ac:dyDescent="0.2">
      <c r="A108" s="425">
        <f t="shared" si="14"/>
        <v>134</v>
      </c>
      <c r="B108" s="425" t="str">
        <f t="shared" si="10"/>
        <v>Winter</v>
      </c>
      <c r="C108" s="247">
        <f>IF(B108="Winter",A108-('Start Character'!$K$6)-1,IF('Start Character'!$K$7&gt;6,A108-('Start Character'!$K$6)-1,A108-('Start Character'!$K$6)))</f>
        <v>133</v>
      </c>
      <c r="D108" s="247">
        <f t="shared" si="11"/>
        <v>133</v>
      </c>
      <c r="E108" s="246"/>
      <c r="F108" s="83"/>
      <c r="G108" s="83"/>
      <c r="H108" s="246"/>
      <c r="I108" s="433"/>
      <c r="J108" s="254">
        <f>IF(ISBLANK(I108),0,ROUNDUP(D108/10,0)-E108-H108-F108-G108+VLOOKUP($D$2,Calcs!$A$23:$B$27,2,FALSE)+I108)</f>
        <v>0</v>
      </c>
      <c r="K108" s="245" t="str">
        <f>IF(ISBLANK(I108)," ",VLOOKUP(J108,Calcs!$A$82:$H$106,2,TRUE))</f>
        <v xml:space="preserve"> </v>
      </c>
      <c r="L108" s="245">
        <f>IF(ISBLANK(I108),0,VLOOKUP(J108,Calcs!$A$82:$F$106,5,TRUE))</f>
        <v>0</v>
      </c>
      <c r="M108" s="208">
        <f>IF(J108=13,IF(ISNUMBER(W107),VLOOKUP(W107+1,Calcs!$O$4:$Q$24,3,TRUE)-V107,5),IF(J108&lt;10,0,IF(J108&lt;18,1,IF(J108&lt;22,2,IF(ISNUMBER(W107),VLOOKUP(W107+1,Calcs!$O$4:$Q$24,3,TRUE)-V107,5)))))</f>
        <v>0</v>
      </c>
      <c r="N108" s="245" t="str">
        <f t="shared" si="15"/>
        <v xml:space="preserve"> </v>
      </c>
      <c r="O108" s="245" t="str">
        <f t="shared" si="15"/>
        <v xml:space="preserve"> </v>
      </c>
      <c r="P108" s="245" t="str">
        <f t="shared" si="15"/>
        <v xml:space="preserve"> </v>
      </c>
      <c r="Q108" s="245" t="str">
        <f t="shared" si="15"/>
        <v xml:space="preserve"> </v>
      </c>
      <c r="R108" s="245" t="str">
        <f t="shared" si="15"/>
        <v xml:space="preserve"> </v>
      </c>
      <c r="S108" s="245" t="str">
        <f t="shared" si="15"/>
        <v xml:space="preserve"> </v>
      </c>
      <c r="T108" s="245" t="str">
        <f t="shared" si="15"/>
        <v xml:space="preserve"> </v>
      </c>
      <c r="U108" s="245" t="str">
        <f t="shared" si="8"/>
        <v xml:space="preserve"> </v>
      </c>
      <c r="V108" s="208">
        <f>SUM($N$10:$U108)</f>
        <v>0</v>
      </c>
      <c r="W108" s="208">
        <f>VLOOKUP(V108,Calcs!$Q$4:$R$24,2,TRUE)</f>
        <v>0</v>
      </c>
      <c r="X108" s="435" t="str">
        <f t="shared" si="12"/>
        <v>No</v>
      </c>
      <c r="Y108" s="436"/>
      <c r="Z108" s="435">
        <f t="shared" si="13"/>
        <v>0</v>
      </c>
      <c r="AA108" s="245" t="str">
        <f>IF(AND(X108="Yes",NOT(ISBLANK(Z108))),VLOOKUP(Z108,Calcs!$Y$48:$Z$57,2,TRUE)," ")</f>
        <v xml:space="preserve"> </v>
      </c>
    </row>
    <row r="109" spans="1:27" x14ac:dyDescent="0.2">
      <c r="A109" s="425">
        <f t="shared" si="14"/>
        <v>135</v>
      </c>
      <c r="B109" s="425" t="str">
        <f t="shared" si="10"/>
        <v>Winter</v>
      </c>
      <c r="C109" s="247">
        <f>IF(B109="Winter",A109-('Start Character'!$K$6)-1,IF('Start Character'!$K$7&gt;6,A109-('Start Character'!$K$6)-1,A109-('Start Character'!$K$6)))</f>
        <v>134</v>
      </c>
      <c r="D109" s="247">
        <f t="shared" si="11"/>
        <v>134</v>
      </c>
      <c r="E109" s="246"/>
      <c r="F109" s="83"/>
      <c r="G109" s="83"/>
      <c r="H109" s="246"/>
      <c r="I109" s="433"/>
      <c r="J109" s="254">
        <f>IF(ISBLANK(I109),0,ROUNDUP(D109/10,0)-E109-H109-F109-G109+VLOOKUP($D$2,Calcs!$A$23:$B$27,2,FALSE)+I109)</f>
        <v>0</v>
      </c>
      <c r="K109" s="245" t="str">
        <f>IF(ISBLANK(I109)," ",VLOOKUP(J109,Calcs!$A$82:$H$106,2,TRUE))</f>
        <v xml:space="preserve"> </v>
      </c>
      <c r="L109" s="245">
        <f>IF(ISBLANK(I109),0,VLOOKUP(J109,Calcs!$A$82:$F$106,5,TRUE))</f>
        <v>0</v>
      </c>
      <c r="M109" s="208">
        <f>IF(J109=13,IF(ISNUMBER(W108),VLOOKUP(W108+1,Calcs!$O$4:$Q$24,3,TRUE)-V108,5),IF(J109&lt;10,0,IF(J109&lt;18,1,IF(J109&lt;22,2,IF(ISNUMBER(W108),VLOOKUP(W108+1,Calcs!$O$4:$Q$24,3,TRUE)-V108,5)))))</f>
        <v>0</v>
      </c>
      <c r="N109" s="245" t="str">
        <f t="shared" si="15"/>
        <v xml:space="preserve"> </v>
      </c>
      <c r="O109" s="245" t="str">
        <f t="shared" si="15"/>
        <v xml:space="preserve"> </v>
      </c>
      <c r="P109" s="245" t="str">
        <f t="shared" si="15"/>
        <v xml:space="preserve"> </v>
      </c>
      <c r="Q109" s="245" t="str">
        <f t="shared" si="15"/>
        <v xml:space="preserve"> </v>
      </c>
      <c r="R109" s="245" t="str">
        <f t="shared" si="15"/>
        <v xml:space="preserve"> </v>
      </c>
      <c r="S109" s="245" t="str">
        <f t="shared" si="15"/>
        <v xml:space="preserve"> </v>
      </c>
      <c r="T109" s="245" t="str">
        <f t="shared" si="15"/>
        <v xml:space="preserve"> </v>
      </c>
      <c r="U109" s="245" t="str">
        <f t="shared" si="8"/>
        <v xml:space="preserve"> </v>
      </c>
      <c r="V109" s="208">
        <f>SUM($N$10:$U109)</f>
        <v>0</v>
      </c>
      <c r="W109" s="208">
        <f>VLOOKUP(V109,Calcs!$Q$4:$R$24,2,TRUE)</f>
        <v>0</v>
      </c>
      <c r="X109" s="435" t="str">
        <f t="shared" si="12"/>
        <v>No</v>
      </c>
      <c r="Y109" s="436"/>
      <c r="Z109" s="435">
        <f t="shared" si="13"/>
        <v>0</v>
      </c>
      <c r="AA109" s="245" t="str">
        <f>IF(AND(X109="Yes",NOT(ISBLANK(Z109))),VLOOKUP(Z109,Calcs!$Y$48:$Z$57,2,TRUE)," ")</f>
        <v xml:space="preserve"> </v>
      </c>
    </row>
    <row r="110" spans="1:27" x14ac:dyDescent="0.2">
      <c r="A110" s="425">
        <f t="shared" si="14"/>
        <v>136</v>
      </c>
      <c r="B110" s="425" t="str">
        <f t="shared" si="10"/>
        <v>Winter</v>
      </c>
      <c r="C110" s="247">
        <f>IF(B110="Winter",A110-('Start Character'!$K$6)-1,IF('Start Character'!$K$7&gt;6,A110-('Start Character'!$K$6)-1,A110-('Start Character'!$K$6)))</f>
        <v>135</v>
      </c>
      <c r="D110" s="247">
        <f t="shared" si="11"/>
        <v>135</v>
      </c>
      <c r="E110" s="246"/>
      <c r="F110" s="83"/>
      <c r="G110" s="83"/>
      <c r="H110" s="246"/>
      <c r="I110" s="433"/>
      <c r="J110" s="254">
        <f>IF(ISBLANK(I110),0,ROUNDUP(D110/10,0)-E110-H110-F110-G110+VLOOKUP($D$2,Calcs!$A$23:$B$27,2,FALSE)+I110)</f>
        <v>0</v>
      </c>
      <c r="K110" s="245" t="str">
        <f>IF(ISBLANK(I110)," ",VLOOKUP(J110,Calcs!$A$82:$H$106,2,TRUE))</f>
        <v xml:space="preserve"> </v>
      </c>
      <c r="L110" s="245">
        <f>IF(ISBLANK(I110),0,VLOOKUP(J110,Calcs!$A$82:$F$106,5,TRUE))</f>
        <v>0</v>
      </c>
      <c r="M110" s="208">
        <f>IF(J110=13,IF(ISNUMBER(W109),VLOOKUP(W109+1,Calcs!$O$4:$Q$24,3,TRUE)-V109,5),IF(J110&lt;10,0,IF(J110&lt;18,1,IF(J110&lt;22,2,IF(ISNUMBER(W109),VLOOKUP(W109+1,Calcs!$O$4:$Q$24,3,TRUE)-V109,5)))))</f>
        <v>0</v>
      </c>
      <c r="N110" s="245" t="str">
        <f t="shared" si="15"/>
        <v xml:space="preserve"> </v>
      </c>
      <c r="O110" s="245" t="str">
        <f t="shared" si="15"/>
        <v xml:space="preserve"> </v>
      </c>
      <c r="P110" s="245" t="str">
        <f t="shared" si="15"/>
        <v xml:space="preserve"> </v>
      </c>
      <c r="Q110" s="245" t="str">
        <f t="shared" si="15"/>
        <v xml:space="preserve"> </v>
      </c>
      <c r="R110" s="245" t="str">
        <f t="shared" si="15"/>
        <v xml:space="preserve"> </v>
      </c>
      <c r="S110" s="245" t="str">
        <f t="shared" si="15"/>
        <v xml:space="preserve"> </v>
      </c>
      <c r="T110" s="245" t="str">
        <f t="shared" si="15"/>
        <v xml:space="preserve"> </v>
      </c>
      <c r="U110" s="245" t="str">
        <f t="shared" si="8"/>
        <v xml:space="preserve"> </v>
      </c>
      <c r="V110" s="208">
        <f>SUM($N$10:$U110)</f>
        <v>0</v>
      </c>
      <c r="W110" s="208">
        <f>VLOOKUP(V110,Calcs!$Q$4:$R$24,2,TRUE)</f>
        <v>0</v>
      </c>
      <c r="X110" s="435" t="str">
        <f t="shared" si="12"/>
        <v>No</v>
      </c>
      <c r="Y110" s="436"/>
      <c r="Z110" s="435">
        <f t="shared" si="13"/>
        <v>0</v>
      </c>
      <c r="AA110" s="245" t="str">
        <f>IF(AND(X110="Yes",NOT(ISBLANK(Z110))),VLOOKUP(Z110,Calcs!$Y$48:$Z$57,2,TRUE)," ")</f>
        <v xml:space="preserve"> </v>
      </c>
    </row>
    <row r="111" spans="1:27" x14ac:dyDescent="0.2">
      <c r="A111" s="425">
        <f t="shared" si="14"/>
        <v>137</v>
      </c>
      <c r="B111" s="425" t="str">
        <f t="shared" si="10"/>
        <v>Winter</v>
      </c>
      <c r="C111" s="247">
        <f>IF(B111="Winter",A111-('Start Character'!$K$6)-1,IF('Start Character'!$K$7&gt;6,A111-('Start Character'!$K$6)-1,A111-('Start Character'!$K$6)))</f>
        <v>136</v>
      </c>
      <c r="D111" s="247">
        <f t="shared" si="11"/>
        <v>136</v>
      </c>
      <c r="E111" s="246"/>
      <c r="F111" s="83"/>
      <c r="G111" s="83"/>
      <c r="H111" s="246"/>
      <c r="I111" s="433"/>
      <c r="J111" s="254">
        <f>IF(ISBLANK(I111),0,ROUNDUP(D111/10,0)-E111-H111-F111-G111+VLOOKUP($D$2,Calcs!$A$23:$B$27,2,FALSE)+I111)</f>
        <v>0</v>
      </c>
      <c r="K111" s="245" t="str">
        <f>IF(ISBLANK(I111)," ",VLOOKUP(J111,Calcs!$A$82:$H$106,2,TRUE))</f>
        <v xml:space="preserve"> </v>
      </c>
      <c r="L111" s="245">
        <f>IF(ISBLANK(I111),0,VLOOKUP(J111,Calcs!$A$82:$F$106,5,TRUE))</f>
        <v>0</v>
      </c>
      <c r="M111" s="208">
        <f>IF(J111=13,IF(ISNUMBER(W110),VLOOKUP(W110+1,Calcs!$O$4:$Q$24,3,TRUE)-V110,5),IF(J111&lt;10,0,IF(J111&lt;18,1,IF(J111&lt;22,2,IF(ISNUMBER(W110),VLOOKUP(W110+1,Calcs!$O$4:$Q$24,3,TRUE)-V110,5)))))</f>
        <v>0</v>
      </c>
      <c r="N111" s="245" t="str">
        <f t="shared" si="15"/>
        <v xml:space="preserve"> </v>
      </c>
      <c r="O111" s="245" t="str">
        <f t="shared" si="15"/>
        <v xml:space="preserve"> </v>
      </c>
      <c r="P111" s="245" t="str">
        <f t="shared" si="15"/>
        <v xml:space="preserve"> </v>
      </c>
      <c r="Q111" s="245" t="str">
        <f t="shared" si="15"/>
        <v xml:space="preserve"> </v>
      </c>
      <c r="R111" s="245" t="str">
        <f t="shared" si="15"/>
        <v xml:space="preserve"> </v>
      </c>
      <c r="S111" s="245" t="str">
        <f t="shared" si="15"/>
        <v xml:space="preserve"> </v>
      </c>
      <c r="T111" s="245" t="str">
        <f t="shared" si="15"/>
        <v xml:space="preserve"> </v>
      </c>
      <c r="U111" s="245" t="str">
        <f t="shared" si="8"/>
        <v xml:space="preserve"> </v>
      </c>
      <c r="V111" s="208">
        <f>SUM($N$10:$U111)</f>
        <v>0</v>
      </c>
      <c r="W111" s="208">
        <f>VLOOKUP(V111,Calcs!$Q$4:$R$24,2,TRUE)</f>
        <v>0</v>
      </c>
      <c r="X111" s="435" t="str">
        <f t="shared" si="12"/>
        <v>No</v>
      </c>
      <c r="Y111" s="436"/>
      <c r="Z111" s="435">
        <f t="shared" si="13"/>
        <v>0</v>
      </c>
      <c r="AA111" s="245" t="str">
        <f>IF(AND(X111="Yes",NOT(ISBLANK(Z111))),VLOOKUP(Z111,Calcs!$Y$48:$Z$57,2,TRUE)," ")</f>
        <v xml:space="preserve"> </v>
      </c>
    </row>
    <row r="112" spans="1:27" x14ac:dyDescent="0.2">
      <c r="A112" s="425">
        <f t="shared" si="14"/>
        <v>138</v>
      </c>
      <c r="B112" s="425" t="str">
        <f t="shared" si="10"/>
        <v>Winter</v>
      </c>
      <c r="C112" s="247">
        <f>IF(B112="Winter",A112-('Start Character'!$K$6)-1,IF('Start Character'!$K$7&gt;6,A112-('Start Character'!$K$6)-1,A112-('Start Character'!$K$6)))</f>
        <v>137</v>
      </c>
      <c r="D112" s="247">
        <f t="shared" si="11"/>
        <v>137</v>
      </c>
      <c r="E112" s="246"/>
      <c r="F112" s="83"/>
      <c r="G112" s="83"/>
      <c r="H112" s="246"/>
      <c r="I112" s="433"/>
      <c r="J112" s="254">
        <f>IF(ISBLANK(I112),0,ROUNDUP(D112/10,0)-E112-H112-F112-G112+VLOOKUP($D$2,Calcs!$A$23:$B$27,2,FALSE)+I112)</f>
        <v>0</v>
      </c>
      <c r="K112" s="245" t="str">
        <f>IF(ISBLANK(I112)," ",VLOOKUP(J112,Calcs!$A$82:$H$106,2,TRUE))</f>
        <v xml:space="preserve"> </v>
      </c>
      <c r="L112" s="245">
        <f>IF(ISBLANK(I112),0,VLOOKUP(J112,Calcs!$A$82:$F$106,5,TRUE))</f>
        <v>0</v>
      </c>
      <c r="M112" s="208">
        <f>IF(J112=13,IF(ISNUMBER(W111),VLOOKUP(W111+1,Calcs!$O$4:$Q$24,3,TRUE)-V111,5),IF(J112&lt;10,0,IF(J112&lt;18,1,IF(J112&lt;22,2,IF(ISNUMBER(W111),VLOOKUP(W111+1,Calcs!$O$4:$Q$24,3,TRUE)-V111,5)))))</f>
        <v>0</v>
      </c>
      <c r="N112" s="245" t="str">
        <f t="shared" si="15"/>
        <v xml:space="preserve"> </v>
      </c>
      <c r="O112" s="245" t="str">
        <f t="shared" si="15"/>
        <v xml:space="preserve"> </v>
      </c>
      <c r="P112" s="245" t="str">
        <f t="shared" si="15"/>
        <v xml:space="preserve"> </v>
      </c>
      <c r="Q112" s="245" t="str">
        <f t="shared" si="15"/>
        <v xml:space="preserve"> </v>
      </c>
      <c r="R112" s="245" t="str">
        <f t="shared" si="15"/>
        <v xml:space="preserve"> </v>
      </c>
      <c r="S112" s="245" t="str">
        <f t="shared" si="15"/>
        <v xml:space="preserve"> </v>
      </c>
      <c r="T112" s="245" t="str">
        <f t="shared" si="15"/>
        <v xml:space="preserve"> </v>
      </c>
      <c r="U112" s="245" t="str">
        <f t="shared" si="8"/>
        <v xml:space="preserve"> </v>
      </c>
      <c r="V112" s="208">
        <f>SUM($N$10:$U112)</f>
        <v>0</v>
      </c>
      <c r="W112" s="208">
        <f>VLOOKUP(V112,Calcs!$Q$4:$R$24,2,TRUE)</f>
        <v>0</v>
      </c>
      <c r="X112" s="435" t="str">
        <f t="shared" si="12"/>
        <v>No</v>
      </c>
      <c r="Y112" s="436"/>
      <c r="Z112" s="435">
        <f t="shared" si="13"/>
        <v>0</v>
      </c>
      <c r="AA112" s="245" t="str">
        <f>IF(AND(X112="Yes",NOT(ISBLANK(Z112))),VLOOKUP(Z112,Calcs!$Y$48:$Z$57,2,TRUE)," ")</f>
        <v xml:space="preserve"> </v>
      </c>
    </row>
    <row r="113" spans="1:27" x14ac:dyDescent="0.2">
      <c r="A113" s="425">
        <f t="shared" si="14"/>
        <v>139</v>
      </c>
      <c r="B113" s="425" t="str">
        <f t="shared" si="10"/>
        <v>Winter</v>
      </c>
      <c r="C113" s="247">
        <f>IF(B113="Winter",A113-('Start Character'!$K$6)-1,IF('Start Character'!$K$7&gt;6,A113-('Start Character'!$K$6)-1,A113-('Start Character'!$K$6)))</f>
        <v>138</v>
      </c>
      <c r="D113" s="247">
        <f t="shared" si="11"/>
        <v>138</v>
      </c>
      <c r="E113" s="246"/>
      <c r="F113" s="83"/>
      <c r="G113" s="83"/>
      <c r="H113" s="246"/>
      <c r="I113" s="433"/>
      <c r="J113" s="254">
        <f>IF(ISBLANK(I113),0,ROUNDUP(D113/10,0)-E113-H113-F113-G113+VLOOKUP($D$2,Calcs!$A$23:$B$27,2,FALSE)+I113)</f>
        <v>0</v>
      </c>
      <c r="K113" s="245" t="str">
        <f>IF(ISBLANK(I113)," ",VLOOKUP(J113,Calcs!$A$82:$H$106,2,TRUE))</f>
        <v xml:space="preserve"> </v>
      </c>
      <c r="L113" s="245">
        <f>IF(ISBLANK(I113),0,VLOOKUP(J113,Calcs!$A$82:$F$106,5,TRUE))</f>
        <v>0</v>
      </c>
      <c r="M113" s="208">
        <f>IF(J113=13,IF(ISNUMBER(W112),VLOOKUP(W112+1,Calcs!$O$4:$Q$24,3,TRUE)-V112,5),IF(J113&lt;10,0,IF(J113&lt;18,1,IF(J113&lt;22,2,IF(ISNUMBER(W112),VLOOKUP(W112+1,Calcs!$O$4:$Q$24,3,TRUE)-V112,5)))))</f>
        <v>0</v>
      </c>
      <c r="N113" s="245" t="str">
        <f t="shared" si="15"/>
        <v xml:space="preserve"> </v>
      </c>
      <c r="O113" s="245" t="str">
        <f t="shared" si="15"/>
        <v xml:space="preserve"> </v>
      </c>
      <c r="P113" s="245" t="str">
        <f t="shared" si="15"/>
        <v xml:space="preserve"> </v>
      </c>
      <c r="Q113" s="245" t="str">
        <f t="shared" si="15"/>
        <v xml:space="preserve"> </v>
      </c>
      <c r="R113" s="245" t="str">
        <f t="shared" si="15"/>
        <v xml:space="preserve"> </v>
      </c>
      <c r="S113" s="245" t="str">
        <f t="shared" si="15"/>
        <v xml:space="preserve"> </v>
      </c>
      <c r="T113" s="245" t="str">
        <f t="shared" si="15"/>
        <v xml:space="preserve"> </v>
      </c>
      <c r="U113" s="245" t="str">
        <f t="shared" si="8"/>
        <v xml:space="preserve"> </v>
      </c>
      <c r="V113" s="208">
        <f>SUM($N$10:$U113)</f>
        <v>0</v>
      </c>
      <c r="W113" s="208">
        <f>VLOOKUP(V113,Calcs!$Q$4:$R$24,2,TRUE)</f>
        <v>0</v>
      </c>
      <c r="X113" s="435" t="str">
        <f t="shared" si="12"/>
        <v>No</v>
      </c>
      <c r="Y113" s="436"/>
      <c r="Z113" s="435">
        <f t="shared" si="13"/>
        <v>0</v>
      </c>
      <c r="AA113" s="245" t="str">
        <f>IF(AND(X113="Yes",NOT(ISBLANK(Z113))),VLOOKUP(Z113,Calcs!$Y$48:$Z$57,2,TRUE)," ")</f>
        <v xml:space="preserve"> </v>
      </c>
    </row>
    <row r="114" spans="1:27" x14ac:dyDescent="0.2">
      <c r="A114" s="425">
        <f t="shared" si="14"/>
        <v>140</v>
      </c>
      <c r="B114" s="425" t="str">
        <f t="shared" si="10"/>
        <v>Winter</v>
      </c>
      <c r="C114" s="247">
        <f>IF(B114="Winter",A114-('Start Character'!$K$6)-1,IF('Start Character'!$K$7&gt;6,A114-('Start Character'!$K$6)-1,A114-('Start Character'!$K$6)))</f>
        <v>139</v>
      </c>
      <c r="D114" s="247">
        <f t="shared" si="11"/>
        <v>139</v>
      </c>
      <c r="E114" s="246"/>
      <c r="F114" s="83"/>
      <c r="G114" s="83"/>
      <c r="H114" s="246"/>
      <c r="I114" s="433"/>
      <c r="J114" s="254">
        <f>IF(ISBLANK(I114),0,ROUNDUP(D114/10,0)-E114-H114-F114-G114+VLOOKUP($D$2,Calcs!$A$23:$B$27,2,FALSE)+I114)</f>
        <v>0</v>
      </c>
      <c r="K114" s="245" t="str">
        <f>IF(ISBLANK(I114)," ",VLOOKUP(J114,Calcs!$A$82:$H$106,2,TRUE))</f>
        <v xml:space="preserve"> </v>
      </c>
      <c r="L114" s="245">
        <f>IF(ISBLANK(I114),0,VLOOKUP(J114,Calcs!$A$82:$F$106,5,TRUE))</f>
        <v>0</v>
      </c>
      <c r="M114" s="208">
        <f>IF(J114=13,IF(ISNUMBER(W113),VLOOKUP(W113+1,Calcs!$O$4:$Q$24,3,TRUE)-V113,5),IF(J114&lt;10,0,IF(J114&lt;18,1,IF(J114&lt;22,2,IF(ISNUMBER(W113),VLOOKUP(W113+1,Calcs!$O$4:$Q$24,3,TRUE)-V113,5)))))</f>
        <v>0</v>
      </c>
      <c r="N114" s="245" t="str">
        <f t="shared" si="15"/>
        <v xml:space="preserve"> </v>
      </c>
      <c r="O114" s="245" t="str">
        <f t="shared" si="15"/>
        <v xml:space="preserve"> </v>
      </c>
      <c r="P114" s="245" t="str">
        <f t="shared" si="15"/>
        <v xml:space="preserve"> </v>
      </c>
      <c r="Q114" s="245" t="str">
        <f t="shared" si="15"/>
        <v xml:space="preserve"> </v>
      </c>
      <c r="R114" s="245" t="str">
        <f t="shared" si="15"/>
        <v xml:space="preserve"> </v>
      </c>
      <c r="S114" s="245" t="str">
        <f t="shared" si="15"/>
        <v xml:space="preserve"> </v>
      </c>
      <c r="T114" s="245" t="str">
        <f t="shared" si="15"/>
        <v xml:space="preserve"> </v>
      </c>
      <c r="U114" s="245" t="str">
        <f t="shared" si="8"/>
        <v xml:space="preserve"> </v>
      </c>
      <c r="V114" s="208">
        <f>SUM($N$10:$U114)</f>
        <v>0</v>
      </c>
      <c r="W114" s="208">
        <f>VLOOKUP(V114,Calcs!$Q$4:$R$24,2,TRUE)</f>
        <v>0</v>
      </c>
      <c r="X114" s="435" t="str">
        <f t="shared" si="12"/>
        <v>No</v>
      </c>
      <c r="Y114" s="436"/>
      <c r="Z114" s="435">
        <f t="shared" si="13"/>
        <v>0</v>
      </c>
      <c r="AA114" s="245" t="str">
        <f>IF(AND(X114="Yes",NOT(ISBLANK(Z114))),VLOOKUP(Z114,Calcs!$Y$48:$Z$57,2,TRUE)," ")</f>
        <v xml:space="preserve"> </v>
      </c>
    </row>
    <row r="115" spans="1:27" x14ac:dyDescent="0.2">
      <c r="A115" s="425">
        <f t="shared" si="14"/>
        <v>141</v>
      </c>
      <c r="B115" s="425" t="str">
        <f t="shared" si="10"/>
        <v>Winter</v>
      </c>
      <c r="C115" s="247">
        <f>IF(B115="Winter",A115-('Start Character'!$K$6)-1,IF('Start Character'!$K$7&gt;6,A115-('Start Character'!$K$6)-1,A115-('Start Character'!$K$6)))</f>
        <v>140</v>
      </c>
      <c r="D115" s="247">
        <f t="shared" si="11"/>
        <v>140</v>
      </c>
      <c r="E115" s="246"/>
      <c r="F115" s="83"/>
      <c r="G115" s="83"/>
      <c r="H115" s="246"/>
      <c r="I115" s="433"/>
      <c r="J115" s="254">
        <f>IF(ISBLANK(I115),0,ROUNDUP(D115/10,0)-E115-H115-F115-G115+VLOOKUP($D$2,Calcs!$A$23:$B$27,2,FALSE)+I115)</f>
        <v>0</v>
      </c>
      <c r="K115" s="245" t="str">
        <f>IF(ISBLANK(I115)," ",VLOOKUP(J115,Calcs!$A$82:$H$106,2,TRUE))</f>
        <v xml:space="preserve"> </v>
      </c>
      <c r="L115" s="245">
        <f>IF(ISBLANK(I115),0,VLOOKUP(J115,Calcs!$A$82:$F$106,5,TRUE))</f>
        <v>0</v>
      </c>
      <c r="M115" s="208">
        <f>IF(J115=13,IF(ISNUMBER(W114),VLOOKUP(W114+1,Calcs!$O$4:$Q$24,3,TRUE)-V114,5),IF(J115&lt;10,0,IF(J115&lt;18,1,IF(J115&lt;22,2,IF(ISNUMBER(W114),VLOOKUP(W114+1,Calcs!$O$4:$Q$24,3,TRUE)-V114,5)))))</f>
        <v>0</v>
      </c>
      <c r="N115" s="245" t="str">
        <f t="shared" si="15"/>
        <v xml:space="preserve"> </v>
      </c>
      <c r="O115" s="245" t="str">
        <f t="shared" si="15"/>
        <v xml:space="preserve"> </v>
      </c>
      <c r="P115" s="245" t="str">
        <f t="shared" si="15"/>
        <v xml:space="preserve"> </v>
      </c>
      <c r="Q115" s="245" t="str">
        <f t="shared" si="15"/>
        <v xml:space="preserve"> </v>
      </c>
      <c r="R115" s="245" t="str">
        <f t="shared" si="15"/>
        <v xml:space="preserve"> </v>
      </c>
      <c r="S115" s="245" t="str">
        <f t="shared" si="15"/>
        <v xml:space="preserve"> </v>
      </c>
      <c r="T115" s="245" t="str">
        <f t="shared" si="15"/>
        <v xml:space="preserve"> </v>
      </c>
      <c r="U115" s="245" t="str">
        <f t="shared" si="8"/>
        <v xml:space="preserve"> </v>
      </c>
      <c r="V115" s="208">
        <f>SUM($N$10:$U115)</f>
        <v>0</v>
      </c>
      <c r="W115" s="208">
        <f>VLOOKUP(V115,Calcs!$Q$4:$R$24,2,TRUE)</f>
        <v>0</v>
      </c>
      <c r="X115" s="435" t="str">
        <f t="shared" si="12"/>
        <v>No</v>
      </c>
      <c r="Y115" s="436"/>
      <c r="Z115" s="435">
        <f t="shared" si="13"/>
        <v>0</v>
      </c>
      <c r="AA115" s="245" t="str">
        <f>IF(AND(X115="Yes",NOT(ISBLANK(Z115))),VLOOKUP(Z115,Calcs!$Y$48:$Z$57,2,TRUE)," ")</f>
        <v xml:space="preserve"> </v>
      </c>
    </row>
    <row r="116" spans="1:27" x14ac:dyDescent="0.2">
      <c r="A116" s="425">
        <f t="shared" si="14"/>
        <v>142</v>
      </c>
      <c r="B116" s="425" t="str">
        <f t="shared" si="10"/>
        <v>Winter</v>
      </c>
      <c r="C116" s="247">
        <f>IF(B116="Winter",A116-('Start Character'!$K$6)-1,IF('Start Character'!$K$7&gt;6,A116-('Start Character'!$K$6)-1,A116-('Start Character'!$K$6)))</f>
        <v>141</v>
      </c>
      <c r="D116" s="247">
        <f t="shared" si="11"/>
        <v>141</v>
      </c>
      <c r="E116" s="246"/>
      <c r="F116" s="83"/>
      <c r="G116" s="83"/>
      <c r="H116" s="246"/>
      <c r="I116" s="433"/>
      <c r="J116" s="254">
        <f>IF(ISBLANK(I116),0,ROUNDUP(D116/10,0)-E116-H116-F116-G116+VLOOKUP($D$2,Calcs!$A$23:$B$27,2,FALSE)+I116)</f>
        <v>0</v>
      </c>
      <c r="K116" s="245" t="str">
        <f>IF(ISBLANK(I116)," ",VLOOKUP(J116,Calcs!$A$82:$H$106,2,TRUE))</f>
        <v xml:space="preserve"> </v>
      </c>
      <c r="L116" s="245">
        <f>IF(ISBLANK(I116),0,VLOOKUP(J116,Calcs!$A$82:$F$106,5,TRUE))</f>
        <v>0</v>
      </c>
      <c r="M116" s="208">
        <f>IF(J116=13,IF(ISNUMBER(W115),VLOOKUP(W115+1,Calcs!$O$4:$Q$24,3,TRUE)-V115,5),IF(J116&lt;10,0,IF(J116&lt;18,1,IF(J116&lt;22,2,IF(ISNUMBER(W115),VLOOKUP(W115+1,Calcs!$O$4:$Q$24,3,TRUE)-V115,5)))))</f>
        <v>0</v>
      </c>
      <c r="N116" s="245" t="str">
        <f t="shared" si="15"/>
        <v xml:space="preserve"> </v>
      </c>
      <c r="O116" s="245" t="str">
        <f t="shared" si="15"/>
        <v xml:space="preserve"> </v>
      </c>
      <c r="P116" s="245" t="str">
        <f t="shared" si="15"/>
        <v xml:space="preserve"> </v>
      </c>
      <c r="Q116" s="245" t="str">
        <f t="shared" si="15"/>
        <v xml:space="preserve"> </v>
      </c>
      <c r="R116" s="245" t="str">
        <f t="shared" si="15"/>
        <v xml:space="preserve"> </v>
      </c>
      <c r="S116" s="245" t="str">
        <f t="shared" si="15"/>
        <v xml:space="preserve"> </v>
      </c>
      <c r="T116" s="245" t="str">
        <f t="shared" si="15"/>
        <v xml:space="preserve"> </v>
      </c>
      <c r="U116" s="245" t="str">
        <f t="shared" si="8"/>
        <v xml:space="preserve"> </v>
      </c>
      <c r="V116" s="208">
        <f>SUM($N$10:$U116)</f>
        <v>0</v>
      </c>
      <c r="W116" s="208">
        <f>VLOOKUP(V116,Calcs!$Q$4:$R$24,2,TRUE)</f>
        <v>0</v>
      </c>
      <c r="X116" s="435" t="str">
        <f t="shared" si="12"/>
        <v>No</v>
      </c>
      <c r="Y116" s="436"/>
      <c r="Z116" s="435">
        <f t="shared" si="13"/>
        <v>0</v>
      </c>
      <c r="AA116" s="245" t="str">
        <f>IF(AND(X116="Yes",NOT(ISBLANK(Z116))),VLOOKUP(Z116,Calcs!$Y$48:$Z$57,2,TRUE)," ")</f>
        <v xml:space="preserve"> </v>
      </c>
    </row>
    <row r="117" spans="1:27" x14ac:dyDescent="0.2">
      <c r="A117" s="425">
        <f t="shared" si="14"/>
        <v>143</v>
      </c>
      <c r="B117" s="425" t="str">
        <f t="shared" si="10"/>
        <v>Winter</v>
      </c>
      <c r="C117" s="247">
        <f>IF(B117="Winter",A117-('Start Character'!$K$6)-1,IF('Start Character'!$K$7&gt;6,A117-('Start Character'!$K$6)-1,A117-('Start Character'!$K$6)))</f>
        <v>142</v>
      </c>
      <c r="D117" s="247">
        <f t="shared" si="11"/>
        <v>142</v>
      </c>
      <c r="E117" s="246"/>
      <c r="F117" s="83"/>
      <c r="G117" s="83"/>
      <c r="H117" s="246"/>
      <c r="I117" s="433"/>
      <c r="J117" s="254">
        <f>IF(ISBLANK(I117),0,ROUNDUP(D117/10,0)-E117-H117-F117-G117+VLOOKUP($D$2,Calcs!$A$23:$B$27,2,FALSE)+I117)</f>
        <v>0</v>
      </c>
      <c r="K117" s="245" t="str">
        <f>IF(ISBLANK(I117)," ",VLOOKUP(J117,Calcs!$A$82:$H$106,2,TRUE))</f>
        <v xml:space="preserve"> </v>
      </c>
      <c r="L117" s="245">
        <f>IF(ISBLANK(I117),0,VLOOKUP(J117,Calcs!$A$82:$F$106,5,TRUE))</f>
        <v>0</v>
      </c>
      <c r="M117" s="208">
        <f>IF(J117=13,IF(ISNUMBER(W116),VLOOKUP(W116+1,Calcs!$O$4:$Q$24,3,TRUE)-V116,5),IF(J117&lt;10,0,IF(J117&lt;18,1,IF(J117&lt;22,2,IF(ISNUMBER(W116),VLOOKUP(W116+1,Calcs!$O$4:$Q$24,3,TRUE)-V116,5)))))</f>
        <v>0</v>
      </c>
      <c r="N117" s="245" t="str">
        <f t="shared" si="15"/>
        <v xml:space="preserve"> </v>
      </c>
      <c r="O117" s="245" t="str">
        <f t="shared" si="15"/>
        <v xml:space="preserve"> </v>
      </c>
      <c r="P117" s="245" t="str">
        <f t="shared" si="15"/>
        <v xml:space="preserve"> </v>
      </c>
      <c r="Q117" s="245" t="str">
        <f t="shared" si="15"/>
        <v xml:space="preserve"> </v>
      </c>
      <c r="R117" s="245" t="str">
        <f t="shared" si="15"/>
        <v xml:space="preserve"> </v>
      </c>
      <c r="S117" s="245" t="str">
        <f t="shared" si="15"/>
        <v xml:space="preserve"> </v>
      </c>
      <c r="T117" s="245" t="str">
        <f t="shared" si="15"/>
        <v xml:space="preserve"> </v>
      </c>
      <c r="U117" s="245" t="str">
        <f t="shared" si="8"/>
        <v xml:space="preserve"> </v>
      </c>
      <c r="V117" s="208">
        <f>SUM($N$10:$U117)</f>
        <v>0</v>
      </c>
      <c r="W117" s="208">
        <f>VLOOKUP(V117,Calcs!$Q$4:$R$24,2,TRUE)</f>
        <v>0</v>
      </c>
      <c r="X117" s="435" t="str">
        <f t="shared" si="12"/>
        <v>No</v>
      </c>
      <c r="Y117" s="436"/>
      <c r="Z117" s="435">
        <f t="shared" si="13"/>
        <v>0</v>
      </c>
      <c r="AA117" s="245" t="str">
        <f>IF(AND(X117="Yes",NOT(ISBLANK(Z117))),VLOOKUP(Z117,Calcs!$Y$48:$Z$57,2,TRUE)," ")</f>
        <v xml:space="preserve"> </v>
      </c>
    </row>
    <row r="118" spans="1:27" x14ac:dyDescent="0.2">
      <c r="A118" s="425">
        <f t="shared" si="14"/>
        <v>144</v>
      </c>
      <c r="B118" s="425" t="str">
        <f t="shared" si="10"/>
        <v>Winter</v>
      </c>
      <c r="C118" s="247">
        <f>IF(B118="Winter",A118-('Start Character'!$K$6)-1,IF('Start Character'!$K$7&gt;6,A118-('Start Character'!$K$6)-1,A118-('Start Character'!$K$6)))</f>
        <v>143</v>
      </c>
      <c r="D118" s="247">
        <f t="shared" si="11"/>
        <v>143</v>
      </c>
      <c r="E118" s="246"/>
      <c r="F118" s="83"/>
      <c r="G118" s="83"/>
      <c r="H118" s="246"/>
      <c r="I118" s="433"/>
      <c r="J118" s="254">
        <f>IF(ISBLANK(I118),0,ROUNDUP(D118/10,0)-E118-H118-F118-G118+VLOOKUP($D$2,Calcs!$A$23:$B$27,2,FALSE)+I118)</f>
        <v>0</v>
      </c>
      <c r="K118" s="245" t="str">
        <f>IF(ISBLANK(I118)," ",VLOOKUP(J118,Calcs!$A$82:$H$106,2,TRUE))</f>
        <v xml:space="preserve"> </v>
      </c>
      <c r="L118" s="245">
        <f>IF(ISBLANK(I118),0,VLOOKUP(J118,Calcs!$A$82:$F$106,5,TRUE))</f>
        <v>0</v>
      </c>
      <c r="M118" s="208">
        <f>IF(J118=13,IF(ISNUMBER(W117),VLOOKUP(W117+1,Calcs!$O$4:$Q$24,3,TRUE)-V117,5),IF(J118&lt;10,0,IF(J118&lt;18,1,IF(J118&lt;22,2,IF(ISNUMBER(W117),VLOOKUP(W117+1,Calcs!$O$4:$Q$24,3,TRUE)-V117,5)))))</f>
        <v>0</v>
      </c>
      <c r="N118" s="245" t="str">
        <f t="shared" si="15"/>
        <v xml:space="preserve"> </v>
      </c>
      <c r="O118" s="245" t="str">
        <f t="shared" si="15"/>
        <v xml:space="preserve"> </v>
      </c>
      <c r="P118" s="245" t="str">
        <f t="shared" si="15"/>
        <v xml:space="preserve"> </v>
      </c>
      <c r="Q118" s="245" t="str">
        <f t="shared" si="15"/>
        <v xml:space="preserve"> </v>
      </c>
      <c r="R118" s="245" t="str">
        <f t="shared" si="15"/>
        <v xml:space="preserve"> </v>
      </c>
      <c r="S118" s="245" t="str">
        <f t="shared" si="15"/>
        <v xml:space="preserve"> </v>
      </c>
      <c r="T118" s="245" t="str">
        <f t="shared" si="15"/>
        <v xml:space="preserve"> </v>
      </c>
      <c r="U118" s="245" t="str">
        <f t="shared" si="8"/>
        <v xml:space="preserve"> </v>
      </c>
      <c r="V118" s="208">
        <f>SUM($N$10:$U118)</f>
        <v>0</v>
      </c>
      <c r="W118" s="208">
        <f>VLOOKUP(V118,Calcs!$Q$4:$R$24,2,TRUE)</f>
        <v>0</v>
      </c>
      <c r="X118" s="435" t="str">
        <f t="shared" si="12"/>
        <v>No</v>
      </c>
      <c r="Y118" s="436"/>
      <c r="Z118" s="435">
        <f t="shared" si="13"/>
        <v>0</v>
      </c>
      <c r="AA118" s="245" t="str">
        <f>IF(AND(X118="Yes",NOT(ISBLANK(Z118))),VLOOKUP(Z118,Calcs!$Y$48:$Z$57,2,TRUE)," ")</f>
        <v xml:space="preserve"> </v>
      </c>
    </row>
    <row r="119" spans="1:27" x14ac:dyDescent="0.2">
      <c r="A119" s="425">
        <f t="shared" si="14"/>
        <v>145</v>
      </c>
      <c r="B119" s="425" t="str">
        <f t="shared" si="10"/>
        <v>Winter</v>
      </c>
      <c r="C119" s="247">
        <f>IF(B119="Winter",A119-('Start Character'!$K$6)-1,IF('Start Character'!$K$7&gt;6,A119-('Start Character'!$K$6)-1,A119-('Start Character'!$K$6)))</f>
        <v>144</v>
      </c>
      <c r="D119" s="247">
        <f t="shared" si="11"/>
        <v>144</v>
      </c>
      <c r="E119" s="246"/>
      <c r="F119" s="83"/>
      <c r="G119" s="83"/>
      <c r="H119" s="246"/>
      <c r="I119" s="433"/>
      <c r="J119" s="254">
        <f>IF(ISBLANK(I119),0,ROUNDUP(D119/10,0)-E119-H119-F119-G119+VLOOKUP($D$2,Calcs!$A$23:$B$27,2,FALSE)+I119)</f>
        <v>0</v>
      </c>
      <c r="K119" s="245" t="str">
        <f>IF(ISBLANK(I119)," ",VLOOKUP(J119,Calcs!$A$82:$H$106,2,TRUE))</f>
        <v xml:space="preserve"> </v>
      </c>
      <c r="L119" s="245">
        <f>IF(ISBLANK(I119),0,VLOOKUP(J119,Calcs!$A$82:$F$106,5,TRUE))</f>
        <v>0</v>
      </c>
      <c r="M119" s="208">
        <f>IF(J119=13,IF(ISNUMBER(W118),VLOOKUP(W118+1,Calcs!$O$4:$Q$24,3,TRUE)-V118,5),IF(J119&lt;10,0,IF(J119&lt;18,1,IF(J119&lt;22,2,IF(ISNUMBER(W118),VLOOKUP(W118+1,Calcs!$O$4:$Q$24,3,TRUE)-V118,5)))))</f>
        <v>0</v>
      </c>
      <c r="N119" s="245" t="str">
        <f t="shared" si="15"/>
        <v xml:space="preserve"> </v>
      </c>
      <c r="O119" s="245" t="str">
        <f t="shared" si="15"/>
        <v xml:space="preserve"> </v>
      </c>
      <c r="P119" s="245" t="str">
        <f t="shared" si="15"/>
        <v xml:space="preserve"> </v>
      </c>
      <c r="Q119" s="245" t="str">
        <f t="shared" si="15"/>
        <v xml:space="preserve"> </v>
      </c>
      <c r="R119" s="245" t="str">
        <f t="shared" si="15"/>
        <v xml:space="preserve"> </v>
      </c>
      <c r="S119" s="245" t="str">
        <f t="shared" si="15"/>
        <v xml:space="preserve"> </v>
      </c>
      <c r="T119" s="245" t="str">
        <f t="shared" si="15"/>
        <v xml:space="preserve"> </v>
      </c>
      <c r="U119" s="245" t="str">
        <f t="shared" si="8"/>
        <v xml:space="preserve"> </v>
      </c>
      <c r="V119" s="208">
        <f>SUM($N$10:$U119)</f>
        <v>0</v>
      </c>
      <c r="W119" s="208">
        <f>VLOOKUP(V119,Calcs!$Q$4:$R$24,2,TRUE)</f>
        <v>0</v>
      </c>
      <c r="X119" s="435" t="str">
        <f t="shared" si="12"/>
        <v>No</v>
      </c>
      <c r="Y119" s="436"/>
      <c r="Z119" s="435">
        <f t="shared" si="13"/>
        <v>0</v>
      </c>
      <c r="AA119" s="245" t="str">
        <f>IF(AND(X119="Yes",NOT(ISBLANK(Z119))),VLOOKUP(Z119,Calcs!$Y$48:$Z$57,2,TRUE)," ")</f>
        <v xml:space="preserve"> </v>
      </c>
    </row>
    <row r="120" spans="1:27" x14ac:dyDescent="0.2">
      <c r="A120" s="425">
        <f t="shared" si="14"/>
        <v>146</v>
      </c>
      <c r="B120" s="425" t="str">
        <f t="shared" si="10"/>
        <v>Winter</v>
      </c>
      <c r="C120" s="247">
        <f>IF(B120="Winter",A120-('Start Character'!$K$6)-1,IF('Start Character'!$K$7&gt;6,A120-('Start Character'!$K$6)-1,A120-('Start Character'!$K$6)))</f>
        <v>145</v>
      </c>
      <c r="D120" s="247">
        <f t="shared" si="11"/>
        <v>145</v>
      </c>
      <c r="E120" s="246"/>
      <c r="F120" s="83"/>
      <c r="G120" s="83"/>
      <c r="H120" s="246"/>
      <c r="I120" s="433"/>
      <c r="J120" s="254">
        <f>IF(ISBLANK(I120),0,ROUNDUP(D120/10,0)-E120-H120-F120-G120+VLOOKUP($D$2,Calcs!$A$23:$B$27,2,FALSE)+I120)</f>
        <v>0</v>
      </c>
      <c r="K120" s="245" t="str">
        <f>IF(ISBLANK(I120)," ",VLOOKUP(J120,Calcs!$A$82:$H$106,2,TRUE))</f>
        <v xml:space="preserve"> </v>
      </c>
      <c r="L120" s="245">
        <f>IF(ISBLANK(I120),0,VLOOKUP(J120,Calcs!$A$82:$F$106,5,TRUE))</f>
        <v>0</v>
      </c>
      <c r="M120" s="208">
        <f>IF(J120=13,IF(ISNUMBER(W119),VLOOKUP(W119+1,Calcs!$O$4:$Q$24,3,TRUE)-V119,5),IF(J120&lt;10,0,IF(J120&lt;18,1,IF(J120&lt;22,2,IF(ISNUMBER(W119),VLOOKUP(W119+1,Calcs!$O$4:$Q$24,3,TRUE)-V119,5)))))</f>
        <v>0</v>
      </c>
      <c r="N120" s="245" t="str">
        <f t="shared" si="15"/>
        <v xml:space="preserve"> </v>
      </c>
      <c r="O120" s="245" t="str">
        <f t="shared" si="15"/>
        <v xml:space="preserve"> </v>
      </c>
      <c r="P120" s="245" t="str">
        <f t="shared" si="15"/>
        <v xml:space="preserve"> </v>
      </c>
      <c r="Q120" s="245" t="str">
        <f t="shared" si="15"/>
        <v xml:space="preserve"> </v>
      </c>
      <c r="R120" s="245" t="str">
        <f t="shared" si="15"/>
        <v xml:space="preserve"> </v>
      </c>
      <c r="S120" s="245" t="str">
        <f t="shared" si="15"/>
        <v xml:space="preserve"> </v>
      </c>
      <c r="T120" s="245" t="str">
        <f t="shared" si="15"/>
        <v xml:space="preserve"> </v>
      </c>
      <c r="U120" s="245" t="str">
        <f t="shared" si="8"/>
        <v xml:space="preserve"> </v>
      </c>
      <c r="V120" s="208">
        <f>SUM($N$10:$U120)</f>
        <v>0</v>
      </c>
      <c r="W120" s="208">
        <f>VLOOKUP(V120,Calcs!$Q$4:$R$24,2,TRUE)</f>
        <v>0</v>
      </c>
      <c r="X120" s="435" t="str">
        <f t="shared" si="12"/>
        <v>No</v>
      </c>
      <c r="Y120" s="436"/>
      <c r="Z120" s="435">
        <f t="shared" si="13"/>
        <v>0</v>
      </c>
      <c r="AA120" s="245" t="str">
        <f>IF(AND(X120="Yes",NOT(ISBLANK(Z120))),VLOOKUP(Z120,Calcs!$Y$48:$Z$57,2,TRUE)," ")</f>
        <v xml:space="preserve"> </v>
      </c>
    </row>
    <row r="121" spans="1:27" x14ac:dyDescent="0.2">
      <c r="A121" s="425">
        <f t="shared" si="14"/>
        <v>147</v>
      </c>
      <c r="B121" s="425" t="str">
        <f t="shared" si="10"/>
        <v>Winter</v>
      </c>
      <c r="C121" s="247">
        <f>IF(B121="Winter",A121-('Start Character'!$K$6)-1,IF('Start Character'!$K$7&gt;6,A121-('Start Character'!$K$6)-1,A121-('Start Character'!$K$6)))</f>
        <v>146</v>
      </c>
      <c r="D121" s="247">
        <f t="shared" si="11"/>
        <v>146</v>
      </c>
      <c r="E121" s="246"/>
      <c r="F121" s="83"/>
      <c r="G121" s="83"/>
      <c r="H121" s="246"/>
      <c r="I121" s="433"/>
      <c r="J121" s="254">
        <f>IF(ISBLANK(I121),0,ROUNDUP(D121/10,0)-E121-H121-F121-G121+VLOOKUP($D$2,Calcs!$A$23:$B$27,2,FALSE)+I121)</f>
        <v>0</v>
      </c>
      <c r="K121" s="245" t="str">
        <f>IF(ISBLANK(I121)," ",VLOOKUP(J121,Calcs!$A$82:$H$106,2,TRUE))</f>
        <v xml:space="preserve"> </v>
      </c>
      <c r="L121" s="245">
        <f>IF(ISBLANK(I121),0,VLOOKUP(J121,Calcs!$A$82:$F$106,5,TRUE))</f>
        <v>0</v>
      </c>
      <c r="M121" s="208">
        <f>IF(J121=13,IF(ISNUMBER(W120),VLOOKUP(W120+1,Calcs!$O$4:$Q$24,3,TRUE)-V120,5),IF(J121&lt;10,0,IF(J121&lt;18,1,IF(J121&lt;22,2,IF(ISNUMBER(W120),VLOOKUP(W120+1,Calcs!$O$4:$Q$24,3,TRUE)-V120,5)))))</f>
        <v>0</v>
      </c>
      <c r="N121" s="245" t="str">
        <f t="shared" si="15"/>
        <v xml:space="preserve"> </v>
      </c>
      <c r="O121" s="245" t="str">
        <f t="shared" si="15"/>
        <v xml:space="preserve"> </v>
      </c>
      <c r="P121" s="245" t="str">
        <f t="shared" si="15"/>
        <v xml:space="preserve"> </v>
      </c>
      <c r="Q121" s="245" t="str">
        <f t="shared" si="15"/>
        <v xml:space="preserve"> </v>
      </c>
      <c r="R121" s="245" t="str">
        <f t="shared" si="15"/>
        <v xml:space="preserve"> </v>
      </c>
      <c r="S121" s="245" t="str">
        <f t="shared" si="15"/>
        <v xml:space="preserve"> </v>
      </c>
      <c r="T121" s="245" t="str">
        <f t="shared" si="15"/>
        <v xml:space="preserve"> </v>
      </c>
      <c r="U121" s="245" t="str">
        <f t="shared" si="15"/>
        <v xml:space="preserve"> </v>
      </c>
      <c r="V121" s="208">
        <f>SUM($N$10:$U121)</f>
        <v>0</v>
      </c>
      <c r="W121" s="208">
        <f>VLOOKUP(V121,Calcs!$Q$4:$R$24,2,TRUE)</f>
        <v>0</v>
      </c>
      <c r="X121" s="435" t="str">
        <f t="shared" si="12"/>
        <v>No</v>
      </c>
      <c r="Y121" s="436"/>
      <c r="Z121" s="435">
        <f t="shared" si="13"/>
        <v>0</v>
      </c>
      <c r="AA121" s="245" t="str">
        <f>IF(AND(X121="Yes",NOT(ISBLANK(Z121))),VLOOKUP(Z121,Calcs!$Y$48:$Z$57,2,TRUE)," ")</f>
        <v xml:space="preserve"> </v>
      </c>
    </row>
    <row r="122" spans="1:27" x14ac:dyDescent="0.2">
      <c r="A122" s="425">
        <f t="shared" si="14"/>
        <v>148</v>
      </c>
      <c r="B122" s="425" t="str">
        <f t="shared" si="10"/>
        <v>Winter</v>
      </c>
      <c r="C122" s="247">
        <f>IF(B122="Winter",A122-('Start Character'!$K$6)-1,IF('Start Character'!$K$7&gt;6,A122-('Start Character'!$K$6)-1,A122-('Start Character'!$K$6)))</f>
        <v>147</v>
      </c>
      <c r="D122" s="247">
        <f t="shared" si="11"/>
        <v>147</v>
      </c>
      <c r="E122" s="246"/>
      <c r="F122" s="83"/>
      <c r="G122" s="83"/>
      <c r="H122" s="246"/>
      <c r="I122" s="433"/>
      <c r="J122" s="254">
        <f>IF(ISBLANK(I122),0,ROUNDUP(D122/10,0)-E122-H122-F122-G122+VLOOKUP($D$2,Calcs!$A$23:$B$27,2,FALSE)+I122)</f>
        <v>0</v>
      </c>
      <c r="K122" s="245" t="str">
        <f>IF(ISBLANK(I122)," ",VLOOKUP(J122,Calcs!$A$82:$H$106,2,TRUE))</f>
        <v xml:space="preserve"> </v>
      </c>
      <c r="L122" s="245">
        <f>IF(ISBLANK(I122),0,VLOOKUP(J122,Calcs!$A$82:$F$106,5,TRUE))</f>
        <v>0</v>
      </c>
      <c r="M122" s="208">
        <f>IF(J122=13,IF(ISNUMBER(W121),VLOOKUP(W121+1,Calcs!$O$4:$Q$24,3,TRUE)-V121,5),IF(J122&lt;10,0,IF(J122&lt;18,1,IF(J122&lt;22,2,IF(ISNUMBER(W121),VLOOKUP(W121+1,Calcs!$O$4:$Q$24,3,TRUE)-V121,5)))))</f>
        <v>0</v>
      </c>
      <c r="N122" s="245" t="str">
        <f t="shared" si="15"/>
        <v xml:space="preserve"> </v>
      </c>
      <c r="O122" s="245" t="str">
        <f t="shared" si="15"/>
        <v xml:space="preserve"> </v>
      </c>
      <c r="P122" s="245" t="str">
        <f t="shared" si="15"/>
        <v xml:space="preserve"> </v>
      </c>
      <c r="Q122" s="245" t="str">
        <f t="shared" si="15"/>
        <v xml:space="preserve"> </v>
      </c>
      <c r="R122" s="245" t="str">
        <f t="shared" si="15"/>
        <v xml:space="preserve"> </v>
      </c>
      <c r="S122" s="245" t="str">
        <f t="shared" si="15"/>
        <v xml:space="preserve"> </v>
      </c>
      <c r="T122" s="245" t="str">
        <f t="shared" si="15"/>
        <v xml:space="preserve"> </v>
      </c>
      <c r="U122" s="245" t="str">
        <f t="shared" si="15"/>
        <v xml:space="preserve"> </v>
      </c>
      <c r="V122" s="208">
        <f>SUM($N$10:$U122)</f>
        <v>0</v>
      </c>
      <c r="W122" s="208">
        <f>VLOOKUP(V122,Calcs!$Q$4:$R$24,2,TRUE)</f>
        <v>0</v>
      </c>
      <c r="X122" s="435" t="str">
        <f t="shared" si="12"/>
        <v>No</v>
      </c>
      <c r="Y122" s="436"/>
      <c r="Z122" s="435">
        <f t="shared" si="13"/>
        <v>0</v>
      </c>
      <c r="AA122" s="245" t="str">
        <f>IF(AND(X122="Yes",NOT(ISBLANK(Z122))),VLOOKUP(Z122,Calcs!$Y$48:$Z$57,2,TRUE)," ")</f>
        <v xml:space="preserve"> </v>
      </c>
    </row>
    <row r="123" spans="1:27" x14ac:dyDescent="0.2">
      <c r="A123" s="425">
        <f t="shared" si="14"/>
        <v>149</v>
      </c>
      <c r="B123" s="425" t="str">
        <f t="shared" si="10"/>
        <v>Winter</v>
      </c>
      <c r="C123" s="247">
        <f>IF(B123="Winter",A123-('Start Character'!$K$6)-1,IF('Start Character'!$K$7&gt;6,A123-('Start Character'!$K$6)-1,A123-('Start Character'!$K$6)))</f>
        <v>148</v>
      </c>
      <c r="D123" s="247">
        <f t="shared" si="11"/>
        <v>148</v>
      </c>
      <c r="E123" s="246"/>
      <c r="F123" s="83"/>
      <c r="G123" s="83"/>
      <c r="H123" s="246"/>
      <c r="I123" s="433"/>
      <c r="J123" s="254">
        <f>IF(ISBLANK(I123),0,ROUNDUP(D123/10,0)-E123-H123-F123-G123+VLOOKUP($D$2,Calcs!$A$23:$B$27,2,FALSE)+I123)</f>
        <v>0</v>
      </c>
      <c r="K123" s="245" t="str">
        <f>IF(ISBLANK(I123)," ",VLOOKUP(J123,Calcs!$A$82:$H$106,2,TRUE))</f>
        <v xml:space="preserve"> </v>
      </c>
      <c r="L123" s="245">
        <f>IF(ISBLANK(I123),0,VLOOKUP(J123,Calcs!$A$82:$F$106,5,TRUE))</f>
        <v>0</v>
      </c>
      <c r="M123" s="208">
        <f>IF(J123=13,IF(ISNUMBER(W122),VLOOKUP(W122+1,Calcs!$O$4:$Q$24,3,TRUE)-V122,5),IF(J123&lt;10,0,IF(J123&lt;18,1,IF(J123&lt;22,2,IF(ISNUMBER(W122),VLOOKUP(W122+1,Calcs!$O$4:$Q$24,3,TRUE)-V122,5)))))</f>
        <v>0</v>
      </c>
      <c r="N123" s="245" t="str">
        <f t="shared" si="15"/>
        <v xml:space="preserve"> </v>
      </c>
      <c r="O123" s="245" t="str">
        <f t="shared" si="15"/>
        <v xml:space="preserve"> </v>
      </c>
      <c r="P123" s="245" t="str">
        <f t="shared" si="15"/>
        <v xml:space="preserve"> </v>
      </c>
      <c r="Q123" s="245" t="str">
        <f t="shared" si="15"/>
        <v xml:space="preserve"> </v>
      </c>
      <c r="R123" s="245" t="str">
        <f t="shared" si="15"/>
        <v xml:space="preserve"> </v>
      </c>
      <c r="S123" s="245" t="str">
        <f t="shared" si="15"/>
        <v xml:space="preserve"> </v>
      </c>
      <c r="T123" s="245" t="str">
        <f t="shared" si="15"/>
        <v xml:space="preserve"> </v>
      </c>
      <c r="U123" s="245" t="str">
        <f t="shared" si="15"/>
        <v xml:space="preserve"> </v>
      </c>
      <c r="V123" s="208">
        <f>SUM($N$10:$U123)</f>
        <v>0</v>
      </c>
      <c r="W123" s="208">
        <f>VLOOKUP(V123,Calcs!$Q$4:$R$24,2,TRUE)</f>
        <v>0</v>
      </c>
      <c r="X123" s="435" t="str">
        <f t="shared" si="12"/>
        <v>No</v>
      </c>
      <c r="Y123" s="436"/>
      <c r="Z123" s="435">
        <f t="shared" si="13"/>
        <v>0</v>
      </c>
      <c r="AA123" s="245" t="str">
        <f>IF(AND(X123="Yes",NOT(ISBLANK(Z123))),VLOOKUP(Z123,Calcs!$Y$48:$Z$57,2,TRUE)," ")</f>
        <v xml:space="preserve"> </v>
      </c>
    </row>
    <row r="124" spans="1:27" x14ac:dyDescent="0.2">
      <c r="A124" s="425">
        <f t="shared" si="14"/>
        <v>150</v>
      </c>
      <c r="B124" s="425" t="str">
        <f t="shared" si="10"/>
        <v>Winter</v>
      </c>
      <c r="C124" s="247">
        <f>IF(B124="Winter",A124-('Start Character'!$K$6)-1,IF('Start Character'!$K$7&gt;6,A124-('Start Character'!$K$6)-1,A124-('Start Character'!$K$6)))</f>
        <v>149</v>
      </c>
      <c r="D124" s="247">
        <f t="shared" si="11"/>
        <v>149</v>
      </c>
      <c r="E124" s="246"/>
      <c r="F124" s="83"/>
      <c r="G124" s="83"/>
      <c r="H124" s="246"/>
      <c r="I124" s="433"/>
      <c r="J124" s="254">
        <f>IF(ISBLANK(I124),0,ROUNDUP(D124/10,0)-E124-H124-F124-G124+VLOOKUP($D$2,Calcs!$A$23:$B$27,2,FALSE)+I124)</f>
        <v>0</v>
      </c>
      <c r="K124" s="245" t="str">
        <f>IF(ISBLANK(I124)," ",VLOOKUP(J124,Calcs!$A$82:$H$106,2,TRUE))</f>
        <v xml:space="preserve"> </v>
      </c>
      <c r="L124" s="245">
        <f>IF(ISBLANK(I124),0,VLOOKUP(J124,Calcs!$A$82:$F$106,5,TRUE))</f>
        <v>0</v>
      </c>
      <c r="M124" s="208">
        <f>IF(J124=13,IF(ISNUMBER(W123),VLOOKUP(W123+1,Calcs!$O$4:$Q$24,3,TRUE)-V123,5),IF(J124&lt;10,0,IF(J124&lt;18,1,IF(J124&lt;22,2,IF(ISNUMBER(W123),VLOOKUP(W123+1,Calcs!$O$4:$Q$24,3,TRUE)-V123,5)))))</f>
        <v>0</v>
      </c>
      <c r="N124" s="245" t="str">
        <f t="shared" si="15"/>
        <v xml:space="preserve"> </v>
      </c>
      <c r="O124" s="245" t="str">
        <f t="shared" si="15"/>
        <v xml:space="preserve"> </v>
      </c>
      <c r="P124" s="245" t="str">
        <f t="shared" si="15"/>
        <v xml:space="preserve"> </v>
      </c>
      <c r="Q124" s="245" t="str">
        <f t="shared" si="15"/>
        <v xml:space="preserve"> </v>
      </c>
      <c r="R124" s="245" t="str">
        <f t="shared" si="15"/>
        <v xml:space="preserve"> </v>
      </c>
      <c r="S124" s="245" t="str">
        <f t="shared" si="15"/>
        <v xml:space="preserve"> </v>
      </c>
      <c r="T124" s="245" t="str">
        <f t="shared" si="15"/>
        <v xml:space="preserve"> </v>
      </c>
      <c r="U124" s="245" t="str">
        <f t="shared" si="15"/>
        <v xml:space="preserve"> </v>
      </c>
      <c r="V124" s="208">
        <f>SUM($N$10:$U124)</f>
        <v>0</v>
      </c>
      <c r="W124" s="208">
        <f>VLOOKUP(V124,Calcs!$Q$4:$R$24,2,TRUE)</f>
        <v>0</v>
      </c>
      <c r="X124" s="435" t="str">
        <f t="shared" si="12"/>
        <v>No</v>
      </c>
      <c r="Y124" s="436"/>
      <c r="Z124" s="435">
        <f t="shared" si="13"/>
        <v>0</v>
      </c>
      <c r="AA124" s="245" t="str">
        <f>IF(AND(X124="Yes",NOT(ISBLANK(Z124))),VLOOKUP(Z124,Calcs!$Y$48:$Z$57,2,TRUE)," ")</f>
        <v xml:space="preserve"> </v>
      </c>
    </row>
    <row r="125" spans="1:27" x14ac:dyDescent="0.2">
      <c r="A125" s="425">
        <f t="shared" si="14"/>
        <v>151</v>
      </c>
      <c r="B125" s="425" t="str">
        <f t="shared" si="10"/>
        <v>Winter</v>
      </c>
      <c r="C125" s="247">
        <f>IF(B125="Winter",A125-('Start Character'!$K$6)-1,IF('Start Character'!$K$7&gt;6,A125-('Start Character'!$K$6)-1,A125-('Start Character'!$K$6)))</f>
        <v>150</v>
      </c>
      <c r="D125" s="247">
        <f t="shared" si="11"/>
        <v>150</v>
      </c>
      <c r="E125" s="246"/>
      <c r="F125" s="83"/>
      <c r="G125" s="83"/>
      <c r="H125" s="246"/>
      <c r="I125" s="433"/>
      <c r="J125" s="254">
        <f>IF(ISBLANK(I125),0,ROUNDUP(D125/10,0)-E125-H125-F125-G125+VLOOKUP($D$2,Calcs!$A$23:$B$27,2,FALSE)+I125)</f>
        <v>0</v>
      </c>
      <c r="K125" s="245" t="str">
        <f>IF(ISBLANK(I125)," ",VLOOKUP(J125,Calcs!$A$82:$H$106,2,TRUE))</f>
        <v xml:space="preserve"> </v>
      </c>
      <c r="L125" s="245">
        <f>IF(ISBLANK(I125),0,VLOOKUP(J125,Calcs!$A$82:$F$106,5,TRUE))</f>
        <v>0</v>
      </c>
      <c r="M125" s="208">
        <f>IF(J125=13,IF(ISNUMBER(W124),VLOOKUP(W124+1,Calcs!$O$4:$Q$24,3,TRUE)-V124,5),IF(J125&lt;10,0,IF(J125&lt;18,1,IF(J125&lt;22,2,IF(ISNUMBER(W124),VLOOKUP(W124+1,Calcs!$O$4:$Q$24,3,TRUE)-V124,5)))))</f>
        <v>0</v>
      </c>
      <c r="N125" s="245" t="str">
        <f t="shared" si="15"/>
        <v xml:space="preserve"> </v>
      </c>
      <c r="O125" s="245" t="str">
        <f t="shared" si="15"/>
        <v xml:space="preserve"> </v>
      </c>
      <c r="P125" s="245" t="str">
        <f t="shared" si="15"/>
        <v xml:space="preserve"> </v>
      </c>
      <c r="Q125" s="245" t="str">
        <f t="shared" si="15"/>
        <v xml:space="preserve"> </v>
      </c>
      <c r="R125" s="245" t="str">
        <f t="shared" si="15"/>
        <v xml:space="preserve"> </v>
      </c>
      <c r="S125" s="245" t="str">
        <f t="shared" si="15"/>
        <v xml:space="preserve"> </v>
      </c>
      <c r="T125" s="245" t="str">
        <f t="shared" si="15"/>
        <v xml:space="preserve"> </v>
      </c>
      <c r="U125" s="245" t="str">
        <f t="shared" si="15"/>
        <v xml:space="preserve"> </v>
      </c>
      <c r="V125" s="208">
        <f>SUM($N$10:$U125)</f>
        <v>0</v>
      </c>
      <c r="W125" s="208">
        <f>VLOOKUP(V125,Calcs!$Q$4:$R$24,2,TRUE)</f>
        <v>0</v>
      </c>
      <c r="X125" s="435" t="str">
        <f t="shared" si="12"/>
        <v>No</v>
      </c>
      <c r="Y125" s="436"/>
      <c r="Z125" s="435">
        <f t="shared" si="13"/>
        <v>0</v>
      </c>
      <c r="AA125" s="245" t="str">
        <f>IF(AND(X125="Yes",NOT(ISBLANK(Z125))),VLOOKUP(Z125,Calcs!$Y$48:$Z$57,2,TRUE)," ")</f>
        <v xml:space="preserve"> </v>
      </c>
    </row>
    <row r="126" spans="1:27" x14ac:dyDescent="0.2">
      <c r="A126" s="425">
        <f t="shared" si="14"/>
        <v>152</v>
      </c>
      <c r="B126" s="425" t="str">
        <f t="shared" si="10"/>
        <v>Winter</v>
      </c>
      <c r="C126" s="247">
        <f>IF(B126="Winter",A126-('Start Character'!$K$6)-1,IF('Start Character'!$K$7&gt;6,A126-('Start Character'!$K$6)-1,A126-('Start Character'!$K$6)))</f>
        <v>151</v>
      </c>
      <c r="D126" s="247">
        <f t="shared" si="11"/>
        <v>151</v>
      </c>
      <c r="E126" s="246"/>
      <c r="F126" s="83"/>
      <c r="G126" s="83"/>
      <c r="H126" s="246"/>
      <c r="I126" s="433"/>
      <c r="J126" s="254">
        <f>IF(ISBLANK(I126),0,ROUNDUP(D126/10,0)-E126-H126-F126-G126+VLOOKUP($D$2,Calcs!$A$23:$B$27,2,FALSE)+I126)</f>
        <v>0</v>
      </c>
      <c r="K126" s="245" t="str">
        <f>IF(ISBLANK(I126)," ",VLOOKUP(J126,Calcs!$A$82:$H$106,2,TRUE))</f>
        <v xml:space="preserve"> </v>
      </c>
      <c r="L126" s="245">
        <f>IF(ISBLANK(I126),0,VLOOKUP(J126,Calcs!$A$82:$F$106,5,TRUE))</f>
        <v>0</v>
      </c>
      <c r="M126" s="208">
        <f>IF(J126=13,IF(ISNUMBER(W125),VLOOKUP(W125+1,Calcs!$O$4:$Q$24,3,TRUE)-V125,5),IF(J126&lt;10,0,IF(J126&lt;18,1,IF(J126&lt;22,2,IF(ISNUMBER(W125),VLOOKUP(W125+1,Calcs!$O$4:$Q$24,3,TRUE)-V125,5)))))</f>
        <v>0</v>
      </c>
      <c r="N126" s="245" t="str">
        <f t="shared" si="15"/>
        <v xml:space="preserve"> </v>
      </c>
      <c r="O126" s="245" t="str">
        <f t="shared" si="15"/>
        <v xml:space="preserve"> </v>
      </c>
      <c r="P126" s="245" t="str">
        <f t="shared" si="15"/>
        <v xml:space="preserve"> </v>
      </c>
      <c r="Q126" s="245" t="str">
        <f t="shared" si="15"/>
        <v xml:space="preserve"> </v>
      </c>
      <c r="R126" s="245" t="str">
        <f t="shared" si="15"/>
        <v xml:space="preserve"> </v>
      </c>
      <c r="S126" s="245" t="str">
        <f t="shared" si="15"/>
        <v xml:space="preserve"> </v>
      </c>
      <c r="T126" s="245" t="str">
        <f t="shared" si="15"/>
        <v xml:space="preserve"> </v>
      </c>
      <c r="U126" s="245" t="str">
        <f t="shared" si="15"/>
        <v xml:space="preserve"> </v>
      </c>
      <c r="V126" s="208">
        <f>SUM($N$10:$U126)</f>
        <v>0</v>
      </c>
      <c r="W126" s="208">
        <f>VLOOKUP(V126,Calcs!$Q$4:$R$24,2,TRUE)</f>
        <v>0</v>
      </c>
      <c r="X126" s="435" t="str">
        <f t="shared" si="12"/>
        <v>No</v>
      </c>
      <c r="Y126" s="436"/>
      <c r="Z126" s="435">
        <f t="shared" si="13"/>
        <v>0</v>
      </c>
      <c r="AA126" s="245" t="str">
        <f>IF(AND(X126="Yes",NOT(ISBLANK(Z126))),VLOOKUP(Z126,Calcs!$Y$48:$Z$57,2,TRUE)," ")</f>
        <v xml:space="preserve"> </v>
      </c>
    </row>
    <row r="127" spans="1:27" x14ac:dyDescent="0.2">
      <c r="A127" s="425">
        <f t="shared" si="14"/>
        <v>153</v>
      </c>
      <c r="B127" s="425" t="str">
        <f t="shared" si="10"/>
        <v>Winter</v>
      </c>
      <c r="C127" s="247">
        <f>IF(B127="Winter",A127-('Start Character'!$K$6)-1,IF('Start Character'!$K$7&gt;6,A127-('Start Character'!$K$6)-1,A127-('Start Character'!$K$6)))</f>
        <v>152</v>
      </c>
      <c r="D127" s="247">
        <f t="shared" si="11"/>
        <v>152</v>
      </c>
      <c r="E127" s="246"/>
      <c r="F127" s="83"/>
      <c r="G127" s="83"/>
      <c r="H127" s="246"/>
      <c r="I127" s="433"/>
      <c r="J127" s="254">
        <f>IF(ISBLANK(I127),0,ROUNDUP(D127/10,0)-E127-H127-F127-G127+VLOOKUP($D$2,Calcs!$A$23:$B$27,2,FALSE)+I127)</f>
        <v>0</v>
      </c>
      <c r="K127" s="245" t="str">
        <f>IF(ISBLANK(I127)," ",VLOOKUP(J127,Calcs!$A$82:$H$106,2,TRUE))</f>
        <v xml:space="preserve"> </v>
      </c>
      <c r="L127" s="245">
        <f>IF(ISBLANK(I127),0,VLOOKUP(J127,Calcs!$A$82:$F$106,5,TRUE))</f>
        <v>0</v>
      </c>
      <c r="M127" s="208">
        <f>IF(J127=13,IF(ISNUMBER(W126),VLOOKUP(W126+1,Calcs!$O$4:$Q$24,3,TRUE)-V126,5),IF(J127&lt;10,0,IF(J127&lt;18,1,IF(J127&lt;22,2,IF(ISNUMBER(W126),VLOOKUP(W126+1,Calcs!$O$4:$Q$24,3,TRUE)-V126,5)))))</f>
        <v>0</v>
      </c>
      <c r="N127" s="245" t="str">
        <f t="shared" si="15"/>
        <v xml:space="preserve"> </v>
      </c>
      <c r="O127" s="245" t="str">
        <f t="shared" si="15"/>
        <v xml:space="preserve"> </v>
      </c>
      <c r="P127" s="245" t="str">
        <f t="shared" si="15"/>
        <v xml:space="preserve"> </v>
      </c>
      <c r="Q127" s="245" t="str">
        <f t="shared" si="15"/>
        <v xml:space="preserve"> </v>
      </c>
      <c r="R127" s="245" t="str">
        <f t="shared" si="15"/>
        <v xml:space="preserve"> </v>
      </c>
      <c r="S127" s="245" t="str">
        <f t="shared" si="15"/>
        <v xml:space="preserve"> </v>
      </c>
      <c r="T127" s="245" t="str">
        <f t="shared" si="15"/>
        <v xml:space="preserve"> </v>
      </c>
      <c r="U127" s="245" t="str">
        <f t="shared" si="15"/>
        <v xml:space="preserve"> </v>
      </c>
      <c r="V127" s="208">
        <f>SUM($N$10:$U127)</f>
        <v>0</v>
      </c>
      <c r="W127" s="208">
        <f>VLOOKUP(V127,Calcs!$Q$4:$R$24,2,TRUE)</f>
        <v>0</v>
      </c>
      <c r="X127" s="435" t="str">
        <f t="shared" si="12"/>
        <v>No</v>
      </c>
      <c r="Y127" s="436"/>
      <c r="Z127" s="435">
        <f t="shared" si="13"/>
        <v>0</v>
      </c>
      <c r="AA127" s="245" t="str">
        <f>IF(AND(X127="Yes",NOT(ISBLANK(Z127))),VLOOKUP(Z127,Calcs!$Y$48:$Z$57,2,TRUE)," ")</f>
        <v xml:space="preserve"> </v>
      </c>
    </row>
    <row r="128" spans="1:27" x14ac:dyDescent="0.2">
      <c r="A128" s="425">
        <f t="shared" si="14"/>
        <v>154</v>
      </c>
      <c r="B128" s="425" t="str">
        <f t="shared" si="10"/>
        <v>Winter</v>
      </c>
      <c r="C128" s="247">
        <f>IF(B128="Winter",A128-('Start Character'!$K$6)-1,IF('Start Character'!$K$7&gt;6,A128-('Start Character'!$K$6)-1,A128-('Start Character'!$K$6)))</f>
        <v>153</v>
      </c>
      <c r="D128" s="247">
        <f t="shared" si="11"/>
        <v>153</v>
      </c>
      <c r="E128" s="246"/>
      <c r="F128" s="83"/>
      <c r="G128" s="83"/>
      <c r="H128" s="246"/>
      <c r="I128" s="433"/>
      <c r="J128" s="254">
        <f>IF(ISBLANK(I128),0,ROUNDUP(D128/10,0)-E128-H128-F128-G128+VLOOKUP($D$2,Calcs!$A$23:$B$27,2,FALSE)+I128)</f>
        <v>0</v>
      </c>
      <c r="K128" s="245" t="str">
        <f>IF(ISBLANK(I128)," ",VLOOKUP(J128,Calcs!$A$82:$H$106,2,TRUE))</f>
        <v xml:space="preserve"> </v>
      </c>
      <c r="L128" s="245">
        <f>IF(ISBLANK(I128),0,VLOOKUP(J128,Calcs!$A$82:$F$106,5,TRUE))</f>
        <v>0</v>
      </c>
      <c r="M128" s="208">
        <f>IF(J128=13,IF(ISNUMBER(W127),VLOOKUP(W127+1,Calcs!$O$4:$Q$24,3,TRUE)-V127,5),IF(J128&lt;10,0,IF(J128&lt;18,1,IF(J128&lt;22,2,IF(ISNUMBER(W127),VLOOKUP(W127+1,Calcs!$O$4:$Q$24,3,TRUE)-V127,5)))))</f>
        <v>0</v>
      </c>
      <c r="N128" s="245" t="str">
        <f t="shared" si="15"/>
        <v xml:space="preserve"> </v>
      </c>
      <c r="O128" s="245" t="str">
        <f t="shared" si="15"/>
        <v xml:space="preserve"> </v>
      </c>
      <c r="P128" s="245" t="str">
        <f t="shared" si="15"/>
        <v xml:space="preserve"> </v>
      </c>
      <c r="Q128" s="245" t="str">
        <f t="shared" si="15"/>
        <v xml:space="preserve"> </v>
      </c>
      <c r="R128" s="245" t="str">
        <f t="shared" si="15"/>
        <v xml:space="preserve"> </v>
      </c>
      <c r="S128" s="245" t="str">
        <f t="shared" si="15"/>
        <v xml:space="preserve"> </v>
      </c>
      <c r="T128" s="245" t="str">
        <f t="shared" si="15"/>
        <v xml:space="preserve"> </v>
      </c>
      <c r="U128" s="245" t="str">
        <f t="shared" si="15"/>
        <v xml:space="preserve"> </v>
      </c>
      <c r="V128" s="208">
        <f>SUM($N$10:$U128)</f>
        <v>0</v>
      </c>
      <c r="W128" s="208">
        <f>VLOOKUP(V128,Calcs!$Q$4:$R$24,2,TRUE)</f>
        <v>0</v>
      </c>
      <c r="X128" s="435" t="str">
        <f t="shared" si="12"/>
        <v>No</v>
      </c>
      <c r="Y128" s="436"/>
      <c r="Z128" s="435">
        <f t="shared" si="13"/>
        <v>0</v>
      </c>
      <c r="AA128" s="245" t="str">
        <f>IF(AND(X128="Yes",NOT(ISBLANK(Z128))),VLOOKUP(Z128,Calcs!$Y$48:$Z$57,2,TRUE)," ")</f>
        <v xml:space="preserve"> </v>
      </c>
    </row>
    <row r="129" spans="1:27" x14ac:dyDescent="0.2">
      <c r="A129" s="425">
        <f t="shared" si="14"/>
        <v>155</v>
      </c>
      <c r="B129" s="425" t="str">
        <f t="shared" si="10"/>
        <v>Winter</v>
      </c>
      <c r="C129" s="247">
        <f>IF(B129="Winter",A129-('Start Character'!$K$6)-1,IF('Start Character'!$K$7&gt;6,A129-('Start Character'!$K$6)-1,A129-('Start Character'!$K$6)))</f>
        <v>154</v>
      </c>
      <c r="D129" s="247">
        <f t="shared" si="11"/>
        <v>154</v>
      </c>
      <c r="E129" s="246"/>
      <c r="F129" s="83"/>
      <c r="G129" s="83"/>
      <c r="H129" s="246"/>
      <c r="I129" s="433"/>
      <c r="J129" s="254">
        <f>IF(ISBLANK(I129),0,ROUNDUP(D129/10,0)-E129-H129-F129-G129+VLOOKUP($D$2,Calcs!$A$23:$B$27,2,FALSE)+I129)</f>
        <v>0</v>
      </c>
      <c r="K129" s="245" t="str">
        <f>IF(ISBLANK(I129)," ",VLOOKUP(J129,Calcs!$A$82:$H$106,2,TRUE))</f>
        <v xml:space="preserve"> </v>
      </c>
      <c r="L129" s="245">
        <f>IF(ISBLANK(I129),0,VLOOKUP(J129,Calcs!$A$82:$F$106,5,TRUE))</f>
        <v>0</v>
      </c>
      <c r="M129" s="208">
        <f>IF(J129=13,IF(ISNUMBER(W128),VLOOKUP(W128+1,Calcs!$O$4:$Q$24,3,TRUE)-V128,5),IF(J129&lt;10,0,IF(J129&lt;18,1,IF(J129&lt;22,2,IF(ISNUMBER(W128),VLOOKUP(W128+1,Calcs!$O$4:$Q$24,3,TRUE)-V128,5)))))</f>
        <v>0</v>
      </c>
      <c r="N129" s="245" t="str">
        <f t="shared" si="15"/>
        <v xml:space="preserve"> </v>
      </c>
      <c r="O129" s="245" t="str">
        <f t="shared" si="15"/>
        <v xml:space="preserve"> </v>
      </c>
      <c r="P129" s="245" t="str">
        <f t="shared" si="15"/>
        <v xml:space="preserve"> </v>
      </c>
      <c r="Q129" s="245" t="str">
        <f t="shared" si="15"/>
        <v xml:space="preserve"> </v>
      </c>
      <c r="R129" s="245" t="str">
        <f t="shared" si="15"/>
        <v xml:space="preserve"> </v>
      </c>
      <c r="S129" s="245" t="str">
        <f t="shared" ref="N129:U161" si="16">IF(ISERROR(FIND(S$9,$K129))," ",1)</f>
        <v xml:space="preserve"> </v>
      </c>
      <c r="T129" s="245" t="str">
        <f t="shared" si="16"/>
        <v xml:space="preserve"> </v>
      </c>
      <c r="U129" s="245" t="str">
        <f t="shared" si="16"/>
        <v xml:space="preserve"> </v>
      </c>
      <c r="V129" s="208">
        <f>SUM($N$10:$U129)</f>
        <v>0</v>
      </c>
      <c r="W129" s="208">
        <f>VLOOKUP(V129,Calcs!$Q$4:$R$24,2,TRUE)</f>
        <v>0</v>
      </c>
      <c r="X129" s="435" t="str">
        <f t="shared" si="12"/>
        <v>No</v>
      </c>
      <c r="Y129" s="436"/>
      <c r="Z129" s="435">
        <f t="shared" si="13"/>
        <v>0</v>
      </c>
      <c r="AA129" s="245" t="str">
        <f>IF(AND(X129="Yes",NOT(ISBLANK(Z129))),VLOOKUP(Z129,Calcs!$Y$48:$Z$57,2,TRUE)," ")</f>
        <v xml:space="preserve"> </v>
      </c>
    </row>
    <row r="130" spans="1:27" x14ac:dyDescent="0.2">
      <c r="A130" s="425">
        <f t="shared" si="14"/>
        <v>156</v>
      </c>
      <c r="B130" s="425" t="str">
        <f t="shared" si="10"/>
        <v>Winter</v>
      </c>
      <c r="C130" s="247">
        <f>IF(B130="Winter",A130-('Start Character'!$K$6)-1,IF('Start Character'!$K$7&gt;6,A130-('Start Character'!$K$6)-1,A130-('Start Character'!$K$6)))</f>
        <v>155</v>
      </c>
      <c r="D130" s="247">
        <f t="shared" si="11"/>
        <v>155</v>
      </c>
      <c r="E130" s="246"/>
      <c r="F130" s="83"/>
      <c r="G130" s="83"/>
      <c r="H130" s="246"/>
      <c r="I130" s="433"/>
      <c r="J130" s="254">
        <f>IF(ISBLANK(I130),0,ROUNDUP(D130/10,0)-E130-H130-F130-G130+VLOOKUP($D$2,Calcs!$A$23:$B$27,2,FALSE)+I130)</f>
        <v>0</v>
      </c>
      <c r="K130" s="245" t="str">
        <f>IF(ISBLANK(I130)," ",VLOOKUP(J130,Calcs!$A$82:$H$106,2,TRUE))</f>
        <v xml:space="preserve"> </v>
      </c>
      <c r="L130" s="245">
        <f>IF(ISBLANK(I130),0,VLOOKUP(J130,Calcs!$A$82:$F$106,5,TRUE))</f>
        <v>0</v>
      </c>
      <c r="M130" s="208">
        <f>IF(J130=13,IF(ISNUMBER(W129),VLOOKUP(W129+1,Calcs!$O$4:$Q$24,3,TRUE)-V129,5),IF(J130&lt;10,0,IF(J130&lt;18,1,IF(J130&lt;22,2,IF(ISNUMBER(W129),VLOOKUP(W129+1,Calcs!$O$4:$Q$24,3,TRUE)-V129,5)))))</f>
        <v>0</v>
      </c>
      <c r="N130" s="245" t="str">
        <f t="shared" si="16"/>
        <v xml:space="preserve"> </v>
      </c>
      <c r="O130" s="245" t="str">
        <f t="shared" si="16"/>
        <v xml:space="preserve"> </v>
      </c>
      <c r="P130" s="245" t="str">
        <f t="shared" si="16"/>
        <v xml:space="preserve"> </v>
      </c>
      <c r="Q130" s="245" t="str">
        <f t="shared" si="16"/>
        <v xml:space="preserve"> </v>
      </c>
      <c r="R130" s="245" t="str">
        <f t="shared" si="16"/>
        <v xml:space="preserve"> </v>
      </c>
      <c r="S130" s="245" t="str">
        <f t="shared" si="16"/>
        <v xml:space="preserve"> </v>
      </c>
      <c r="T130" s="245" t="str">
        <f t="shared" si="16"/>
        <v xml:space="preserve"> </v>
      </c>
      <c r="U130" s="245" t="str">
        <f t="shared" si="16"/>
        <v xml:space="preserve"> </v>
      </c>
      <c r="V130" s="208">
        <f>SUM($N$10:$U130)</f>
        <v>0</v>
      </c>
      <c r="W130" s="208">
        <f>VLOOKUP(V130,Calcs!$Q$4:$R$24,2,TRUE)</f>
        <v>0</v>
      </c>
      <c r="X130" s="435" t="str">
        <f t="shared" si="12"/>
        <v>No</v>
      </c>
      <c r="Y130" s="436"/>
      <c r="Z130" s="435">
        <f t="shared" si="13"/>
        <v>0</v>
      </c>
      <c r="AA130" s="245" t="str">
        <f>IF(AND(X130="Yes",NOT(ISBLANK(Z130))),VLOOKUP(Z130,Calcs!$Y$48:$Z$57,2,TRUE)," ")</f>
        <v xml:space="preserve"> </v>
      </c>
    </row>
    <row r="131" spans="1:27" x14ac:dyDescent="0.2">
      <c r="A131" s="425">
        <f t="shared" si="14"/>
        <v>157</v>
      </c>
      <c r="B131" s="425" t="str">
        <f t="shared" si="10"/>
        <v>Winter</v>
      </c>
      <c r="C131" s="247">
        <f>IF(B131="Winter",A131-('Start Character'!$K$6)-1,IF('Start Character'!$K$7&gt;6,A131-('Start Character'!$K$6)-1,A131-('Start Character'!$K$6)))</f>
        <v>156</v>
      </c>
      <c r="D131" s="247">
        <f t="shared" si="11"/>
        <v>156</v>
      </c>
      <c r="E131" s="246"/>
      <c r="F131" s="83"/>
      <c r="G131" s="83"/>
      <c r="H131" s="246"/>
      <c r="I131" s="433"/>
      <c r="J131" s="254">
        <f>IF(ISBLANK(I131),0,ROUNDUP(D131/10,0)-E131-H131-F131-G131+VLOOKUP($D$2,Calcs!$A$23:$B$27,2,FALSE)+I131)</f>
        <v>0</v>
      </c>
      <c r="K131" s="245" t="str">
        <f>IF(ISBLANK(I131)," ",VLOOKUP(J131,Calcs!$A$82:$H$106,2,TRUE))</f>
        <v xml:space="preserve"> </v>
      </c>
      <c r="L131" s="245">
        <f>IF(ISBLANK(I131),0,VLOOKUP(J131,Calcs!$A$82:$F$106,5,TRUE))</f>
        <v>0</v>
      </c>
      <c r="M131" s="208">
        <f>IF(J131=13,IF(ISNUMBER(W130),VLOOKUP(W130+1,Calcs!$O$4:$Q$24,3,TRUE)-V130,5),IF(J131&lt;10,0,IF(J131&lt;18,1,IF(J131&lt;22,2,IF(ISNUMBER(W130),VLOOKUP(W130+1,Calcs!$O$4:$Q$24,3,TRUE)-V130,5)))))</f>
        <v>0</v>
      </c>
      <c r="N131" s="245" t="str">
        <f t="shared" si="16"/>
        <v xml:space="preserve"> </v>
      </c>
      <c r="O131" s="245" t="str">
        <f t="shared" si="16"/>
        <v xml:space="preserve"> </v>
      </c>
      <c r="P131" s="245" t="str">
        <f t="shared" si="16"/>
        <v xml:space="preserve"> </v>
      </c>
      <c r="Q131" s="245" t="str">
        <f t="shared" si="16"/>
        <v xml:space="preserve"> </v>
      </c>
      <c r="R131" s="245" t="str">
        <f t="shared" si="16"/>
        <v xml:space="preserve"> </v>
      </c>
      <c r="S131" s="245" t="str">
        <f t="shared" si="16"/>
        <v xml:space="preserve"> </v>
      </c>
      <c r="T131" s="245" t="str">
        <f t="shared" si="16"/>
        <v xml:space="preserve"> </v>
      </c>
      <c r="U131" s="245" t="str">
        <f t="shared" si="16"/>
        <v xml:space="preserve"> </v>
      </c>
      <c r="V131" s="208">
        <f>SUM($N$10:$U131)</f>
        <v>0</v>
      </c>
      <c r="W131" s="208">
        <f>VLOOKUP(V131,Calcs!$Q$4:$R$24,2,TRUE)</f>
        <v>0</v>
      </c>
      <c r="X131" s="435" t="str">
        <f t="shared" si="12"/>
        <v>No</v>
      </c>
      <c r="Y131" s="436"/>
      <c r="Z131" s="435">
        <f t="shared" si="13"/>
        <v>0</v>
      </c>
      <c r="AA131" s="245" t="str">
        <f>IF(AND(X131="Yes",NOT(ISBLANK(Z131))),VLOOKUP(Z131,Calcs!$Y$48:$Z$57,2,TRUE)," ")</f>
        <v xml:space="preserve"> </v>
      </c>
    </row>
    <row r="132" spans="1:27" x14ac:dyDescent="0.2">
      <c r="A132" s="425">
        <f t="shared" si="14"/>
        <v>158</v>
      </c>
      <c r="B132" s="425" t="str">
        <f t="shared" si="10"/>
        <v>Winter</v>
      </c>
      <c r="C132" s="247">
        <f>IF(B132="Winter",A132-('Start Character'!$K$6)-1,IF('Start Character'!$K$7&gt;6,A132-('Start Character'!$K$6)-1,A132-('Start Character'!$K$6)))</f>
        <v>157</v>
      </c>
      <c r="D132" s="247">
        <f t="shared" si="11"/>
        <v>157</v>
      </c>
      <c r="E132" s="246"/>
      <c r="F132" s="83"/>
      <c r="G132" s="83"/>
      <c r="H132" s="246"/>
      <c r="I132" s="433"/>
      <c r="J132" s="254">
        <f>IF(ISBLANK(I132),0,ROUNDUP(D132/10,0)-E132-H132-F132-G132+VLOOKUP($D$2,Calcs!$A$23:$B$27,2,FALSE)+I132)</f>
        <v>0</v>
      </c>
      <c r="K132" s="245" t="str">
        <f>IF(ISBLANK(I132)," ",VLOOKUP(J132,Calcs!$A$82:$H$106,2,TRUE))</f>
        <v xml:space="preserve"> </v>
      </c>
      <c r="L132" s="245">
        <f>IF(ISBLANK(I132),0,VLOOKUP(J132,Calcs!$A$82:$F$106,5,TRUE))</f>
        <v>0</v>
      </c>
      <c r="M132" s="208">
        <f>IF(J132=13,IF(ISNUMBER(W131),VLOOKUP(W131+1,Calcs!$O$4:$Q$24,3,TRUE)-V131,5),IF(J132&lt;10,0,IF(J132&lt;18,1,IF(J132&lt;22,2,IF(ISNUMBER(W131),VLOOKUP(W131+1,Calcs!$O$4:$Q$24,3,TRUE)-V131,5)))))</f>
        <v>0</v>
      </c>
      <c r="N132" s="245" t="str">
        <f t="shared" si="16"/>
        <v xml:space="preserve"> </v>
      </c>
      <c r="O132" s="245" t="str">
        <f t="shared" si="16"/>
        <v xml:space="preserve"> </v>
      </c>
      <c r="P132" s="245" t="str">
        <f t="shared" si="16"/>
        <v xml:space="preserve"> </v>
      </c>
      <c r="Q132" s="245" t="str">
        <f t="shared" si="16"/>
        <v xml:space="preserve"> </v>
      </c>
      <c r="R132" s="245" t="str">
        <f t="shared" si="16"/>
        <v xml:space="preserve"> </v>
      </c>
      <c r="S132" s="245" t="str">
        <f t="shared" si="16"/>
        <v xml:space="preserve"> </v>
      </c>
      <c r="T132" s="245" t="str">
        <f t="shared" si="16"/>
        <v xml:space="preserve"> </v>
      </c>
      <c r="U132" s="245" t="str">
        <f t="shared" si="16"/>
        <v xml:space="preserve"> </v>
      </c>
      <c r="V132" s="208">
        <f>SUM($N$10:$U132)</f>
        <v>0</v>
      </c>
      <c r="W132" s="208">
        <f>VLOOKUP(V132,Calcs!$Q$4:$R$24,2,TRUE)</f>
        <v>0</v>
      </c>
      <c r="X132" s="435" t="str">
        <f t="shared" si="12"/>
        <v>No</v>
      </c>
      <c r="Y132" s="436"/>
      <c r="Z132" s="435">
        <f t="shared" si="13"/>
        <v>0</v>
      </c>
      <c r="AA132" s="245" t="str">
        <f>IF(AND(X132="Yes",NOT(ISBLANK(Z132))),VLOOKUP(Z132,Calcs!$Y$48:$Z$57,2,TRUE)," ")</f>
        <v xml:space="preserve"> </v>
      </c>
    </row>
    <row r="133" spans="1:27" x14ac:dyDescent="0.2">
      <c r="A133" s="425">
        <f t="shared" si="14"/>
        <v>159</v>
      </c>
      <c r="B133" s="425" t="str">
        <f t="shared" si="10"/>
        <v>Winter</v>
      </c>
      <c r="C133" s="247">
        <f>IF(B133="Winter",A133-('Start Character'!$K$6)-1,IF('Start Character'!$K$7&gt;6,A133-('Start Character'!$K$6)-1,A133-('Start Character'!$K$6)))</f>
        <v>158</v>
      </c>
      <c r="D133" s="247">
        <f t="shared" si="11"/>
        <v>158</v>
      </c>
      <c r="E133" s="246"/>
      <c r="F133" s="83"/>
      <c r="G133" s="83"/>
      <c r="H133" s="246"/>
      <c r="I133" s="433"/>
      <c r="J133" s="254">
        <f>IF(ISBLANK(I133),0,ROUNDUP(D133/10,0)-E133-H133-F133-G133+VLOOKUP($D$2,Calcs!$A$23:$B$27,2,FALSE)+I133)</f>
        <v>0</v>
      </c>
      <c r="K133" s="245" t="str">
        <f>IF(ISBLANK(I133)," ",VLOOKUP(J133,Calcs!$A$82:$H$106,2,TRUE))</f>
        <v xml:space="preserve"> </v>
      </c>
      <c r="L133" s="245">
        <f>IF(ISBLANK(I133),0,VLOOKUP(J133,Calcs!$A$82:$F$106,5,TRUE))</f>
        <v>0</v>
      </c>
      <c r="M133" s="208">
        <f>IF(J133=13,IF(ISNUMBER(W132),VLOOKUP(W132+1,Calcs!$O$4:$Q$24,3,TRUE)-V132,5),IF(J133&lt;10,0,IF(J133&lt;18,1,IF(J133&lt;22,2,IF(ISNUMBER(W132),VLOOKUP(W132+1,Calcs!$O$4:$Q$24,3,TRUE)-V132,5)))))</f>
        <v>0</v>
      </c>
      <c r="N133" s="245" t="str">
        <f t="shared" si="16"/>
        <v xml:space="preserve"> </v>
      </c>
      <c r="O133" s="245" t="str">
        <f t="shared" si="16"/>
        <v xml:space="preserve"> </v>
      </c>
      <c r="P133" s="245" t="str">
        <f t="shared" si="16"/>
        <v xml:space="preserve"> </v>
      </c>
      <c r="Q133" s="245" t="str">
        <f t="shared" si="16"/>
        <v xml:space="preserve"> </v>
      </c>
      <c r="R133" s="245" t="str">
        <f t="shared" si="16"/>
        <v xml:space="preserve"> </v>
      </c>
      <c r="S133" s="245" t="str">
        <f t="shared" si="16"/>
        <v xml:space="preserve"> </v>
      </c>
      <c r="T133" s="245" t="str">
        <f t="shared" si="16"/>
        <v xml:space="preserve"> </v>
      </c>
      <c r="U133" s="245" t="str">
        <f t="shared" si="16"/>
        <v xml:space="preserve"> </v>
      </c>
      <c r="V133" s="208">
        <f>SUM($N$10:$U133)</f>
        <v>0</v>
      </c>
      <c r="W133" s="208">
        <f>VLOOKUP(V133,Calcs!$Q$4:$R$24,2,TRUE)</f>
        <v>0</v>
      </c>
      <c r="X133" s="435" t="str">
        <f t="shared" si="12"/>
        <v>No</v>
      </c>
      <c r="Y133" s="436"/>
      <c r="Z133" s="435">
        <f t="shared" si="13"/>
        <v>0</v>
      </c>
      <c r="AA133" s="245" t="str">
        <f>IF(AND(X133="Yes",NOT(ISBLANK(Z133))),VLOOKUP(Z133,Calcs!$Y$48:$Z$57,2,TRUE)," ")</f>
        <v xml:space="preserve"> </v>
      </c>
    </row>
    <row r="134" spans="1:27" x14ac:dyDescent="0.2">
      <c r="A134" s="425">
        <f t="shared" si="14"/>
        <v>160</v>
      </c>
      <c r="B134" s="425" t="str">
        <f t="shared" si="10"/>
        <v>Winter</v>
      </c>
      <c r="C134" s="247">
        <f>IF(B134="Winter",A134-('Start Character'!$K$6)-1,IF('Start Character'!$K$7&gt;6,A134-('Start Character'!$K$6)-1,A134-('Start Character'!$K$6)))</f>
        <v>159</v>
      </c>
      <c r="D134" s="247">
        <f t="shared" si="11"/>
        <v>159</v>
      </c>
      <c r="E134" s="246"/>
      <c r="F134" s="83"/>
      <c r="G134" s="83"/>
      <c r="H134" s="246"/>
      <c r="I134" s="433"/>
      <c r="J134" s="254">
        <f>IF(ISBLANK(I134),0,ROUNDUP(D134/10,0)-E134-H134-F134-G134+VLOOKUP($D$2,Calcs!$A$23:$B$27,2,FALSE)+I134)</f>
        <v>0</v>
      </c>
      <c r="K134" s="245" t="str">
        <f>IF(ISBLANK(I134)," ",VLOOKUP(J134,Calcs!$A$82:$H$106,2,TRUE))</f>
        <v xml:space="preserve"> </v>
      </c>
      <c r="L134" s="245">
        <f>IF(ISBLANK(I134),0,VLOOKUP(J134,Calcs!$A$82:$F$106,5,TRUE))</f>
        <v>0</v>
      </c>
      <c r="M134" s="208">
        <f>IF(J134=13,IF(ISNUMBER(W133),VLOOKUP(W133+1,Calcs!$O$4:$Q$24,3,TRUE)-V133,5),IF(J134&lt;10,0,IF(J134&lt;18,1,IF(J134&lt;22,2,IF(ISNUMBER(W133),VLOOKUP(W133+1,Calcs!$O$4:$Q$24,3,TRUE)-V133,5)))))</f>
        <v>0</v>
      </c>
      <c r="N134" s="245" t="str">
        <f t="shared" si="16"/>
        <v xml:space="preserve"> </v>
      </c>
      <c r="O134" s="245" t="str">
        <f t="shared" si="16"/>
        <v xml:space="preserve"> </v>
      </c>
      <c r="P134" s="245" t="str">
        <f t="shared" si="16"/>
        <v xml:space="preserve"> </v>
      </c>
      <c r="Q134" s="245" t="str">
        <f t="shared" si="16"/>
        <v xml:space="preserve"> </v>
      </c>
      <c r="R134" s="245" t="str">
        <f t="shared" si="16"/>
        <v xml:space="preserve"> </v>
      </c>
      <c r="S134" s="245" t="str">
        <f t="shared" si="16"/>
        <v xml:space="preserve"> </v>
      </c>
      <c r="T134" s="245" t="str">
        <f t="shared" si="16"/>
        <v xml:space="preserve"> </v>
      </c>
      <c r="U134" s="245" t="str">
        <f t="shared" si="16"/>
        <v xml:space="preserve"> </v>
      </c>
      <c r="V134" s="208">
        <f>SUM($N$10:$U134)</f>
        <v>0</v>
      </c>
      <c r="W134" s="208">
        <f>VLOOKUP(V134,Calcs!$Q$4:$R$24,2,TRUE)</f>
        <v>0</v>
      </c>
      <c r="X134" s="435" t="str">
        <f t="shared" si="12"/>
        <v>No</v>
      </c>
      <c r="Y134" s="436"/>
      <c r="Z134" s="435">
        <f t="shared" si="13"/>
        <v>0</v>
      </c>
      <c r="AA134" s="245" t="str">
        <f>IF(AND(X134="Yes",NOT(ISBLANK(Z134))),VLOOKUP(Z134,Calcs!$Y$48:$Z$57,2,TRUE)," ")</f>
        <v xml:space="preserve"> </v>
      </c>
    </row>
    <row r="135" spans="1:27" x14ac:dyDescent="0.2">
      <c r="A135" s="425">
        <f t="shared" si="14"/>
        <v>161</v>
      </c>
      <c r="B135" s="425" t="str">
        <f t="shared" si="10"/>
        <v>Winter</v>
      </c>
      <c r="C135" s="247">
        <f>IF(B135="Winter",A135-('Start Character'!$K$6)-1,IF('Start Character'!$K$7&gt;6,A135-('Start Character'!$K$6)-1,A135-('Start Character'!$K$6)))</f>
        <v>160</v>
      </c>
      <c r="D135" s="247">
        <f t="shared" si="11"/>
        <v>160</v>
      </c>
      <c r="E135" s="246"/>
      <c r="F135" s="83"/>
      <c r="G135" s="83"/>
      <c r="H135" s="246"/>
      <c r="I135" s="433"/>
      <c r="J135" s="254">
        <f>IF(ISBLANK(I135),0,ROUNDUP(D135/10,0)-E135-H135-F135-G135+VLOOKUP($D$2,Calcs!$A$23:$B$27,2,FALSE)+I135)</f>
        <v>0</v>
      </c>
      <c r="K135" s="245" t="str">
        <f>IF(ISBLANK(I135)," ",VLOOKUP(J135,Calcs!$A$82:$H$106,2,TRUE))</f>
        <v xml:space="preserve"> </v>
      </c>
      <c r="L135" s="245">
        <f>IF(ISBLANK(I135),0,VLOOKUP(J135,Calcs!$A$82:$F$106,5,TRUE))</f>
        <v>0</v>
      </c>
      <c r="M135" s="208">
        <f>IF(J135=13,IF(ISNUMBER(W134),VLOOKUP(W134+1,Calcs!$O$4:$Q$24,3,TRUE)-V134,5),IF(J135&lt;10,0,IF(J135&lt;18,1,IF(J135&lt;22,2,IF(ISNUMBER(W134),VLOOKUP(W134+1,Calcs!$O$4:$Q$24,3,TRUE)-V134,5)))))</f>
        <v>0</v>
      </c>
      <c r="N135" s="245" t="str">
        <f t="shared" si="16"/>
        <v xml:space="preserve"> </v>
      </c>
      <c r="O135" s="245" t="str">
        <f t="shared" si="16"/>
        <v xml:space="preserve"> </v>
      </c>
      <c r="P135" s="245" t="str">
        <f t="shared" si="16"/>
        <v xml:space="preserve"> </v>
      </c>
      <c r="Q135" s="245" t="str">
        <f t="shared" si="16"/>
        <v xml:space="preserve"> </v>
      </c>
      <c r="R135" s="245" t="str">
        <f t="shared" si="16"/>
        <v xml:space="preserve"> </v>
      </c>
      <c r="S135" s="245" t="str">
        <f t="shared" si="16"/>
        <v xml:space="preserve"> </v>
      </c>
      <c r="T135" s="245" t="str">
        <f t="shared" si="16"/>
        <v xml:space="preserve"> </v>
      </c>
      <c r="U135" s="245" t="str">
        <f t="shared" si="16"/>
        <v xml:space="preserve"> </v>
      </c>
      <c r="V135" s="208">
        <f>SUM($N$10:$U135)</f>
        <v>0</v>
      </c>
      <c r="W135" s="208">
        <f>VLOOKUP(V135,Calcs!$Q$4:$R$24,2,TRUE)</f>
        <v>0</v>
      </c>
      <c r="X135" s="435" t="str">
        <f t="shared" si="12"/>
        <v>No</v>
      </c>
      <c r="Y135" s="436"/>
      <c r="Z135" s="435">
        <f t="shared" si="13"/>
        <v>0</v>
      </c>
      <c r="AA135" s="245" t="str">
        <f>IF(AND(X135="Yes",NOT(ISBLANK(Z135))),VLOOKUP(Z135,Calcs!$Y$48:$Z$57,2,TRUE)," ")</f>
        <v xml:space="preserve"> </v>
      </c>
    </row>
    <row r="136" spans="1:27" x14ac:dyDescent="0.2">
      <c r="A136" s="425">
        <f t="shared" si="14"/>
        <v>162</v>
      </c>
      <c r="B136" s="425" t="str">
        <f t="shared" si="10"/>
        <v>Winter</v>
      </c>
      <c r="C136" s="247">
        <f>IF(B136="Winter",A136-('Start Character'!$K$6)-1,IF('Start Character'!$K$7&gt;6,A136-('Start Character'!$K$6)-1,A136-('Start Character'!$K$6)))</f>
        <v>161</v>
      </c>
      <c r="D136" s="247">
        <f t="shared" si="11"/>
        <v>161</v>
      </c>
      <c r="E136" s="246"/>
      <c r="F136" s="83"/>
      <c r="G136" s="83"/>
      <c r="H136" s="246"/>
      <c r="I136" s="433"/>
      <c r="J136" s="254">
        <f>IF(ISBLANK(I136),0,ROUNDUP(D136/10,0)-E136-H136-F136-G136+VLOOKUP($D$2,Calcs!$A$23:$B$27,2,FALSE)+I136)</f>
        <v>0</v>
      </c>
      <c r="K136" s="245" t="str">
        <f>IF(ISBLANK(I136)," ",VLOOKUP(J136,Calcs!$A$82:$H$106,2,TRUE))</f>
        <v xml:space="preserve"> </v>
      </c>
      <c r="L136" s="245">
        <f>IF(ISBLANK(I136),0,VLOOKUP(J136,Calcs!$A$82:$F$106,5,TRUE))</f>
        <v>0</v>
      </c>
      <c r="M136" s="208">
        <f>IF(J136=13,IF(ISNUMBER(W135),VLOOKUP(W135+1,Calcs!$O$4:$Q$24,3,TRUE)-V135,5),IF(J136&lt;10,0,IF(J136&lt;18,1,IF(J136&lt;22,2,IF(ISNUMBER(W135),VLOOKUP(W135+1,Calcs!$O$4:$Q$24,3,TRUE)-V135,5)))))</f>
        <v>0</v>
      </c>
      <c r="N136" s="245" t="str">
        <f t="shared" si="16"/>
        <v xml:space="preserve"> </v>
      </c>
      <c r="O136" s="245" t="str">
        <f t="shared" si="16"/>
        <v xml:space="preserve"> </v>
      </c>
      <c r="P136" s="245" t="str">
        <f t="shared" si="16"/>
        <v xml:space="preserve"> </v>
      </c>
      <c r="Q136" s="245" t="str">
        <f t="shared" si="16"/>
        <v xml:space="preserve"> </v>
      </c>
      <c r="R136" s="245" t="str">
        <f t="shared" si="16"/>
        <v xml:space="preserve"> </v>
      </c>
      <c r="S136" s="245" t="str">
        <f t="shared" si="16"/>
        <v xml:space="preserve"> </v>
      </c>
      <c r="T136" s="245" t="str">
        <f t="shared" si="16"/>
        <v xml:space="preserve"> </v>
      </c>
      <c r="U136" s="245" t="str">
        <f t="shared" si="16"/>
        <v xml:space="preserve"> </v>
      </c>
      <c r="V136" s="208">
        <f>SUM($N$10:$U136)</f>
        <v>0</v>
      </c>
      <c r="W136" s="208">
        <f>VLOOKUP(V136,Calcs!$Q$4:$R$24,2,TRUE)</f>
        <v>0</v>
      </c>
      <c r="X136" s="435" t="str">
        <f t="shared" si="12"/>
        <v>No</v>
      </c>
      <c r="Y136" s="436"/>
      <c r="Z136" s="435">
        <f t="shared" si="13"/>
        <v>0</v>
      </c>
      <c r="AA136" s="245" t="str">
        <f>IF(AND(X136="Yes",NOT(ISBLANK(Z136))),VLOOKUP(Z136,Calcs!$Y$48:$Z$57,2,TRUE)," ")</f>
        <v xml:space="preserve"> </v>
      </c>
    </row>
    <row r="137" spans="1:27" x14ac:dyDescent="0.2">
      <c r="A137" s="425">
        <f t="shared" si="14"/>
        <v>163</v>
      </c>
      <c r="B137" s="425" t="str">
        <f t="shared" si="10"/>
        <v>Winter</v>
      </c>
      <c r="C137" s="247">
        <f>IF(B137="Winter",A137-('Start Character'!$K$6)-1,IF('Start Character'!$K$7&gt;6,A137-('Start Character'!$K$6)-1,A137-('Start Character'!$K$6)))</f>
        <v>162</v>
      </c>
      <c r="D137" s="247">
        <f t="shared" si="11"/>
        <v>162</v>
      </c>
      <c r="E137" s="246"/>
      <c r="F137" s="83"/>
      <c r="G137" s="83"/>
      <c r="H137" s="246"/>
      <c r="I137" s="433"/>
      <c r="J137" s="254">
        <f>IF(ISBLANK(I137),0,ROUNDUP(D137/10,0)-E137-H137-F137-G137+VLOOKUP($D$2,Calcs!$A$23:$B$27,2,FALSE)+I137)</f>
        <v>0</v>
      </c>
      <c r="K137" s="245" t="str">
        <f>IF(ISBLANK(I137)," ",VLOOKUP(J137,Calcs!$A$82:$H$106,2,TRUE))</f>
        <v xml:space="preserve"> </v>
      </c>
      <c r="L137" s="245">
        <f>IF(ISBLANK(I137),0,VLOOKUP(J137,Calcs!$A$82:$F$106,5,TRUE))</f>
        <v>0</v>
      </c>
      <c r="M137" s="208">
        <f>IF(J137=13,IF(ISNUMBER(W136),VLOOKUP(W136+1,Calcs!$O$4:$Q$24,3,TRUE)-V136,5),IF(J137&lt;10,0,IF(J137&lt;18,1,IF(J137&lt;22,2,IF(ISNUMBER(W136),VLOOKUP(W136+1,Calcs!$O$4:$Q$24,3,TRUE)-V136,5)))))</f>
        <v>0</v>
      </c>
      <c r="N137" s="245" t="str">
        <f t="shared" si="16"/>
        <v xml:space="preserve"> </v>
      </c>
      <c r="O137" s="245" t="str">
        <f t="shared" si="16"/>
        <v xml:space="preserve"> </v>
      </c>
      <c r="P137" s="245" t="str">
        <f t="shared" si="16"/>
        <v xml:space="preserve"> </v>
      </c>
      <c r="Q137" s="245" t="str">
        <f t="shared" si="16"/>
        <v xml:space="preserve"> </v>
      </c>
      <c r="R137" s="245" t="str">
        <f t="shared" si="16"/>
        <v xml:space="preserve"> </v>
      </c>
      <c r="S137" s="245" t="str">
        <f t="shared" si="16"/>
        <v xml:space="preserve"> </v>
      </c>
      <c r="T137" s="245" t="str">
        <f t="shared" si="16"/>
        <v xml:space="preserve"> </v>
      </c>
      <c r="U137" s="245" t="str">
        <f t="shared" si="16"/>
        <v xml:space="preserve"> </v>
      </c>
      <c r="V137" s="208">
        <f>SUM($N$10:$U137)</f>
        <v>0</v>
      </c>
      <c r="W137" s="208">
        <f>VLOOKUP(V137,Calcs!$Q$4:$R$24,2,TRUE)</f>
        <v>0</v>
      </c>
      <c r="X137" s="435" t="str">
        <f t="shared" si="12"/>
        <v>No</v>
      </c>
      <c r="Y137" s="436"/>
      <c r="Z137" s="435">
        <f t="shared" si="13"/>
        <v>0</v>
      </c>
      <c r="AA137" s="245" t="str">
        <f>IF(AND(X137="Yes",NOT(ISBLANK(Z137))),VLOOKUP(Z137,Calcs!$Y$48:$Z$57,2,TRUE)," ")</f>
        <v xml:space="preserve"> </v>
      </c>
    </row>
    <row r="138" spans="1:27" x14ac:dyDescent="0.2">
      <c r="A138" s="425">
        <f t="shared" si="14"/>
        <v>164</v>
      </c>
      <c r="B138" s="425" t="str">
        <f t="shared" si="10"/>
        <v>Winter</v>
      </c>
      <c r="C138" s="247">
        <f>IF(B138="Winter",A138-('Start Character'!$K$6)-1,IF('Start Character'!$K$7&gt;6,A138-('Start Character'!$K$6)-1,A138-('Start Character'!$K$6)))</f>
        <v>163</v>
      </c>
      <c r="D138" s="247">
        <f t="shared" si="11"/>
        <v>163</v>
      </c>
      <c r="E138" s="246"/>
      <c r="F138" s="83"/>
      <c r="G138" s="83"/>
      <c r="H138" s="246"/>
      <c r="I138" s="433"/>
      <c r="J138" s="254">
        <f>IF(ISBLANK(I138),0,ROUNDUP(D138/10,0)-E138-H138-F138-G138+VLOOKUP($D$2,Calcs!$A$23:$B$27,2,FALSE)+I138)</f>
        <v>0</v>
      </c>
      <c r="K138" s="245" t="str">
        <f>IF(ISBLANK(I138)," ",VLOOKUP(J138,Calcs!$A$82:$H$106,2,TRUE))</f>
        <v xml:space="preserve"> </v>
      </c>
      <c r="L138" s="245">
        <f>IF(ISBLANK(I138),0,VLOOKUP(J138,Calcs!$A$82:$F$106,5,TRUE))</f>
        <v>0</v>
      </c>
      <c r="M138" s="208">
        <f>IF(J138=13,IF(ISNUMBER(W137),VLOOKUP(W137+1,Calcs!$O$4:$Q$24,3,TRUE)-V137,5),IF(J138&lt;10,0,IF(J138&lt;18,1,IF(J138&lt;22,2,IF(ISNUMBER(W137),VLOOKUP(W137+1,Calcs!$O$4:$Q$24,3,TRUE)-V137,5)))))</f>
        <v>0</v>
      </c>
      <c r="N138" s="245" t="str">
        <f t="shared" si="16"/>
        <v xml:space="preserve"> </v>
      </c>
      <c r="O138" s="245" t="str">
        <f t="shared" si="16"/>
        <v xml:space="preserve"> </v>
      </c>
      <c r="P138" s="245" t="str">
        <f t="shared" si="16"/>
        <v xml:space="preserve"> </v>
      </c>
      <c r="Q138" s="245" t="str">
        <f t="shared" si="16"/>
        <v xml:space="preserve"> </v>
      </c>
      <c r="R138" s="245" t="str">
        <f t="shared" si="16"/>
        <v xml:space="preserve"> </v>
      </c>
      <c r="S138" s="245" t="str">
        <f t="shared" si="16"/>
        <v xml:space="preserve"> </v>
      </c>
      <c r="T138" s="245" t="str">
        <f t="shared" si="16"/>
        <v xml:space="preserve"> </v>
      </c>
      <c r="U138" s="245" t="str">
        <f t="shared" si="16"/>
        <v xml:space="preserve"> </v>
      </c>
      <c r="V138" s="208">
        <f>SUM($N$10:$U138)</f>
        <v>0</v>
      </c>
      <c r="W138" s="208">
        <f>VLOOKUP(V138,Calcs!$Q$4:$R$24,2,TRUE)</f>
        <v>0</v>
      </c>
      <c r="X138" s="435" t="str">
        <f t="shared" si="12"/>
        <v>No</v>
      </c>
      <c r="Y138" s="436"/>
      <c r="Z138" s="435">
        <f t="shared" si="13"/>
        <v>0</v>
      </c>
      <c r="AA138" s="245" t="str">
        <f>IF(AND(X138="Yes",NOT(ISBLANK(Z138))),VLOOKUP(Z138,Calcs!$Y$48:$Z$57,2,TRUE)," ")</f>
        <v xml:space="preserve"> </v>
      </c>
    </row>
    <row r="139" spans="1:27" x14ac:dyDescent="0.2">
      <c r="A139" s="425">
        <f t="shared" si="14"/>
        <v>165</v>
      </c>
      <c r="B139" s="425" t="str">
        <f t="shared" ref="B139:B202" si="17">IF(AND($D$2="Age Quickly",B138="Winter"),"Summer","Winter")</f>
        <v>Winter</v>
      </c>
      <c r="C139" s="247">
        <f>IF(B139="Winter",A139-('Start Character'!$K$6)-1,IF('Start Character'!$K$7&gt;6,A139-('Start Character'!$K$6)-1,A139-('Start Character'!$K$6)))</f>
        <v>164</v>
      </c>
      <c r="D139" s="247">
        <f t="shared" ref="D139:D202" si="18">IF($D$2="Age Quickly",IF(C138=C139,(C139*2)+1,C139*2),C139)</f>
        <v>164</v>
      </c>
      <c r="E139" s="246"/>
      <c r="F139" s="83"/>
      <c r="G139" s="83"/>
      <c r="H139" s="246"/>
      <c r="I139" s="433"/>
      <c r="J139" s="254">
        <f>IF(ISBLANK(I139),0,ROUNDUP(D139/10,0)-E139-H139-F139-G139+VLOOKUP($D$2,Calcs!$A$23:$B$27,2,FALSE)+I139)</f>
        <v>0</v>
      </c>
      <c r="K139" s="245" t="str">
        <f>IF(ISBLANK(I139)," ",VLOOKUP(J139,Calcs!$A$82:$H$106,2,TRUE))</f>
        <v xml:space="preserve"> </v>
      </c>
      <c r="L139" s="245">
        <f>IF(ISBLANK(I139),0,VLOOKUP(J139,Calcs!$A$82:$F$106,5,TRUE))</f>
        <v>0</v>
      </c>
      <c r="M139" s="208">
        <f>IF(J139=13,IF(ISNUMBER(W138),VLOOKUP(W138+1,Calcs!$O$4:$Q$24,3,TRUE)-V138,5),IF(J139&lt;10,0,IF(J139&lt;18,1,IF(J139&lt;22,2,IF(ISNUMBER(W138),VLOOKUP(W138+1,Calcs!$O$4:$Q$24,3,TRUE)-V138,5)))))</f>
        <v>0</v>
      </c>
      <c r="N139" s="245" t="str">
        <f t="shared" si="16"/>
        <v xml:space="preserve"> </v>
      </c>
      <c r="O139" s="245" t="str">
        <f t="shared" si="16"/>
        <v xml:space="preserve"> </v>
      </c>
      <c r="P139" s="245" t="str">
        <f t="shared" si="16"/>
        <v xml:space="preserve"> </v>
      </c>
      <c r="Q139" s="245" t="str">
        <f t="shared" si="16"/>
        <v xml:space="preserve"> </v>
      </c>
      <c r="R139" s="245" t="str">
        <f t="shared" si="16"/>
        <v xml:space="preserve"> </v>
      </c>
      <c r="S139" s="245" t="str">
        <f t="shared" si="16"/>
        <v xml:space="preserve"> </v>
      </c>
      <c r="T139" s="245" t="str">
        <f t="shared" si="16"/>
        <v xml:space="preserve"> </v>
      </c>
      <c r="U139" s="245" t="str">
        <f t="shared" si="16"/>
        <v xml:space="preserve"> </v>
      </c>
      <c r="V139" s="208">
        <f>SUM($N$10:$U139)</f>
        <v>0</v>
      </c>
      <c r="W139" s="208">
        <f>VLOOKUP(V139,Calcs!$Q$4:$R$24,2,TRUE)</f>
        <v>0</v>
      </c>
      <c r="X139" s="435" t="str">
        <f t="shared" ref="X139:X202" si="19">IF(ISERROR(FIND("Crisis",K139)),"No","Yes")</f>
        <v>No</v>
      </c>
      <c r="Y139" s="436"/>
      <c r="Z139" s="435">
        <f t="shared" ref="Z139:Z202" si="20">IF(ISBLANK(Y139),0,ROUNDUP(D139/10,0)+W139+Y139)</f>
        <v>0</v>
      </c>
      <c r="AA139" s="245" t="str">
        <f>IF(AND(X139="Yes",NOT(ISBLANK(Z139))),VLOOKUP(Z139,Calcs!$Y$48:$Z$57,2,TRUE)," ")</f>
        <v xml:space="preserve"> </v>
      </c>
    </row>
    <row r="140" spans="1:27" x14ac:dyDescent="0.2">
      <c r="A140" s="425">
        <f t="shared" ref="A140:A203" si="21">IF($D$2&lt;&gt;"Age Quickly",A139+1,IF(A139=A138,A139+1,A139))</f>
        <v>166</v>
      </c>
      <c r="B140" s="425" t="str">
        <f t="shared" si="17"/>
        <v>Winter</v>
      </c>
      <c r="C140" s="247">
        <f>IF(B140="Winter",A140-('Start Character'!$K$6)-1,IF('Start Character'!$K$7&gt;6,A140-('Start Character'!$K$6)-1,A140-('Start Character'!$K$6)))</f>
        <v>165</v>
      </c>
      <c r="D140" s="247">
        <f t="shared" si="18"/>
        <v>165</v>
      </c>
      <c r="E140" s="246"/>
      <c r="F140" s="83"/>
      <c r="G140" s="83"/>
      <c r="H140" s="246"/>
      <c r="I140" s="433"/>
      <c r="J140" s="254">
        <f>IF(ISBLANK(I140),0,ROUNDUP(D140/10,0)-E140-H140-F140-G140+VLOOKUP($D$2,Calcs!$A$23:$B$27,2,FALSE)+I140)</f>
        <v>0</v>
      </c>
      <c r="K140" s="245" t="str">
        <f>IF(ISBLANK(I140)," ",VLOOKUP(J140,Calcs!$A$82:$H$106,2,TRUE))</f>
        <v xml:space="preserve"> </v>
      </c>
      <c r="L140" s="245">
        <f>IF(ISBLANK(I140),0,VLOOKUP(J140,Calcs!$A$82:$F$106,5,TRUE))</f>
        <v>0</v>
      </c>
      <c r="M140" s="208">
        <f>IF(J140=13,IF(ISNUMBER(W139),VLOOKUP(W139+1,Calcs!$O$4:$Q$24,3,TRUE)-V139,5),IF(J140&lt;10,0,IF(J140&lt;18,1,IF(J140&lt;22,2,IF(ISNUMBER(W139),VLOOKUP(W139+1,Calcs!$O$4:$Q$24,3,TRUE)-V139,5)))))</f>
        <v>0</v>
      </c>
      <c r="N140" s="245" t="str">
        <f t="shared" si="16"/>
        <v xml:space="preserve"> </v>
      </c>
      <c r="O140" s="245" t="str">
        <f t="shared" si="16"/>
        <v xml:space="preserve"> </v>
      </c>
      <c r="P140" s="245" t="str">
        <f t="shared" si="16"/>
        <v xml:space="preserve"> </v>
      </c>
      <c r="Q140" s="245" t="str">
        <f t="shared" si="16"/>
        <v xml:space="preserve"> </v>
      </c>
      <c r="R140" s="245" t="str">
        <f t="shared" si="16"/>
        <v xml:space="preserve"> </v>
      </c>
      <c r="S140" s="245" t="str">
        <f t="shared" si="16"/>
        <v xml:space="preserve"> </v>
      </c>
      <c r="T140" s="245" t="str">
        <f t="shared" si="16"/>
        <v xml:space="preserve"> </v>
      </c>
      <c r="U140" s="245" t="str">
        <f t="shared" si="16"/>
        <v xml:space="preserve"> </v>
      </c>
      <c r="V140" s="208">
        <f>SUM($N$10:$U140)</f>
        <v>0</v>
      </c>
      <c r="W140" s="208">
        <f>VLOOKUP(V140,Calcs!$Q$4:$R$24,2,TRUE)</f>
        <v>0</v>
      </c>
      <c r="X140" s="435" t="str">
        <f t="shared" si="19"/>
        <v>No</v>
      </c>
      <c r="Y140" s="436"/>
      <c r="Z140" s="435">
        <f t="shared" si="20"/>
        <v>0</v>
      </c>
      <c r="AA140" s="245" t="str">
        <f>IF(AND(X140="Yes",NOT(ISBLANK(Z140))),VLOOKUP(Z140,Calcs!$Y$48:$Z$57,2,TRUE)," ")</f>
        <v xml:space="preserve"> </v>
      </c>
    </row>
    <row r="141" spans="1:27" x14ac:dyDescent="0.2">
      <c r="A141" s="425">
        <f t="shared" si="21"/>
        <v>167</v>
      </c>
      <c r="B141" s="425" t="str">
        <f t="shared" si="17"/>
        <v>Winter</v>
      </c>
      <c r="C141" s="247">
        <f>IF(B141="Winter",A141-('Start Character'!$K$6)-1,IF('Start Character'!$K$7&gt;6,A141-('Start Character'!$K$6)-1,A141-('Start Character'!$K$6)))</f>
        <v>166</v>
      </c>
      <c r="D141" s="247">
        <f t="shared" si="18"/>
        <v>166</v>
      </c>
      <c r="E141" s="246"/>
      <c r="F141" s="83"/>
      <c r="G141" s="83"/>
      <c r="H141" s="246"/>
      <c r="I141" s="433"/>
      <c r="J141" s="254">
        <f>IF(ISBLANK(I141),0,ROUNDUP(D141/10,0)-E141-H141-F141-G141+VLOOKUP($D$2,Calcs!$A$23:$B$27,2,FALSE)+I141)</f>
        <v>0</v>
      </c>
      <c r="K141" s="245" t="str">
        <f>IF(ISBLANK(I141)," ",VLOOKUP(J141,Calcs!$A$82:$H$106,2,TRUE))</f>
        <v xml:space="preserve"> </v>
      </c>
      <c r="L141" s="245">
        <f>IF(ISBLANK(I141),0,VLOOKUP(J141,Calcs!$A$82:$F$106,5,TRUE))</f>
        <v>0</v>
      </c>
      <c r="M141" s="208">
        <f>IF(J141=13,IF(ISNUMBER(W140),VLOOKUP(W140+1,Calcs!$O$4:$Q$24,3,TRUE)-V140,5),IF(J141&lt;10,0,IF(J141&lt;18,1,IF(J141&lt;22,2,IF(ISNUMBER(W140),VLOOKUP(W140+1,Calcs!$O$4:$Q$24,3,TRUE)-V140,5)))))</f>
        <v>0</v>
      </c>
      <c r="N141" s="245" t="str">
        <f t="shared" si="16"/>
        <v xml:space="preserve"> </v>
      </c>
      <c r="O141" s="245" t="str">
        <f t="shared" si="16"/>
        <v xml:space="preserve"> </v>
      </c>
      <c r="P141" s="245" t="str">
        <f t="shared" si="16"/>
        <v xml:space="preserve"> </v>
      </c>
      <c r="Q141" s="245" t="str">
        <f t="shared" si="16"/>
        <v xml:space="preserve"> </v>
      </c>
      <c r="R141" s="245" t="str">
        <f t="shared" si="16"/>
        <v xml:space="preserve"> </v>
      </c>
      <c r="S141" s="245" t="str">
        <f t="shared" si="16"/>
        <v xml:space="preserve"> </v>
      </c>
      <c r="T141" s="245" t="str">
        <f t="shared" si="16"/>
        <v xml:space="preserve"> </v>
      </c>
      <c r="U141" s="245" t="str">
        <f t="shared" si="16"/>
        <v xml:space="preserve"> </v>
      </c>
      <c r="V141" s="208">
        <f>SUM($N$10:$U141)</f>
        <v>0</v>
      </c>
      <c r="W141" s="208">
        <f>VLOOKUP(V141,Calcs!$Q$4:$R$24,2,TRUE)</f>
        <v>0</v>
      </c>
      <c r="X141" s="435" t="str">
        <f t="shared" si="19"/>
        <v>No</v>
      </c>
      <c r="Y141" s="436"/>
      <c r="Z141" s="435">
        <f t="shared" si="20"/>
        <v>0</v>
      </c>
      <c r="AA141" s="245" t="str">
        <f>IF(AND(X141="Yes",NOT(ISBLANK(Z141))),VLOOKUP(Z141,Calcs!$Y$48:$Z$57,2,TRUE)," ")</f>
        <v xml:space="preserve"> </v>
      </c>
    </row>
    <row r="142" spans="1:27" x14ac:dyDescent="0.2">
      <c r="A142" s="425">
        <f t="shared" si="21"/>
        <v>168</v>
      </c>
      <c r="B142" s="425" t="str">
        <f t="shared" si="17"/>
        <v>Winter</v>
      </c>
      <c r="C142" s="247">
        <f>IF(B142="Winter",A142-('Start Character'!$K$6)-1,IF('Start Character'!$K$7&gt;6,A142-('Start Character'!$K$6)-1,A142-('Start Character'!$K$6)))</f>
        <v>167</v>
      </c>
      <c r="D142" s="247">
        <f t="shared" si="18"/>
        <v>167</v>
      </c>
      <c r="E142" s="246"/>
      <c r="F142" s="83"/>
      <c r="G142" s="83"/>
      <c r="H142" s="246"/>
      <c r="I142" s="433"/>
      <c r="J142" s="254">
        <f>IF(ISBLANK(I142),0,ROUNDUP(D142/10,0)-E142-H142-F142-G142+VLOOKUP($D$2,Calcs!$A$23:$B$27,2,FALSE)+I142)</f>
        <v>0</v>
      </c>
      <c r="K142" s="245" t="str">
        <f>IF(ISBLANK(I142)," ",VLOOKUP(J142,Calcs!$A$82:$H$106,2,TRUE))</f>
        <v xml:space="preserve"> </v>
      </c>
      <c r="L142" s="245">
        <f>IF(ISBLANK(I142),0,VLOOKUP(J142,Calcs!$A$82:$F$106,5,TRUE))</f>
        <v>0</v>
      </c>
      <c r="M142" s="208">
        <f>IF(J142=13,IF(ISNUMBER(W141),VLOOKUP(W141+1,Calcs!$O$4:$Q$24,3,TRUE)-V141,5),IF(J142&lt;10,0,IF(J142&lt;18,1,IF(J142&lt;22,2,IF(ISNUMBER(W141),VLOOKUP(W141+1,Calcs!$O$4:$Q$24,3,TRUE)-V141,5)))))</f>
        <v>0</v>
      </c>
      <c r="N142" s="245" t="str">
        <f t="shared" si="16"/>
        <v xml:space="preserve"> </v>
      </c>
      <c r="O142" s="245" t="str">
        <f t="shared" si="16"/>
        <v xml:space="preserve"> </v>
      </c>
      <c r="P142" s="245" t="str">
        <f t="shared" si="16"/>
        <v xml:space="preserve"> </v>
      </c>
      <c r="Q142" s="245" t="str">
        <f t="shared" si="16"/>
        <v xml:space="preserve"> </v>
      </c>
      <c r="R142" s="245" t="str">
        <f t="shared" si="16"/>
        <v xml:space="preserve"> </v>
      </c>
      <c r="S142" s="245" t="str">
        <f t="shared" si="16"/>
        <v xml:space="preserve"> </v>
      </c>
      <c r="T142" s="245" t="str">
        <f t="shared" si="16"/>
        <v xml:space="preserve"> </v>
      </c>
      <c r="U142" s="245" t="str">
        <f t="shared" si="16"/>
        <v xml:space="preserve"> </v>
      </c>
      <c r="V142" s="208">
        <f>SUM($N$10:$U142)</f>
        <v>0</v>
      </c>
      <c r="W142" s="208">
        <f>VLOOKUP(V142,Calcs!$Q$4:$R$24,2,TRUE)</f>
        <v>0</v>
      </c>
      <c r="X142" s="435" t="str">
        <f t="shared" si="19"/>
        <v>No</v>
      </c>
      <c r="Y142" s="436"/>
      <c r="Z142" s="435">
        <f t="shared" si="20"/>
        <v>0</v>
      </c>
      <c r="AA142" s="245" t="str">
        <f>IF(AND(X142="Yes",NOT(ISBLANK(Z142))),VLOOKUP(Z142,Calcs!$Y$48:$Z$57,2,TRUE)," ")</f>
        <v xml:space="preserve"> </v>
      </c>
    </row>
    <row r="143" spans="1:27" x14ac:dyDescent="0.2">
      <c r="A143" s="425">
        <f t="shared" si="21"/>
        <v>169</v>
      </c>
      <c r="B143" s="425" t="str">
        <f t="shared" si="17"/>
        <v>Winter</v>
      </c>
      <c r="C143" s="247">
        <f>IF(B143="Winter",A143-('Start Character'!$K$6)-1,IF('Start Character'!$K$7&gt;6,A143-('Start Character'!$K$6)-1,A143-('Start Character'!$K$6)))</f>
        <v>168</v>
      </c>
      <c r="D143" s="247">
        <f t="shared" si="18"/>
        <v>168</v>
      </c>
      <c r="E143" s="246"/>
      <c r="F143" s="83"/>
      <c r="G143" s="83"/>
      <c r="H143" s="246"/>
      <c r="I143" s="433"/>
      <c r="J143" s="254">
        <f>IF(ISBLANK(I143),0,ROUNDUP(D143/10,0)-E143-H143-F143-G143+VLOOKUP($D$2,Calcs!$A$23:$B$27,2,FALSE)+I143)</f>
        <v>0</v>
      </c>
      <c r="K143" s="245" t="str">
        <f>IF(ISBLANK(I143)," ",VLOOKUP(J143,Calcs!$A$82:$H$106,2,TRUE))</f>
        <v xml:space="preserve"> </v>
      </c>
      <c r="L143" s="245">
        <f>IF(ISBLANK(I143),0,VLOOKUP(J143,Calcs!$A$82:$F$106,5,TRUE))</f>
        <v>0</v>
      </c>
      <c r="M143" s="208">
        <f>IF(J143=13,IF(ISNUMBER(W142),VLOOKUP(W142+1,Calcs!$O$4:$Q$24,3,TRUE)-V142,5),IF(J143&lt;10,0,IF(J143&lt;18,1,IF(J143&lt;22,2,IF(ISNUMBER(W142),VLOOKUP(W142+1,Calcs!$O$4:$Q$24,3,TRUE)-V142,5)))))</f>
        <v>0</v>
      </c>
      <c r="N143" s="245" t="str">
        <f t="shared" si="16"/>
        <v xml:space="preserve"> </v>
      </c>
      <c r="O143" s="245" t="str">
        <f t="shared" si="16"/>
        <v xml:space="preserve"> </v>
      </c>
      <c r="P143" s="245" t="str">
        <f t="shared" si="16"/>
        <v xml:space="preserve"> </v>
      </c>
      <c r="Q143" s="245" t="str">
        <f t="shared" si="16"/>
        <v xml:space="preserve"> </v>
      </c>
      <c r="R143" s="245" t="str">
        <f t="shared" si="16"/>
        <v xml:space="preserve"> </v>
      </c>
      <c r="S143" s="245" t="str">
        <f t="shared" si="16"/>
        <v xml:space="preserve"> </v>
      </c>
      <c r="T143" s="245" t="str">
        <f t="shared" si="16"/>
        <v xml:space="preserve"> </v>
      </c>
      <c r="U143" s="245" t="str">
        <f t="shared" si="16"/>
        <v xml:space="preserve"> </v>
      </c>
      <c r="V143" s="208">
        <f>SUM($N$10:$U143)</f>
        <v>0</v>
      </c>
      <c r="W143" s="208">
        <f>VLOOKUP(V143,Calcs!$Q$4:$R$24,2,TRUE)</f>
        <v>0</v>
      </c>
      <c r="X143" s="435" t="str">
        <f t="shared" si="19"/>
        <v>No</v>
      </c>
      <c r="Y143" s="436"/>
      <c r="Z143" s="435">
        <f t="shared" si="20"/>
        <v>0</v>
      </c>
      <c r="AA143" s="245" t="str">
        <f>IF(AND(X143="Yes",NOT(ISBLANK(Z143))),VLOOKUP(Z143,Calcs!$Y$48:$Z$57,2,TRUE)," ")</f>
        <v xml:space="preserve"> </v>
      </c>
    </row>
    <row r="144" spans="1:27" x14ac:dyDescent="0.2">
      <c r="A144" s="425">
        <f t="shared" si="21"/>
        <v>170</v>
      </c>
      <c r="B144" s="425" t="str">
        <f t="shared" si="17"/>
        <v>Winter</v>
      </c>
      <c r="C144" s="247">
        <f>IF(B144="Winter",A144-('Start Character'!$K$6)-1,IF('Start Character'!$K$7&gt;6,A144-('Start Character'!$K$6)-1,A144-('Start Character'!$K$6)))</f>
        <v>169</v>
      </c>
      <c r="D144" s="247">
        <f t="shared" si="18"/>
        <v>169</v>
      </c>
      <c r="E144" s="246"/>
      <c r="F144" s="83"/>
      <c r="G144" s="83"/>
      <c r="H144" s="246"/>
      <c r="I144" s="433"/>
      <c r="J144" s="254">
        <f>IF(ISBLANK(I144),0,ROUNDUP(D144/10,0)-E144-H144-F144-G144+VLOOKUP($D$2,Calcs!$A$23:$B$27,2,FALSE)+I144)</f>
        <v>0</v>
      </c>
      <c r="K144" s="245" t="str">
        <f>IF(ISBLANK(I144)," ",VLOOKUP(J144,Calcs!$A$82:$H$106,2,TRUE))</f>
        <v xml:space="preserve"> </v>
      </c>
      <c r="L144" s="245">
        <f>IF(ISBLANK(I144),0,VLOOKUP(J144,Calcs!$A$82:$F$106,5,TRUE))</f>
        <v>0</v>
      </c>
      <c r="M144" s="208">
        <f>IF(J144=13,IF(ISNUMBER(W143),VLOOKUP(W143+1,Calcs!$O$4:$Q$24,3,TRUE)-V143,5),IF(J144&lt;10,0,IF(J144&lt;18,1,IF(J144&lt;22,2,IF(ISNUMBER(W143),VLOOKUP(W143+1,Calcs!$O$4:$Q$24,3,TRUE)-V143,5)))))</f>
        <v>0</v>
      </c>
      <c r="N144" s="245" t="str">
        <f t="shared" si="16"/>
        <v xml:space="preserve"> </v>
      </c>
      <c r="O144" s="245" t="str">
        <f t="shared" si="16"/>
        <v xml:space="preserve"> </v>
      </c>
      <c r="P144" s="245" t="str">
        <f t="shared" si="16"/>
        <v xml:space="preserve"> </v>
      </c>
      <c r="Q144" s="245" t="str">
        <f t="shared" si="16"/>
        <v xml:space="preserve"> </v>
      </c>
      <c r="R144" s="245" t="str">
        <f t="shared" si="16"/>
        <v xml:space="preserve"> </v>
      </c>
      <c r="S144" s="245" t="str">
        <f t="shared" si="16"/>
        <v xml:space="preserve"> </v>
      </c>
      <c r="T144" s="245" t="str">
        <f t="shared" si="16"/>
        <v xml:space="preserve"> </v>
      </c>
      <c r="U144" s="245" t="str">
        <f t="shared" si="16"/>
        <v xml:space="preserve"> </v>
      </c>
      <c r="V144" s="208">
        <f>SUM($N$10:$U144)</f>
        <v>0</v>
      </c>
      <c r="W144" s="208">
        <f>VLOOKUP(V144,Calcs!$Q$4:$R$24,2,TRUE)</f>
        <v>0</v>
      </c>
      <c r="X144" s="435" t="str">
        <f t="shared" si="19"/>
        <v>No</v>
      </c>
      <c r="Y144" s="436"/>
      <c r="Z144" s="435">
        <f t="shared" si="20"/>
        <v>0</v>
      </c>
      <c r="AA144" s="245" t="str">
        <f>IF(AND(X144="Yes",NOT(ISBLANK(Z144))),VLOOKUP(Z144,Calcs!$Y$48:$Z$57,2,TRUE)," ")</f>
        <v xml:space="preserve"> </v>
      </c>
    </row>
    <row r="145" spans="1:27" x14ac:dyDescent="0.2">
      <c r="A145" s="425">
        <f t="shared" si="21"/>
        <v>171</v>
      </c>
      <c r="B145" s="425" t="str">
        <f t="shared" si="17"/>
        <v>Winter</v>
      </c>
      <c r="C145" s="247">
        <f>IF(B145="Winter",A145-('Start Character'!$K$6)-1,IF('Start Character'!$K$7&gt;6,A145-('Start Character'!$K$6)-1,A145-('Start Character'!$K$6)))</f>
        <v>170</v>
      </c>
      <c r="D145" s="247">
        <f t="shared" si="18"/>
        <v>170</v>
      </c>
      <c r="E145" s="246"/>
      <c r="F145" s="83"/>
      <c r="G145" s="83"/>
      <c r="H145" s="246"/>
      <c r="I145" s="433"/>
      <c r="J145" s="254">
        <f>IF(ISBLANK(I145),0,ROUNDUP(D145/10,0)-E145-H145-F145-G145+VLOOKUP($D$2,Calcs!$A$23:$B$27,2,FALSE)+I145)</f>
        <v>0</v>
      </c>
      <c r="K145" s="245" t="str">
        <f>IF(ISBLANK(I145)," ",VLOOKUP(J145,Calcs!$A$82:$H$106,2,TRUE))</f>
        <v xml:space="preserve"> </v>
      </c>
      <c r="L145" s="245">
        <f>IF(ISBLANK(I145),0,VLOOKUP(J145,Calcs!$A$82:$F$106,5,TRUE))</f>
        <v>0</v>
      </c>
      <c r="M145" s="208">
        <f>IF(J145=13,IF(ISNUMBER(W144),VLOOKUP(W144+1,Calcs!$O$4:$Q$24,3,TRUE)-V144,5),IF(J145&lt;10,0,IF(J145&lt;18,1,IF(J145&lt;22,2,IF(ISNUMBER(W144),VLOOKUP(W144+1,Calcs!$O$4:$Q$24,3,TRUE)-V144,5)))))</f>
        <v>0</v>
      </c>
      <c r="N145" s="245" t="str">
        <f t="shared" si="16"/>
        <v xml:space="preserve"> </v>
      </c>
      <c r="O145" s="245" t="str">
        <f t="shared" si="16"/>
        <v xml:space="preserve"> </v>
      </c>
      <c r="P145" s="245" t="str">
        <f t="shared" si="16"/>
        <v xml:space="preserve"> </v>
      </c>
      <c r="Q145" s="245" t="str">
        <f t="shared" si="16"/>
        <v xml:space="preserve"> </v>
      </c>
      <c r="R145" s="245" t="str">
        <f t="shared" si="16"/>
        <v xml:space="preserve"> </v>
      </c>
      <c r="S145" s="245" t="str">
        <f t="shared" si="16"/>
        <v xml:space="preserve"> </v>
      </c>
      <c r="T145" s="245" t="str">
        <f t="shared" si="16"/>
        <v xml:space="preserve"> </v>
      </c>
      <c r="U145" s="245" t="str">
        <f t="shared" si="16"/>
        <v xml:space="preserve"> </v>
      </c>
      <c r="V145" s="208">
        <f>SUM($N$10:$U145)</f>
        <v>0</v>
      </c>
      <c r="W145" s="208">
        <f>VLOOKUP(V145,Calcs!$Q$4:$R$24,2,TRUE)</f>
        <v>0</v>
      </c>
      <c r="X145" s="435" t="str">
        <f t="shared" si="19"/>
        <v>No</v>
      </c>
      <c r="Y145" s="436"/>
      <c r="Z145" s="435">
        <f t="shared" si="20"/>
        <v>0</v>
      </c>
      <c r="AA145" s="245" t="str">
        <f>IF(AND(X145="Yes",NOT(ISBLANK(Z145))),VLOOKUP(Z145,Calcs!$Y$48:$Z$57,2,TRUE)," ")</f>
        <v xml:space="preserve"> </v>
      </c>
    </row>
    <row r="146" spans="1:27" x14ac:dyDescent="0.2">
      <c r="A146" s="425">
        <f t="shared" si="21"/>
        <v>172</v>
      </c>
      <c r="B146" s="425" t="str">
        <f t="shared" si="17"/>
        <v>Winter</v>
      </c>
      <c r="C146" s="247">
        <f>IF(B146="Winter",A146-('Start Character'!$K$6)-1,IF('Start Character'!$K$7&gt;6,A146-('Start Character'!$K$6)-1,A146-('Start Character'!$K$6)))</f>
        <v>171</v>
      </c>
      <c r="D146" s="247">
        <f t="shared" si="18"/>
        <v>171</v>
      </c>
      <c r="E146" s="246"/>
      <c r="F146" s="83"/>
      <c r="G146" s="83"/>
      <c r="H146" s="246"/>
      <c r="I146" s="433"/>
      <c r="J146" s="254">
        <f>IF(ISBLANK(I146),0,ROUNDUP(D146/10,0)-E146-H146-F146-G146+VLOOKUP($D$2,Calcs!$A$23:$B$27,2,FALSE)+I146)</f>
        <v>0</v>
      </c>
      <c r="K146" s="245" t="str">
        <f>IF(ISBLANK(I146)," ",VLOOKUP(J146,Calcs!$A$82:$H$106,2,TRUE))</f>
        <v xml:space="preserve"> </v>
      </c>
      <c r="L146" s="245">
        <f>IF(ISBLANK(I146),0,VLOOKUP(J146,Calcs!$A$82:$F$106,5,TRUE))</f>
        <v>0</v>
      </c>
      <c r="M146" s="208">
        <f>IF(J146=13,IF(ISNUMBER(W145),VLOOKUP(W145+1,Calcs!$O$4:$Q$24,3,TRUE)-V145,5),IF(J146&lt;10,0,IF(J146&lt;18,1,IF(J146&lt;22,2,IF(ISNUMBER(W145),VLOOKUP(W145+1,Calcs!$O$4:$Q$24,3,TRUE)-V145,5)))))</f>
        <v>0</v>
      </c>
      <c r="N146" s="245" t="str">
        <f t="shared" si="16"/>
        <v xml:space="preserve"> </v>
      </c>
      <c r="O146" s="245" t="str">
        <f t="shared" si="16"/>
        <v xml:space="preserve"> </v>
      </c>
      <c r="P146" s="245" t="str">
        <f t="shared" si="16"/>
        <v xml:space="preserve"> </v>
      </c>
      <c r="Q146" s="245" t="str">
        <f t="shared" si="16"/>
        <v xml:space="preserve"> </v>
      </c>
      <c r="R146" s="245" t="str">
        <f t="shared" si="16"/>
        <v xml:space="preserve"> </v>
      </c>
      <c r="S146" s="245" t="str">
        <f t="shared" si="16"/>
        <v xml:space="preserve"> </v>
      </c>
      <c r="T146" s="245" t="str">
        <f t="shared" si="16"/>
        <v xml:space="preserve"> </v>
      </c>
      <c r="U146" s="245" t="str">
        <f t="shared" si="16"/>
        <v xml:space="preserve"> </v>
      </c>
      <c r="V146" s="208">
        <f>SUM($N$10:$U146)</f>
        <v>0</v>
      </c>
      <c r="W146" s="208">
        <f>VLOOKUP(V146,Calcs!$Q$4:$R$24,2,TRUE)</f>
        <v>0</v>
      </c>
      <c r="X146" s="435" t="str">
        <f t="shared" si="19"/>
        <v>No</v>
      </c>
      <c r="Y146" s="436"/>
      <c r="Z146" s="435">
        <f t="shared" si="20"/>
        <v>0</v>
      </c>
      <c r="AA146" s="245" t="str">
        <f>IF(AND(X146="Yes",NOT(ISBLANK(Z146))),VLOOKUP(Z146,Calcs!$Y$48:$Z$57,2,TRUE)," ")</f>
        <v xml:space="preserve"> </v>
      </c>
    </row>
    <row r="147" spans="1:27" x14ac:dyDescent="0.2">
      <c r="A147" s="425">
        <f t="shared" si="21"/>
        <v>173</v>
      </c>
      <c r="B147" s="425" t="str">
        <f t="shared" si="17"/>
        <v>Winter</v>
      </c>
      <c r="C147" s="247">
        <f>IF(B147="Winter",A147-('Start Character'!$K$6)-1,IF('Start Character'!$K$7&gt;6,A147-('Start Character'!$K$6)-1,A147-('Start Character'!$K$6)))</f>
        <v>172</v>
      </c>
      <c r="D147" s="247">
        <f t="shared" si="18"/>
        <v>172</v>
      </c>
      <c r="E147" s="246"/>
      <c r="F147" s="83"/>
      <c r="G147" s="83"/>
      <c r="H147" s="246"/>
      <c r="I147" s="433"/>
      <c r="J147" s="254">
        <f>IF(ISBLANK(I147),0,ROUNDUP(D147/10,0)-E147-H147-F147-G147+VLOOKUP($D$2,Calcs!$A$23:$B$27,2,FALSE)+I147)</f>
        <v>0</v>
      </c>
      <c r="K147" s="245" t="str">
        <f>IF(ISBLANK(I147)," ",VLOOKUP(J147,Calcs!$A$82:$H$106,2,TRUE))</f>
        <v xml:space="preserve"> </v>
      </c>
      <c r="L147" s="245">
        <f>IF(ISBLANK(I147),0,VLOOKUP(J147,Calcs!$A$82:$F$106,5,TRUE))</f>
        <v>0</v>
      </c>
      <c r="M147" s="208">
        <f>IF(J147=13,IF(ISNUMBER(W146),VLOOKUP(W146+1,Calcs!$O$4:$Q$24,3,TRUE)-V146,5),IF(J147&lt;10,0,IF(J147&lt;18,1,IF(J147&lt;22,2,IF(ISNUMBER(W146),VLOOKUP(W146+1,Calcs!$O$4:$Q$24,3,TRUE)-V146,5)))))</f>
        <v>0</v>
      </c>
      <c r="N147" s="245" t="str">
        <f t="shared" si="16"/>
        <v xml:space="preserve"> </v>
      </c>
      <c r="O147" s="245" t="str">
        <f t="shared" si="16"/>
        <v xml:space="preserve"> </v>
      </c>
      <c r="P147" s="245" t="str">
        <f t="shared" si="16"/>
        <v xml:space="preserve"> </v>
      </c>
      <c r="Q147" s="245" t="str">
        <f t="shared" si="16"/>
        <v xml:space="preserve"> </v>
      </c>
      <c r="R147" s="245" t="str">
        <f t="shared" si="16"/>
        <v xml:space="preserve"> </v>
      </c>
      <c r="S147" s="245" t="str">
        <f t="shared" si="16"/>
        <v xml:space="preserve"> </v>
      </c>
      <c r="T147" s="245" t="str">
        <f t="shared" si="16"/>
        <v xml:space="preserve"> </v>
      </c>
      <c r="U147" s="245" t="str">
        <f t="shared" si="16"/>
        <v xml:space="preserve"> </v>
      </c>
      <c r="V147" s="208">
        <f>SUM($N$10:$U147)</f>
        <v>0</v>
      </c>
      <c r="W147" s="208">
        <f>VLOOKUP(V147,Calcs!$Q$4:$R$24,2,TRUE)</f>
        <v>0</v>
      </c>
      <c r="X147" s="435" t="str">
        <f t="shared" si="19"/>
        <v>No</v>
      </c>
      <c r="Y147" s="436"/>
      <c r="Z147" s="435">
        <f t="shared" si="20"/>
        <v>0</v>
      </c>
      <c r="AA147" s="245" t="str">
        <f>IF(AND(X147="Yes",NOT(ISBLANK(Z147))),VLOOKUP(Z147,Calcs!$Y$48:$Z$57,2,TRUE)," ")</f>
        <v xml:space="preserve"> </v>
      </c>
    </row>
    <row r="148" spans="1:27" x14ac:dyDescent="0.2">
      <c r="A148" s="425">
        <f t="shared" si="21"/>
        <v>174</v>
      </c>
      <c r="B148" s="425" t="str">
        <f t="shared" si="17"/>
        <v>Winter</v>
      </c>
      <c r="C148" s="247">
        <f>IF(B148="Winter",A148-('Start Character'!$K$6)-1,IF('Start Character'!$K$7&gt;6,A148-('Start Character'!$K$6)-1,A148-('Start Character'!$K$6)))</f>
        <v>173</v>
      </c>
      <c r="D148" s="247">
        <f t="shared" si="18"/>
        <v>173</v>
      </c>
      <c r="E148" s="246"/>
      <c r="F148" s="83"/>
      <c r="G148" s="83"/>
      <c r="H148" s="246"/>
      <c r="I148" s="433"/>
      <c r="J148" s="254">
        <f>IF(ISBLANK(I148),0,ROUNDUP(D148/10,0)-E148-H148-F148-G148+VLOOKUP($D$2,Calcs!$A$23:$B$27,2,FALSE)+I148)</f>
        <v>0</v>
      </c>
      <c r="K148" s="245" t="str">
        <f>IF(ISBLANK(I148)," ",VLOOKUP(J148,Calcs!$A$82:$H$106,2,TRUE))</f>
        <v xml:space="preserve"> </v>
      </c>
      <c r="L148" s="245">
        <f>IF(ISBLANK(I148),0,VLOOKUP(J148,Calcs!$A$82:$F$106,5,TRUE))</f>
        <v>0</v>
      </c>
      <c r="M148" s="208">
        <f>IF(J148=13,IF(ISNUMBER(W147),VLOOKUP(W147+1,Calcs!$O$4:$Q$24,3,TRUE)-V147,5),IF(J148&lt;10,0,IF(J148&lt;18,1,IF(J148&lt;22,2,IF(ISNUMBER(W147),VLOOKUP(W147+1,Calcs!$O$4:$Q$24,3,TRUE)-V147,5)))))</f>
        <v>0</v>
      </c>
      <c r="N148" s="245" t="str">
        <f t="shared" si="16"/>
        <v xml:space="preserve"> </v>
      </c>
      <c r="O148" s="245" t="str">
        <f t="shared" si="16"/>
        <v xml:space="preserve"> </v>
      </c>
      <c r="P148" s="245" t="str">
        <f t="shared" si="16"/>
        <v xml:space="preserve"> </v>
      </c>
      <c r="Q148" s="245" t="str">
        <f t="shared" si="16"/>
        <v xml:space="preserve"> </v>
      </c>
      <c r="R148" s="245" t="str">
        <f t="shared" si="16"/>
        <v xml:space="preserve"> </v>
      </c>
      <c r="S148" s="245" t="str">
        <f t="shared" si="16"/>
        <v xml:space="preserve"> </v>
      </c>
      <c r="T148" s="245" t="str">
        <f t="shared" si="16"/>
        <v xml:space="preserve"> </v>
      </c>
      <c r="U148" s="245" t="str">
        <f t="shared" si="16"/>
        <v xml:space="preserve"> </v>
      </c>
      <c r="V148" s="208">
        <f>SUM($N$10:$U148)</f>
        <v>0</v>
      </c>
      <c r="W148" s="208">
        <f>VLOOKUP(V148,Calcs!$Q$4:$R$24,2,TRUE)</f>
        <v>0</v>
      </c>
      <c r="X148" s="435" t="str">
        <f t="shared" si="19"/>
        <v>No</v>
      </c>
      <c r="Y148" s="436"/>
      <c r="Z148" s="435">
        <f t="shared" si="20"/>
        <v>0</v>
      </c>
      <c r="AA148" s="245" t="str">
        <f>IF(AND(X148="Yes",NOT(ISBLANK(Z148))),VLOOKUP(Z148,Calcs!$Y$48:$Z$57,2,TRUE)," ")</f>
        <v xml:space="preserve"> </v>
      </c>
    </row>
    <row r="149" spans="1:27" x14ac:dyDescent="0.2">
      <c r="A149" s="425">
        <f t="shared" si="21"/>
        <v>175</v>
      </c>
      <c r="B149" s="425" t="str">
        <f t="shared" si="17"/>
        <v>Winter</v>
      </c>
      <c r="C149" s="247">
        <f>IF(B149="Winter",A149-('Start Character'!$K$6)-1,IF('Start Character'!$K$7&gt;6,A149-('Start Character'!$K$6)-1,A149-('Start Character'!$K$6)))</f>
        <v>174</v>
      </c>
      <c r="D149" s="247">
        <f t="shared" si="18"/>
        <v>174</v>
      </c>
      <c r="E149" s="246"/>
      <c r="F149" s="83"/>
      <c r="G149" s="83"/>
      <c r="H149" s="246"/>
      <c r="I149" s="433"/>
      <c r="J149" s="254">
        <f>IF(ISBLANK(I149),0,ROUNDUP(D149/10,0)-E149-H149-F149-G149+VLOOKUP($D$2,Calcs!$A$23:$B$27,2,FALSE)+I149)</f>
        <v>0</v>
      </c>
      <c r="K149" s="245" t="str">
        <f>IF(ISBLANK(I149)," ",VLOOKUP(J149,Calcs!$A$82:$H$106,2,TRUE))</f>
        <v xml:space="preserve"> </v>
      </c>
      <c r="L149" s="245">
        <f>IF(ISBLANK(I149),0,VLOOKUP(J149,Calcs!$A$82:$F$106,5,TRUE))</f>
        <v>0</v>
      </c>
      <c r="M149" s="208">
        <f>IF(J149=13,IF(ISNUMBER(W148),VLOOKUP(W148+1,Calcs!$O$4:$Q$24,3,TRUE)-V148,5),IF(J149&lt;10,0,IF(J149&lt;18,1,IF(J149&lt;22,2,IF(ISNUMBER(W148),VLOOKUP(W148+1,Calcs!$O$4:$Q$24,3,TRUE)-V148,5)))))</f>
        <v>0</v>
      </c>
      <c r="N149" s="245" t="str">
        <f t="shared" si="16"/>
        <v xml:space="preserve"> </v>
      </c>
      <c r="O149" s="245" t="str">
        <f t="shared" si="16"/>
        <v xml:space="preserve"> </v>
      </c>
      <c r="P149" s="245" t="str">
        <f t="shared" si="16"/>
        <v xml:space="preserve"> </v>
      </c>
      <c r="Q149" s="245" t="str">
        <f t="shared" si="16"/>
        <v xml:space="preserve"> </v>
      </c>
      <c r="R149" s="245" t="str">
        <f t="shared" si="16"/>
        <v xml:space="preserve"> </v>
      </c>
      <c r="S149" s="245" t="str">
        <f t="shared" si="16"/>
        <v xml:space="preserve"> </v>
      </c>
      <c r="T149" s="245" t="str">
        <f t="shared" si="16"/>
        <v xml:space="preserve"> </v>
      </c>
      <c r="U149" s="245" t="str">
        <f t="shared" si="16"/>
        <v xml:space="preserve"> </v>
      </c>
      <c r="V149" s="208">
        <f>SUM($N$10:$U149)</f>
        <v>0</v>
      </c>
      <c r="W149" s="208">
        <f>VLOOKUP(V149,Calcs!$Q$4:$R$24,2,TRUE)</f>
        <v>0</v>
      </c>
      <c r="X149" s="435" t="str">
        <f t="shared" si="19"/>
        <v>No</v>
      </c>
      <c r="Y149" s="436"/>
      <c r="Z149" s="435">
        <f t="shared" si="20"/>
        <v>0</v>
      </c>
      <c r="AA149" s="245" t="str">
        <f>IF(AND(X149="Yes",NOT(ISBLANK(Z149))),VLOOKUP(Z149,Calcs!$Y$48:$Z$57,2,TRUE)," ")</f>
        <v xml:space="preserve"> </v>
      </c>
    </row>
    <row r="150" spans="1:27" x14ac:dyDescent="0.2">
      <c r="A150" s="425">
        <f t="shared" si="21"/>
        <v>176</v>
      </c>
      <c r="B150" s="425" t="str">
        <f t="shared" si="17"/>
        <v>Winter</v>
      </c>
      <c r="C150" s="247">
        <f>IF(B150="Winter",A150-('Start Character'!$K$6)-1,IF('Start Character'!$K$7&gt;6,A150-('Start Character'!$K$6)-1,A150-('Start Character'!$K$6)))</f>
        <v>175</v>
      </c>
      <c r="D150" s="247">
        <f t="shared" si="18"/>
        <v>175</v>
      </c>
      <c r="E150" s="246"/>
      <c r="F150" s="83"/>
      <c r="G150" s="83"/>
      <c r="H150" s="246"/>
      <c r="I150" s="433"/>
      <c r="J150" s="254">
        <f>IF(ISBLANK(I150),0,ROUNDUP(D150/10,0)-E150-H150-F150-G150+VLOOKUP($D$2,Calcs!$A$23:$B$27,2,FALSE)+I150)</f>
        <v>0</v>
      </c>
      <c r="K150" s="245" t="str">
        <f>IF(ISBLANK(I150)," ",VLOOKUP(J150,Calcs!$A$82:$H$106,2,TRUE))</f>
        <v xml:space="preserve"> </v>
      </c>
      <c r="L150" s="245">
        <f>IF(ISBLANK(I150),0,VLOOKUP(J150,Calcs!$A$82:$F$106,5,TRUE))</f>
        <v>0</v>
      </c>
      <c r="M150" s="208">
        <f>IF(J150=13,IF(ISNUMBER(W149),VLOOKUP(W149+1,Calcs!$O$4:$Q$24,3,TRUE)-V149,5),IF(J150&lt;10,0,IF(J150&lt;18,1,IF(J150&lt;22,2,IF(ISNUMBER(W149),VLOOKUP(W149+1,Calcs!$O$4:$Q$24,3,TRUE)-V149,5)))))</f>
        <v>0</v>
      </c>
      <c r="N150" s="245" t="str">
        <f t="shared" si="16"/>
        <v xml:space="preserve"> </v>
      </c>
      <c r="O150" s="245" t="str">
        <f t="shared" si="16"/>
        <v xml:space="preserve"> </v>
      </c>
      <c r="P150" s="245" t="str">
        <f t="shared" si="16"/>
        <v xml:space="preserve"> </v>
      </c>
      <c r="Q150" s="245" t="str">
        <f t="shared" si="16"/>
        <v xml:space="preserve"> </v>
      </c>
      <c r="R150" s="245" t="str">
        <f t="shared" si="16"/>
        <v xml:space="preserve"> </v>
      </c>
      <c r="S150" s="245" t="str">
        <f t="shared" si="16"/>
        <v xml:space="preserve"> </v>
      </c>
      <c r="T150" s="245" t="str">
        <f t="shared" si="16"/>
        <v xml:space="preserve"> </v>
      </c>
      <c r="U150" s="245" t="str">
        <f t="shared" si="16"/>
        <v xml:space="preserve"> </v>
      </c>
      <c r="V150" s="208">
        <f>SUM($N$10:$U150)</f>
        <v>0</v>
      </c>
      <c r="W150" s="208">
        <f>VLOOKUP(V150,Calcs!$Q$4:$R$24,2,TRUE)</f>
        <v>0</v>
      </c>
      <c r="X150" s="435" t="str">
        <f t="shared" si="19"/>
        <v>No</v>
      </c>
      <c r="Y150" s="436"/>
      <c r="Z150" s="435">
        <f t="shared" si="20"/>
        <v>0</v>
      </c>
      <c r="AA150" s="245" t="str">
        <f>IF(AND(X150="Yes",NOT(ISBLANK(Z150))),VLOOKUP(Z150,Calcs!$Y$48:$Z$57,2,TRUE)," ")</f>
        <v xml:space="preserve"> </v>
      </c>
    </row>
    <row r="151" spans="1:27" x14ac:dyDescent="0.2">
      <c r="A151" s="425">
        <f t="shared" si="21"/>
        <v>177</v>
      </c>
      <c r="B151" s="425" t="str">
        <f t="shared" si="17"/>
        <v>Winter</v>
      </c>
      <c r="C151" s="247">
        <f>IF(B151="Winter",A151-('Start Character'!$K$6)-1,IF('Start Character'!$K$7&gt;6,A151-('Start Character'!$K$6)-1,A151-('Start Character'!$K$6)))</f>
        <v>176</v>
      </c>
      <c r="D151" s="247">
        <f t="shared" si="18"/>
        <v>176</v>
      </c>
      <c r="E151" s="246"/>
      <c r="F151" s="83"/>
      <c r="G151" s="83"/>
      <c r="H151" s="246"/>
      <c r="I151" s="433"/>
      <c r="J151" s="254">
        <f>IF(ISBLANK(I151),0,ROUNDUP(D151/10,0)-E151-H151-F151-G151+VLOOKUP($D$2,Calcs!$A$23:$B$27,2,FALSE)+I151)</f>
        <v>0</v>
      </c>
      <c r="K151" s="245" t="str">
        <f>IF(ISBLANK(I151)," ",VLOOKUP(J151,Calcs!$A$82:$H$106,2,TRUE))</f>
        <v xml:space="preserve"> </v>
      </c>
      <c r="L151" s="245">
        <f>IF(ISBLANK(I151),0,VLOOKUP(J151,Calcs!$A$82:$F$106,5,TRUE))</f>
        <v>0</v>
      </c>
      <c r="M151" s="208">
        <f>IF(J151=13,IF(ISNUMBER(W150),VLOOKUP(W150+1,Calcs!$O$4:$Q$24,3,TRUE)-V150,5),IF(J151&lt;10,0,IF(J151&lt;18,1,IF(J151&lt;22,2,IF(ISNUMBER(W150),VLOOKUP(W150+1,Calcs!$O$4:$Q$24,3,TRUE)-V150,5)))))</f>
        <v>0</v>
      </c>
      <c r="N151" s="245" t="str">
        <f t="shared" si="16"/>
        <v xml:space="preserve"> </v>
      </c>
      <c r="O151" s="245" t="str">
        <f t="shared" si="16"/>
        <v xml:space="preserve"> </v>
      </c>
      <c r="P151" s="245" t="str">
        <f t="shared" si="16"/>
        <v xml:space="preserve"> </v>
      </c>
      <c r="Q151" s="245" t="str">
        <f t="shared" si="16"/>
        <v xml:space="preserve"> </v>
      </c>
      <c r="R151" s="245" t="str">
        <f t="shared" si="16"/>
        <v xml:space="preserve"> </v>
      </c>
      <c r="S151" s="245" t="str">
        <f t="shared" si="16"/>
        <v xml:space="preserve"> </v>
      </c>
      <c r="T151" s="245" t="str">
        <f t="shared" si="16"/>
        <v xml:space="preserve"> </v>
      </c>
      <c r="U151" s="245" t="str">
        <f t="shared" si="16"/>
        <v xml:space="preserve"> </v>
      </c>
      <c r="V151" s="208">
        <f>SUM($N$10:$U151)</f>
        <v>0</v>
      </c>
      <c r="W151" s="208">
        <f>VLOOKUP(V151,Calcs!$Q$4:$R$24,2,TRUE)</f>
        <v>0</v>
      </c>
      <c r="X151" s="435" t="str">
        <f t="shared" si="19"/>
        <v>No</v>
      </c>
      <c r="Y151" s="436"/>
      <c r="Z151" s="435">
        <f t="shared" si="20"/>
        <v>0</v>
      </c>
      <c r="AA151" s="245" t="str">
        <f>IF(AND(X151="Yes",NOT(ISBLANK(Z151))),VLOOKUP(Z151,Calcs!$Y$48:$Z$57,2,TRUE)," ")</f>
        <v xml:space="preserve"> </v>
      </c>
    </row>
    <row r="152" spans="1:27" x14ac:dyDescent="0.2">
      <c r="A152" s="425">
        <f t="shared" si="21"/>
        <v>178</v>
      </c>
      <c r="B152" s="425" t="str">
        <f t="shared" si="17"/>
        <v>Winter</v>
      </c>
      <c r="C152" s="247">
        <f>IF(B152="Winter",A152-('Start Character'!$K$6)-1,IF('Start Character'!$K$7&gt;6,A152-('Start Character'!$K$6)-1,A152-('Start Character'!$K$6)))</f>
        <v>177</v>
      </c>
      <c r="D152" s="247">
        <f t="shared" si="18"/>
        <v>177</v>
      </c>
      <c r="E152" s="246"/>
      <c r="F152" s="83"/>
      <c r="G152" s="83"/>
      <c r="H152" s="246"/>
      <c r="I152" s="433"/>
      <c r="J152" s="254">
        <f>IF(ISBLANK(I152),0,ROUNDUP(D152/10,0)-E152-H152-F152-G152+VLOOKUP($D$2,Calcs!$A$23:$B$27,2,FALSE)+I152)</f>
        <v>0</v>
      </c>
      <c r="K152" s="245" t="str">
        <f>IF(ISBLANK(I152)," ",VLOOKUP(J152,Calcs!$A$82:$H$106,2,TRUE))</f>
        <v xml:space="preserve"> </v>
      </c>
      <c r="L152" s="245">
        <f>IF(ISBLANK(I152),0,VLOOKUP(J152,Calcs!$A$82:$F$106,5,TRUE))</f>
        <v>0</v>
      </c>
      <c r="M152" s="208">
        <f>IF(J152=13,IF(ISNUMBER(W151),VLOOKUP(W151+1,Calcs!$O$4:$Q$24,3,TRUE)-V151,5),IF(J152&lt;10,0,IF(J152&lt;18,1,IF(J152&lt;22,2,IF(ISNUMBER(W151),VLOOKUP(W151+1,Calcs!$O$4:$Q$24,3,TRUE)-V151,5)))))</f>
        <v>0</v>
      </c>
      <c r="N152" s="245" t="str">
        <f t="shared" si="16"/>
        <v xml:space="preserve"> </v>
      </c>
      <c r="O152" s="245" t="str">
        <f t="shared" si="16"/>
        <v xml:space="preserve"> </v>
      </c>
      <c r="P152" s="245" t="str">
        <f t="shared" si="16"/>
        <v xml:space="preserve"> </v>
      </c>
      <c r="Q152" s="245" t="str">
        <f t="shared" si="16"/>
        <v xml:space="preserve"> </v>
      </c>
      <c r="R152" s="245" t="str">
        <f t="shared" si="16"/>
        <v xml:space="preserve"> </v>
      </c>
      <c r="S152" s="245" t="str">
        <f t="shared" si="16"/>
        <v xml:space="preserve"> </v>
      </c>
      <c r="T152" s="245" t="str">
        <f t="shared" si="16"/>
        <v xml:space="preserve"> </v>
      </c>
      <c r="U152" s="245" t="str">
        <f t="shared" si="16"/>
        <v xml:space="preserve"> </v>
      </c>
      <c r="V152" s="208">
        <f>SUM($N$10:$U152)</f>
        <v>0</v>
      </c>
      <c r="W152" s="208">
        <f>VLOOKUP(V152,Calcs!$Q$4:$R$24,2,TRUE)</f>
        <v>0</v>
      </c>
      <c r="X152" s="435" t="str">
        <f t="shared" si="19"/>
        <v>No</v>
      </c>
      <c r="Y152" s="436"/>
      <c r="Z152" s="435">
        <f t="shared" si="20"/>
        <v>0</v>
      </c>
      <c r="AA152" s="245" t="str">
        <f>IF(AND(X152="Yes",NOT(ISBLANK(Z152))),VLOOKUP(Z152,Calcs!$Y$48:$Z$57,2,TRUE)," ")</f>
        <v xml:space="preserve"> </v>
      </c>
    </row>
    <row r="153" spans="1:27" x14ac:dyDescent="0.2">
      <c r="A153" s="425">
        <f t="shared" si="21"/>
        <v>179</v>
      </c>
      <c r="B153" s="425" t="str">
        <f t="shared" si="17"/>
        <v>Winter</v>
      </c>
      <c r="C153" s="247">
        <f>IF(B153="Winter",A153-('Start Character'!$K$6)-1,IF('Start Character'!$K$7&gt;6,A153-('Start Character'!$K$6)-1,A153-('Start Character'!$K$6)))</f>
        <v>178</v>
      </c>
      <c r="D153" s="247">
        <f t="shared" si="18"/>
        <v>178</v>
      </c>
      <c r="E153" s="246"/>
      <c r="F153" s="83"/>
      <c r="G153" s="83"/>
      <c r="H153" s="246"/>
      <c r="I153" s="433"/>
      <c r="J153" s="254">
        <f>IF(ISBLANK(I153),0,ROUNDUP(D153/10,0)-E153-H153-F153-G153+VLOOKUP($D$2,Calcs!$A$23:$B$27,2,FALSE)+I153)</f>
        <v>0</v>
      </c>
      <c r="K153" s="245" t="str">
        <f>IF(ISBLANK(I153)," ",VLOOKUP(J153,Calcs!$A$82:$H$106,2,TRUE))</f>
        <v xml:space="preserve"> </v>
      </c>
      <c r="L153" s="245">
        <f>IF(ISBLANK(I153),0,VLOOKUP(J153,Calcs!$A$82:$F$106,5,TRUE))</f>
        <v>0</v>
      </c>
      <c r="M153" s="208">
        <f>IF(J153=13,IF(ISNUMBER(W152),VLOOKUP(W152+1,Calcs!$O$4:$Q$24,3,TRUE)-V152,5),IF(J153&lt;10,0,IF(J153&lt;18,1,IF(J153&lt;22,2,IF(ISNUMBER(W152),VLOOKUP(W152+1,Calcs!$O$4:$Q$24,3,TRUE)-V152,5)))))</f>
        <v>0</v>
      </c>
      <c r="N153" s="245" t="str">
        <f t="shared" si="16"/>
        <v xml:space="preserve"> </v>
      </c>
      <c r="O153" s="245" t="str">
        <f t="shared" si="16"/>
        <v xml:space="preserve"> </v>
      </c>
      <c r="P153" s="245" t="str">
        <f t="shared" si="16"/>
        <v xml:space="preserve"> </v>
      </c>
      <c r="Q153" s="245" t="str">
        <f t="shared" si="16"/>
        <v xml:space="preserve"> </v>
      </c>
      <c r="R153" s="245" t="str">
        <f t="shared" si="16"/>
        <v xml:space="preserve"> </v>
      </c>
      <c r="S153" s="245" t="str">
        <f t="shared" si="16"/>
        <v xml:space="preserve"> </v>
      </c>
      <c r="T153" s="245" t="str">
        <f t="shared" si="16"/>
        <v xml:space="preserve"> </v>
      </c>
      <c r="U153" s="245" t="str">
        <f t="shared" si="16"/>
        <v xml:space="preserve"> </v>
      </c>
      <c r="V153" s="208">
        <f>SUM($N$10:$U153)</f>
        <v>0</v>
      </c>
      <c r="W153" s="208">
        <f>VLOOKUP(V153,Calcs!$Q$4:$R$24,2,TRUE)</f>
        <v>0</v>
      </c>
      <c r="X153" s="435" t="str">
        <f t="shared" si="19"/>
        <v>No</v>
      </c>
      <c r="Y153" s="436"/>
      <c r="Z153" s="435">
        <f t="shared" si="20"/>
        <v>0</v>
      </c>
      <c r="AA153" s="245" t="str">
        <f>IF(AND(X153="Yes",NOT(ISBLANK(Z153))),VLOOKUP(Z153,Calcs!$Y$48:$Z$57,2,TRUE)," ")</f>
        <v xml:space="preserve"> </v>
      </c>
    </row>
    <row r="154" spans="1:27" x14ac:dyDescent="0.2">
      <c r="A154" s="425">
        <f t="shared" si="21"/>
        <v>180</v>
      </c>
      <c r="B154" s="425" t="str">
        <f t="shared" si="17"/>
        <v>Winter</v>
      </c>
      <c r="C154" s="247">
        <f>IF(B154="Winter",A154-('Start Character'!$K$6)-1,IF('Start Character'!$K$7&gt;6,A154-('Start Character'!$K$6)-1,A154-('Start Character'!$K$6)))</f>
        <v>179</v>
      </c>
      <c r="D154" s="247">
        <f t="shared" si="18"/>
        <v>179</v>
      </c>
      <c r="E154" s="246"/>
      <c r="F154" s="83"/>
      <c r="G154" s="83"/>
      <c r="H154" s="246"/>
      <c r="I154" s="433"/>
      <c r="J154" s="254">
        <f>IF(ISBLANK(I154),0,ROUNDUP(D154/10,0)-E154-H154-F154-G154+VLOOKUP($D$2,Calcs!$A$23:$B$27,2,FALSE)+I154)</f>
        <v>0</v>
      </c>
      <c r="K154" s="245" t="str">
        <f>IF(ISBLANK(I154)," ",VLOOKUP(J154,Calcs!$A$82:$H$106,2,TRUE))</f>
        <v xml:space="preserve"> </v>
      </c>
      <c r="L154" s="245">
        <f>IF(ISBLANK(I154),0,VLOOKUP(J154,Calcs!$A$82:$F$106,5,TRUE))</f>
        <v>0</v>
      </c>
      <c r="M154" s="208">
        <f>IF(J154=13,IF(ISNUMBER(W153),VLOOKUP(W153+1,Calcs!$O$4:$Q$24,3,TRUE)-V153,5),IF(J154&lt;10,0,IF(J154&lt;18,1,IF(J154&lt;22,2,IF(ISNUMBER(W153),VLOOKUP(W153+1,Calcs!$O$4:$Q$24,3,TRUE)-V153,5)))))</f>
        <v>0</v>
      </c>
      <c r="N154" s="245" t="str">
        <f t="shared" si="16"/>
        <v xml:space="preserve"> </v>
      </c>
      <c r="O154" s="245" t="str">
        <f t="shared" si="16"/>
        <v xml:space="preserve"> </v>
      </c>
      <c r="P154" s="245" t="str">
        <f t="shared" si="16"/>
        <v xml:space="preserve"> </v>
      </c>
      <c r="Q154" s="245" t="str">
        <f t="shared" si="16"/>
        <v xml:space="preserve"> </v>
      </c>
      <c r="R154" s="245" t="str">
        <f t="shared" si="16"/>
        <v xml:space="preserve"> </v>
      </c>
      <c r="S154" s="245" t="str">
        <f t="shared" si="16"/>
        <v xml:space="preserve"> </v>
      </c>
      <c r="T154" s="245" t="str">
        <f t="shared" si="16"/>
        <v xml:space="preserve"> </v>
      </c>
      <c r="U154" s="245" t="str">
        <f t="shared" si="16"/>
        <v xml:space="preserve"> </v>
      </c>
      <c r="V154" s="208">
        <f>SUM($N$10:$U154)</f>
        <v>0</v>
      </c>
      <c r="W154" s="208">
        <f>VLOOKUP(V154,Calcs!$Q$4:$R$24,2,TRUE)</f>
        <v>0</v>
      </c>
      <c r="X154" s="435" t="str">
        <f t="shared" si="19"/>
        <v>No</v>
      </c>
      <c r="Y154" s="436"/>
      <c r="Z154" s="435">
        <f t="shared" si="20"/>
        <v>0</v>
      </c>
      <c r="AA154" s="245" t="str">
        <f>IF(AND(X154="Yes",NOT(ISBLANK(Z154))),VLOOKUP(Z154,Calcs!$Y$48:$Z$57,2,TRUE)," ")</f>
        <v xml:space="preserve"> </v>
      </c>
    </row>
    <row r="155" spans="1:27" x14ac:dyDescent="0.2">
      <c r="A155" s="425">
        <f t="shared" si="21"/>
        <v>181</v>
      </c>
      <c r="B155" s="425" t="str">
        <f t="shared" si="17"/>
        <v>Winter</v>
      </c>
      <c r="C155" s="247">
        <f>IF(B155="Winter",A155-('Start Character'!$K$6)-1,IF('Start Character'!$K$7&gt;6,A155-('Start Character'!$K$6)-1,A155-('Start Character'!$K$6)))</f>
        <v>180</v>
      </c>
      <c r="D155" s="247">
        <f t="shared" si="18"/>
        <v>180</v>
      </c>
      <c r="E155" s="246"/>
      <c r="F155" s="83"/>
      <c r="G155" s="83"/>
      <c r="H155" s="246"/>
      <c r="I155" s="433"/>
      <c r="J155" s="254">
        <f>IF(ISBLANK(I155),0,ROUNDUP(D155/10,0)-E155-H155-F155-G155+VLOOKUP($D$2,Calcs!$A$23:$B$27,2,FALSE)+I155)</f>
        <v>0</v>
      </c>
      <c r="K155" s="245" t="str">
        <f>IF(ISBLANK(I155)," ",VLOOKUP(J155,Calcs!$A$82:$H$106,2,TRUE))</f>
        <v xml:space="preserve"> </v>
      </c>
      <c r="L155" s="245">
        <f>IF(ISBLANK(I155),0,VLOOKUP(J155,Calcs!$A$82:$F$106,5,TRUE))</f>
        <v>0</v>
      </c>
      <c r="M155" s="208">
        <f>IF(J155=13,IF(ISNUMBER(W154),VLOOKUP(W154+1,Calcs!$O$4:$Q$24,3,TRUE)-V154,5),IF(J155&lt;10,0,IF(J155&lt;18,1,IF(J155&lt;22,2,IF(ISNUMBER(W154),VLOOKUP(W154+1,Calcs!$O$4:$Q$24,3,TRUE)-V154,5)))))</f>
        <v>0</v>
      </c>
      <c r="N155" s="245" t="str">
        <f t="shared" si="16"/>
        <v xml:space="preserve"> </v>
      </c>
      <c r="O155" s="245" t="str">
        <f t="shared" si="16"/>
        <v xml:space="preserve"> </v>
      </c>
      <c r="P155" s="245" t="str">
        <f t="shared" si="16"/>
        <v xml:space="preserve"> </v>
      </c>
      <c r="Q155" s="245" t="str">
        <f t="shared" si="16"/>
        <v xml:space="preserve"> </v>
      </c>
      <c r="R155" s="245" t="str">
        <f t="shared" si="16"/>
        <v xml:space="preserve"> </v>
      </c>
      <c r="S155" s="245" t="str">
        <f t="shared" si="16"/>
        <v xml:space="preserve"> </v>
      </c>
      <c r="T155" s="245" t="str">
        <f t="shared" si="16"/>
        <v xml:space="preserve"> </v>
      </c>
      <c r="U155" s="245" t="str">
        <f t="shared" si="16"/>
        <v xml:space="preserve"> </v>
      </c>
      <c r="V155" s="208">
        <f>SUM($N$10:$U155)</f>
        <v>0</v>
      </c>
      <c r="W155" s="208">
        <f>VLOOKUP(V155,Calcs!$Q$4:$R$24,2,TRUE)</f>
        <v>0</v>
      </c>
      <c r="X155" s="435" t="str">
        <f t="shared" si="19"/>
        <v>No</v>
      </c>
      <c r="Y155" s="436"/>
      <c r="Z155" s="435">
        <f t="shared" si="20"/>
        <v>0</v>
      </c>
      <c r="AA155" s="245" t="str">
        <f>IF(AND(X155="Yes",NOT(ISBLANK(Z155))),VLOOKUP(Z155,Calcs!$Y$48:$Z$57,2,TRUE)," ")</f>
        <v xml:space="preserve"> </v>
      </c>
    </row>
    <row r="156" spans="1:27" x14ac:dyDescent="0.2">
      <c r="A156" s="425">
        <f t="shared" si="21"/>
        <v>182</v>
      </c>
      <c r="B156" s="425" t="str">
        <f t="shared" si="17"/>
        <v>Winter</v>
      </c>
      <c r="C156" s="247">
        <f>IF(B156="Winter",A156-('Start Character'!$K$6)-1,IF('Start Character'!$K$7&gt;6,A156-('Start Character'!$K$6)-1,A156-('Start Character'!$K$6)))</f>
        <v>181</v>
      </c>
      <c r="D156" s="247">
        <f t="shared" si="18"/>
        <v>181</v>
      </c>
      <c r="E156" s="246"/>
      <c r="F156" s="83"/>
      <c r="G156" s="83"/>
      <c r="H156" s="246"/>
      <c r="I156" s="433"/>
      <c r="J156" s="254">
        <f>IF(ISBLANK(I156),0,ROUNDUP(D156/10,0)-E156-H156-F156-G156+VLOOKUP($D$2,Calcs!$A$23:$B$27,2,FALSE)+I156)</f>
        <v>0</v>
      </c>
      <c r="K156" s="245" t="str">
        <f>IF(ISBLANK(I156)," ",VLOOKUP(J156,Calcs!$A$82:$H$106,2,TRUE))</f>
        <v xml:space="preserve"> </v>
      </c>
      <c r="L156" s="245">
        <f>IF(ISBLANK(I156),0,VLOOKUP(J156,Calcs!$A$82:$F$106,5,TRUE))</f>
        <v>0</v>
      </c>
      <c r="M156" s="208">
        <f>IF(J156=13,IF(ISNUMBER(W155),VLOOKUP(W155+1,Calcs!$O$4:$Q$24,3,TRUE)-V155,5),IF(J156&lt;10,0,IF(J156&lt;18,1,IF(J156&lt;22,2,IF(ISNUMBER(W155),VLOOKUP(W155+1,Calcs!$O$4:$Q$24,3,TRUE)-V155,5)))))</f>
        <v>0</v>
      </c>
      <c r="N156" s="245" t="str">
        <f t="shared" si="16"/>
        <v xml:space="preserve"> </v>
      </c>
      <c r="O156" s="245" t="str">
        <f t="shared" si="16"/>
        <v xml:space="preserve"> </v>
      </c>
      <c r="P156" s="245" t="str">
        <f t="shared" si="16"/>
        <v xml:space="preserve"> </v>
      </c>
      <c r="Q156" s="245" t="str">
        <f t="shared" si="16"/>
        <v xml:space="preserve"> </v>
      </c>
      <c r="R156" s="245" t="str">
        <f t="shared" si="16"/>
        <v xml:space="preserve"> </v>
      </c>
      <c r="S156" s="245" t="str">
        <f t="shared" si="16"/>
        <v xml:space="preserve"> </v>
      </c>
      <c r="T156" s="245" t="str">
        <f t="shared" si="16"/>
        <v xml:space="preserve"> </v>
      </c>
      <c r="U156" s="245" t="str">
        <f t="shared" si="16"/>
        <v xml:space="preserve"> </v>
      </c>
      <c r="V156" s="208">
        <f>SUM($N$10:$U156)</f>
        <v>0</v>
      </c>
      <c r="W156" s="208">
        <f>VLOOKUP(V156,Calcs!$Q$4:$R$24,2,TRUE)</f>
        <v>0</v>
      </c>
      <c r="X156" s="435" t="str">
        <f t="shared" si="19"/>
        <v>No</v>
      </c>
      <c r="Y156" s="436"/>
      <c r="Z156" s="435">
        <f t="shared" si="20"/>
        <v>0</v>
      </c>
      <c r="AA156" s="245" t="str">
        <f>IF(AND(X156="Yes",NOT(ISBLANK(Z156))),VLOOKUP(Z156,Calcs!$Y$48:$Z$57,2,TRUE)," ")</f>
        <v xml:space="preserve"> </v>
      </c>
    </row>
    <row r="157" spans="1:27" x14ac:dyDescent="0.2">
      <c r="A157" s="425">
        <f t="shared" si="21"/>
        <v>183</v>
      </c>
      <c r="B157" s="425" t="str">
        <f t="shared" si="17"/>
        <v>Winter</v>
      </c>
      <c r="C157" s="247">
        <f>IF(B157="Winter",A157-('Start Character'!$K$6)-1,IF('Start Character'!$K$7&gt;6,A157-('Start Character'!$K$6)-1,A157-('Start Character'!$K$6)))</f>
        <v>182</v>
      </c>
      <c r="D157" s="247">
        <f t="shared" si="18"/>
        <v>182</v>
      </c>
      <c r="E157" s="246"/>
      <c r="F157" s="83"/>
      <c r="G157" s="83"/>
      <c r="H157" s="246"/>
      <c r="I157" s="433"/>
      <c r="J157" s="254">
        <f>IF(ISBLANK(I157),0,ROUNDUP(D157/10,0)-E157-H157-F157-G157+VLOOKUP($D$2,Calcs!$A$23:$B$27,2,FALSE)+I157)</f>
        <v>0</v>
      </c>
      <c r="K157" s="245" t="str">
        <f>IF(ISBLANK(I157)," ",VLOOKUP(J157,Calcs!$A$82:$H$106,2,TRUE))</f>
        <v xml:space="preserve"> </v>
      </c>
      <c r="L157" s="245">
        <f>IF(ISBLANK(I157),0,VLOOKUP(J157,Calcs!$A$82:$F$106,5,TRUE))</f>
        <v>0</v>
      </c>
      <c r="M157" s="208">
        <f>IF(J157=13,IF(ISNUMBER(W156),VLOOKUP(W156+1,Calcs!$O$4:$Q$24,3,TRUE)-V156,5),IF(J157&lt;10,0,IF(J157&lt;18,1,IF(J157&lt;22,2,IF(ISNUMBER(W156),VLOOKUP(W156+1,Calcs!$O$4:$Q$24,3,TRUE)-V156,5)))))</f>
        <v>0</v>
      </c>
      <c r="N157" s="245" t="str">
        <f t="shared" si="16"/>
        <v xml:space="preserve"> </v>
      </c>
      <c r="O157" s="245" t="str">
        <f t="shared" si="16"/>
        <v xml:space="preserve"> </v>
      </c>
      <c r="P157" s="245" t="str">
        <f t="shared" si="16"/>
        <v xml:space="preserve"> </v>
      </c>
      <c r="Q157" s="245" t="str">
        <f t="shared" si="16"/>
        <v xml:space="preserve"> </v>
      </c>
      <c r="R157" s="245" t="str">
        <f t="shared" si="16"/>
        <v xml:space="preserve"> </v>
      </c>
      <c r="S157" s="245" t="str">
        <f t="shared" si="16"/>
        <v xml:space="preserve"> </v>
      </c>
      <c r="T157" s="245" t="str">
        <f t="shared" si="16"/>
        <v xml:space="preserve"> </v>
      </c>
      <c r="U157" s="245" t="str">
        <f t="shared" si="16"/>
        <v xml:space="preserve"> </v>
      </c>
      <c r="V157" s="208">
        <f>SUM($N$10:$U157)</f>
        <v>0</v>
      </c>
      <c r="W157" s="208">
        <f>VLOOKUP(V157,Calcs!$Q$4:$R$24,2,TRUE)</f>
        <v>0</v>
      </c>
      <c r="X157" s="435" t="str">
        <f t="shared" si="19"/>
        <v>No</v>
      </c>
      <c r="Y157" s="436"/>
      <c r="Z157" s="435">
        <f t="shared" si="20"/>
        <v>0</v>
      </c>
      <c r="AA157" s="245" t="str">
        <f>IF(AND(X157="Yes",NOT(ISBLANK(Z157))),VLOOKUP(Z157,Calcs!$Y$48:$Z$57,2,TRUE)," ")</f>
        <v xml:space="preserve"> </v>
      </c>
    </row>
    <row r="158" spans="1:27" x14ac:dyDescent="0.2">
      <c r="A158" s="425">
        <f t="shared" si="21"/>
        <v>184</v>
      </c>
      <c r="B158" s="425" t="str">
        <f t="shared" si="17"/>
        <v>Winter</v>
      </c>
      <c r="C158" s="247">
        <f>IF(B158="Winter",A158-('Start Character'!$K$6)-1,IF('Start Character'!$K$7&gt;6,A158-('Start Character'!$K$6)-1,A158-('Start Character'!$K$6)))</f>
        <v>183</v>
      </c>
      <c r="D158" s="247">
        <f t="shared" si="18"/>
        <v>183</v>
      </c>
      <c r="E158" s="246"/>
      <c r="F158" s="83"/>
      <c r="G158" s="83"/>
      <c r="H158" s="246"/>
      <c r="I158" s="433"/>
      <c r="J158" s="254">
        <f>IF(ISBLANK(I158),0,ROUNDUP(D158/10,0)-E158-H158-F158-G158+VLOOKUP($D$2,Calcs!$A$23:$B$27,2,FALSE)+I158)</f>
        <v>0</v>
      </c>
      <c r="K158" s="245" t="str">
        <f>IF(ISBLANK(I158)," ",VLOOKUP(J158,Calcs!$A$82:$H$106,2,TRUE))</f>
        <v xml:space="preserve"> </v>
      </c>
      <c r="L158" s="245">
        <f>IF(ISBLANK(I158),0,VLOOKUP(J158,Calcs!$A$82:$F$106,5,TRUE))</f>
        <v>0</v>
      </c>
      <c r="M158" s="208">
        <f>IF(J158=13,IF(ISNUMBER(W157),VLOOKUP(W157+1,Calcs!$O$4:$Q$24,3,TRUE)-V157,5),IF(J158&lt;10,0,IF(J158&lt;18,1,IF(J158&lt;22,2,IF(ISNUMBER(W157),VLOOKUP(W157+1,Calcs!$O$4:$Q$24,3,TRUE)-V157,5)))))</f>
        <v>0</v>
      </c>
      <c r="N158" s="245" t="str">
        <f t="shared" si="16"/>
        <v xml:space="preserve"> </v>
      </c>
      <c r="O158" s="245" t="str">
        <f t="shared" si="16"/>
        <v xml:space="preserve"> </v>
      </c>
      <c r="P158" s="245" t="str">
        <f t="shared" si="16"/>
        <v xml:space="preserve"> </v>
      </c>
      <c r="Q158" s="245" t="str">
        <f t="shared" si="16"/>
        <v xml:space="preserve"> </v>
      </c>
      <c r="R158" s="245" t="str">
        <f t="shared" si="16"/>
        <v xml:space="preserve"> </v>
      </c>
      <c r="S158" s="245" t="str">
        <f t="shared" si="16"/>
        <v xml:space="preserve"> </v>
      </c>
      <c r="T158" s="245" t="str">
        <f t="shared" si="16"/>
        <v xml:space="preserve"> </v>
      </c>
      <c r="U158" s="245" t="str">
        <f t="shared" si="16"/>
        <v xml:space="preserve"> </v>
      </c>
      <c r="V158" s="208">
        <f>SUM($N$10:$U158)</f>
        <v>0</v>
      </c>
      <c r="W158" s="208">
        <f>VLOOKUP(V158,Calcs!$Q$4:$R$24,2,TRUE)</f>
        <v>0</v>
      </c>
      <c r="X158" s="435" t="str">
        <f t="shared" si="19"/>
        <v>No</v>
      </c>
      <c r="Y158" s="436"/>
      <c r="Z158" s="435">
        <f t="shared" si="20"/>
        <v>0</v>
      </c>
      <c r="AA158" s="245" t="str">
        <f>IF(AND(X158="Yes",NOT(ISBLANK(Z158))),VLOOKUP(Z158,Calcs!$Y$48:$Z$57,2,TRUE)," ")</f>
        <v xml:space="preserve"> </v>
      </c>
    </row>
    <row r="159" spans="1:27" x14ac:dyDescent="0.2">
      <c r="A159" s="425">
        <f t="shared" si="21"/>
        <v>185</v>
      </c>
      <c r="B159" s="425" t="str">
        <f t="shared" si="17"/>
        <v>Winter</v>
      </c>
      <c r="C159" s="247">
        <f>IF(B159="Winter",A159-('Start Character'!$K$6)-1,IF('Start Character'!$K$7&gt;6,A159-('Start Character'!$K$6)-1,A159-('Start Character'!$K$6)))</f>
        <v>184</v>
      </c>
      <c r="D159" s="247">
        <f t="shared" si="18"/>
        <v>184</v>
      </c>
      <c r="E159" s="246"/>
      <c r="F159" s="83"/>
      <c r="G159" s="83"/>
      <c r="H159" s="246"/>
      <c r="I159" s="433"/>
      <c r="J159" s="254">
        <f>IF(ISBLANK(I159),0,ROUNDUP(D159/10,0)-E159-H159-F159-G159+VLOOKUP($D$2,Calcs!$A$23:$B$27,2,FALSE)+I159)</f>
        <v>0</v>
      </c>
      <c r="K159" s="245" t="str">
        <f>IF(ISBLANK(I159)," ",VLOOKUP(J159,Calcs!$A$82:$H$106,2,TRUE))</f>
        <v xml:space="preserve"> </v>
      </c>
      <c r="L159" s="245">
        <f>IF(ISBLANK(I159),0,VLOOKUP(J159,Calcs!$A$82:$F$106,5,TRUE))</f>
        <v>0</v>
      </c>
      <c r="M159" s="208">
        <f>IF(J159=13,IF(ISNUMBER(W158),VLOOKUP(W158+1,Calcs!$O$4:$Q$24,3,TRUE)-V158,5),IF(J159&lt;10,0,IF(J159&lt;18,1,IF(J159&lt;22,2,IF(ISNUMBER(W158),VLOOKUP(W158+1,Calcs!$O$4:$Q$24,3,TRUE)-V158,5)))))</f>
        <v>0</v>
      </c>
      <c r="N159" s="245" t="str">
        <f t="shared" si="16"/>
        <v xml:space="preserve"> </v>
      </c>
      <c r="O159" s="245" t="str">
        <f t="shared" si="16"/>
        <v xml:space="preserve"> </v>
      </c>
      <c r="P159" s="245" t="str">
        <f t="shared" si="16"/>
        <v xml:space="preserve"> </v>
      </c>
      <c r="Q159" s="245" t="str">
        <f t="shared" si="16"/>
        <v xml:space="preserve"> </v>
      </c>
      <c r="R159" s="245" t="str">
        <f t="shared" si="16"/>
        <v xml:space="preserve"> </v>
      </c>
      <c r="S159" s="245" t="str">
        <f t="shared" si="16"/>
        <v xml:space="preserve"> </v>
      </c>
      <c r="T159" s="245" t="str">
        <f t="shared" si="16"/>
        <v xml:space="preserve"> </v>
      </c>
      <c r="U159" s="245" t="str">
        <f t="shared" si="16"/>
        <v xml:space="preserve"> </v>
      </c>
      <c r="V159" s="208">
        <f>SUM($N$10:$U159)</f>
        <v>0</v>
      </c>
      <c r="W159" s="208">
        <f>VLOOKUP(V159,Calcs!$Q$4:$R$24,2,TRUE)</f>
        <v>0</v>
      </c>
      <c r="X159" s="435" t="str">
        <f t="shared" si="19"/>
        <v>No</v>
      </c>
      <c r="Y159" s="436"/>
      <c r="Z159" s="435">
        <f t="shared" si="20"/>
        <v>0</v>
      </c>
      <c r="AA159" s="245" t="str">
        <f>IF(AND(X159="Yes",NOT(ISBLANK(Z159))),VLOOKUP(Z159,Calcs!$Y$48:$Z$57,2,TRUE)," ")</f>
        <v xml:space="preserve"> </v>
      </c>
    </row>
    <row r="160" spans="1:27" x14ac:dyDescent="0.2">
      <c r="A160" s="425">
        <f t="shared" si="21"/>
        <v>186</v>
      </c>
      <c r="B160" s="425" t="str">
        <f t="shared" si="17"/>
        <v>Winter</v>
      </c>
      <c r="C160" s="247">
        <f>IF(B160="Winter",A160-('Start Character'!$K$6)-1,IF('Start Character'!$K$7&gt;6,A160-('Start Character'!$K$6)-1,A160-('Start Character'!$K$6)))</f>
        <v>185</v>
      </c>
      <c r="D160" s="247">
        <f t="shared" si="18"/>
        <v>185</v>
      </c>
      <c r="E160" s="246"/>
      <c r="F160" s="83"/>
      <c r="G160" s="83"/>
      <c r="H160" s="246"/>
      <c r="I160" s="433"/>
      <c r="J160" s="254">
        <f>IF(ISBLANK(I160),0,ROUNDUP(D160/10,0)-E160-H160-F160-G160+VLOOKUP($D$2,Calcs!$A$23:$B$27,2,FALSE)+I160)</f>
        <v>0</v>
      </c>
      <c r="K160" s="245" t="str">
        <f>IF(ISBLANK(I160)," ",VLOOKUP(J160,Calcs!$A$82:$H$106,2,TRUE))</f>
        <v xml:space="preserve"> </v>
      </c>
      <c r="L160" s="245">
        <f>IF(ISBLANK(I160),0,VLOOKUP(J160,Calcs!$A$82:$F$106,5,TRUE))</f>
        <v>0</v>
      </c>
      <c r="M160" s="208">
        <f>IF(J160=13,IF(ISNUMBER(W159),VLOOKUP(W159+1,Calcs!$O$4:$Q$24,3,TRUE)-V159,5),IF(J160&lt;10,0,IF(J160&lt;18,1,IF(J160&lt;22,2,IF(ISNUMBER(W159),VLOOKUP(W159+1,Calcs!$O$4:$Q$24,3,TRUE)-V159,5)))))</f>
        <v>0</v>
      </c>
      <c r="N160" s="245" t="str">
        <f t="shared" si="16"/>
        <v xml:space="preserve"> </v>
      </c>
      <c r="O160" s="245" t="str">
        <f t="shared" si="16"/>
        <v xml:space="preserve"> </v>
      </c>
      <c r="P160" s="245" t="str">
        <f t="shared" si="16"/>
        <v xml:space="preserve"> </v>
      </c>
      <c r="Q160" s="245" t="str">
        <f t="shared" si="16"/>
        <v xml:space="preserve"> </v>
      </c>
      <c r="R160" s="245" t="str">
        <f t="shared" si="16"/>
        <v xml:space="preserve"> </v>
      </c>
      <c r="S160" s="245" t="str">
        <f t="shared" si="16"/>
        <v xml:space="preserve"> </v>
      </c>
      <c r="T160" s="245" t="str">
        <f t="shared" si="16"/>
        <v xml:space="preserve"> </v>
      </c>
      <c r="U160" s="245" t="str">
        <f t="shared" si="16"/>
        <v xml:space="preserve"> </v>
      </c>
      <c r="V160" s="208">
        <f>SUM($N$10:$U160)</f>
        <v>0</v>
      </c>
      <c r="W160" s="208">
        <f>VLOOKUP(V160,Calcs!$Q$4:$R$24,2,TRUE)</f>
        <v>0</v>
      </c>
      <c r="X160" s="435" t="str">
        <f t="shared" si="19"/>
        <v>No</v>
      </c>
      <c r="Y160" s="436"/>
      <c r="Z160" s="435">
        <f t="shared" si="20"/>
        <v>0</v>
      </c>
      <c r="AA160" s="245" t="str">
        <f>IF(AND(X160="Yes",NOT(ISBLANK(Z160))),VLOOKUP(Z160,Calcs!$Y$48:$Z$57,2,TRUE)," ")</f>
        <v xml:space="preserve"> </v>
      </c>
    </row>
    <row r="161" spans="1:27" x14ac:dyDescent="0.2">
      <c r="A161" s="425">
        <f t="shared" si="21"/>
        <v>187</v>
      </c>
      <c r="B161" s="425" t="str">
        <f t="shared" si="17"/>
        <v>Winter</v>
      </c>
      <c r="C161" s="247">
        <f>IF(B161="Winter",A161-('Start Character'!$K$6)-1,IF('Start Character'!$K$7&gt;6,A161-('Start Character'!$K$6)-1,A161-('Start Character'!$K$6)))</f>
        <v>186</v>
      </c>
      <c r="D161" s="247">
        <f t="shared" si="18"/>
        <v>186</v>
      </c>
      <c r="E161" s="246"/>
      <c r="F161" s="83"/>
      <c r="G161" s="83"/>
      <c r="H161" s="246"/>
      <c r="I161" s="433"/>
      <c r="J161" s="254">
        <f>IF(ISBLANK(I161),0,ROUNDUP(D161/10,0)-E161-H161-F161-G161+VLOOKUP($D$2,Calcs!$A$23:$B$27,2,FALSE)+I161)</f>
        <v>0</v>
      </c>
      <c r="K161" s="245" t="str">
        <f>IF(ISBLANK(I161)," ",VLOOKUP(J161,Calcs!$A$82:$H$106,2,TRUE))</f>
        <v xml:space="preserve"> </v>
      </c>
      <c r="L161" s="245">
        <f>IF(ISBLANK(I161),0,VLOOKUP(J161,Calcs!$A$82:$F$106,5,TRUE))</f>
        <v>0</v>
      </c>
      <c r="M161" s="208">
        <f>IF(J161=13,IF(ISNUMBER(W160),VLOOKUP(W160+1,Calcs!$O$4:$Q$24,3,TRUE)-V160,5),IF(J161&lt;10,0,IF(J161&lt;18,1,IF(J161&lt;22,2,IF(ISNUMBER(W160),VLOOKUP(W160+1,Calcs!$O$4:$Q$24,3,TRUE)-V160,5)))))</f>
        <v>0</v>
      </c>
      <c r="N161" s="245" t="str">
        <f t="shared" si="16"/>
        <v xml:space="preserve"> </v>
      </c>
      <c r="O161" s="245" t="str">
        <f t="shared" si="16"/>
        <v xml:space="preserve"> </v>
      </c>
      <c r="P161" s="245" t="str">
        <f t="shared" si="16"/>
        <v xml:space="preserve"> </v>
      </c>
      <c r="Q161" s="245" t="str">
        <f t="shared" si="16"/>
        <v xml:space="preserve"> </v>
      </c>
      <c r="R161" s="245" t="str">
        <f t="shared" ref="N161:U193" si="22">IF(ISERROR(FIND(R$9,$K161))," ",1)</f>
        <v xml:space="preserve"> </v>
      </c>
      <c r="S161" s="245" t="str">
        <f t="shared" si="22"/>
        <v xml:space="preserve"> </v>
      </c>
      <c r="T161" s="245" t="str">
        <f t="shared" si="22"/>
        <v xml:space="preserve"> </v>
      </c>
      <c r="U161" s="245" t="str">
        <f t="shared" si="22"/>
        <v xml:space="preserve"> </v>
      </c>
      <c r="V161" s="208">
        <f>SUM($N$10:$U161)</f>
        <v>0</v>
      </c>
      <c r="W161" s="208">
        <f>VLOOKUP(V161,Calcs!$Q$4:$R$24,2,TRUE)</f>
        <v>0</v>
      </c>
      <c r="X161" s="435" t="str">
        <f t="shared" si="19"/>
        <v>No</v>
      </c>
      <c r="Y161" s="436"/>
      <c r="Z161" s="435">
        <f t="shared" si="20"/>
        <v>0</v>
      </c>
      <c r="AA161" s="245" t="str">
        <f>IF(AND(X161="Yes",NOT(ISBLANK(Z161))),VLOOKUP(Z161,Calcs!$Y$48:$Z$57,2,TRUE)," ")</f>
        <v xml:space="preserve"> </v>
      </c>
    </row>
    <row r="162" spans="1:27" x14ac:dyDescent="0.2">
      <c r="A162" s="425">
        <f t="shared" si="21"/>
        <v>188</v>
      </c>
      <c r="B162" s="425" t="str">
        <f t="shared" si="17"/>
        <v>Winter</v>
      </c>
      <c r="C162" s="247">
        <f>IF(B162="Winter",A162-('Start Character'!$K$6)-1,IF('Start Character'!$K$7&gt;6,A162-('Start Character'!$K$6)-1,A162-('Start Character'!$K$6)))</f>
        <v>187</v>
      </c>
      <c r="D162" s="247">
        <f t="shared" si="18"/>
        <v>187</v>
      </c>
      <c r="E162" s="246"/>
      <c r="F162" s="83"/>
      <c r="G162" s="83"/>
      <c r="H162" s="246"/>
      <c r="I162" s="433"/>
      <c r="J162" s="254">
        <f>IF(ISBLANK(I162),0,ROUNDUP(D162/10,0)-E162-H162-F162-G162+VLOOKUP($D$2,Calcs!$A$23:$B$27,2,FALSE)+I162)</f>
        <v>0</v>
      </c>
      <c r="K162" s="245" t="str">
        <f>IF(ISBLANK(I162)," ",VLOOKUP(J162,Calcs!$A$82:$H$106,2,TRUE))</f>
        <v xml:space="preserve"> </v>
      </c>
      <c r="L162" s="245">
        <f>IF(ISBLANK(I162),0,VLOOKUP(J162,Calcs!$A$82:$F$106,5,TRUE))</f>
        <v>0</v>
      </c>
      <c r="M162" s="208">
        <f>IF(J162=13,IF(ISNUMBER(W161),VLOOKUP(W161+1,Calcs!$O$4:$Q$24,3,TRUE)-V161,5),IF(J162&lt;10,0,IF(J162&lt;18,1,IF(J162&lt;22,2,IF(ISNUMBER(W161),VLOOKUP(W161+1,Calcs!$O$4:$Q$24,3,TRUE)-V161,5)))))</f>
        <v>0</v>
      </c>
      <c r="N162" s="245" t="str">
        <f t="shared" si="22"/>
        <v xml:space="preserve"> </v>
      </c>
      <c r="O162" s="245" t="str">
        <f t="shared" si="22"/>
        <v xml:space="preserve"> </v>
      </c>
      <c r="P162" s="245" t="str">
        <f t="shared" si="22"/>
        <v xml:space="preserve"> </v>
      </c>
      <c r="Q162" s="245" t="str">
        <f t="shared" si="22"/>
        <v xml:space="preserve"> </v>
      </c>
      <c r="R162" s="245" t="str">
        <f t="shared" si="22"/>
        <v xml:space="preserve"> </v>
      </c>
      <c r="S162" s="245" t="str">
        <f t="shared" si="22"/>
        <v xml:space="preserve"> </v>
      </c>
      <c r="T162" s="245" t="str">
        <f t="shared" si="22"/>
        <v xml:space="preserve"> </v>
      </c>
      <c r="U162" s="245" t="str">
        <f t="shared" si="22"/>
        <v xml:space="preserve"> </v>
      </c>
      <c r="V162" s="208">
        <f>SUM($N$10:$U162)</f>
        <v>0</v>
      </c>
      <c r="W162" s="208">
        <f>VLOOKUP(V162,Calcs!$Q$4:$R$24,2,TRUE)</f>
        <v>0</v>
      </c>
      <c r="X162" s="435" t="str">
        <f t="shared" si="19"/>
        <v>No</v>
      </c>
      <c r="Y162" s="436"/>
      <c r="Z162" s="435">
        <f t="shared" si="20"/>
        <v>0</v>
      </c>
      <c r="AA162" s="245" t="str">
        <f>IF(AND(X162="Yes",NOT(ISBLANK(Z162))),VLOOKUP(Z162,Calcs!$Y$48:$Z$57,2,TRUE)," ")</f>
        <v xml:space="preserve"> </v>
      </c>
    </row>
    <row r="163" spans="1:27" x14ac:dyDescent="0.2">
      <c r="A163" s="425">
        <f t="shared" si="21"/>
        <v>189</v>
      </c>
      <c r="B163" s="425" t="str">
        <f t="shared" si="17"/>
        <v>Winter</v>
      </c>
      <c r="C163" s="247">
        <f>IF(B163="Winter",A163-('Start Character'!$K$6)-1,IF('Start Character'!$K$7&gt;6,A163-('Start Character'!$K$6)-1,A163-('Start Character'!$K$6)))</f>
        <v>188</v>
      </c>
      <c r="D163" s="247">
        <f t="shared" si="18"/>
        <v>188</v>
      </c>
      <c r="E163" s="246"/>
      <c r="F163" s="83"/>
      <c r="G163" s="83"/>
      <c r="H163" s="246"/>
      <c r="I163" s="433"/>
      <c r="J163" s="254">
        <f>IF(ISBLANK(I163),0,ROUNDUP(D163/10,0)-E163-H163-F163-G163+VLOOKUP($D$2,Calcs!$A$23:$B$27,2,FALSE)+I163)</f>
        <v>0</v>
      </c>
      <c r="K163" s="245" t="str">
        <f>IF(ISBLANK(I163)," ",VLOOKUP(J163,Calcs!$A$82:$H$106,2,TRUE))</f>
        <v xml:space="preserve"> </v>
      </c>
      <c r="L163" s="245">
        <f>IF(ISBLANK(I163),0,VLOOKUP(J163,Calcs!$A$82:$F$106,5,TRUE))</f>
        <v>0</v>
      </c>
      <c r="M163" s="208">
        <f>IF(J163=13,IF(ISNUMBER(W162),VLOOKUP(W162+1,Calcs!$O$4:$Q$24,3,TRUE)-V162,5),IF(J163&lt;10,0,IF(J163&lt;18,1,IF(J163&lt;22,2,IF(ISNUMBER(W162),VLOOKUP(W162+1,Calcs!$O$4:$Q$24,3,TRUE)-V162,5)))))</f>
        <v>0</v>
      </c>
      <c r="N163" s="245" t="str">
        <f t="shared" si="22"/>
        <v xml:space="preserve"> </v>
      </c>
      <c r="O163" s="245" t="str">
        <f t="shared" si="22"/>
        <v xml:space="preserve"> </v>
      </c>
      <c r="P163" s="245" t="str">
        <f t="shared" si="22"/>
        <v xml:space="preserve"> </v>
      </c>
      <c r="Q163" s="245" t="str">
        <f t="shared" si="22"/>
        <v xml:space="preserve"> </v>
      </c>
      <c r="R163" s="245" t="str">
        <f t="shared" si="22"/>
        <v xml:space="preserve"> </v>
      </c>
      <c r="S163" s="245" t="str">
        <f t="shared" si="22"/>
        <v xml:space="preserve"> </v>
      </c>
      <c r="T163" s="245" t="str">
        <f t="shared" si="22"/>
        <v xml:space="preserve"> </v>
      </c>
      <c r="U163" s="245" t="str">
        <f t="shared" si="22"/>
        <v xml:space="preserve"> </v>
      </c>
      <c r="V163" s="208">
        <f>SUM($N$10:$U163)</f>
        <v>0</v>
      </c>
      <c r="W163" s="208">
        <f>VLOOKUP(V163,Calcs!$Q$4:$R$24,2,TRUE)</f>
        <v>0</v>
      </c>
      <c r="X163" s="435" t="str">
        <f t="shared" si="19"/>
        <v>No</v>
      </c>
      <c r="Y163" s="436"/>
      <c r="Z163" s="435">
        <f t="shared" si="20"/>
        <v>0</v>
      </c>
      <c r="AA163" s="245" t="str">
        <f>IF(AND(X163="Yes",NOT(ISBLANK(Z163))),VLOOKUP(Z163,Calcs!$Y$48:$Z$57,2,TRUE)," ")</f>
        <v xml:space="preserve"> </v>
      </c>
    </row>
    <row r="164" spans="1:27" x14ac:dyDescent="0.2">
      <c r="A164" s="425">
        <f t="shared" si="21"/>
        <v>190</v>
      </c>
      <c r="B164" s="425" t="str">
        <f t="shared" si="17"/>
        <v>Winter</v>
      </c>
      <c r="C164" s="247">
        <f>IF(B164="Winter",A164-('Start Character'!$K$6)-1,IF('Start Character'!$K$7&gt;6,A164-('Start Character'!$K$6)-1,A164-('Start Character'!$K$6)))</f>
        <v>189</v>
      </c>
      <c r="D164" s="247">
        <f t="shared" si="18"/>
        <v>189</v>
      </c>
      <c r="E164" s="246"/>
      <c r="F164" s="83"/>
      <c r="G164" s="83"/>
      <c r="H164" s="246"/>
      <c r="I164" s="433"/>
      <c r="J164" s="254">
        <f>IF(ISBLANK(I164),0,ROUNDUP(D164/10,0)-E164-H164-F164-G164+VLOOKUP($D$2,Calcs!$A$23:$B$27,2,FALSE)+I164)</f>
        <v>0</v>
      </c>
      <c r="K164" s="245" t="str">
        <f>IF(ISBLANK(I164)," ",VLOOKUP(J164,Calcs!$A$82:$H$106,2,TRUE))</f>
        <v xml:space="preserve"> </v>
      </c>
      <c r="L164" s="245">
        <f>IF(ISBLANK(I164),0,VLOOKUP(J164,Calcs!$A$82:$F$106,5,TRUE))</f>
        <v>0</v>
      </c>
      <c r="M164" s="208">
        <f>IF(J164=13,IF(ISNUMBER(W163),VLOOKUP(W163+1,Calcs!$O$4:$Q$24,3,TRUE)-V163,5),IF(J164&lt;10,0,IF(J164&lt;18,1,IF(J164&lt;22,2,IF(ISNUMBER(W163),VLOOKUP(W163+1,Calcs!$O$4:$Q$24,3,TRUE)-V163,5)))))</f>
        <v>0</v>
      </c>
      <c r="N164" s="245" t="str">
        <f t="shared" si="22"/>
        <v xml:space="preserve"> </v>
      </c>
      <c r="O164" s="245" t="str">
        <f t="shared" si="22"/>
        <v xml:space="preserve"> </v>
      </c>
      <c r="P164" s="245" t="str">
        <f t="shared" si="22"/>
        <v xml:space="preserve"> </v>
      </c>
      <c r="Q164" s="245" t="str">
        <f t="shared" si="22"/>
        <v xml:space="preserve"> </v>
      </c>
      <c r="R164" s="245" t="str">
        <f t="shared" si="22"/>
        <v xml:space="preserve"> </v>
      </c>
      <c r="S164" s="245" t="str">
        <f t="shared" si="22"/>
        <v xml:space="preserve"> </v>
      </c>
      <c r="T164" s="245" t="str">
        <f t="shared" si="22"/>
        <v xml:space="preserve"> </v>
      </c>
      <c r="U164" s="245" t="str">
        <f t="shared" si="22"/>
        <v xml:space="preserve"> </v>
      </c>
      <c r="V164" s="208">
        <f>SUM($N$10:$U164)</f>
        <v>0</v>
      </c>
      <c r="W164" s="208">
        <f>VLOOKUP(V164,Calcs!$Q$4:$R$24,2,TRUE)</f>
        <v>0</v>
      </c>
      <c r="X164" s="435" t="str">
        <f t="shared" si="19"/>
        <v>No</v>
      </c>
      <c r="Y164" s="436"/>
      <c r="Z164" s="435">
        <f t="shared" si="20"/>
        <v>0</v>
      </c>
      <c r="AA164" s="245" t="str">
        <f>IF(AND(X164="Yes",NOT(ISBLANK(Z164))),VLOOKUP(Z164,Calcs!$Y$48:$Z$57,2,TRUE)," ")</f>
        <v xml:space="preserve"> </v>
      </c>
    </row>
    <row r="165" spans="1:27" x14ac:dyDescent="0.2">
      <c r="A165" s="425">
        <f t="shared" si="21"/>
        <v>191</v>
      </c>
      <c r="B165" s="425" t="str">
        <f t="shared" si="17"/>
        <v>Winter</v>
      </c>
      <c r="C165" s="247">
        <f>IF(B165="Winter",A165-('Start Character'!$K$6)-1,IF('Start Character'!$K$7&gt;6,A165-('Start Character'!$K$6)-1,A165-('Start Character'!$K$6)))</f>
        <v>190</v>
      </c>
      <c r="D165" s="247">
        <f t="shared" si="18"/>
        <v>190</v>
      </c>
      <c r="E165" s="246"/>
      <c r="F165" s="83"/>
      <c r="G165" s="83"/>
      <c r="H165" s="246"/>
      <c r="I165" s="433"/>
      <c r="J165" s="254">
        <f>IF(ISBLANK(I165),0,ROUNDUP(D165/10,0)-E165-H165-F165-G165+VLOOKUP($D$2,Calcs!$A$23:$B$27,2,FALSE)+I165)</f>
        <v>0</v>
      </c>
      <c r="K165" s="245" t="str">
        <f>IF(ISBLANK(I165)," ",VLOOKUP(J165,Calcs!$A$82:$H$106,2,TRUE))</f>
        <v xml:space="preserve"> </v>
      </c>
      <c r="L165" s="245">
        <f>IF(ISBLANK(I165),0,VLOOKUP(J165,Calcs!$A$82:$F$106,5,TRUE))</f>
        <v>0</v>
      </c>
      <c r="M165" s="208">
        <f>IF(J165=13,IF(ISNUMBER(W164),VLOOKUP(W164+1,Calcs!$O$4:$Q$24,3,TRUE)-V164,5),IF(J165&lt;10,0,IF(J165&lt;18,1,IF(J165&lt;22,2,IF(ISNUMBER(W164),VLOOKUP(W164+1,Calcs!$O$4:$Q$24,3,TRUE)-V164,5)))))</f>
        <v>0</v>
      </c>
      <c r="N165" s="245" t="str">
        <f t="shared" si="22"/>
        <v xml:space="preserve"> </v>
      </c>
      <c r="O165" s="245" t="str">
        <f t="shared" si="22"/>
        <v xml:space="preserve"> </v>
      </c>
      <c r="P165" s="245" t="str">
        <f t="shared" si="22"/>
        <v xml:space="preserve"> </v>
      </c>
      <c r="Q165" s="245" t="str">
        <f t="shared" si="22"/>
        <v xml:space="preserve"> </v>
      </c>
      <c r="R165" s="245" t="str">
        <f t="shared" si="22"/>
        <v xml:space="preserve"> </v>
      </c>
      <c r="S165" s="245" t="str">
        <f t="shared" si="22"/>
        <v xml:space="preserve"> </v>
      </c>
      <c r="T165" s="245" t="str">
        <f t="shared" si="22"/>
        <v xml:space="preserve"> </v>
      </c>
      <c r="U165" s="245" t="str">
        <f t="shared" si="22"/>
        <v xml:space="preserve"> </v>
      </c>
      <c r="V165" s="208">
        <f>SUM($N$10:$U165)</f>
        <v>0</v>
      </c>
      <c r="W165" s="208">
        <f>VLOOKUP(V165,Calcs!$Q$4:$R$24,2,TRUE)</f>
        <v>0</v>
      </c>
      <c r="X165" s="435" t="str">
        <f t="shared" si="19"/>
        <v>No</v>
      </c>
      <c r="Y165" s="436"/>
      <c r="Z165" s="435">
        <f t="shared" si="20"/>
        <v>0</v>
      </c>
      <c r="AA165" s="245" t="str">
        <f>IF(AND(X165="Yes",NOT(ISBLANK(Z165))),VLOOKUP(Z165,Calcs!$Y$48:$Z$57,2,TRUE)," ")</f>
        <v xml:space="preserve"> </v>
      </c>
    </row>
    <row r="166" spans="1:27" x14ac:dyDescent="0.2">
      <c r="A166" s="425">
        <f t="shared" si="21"/>
        <v>192</v>
      </c>
      <c r="B166" s="425" t="str">
        <f t="shared" si="17"/>
        <v>Winter</v>
      </c>
      <c r="C166" s="247">
        <f>IF(B166="Winter",A166-('Start Character'!$K$6)-1,IF('Start Character'!$K$7&gt;6,A166-('Start Character'!$K$6)-1,A166-('Start Character'!$K$6)))</f>
        <v>191</v>
      </c>
      <c r="D166" s="247">
        <f t="shared" si="18"/>
        <v>191</v>
      </c>
      <c r="E166" s="246"/>
      <c r="F166" s="83"/>
      <c r="G166" s="83"/>
      <c r="H166" s="246"/>
      <c r="I166" s="433"/>
      <c r="J166" s="254">
        <f>IF(ISBLANK(I166),0,ROUNDUP(D166/10,0)-E166-H166-F166-G166+VLOOKUP($D$2,Calcs!$A$23:$B$27,2,FALSE)+I166)</f>
        <v>0</v>
      </c>
      <c r="K166" s="245" t="str">
        <f>IF(ISBLANK(I166)," ",VLOOKUP(J166,Calcs!$A$82:$H$106,2,TRUE))</f>
        <v xml:space="preserve"> </v>
      </c>
      <c r="L166" s="245">
        <f>IF(ISBLANK(I166),0,VLOOKUP(J166,Calcs!$A$82:$F$106,5,TRUE))</f>
        <v>0</v>
      </c>
      <c r="M166" s="208">
        <f>IF(J166=13,IF(ISNUMBER(W165),VLOOKUP(W165+1,Calcs!$O$4:$Q$24,3,TRUE)-V165,5),IF(J166&lt;10,0,IF(J166&lt;18,1,IF(J166&lt;22,2,IF(ISNUMBER(W165),VLOOKUP(W165+1,Calcs!$O$4:$Q$24,3,TRUE)-V165,5)))))</f>
        <v>0</v>
      </c>
      <c r="N166" s="245" t="str">
        <f t="shared" si="22"/>
        <v xml:space="preserve"> </v>
      </c>
      <c r="O166" s="245" t="str">
        <f t="shared" si="22"/>
        <v xml:space="preserve"> </v>
      </c>
      <c r="P166" s="245" t="str">
        <f t="shared" si="22"/>
        <v xml:space="preserve"> </v>
      </c>
      <c r="Q166" s="245" t="str">
        <f t="shared" si="22"/>
        <v xml:space="preserve"> </v>
      </c>
      <c r="R166" s="245" t="str">
        <f t="shared" si="22"/>
        <v xml:space="preserve"> </v>
      </c>
      <c r="S166" s="245" t="str">
        <f t="shared" si="22"/>
        <v xml:space="preserve"> </v>
      </c>
      <c r="T166" s="245" t="str">
        <f t="shared" si="22"/>
        <v xml:space="preserve"> </v>
      </c>
      <c r="U166" s="245" t="str">
        <f t="shared" si="22"/>
        <v xml:space="preserve"> </v>
      </c>
      <c r="V166" s="208">
        <f>SUM($N$10:$U166)</f>
        <v>0</v>
      </c>
      <c r="W166" s="208">
        <f>VLOOKUP(V166,Calcs!$Q$4:$R$24,2,TRUE)</f>
        <v>0</v>
      </c>
      <c r="X166" s="435" t="str">
        <f t="shared" si="19"/>
        <v>No</v>
      </c>
      <c r="Y166" s="436"/>
      <c r="Z166" s="435">
        <f t="shared" si="20"/>
        <v>0</v>
      </c>
      <c r="AA166" s="245" t="str">
        <f>IF(AND(X166="Yes",NOT(ISBLANK(Z166))),VLOOKUP(Z166,Calcs!$Y$48:$Z$57,2,TRUE)," ")</f>
        <v xml:space="preserve"> </v>
      </c>
    </row>
    <row r="167" spans="1:27" x14ac:dyDescent="0.2">
      <c r="A167" s="425">
        <f t="shared" si="21"/>
        <v>193</v>
      </c>
      <c r="B167" s="425" t="str">
        <f t="shared" si="17"/>
        <v>Winter</v>
      </c>
      <c r="C167" s="247">
        <f>IF(B167="Winter",A167-('Start Character'!$K$6)-1,IF('Start Character'!$K$7&gt;6,A167-('Start Character'!$K$6)-1,A167-('Start Character'!$K$6)))</f>
        <v>192</v>
      </c>
      <c r="D167" s="247">
        <f t="shared" si="18"/>
        <v>192</v>
      </c>
      <c r="E167" s="246"/>
      <c r="F167" s="83"/>
      <c r="G167" s="83"/>
      <c r="H167" s="246"/>
      <c r="I167" s="433"/>
      <c r="J167" s="254">
        <f>IF(ISBLANK(I167),0,ROUNDUP(D167/10,0)-E167-H167-F167-G167+VLOOKUP($D$2,Calcs!$A$23:$B$27,2,FALSE)+I167)</f>
        <v>0</v>
      </c>
      <c r="K167" s="245" t="str">
        <f>IF(ISBLANK(I167)," ",VLOOKUP(J167,Calcs!$A$82:$H$106,2,TRUE))</f>
        <v xml:space="preserve"> </v>
      </c>
      <c r="L167" s="245">
        <f>IF(ISBLANK(I167),0,VLOOKUP(J167,Calcs!$A$82:$F$106,5,TRUE))</f>
        <v>0</v>
      </c>
      <c r="M167" s="208">
        <f>IF(J167=13,IF(ISNUMBER(W166),VLOOKUP(W166+1,Calcs!$O$4:$Q$24,3,TRUE)-V166,5),IF(J167&lt;10,0,IF(J167&lt;18,1,IF(J167&lt;22,2,IF(ISNUMBER(W166),VLOOKUP(W166+1,Calcs!$O$4:$Q$24,3,TRUE)-V166,5)))))</f>
        <v>0</v>
      </c>
      <c r="N167" s="245" t="str">
        <f t="shared" si="22"/>
        <v xml:space="preserve"> </v>
      </c>
      <c r="O167" s="245" t="str">
        <f t="shared" si="22"/>
        <v xml:space="preserve"> </v>
      </c>
      <c r="P167" s="245" t="str">
        <f t="shared" si="22"/>
        <v xml:space="preserve"> </v>
      </c>
      <c r="Q167" s="245" t="str">
        <f t="shared" si="22"/>
        <v xml:space="preserve"> </v>
      </c>
      <c r="R167" s="245" t="str">
        <f t="shared" si="22"/>
        <v xml:space="preserve"> </v>
      </c>
      <c r="S167" s="245" t="str">
        <f t="shared" si="22"/>
        <v xml:space="preserve"> </v>
      </c>
      <c r="T167" s="245" t="str">
        <f t="shared" si="22"/>
        <v xml:space="preserve"> </v>
      </c>
      <c r="U167" s="245" t="str">
        <f t="shared" si="22"/>
        <v xml:space="preserve"> </v>
      </c>
      <c r="V167" s="208">
        <f>SUM($N$10:$U167)</f>
        <v>0</v>
      </c>
      <c r="W167" s="208">
        <f>VLOOKUP(V167,Calcs!$Q$4:$R$24,2,TRUE)</f>
        <v>0</v>
      </c>
      <c r="X167" s="435" t="str">
        <f t="shared" si="19"/>
        <v>No</v>
      </c>
      <c r="Y167" s="436"/>
      <c r="Z167" s="435">
        <f t="shared" si="20"/>
        <v>0</v>
      </c>
      <c r="AA167" s="245" t="str">
        <f>IF(AND(X167="Yes",NOT(ISBLANK(Z167))),VLOOKUP(Z167,Calcs!$Y$48:$Z$57,2,TRUE)," ")</f>
        <v xml:space="preserve"> </v>
      </c>
    </row>
    <row r="168" spans="1:27" x14ac:dyDescent="0.2">
      <c r="A168" s="425">
        <f t="shared" si="21"/>
        <v>194</v>
      </c>
      <c r="B168" s="425" t="str">
        <f t="shared" si="17"/>
        <v>Winter</v>
      </c>
      <c r="C168" s="247">
        <f>IF(B168="Winter",A168-('Start Character'!$K$6)-1,IF('Start Character'!$K$7&gt;6,A168-('Start Character'!$K$6)-1,A168-('Start Character'!$K$6)))</f>
        <v>193</v>
      </c>
      <c r="D168" s="247">
        <f t="shared" si="18"/>
        <v>193</v>
      </c>
      <c r="E168" s="246"/>
      <c r="F168" s="83"/>
      <c r="G168" s="83"/>
      <c r="H168" s="246"/>
      <c r="I168" s="433"/>
      <c r="J168" s="254">
        <f>IF(ISBLANK(I168),0,ROUNDUP(D168/10,0)-E168-H168-F168-G168+VLOOKUP($D$2,Calcs!$A$23:$B$27,2,FALSE)+I168)</f>
        <v>0</v>
      </c>
      <c r="K168" s="245" t="str">
        <f>IF(ISBLANK(I168)," ",VLOOKUP(J168,Calcs!$A$82:$H$106,2,TRUE))</f>
        <v xml:space="preserve"> </v>
      </c>
      <c r="L168" s="245">
        <f>IF(ISBLANK(I168),0,VLOOKUP(J168,Calcs!$A$82:$F$106,5,TRUE))</f>
        <v>0</v>
      </c>
      <c r="M168" s="208">
        <f>IF(J168=13,IF(ISNUMBER(W167),VLOOKUP(W167+1,Calcs!$O$4:$Q$24,3,TRUE)-V167,5),IF(J168&lt;10,0,IF(J168&lt;18,1,IF(J168&lt;22,2,IF(ISNUMBER(W167),VLOOKUP(W167+1,Calcs!$O$4:$Q$24,3,TRUE)-V167,5)))))</f>
        <v>0</v>
      </c>
      <c r="N168" s="245" t="str">
        <f t="shared" si="22"/>
        <v xml:space="preserve"> </v>
      </c>
      <c r="O168" s="245" t="str">
        <f t="shared" si="22"/>
        <v xml:space="preserve"> </v>
      </c>
      <c r="P168" s="245" t="str">
        <f t="shared" si="22"/>
        <v xml:space="preserve"> </v>
      </c>
      <c r="Q168" s="245" t="str">
        <f t="shared" si="22"/>
        <v xml:space="preserve"> </v>
      </c>
      <c r="R168" s="245" t="str">
        <f t="shared" si="22"/>
        <v xml:space="preserve"> </v>
      </c>
      <c r="S168" s="245" t="str">
        <f t="shared" si="22"/>
        <v xml:space="preserve"> </v>
      </c>
      <c r="T168" s="245" t="str">
        <f t="shared" si="22"/>
        <v xml:space="preserve"> </v>
      </c>
      <c r="U168" s="245" t="str">
        <f t="shared" si="22"/>
        <v xml:space="preserve"> </v>
      </c>
      <c r="V168" s="208">
        <f>SUM($N$10:$U168)</f>
        <v>0</v>
      </c>
      <c r="W168" s="208">
        <f>VLOOKUP(V168,Calcs!$Q$4:$R$24,2,TRUE)</f>
        <v>0</v>
      </c>
      <c r="X168" s="435" t="str">
        <f t="shared" si="19"/>
        <v>No</v>
      </c>
      <c r="Y168" s="436"/>
      <c r="Z168" s="435">
        <f t="shared" si="20"/>
        <v>0</v>
      </c>
      <c r="AA168" s="245" t="str">
        <f>IF(AND(X168="Yes",NOT(ISBLANK(Z168))),VLOOKUP(Z168,Calcs!$Y$48:$Z$57,2,TRUE)," ")</f>
        <v xml:space="preserve"> </v>
      </c>
    </row>
    <row r="169" spans="1:27" x14ac:dyDescent="0.2">
      <c r="A169" s="425">
        <f t="shared" si="21"/>
        <v>195</v>
      </c>
      <c r="B169" s="425" t="str">
        <f t="shared" si="17"/>
        <v>Winter</v>
      </c>
      <c r="C169" s="247">
        <f>IF(B169="Winter",A169-('Start Character'!$K$6)-1,IF('Start Character'!$K$7&gt;6,A169-('Start Character'!$K$6)-1,A169-('Start Character'!$K$6)))</f>
        <v>194</v>
      </c>
      <c r="D169" s="247">
        <f t="shared" si="18"/>
        <v>194</v>
      </c>
      <c r="E169" s="246"/>
      <c r="F169" s="83"/>
      <c r="G169" s="83"/>
      <c r="H169" s="246"/>
      <c r="I169" s="433"/>
      <c r="J169" s="254">
        <f>IF(ISBLANK(I169),0,ROUNDUP(D169/10,0)-E169-H169-F169-G169+VLOOKUP($D$2,Calcs!$A$23:$B$27,2,FALSE)+I169)</f>
        <v>0</v>
      </c>
      <c r="K169" s="245" t="str">
        <f>IF(ISBLANK(I169)," ",VLOOKUP(J169,Calcs!$A$82:$H$106,2,TRUE))</f>
        <v xml:space="preserve"> </v>
      </c>
      <c r="L169" s="245">
        <f>IF(ISBLANK(I169),0,VLOOKUP(J169,Calcs!$A$82:$F$106,5,TRUE))</f>
        <v>0</v>
      </c>
      <c r="M169" s="208">
        <f>IF(J169=13,IF(ISNUMBER(W168),VLOOKUP(W168+1,Calcs!$O$4:$Q$24,3,TRUE)-V168,5),IF(J169&lt;10,0,IF(J169&lt;18,1,IF(J169&lt;22,2,IF(ISNUMBER(W168),VLOOKUP(W168+1,Calcs!$O$4:$Q$24,3,TRUE)-V168,5)))))</f>
        <v>0</v>
      </c>
      <c r="N169" s="245" t="str">
        <f t="shared" si="22"/>
        <v xml:space="preserve"> </v>
      </c>
      <c r="O169" s="245" t="str">
        <f t="shared" si="22"/>
        <v xml:space="preserve"> </v>
      </c>
      <c r="P169" s="245" t="str">
        <f t="shared" si="22"/>
        <v xml:space="preserve"> </v>
      </c>
      <c r="Q169" s="245" t="str">
        <f t="shared" si="22"/>
        <v xml:space="preserve"> </v>
      </c>
      <c r="R169" s="245" t="str">
        <f t="shared" si="22"/>
        <v xml:space="preserve"> </v>
      </c>
      <c r="S169" s="245" t="str">
        <f t="shared" si="22"/>
        <v xml:space="preserve"> </v>
      </c>
      <c r="T169" s="245" t="str">
        <f t="shared" si="22"/>
        <v xml:space="preserve"> </v>
      </c>
      <c r="U169" s="245" t="str">
        <f t="shared" si="22"/>
        <v xml:space="preserve"> </v>
      </c>
      <c r="V169" s="208">
        <f>SUM($N$10:$U169)</f>
        <v>0</v>
      </c>
      <c r="W169" s="208">
        <f>VLOOKUP(V169,Calcs!$Q$4:$R$24,2,TRUE)</f>
        <v>0</v>
      </c>
      <c r="X169" s="435" t="str">
        <f t="shared" si="19"/>
        <v>No</v>
      </c>
      <c r="Y169" s="436"/>
      <c r="Z169" s="435">
        <f t="shared" si="20"/>
        <v>0</v>
      </c>
      <c r="AA169" s="245" t="str">
        <f>IF(AND(X169="Yes",NOT(ISBLANK(Z169))),VLOOKUP(Z169,Calcs!$Y$48:$Z$57,2,TRUE)," ")</f>
        <v xml:space="preserve"> </v>
      </c>
    </row>
    <row r="170" spans="1:27" x14ac:dyDescent="0.2">
      <c r="A170" s="425">
        <f t="shared" si="21"/>
        <v>196</v>
      </c>
      <c r="B170" s="425" t="str">
        <f t="shared" si="17"/>
        <v>Winter</v>
      </c>
      <c r="C170" s="247">
        <f>IF(B170="Winter",A170-('Start Character'!$K$6)-1,IF('Start Character'!$K$7&gt;6,A170-('Start Character'!$K$6)-1,A170-('Start Character'!$K$6)))</f>
        <v>195</v>
      </c>
      <c r="D170" s="247">
        <f t="shared" si="18"/>
        <v>195</v>
      </c>
      <c r="E170" s="246"/>
      <c r="F170" s="83"/>
      <c r="G170" s="83"/>
      <c r="H170" s="246"/>
      <c r="I170" s="433"/>
      <c r="J170" s="254">
        <f>IF(ISBLANK(I170),0,ROUNDUP(D170/10,0)-E170-H170-F170-G170+VLOOKUP($D$2,Calcs!$A$23:$B$27,2,FALSE)+I170)</f>
        <v>0</v>
      </c>
      <c r="K170" s="245" t="str">
        <f>IF(ISBLANK(I170)," ",VLOOKUP(J170,Calcs!$A$82:$H$106,2,TRUE))</f>
        <v xml:space="preserve"> </v>
      </c>
      <c r="L170" s="245">
        <f>IF(ISBLANK(I170),0,VLOOKUP(J170,Calcs!$A$82:$F$106,5,TRUE))</f>
        <v>0</v>
      </c>
      <c r="M170" s="208">
        <f>IF(J170=13,IF(ISNUMBER(W169),VLOOKUP(W169+1,Calcs!$O$4:$Q$24,3,TRUE)-V169,5),IF(J170&lt;10,0,IF(J170&lt;18,1,IF(J170&lt;22,2,IF(ISNUMBER(W169),VLOOKUP(W169+1,Calcs!$O$4:$Q$24,3,TRUE)-V169,5)))))</f>
        <v>0</v>
      </c>
      <c r="N170" s="245" t="str">
        <f t="shared" si="22"/>
        <v xml:space="preserve"> </v>
      </c>
      <c r="O170" s="245" t="str">
        <f t="shared" si="22"/>
        <v xml:space="preserve"> </v>
      </c>
      <c r="P170" s="245" t="str">
        <f t="shared" si="22"/>
        <v xml:space="preserve"> </v>
      </c>
      <c r="Q170" s="245" t="str">
        <f t="shared" si="22"/>
        <v xml:space="preserve"> </v>
      </c>
      <c r="R170" s="245" t="str">
        <f t="shared" si="22"/>
        <v xml:space="preserve"> </v>
      </c>
      <c r="S170" s="245" t="str">
        <f t="shared" si="22"/>
        <v xml:space="preserve"> </v>
      </c>
      <c r="T170" s="245" t="str">
        <f t="shared" si="22"/>
        <v xml:space="preserve"> </v>
      </c>
      <c r="U170" s="245" t="str">
        <f t="shared" si="22"/>
        <v xml:space="preserve"> </v>
      </c>
      <c r="V170" s="208">
        <f>SUM($N$10:$U170)</f>
        <v>0</v>
      </c>
      <c r="W170" s="208">
        <f>VLOOKUP(V170,Calcs!$Q$4:$R$24,2,TRUE)</f>
        <v>0</v>
      </c>
      <c r="X170" s="435" t="str">
        <f t="shared" si="19"/>
        <v>No</v>
      </c>
      <c r="Y170" s="436"/>
      <c r="Z170" s="435">
        <f t="shared" si="20"/>
        <v>0</v>
      </c>
      <c r="AA170" s="245" t="str">
        <f>IF(AND(X170="Yes",NOT(ISBLANK(Z170))),VLOOKUP(Z170,Calcs!$Y$48:$Z$57,2,TRUE)," ")</f>
        <v xml:space="preserve"> </v>
      </c>
    </row>
    <row r="171" spans="1:27" x14ac:dyDescent="0.2">
      <c r="A171" s="425">
        <f t="shared" si="21"/>
        <v>197</v>
      </c>
      <c r="B171" s="425" t="str">
        <f t="shared" si="17"/>
        <v>Winter</v>
      </c>
      <c r="C171" s="247">
        <f>IF(B171="Winter",A171-('Start Character'!$K$6)-1,IF('Start Character'!$K$7&gt;6,A171-('Start Character'!$K$6)-1,A171-('Start Character'!$K$6)))</f>
        <v>196</v>
      </c>
      <c r="D171" s="247">
        <f t="shared" si="18"/>
        <v>196</v>
      </c>
      <c r="E171" s="246"/>
      <c r="F171" s="83"/>
      <c r="G171" s="83"/>
      <c r="H171" s="246"/>
      <c r="I171" s="433"/>
      <c r="J171" s="254">
        <f>IF(ISBLANK(I171),0,ROUNDUP(D171/10,0)-E171-H171-F171-G171+VLOOKUP($D$2,Calcs!$A$23:$B$27,2,FALSE)+I171)</f>
        <v>0</v>
      </c>
      <c r="K171" s="245" t="str">
        <f>IF(ISBLANK(I171)," ",VLOOKUP(J171,Calcs!$A$82:$H$106,2,TRUE))</f>
        <v xml:space="preserve"> </v>
      </c>
      <c r="L171" s="245">
        <f>IF(ISBLANK(I171),0,VLOOKUP(J171,Calcs!$A$82:$F$106,5,TRUE))</f>
        <v>0</v>
      </c>
      <c r="M171" s="208">
        <f>IF(J171=13,IF(ISNUMBER(W170),VLOOKUP(W170+1,Calcs!$O$4:$Q$24,3,TRUE)-V170,5),IF(J171&lt;10,0,IF(J171&lt;18,1,IF(J171&lt;22,2,IF(ISNUMBER(W170),VLOOKUP(W170+1,Calcs!$O$4:$Q$24,3,TRUE)-V170,5)))))</f>
        <v>0</v>
      </c>
      <c r="N171" s="245" t="str">
        <f t="shared" si="22"/>
        <v xml:space="preserve"> </v>
      </c>
      <c r="O171" s="245" t="str">
        <f t="shared" si="22"/>
        <v xml:space="preserve"> </v>
      </c>
      <c r="P171" s="245" t="str">
        <f t="shared" si="22"/>
        <v xml:space="preserve"> </v>
      </c>
      <c r="Q171" s="245" t="str">
        <f t="shared" si="22"/>
        <v xml:space="preserve"> </v>
      </c>
      <c r="R171" s="245" t="str">
        <f t="shared" si="22"/>
        <v xml:space="preserve"> </v>
      </c>
      <c r="S171" s="245" t="str">
        <f t="shared" si="22"/>
        <v xml:space="preserve"> </v>
      </c>
      <c r="T171" s="245" t="str">
        <f t="shared" si="22"/>
        <v xml:space="preserve"> </v>
      </c>
      <c r="U171" s="245" t="str">
        <f t="shared" si="22"/>
        <v xml:space="preserve"> </v>
      </c>
      <c r="V171" s="208">
        <f>SUM($N$10:$U171)</f>
        <v>0</v>
      </c>
      <c r="W171" s="208">
        <f>VLOOKUP(V171,Calcs!$Q$4:$R$24,2,TRUE)</f>
        <v>0</v>
      </c>
      <c r="X171" s="435" t="str">
        <f t="shared" si="19"/>
        <v>No</v>
      </c>
      <c r="Y171" s="436"/>
      <c r="Z171" s="435">
        <f t="shared" si="20"/>
        <v>0</v>
      </c>
      <c r="AA171" s="245" t="str">
        <f>IF(AND(X171="Yes",NOT(ISBLANK(Z171))),VLOOKUP(Z171,Calcs!$Y$48:$Z$57,2,TRUE)," ")</f>
        <v xml:space="preserve"> </v>
      </c>
    </row>
    <row r="172" spans="1:27" x14ac:dyDescent="0.2">
      <c r="A172" s="425">
        <f t="shared" si="21"/>
        <v>198</v>
      </c>
      <c r="B172" s="425" t="str">
        <f t="shared" si="17"/>
        <v>Winter</v>
      </c>
      <c r="C172" s="247">
        <f>IF(B172="Winter",A172-('Start Character'!$K$6)-1,IF('Start Character'!$K$7&gt;6,A172-('Start Character'!$K$6)-1,A172-('Start Character'!$K$6)))</f>
        <v>197</v>
      </c>
      <c r="D172" s="247">
        <f t="shared" si="18"/>
        <v>197</v>
      </c>
      <c r="E172" s="246"/>
      <c r="F172" s="83"/>
      <c r="G172" s="83"/>
      <c r="H172" s="246"/>
      <c r="I172" s="433"/>
      <c r="J172" s="254">
        <f>IF(ISBLANK(I172),0,ROUNDUP(D172/10,0)-E172-H172-F172-G172+VLOOKUP($D$2,Calcs!$A$23:$B$27,2,FALSE)+I172)</f>
        <v>0</v>
      </c>
      <c r="K172" s="245" t="str">
        <f>IF(ISBLANK(I172)," ",VLOOKUP(J172,Calcs!$A$82:$H$106,2,TRUE))</f>
        <v xml:space="preserve"> </v>
      </c>
      <c r="L172" s="245">
        <f>IF(ISBLANK(I172),0,VLOOKUP(J172,Calcs!$A$82:$F$106,5,TRUE))</f>
        <v>0</v>
      </c>
      <c r="M172" s="208">
        <f>IF(J172=13,IF(ISNUMBER(W171),VLOOKUP(W171+1,Calcs!$O$4:$Q$24,3,TRUE)-V171,5),IF(J172&lt;10,0,IF(J172&lt;18,1,IF(J172&lt;22,2,IF(ISNUMBER(W171),VLOOKUP(W171+1,Calcs!$O$4:$Q$24,3,TRUE)-V171,5)))))</f>
        <v>0</v>
      </c>
      <c r="N172" s="245" t="str">
        <f t="shared" si="22"/>
        <v xml:space="preserve"> </v>
      </c>
      <c r="O172" s="245" t="str">
        <f t="shared" si="22"/>
        <v xml:space="preserve"> </v>
      </c>
      <c r="P172" s="245" t="str">
        <f t="shared" si="22"/>
        <v xml:space="preserve"> </v>
      </c>
      <c r="Q172" s="245" t="str">
        <f t="shared" si="22"/>
        <v xml:space="preserve"> </v>
      </c>
      <c r="R172" s="245" t="str">
        <f t="shared" si="22"/>
        <v xml:space="preserve"> </v>
      </c>
      <c r="S172" s="245" t="str">
        <f t="shared" si="22"/>
        <v xml:space="preserve"> </v>
      </c>
      <c r="T172" s="245" t="str">
        <f t="shared" si="22"/>
        <v xml:space="preserve"> </v>
      </c>
      <c r="U172" s="245" t="str">
        <f t="shared" si="22"/>
        <v xml:space="preserve"> </v>
      </c>
      <c r="V172" s="208">
        <f>SUM($N$10:$U172)</f>
        <v>0</v>
      </c>
      <c r="W172" s="208">
        <f>VLOOKUP(V172,Calcs!$Q$4:$R$24,2,TRUE)</f>
        <v>0</v>
      </c>
      <c r="X172" s="435" t="str">
        <f t="shared" si="19"/>
        <v>No</v>
      </c>
      <c r="Y172" s="436"/>
      <c r="Z172" s="435">
        <f t="shared" si="20"/>
        <v>0</v>
      </c>
      <c r="AA172" s="245" t="str">
        <f>IF(AND(X172="Yes",NOT(ISBLANK(Z172))),VLOOKUP(Z172,Calcs!$Y$48:$Z$57,2,TRUE)," ")</f>
        <v xml:space="preserve"> </v>
      </c>
    </row>
    <row r="173" spans="1:27" x14ac:dyDescent="0.2">
      <c r="A173" s="425">
        <f t="shared" si="21"/>
        <v>199</v>
      </c>
      <c r="B173" s="425" t="str">
        <f t="shared" si="17"/>
        <v>Winter</v>
      </c>
      <c r="C173" s="247">
        <f>IF(B173="Winter",A173-('Start Character'!$K$6)-1,IF('Start Character'!$K$7&gt;6,A173-('Start Character'!$K$6)-1,A173-('Start Character'!$K$6)))</f>
        <v>198</v>
      </c>
      <c r="D173" s="247">
        <f t="shared" si="18"/>
        <v>198</v>
      </c>
      <c r="E173" s="246"/>
      <c r="F173" s="83"/>
      <c r="G173" s="83"/>
      <c r="H173" s="246"/>
      <c r="I173" s="433"/>
      <c r="J173" s="254">
        <f>IF(ISBLANK(I173),0,ROUNDUP(D173/10,0)-E173-H173-F173-G173+VLOOKUP($D$2,Calcs!$A$23:$B$27,2,FALSE)+I173)</f>
        <v>0</v>
      </c>
      <c r="K173" s="245" t="str">
        <f>IF(ISBLANK(I173)," ",VLOOKUP(J173,Calcs!$A$82:$H$106,2,TRUE))</f>
        <v xml:space="preserve"> </v>
      </c>
      <c r="L173" s="245">
        <f>IF(ISBLANK(I173),0,VLOOKUP(J173,Calcs!$A$82:$F$106,5,TRUE))</f>
        <v>0</v>
      </c>
      <c r="M173" s="208">
        <f>IF(J173=13,IF(ISNUMBER(W172),VLOOKUP(W172+1,Calcs!$O$4:$Q$24,3,TRUE)-V172,5),IF(J173&lt;10,0,IF(J173&lt;18,1,IF(J173&lt;22,2,IF(ISNUMBER(W172),VLOOKUP(W172+1,Calcs!$O$4:$Q$24,3,TRUE)-V172,5)))))</f>
        <v>0</v>
      </c>
      <c r="N173" s="245" t="str">
        <f t="shared" si="22"/>
        <v xml:space="preserve"> </v>
      </c>
      <c r="O173" s="245" t="str">
        <f t="shared" si="22"/>
        <v xml:space="preserve"> </v>
      </c>
      <c r="P173" s="245" t="str">
        <f t="shared" si="22"/>
        <v xml:space="preserve"> </v>
      </c>
      <c r="Q173" s="245" t="str">
        <f t="shared" si="22"/>
        <v xml:space="preserve"> </v>
      </c>
      <c r="R173" s="245" t="str">
        <f t="shared" si="22"/>
        <v xml:space="preserve"> </v>
      </c>
      <c r="S173" s="245" t="str">
        <f t="shared" si="22"/>
        <v xml:space="preserve"> </v>
      </c>
      <c r="T173" s="245" t="str">
        <f t="shared" si="22"/>
        <v xml:space="preserve"> </v>
      </c>
      <c r="U173" s="245" t="str">
        <f t="shared" si="22"/>
        <v xml:space="preserve"> </v>
      </c>
      <c r="V173" s="208">
        <f>SUM($N$10:$U173)</f>
        <v>0</v>
      </c>
      <c r="W173" s="208">
        <f>VLOOKUP(V173,Calcs!$Q$4:$R$24,2,TRUE)</f>
        <v>0</v>
      </c>
      <c r="X173" s="435" t="str">
        <f t="shared" si="19"/>
        <v>No</v>
      </c>
      <c r="Y173" s="436"/>
      <c r="Z173" s="435">
        <f t="shared" si="20"/>
        <v>0</v>
      </c>
      <c r="AA173" s="245" t="str">
        <f>IF(AND(X173="Yes",NOT(ISBLANK(Z173))),VLOOKUP(Z173,Calcs!$Y$48:$Z$57,2,TRUE)," ")</f>
        <v xml:space="preserve"> </v>
      </c>
    </row>
    <row r="174" spans="1:27" x14ac:dyDescent="0.2">
      <c r="A174" s="425">
        <f t="shared" si="21"/>
        <v>200</v>
      </c>
      <c r="B174" s="425" t="str">
        <f t="shared" si="17"/>
        <v>Winter</v>
      </c>
      <c r="C174" s="247">
        <f>IF(B174="Winter",A174-('Start Character'!$K$6)-1,IF('Start Character'!$K$7&gt;6,A174-('Start Character'!$K$6)-1,A174-('Start Character'!$K$6)))</f>
        <v>199</v>
      </c>
      <c r="D174" s="247">
        <f t="shared" si="18"/>
        <v>199</v>
      </c>
      <c r="E174" s="246"/>
      <c r="F174" s="83"/>
      <c r="G174" s="83"/>
      <c r="H174" s="246"/>
      <c r="I174" s="433"/>
      <c r="J174" s="254">
        <f>IF(ISBLANK(I174),0,ROUNDUP(D174/10,0)-E174-H174-F174-G174+VLOOKUP($D$2,Calcs!$A$23:$B$27,2,FALSE)+I174)</f>
        <v>0</v>
      </c>
      <c r="K174" s="245" t="str">
        <f>IF(ISBLANK(I174)," ",VLOOKUP(J174,Calcs!$A$82:$H$106,2,TRUE))</f>
        <v xml:space="preserve"> </v>
      </c>
      <c r="L174" s="245">
        <f>IF(ISBLANK(I174),0,VLOOKUP(J174,Calcs!$A$82:$F$106,5,TRUE))</f>
        <v>0</v>
      </c>
      <c r="M174" s="208">
        <f>IF(J174=13,IF(ISNUMBER(W173),VLOOKUP(W173+1,Calcs!$O$4:$Q$24,3,TRUE)-V173,5),IF(J174&lt;10,0,IF(J174&lt;18,1,IF(J174&lt;22,2,IF(ISNUMBER(W173),VLOOKUP(W173+1,Calcs!$O$4:$Q$24,3,TRUE)-V173,5)))))</f>
        <v>0</v>
      </c>
      <c r="N174" s="245" t="str">
        <f t="shared" si="22"/>
        <v xml:space="preserve"> </v>
      </c>
      <c r="O174" s="245" t="str">
        <f t="shared" si="22"/>
        <v xml:space="preserve"> </v>
      </c>
      <c r="P174" s="245" t="str">
        <f t="shared" si="22"/>
        <v xml:space="preserve"> </v>
      </c>
      <c r="Q174" s="245" t="str">
        <f t="shared" si="22"/>
        <v xml:space="preserve"> </v>
      </c>
      <c r="R174" s="245" t="str">
        <f t="shared" si="22"/>
        <v xml:space="preserve"> </v>
      </c>
      <c r="S174" s="245" t="str">
        <f t="shared" si="22"/>
        <v xml:space="preserve"> </v>
      </c>
      <c r="T174" s="245" t="str">
        <f t="shared" si="22"/>
        <v xml:space="preserve"> </v>
      </c>
      <c r="U174" s="245" t="str">
        <f t="shared" si="22"/>
        <v xml:space="preserve"> </v>
      </c>
      <c r="V174" s="208">
        <f>SUM($N$10:$U174)</f>
        <v>0</v>
      </c>
      <c r="W174" s="208">
        <f>VLOOKUP(V174,Calcs!$Q$4:$R$24,2,TRUE)</f>
        <v>0</v>
      </c>
      <c r="X174" s="435" t="str">
        <f t="shared" si="19"/>
        <v>No</v>
      </c>
      <c r="Y174" s="436"/>
      <c r="Z174" s="435">
        <f t="shared" si="20"/>
        <v>0</v>
      </c>
      <c r="AA174" s="245" t="str">
        <f>IF(AND(X174="Yes",NOT(ISBLANK(Z174))),VLOOKUP(Z174,Calcs!$Y$48:$Z$57,2,TRUE)," ")</f>
        <v xml:space="preserve"> </v>
      </c>
    </row>
    <row r="175" spans="1:27" x14ac:dyDescent="0.2">
      <c r="A175" s="425">
        <f t="shared" si="21"/>
        <v>201</v>
      </c>
      <c r="B175" s="425" t="str">
        <f t="shared" si="17"/>
        <v>Winter</v>
      </c>
      <c r="C175" s="247">
        <f>IF(B175="Winter",A175-('Start Character'!$K$6)-1,IF('Start Character'!$K$7&gt;6,A175-('Start Character'!$K$6)-1,A175-('Start Character'!$K$6)))</f>
        <v>200</v>
      </c>
      <c r="D175" s="247">
        <f t="shared" si="18"/>
        <v>200</v>
      </c>
      <c r="E175" s="246"/>
      <c r="F175" s="83"/>
      <c r="G175" s="83"/>
      <c r="H175" s="246"/>
      <c r="I175" s="433"/>
      <c r="J175" s="254">
        <f>IF(ISBLANK(I175),0,ROUNDUP(D175/10,0)-E175-H175-F175-G175+VLOOKUP($D$2,Calcs!$A$23:$B$27,2,FALSE)+I175)</f>
        <v>0</v>
      </c>
      <c r="K175" s="245" t="str">
        <f>IF(ISBLANK(I175)," ",VLOOKUP(J175,Calcs!$A$82:$H$106,2,TRUE))</f>
        <v xml:space="preserve"> </v>
      </c>
      <c r="L175" s="245">
        <f>IF(ISBLANK(I175),0,VLOOKUP(J175,Calcs!$A$82:$F$106,5,TRUE))</f>
        <v>0</v>
      </c>
      <c r="M175" s="208">
        <f>IF(J175=13,IF(ISNUMBER(W174),VLOOKUP(W174+1,Calcs!$O$4:$Q$24,3,TRUE)-V174,5),IF(J175&lt;10,0,IF(J175&lt;18,1,IF(J175&lt;22,2,IF(ISNUMBER(W174),VLOOKUP(W174+1,Calcs!$O$4:$Q$24,3,TRUE)-V174,5)))))</f>
        <v>0</v>
      </c>
      <c r="N175" s="245" t="str">
        <f t="shared" si="22"/>
        <v xml:space="preserve"> </v>
      </c>
      <c r="O175" s="245" t="str">
        <f t="shared" si="22"/>
        <v xml:space="preserve"> </v>
      </c>
      <c r="P175" s="245" t="str">
        <f t="shared" si="22"/>
        <v xml:space="preserve"> </v>
      </c>
      <c r="Q175" s="245" t="str">
        <f t="shared" si="22"/>
        <v xml:space="preserve"> </v>
      </c>
      <c r="R175" s="245" t="str">
        <f t="shared" si="22"/>
        <v xml:space="preserve"> </v>
      </c>
      <c r="S175" s="245" t="str">
        <f t="shared" si="22"/>
        <v xml:space="preserve"> </v>
      </c>
      <c r="T175" s="245" t="str">
        <f t="shared" si="22"/>
        <v xml:space="preserve"> </v>
      </c>
      <c r="U175" s="245" t="str">
        <f t="shared" si="22"/>
        <v xml:space="preserve"> </v>
      </c>
      <c r="V175" s="208">
        <f>SUM($N$10:$U175)</f>
        <v>0</v>
      </c>
      <c r="W175" s="208">
        <f>VLOOKUP(V175,Calcs!$Q$4:$R$24,2,TRUE)</f>
        <v>0</v>
      </c>
      <c r="X175" s="435" t="str">
        <f t="shared" si="19"/>
        <v>No</v>
      </c>
      <c r="Y175" s="436"/>
      <c r="Z175" s="435">
        <f t="shared" si="20"/>
        <v>0</v>
      </c>
      <c r="AA175" s="245" t="str">
        <f>IF(AND(X175="Yes",NOT(ISBLANK(Z175))),VLOOKUP(Z175,Calcs!$Y$48:$Z$57,2,TRUE)," ")</f>
        <v xml:space="preserve"> </v>
      </c>
    </row>
    <row r="176" spans="1:27" x14ac:dyDescent="0.2">
      <c r="A176" s="425">
        <f t="shared" si="21"/>
        <v>202</v>
      </c>
      <c r="B176" s="425" t="str">
        <f t="shared" si="17"/>
        <v>Winter</v>
      </c>
      <c r="C176" s="247">
        <f>IF(B176="Winter",A176-('Start Character'!$K$6)-1,IF('Start Character'!$K$7&gt;6,A176-('Start Character'!$K$6)-1,A176-('Start Character'!$K$6)))</f>
        <v>201</v>
      </c>
      <c r="D176" s="247">
        <f t="shared" si="18"/>
        <v>201</v>
      </c>
      <c r="E176" s="246"/>
      <c r="F176" s="83"/>
      <c r="G176" s="83"/>
      <c r="H176" s="246"/>
      <c r="I176" s="433"/>
      <c r="J176" s="254">
        <f>IF(ISBLANK(I176),0,ROUNDUP(D176/10,0)-E176-H176-F176-G176+VLOOKUP($D$2,Calcs!$A$23:$B$27,2,FALSE)+I176)</f>
        <v>0</v>
      </c>
      <c r="K176" s="245" t="str">
        <f>IF(ISBLANK(I176)," ",VLOOKUP(J176,Calcs!$A$82:$H$106,2,TRUE))</f>
        <v xml:space="preserve"> </v>
      </c>
      <c r="L176" s="245">
        <f>IF(ISBLANK(I176),0,VLOOKUP(J176,Calcs!$A$82:$F$106,5,TRUE))</f>
        <v>0</v>
      </c>
      <c r="M176" s="208">
        <f>IF(J176=13,IF(ISNUMBER(W175),VLOOKUP(W175+1,Calcs!$O$4:$Q$24,3,TRUE)-V175,5),IF(J176&lt;10,0,IF(J176&lt;18,1,IF(J176&lt;22,2,IF(ISNUMBER(W175),VLOOKUP(W175+1,Calcs!$O$4:$Q$24,3,TRUE)-V175,5)))))</f>
        <v>0</v>
      </c>
      <c r="N176" s="245" t="str">
        <f t="shared" si="22"/>
        <v xml:space="preserve"> </v>
      </c>
      <c r="O176" s="245" t="str">
        <f t="shared" si="22"/>
        <v xml:space="preserve"> </v>
      </c>
      <c r="P176" s="245" t="str">
        <f t="shared" si="22"/>
        <v xml:space="preserve"> </v>
      </c>
      <c r="Q176" s="245" t="str">
        <f t="shared" si="22"/>
        <v xml:space="preserve"> </v>
      </c>
      <c r="R176" s="245" t="str">
        <f t="shared" si="22"/>
        <v xml:space="preserve"> </v>
      </c>
      <c r="S176" s="245" t="str">
        <f t="shared" si="22"/>
        <v xml:space="preserve"> </v>
      </c>
      <c r="T176" s="245" t="str">
        <f t="shared" si="22"/>
        <v xml:space="preserve"> </v>
      </c>
      <c r="U176" s="245" t="str">
        <f t="shared" si="22"/>
        <v xml:space="preserve"> </v>
      </c>
      <c r="V176" s="208">
        <f>SUM($N$10:$U176)</f>
        <v>0</v>
      </c>
      <c r="W176" s="208">
        <f>VLOOKUP(V176,Calcs!$Q$4:$R$24,2,TRUE)</f>
        <v>0</v>
      </c>
      <c r="X176" s="435" t="str">
        <f t="shared" si="19"/>
        <v>No</v>
      </c>
      <c r="Y176" s="436"/>
      <c r="Z176" s="435">
        <f t="shared" si="20"/>
        <v>0</v>
      </c>
      <c r="AA176" s="245" t="str">
        <f>IF(AND(X176="Yes",NOT(ISBLANK(Z176))),VLOOKUP(Z176,Calcs!$Y$48:$Z$57,2,TRUE)," ")</f>
        <v xml:space="preserve"> </v>
      </c>
    </row>
    <row r="177" spans="1:27" x14ac:dyDescent="0.2">
      <c r="A177" s="425">
        <f t="shared" si="21"/>
        <v>203</v>
      </c>
      <c r="B177" s="425" t="str">
        <f t="shared" si="17"/>
        <v>Winter</v>
      </c>
      <c r="C177" s="247">
        <f>IF(B177="Winter",A177-('Start Character'!$K$6)-1,IF('Start Character'!$K$7&gt;6,A177-('Start Character'!$K$6)-1,A177-('Start Character'!$K$6)))</f>
        <v>202</v>
      </c>
      <c r="D177" s="247">
        <f t="shared" si="18"/>
        <v>202</v>
      </c>
      <c r="E177" s="246"/>
      <c r="F177" s="83"/>
      <c r="G177" s="83"/>
      <c r="H177" s="246"/>
      <c r="I177" s="433"/>
      <c r="J177" s="254">
        <f>IF(ISBLANK(I177),0,ROUNDUP(D177/10,0)-E177-H177-F177-G177+VLOOKUP($D$2,Calcs!$A$23:$B$27,2,FALSE)+I177)</f>
        <v>0</v>
      </c>
      <c r="K177" s="245" t="str">
        <f>IF(ISBLANK(I177)," ",VLOOKUP(J177,Calcs!$A$82:$H$106,2,TRUE))</f>
        <v xml:space="preserve"> </v>
      </c>
      <c r="L177" s="245">
        <f>IF(ISBLANK(I177),0,VLOOKUP(J177,Calcs!$A$82:$F$106,5,TRUE))</f>
        <v>0</v>
      </c>
      <c r="M177" s="208">
        <f>IF(J177=13,IF(ISNUMBER(W176),VLOOKUP(W176+1,Calcs!$O$4:$Q$24,3,TRUE)-V176,5),IF(J177&lt;10,0,IF(J177&lt;18,1,IF(J177&lt;22,2,IF(ISNUMBER(W176),VLOOKUP(W176+1,Calcs!$O$4:$Q$24,3,TRUE)-V176,5)))))</f>
        <v>0</v>
      </c>
      <c r="N177" s="245" t="str">
        <f t="shared" si="22"/>
        <v xml:space="preserve"> </v>
      </c>
      <c r="O177" s="245" t="str">
        <f t="shared" si="22"/>
        <v xml:space="preserve"> </v>
      </c>
      <c r="P177" s="245" t="str">
        <f t="shared" si="22"/>
        <v xml:space="preserve"> </v>
      </c>
      <c r="Q177" s="245" t="str">
        <f t="shared" si="22"/>
        <v xml:space="preserve"> </v>
      </c>
      <c r="R177" s="245" t="str">
        <f t="shared" si="22"/>
        <v xml:space="preserve"> </v>
      </c>
      <c r="S177" s="245" t="str">
        <f t="shared" si="22"/>
        <v xml:space="preserve"> </v>
      </c>
      <c r="T177" s="245" t="str">
        <f t="shared" si="22"/>
        <v xml:space="preserve"> </v>
      </c>
      <c r="U177" s="245" t="str">
        <f t="shared" si="22"/>
        <v xml:space="preserve"> </v>
      </c>
      <c r="V177" s="208">
        <f>SUM($N$10:$U177)</f>
        <v>0</v>
      </c>
      <c r="W177" s="208">
        <f>VLOOKUP(V177,Calcs!$Q$4:$R$24,2,TRUE)</f>
        <v>0</v>
      </c>
      <c r="X177" s="435" t="str">
        <f t="shared" si="19"/>
        <v>No</v>
      </c>
      <c r="Y177" s="436"/>
      <c r="Z177" s="435">
        <f t="shared" si="20"/>
        <v>0</v>
      </c>
      <c r="AA177" s="245" t="str">
        <f>IF(AND(X177="Yes",NOT(ISBLANK(Z177))),VLOOKUP(Z177,Calcs!$Y$48:$Z$57,2,TRUE)," ")</f>
        <v xml:space="preserve"> </v>
      </c>
    </row>
    <row r="178" spans="1:27" x14ac:dyDescent="0.2">
      <c r="A178" s="425">
        <f t="shared" si="21"/>
        <v>204</v>
      </c>
      <c r="B178" s="425" t="str">
        <f t="shared" si="17"/>
        <v>Winter</v>
      </c>
      <c r="C178" s="247">
        <f>IF(B178="Winter",A178-('Start Character'!$K$6)-1,IF('Start Character'!$K$7&gt;6,A178-('Start Character'!$K$6)-1,A178-('Start Character'!$K$6)))</f>
        <v>203</v>
      </c>
      <c r="D178" s="247">
        <f t="shared" si="18"/>
        <v>203</v>
      </c>
      <c r="E178" s="246"/>
      <c r="F178" s="83"/>
      <c r="G178" s="83"/>
      <c r="H178" s="246"/>
      <c r="I178" s="433"/>
      <c r="J178" s="254">
        <f>IF(ISBLANK(I178),0,ROUNDUP(D178/10,0)-E178-H178-F178-G178+VLOOKUP($D$2,Calcs!$A$23:$B$27,2,FALSE)+I178)</f>
        <v>0</v>
      </c>
      <c r="K178" s="245" t="str">
        <f>IF(ISBLANK(I178)," ",VLOOKUP(J178,Calcs!$A$82:$H$106,2,TRUE))</f>
        <v xml:space="preserve"> </v>
      </c>
      <c r="L178" s="245">
        <f>IF(ISBLANK(I178),0,VLOOKUP(J178,Calcs!$A$82:$F$106,5,TRUE))</f>
        <v>0</v>
      </c>
      <c r="M178" s="208">
        <f>IF(J178=13,IF(ISNUMBER(W177),VLOOKUP(W177+1,Calcs!$O$4:$Q$24,3,TRUE)-V177,5),IF(J178&lt;10,0,IF(J178&lt;18,1,IF(J178&lt;22,2,IF(ISNUMBER(W177),VLOOKUP(W177+1,Calcs!$O$4:$Q$24,3,TRUE)-V177,5)))))</f>
        <v>0</v>
      </c>
      <c r="N178" s="245" t="str">
        <f t="shared" si="22"/>
        <v xml:space="preserve"> </v>
      </c>
      <c r="O178" s="245" t="str">
        <f t="shared" si="22"/>
        <v xml:space="preserve"> </v>
      </c>
      <c r="P178" s="245" t="str">
        <f t="shared" si="22"/>
        <v xml:space="preserve"> </v>
      </c>
      <c r="Q178" s="245" t="str">
        <f t="shared" si="22"/>
        <v xml:space="preserve"> </v>
      </c>
      <c r="R178" s="245" t="str">
        <f t="shared" si="22"/>
        <v xml:space="preserve"> </v>
      </c>
      <c r="S178" s="245" t="str">
        <f t="shared" si="22"/>
        <v xml:space="preserve"> </v>
      </c>
      <c r="T178" s="245" t="str">
        <f t="shared" si="22"/>
        <v xml:space="preserve"> </v>
      </c>
      <c r="U178" s="245" t="str">
        <f t="shared" si="22"/>
        <v xml:space="preserve"> </v>
      </c>
      <c r="V178" s="208">
        <f>SUM($N$10:$U178)</f>
        <v>0</v>
      </c>
      <c r="W178" s="208">
        <f>VLOOKUP(V178,Calcs!$Q$4:$R$24,2,TRUE)</f>
        <v>0</v>
      </c>
      <c r="X178" s="435" t="str">
        <f t="shared" si="19"/>
        <v>No</v>
      </c>
      <c r="Y178" s="436"/>
      <c r="Z178" s="435">
        <f t="shared" si="20"/>
        <v>0</v>
      </c>
      <c r="AA178" s="245" t="str">
        <f>IF(AND(X178="Yes",NOT(ISBLANK(Z178))),VLOOKUP(Z178,Calcs!$Y$48:$Z$57,2,TRUE)," ")</f>
        <v xml:space="preserve"> </v>
      </c>
    </row>
    <row r="179" spans="1:27" x14ac:dyDescent="0.2">
      <c r="A179" s="425">
        <f t="shared" si="21"/>
        <v>205</v>
      </c>
      <c r="B179" s="425" t="str">
        <f t="shared" si="17"/>
        <v>Winter</v>
      </c>
      <c r="C179" s="247">
        <f>IF(B179="Winter",A179-('Start Character'!$K$6)-1,IF('Start Character'!$K$7&gt;6,A179-('Start Character'!$K$6)-1,A179-('Start Character'!$K$6)))</f>
        <v>204</v>
      </c>
      <c r="D179" s="247">
        <f t="shared" si="18"/>
        <v>204</v>
      </c>
      <c r="E179" s="246"/>
      <c r="F179" s="83"/>
      <c r="G179" s="83"/>
      <c r="H179" s="246"/>
      <c r="I179" s="433"/>
      <c r="J179" s="254">
        <f>IF(ISBLANK(I179),0,ROUNDUP(D179/10,0)-E179-H179-F179-G179+VLOOKUP($D$2,Calcs!$A$23:$B$27,2,FALSE)+I179)</f>
        <v>0</v>
      </c>
      <c r="K179" s="245" t="str">
        <f>IF(ISBLANK(I179)," ",VLOOKUP(J179,Calcs!$A$82:$H$106,2,TRUE))</f>
        <v xml:space="preserve"> </v>
      </c>
      <c r="L179" s="245">
        <f>IF(ISBLANK(I179),0,VLOOKUP(J179,Calcs!$A$82:$F$106,5,TRUE))</f>
        <v>0</v>
      </c>
      <c r="M179" s="208">
        <f>IF(J179=13,IF(ISNUMBER(W178),VLOOKUP(W178+1,Calcs!$O$4:$Q$24,3,TRUE)-V178,5),IF(J179&lt;10,0,IF(J179&lt;18,1,IF(J179&lt;22,2,IF(ISNUMBER(W178),VLOOKUP(W178+1,Calcs!$O$4:$Q$24,3,TRUE)-V178,5)))))</f>
        <v>0</v>
      </c>
      <c r="N179" s="245" t="str">
        <f t="shared" si="22"/>
        <v xml:space="preserve"> </v>
      </c>
      <c r="O179" s="245" t="str">
        <f t="shared" si="22"/>
        <v xml:space="preserve"> </v>
      </c>
      <c r="P179" s="245" t="str">
        <f t="shared" si="22"/>
        <v xml:space="preserve"> </v>
      </c>
      <c r="Q179" s="245" t="str">
        <f t="shared" si="22"/>
        <v xml:space="preserve"> </v>
      </c>
      <c r="R179" s="245" t="str">
        <f t="shared" si="22"/>
        <v xml:space="preserve"> </v>
      </c>
      <c r="S179" s="245" t="str">
        <f t="shared" si="22"/>
        <v xml:space="preserve"> </v>
      </c>
      <c r="T179" s="245" t="str">
        <f t="shared" si="22"/>
        <v xml:space="preserve"> </v>
      </c>
      <c r="U179" s="245" t="str">
        <f t="shared" si="22"/>
        <v xml:space="preserve"> </v>
      </c>
      <c r="V179" s="208">
        <f>SUM($N$10:$U179)</f>
        <v>0</v>
      </c>
      <c r="W179" s="208">
        <f>VLOOKUP(V179,Calcs!$Q$4:$R$24,2,TRUE)</f>
        <v>0</v>
      </c>
      <c r="X179" s="435" t="str">
        <f t="shared" si="19"/>
        <v>No</v>
      </c>
      <c r="Y179" s="436"/>
      <c r="Z179" s="435">
        <f t="shared" si="20"/>
        <v>0</v>
      </c>
      <c r="AA179" s="245" t="str">
        <f>IF(AND(X179="Yes",NOT(ISBLANK(Z179))),VLOOKUP(Z179,Calcs!$Y$48:$Z$57,2,TRUE)," ")</f>
        <v xml:space="preserve"> </v>
      </c>
    </row>
    <row r="180" spans="1:27" x14ac:dyDescent="0.2">
      <c r="A180" s="425">
        <f t="shared" si="21"/>
        <v>206</v>
      </c>
      <c r="B180" s="425" t="str">
        <f t="shared" si="17"/>
        <v>Winter</v>
      </c>
      <c r="C180" s="247">
        <f>IF(B180="Winter",A180-('Start Character'!$K$6)-1,IF('Start Character'!$K$7&gt;6,A180-('Start Character'!$K$6)-1,A180-('Start Character'!$K$6)))</f>
        <v>205</v>
      </c>
      <c r="D180" s="247">
        <f t="shared" si="18"/>
        <v>205</v>
      </c>
      <c r="E180" s="246"/>
      <c r="F180" s="83"/>
      <c r="G180" s="83"/>
      <c r="H180" s="246"/>
      <c r="I180" s="433"/>
      <c r="J180" s="254">
        <f>IF(ISBLANK(I180),0,ROUNDUP(D180/10,0)-E180-H180-F180-G180+VLOOKUP($D$2,Calcs!$A$23:$B$27,2,FALSE)+I180)</f>
        <v>0</v>
      </c>
      <c r="K180" s="245" t="str">
        <f>IF(ISBLANK(I180)," ",VLOOKUP(J180,Calcs!$A$82:$H$106,2,TRUE))</f>
        <v xml:space="preserve"> </v>
      </c>
      <c r="L180" s="245">
        <f>IF(ISBLANK(I180),0,VLOOKUP(J180,Calcs!$A$82:$F$106,5,TRUE))</f>
        <v>0</v>
      </c>
      <c r="M180" s="208">
        <f>IF(J180=13,IF(ISNUMBER(W179),VLOOKUP(W179+1,Calcs!$O$4:$Q$24,3,TRUE)-V179,5),IF(J180&lt;10,0,IF(J180&lt;18,1,IF(J180&lt;22,2,IF(ISNUMBER(W179),VLOOKUP(W179+1,Calcs!$O$4:$Q$24,3,TRUE)-V179,5)))))</f>
        <v>0</v>
      </c>
      <c r="N180" s="245" t="str">
        <f t="shared" si="22"/>
        <v xml:space="preserve"> </v>
      </c>
      <c r="O180" s="245" t="str">
        <f t="shared" si="22"/>
        <v xml:space="preserve"> </v>
      </c>
      <c r="P180" s="245" t="str">
        <f t="shared" si="22"/>
        <v xml:space="preserve"> </v>
      </c>
      <c r="Q180" s="245" t="str">
        <f t="shared" si="22"/>
        <v xml:space="preserve"> </v>
      </c>
      <c r="R180" s="245" t="str">
        <f t="shared" si="22"/>
        <v xml:space="preserve"> </v>
      </c>
      <c r="S180" s="245" t="str">
        <f t="shared" si="22"/>
        <v xml:space="preserve"> </v>
      </c>
      <c r="T180" s="245" t="str">
        <f t="shared" si="22"/>
        <v xml:space="preserve"> </v>
      </c>
      <c r="U180" s="245" t="str">
        <f t="shared" si="22"/>
        <v xml:space="preserve"> </v>
      </c>
      <c r="V180" s="208">
        <f>SUM($N$10:$U180)</f>
        <v>0</v>
      </c>
      <c r="W180" s="208">
        <f>VLOOKUP(V180,Calcs!$Q$4:$R$24,2,TRUE)</f>
        <v>0</v>
      </c>
      <c r="X180" s="435" t="str">
        <f t="shared" si="19"/>
        <v>No</v>
      </c>
      <c r="Y180" s="436"/>
      <c r="Z180" s="435">
        <f t="shared" si="20"/>
        <v>0</v>
      </c>
      <c r="AA180" s="245" t="str">
        <f>IF(AND(X180="Yes",NOT(ISBLANK(Z180))),VLOOKUP(Z180,Calcs!$Y$48:$Z$57,2,TRUE)," ")</f>
        <v xml:space="preserve"> </v>
      </c>
    </row>
    <row r="181" spans="1:27" x14ac:dyDescent="0.2">
      <c r="A181" s="425">
        <f t="shared" si="21"/>
        <v>207</v>
      </c>
      <c r="B181" s="425" t="str">
        <f t="shared" si="17"/>
        <v>Winter</v>
      </c>
      <c r="C181" s="247">
        <f>IF(B181="Winter",A181-('Start Character'!$K$6)-1,IF('Start Character'!$K$7&gt;6,A181-('Start Character'!$K$6)-1,A181-('Start Character'!$K$6)))</f>
        <v>206</v>
      </c>
      <c r="D181" s="247">
        <f t="shared" si="18"/>
        <v>206</v>
      </c>
      <c r="E181" s="246"/>
      <c r="F181" s="83"/>
      <c r="G181" s="83"/>
      <c r="H181" s="246"/>
      <c r="I181" s="433"/>
      <c r="J181" s="254">
        <f>IF(ISBLANK(I181),0,ROUNDUP(D181/10,0)-E181-H181-F181-G181+VLOOKUP($D$2,Calcs!$A$23:$B$27,2,FALSE)+I181)</f>
        <v>0</v>
      </c>
      <c r="K181" s="245" t="str">
        <f>IF(ISBLANK(I181)," ",VLOOKUP(J181,Calcs!$A$82:$H$106,2,TRUE))</f>
        <v xml:space="preserve"> </v>
      </c>
      <c r="L181" s="245">
        <f>IF(ISBLANK(I181),0,VLOOKUP(J181,Calcs!$A$82:$F$106,5,TRUE))</f>
        <v>0</v>
      </c>
      <c r="M181" s="208">
        <f>IF(J181=13,IF(ISNUMBER(W180),VLOOKUP(W180+1,Calcs!$O$4:$Q$24,3,TRUE)-V180,5),IF(J181&lt;10,0,IF(J181&lt;18,1,IF(J181&lt;22,2,IF(ISNUMBER(W180),VLOOKUP(W180+1,Calcs!$O$4:$Q$24,3,TRUE)-V180,5)))))</f>
        <v>0</v>
      </c>
      <c r="N181" s="245" t="str">
        <f t="shared" si="22"/>
        <v xml:space="preserve"> </v>
      </c>
      <c r="O181" s="245" t="str">
        <f t="shared" si="22"/>
        <v xml:space="preserve"> </v>
      </c>
      <c r="P181" s="245" t="str">
        <f t="shared" si="22"/>
        <v xml:space="preserve"> </v>
      </c>
      <c r="Q181" s="245" t="str">
        <f t="shared" si="22"/>
        <v xml:space="preserve"> </v>
      </c>
      <c r="R181" s="245" t="str">
        <f t="shared" si="22"/>
        <v xml:space="preserve"> </v>
      </c>
      <c r="S181" s="245" t="str">
        <f t="shared" si="22"/>
        <v xml:space="preserve"> </v>
      </c>
      <c r="T181" s="245" t="str">
        <f t="shared" si="22"/>
        <v xml:space="preserve"> </v>
      </c>
      <c r="U181" s="245" t="str">
        <f t="shared" si="22"/>
        <v xml:space="preserve"> </v>
      </c>
      <c r="V181" s="208">
        <f>SUM($N$10:$U181)</f>
        <v>0</v>
      </c>
      <c r="W181" s="208">
        <f>VLOOKUP(V181,Calcs!$Q$4:$R$24,2,TRUE)</f>
        <v>0</v>
      </c>
      <c r="X181" s="435" t="str">
        <f t="shared" si="19"/>
        <v>No</v>
      </c>
      <c r="Y181" s="436"/>
      <c r="Z181" s="435">
        <f t="shared" si="20"/>
        <v>0</v>
      </c>
      <c r="AA181" s="245" t="str">
        <f>IF(AND(X181="Yes",NOT(ISBLANK(Z181))),VLOOKUP(Z181,Calcs!$Y$48:$Z$57,2,TRUE)," ")</f>
        <v xml:space="preserve"> </v>
      </c>
    </row>
    <row r="182" spans="1:27" x14ac:dyDescent="0.2">
      <c r="A182" s="425">
        <f t="shared" si="21"/>
        <v>208</v>
      </c>
      <c r="B182" s="425" t="str">
        <f t="shared" si="17"/>
        <v>Winter</v>
      </c>
      <c r="C182" s="247">
        <f>IF(B182="Winter",A182-('Start Character'!$K$6)-1,IF('Start Character'!$K$7&gt;6,A182-('Start Character'!$K$6)-1,A182-('Start Character'!$K$6)))</f>
        <v>207</v>
      </c>
      <c r="D182" s="247">
        <f t="shared" si="18"/>
        <v>207</v>
      </c>
      <c r="E182" s="246"/>
      <c r="F182" s="83"/>
      <c r="G182" s="83"/>
      <c r="H182" s="246"/>
      <c r="I182" s="433"/>
      <c r="J182" s="254">
        <f>IF(ISBLANK(I182),0,ROUNDUP(D182/10,0)-E182-H182-F182-G182+VLOOKUP($D$2,Calcs!$A$23:$B$27,2,FALSE)+I182)</f>
        <v>0</v>
      </c>
      <c r="K182" s="245" t="str">
        <f>IF(ISBLANK(I182)," ",VLOOKUP(J182,Calcs!$A$82:$H$106,2,TRUE))</f>
        <v xml:space="preserve"> </v>
      </c>
      <c r="L182" s="245">
        <f>IF(ISBLANK(I182),0,VLOOKUP(J182,Calcs!$A$82:$F$106,5,TRUE))</f>
        <v>0</v>
      </c>
      <c r="M182" s="208">
        <f>IF(J182=13,IF(ISNUMBER(W181),VLOOKUP(W181+1,Calcs!$O$4:$Q$24,3,TRUE)-V181,5),IF(J182&lt;10,0,IF(J182&lt;18,1,IF(J182&lt;22,2,IF(ISNUMBER(W181),VLOOKUP(W181+1,Calcs!$O$4:$Q$24,3,TRUE)-V181,5)))))</f>
        <v>0</v>
      </c>
      <c r="N182" s="245" t="str">
        <f t="shared" si="22"/>
        <v xml:space="preserve"> </v>
      </c>
      <c r="O182" s="245" t="str">
        <f t="shared" si="22"/>
        <v xml:space="preserve"> </v>
      </c>
      <c r="P182" s="245" t="str">
        <f t="shared" si="22"/>
        <v xml:space="preserve"> </v>
      </c>
      <c r="Q182" s="245" t="str">
        <f t="shared" si="22"/>
        <v xml:space="preserve"> </v>
      </c>
      <c r="R182" s="245" t="str">
        <f t="shared" si="22"/>
        <v xml:space="preserve"> </v>
      </c>
      <c r="S182" s="245" t="str">
        <f t="shared" si="22"/>
        <v xml:space="preserve"> </v>
      </c>
      <c r="T182" s="245" t="str">
        <f t="shared" si="22"/>
        <v xml:space="preserve"> </v>
      </c>
      <c r="U182" s="245" t="str">
        <f t="shared" si="22"/>
        <v xml:space="preserve"> </v>
      </c>
      <c r="V182" s="208">
        <f>SUM($N$10:$U182)</f>
        <v>0</v>
      </c>
      <c r="W182" s="208">
        <f>VLOOKUP(V182,Calcs!$Q$4:$R$24,2,TRUE)</f>
        <v>0</v>
      </c>
      <c r="X182" s="435" t="str">
        <f t="shared" si="19"/>
        <v>No</v>
      </c>
      <c r="Y182" s="436"/>
      <c r="Z182" s="435">
        <f t="shared" si="20"/>
        <v>0</v>
      </c>
      <c r="AA182" s="245" t="str">
        <f>IF(AND(X182="Yes",NOT(ISBLANK(Z182))),VLOOKUP(Z182,Calcs!$Y$48:$Z$57,2,TRUE)," ")</f>
        <v xml:space="preserve"> </v>
      </c>
    </row>
    <row r="183" spans="1:27" x14ac:dyDescent="0.2">
      <c r="A183" s="425">
        <f t="shared" si="21"/>
        <v>209</v>
      </c>
      <c r="B183" s="425" t="str">
        <f t="shared" si="17"/>
        <v>Winter</v>
      </c>
      <c r="C183" s="247">
        <f>IF(B183="Winter",A183-('Start Character'!$K$6)-1,IF('Start Character'!$K$7&gt;6,A183-('Start Character'!$K$6)-1,A183-('Start Character'!$K$6)))</f>
        <v>208</v>
      </c>
      <c r="D183" s="247">
        <f t="shared" si="18"/>
        <v>208</v>
      </c>
      <c r="E183" s="246"/>
      <c r="F183" s="83"/>
      <c r="G183" s="83"/>
      <c r="H183" s="246"/>
      <c r="I183" s="433"/>
      <c r="J183" s="254">
        <f>IF(ISBLANK(I183),0,ROUNDUP(D183/10,0)-E183-H183-F183-G183+VLOOKUP($D$2,Calcs!$A$23:$B$27,2,FALSE)+I183)</f>
        <v>0</v>
      </c>
      <c r="K183" s="245" t="str">
        <f>IF(ISBLANK(I183)," ",VLOOKUP(J183,Calcs!$A$82:$H$106,2,TRUE))</f>
        <v xml:space="preserve"> </v>
      </c>
      <c r="L183" s="245">
        <f>IF(ISBLANK(I183),0,VLOOKUP(J183,Calcs!$A$82:$F$106,5,TRUE))</f>
        <v>0</v>
      </c>
      <c r="M183" s="208">
        <f>IF(J183=13,IF(ISNUMBER(W182),VLOOKUP(W182+1,Calcs!$O$4:$Q$24,3,TRUE)-V182,5),IF(J183&lt;10,0,IF(J183&lt;18,1,IF(J183&lt;22,2,IF(ISNUMBER(W182),VLOOKUP(W182+1,Calcs!$O$4:$Q$24,3,TRUE)-V182,5)))))</f>
        <v>0</v>
      </c>
      <c r="N183" s="245" t="str">
        <f t="shared" si="22"/>
        <v xml:space="preserve"> </v>
      </c>
      <c r="O183" s="245" t="str">
        <f t="shared" si="22"/>
        <v xml:space="preserve"> </v>
      </c>
      <c r="P183" s="245" t="str">
        <f t="shared" si="22"/>
        <v xml:space="preserve"> </v>
      </c>
      <c r="Q183" s="245" t="str">
        <f t="shared" si="22"/>
        <v xml:space="preserve"> </v>
      </c>
      <c r="R183" s="245" t="str">
        <f t="shared" si="22"/>
        <v xml:space="preserve"> </v>
      </c>
      <c r="S183" s="245" t="str">
        <f t="shared" si="22"/>
        <v xml:space="preserve"> </v>
      </c>
      <c r="T183" s="245" t="str">
        <f t="shared" si="22"/>
        <v xml:space="preserve"> </v>
      </c>
      <c r="U183" s="245" t="str">
        <f t="shared" si="22"/>
        <v xml:space="preserve"> </v>
      </c>
      <c r="V183" s="208">
        <f>SUM($N$10:$U183)</f>
        <v>0</v>
      </c>
      <c r="W183" s="208">
        <f>VLOOKUP(V183,Calcs!$Q$4:$R$24,2,TRUE)</f>
        <v>0</v>
      </c>
      <c r="X183" s="435" t="str">
        <f t="shared" si="19"/>
        <v>No</v>
      </c>
      <c r="Y183" s="436"/>
      <c r="Z183" s="435">
        <f t="shared" si="20"/>
        <v>0</v>
      </c>
      <c r="AA183" s="245" t="str">
        <f>IF(AND(X183="Yes",NOT(ISBLANK(Z183))),VLOOKUP(Z183,Calcs!$Y$48:$Z$57,2,TRUE)," ")</f>
        <v xml:space="preserve"> </v>
      </c>
    </row>
    <row r="184" spans="1:27" x14ac:dyDescent="0.2">
      <c r="A184" s="425">
        <f t="shared" si="21"/>
        <v>210</v>
      </c>
      <c r="B184" s="425" t="str">
        <f t="shared" si="17"/>
        <v>Winter</v>
      </c>
      <c r="C184" s="247">
        <f>IF(B184="Winter",A184-('Start Character'!$K$6)-1,IF('Start Character'!$K$7&gt;6,A184-('Start Character'!$K$6)-1,A184-('Start Character'!$K$6)))</f>
        <v>209</v>
      </c>
      <c r="D184" s="247">
        <f t="shared" si="18"/>
        <v>209</v>
      </c>
      <c r="E184" s="246"/>
      <c r="F184" s="83"/>
      <c r="G184" s="83"/>
      <c r="H184" s="246"/>
      <c r="I184" s="433"/>
      <c r="J184" s="254">
        <f>IF(ISBLANK(I184),0,ROUNDUP(D184/10,0)-E184-H184-F184-G184+VLOOKUP($D$2,Calcs!$A$23:$B$27,2,FALSE)+I184)</f>
        <v>0</v>
      </c>
      <c r="K184" s="245" t="str">
        <f>IF(ISBLANK(I184)," ",VLOOKUP(J184,Calcs!$A$82:$H$106,2,TRUE))</f>
        <v xml:space="preserve"> </v>
      </c>
      <c r="L184" s="245">
        <f>IF(ISBLANK(I184),0,VLOOKUP(J184,Calcs!$A$82:$F$106,5,TRUE))</f>
        <v>0</v>
      </c>
      <c r="M184" s="208">
        <f>IF(J184=13,IF(ISNUMBER(W183),VLOOKUP(W183+1,Calcs!$O$4:$Q$24,3,TRUE)-V183,5),IF(J184&lt;10,0,IF(J184&lt;18,1,IF(J184&lt;22,2,IF(ISNUMBER(W183),VLOOKUP(W183+1,Calcs!$O$4:$Q$24,3,TRUE)-V183,5)))))</f>
        <v>0</v>
      </c>
      <c r="N184" s="245" t="str">
        <f t="shared" si="22"/>
        <v xml:space="preserve"> </v>
      </c>
      <c r="O184" s="245" t="str">
        <f t="shared" si="22"/>
        <v xml:space="preserve"> </v>
      </c>
      <c r="P184" s="245" t="str">
        <f t="shared" si="22"/>
        <v xml:space="preserve"> </v>
      </c>
      <c r="Q184" s="245" t="str">
        <f t="shared" si="22"/>
        <v xml:space="preserve"> </v>
      </c>
      <c r="R184" s="245" t="str">
        <f t="shared" si="22"/>
        <v xml:space="preserve"> </v>
      </c>
      <c r="S184" s="245" t="str">
        <f t="shared" si="22"/>
        <v xml:space="preserve"> </v>
      </c>
      <c r="T184" s="245" t="str">
        <f t="shared" si="22"/>
        <v xml:space="preserve"> </v>
      </c>
      <c r="U184" s="245" t="str">
        <f t="shared" si="22"/>
        <v xml:space="preserve"> </v>
      </c>
      <c r="V184" s="208">
        <f>SUM($N$10:$U184)</f>
        <v>0</v>
      </c>
      <c r="W184" s="208">
        <f>VLOOKUP(V184,Calcs!$Q$4:$R$24,2,TRUE)</f>
        <v>0</v>
      </c>
      <c r="X184" s="435" t="str">
        <f t="shared" si="19"/>
        <v>No</v>
      </c>
      <c r="Y184" s="436"/>
      <c r="Z184" s="435">
        <f t="shared" si="20"/>
        <v>0</v>
      </c>
      <c r="AA184" s="245" t="str">
        <f>IF(AND(X184="Yes",NOT(ISBLANK(Z184))),VLOOKUP(Z184,Calcs!$Y$48:$Z$57,2,TRUE)," ")</f>
        <v xml:space="preserve"> </v>
      </c>
    </row>
    <row r="185" spans="1:27" x14ac:dyDescent="0.2">
      <c r="A185" s="425">
        <f t="shared" si="21"/>
        <v>211</v>
      </c>
      <c r="B185" s="425" t="str">
        <f t="shared" si="17"/>
        <v>Winter</v>
      </c>
      <c r="C185" s="247">
        <f>IF(B185="Winter",A185-('Start Character'!$K$6)-1,IF('Start Character'!$K$7&gt;6,A185-('Start Character'!$K$6)-1,A185-('Start Character'!$K$6)))</f>
        <v>210</v>
      </c>
      <c r="D185" s="247">
        <f t="shared" si="18"/>
        <v>210</v>
      </c>
      <c r="E185" s="246"/>
      <c r="F185" s="83"/>
      <c r="G185" s="83"/>
      <c r="H185" s="246"/>
      <c r="I185" s="433"/>
      <c r="J185" s="254">
        <f>IF(ISBLANK(I185),0,ROUNDUP(D185/10,0)-E185-H185-F185-G185+VLOOKUP($D$2,Calcs!$A$23:$B$27,2,FALSE)+I185)</f>
        <v>0</v>
      </c>
      <c r="K185" s="245" t="str">
        <f>IF(ISBLANK(I185)," ",VLOOKUP(J185,Calcs!$A$82:$H$106,2,TRUE))</f>
        <v xml:space="preserve"> </v>
      </c>
      <c r="L185" s="245">
        <f>IF(ISBLANK(I185),0,VLOOKUP(J185,Calcs!$A$82:$F$106,5,TRUE))</f>
        <v>0</v>
      </c>
      <c r="M185" s="208">
        <f>IF(J185=13,IF(ISNUMBER(W184),VLOOKUP(W184+1,Calcs!$O$4:$Q$24,3,TRUE)-V184,5),IF(J185&lt;10,0,IF(J185&lt;18,1,IF(J185&lt;22,2,IF(ISNUMBER(W184),VLOOKUP(W184+1,Calcs!$O$4:$Q$24,3,TRUE)-V184,5)))))</f>
        <v>0</v>
      </c>
      <c r="N185" s="245" t="str">
        <f t="shared" si="22"/>
        <v xml:space="preserve"> </v>
      </c>
      <c r="O185" s="245" t="str">
        <f t="shared" si="22"/>
        <v xml:space="preserve"> </v>
      </c>
      <c r="P185" s="245" t="str">
        <f t="shared" si="22"/>
        <v xml:space="preserve"> </v>
      </c>
      <c r="Q185" s="245" t="str">
        <f t="shared" si="22"/>
        <v xml:space="preserve"> </v>
      </c>
      <c r="R185" s="245" t="str">
        <f t="shared" si="22"/>
        <v xml:space="preserve"> </v>
      </c>
      <c r="S185" s="245" t="str">
        <f t="shared" si="22"/>
        <v xml:space="preserve"> </v>
      </c>
      <c r="T185" s="245" t="str">
        <f t="shared" si="22"/>
        <v xml:space="preserve"> </v>
      </c>
      <c r="U185" s="245" t="str">
        <f t="shared" si="22"/>
        <v xml:space="preserve"> </v>
      </c>
      <c r="V185" s="208">
        <f>SUM($N$10:$U185)</f>
        <v>0</v>
      </c>
      <c r="W185" s="208">
        <f>VLOOKUP(V185,Calcs!$Q$4:$R$24,2,TRUE)</f>
        <v>0</v>
      </c>
      <c r="X185" s="435" t="str">
        <f t="shared" si="19"/>
        <v>No</v>
      </c>
      <c r="Y185" s="436"/>
      <c r="Z185" s="435">
        <f t="shared" si="20"/>
        <v>0</v>
      </c>
      <c r="AA185" s="245" t="str">
        <f>IF(AND(X185="Yes",NOT(ISBLANK(Z185))),VLOOKUP(Z185,Calcs!$Y$48:$Z$57,2,TRUE)," ")</f>
        <v xml:space="preserve"> </v>
      </c>
    </row>
    <row r="186" spans="1:27" x14ac:dyDescent="0.2">
      <c r="A186" s="425">
        <f t="shared" si="21"/>
        <v>212</v>
      </c>
      <c r="B186" s="425" t="str">
        <f t="shared" si="17"/>
        <v>Winter</v>
      </c>
      <c r="C186" s="247">
        <f>IF(B186="Winter",A186-('Start Character'!$K$6)-1,IF('Start Character'!$K$7&gt;6,A186-('Start Character'!$K$6)-1,A186-('Start Character'!$K$6)))</f>
        <v>211</v>
      </c>
      <c r="D186" s="247">
        <f t="shared" si="18"/>
        <v>211</v>
      </c>
      <c r="E186" s="246"/>
      <c r="F186" s="83"/>
      <c r="G186" s="83"/>
      <c r="H186" s="246"/>
      <c r="I186" s="433"/>
      <c r="J186" s="254">
        <f>IF(ISBLANK(I186),0,ROUNDUP(D186/10,0)-E186-H186-F186-G186+VLOOKUP($D$2,Calcs!$A$23:$B$27,2,FALSE)+I186)</f>
        <v>0</v>
      </c>
      <c r="K186" s="245" t="str">
        <f>IF(ISBLANK(I186)," ",VLOOKUP(J186,Calcs!$A$82:$H$106,2,TRUE))</f>
        <v xml:space="preserve"> </v>
      </c>
      <c r="L186" s="245">
        <f>IF(ISBLANK(I186),0,VLOOKUP(J186,Calcs!$A$82:$F$106,5,TRUE))</f>
        <v>0</v>
      </c>
      <c r="M186" s="208">
        <f>IF(J186=13,IF(ISNUMBER(W185),VLOOKUP(W185+1,Calcs!$O$4:$Q$24,3,TRUE)-V185,5),IF(J186&lt;10,0,IF(J186&lt;18,1,IF(J186&lt;22,2,IF(ISNUMBER(W185),VLOOKUP(W185+1,Calcs!$O$4:$Q$24,3,TRUE)-V185,5)))))</f>
        <v>0</v>
      </c>
      <c r="N186" s="245" t="str">
        <f t="shared" si="22"/>
        <v xml:space="preserve"> </v>
      </c>
      <c r="O186" s="245" t="str">
        <f t="shared" si="22"/>
        <v xml:space="preserve"> </v>
      </c>
      <c r="P186" s="245" t="str">
        <f t="shared" si="22"/>
        <v xml:space="preserve"> </v>
      </c>
      <c r="Q186" s="245" t="str">
        <f t="shared" si="22"/>
        <v xml:space="preserve"> </v>
      </c>
      <c r="R186" s="245" t="str">
        <f t="shared" si="22"/>
        <v xml:space="preserve"> </v>
      </c>
      <c r="S186" s="245" t="str">
        <f t="shared" si="22"/>
        <v xml:space="preserve"> </v>
      </c>
      <c r="T186" s="245" t="str">
        <f t="shared" si="22"/>
        <v xml:space="preserve"> </v>
      </c>
      <c r="U186" s="245" t="str">
        <f t="shared" si="22"/>
        <v xml:space="preserve"> </v>
      </c>
      <c r="V186" s="208">
        <f>SUM($N$10:$U186)</f>
        <v>0</v>
      </c>
      <c r="W186" s="208">
        <f>VLOOKUP(V186,Calcs!$Q$4:$R$24,2,TRUE)</f>
        <v>0</v>
      </c>
      <c r="X186" s="435" t="str">
        <f t="shared" si="19"/>
        <v>No</v>
      </c>
      <c r="Y186" s="436"/>
      <c r="Z186" s="435">
        <f t="shared" si="20"/>
        <v>0</v>
      </c>
      <c r="AA186" s="245" t="str">
        <f>IF(AND(X186="Yes",NOT(ISBLANK(Z186))),VLOOKUP(Z186,Calcs!$Y$48:$Z$57,2,TRUE)," ")</f>
        <v xml:space="preserve"> </v>
      </c>
    </row>
    <row r="187" spans="1:27" x14ac:dyDescent="0.2">
      <c r="A187" s="425">
        <f t="shared" si="21"/>
        <v>213</v>
      </c>
      <c r="B187" s="425" t="str">
        <f t="shared" si="17"/>
        <v>Winter</v>
      </c>
      <c r="C187" s="247">
        <f>IF(B187="Winter",A187-('Start Character'!$K$6)-1,IF('Start Character'!$K$7&gt;6,A187-('Start Character'!$K$6)-1,A187-('Start Character'!$K$6)))</f>
        <v>212</v>
      </c>
      <c r="D187" s="247">
        <f t="shared" si="18"/>
        <v>212</v>
      </c>
      <c r="E187" s="246"/>
      <c r="F187" s="83"/>
      <c r="G187" s="83"/>
      <c r="H187" s="246"/>
      <c r="I187" s="433"/>
      <c r="J187" s="254">
        <f>IF(ISBLANK(I187),0,ROUNDUP(D187/10,0)-E187-H187-F187-G187+VLOOKUP($D$2,Calcs!$A$23:$B$27,2,FALSE)+I187)</f>
        <v>0</v>
      </c>
      <c r="K187" s="245" t="str">
        <f>IF(ISBLANK(I187)," ",VLOOKUP(J187,Calcs!$A$82:$H$106,2,TRUE))</f>
        <v xml:space="preserve"> </v>
      </c>
      <c r="L187" s="245">
        <f>IF(ISBLANK(I187),0,VLOOKUP(J187,Calcs!$A$82:$F$106,5,TRUE))</f>
        <v>0</v>
      </c>
      <c r="M187" s="208">
        <f>IF(J187=13,IF(ISNUMBER(W186),VLOOKUP(W186+1,Calcs!$O$4:$Q$24,3,TRUE)-V186,5),IF(J187&lt;10,0,IF(J187&lt;18,1,IF(J187&lt;22,2,IF(ISNUMBER(W186),VLOOKUP(W186+1,Calcs!$O$4:$Q$24,3,TRUE)-V186,5)))))</f>
        <v>0</v>
      </c>
      <c r="N187" s="245" t="str">
        <f t="shared" si="22"/>
        <v xml:space="preserve"> </v>
      </c>
      <c r="O187" s="245" t="str">
        <f t="shared" si="22"/>
        <v xml:space="preserve"> </v>
      </c>
      <c r="P187" s="245" t="str">
        <f t="shared" si="22"/>
        <v xml:space="preserve"> </v>
      </c>
      <c r="Q187" s="245" t="str">
        <f t="shared" si="22"/>
        <v xml:space="preserve"> </v>
      </c>
      <c r="R187" s="245" t="str">
        <f t="shared" si="22"/>
        <v xml:space="preserve"> </v>
      </c>
      <c r="S187" s="245" t="str">
        <f t="shared" si="22"/>
        <v xml:space="preserve"> </v>
      </c>
      <c r="T187" s="245" t="str">
        <f t="shared" si="22"/>
        <v xml:space="preserve"> </v>
      </c>
      <c r="U187" s="245" t="str">
        <f t="shared" si="22"/>
        <v xml:space="preserve"> </v>
      </c>
      <c r="V187" s="208">
        <f>SUM($N$10:$U187)</f>
        <v>0</v>
      </c>
      <c r="W187" s="208">
        <f>VLOOKUP(V187,Calcs!$Q$4:$R$24,2,TRUE)</f>
        <v>0</v>
      </c>
      <c r="X187" s="435" t="str">
        <f t="shared" si="19"/>
        <v>No</v>
      </c>
      <c r="Y187" s="436"/>
      <c r="Z187" s="435">
        <f t="shared" si="20"/>
        <v>0</v>
      </c>
      <c r="AA187" s="245" t="str">
        <f>IF(AND(X187="Yes",NOT(ISBLANK(Z187))),VLOOKUP(Z187,Calcs!$Y$48:$Z$57,2,TRUE)," ")</f>
        <v xml:space="preserve"> </v>
      </c>
    </row>
    <row r="188" spans="1:27" x14ac:dyDescent="0.2">
      <c r="A188" s="425">
        <f t="shared" si="21"/>
        <v>214</v>
      </c>
      <c r="B188" s="425" t="str">
        <f t="shared" si="17"/>
        <v>Winter</v>
      </c>
      <c r="C188" s="247">
        <f>IF(B188="Winter",A188-('Start Character'!$K$6)-1,IF('Start Character'!$K$7&gt;6,A188-('Start Character'!$K$6)-1,A188-('Start Character'!$K$6)))</f>
        <v>213</v>
      </c>
      <c r="D188" s="247">
        <f t="shared" si="18"/>
        <v>213</v>
      </c>
      <c r="E188" s="246"/>
      <c r="F188" s="83"/>
      <c r="G188" s="83"/>
      <c r="H188" s="246"/>
      <c r="I188" s="433"/>
      <c r="J188" s="254">
        <f>IF(ISBLANK(I188),0,ROUNDUP(D188/10,0)-E188-H188-F188-G188+VLOOKUP($D$2,Calcs!$A$23:$B$27,2,FALSE)+I188)</f>
        <v>0</v>
      </c>
      <c r="K188" s="245" t="str">
        <f>IF(ISBLANK(I188)," ",VLOOKUP(J188,Calcs!$A$82:$H$106,2,TRUE))</f>
        <v xml:space="preserve"> </v>
      </c>
      <c r="L188" s="245">
        <f>IF(ISBLANK(I188),0,VLOOKUP(J188,Calcs!$A$82:$F$106,5,TRUE))</f>
        <v>0</v>
      </c>
      <c r="M188" s="208">
        <f>IF(J188=13,IF(ISNUMBER(W187),VLOOKUP(W187+1,Calcs!$O$4:$Q$24,3,TRUE)-V187,5),IF(J188&lt;10,0,IF(J188&lt;18,1,IF(J188&lt;22,2,IF(ISNUMBER(W187),VLOOKUP(W187+1,Calcs!$O$4:$Q$24,3,TRUE)-V187,5)))))</f>
        <v>0</v>
      </c>
      <c r="N188" s="245" t="str">
        <f t="shared" si="22"/>
        <v xml:space="preserve"> </v>
      </c>
      <c r="O188" s="245" t="str">
        <f t="shared" si="22"/>
        <v xml:space="preserve"> </v>
      </c>
      <c r="P188" s="245" t="str">
        <f t="shared" si="22"/>
        <v xml:space="preserve"> </v>
      </c>
      <c r="Q188" s="245" t="str">
        <f t="shared" si="22"/>
        <v xml:space="preserve"> </v>
      </c>
      <c r="R188" s="245" t="str">
        <f t="shared" si="22"/>
        <v xml:space="preserve"> </v>
      </c>
      <c r="S188" s="245" t="str">
        <f t="shared" si="22"/>
        <v xml:space="preserve"> </v>
      </c>
      <c r="T188" s="245" t="str">
        <f t="shared" si="22"/>
        <v xml:space="preserve"> </v>
      </c>
      <c r="U188" s="245" t="str">
        <f t="shared" si="22"/>
        <v xml:space="preserve"> </v>
      </c>
      <c r="V188" s="208">
        <f>SUM($N$10:$U188)</f>
        <v>0</v>
      </c>
      <c r="W188" s="208">
        <f>VLOOKUP(V188,Calcs!$Q$4:$R$24,2,TRUE)</f>
        <v>0</v>
      </c>
      <c r="X188" s="435" t="str">
        <f t="shared" si="19"/>
        <v>No</v>
      </c>
      <c r="Y188" s="436"/>
      <c r="Z188" s="435">
        <f t="shared" si="20"/>
        <v>0</v>
      </c>
      <c r="AA188" s="245" t="str">
        <f>IF(AND(X188="Yes",NOT(ISBLANK(Z188))),VLOOKUP(Z188,Calcs!$Y$48:$Z$57,2,TRUE)," ")</f>
        <v xml:space="preserve"> </v>
      </c>
    </row>
    <row r="189" spans="1:27" x14ac:dyDescent="0.2">
      <c r="A189" s="425">
        <f t="shared" si="21"/>
        <v>215</v>
      </c>
      <c r="B189" s="425" t="str">
        <f t="shared" si="17"/>
        <v>Winter</v>
      </c>
      <c r="C189" s="247">
        <f>IF(B189="Winter",A189-('Start Character'!$K$6)-1,IF('Start Character'!$K$7&gt;6,A189-('Start Character'!$K$6)-1,A189-('Start Character'!$K$6)))</f>
        <v>214</v>
      </c>
      <c r="D189" s="247">
        <f t="shared" si="18"/>
        <v>214</v>
      </c>
      <c r="E189" s="246"/>
      <c r="F189" s="83"/>
      <c r="G189" s="83"/>
      <c r="H189" s="246"/>
      <c r="I189" s="433"/>
      <c r="J189" s="254">
        <f>IF(ISBLANK(I189),0,ROUNDUP(D189/10,0)-E189-H189-F189-G189+VLOOKUP($D$2,Calcs!$A$23:$B$27,2,FALSE)+I189)</f>
        <v>0</v>
      </c>
      <c r="K189" s="245" t="str">
        <f>IF(ISBLANK(I189)," ",VLOOKUP(J189,Calcs!$A$82:$H$106,2,TRUE))</f>
        <v xml:space="preserve"> </v>
      </c>
      <c r="L189" s="245">
        <f>IF(ISBLANK(I189),0,VLOOKUP(J189,Calcs!$A$82:$F$106,5,TRUE))</f>
        <v>0</v>
      </c>
      <c r="M189" s="208">
        <f>IF(J189=13,IF(ISNUMBER(W188),VLOOKUP(W188+1,Calcs!$O$4:$Q$24,3,TRUE)-V188,5),IF(J189&lt;10,0,IF(J189&lt;18,1,IF(J189&lt;22,2,IF(ISNUMBER(W188),VLOOKUP(W188+1,Calcs!$O$4:$Q$24,3,TRUE)-V188,5)))))</f>
        <v>0</v>
      </c>
      <c r="N189" s="245" t="str">
        <f t="shared" si="22"/>
        <v xml:space="preserve"> </v>
      </c>
      <c r="O189" s="245" t="str">
        <f t="shared" si="22"/>
        <v xml:space="preserve"> </v>
      </c>
      <c r="P189" s="245" t="str">
        <f t="shared" si="22"/>
        <v xml:space="preserve"> </v>
      </c>
      <c r="Q189" s="245" t="str">
        <f t="shared" si="22"/>
        <v xml:space="preserve"> </v>
      </c>
      <c r="R189" s="245" t="str">
        <f t="shared" si="22"/>
        <v xml:space="preserve"> </v>
      </c>
      <c r="S189" s="245" t="str">
        <f t="shared" si="22"/>
        <v xml:space="preserve"> </v>
      </c>
      <c r="T189" s="245" t="str">
        <f t="shared" si="22"/>
        <v xml:space="preserve"> </v>
      </c>
      <c r="U189" s="245" t="str">
        <f t="shared" si="22"/>
        <v xml:space="preserve"> </v>
      </c>
      <c r="V189" s="208">
        <f>SUM($N$10:$U189)</f>
        <v>0</v>
      </c>
      <c r="W189" s="208">
        <f>VLOOKUP(V189,Calcs!$Q$4:$R$24,2,TRUE)</f>
        <v>0</v>
      </c>
      <c r="X189" s="435" t="str">
        <f t="shared" si="19"/>
        <v>No</v>
      </c>
      <c r="Y189" s="436"/>
      <c r="Z189" s="435">
        <f t="shared" si="20"/>
        <v>0</v>
      </c>
      <c r="AA189" s="245" t="str">
        <f>IF(AND(X189="Yes",NOT(ISBLANK(Z189))),VLOOKUP(Z189,Calcs!$Y$48:$Z$57,2,TRUE)," ")</f>
        <v xml:space="preserve"> </v>
      </c>
    </row>
    <row r="190" spans="1:27" x14ac:dyDescent="0.2">
      <c r="A190" s="425">
        <f t="shared" si="21"/>
        <v>216</v>
      </c>
      <c r="B190" s="425" t="str">
        <f t="shared" si="17"/>
        <v>Winter</v>
      </c>
      <c r="C190" s="247">
        <f>IF(B190="Winter",A190-('Start Character'!$K$6)-1,IF('Start Character'!$K$7&gt;6,A190-('Start Character'!$K$6)-1,A190-('Start Character'!$K$6)))</f>
        <v>215</v>
      </c>
      <c r="D190" s="247">
        <f t="shared" si="18"/>
        <v>215</v>
      </c>
      <c r="E190" s="246"/>
      <c r="F190" s="83"/>
      <c r="G190" s="83"/>
      <c r="H190" s="246"/>
      <c r="I190" s="433"/>
      <c r="J190" s="254">
        <f>IF(ISBLANK(I190),0,ROUNDUP(D190/10,0)-E190-H190-F190-G190+VLOOKUP($D$2,Calcs!$A$23:$B$27,2,FALSE)+I190)</f>
        <v>0</v>
      </c>
      <c r="K190" s="245" t="str">
        <f>IF(ISBLANK(I190)," ",VLOOKUP(J190,Calcs!$A$82:$H$106,2,TRUE))</f>
        <v xml:space="preserve"> </v>
      </c>
      <c r="L190" s="245">
        <f>IF(ISBLANK(I190),0,VLOOKUP(J190,Calcs!$A$82:$F$106,5,TRUE))</f>
        <v>0</v>
      </c>
      <c r="M190" s="208">
        <f>IF(J190=13,IF(ISNUMBER(W189),VLOOKUP(W189+1,Calcs!$O$4:$Q$24,3,TRUE)-V189,5),IF(J190&lt;10,0,IF(J190&lt;18,1,IF(J190&lt;22,2,IF(ISNUMBER(W189),VLOOKUP(W189+1,Calcs!$O$4:$Q$24,3,TRUE)-V189,5)))))</f>
        <v>0</v>
      </c>
      <c r="N190" s="245" t="str">
        <f t="shared" si="22"/>
        <v xml:space="preserve"> </v>
      </c>
      <c r="O190" s="245" t="str">
        <f t="shared" si="22"/>
        <v xml:space="preserve"> </v>
      </c>
      <c r="P190" s="245" t="str">
        <f t="shared" si="22"/>
        <v xml:space="preserve"> </v>
      </c>
      <c r="Q190" s="245" t="str">
        <f t="shared" si="22"/>
        <v xml:space="preserve"> </v>
      </c>
      <c r="R190" s="245" t="str">
        <f t="shared" si="22"/>
        <v xml:space="preserve"> </v>
      </c>
      <c r="S190" s="245" t="str">
        <f t="shared" si="22"/>
        <v xml:space="preserve"> </v>
      </c>
      <c r="T190" s="245" t="str">
        <f t="shared" si="22"/>
        <v xml:space="preserve"> </v>
      </c>
      <c r="U190" s="245" t="str">
        <f t="shared" si="22"/>
        <v xml:space="preserve"> </v>
      </c>
      <c r="V190" s="208">
        <f>SUM($N$10:$U190)</f>
        <v>0</v>
      </c>
      <c r="W190" s="208">
        <f>VLOOKUP(V190,Calcs!$Q$4:$R$24,2,TRUE)</f>
        <v>0</v>
      </c>
      <c r="X190" s="435" t="str">
        <f t="shared" si="19"/>
        <v>No</v>
      </c>
      <c r="Y190" s="436"/>
      <c r="Z190" s="435">
        <f t="shared" si="20"/>
        <v>0</v>
      </c>
      <c r="AA190" s="245" t="str">
        <f>IF(AND(X190="Yes",NOT(ISBLANK(Z190))),VLOOKUP(Z190,Calcs!$Y$48:$Z$57,2,TRUE)," ")</f>
        <v xml:space="preserve"> </v>
      </c>
    </row>
    <row r="191" spans="1:27" x14ac:dyDescent="0.2">
      <c r="A191" s="425">
        <f t="shared" si="21"/>
        <v>217</v>
      </c>
      <c r="B191" s="425" t="str">
        <f t="shared" si="17"/>
        <v>Winter</v>
      </c>
      <c r="C191" s="247">
        <f>IF(B191="Winter",A191-('Start Character'!$K$6)-1,IF('Start Character'!$K$7&gt;6,A191-('Start Character'!$K$6)-1,A191-('Start Character'!$K$6)))</f>
        <v>216</v>
      </c>
      <c r="D191" s="247">
        <f t="shared" si="18"/>
        <v>216</v>
      </c>
      <c r="E191" s="246"/>
      <c r="F191" s="83"/>
      <c r="G191" s="83"/>
      <c r="H191" s="246"/>
      <c r="I191" s="433"/>
      <c r="J191" s="254">
        <f>IF(ISBLANK(I191),0,ROUNDUP(D191/10,0)-E191-H191-F191-G191+VLOOKUP($D$2,Calcs!$A$23:$B$27,2,FALSE)+I191)</f>
        <v>0</v>
      </c>
      <c r="K191" s="245" t="str">
        <f>IF(ISBLANK(I191)," ",VLOOKUP(J191,Calcs!$A$82:$H$106,2,TRUE))</f>
        <v xml:space="preserve"> </v>
      </c>
      <c r="L191" s="245">
        <f>IF(ISBLANK(I191),0,VLOOKUP(J191,Calcs!$A$82:$F$106,5,TRUE))</f>
        <v>0</v>
      </c>
      <c r="M191" s="208">
        <f>IF(J191=13,IF(ISNUMBER(W190),VLOOKUP(W190+1,Calcs!$O$4:$Q$24,3,TRUE)-V190,5),IF(J191&lt;10,0,IF(J191&lt;18,1,IF(J191&lt;22,2,IF(ISNUMBER(W190),VLOOKUP(W190+1,Calcs!$O$4:$Q$24,3,TRUE)-V190,5)))))</f>
        <v>0</v>
      </c>
      <c r="N191" s="245" t="str">
        <f t="shared" si="22"/>
        <v xml:space="preserve"> </v>
      </c>
      <c r="O191" s="245" t="str">
        <f t="shared" si="22"/>
        <v xml:space="preserve"> </v>
      </c>
      <c r="P191" s="245" t="str">
        <f t="shared" si="22"/>
        <v xml:space="preserve"> </v>
      </c>
      <c r="Q191" s="245" t="str">
        <f t="shared" si="22"/>
        <v xml:space="preserve"> </v>
      </c>
      <c r="R191" s="245" t="str">
        <f t="shared" si="22"/>
        <v xml:space="preserve"> </v>
      </c>
      <c r="S191" s="245" t="str">
        <f t="shared" si="22"/>
        <v xml:space="preserve"> </v>
      </c>
      <c r="T191" s="245" t="str">
        <f t="shared" si="22"/>
        <v xml:space="preserve"> </v>
      </c>
      <c r="U191" s="245" t="str">
        <f t="shared" si="22"/>
        <v xml:space="preserve"> </v>
      </c>
      <c r="V191" s="208">
        <f>SUM($N$10:$U191)</f>
        <v>0</v>
      </c>
      <c r="W191" s="208">
        <f>VLOOKUP(V191,Calcs!$Q$4:$R$24,2,TRUE)</f>
        <v>0</v>
      </c>
      <c r="X191" s="435" t="str">
        <f t="shared" si="19"/>
        <v>No</v>
      </c>
      <c r="Y191" s="436"/>
      <c r="Z191" s="435">
        <f t="shared" si="20"/>
        <v>0</v>
      </c>
      <c r="AA191" s="245" t="str">
        <f>IF(AND(X191="Yes",NOT(ISBLANK(Z191))),VLOOKUP(Z191,Calcs!$Y$48:$Z$57,2,TRUE)," ")</f>
        <v xml:space="preserve"> </v>
      </c>
    </row>
    <row r="192" spans="1:27" x14ac:dyDescent="0.2">
      <c r="A192" s="425">
        <f t="shared" si="21"/>
        <v>218</v>
      </c>
      <c r="B192" s="425" t="str">
        <f t="shared" si="17"/>
        <v>Winter</v>
      </c>
      <c r="C192" s="247">
        <f>IF(B192="Winter",A192-('Start Character'!$K$6)-1,IF('Start Character'!$K$7&gt;6,A192-('Start Character'!$K$6)-1,A192-('Start Character'!$K$6)))</f>
        <v>217</v>
      </c>
      <c r="D192" s="247">
        <f t="shared" si="18"/>
        <v>217</v>
      </c>
      <c r="E192" s="246"/>
      <c r="F192" s="83"/>
      <c r="G192" s="83"/>
      <c r="H192" s="246"/>
      <c r="I192" s="433"/>
      <c r="J192" s="254">
        <f>IF(ISBLANK(I192),0,ROUNDUP(D192/10,0)-E192-H192-F192-G192+VLOOKUP($D$2,Calcs!$A$23:$B$27,2,FALSE)+I192)</f>
        <v>0</v>
      </c>
      <c r="K192" s="245" t="str">
        <f>IF(ISBLANK(I192)," ",VLOOKUP(J192,Calcs!$A$82:$H$106,2,TRUE))</f>
        <v xml:space="preserve"> </v>
      </c>
      <c r="L192" s="245">
        <f>IF(ISBLANK(I192),0,VLOOKUP(J192,Calcs!$A$82:$F$106,5,TRUE))</f>
        <v>0</v>
      </c>
      <c r="M192" s="208">
        <f>IF(J192=13,IF(ISNUMBER(W191),VLOOKUP(W191+1,Calcs!$O$4:$Q$24,3,TRUE)-V191,5),IF(J192&lt;10,0,IF(J192&lt;18,1,IF(J192&lt;22,2,IF(ISNUMBER(W191),VLOOKUP(W191+1,Calcs!$O$4:$Q$24,3,TRUE)-V191,5)))))</f>
        <v>0</v>
      </c>
      <c r="N192" s="245" t="str">
        <f t="shared" si="22"/>
        <v xml:space="preserve"> </v>
      </c>
      <c r="O192" s="245" t="str">
        <f t="shared" si="22"/>
        <v xml:space="preserve"> </v>
      </c>
      <c r="P192" s="245" t="str">
        <f t="shared" si="22"/>
        <v xml:space="preserve"> </v>
      </c>
      <c r="Q192" s="245" t="str">
        <f t="shared" si="22"/>
        <v xml:space="preserve"> </v>
      </c>
      <c r="R192" s="245" t="str">
        <f t="shared" si="22"/>
        <v xml:space="preserve"> </v>
      </c>
      <c r="S192" s="245" t="str">
        <f t="shared" si="22"/>
        <v xml:space="preserve"> </v>
      </c>
      <c r="T192" s="245" t="str">
        <f t="shared" si="22"/>
        <v xml:space="preserve"> </v>
      </c>
      <c r="U192" s="245" t="str">
        <f t="shared" si="22"/>
        <v xml:space="preserve"> </v>
      </c>
      <c r="V192" s="208">
        <f>SUM($N$10:$U192)</f>
        <v>0</v>
      </c>
      <c r="W192" s="208">
        <f>VLOOKUP(V192,Calcs!$Q$4:$R$24,2,TRUE)</f>
        <v>0</v>
      </c>
      <c r="X192" s="435" t="str">
        <f t="shared" si="19"/>
        <v>No</v>
      </c>
      <c r="Y192" s="436"/>
      <c r="Z192" s="435">
        <f t="shared" si="20"/>
        <v>0</v>
      </c>
      <c r="AA192" s="245" t="str">
        <f>IF(AND(X192="Yes",NOT(ISBLANK(Z192))),VLOOKUP(Z192,Calcs!$Y$48:$Z$57,2,TRUE)," ")</f>
        <v xml:space="preserve"> </v>
      </c>
    </row>
    <row r="193" spans="1:27" x14ac:dyDescent="0.2">
      <c r="A193" s="425">
        <f t="shared" si="21"/>
        <v>219</v>
      </c>
      <c r="B193" s="425" t="str">
        <f t="shared" si="17"/>
        <v>Winter</v>
      </c>
      <c r="C193" s="247">
        <f>IF(B193="Winter",A193-('Start Character'!$K$6)-1,IF('Start Character'!$K$7&gt;6,A193-('Start Character'!$K$6)-1,A193-('Start Character'!$K$6)))</f>
        <v>218</v>
      </c>
      <c r="D193" s="247">
        <f t="shared" si="18"/>
        <v>218</v>
      </c>
      <c r="E193" s="246"/>
      <c r="F193" s="83"/>
      <c r="G193" s="83"/>
      <c r="H193" s="246"/>
      <c r="I193" s="433"/>
      <c r="J193" s="254">
        <f>IF(ISBLANK(I193),0,ROUNDUP(D193/10,0)-E193-H193-F193-G193+VLOOKUP($D$2,Calcs!$A$23:$B$27,2,FALSE)+I193)</f>
        <v>0</v>
      </c>
      <c r="K193" s="245" t="str">
        <f>IF(ISBLANK(I193)," ",VLOOKUP(J193,Calcs!$A$82:$H$106,2,TRUE))</f>
        <v xml:space="preserve"> </v>
      </c>
      <c r="L193" s="245">
        <f>IF(ISBLANK(I193),0,VLOOKUP(J193,Calcs!$A$82:$F$106,5,TRUE))</f>
        <v>0</v>
      </c>
      <c r="M193" s="208">
        <f>IF(J193=13,IF(ISNUMBER(W192),VLOOKUP(W192+1,Calcs!$O$4:$Q$24,3,TRUE)-V192,5),IF(J193&lt;10,0,IF(J193&lt;18,1,IF(J193&lt;22,2,IF(ISNUMBER(W192),VLOOKUP(W192+1,Calcs!$O$4:$Q$24,3,TRUE)-V192,5)))))</f>
        <v>0</v>
      </c>
      <c r="N193" s="245" t="str">
        <f t="shared" si="22"/>
        <v xml:space="preserve"> </v>
      </c>
      <c r="O193" s="245" t="str">
        <f t="shared" si="22"/>
        <v xml:space="preserve"> </v>
      </c>
      <c r="P193" s="245" t="str">
        <f t="shared" si="22"/>
        <v xml:space="preserve"> </v>
      </c>
      <c r="Q193" s="245" t="str">
        <f t="shared" ref="N193:U225" si="23">IF(ISERROR(FIND(Q$9,$K193))," ",1)</f>
        <v xml:space="preserve"> </v>
      </c>
      <c r="R193" s="245" t="str">
        <f t="shared" si="23"/>
        <v xml:space="preserve"> </v>
      </c>
      <c r="S193" s="245" t="str">
        <f t="shared" si="23"/>
        <v xml:space="preserve"> </v>
      </c>
      <c r="T193" s="245" t="str">
        <f t="shared" si="23"/>
        <v xml:space="preserve"> </v>
      </c>
      <c r="U193" s="245" t="str">
        <f t="shared" si="23"/>
        <v xml:space="preserve"> </v>
      </c>
      <c r="V193" s="208">
        <f>SUM($N$10:$U193)</f>
        <v>0</v>
      </c>
      <c r="W193" s="208">
        <f>VLOOKUP(V193,Calcs!$Q$4:$R$24,2,TRUE)</f>
        <v>0</v>
      </c>
      <c r="X193" s="435" t="str">
        <f t="shared" si="19"/>
        <v>No</v>
      </c>
      <c r="Y193" s="436"/>
      <c r="Z193" s="435">
        <f t="shared" si="20"/>
        <v>0</v>
      </c>
      <c r="AA193" s="245" t="str">
        <f>IF(AND(X193="Yes",NOT(ISBLANK(Z193))),VLOOKUP(Z193,Calcs!$Y$48:$Z$57,2,TRUE)," ")</f>
        <v xml:space="preserve"> </v>
      </c>
    </row>
    <row r="194" spans="1:27" x14ac:dyDescent="0.2">
      <c r="A194" s="425">
        <f t="shared" si="21"/>
        <v>220</v>
      </c>
      <c r="B194" s="425" t="str">
        <f t="shared" si="17"/>
        <v>Winter</v>
      </c>
      <c r="C194" s="247">
        <f>IF(B194="Winter",A194-('Start Character'!$K$6)-1,IF('Start Character'!$K$7&gt;6,A194-('Start Character'!$K$6)-1,A194-('Start Character'!$K$6)))</f>
        <v>219</v>
      </c>
      <c r="D194" s="247">
        <f t="shared" si="18"/>
        <v>219</v>
      </c>
      <c r="E194" s="246"/>
      <c r="F194" s="83"/>
      <c r="G194" s="83"/>
      <c r="H194" s="246"/>
      <c r="I194" s="433"/>
      <c r="J194" s="254">
        <f>IF(ISBLANK(I194),0,ROUNDUP(D194/10,0)-E194-H194-F194-G194+VLOOKUP($D$2,Calcs!$A$23:$B$27,2,FALSE)+I194)</f>
        <v>0</v>
      </c>
      <c r="K194" s="245" t="str">
        <f>IF(ISBLANK(I194)," ",VLOOKUP(J194,Calcs!$A$82:$H$106,2,TRUE))</f>
        <v xml:space="preserve"> </v>
      </c>
      <c r="L194" s="245">
        <f>IF(ISBLANK(I194),0,VLOOKUP(J194,Calcs!$A$82:$F$106,5,TRUE))</f>
        <v>0</v>
      </c>
      <c r="M194" s="208">
        <f>IF(J194=13,IF(ISNUMBER(W193),VLOOKUP(W193+1,Calcs!$O$4:$Q$24,3,TRUE)-V193,5),IF(J194&lt;10,0,IF(J194&lt;18,1,IF(J194&lt;22,2,IF(ISNUMBER(W193),VLOOKUP(W193+1,Calcs!$O$4:$Q$24,3,TRUE)-V193,5)))))</f>
        <v>0</v>
      </c>
      <c r="N194" s="245" t="str">
        <f t="shared" si="23"/>
        <v xml:space="preserve"> </v>
      </c>
      <c r="O194" s="245" t="str">
        <f t="shared" si="23"/>
        <v xml:space="preserve"> </v>
      </c>
      <c r="P194" s="245" t="str">
        <f t="shared" si="23"/>
        <v xml:space="preserve"> </v>
      </c>
      <c r="Q194" s="245" t="str">
        <f t="shared" si="23"/>
        <v xml:space="preserve"> </v>
      </c>
      <c r="R194" s="245" t="str">
        <f t="shared" si="23"/>
        <v xml:space="preserve"> </v>
      </c>
      <c r="S194" s="245" t="str">
        <f t="shared" si="23"/>
        <v xml:space="preserve"> </v>
      </c>
      <c r="T194" s="245" t="str">
        <f t="shared" si="23"/>
        <v xml:space="preserve"> </v>
      </c>
      <c r="U194" s="245" t="str">
        <f t="shared" si="23"/>
        <v xml:space="preserve"> </v>
      </c>
      <c r="V194" s="208">
        <f>SUM($N$10:$U194)</f>
        <v>0</v>
      </c>
      <c r="W194" s="208">
        <f>VLOOKUP(V194,Calcs!$Q$4:$R$24,2,TRUE)</f>
        <v>0</v>
      </c>
      <c r="X194" s="435" t="str">
        <f t="shared" si="19"/>
        <v>No</v>
      </c>
      <c r="Y194" s="436"/>
      <c r="Z194" s="435">
        <f t="shared" si="20"/>
        <v>0</v>
      </c>
      <c r="AA194" s="245" t="str">
        <f>IF(AND(X194="Yes",NOT(ISBLANK(Z194))),VLOOKUP(Z194,Calcs!$Y$48:$Z$57,2,TRUE)," ")</f>
        <v xml:space="preserve"> </v>
      </c>
    </row>
    <row r="195" spans="1:27" x14ac:dyDescent="0.2">
      <c r="A195" s="425">
        <f t="shared" si="21"/>
        <v>221</v>
      </c>
      <c r="B195" s="425" t="str">
        <f t="shared" si="17"/>
        <v>Winter</v>
      </c>
      <c r="C195" s="247">
        <f>IF(B195="Winter",A195-('Start Character'!$K$6)-1,IF('Start Character'!$K$7&gt;6,A195-('Start Character'!$K$6)-1,A195-('Start Character'!$K$6)))</f>
        <v>220</v>
      </c>
      <c r="D195" s="247">
        <f t="shared" si="18"/>
        <v>220</v>
      </c>
      <c r="E195" s="246"/>
      <c r="F195" s="83"/>
      <c r="G195" s="83"/>
      <c r="H195" s="246"/>
      <c r="I195" s="433"/>
      <c r="J195" s="254">
        <f>IF(ISBLANK(I195),0,ROUNDUP(D195/10,0)-E195-H195-F195-G195+VLOOKUP($D$2,Calcs!$A$23:$B$27,2,FALSE)+I195)</f>
        <v>0</v>
      </c>
      <c r="K195" s="245" t="str">
        <f>IF(ISBLANK(I195)," ",VLOOKUP(J195,Calcs!$A$82:$H$106,2,TRUE))</f>
        <v xml:space="preserve"> </v>
      </c>
      <c r="L195" s="245">
        <f>IF(ISBLANK(I195),0,VLOOKUP(J195,Calcs!$A$82:$F$106,5,TRUE))</f>
        <v>0</v>
      </c>
      <c r="M195" s="208">
        <f>IF(J195=13,IF(ISNUMBER(W194),VLOOKUP(W194+1,Calcs!$O$4:$Q$24,3,TRUE)-V194,5),IF(J195&lt;10,0,IF(J195&lt;18,1,IF(J195&lt;22,2,IF(ISNUMBER(W194),VLOOKUP(W194+1,Calcs!$O$4:$Q$24,3,TRUE)-V194,5)))))</f>
        <v>0</v>
      </c>
      <c r="N195" s="245" t="str">
        <f t="shared" si="23"/>
        <v xml:space="preserve"> </v>
      </c>
      <c r="O195" s="245" t="str">
        <f t="shared" si="23"/>
        <v xml:space="preserve"> </v>
      </c>
      <c r="P195" s="245" t="str">
        <f t="shared" si="23"/>
        <v xml:space="preserve"> </v>
      </c>
      <c r="Q195" s="245" t="str">
        <f t="shared" si="23"/>
        <v xml:space="preserve"> </v>
      </c>
      <c r="R195" s="245" t="str">
        <f t="shared" si="23"/>
        <v xml:space="preserve"> </v>
      </c>
      <c r="S195" s="245" t="str">
        <f t="shared" si="23"/>
        <v xml:space="preserve"> </v>
      </c>
      <c r="T195" s="245" t="str">
        <f t="shared" si="23"/>
        <v xml:space="preserve"> </v>
      </c>
      <c r="U195" s="245" t="str">
        <f t="shared" si="23"/>
        <v xml:space="preserve"> </v>
      </c>
      <c r="V195" s="208">
        <f>SUM($N$10:$U195)</f>
        <v>0</v>
      </c>
      <c r="W195" s="208">
        <f>VLOOKUP(V195,Calcs!$Q$4:$R$24,2,TRUE)</f>
        <v>0</v>
      </c>
      <c r="X195" s="435" t="str">
        <f t="shared" si="19"/>
        <v>No</v>
      </c>
      <c r="Y195" s="436"/>
      <c r="Z195" s="435">
        <f t="shared" si="20"/>
        <v>0</v>
      </c>
      <c r="AA195" s="245" t="str">
        <f>IF(AND(X195="Yes",NOT(ISBLANK(Z195))),VLOOKUP(Z195,Calcs!$Y$48:$Z$57,2,TRUE)," ")</f>
        <v xml:space="preserve"> </v>
      </c>
    </row>
    <row r="196" spans="1:27" x14ac:dyDescent="0.2">
      <c r="A196" s="425">
        <f t="shared" si="21"/>
        <v>222</v>
      </c>
      <c r="B196" s="425" t="str">
        <f t="shared" si="17"/>
        <v>Winter</v>
      </c>
      <c r="C196" s="247">
        <f>IF(B196="Winter",A196-('Start Character'!$K$6)-1,IF('Start Character'!$K$7&gt;6,A196-('Start Character'!$K$6)-1,A196-('Start Character'!$K$6)))</f>
        <v>221</v>
      </c>
      <c r="D196" s="247">
        <f t="shared" si="18"/>
        <v>221</v>
      </c>
      <c r="E196" s="246"/>
      <c r="F196" s="83"/>
      <c r="G196" s="83"/>
      <c r="H196" s="246"/>
      <c r="I196" s="433"/>
      <c r="J196" s="254">
        <f>IF(ISBLANK(I196),0,ROUNDUP(D196/10,0)-E196-H196-F196-G196+VLOOKUP($D$2,Calcs!$A$23:$B$27,2,FALSE)+I196)</f>
        <v>0</v>
      </c>
      <c r="K196" s="245" t="str">
        <f>IF(ISBLANK(I196)," ",VLOOKUP(J196,Calcs!$A$82:$H$106,2,TRUE))</f>
        <v xml:space="preserve"> </v>
      </c>
      <c r="L196" s="245">
        <f>IF(ISBLANK(I196),0,VLOOKUP(J196,Calcs!$A$82:$F$106,5,TRUE))</f>
        <v>0</v>
      </c>
      <c r="M196" s="208">
        <f>IF(J196=13,IF(ISNUMBER(W195),VLOOKUP(W195+1,Calcs!$O$4:$Q$24,3,TRUE)-V195,5),IF(J196&lt;10,0,IF(J196&lt;18,1,IF(J196&lt;22,2,IF(ISNUMBER(W195),VLOOKUP(W195+1,Calcs!$O$4:$Q$24,3,TRUE)-V195,5)))))</f>
        <v>0</v>
      </c>
      <c r="N196" s="245" t="str">
        <f t="shared" si="23"/>
        <v xml:space="preserve"> </v>
      </c>
      <c r="O196" s="245" t="str">
        <f t="shared" si="23"/>
        <v xml:space="preserve"> </v>
      </c>
      <c r="P196" s="245" t="str">
        <f t="shared" si="23"/>
        <v xml:space="preserve"> </v>
      </c>
      <c r="Q196" s="245" t="str">
        <f t="shared" si="23"/>
        <v xml:space="preserve"> </v>
      </c>
      <c r="R196" s="245" t="str">
        <f t="shared" si="23"/>
        <v xml:space="preserve"> </v>
      </c>
      <c r="S196" s="245" t="str">
        <f t="shared" si="23"/>
        <v xml:space="preserve"> </v>
      </c>
      <c r="T196" s="245" t="str">
        <f t="shared" si="23"/>
        <v xml:space="preserve"> </v>
      </c>
      <c r="U196" s="245" t="str">
        <f t="shared" si="23"/>
        <v xml:space="preserve"> </v>
      </c>
      <c r="V196" s="208">
        <f>SUM($N$10:$U196)</f>
        <v>0</v>
      </c>
      <c r="W196" s="208">
        <f>VLOOKUP(V196,Calcs!$Q$4:$R$24,2,TRUE)</f>
        <v>0</v>
      </c>
      <c r="X196" s="435" t="str">
        <f t="shared" si="19"/>
        <v>No</v>
      </c>
      <c r="Y196" s="436"/>
      <c r="Z196" s="435">
        <f t="shared" si="20"/>
        <v>0</v>
      </c>
      <c r="AA196" s="245" t="str">
        <f>IF(AND(X196="Yes",NOT(ISBLANK(Z196))),VLOOKUP(Z196,Calcs!$Y$48:$Z$57,2,TRUE)," ")</f>
        <v xml:space="preserve"> </v>
      </c>
    </row>
    <row r="197" spans="1:27" x14ac:dyDescent="0.2">
      <c r="A197" s="425">
        <f t="shared" si="21"/>
        <v>223</v>
      </c>
      <c r="B197" s="425" t="str">
        <f t="shared" si="17"/>
        <v>Winter</v>
      </c>
      <c r="C197" s="247">
        <f>IF(B197="Winter",A197-('Start Character'!$K$6)-1,IF('Start Character'!$K$7&gt;6,A197-('Start Character'!$K$6)-1,A197-('Start Character'!$K$6)))</f>
        <v>222</v>
      </c>
      <c r="D197" s="247">
        <f t="shared" si="18"/>
        <v>222</v>
      </c>
      <c r="E197" s="246"/>
      <c r="F197" s="83"/>
      <c r="G197" s="83"/>
      <c r="H197" s="246"/>
      <c r="I197" s="433"/>
      <c r="J197" s="254">
        <f>IF(ISBLANK(I197),0,ROUNDUP(D197/10,0)-E197-H197-F197-G197+VLOOKUP($D$2,Calcs!$A$23:$B$27,2,FALSE)+I197)</f>
        <v>0</v>
      </c>
      <c r="K197" s="245" t="str">
        <f>IF(ISBLANK(I197)," ",VLOOKUP(J197,Calcs!$A$82:$H$106,2,TRUE))</f>
        <v xml:space="preserve"> </v>
      </c>
      <c r="L197" s="245">
        <f>IF(ISBLANK(I197),0,VLOOKUP(J197,Calcs!$A$82:$F$106,5,TRUE))</f>
        <v>0</v>
      </c>
      <c r="M197" s="208">
        <f>IF(J197=13,IF(ISNUMBER(W196),VLOOKUP(W196+1,Calcs!$O$4:$Q$24,3,TRUE)-V196,5),IF(J197&lt;10,0,IF(J197&lt;18,1,IF(J197&lt;22,2,IF(ISNUMBER(W196),VLOOKUP(W196+1,Calcs!$O$4:$Q$24,3,TRUE)-V196,5)))))</f>
        <v>0</v>
      </c>
      <c r="N197" s="245" t="str">
        <f t="shared" si="23"/>
        <v xml:space="preserve"> </v>
      </c>
      <c r="O197" s="245" t="str">
        <f t="shared" si="23"/>
        <v xml:space="preserve"> </v>
      </c>
      <c r="P197" s="245" t="str">
        <f t="shared" si="23"/>
        <v xml:space="preserve"> </v>
      </c>
      <c r="Q197" s="245" t="str">
        <f t="shared" si="23"/>
        <v xml:space="preserve"> </v>
      </c>
      <c r="R197" s="245" t="str">
        <f t="shared" si="23"/>
        <v xml:space="preserve"> </v>
      </c>
      <c r="S197" s="245" t="str">
        <f t="shared" si="23"/>
        <v xml:space="preserve"> </v>
      </c>
      <c r="T197" s="245" t="str">
        <f t="shared" si="23"/>
        <v xml:space="preserve"> </v>
      </c>
      <c r="U197" s="245" t="str">
        <f t="shared" si="23"/>
        <v xml:space="preserve"> </v>
      </c>
      <c r="V197" s="208">
        <f>SUM($N$10:$U197)</f>
        <v>0</v>
      </c>
      <c r="W197" s="208">
        <f>VLOOKUP(V197,Calcs!$Q$4:$R$24,2,TRUE)</f>
        <v>0</v>
      </c>
      <c r="X197" s="435" t="str">
        <f t="shared" si="19"/>
        <v>No</v>
      </c>
      <c r="Y197" s="436"/>
      <c r="Z197" s="435">
        <f t="shared" si="20"/>
        <v>0</v>
      </c>
      <c r="AA197" s="245" t="str">
        <f>IF(AND(X197="Yes",NOT(ISBLANK(Z197))),VLOOKUP(Z197,Calcs!$Y$48:$Z$57,2,TRUE)," ")</f>
        <v xml:space="preserve"> </v>
      </c>
    </row>
    <row r="198" spans="1:27" x14ac:dyDescent="0.2">
      <c r="A198" s="425">
        <f t="shared" si="21"/>
        <v>224</v>
      </c>
      <c r="B198" s="425" t="str">
        <f t="shared" si="17"/>
        <v>Winter</v>
      </c>
      <c r="C198" s="247">
        <f>IF(B198="Winter",A198-('Start Character'!$K$6)-1,IF('Start Character'!$K$7&gt;6,A198-('Start Character'!$K$6)-1,A198-('Start Character'!$K$6)))</f>
        <v>223</v>
      </c>
      <c r="D198" s="247">
        <f t="shared" si="18"/>
        <v>223</v>
      </c>
      <c r="E198" s="246"/>
      <c r="F198" s="83"/>
      <c r="G198" s="83"/>
      <c r="H198" s="246"/>
      <c r="I198" s="433"/>
      <c r="J198" s="254">
        <f>IF(ISBLANK(I198),0,ROUNDUP(D198/10,0)-E198-H198-F198-G198+VLOOKUP($D$2,Calcs!$A$23:$B$27,2,FALSE)+I198)</f>
        <v>0</v>
      </c>
      <c r="K198" s="245" t="str">
        <f>IF(ISBLANK(I198)," ",VLOOKUP(J198,Calcs!$A$82:$H$106,2,TRUE))</f>
        <v xml:space="preserve"> </v>
      </c>
      <c r="L198" s="245">
        <f>IF(ISBLANK(I198),0,VLOOKUP(J198,Calcs!$A$82:$F$106,5,TRUE))</f>
        <v>0</v>
      </c>
      <c r="M198" s="208">
        <f>IF(J198=13,IF(ISNUMBER(W197),VLOOKUP(W197+1,Calcs!$O$4:$Q$24,3,TRUE)-V197,5),IF(J198&lt;10,0,IF(J198&lt;18,1,IF(J198&lt;22,2,IF(ISNUMBER(W197),VLOOKUP(W197+1,Calcs!$O$4:$Q$24,3,TRUE)-V197,5)))))</f>
        <v>0</v>
      </c>
      <c r="N198" s="245" t="str">
        <f t="shared" si="23"/>
        <v xml:space="preserve"> </v>
      </c>
      <c r="O198" s="245" t="str">
        <f t="shared" si="23"/>
        <v xml:space="preserve"> </v>
      </c>
      <c r="P198" s="245" t="str">
        <f t="shared" si="23"/>
        <v xml:space="preserve"> </v>
      </c>
      <c r="Q198" s="245" t="str">
        <f t="shared" si="23"/>
        <v xml:space="preserve"> </v>
      </c>
      <c r="R198" s="245" t="str">
        <f t="shared" si="23"/>
        <v xml:space="preserve"> </v>
      </c>
      <c r="S198" s="245" t="str">
        <f t="shared" si="23"/>
        <v xml:space="preserve"> </v>
      </c>
      <c r="T198" s="245" t="str">
        <f t="shared" si="23"/>
        <v xml:space="preserve"> </v>
      </c>
      <c r="U198" s="245" t="str">
        <f t="shared" si="23"/>
        <v xml:space="preserve"> </v>
      </c>
      <c r="V198" s="208">
        <f>SUM($N$10:$U198)</f>
        <v>0</v>
      </c>
      <c r="W198" s="208">
        <f>VLOOKUP(V198,Calcs!$Q$4:$R$24,2,TRUE)</f>
        <v>0</v>
      </c>
      <c r="X198" s="435" t="str">
        <f t="shared" si="19"/>
        <v>No</v>
      </c>
      <c r="Y198" s="436"/>
      <c r="Z198" s="435">
        <f t="shared" si="20"/>
        <v>0</v>
      </c>
      <c r="AA198" s="245" t="str">
        <f>IF(AND(X198="Yes",NOT(ISBLANK(Z198))),VLOOKUP(Z198,Calcs!$Y$48:$Z$57,2,TRUE)," ")</f>
        <v xml:space="preserve"> </v>
      </c>
    </row>
    <row r="199" spans="1:27" x14ac:dyDescent="0.2">
      <c r="A199" s="425">
        <f t="shared" si="21"/>
        <v>225</v>
      </c>
      <c r="B199" s="425" t="str">
        <f t="shared" si="17"/>
        <v>Winter</v>
      </c>
      <c r="C199" s="247">
        <f>IF(B199="Winter",A199-('Start Character'!$K$6)-1,IF('Start Character'!$K$7&gt;6,A199-('Start Character'!$K$6)-1,A199-('Start Character'!$K$6)))</f>
        <v>224</v>
      </c>
      <c r="D199" s="247">
        <f t="shared" si="18"/>
        <v>224</v>
      </c>
      <c r="E199" s="246"/>
      <c r="F199" s="83"/>
      <c r="G199" s="83"/>
      <c r="H199" s="246"/>
      <c r="I199" s="433"/>
      <c r="J199" s="254">
        <f>IF(ISBLANK(I199),0,ROUNDUP(D199/10,0)-E199-H199-F199-G199+VLOOKUP($D$2,Calcs!$A$23:$B$27,2,FALSE)+I199)</f>
        <v>0</v>
      </c>
      <c r="K199" s="245" t="str">
        <f>IF(ISBLANK(I199)," ",VLOOKUP(J199,Calcs!$A$82:$H$106,2,TRUE))</f>
        <v xml:space="preserve"> </v>
      </c>
      <c r="L199" s="245">
        <f>IF(ISBLANK(I199),0,VLOOKUP(J199,Calcs!$A$82:$F$106,5,TRUE))</f>
        <v>0</v>
      </c>
      <c r="M199" s="208">
        <f>IF(J199=13,IF(ISNUMBER(W198),VLOOKUP(W198+1,Calcs!$O$4:$Q$24,3,TRUE)-V198,5),IF(J199&lt;10,0,IF(J199&lt;18,1,IF(J199&lt;22,2,IF(ISNUMBER(W198),VLOOKUP(W198+1,Calcs!$O$4:$Q$24,3,TRUE)-V198,5)))))</f>
        <v>0</v>
      </c>
      <c r="N199" s="245" t="str">
        <f t="shared" si="23"/>
        <v xml:space="preserve"> </v>
      </c>
      <c r="O199" s="245" t="str">
        <f t="shared" si="23"/>
        <v xml:space="preserve"> </v>
      </c>
      <c r="P199" s="245" t="str">
        <f t="shared" si="23"/>
        <v xml:space="preserve"> </v>
      </c>
      <c r="Q199" s="245" t="str">
        <f t="shared" si="23"/>
        <v xml:space="preserve"> </v>
      </c>
      <c r="R199" s="245" t="str">
        <f t="shared" si="23"/>
        <v xml:space="preserve"> </v>
      </c>
      <c r="S199" s="245" t="str">
        <f t="shared" si="23"/>
        <v xml:space="preserve"> </v>
      </c>
      <c r="T199" s="245" t="str">
        <f t="shared" si="23"/>
        <v xml:space="preserve"> </v>
      </c>
      <c r="U199" s="245" t="str">
        <f t="shared" si="23"/>
        <v xml:space="preserve"> </v>
      </c>
      <c r="V199" s="208">
        <f>SUM($N$10:$U199)</f>
        <v>0</v>
      </c>
      <c r="W199" s="208">
        <f>VLOOKUP(V199,Calcs!$Q$4:$R$24,2,TRUE)</f>
        <v>0</v>
      </c>
      <c r="X199" s="435" t="str">
        <f t="shared" si="19"/>
        <v>No</v>
      </c>
      <c r="Y199" s="436"/>
      <c r="Z199" s="435">
        <f t="shared" si="20"/>
        <v>0</v>
      </c>
      <c r="AA199" s="245" t="str">
        <f>IF(AND(X199="Yes",NOT(ISBLANK(Z199))),VLOOKUP(Z199,Calcs!$Y$48:$Z$57,2,TRUE)," ")</f>
        <v xml:space="preserve"> </v>
      </c>
    </row>
    <row r="200" spans="1:27" x14ac:dyDescent="0.2">
      <c r="A200" s="425">
        <f t="shared" si="21"/>
        <v>226</v>
      </c>
      <c r="B200" s="425" t="str">
        <f t="shared" si="17"/>
        <v>Winter</v>
      </c>
      <c r="C200" s="247">
        <f>IF(B200="Winter",A200-('Start Character'!$K$6)-1,IF('Start Character'!$K$7&gt;6,A200-('Start Character'!$K$6)-1,A200-('Start Character'!$K$6)))</f>
        <v>225</v>
      </c>
      <c r="D200" s="247">
        <f t="shared" si="18"/>
        <v>225</v>
      </c>
      <c r="E200" s="246"/>
      <c r="F200" s="83"/>
      <c r="G200" s="83"/>
      <c r="H200" s="246"/>
      <c r="I200" s="433"/>
      <c r="J200" s="254">
        <f>IF(ISBLANK(I200),0,ROUNDUP(D200/10,0)-E200-H200-F200-G200+VLOOKUP($D$2,Calcs!$A$23:$B$27,2,FALSE)+I200)</f>
        <v>0</v>
      </c>
      <c r="K200" s="245" t="str">
        <f>IF(ISBLANK(I200)," ",VLOOKUP(J200,Calcs!$A$82:$H$106,2,TRUE))</f>
        <v xml:space="preserve"> </v>
      </c>
      <c r="L200" s="245">
        <f>IF(ISBLANK(I200),0,VLOOKUP(J200,Calcs!$A$82:$F$106,5,TRUE))</f>
        <v>0</v>
      </c>
      <c r="M200" s="208">
        <f>IF(J200=13,IF(ISNUMBER(W199),VLOOKUP(W199+1,Calcs!$O$4:$Q$24,3,TRUE)-V199,5),IF(J200&lt;10,0,IF(J200&lt;18,1,IF(J200&lt;22,2,IF(ISNUMBER(W199),VLOOKUP(W199+1,Calcs!$O$4:$Q$24,3,TRUE)-V199,5)))))</f>
        <v>0</v>
      </c>
      <c r="N200" s="245" t="str">
        <f t="shared" si="23"/>
        <v xml:space="preserve"> </v>
      </c>
      <c r="O200" s="245" t="str">
        <f t="shared" si="23"/>
        <v xml:space="preserve"> </v>
      </c>
      <c r="P200" s="245" t="str">
        <f t="shared" si="23"/>
        <v xml:space="preserve"> </v>
      </c>
      <c r="Q200" s="245" t="str">
        <f t="shared" si="23"/>
        <v xml:space="preserve"> </v>
      </c>
      <c r="R200" s="245" t="str">
        <f t="shared" si="23"/>
        <v xml:space="preserve"> </v>
      </c>
      <c r="S200" s="245" t="str">
        <f t="shared" si="23"/>
        <v xml:space="preserve"> </v>
      </c>
      <c r="T200" s="245" t="str">
        <f t="shared" si="23"/>
        <v xml:space="preserve"> </v>
      </c>
      <c r="U200" s="245" t="str">
        <f t="shared" si="23"/>
        <v xml:space="preserve"> </v>
      </c>
      <c r="V200" s="208">
        <f>SUM($N$10:$U200)</f>
        <v>0</v>
      </c>
      <c r="W200" s="208">
        <f>VLOOKUP(V200,Calcs!$Q$4:$R$24,2,TRUE)</f>
        <v>0</v>
      </c>
      <c r="X200" s="435" t="str">
        <f t="shared" si="19"/>
        <v>No</v>
      </c>
      <c r="Y200" s="436"/>
      <c r="Z200" s="435">
        <f t="shared" si="20"/>
        <v>0</v>
      </c>
      <c r="AA200" s="245" t="str">
        <f>IF(AND(X200="Yes",NOT(ISBLANK(Z200))),VLOOKUP(Z200,Calcs!$Y$48:$Z$57,2,TRUE)," ")</f>
        <v xml:space="preserve"> </v>
      </c>
    </row>
    <row r="201" spans="1:27" x14ac:dyDescent="0.2">
      <c r="A201" s="425">
        <f t="shared" si="21"/>
        <v>227</v>
      </c>
      <c r="B201" s="425" t="str">
        <f t="shared" si="17"/>
        <v>Winter</v>
      </c>
      <c r="C201" s="247">
        <f>IF(B201="Winter",A201-('Start Character'!$K$6)-1,IF('Start Character'!$K$7&gt;6,A201-('Start Character'!$K$6)-1,A201-('Start Character'!$K$6)))</f>
        <v>226</v>
      </c>
      <c r="D201" s="247">
        <f t="shared" si="18"/>
        <v>226</v>
      </c>
      <c r="E201" s="246"/>
      <c r="F201" s="83"/>
      <c r="G201" s="83"/>
      <c r="H201" s="246"/>
      <c r="I201" s="433"/>
      <c r="J201" s="254">
        <f>IF(ISBLANK(I201),0,ROUNDUP(D201/10,0)-E201-H201-F201-G201+VLOOKUP($D$2,Calcs!$A$23:$B$27,2,FALSE)+I201)</f>
        <v>0</v>
      </c>
      <c r="K201" s="245" t="str">
        <f>IF(ISBLANK(I201)," ",VLOOKUP(J201,Calcs!$A$82:$H$106,2,TRUE))</f>
        <v xml:space="preserve"> </v>
      </c>
      <c r="L201" s="245">
        <f>IF(ISBLANK(I201),0,VLOOKUP(J201,Calcs!$A$82:$F$106,5,TRUE))</f>
        <v>0</v>
      </c>
      <c r="M201" s="208">
        <f>IF(J201=13,IF(ISNUMBER(W200),VLOOKUP(W200+1,Calcs!$O$4:$Q$24,3,TRUE)-V200,5),IF(J201&lt;10,0,IF(J201&lt;18,1,IF(J201&lt;22,2,IF(ISNUMBER(W200),VLOOKUP(W200+1,Calcs!$O$4:$Q$24,3,TRUE)-V200,5)))))</f>
        <v>0</v>
      </c>
      <c r="N201" s="245" t="str">
        <f t="shared" si="23"/>
        <v xml:space="preserve"> </v>
      </c>
      <c r="O201" s="245" t="str">
        <f t="shared" si="23"/>
        <v xml:space="preserve"> </v>
      </c>
      <c r="P201" s="245" t="str">
        <f t="shared" si="23"/>
        <v xml:space="preserve"> </v>
      </c>
      <c r="Q201" s="245" t="str">
        <f t="shared" si="23"/>
        <v xml:space="preserve"> </v>
      </c>
      <c r="R201" s="245" t="str">
        <f t="shared" si="23"/>
        <v xml:space="preserve"> </v>
      </c>
      <c r="S201" s="245" t="str">
        <f t="shared" si="23"/>
        <v xml:space="preserve"> </v>
      </c>
      <c r="T201" s="245" t="str">
        <f t="shared" si="23"/>
        <v xml:space="preserve"> </v>
      </c>
      <c r="U201" s="245" t="str">
        <f t="shared" si="23"/>
        <v xml:space="preserve"> </v>
      </c>
      <c r="V201" s="208">
        <f>SUM($N$10:$U201)</f>
        <v>0</v>
      </c>
      <c r="W201" s="208">
        <f>VLOOKUP(V201,Calcs!$Q$4:$R$24,2,TRUE)</f>
        <v>0</v>
      </c>
      <c r="X201" s="435" t="str">
        <f t="shared" si="19"/>
        <v>No</v>
      </c>
      <c r="Y201" s="436"/>
      <c r="Z201" s="435">
        <f t="shared" si="20"/>
        <v>0</v>
      </c>
      <c r="AA201" s="245" t="str">
        <f>IF(AND(X201="Yes",NOT(ISBLANK(Z201))),VLOOKUP(Z201,Calcs!$Y$48:$Z$57,2,TRUE)," ")</f>
        <v xml:space="preserve"> </v>
      </c>
    </row>
    <row r="202" spans="1:27" x14ac:dyDescent="0.2">
      <c r="A202" s="425">
        <f t="shared" si="21"/>
        <v>228</v>
      </c>
      <c r="B202" s="425" t="str">
        <f t="shared" si="17"/>
        <v>Winter</v>
      </c>
      <c r="C202" s="247">
        <f>IF(B202="Winter",A202-('Start Character'!$K$6)-1,IF('Start Character'!$K$7&gt;6,A202-('Start Character'!$K$6)-1,A202-('Start Character'!$K$6)))</f>
        <v>227</v>
      </c>
      <c r="D202" s="247">
        <f t="shared" si="18"/>
        <v>227</v>
      </c>
      <c r="E202" s="246"/>
      <c r="F202" s="83"/>
      <c r="G202" s="83"/>
      <c r="H202" s="246"/>
      <c r="I202" s="433"/>
      <c r="J202" s="254">
        <f>IF(ISBLANK(I202),0,ROUNDUP(D202/10,0)-E202-H202-F202-G202+VLOOKUP($D$2,Calcs!$A$23:$B$27,2,FALSE)+I202)</f>
        <v>0</v>
      </c>
      <c r="K202" s="245" t="str">
        <f>IF(ISBLANK(I202)," ",VLOOKUP(J202,Calcs!$A$82:$H$106,2,TRUE))</f>
        <v xml:space="preserve"> </v>
      </c>
      <c r="L202" s="245">
        <f>IF(ISBLANK(I202),0,VLOOKUP(J202,Calcs!$A$82:$F$106,5,TRUE))</f>
        <v>0</v>
      </c>
      <c r="M202" s="208">
        <f>IF(J202=13,IF(ISNUMBER(W201),VLOOKUP(W201+1,Calcs!$O$4:$Q$24,3,TRUE)-V201,5),IF(J202&lt;10,0,IF(J202&lt;18,1,IF(J202&lt;22,2,IF(ISNUMBER(W201),VLOOKUP(W201+1,Calcs!$O$4:$Q$24,3,TRUE)-V201,5)))))</f>
        <v>0</v>
      </c>
      <c r="N202" s="245" t="str">
        <f t="shared" si="23"/>
        <v xml:space="preserve"> </v>
      </c>
      <c r="O202" s="245" t="str">
        <f t="shared" si="23"/>
        <v xml:space="preserve"> </v>
      </c>
      <c r="P202" s="245" t="str">
        <f t="shared" si="23"/>
        <v xml:space="preserve"> </v>
      </c>
      <c r="Q202" s="245" t="str">
        <f t="shared" si="23"/>
        <v xml:space="preserve"> </v>
      </c>
      <c r="R202" s="245" t="str">
        <f t="shared" si="23"/>
        <v xml:space="preserve"> </v>
      </c>
      <c r="S202" s="245" t="str">
        <f t="shared" si="23"/>
        <v xml:space="preserve"> </v>
      </c>
      <c r="T202" s="245" t="str">
        <f t="shared" si="23"/>
        <v xml:space="preserve"> </v>
      </c>
      <c r="U202" s="245" t="str">
        <f t="shared" si="23"/>
        <v xml:space="preserve"> </v>
      </c>
      <c r="V202" s="208">
        <f>SUM($N$10:$U202)</f>
        <v>0</v>
      </c>
      <c r="W202" s="208">
        <f>VLOOKUP(V202,Calcs!$Q$4:$R$24,2,TRUE)</f>
        <v>0</v>
      </c>
      <c r="X202" s="435" t="str">
        <f t="shared" si="19"/>
        <v>No</v>
      </c>
      <c r="Y202" s="436"/>
      <c r="Z202" s="435">
        <f t="shared" si="20"/>
        <v>0</v>
      </c>
      <c r="AA202" s="245" t="str">
        <f>IF(AND(X202="Yes",NOT(ISBLANK(Z202))),VLOOKUP(Z202,Calcs!$Y$48:$Z$57,2,TRUE)," ")</f>
        <v xml:space="preserve"> </v>
      </c>
    </row>
    <row r="203" spans="1:27" x14ac:dyDescent="0.2">
      <c r="A203" s="425">
        <f t="shared" si="21"/>
        <v>229</v>
      </c>
      <c r="B203" s="425" t="str">
        <f t="shared" ref="B203:B266" si="24">IF(AND($D$2="Age Quickly",B202="Winter"),"Summer","Winter")</f>
        <v>Winter</v>
      </c>
      <c r="C203" s="247">
        <f>IF(B203="Winter",A203-('Start Character'!$K$6)-1,IF('Start Character'!$K$7&gt;6,A203-('Start Character'!$K$6)-1,A203-('Start Character'!$K$6)))</f>
        <v>228</v>
      </c>
      <c r="D203" s="247">
        <f t="shared" ref="D203:D266" si="25">IF($D$2="Age Quickly",IF(C202=C203,(C203*2)+1,C203*2),C203)</f>
        <v>228</v>
      </c>
      <c r="E203" s="246"/>
      <c r="F203" s="83"/>
      <c r="G203" s="83"/>
      <c r="H203" s="246"/>
      <c r="I203" s="433"/>
      <c r="J203" s="254">
        <f>IF(ISBLANK(I203),0,ROUNDUP(D203/10,0)-E203-H203-F203-G203+VLOOKUP($D$2,Calcs!$A$23:$B$27,2,FALSE)+I203)</f>
        <v>0</v>
      </c>
      <c r="K203" s="245" t="str">
        <f>IF(ISBLANK(I203)," ",VLOOKUP(J203,Calcs!$A$82:$H$106,2,TRUE))</f>
        <v xml:space="preserve"> </v>
      </c>
      <c r="L203" s="245">
        <f>IF(ISBLANK(I203),0,VLOOKUP(J203,Calcs!$A$82:$F$106,5,TRUE))</f>
        <v>0</v>
      </c>
      <c r="M203" s="208">
        <f>IF(J203=13,IF(ISNUMBER(W202),VLOOKUP(W202+1,Calcs!$O$4:$Q$24,3,TRUE)-V202,5),IF(J203&lt;10,0,IF(J203&lt;18,1,IF(J203&lt;22,2,IF(ISNUMBER(W202),VLOOKUP(W202+1,Calcs!$O$4:$Q$24,3,TRUE)-V202,5)))))</f>
        <v>0</v>
      </c>
      <c r="N203" s="245" t="str">
        <f t="shared" si="23"/>
        <v xml:space="preserve"> </v>
      </c>
      <c r="O203" s="245" t="str">
        <f t="shared" si="23"/>
        <v xml:space="preserve"> </v>
      </c>
      <c r="P203" s="245" t="str">
        <f t="shared" si="23"/>
        <v xml:space="preserve"> </v>
      </c>
      <c r="Q203" s="245" t="str">
        <f t="shared" si="23"/>
        <v xml:space="preserve"> </v>
      </c>
      <c r="R203" s="245" t="str">
        <f t="shared" si="23"/>
        <v xml:space="preserve"> </v>
      </c>
      <c r="S203" s="245" t="str">
        <f t="shared" si="23"/>
        <v xml:space="preserve"> </v>
      </c>
      <c r="T203" s="245" t="str">
        <f t="shared" si="23"/>
        <v xml:space="preserve"> </v>
      </c>
      <c r="U203" s="245" t="str">
        <f t="shared" si="23"/>
        <v xml:space="preserve"> </v>
      </c>
      <c r="V203" s="208">
        <f>SUM($N$10:$U203)</f>
        <v>0</v>
      </c>
      <c r="W203" s="208">
        <f>VLOOKUP(V203,Calcs!$Q$4:$R$24,2,TRUE)</f>
        <v>0</v>
      </c>
      <c r="X203" s="435" t="str">
        <f t="shared" ref="X203:X266" si="26">IF(ISERROR(FIND("Crisis",K203)),"No","Yes")</f>
        <v>No</v>
      </c>
      <c r="Y203" s="436"/>
      <c r="Z203" s="435">
        <f t="shared" ref="Z203:Z266" si="27">IF(ISBLANK(Y203),0,ROUNDUP(D203/10,0)+W203+Y203)</f>
        <v>0</v>
      </c>
      <c r="AA203" s="245" t="str">
        <f>IF(AND(X203="Yes",NOT(ISBLANK(Z203))),VLOOKUP(Z203,Calcs!$Y$48:$Z$57,2,TRUE)," ")</f>
        <v xml:space="preserve"> </v>
      </c>
    </row>
    <row r="204" spans="1:27" x14ac:dyDescent="0.2">
      <c r="A204" s="425">
        <f t="shared" ref="A204:A267" si="28">IF($D$2&lt;&gt;"Age Quickly",A203+1,IF(A203=A202,A203+1,A203))</f>
        <v>230</v>
      </c>
      <c r="B204" s="425" t="str">
        <f t="shared" si="24"/>
        <v>Winter</v>
      </c>
      <c r="C204" s="247">
        <f>IF(B204="Winter",A204-('Start Character'!$K$6)-1,IF('Start Character'!$K$7&gt;6,A204-('Start Character'!$K$6)-1,A204-('Start Character'!$K$6)))</f>
        <v>229</v>
      </c>
      <c r="D204" s="247">
        <f t="shared" si="25"/>
        <v>229</v>
      </c>
      <c r="E204" s="246"/>
      <c r="F204" s="83"/>
      <c r="G204" s="83"/>
      <c r="H204" s="246"/>
      <c r="I204" s="433"/>
      <c r="J204" s="254">
        <f>IF(ISBLANK(I204),0,ROUNDUP(D204/10,0)-E204-H204-F204-G204+VLOOKUP($D$2,Calcs!$A$23:$B$27,2,FALSE)+I204)</f>
        <v>0</v>
      </c>
      <c r="K204" s="245" t="str">
        <f>IF(ISBLANK(I204)," ",VLOOKUP(J204,Calcs!$A$82:$H$106,2,TRUE))</f>
        <v xml:space="preserve"> </v>
      </c>
      <c r="L204" s="245">
        <f>IF(ISBLANK(I204),0,VLOOKUP(J204,Calcs!$A$82:$F$106,5,TRUE))</f>
        <v>0</v>
      </c>
      <c r="M204" s="208">
        <f>IF(J204=13,IF(ISNUMBER(W203),VLOOKUP(W203+1,Calcs!$O$4:$Q$24,3,TRUE)-V203,5),IF(J204&lt;10,0,IF(J204&lt;18,1,IF(J204&lt;22,2,IF(ISNUMBER(W203),VLOOKUP(W203+1,Calcs!$O$4:$Q$24,3,TRUE)-V203,5)))))</f>
        <v>0</v>
      </c>
      <c r="N204" s="245" t="str">
        <f t="shared" si="23"/>
        <v xml:space="preserve"> </v>
      </c>
      <c r="O204" s="245" t="str">
        <f t="shared" si="23"/>
        <v xml:space="preserve"> </v>
      </c>
      <c r="P204" s="245" t="str">
        <f t="shared" si="23"/>
        <v xml:space="preserve"> </v>
      </c>
      <c r="Q204" s="245" t="str">
        <f t="shared" si="23"/>
        <v xml:space="preserve"> </v>
      </c>
      <c r="R204" s="245" t="str">
        <f t="shared" si="23"/>
        <v xml:space="preserve"> </v>
      </c>
      <c r="S204" s="245" t="str">
        <f t="shared" si="23"/>
        <v xml:space="preserve"> </v>
      </c>
      <c r="T204" s="245" t="str">
        <f t="shared" si="23"/>
        <v xml:space="preserve"> </v>
      </c>
      <c r="U204" s="245" t="str">
        <f t="shared" si="23"/>
        <v xml:space="preserve"> </v>
      </c>
      <c r="V204" s="208">
        <f>SUM($N$10:$U204)</f>
        <v>0</v>
      </c>
      <c r="W204" s="208">
        <f>VLOOKUP(V204,Calcs!$Q$4:$R$24,2,TRUE)</f>
        <v>0</v>
      </c>
      <c r="X204" s="435" t="str">
        <f t="shared" si="26"/>
        <v>No</v>
      </c>
      <c r="Y204" s="436"/>
      <c r="Z204" s="435">
        <f t="shared" si="27"/>
        <v>0</v>
      </c>
      <c r="AA204" s="245" t="str">
        <f>IF(AND(X204="Yes",NOT(ISBLANK(Z204))),VLOOKUP(Z204,Calcs!$Y$48:$Z$57,2,TRUE)," ")</f>
        <v xml:space="preserve"> </v>
      </c>
    </row>
    <row r="205" spans="1:27" x14ac:dyDescent="0.2">
      <c r="A205" s="425">
        <f t="shared" si="28"/>
        <v>231</v>
      </c>
      <c r="B205" s="425" t="str">
        <f t="shared" si="24"/>
        <v>Winter</v>
      </c>
      <c r="C205" s="247">
        <f>IF(B205="Winter",A205-('Start Character'!$K$6)-1,IF('Start Character'!$K$7&gt;6,A205-('Start Character'!$K$6)-1,A205-('Start Character'!$K$6)))</f>
        <v>230</v>
      </c>
      <c r="D205" s="247">
        <f t="shared" si="25"/>
        <v>230</v>
      </c>
      <c r="E205" s="246"/>
      <c r="F205" s="83"/>
      <c r="G205" s="83"/>
      <c r="H205" s="246"/>
      <c r="I205" s="433"/>
      <c r="J205" s="254">
        <f>IF(ISBLANK(I205),0,ROUNDUP(D205/10,0)-E205-H205-F205-G205+VLOOKUP($D$2,Calcs!$A$23:$B$27,2,FALSE)+I205)</f>
        <v>0</v>
      </c>
      <c r="K205" s="245" t="str">
        <f>IF(ISBLANK(I205)," ",VLOOKUP(J205,Calcs!$A$82:$H$106,2,TRUE))</f>
        <v xml:space="preserve"> </v>
      </c>
      <c r="L205" s="245">
        <f>IF(ISBLANK(I205),0,VLOOKUP(J205,Calcs!$A$82:$F$106,5,TRUE))</f>
        <v>0</v>
      </c>
      <c r="M205" s="208">
        <f>IF(J205=13,IF(ISNUMBER(W204),VLOOKUP(W204+1,Calcs!$O$4:$Q$24,3,TRUE)-V204,5),IF(J205&lt;10,0,IF(J205&lt;18,1,IF(J205&lt;22,2,IF(ISNUMBER(W204),VLOOKUP(W204+1,Calcs!$O$4:$Q$24,3,TRUE)-V204,5)))))</f>
        <v>0</v>
      </c>
      <c r="N205" s="245" t="str">
        <f t="shared" si="23"/>
        <v xml:space="preserve"> </v>
      </c>
      <c r="O205" s="245" t="str">
        <f t="shared" si="23"/>
        <v xml:space="preserve"> </v>
      </c>
      <c r="P205" s="245" t="str">
        <f t="shared" si="23"/>
        <v xml:space="preserve"> </v>
      </c>
      <c r="Q205" s="245" t="str">
        <f t="shared" si="23"/>
        <v xml:space="preserve"> </v>
      </c>
      <c r="R205" s="245" t="str">
        <f t="shared" si="23"/>
        <v xml:space="preserve"> </v>
      </c>
      <c r="S205" s="245" t="str">
        <f t="shared" si="23"/>
        <v xml:space="preserve"> </v>
      </c>
      <c r="T205" s="245" t="str">
        <f t="shared" si="23"/>
        <v xml:space="preserve"> </v>
      </c>
      <c r="U205" s="245" t="str">
        <f t="shared" si="23"/>
        <v xml:space="preserve"> </v>
      </c>
      <c r="V205" s="208">
        <f>SUM($N$10:$U205)</f>
        <v>0</v>
      </c>
      <c r="W205" s="208">
        <f>VLOOKUP(V205,Calcs!$Q$4:$R$24,2,TRUE)</f>
        <v>0</v>
      </c>
      <c r="X205" s="435" t="str">
        <f t="shared" si="26"/>
        <v>No</v>
      </c>
      <c r="Y205" s="436"/>
      <c r="Z205" s="435">
        <f t="shared" si="27"/>
        <v>0</v>
      </c>
      <c r="AA205" s="245" t="str">
        <f>IF(AND(X205="Yes",NOT(ISBLANK(Z205))),VLOOKUP(Z205,Calcs!$Y$48:$Z$57,2,TRUE)," ")</f>
        <v xml:space="preserve"> </v>
      </c>
    </row>
    <row r="206" spans="1:27" x14ac:dyDescent="0.2">
      <c r="A206" s="425">
        <f t="shared" si="28"/>
        <v>232</v>
      </c>
      <c r="B206" s="425" t="str">
        <f t="shared" si="24"/>
        <v>Winter</v>
      </c>
      <c r="C206" s="247">
        <f>IF(B206="Winter",A206-('Start Character'!$K$6)-1,IF('Start Character'!$K$7&gt;6,A206-('Start Character'!$K$6)-1,A206-('Start Character'!$K$6)))</f>
        <v>231</v>
      </c>
      <c r="D206" s="247">
        <f t="shared" si="25"/>
        <v>231</v>
      </c>
      <c r="E206" s="246"/>
      <c r="F206" s="83"/>
      <c r="G206" s="83"/>
      <c r="H206" s="246"/>
      <c r="I206" s="433"/>
      <c r="J206" s="254">
        <f>IF(ISBLANK(I206),0,ROUNDUP(D206/10,0)-E206-H206-F206-G206+VLOOKUP($D$2,Calcs!$A$23:$B$27,2,FALSE)+I206)</f>
        <v>0</v>
      </c>
      <c r="K206" s="245" t="str">
        <f>IF(ISBLANK(I206)," ",VLOOKUP(J206,Calcs!$A$82:$H$106,2,TRUE))</f>
        <v xml:space="preserve"> </v>
      </c>
      <c r="L206" s="245">
        <f>IF(ISBLANK(I206),0,VLOOKUP(J206,Calcs!$A$82:$F$106,5,TRUE))</f>
        <v>0</v>
      </c>
      <c r="M206" s="208">
        <f>IF(J206=13,IF(ISNUMBER(W205),VLOOKUP(W205+1,Calcs!$O$4:$Q$24,3,TRUE)-V205,5),IF(J206&lt;10,0,IF(J206&lt;18,1,IF(J206&lt;22,2,IF(ISNUMBER(W205),VLOOKUP(W205+1,Calcs!$O$4:$Q$24,3,TRUE)-V205,5)))))</f>
        <v>0</v>
      </c>
      <c r="N206" s="245" t="str">
        <f t="shared" si="23"/>
        <v xml:space="preserve"> </v>
      </c>
      <c r="O206" s="245" t="str">
        <f t="shared" si="23"/>
        <v xml:space="preserve"> </v>
      </c>
      <c r="P206" s="245" t="str">
        <f t="shared" si="23"/>
        <v xml:space="preserve"> </v>
      </c>
      <c r="Q206" s="245" t="str">
        <f t="shared" si="23"/>
        <v xml:space="preserve"> </v>
      </c>
      <c r="R206" s="245" t="str">
        <f t="shared" si="23"/>
        <v xml:space="preserve"> </v>
      </c>
      <c r="S206" s="245" t="str">
        <f t="shared" si="23"/>
        <v xml:space="preserve"> </v>
      </c>
      <c r="T206" s="245" t="str">
        <f t="shared" si="23"/>
        <v xml:space="preserve"> </v>
      </c>
      <c r="U206" s="245" t="str">
        <f t="shared" si="23"/>
        <v xml:space="preserve"> </v>
      </c>
      <c r="V206" s="208">
        <f>SUM($N$10:$U206)</f>
        <v>0</v>
      </c>
      <c r="W206" s="208">
        <f>VLOOKUP(V206,Calcs!$Q$4:$R$24,2,TRUE)</f>
        <v>0</v>
      </c>
      <c r="X206" s="435" t="str">
        <f t="shared" si="26"/>
        <v>No</v>
      </c>
      <c r="Y206" s="436"/>
      <c r="Z206" s="435">
        <f t="shared" si="27"/>
        <v>0</v>
      </c>
      <c r="AA206" s="245" t="str">
        <f>IF(AND(X206="Yes",NOT(ISBLANK(Z206))),VLOOKUP(Z206,Calcs!$Y$48:$Z$57,2,TRUE)," ")</f>
        <v xml:space="preserve"> </v>
      </c>
    </row>
    <row r="207" spans="1:27" x14ac:dyDescent="0.2">
      <c r="A207" s="425">
        <f t="shared" si="28"/>
        <v>233</v>
      </c>
      <c r="B207" s="425" t="str">
        <f t="shared" si="24"/>
        <v>Winter</v>
      </c>
      <c r="C207" s="247">
        <f>IF(B207="Winter",A207-('Start Character'!$K$6)-1,IF('Start Character'!$K$7&gt;6,A207-('Start Character'!$K$6)-1,A207-('Start Character'!$K$6)))</f>
        <v>232</v>
      </c>
      <c r="D207" s="247">
        <f t="shared" si="25"/>
        <v>232</v>
      </c>
      <c r="E207" s="246"/>
      <c r="F207" s="83"/>
      <c r="G207" s="83"/>
      <c r="H207" s="246"/>
      <c r="I207" s="433"/>
      <c r="J207" s="254">
        <f>IF(ISBLANK(I207),0,ROUNDUP(D207/10,0)-E207-H207-F207-G207+VLOOKUP($D$2,Calcs!$A$23:$B$27,2,FALSE)+I207)</f>
        <v>0</v>
      </c>
      <c r="K207" s="245" t="str">
        <f>IF(ISBLANK(I207)," ",VLOOKUP(J207,Calcs!$A$82:$H$106,2,TRUE))</f>
        <v xml:space="preserve"> </v>
      </c>
      <c r="L207" s="245">
        <f>IF(ISBLANK(I207),0,VLOOKUP(J207,Calcs!$A$82:$F$106,5,TRUE))</f>
        <v>0</v>
      </c>
      <c r="M207" s="208">
        <f>IF(J207=13,IF(ISNUMBER(W206),VLOOKUP(W206+1,Calcs!$O$4:$Q$24,3,TRUE)-V206,5),IF(J207&lt;10,0,IF(J207&lt;18,1,IF(J207&lt;22,2,IF(ISNUMBER(W206),VLOOKUP(W206+1,Calcs!$O$4:$Q$24,3,TRUE)-V206,5)))))</f>
        <v>0</v>
      </c>
      <c r="N207" s="245" t="str">
        <f t="shared" si="23"/>
        <v xml:space="preserve"> </v>
      </c>
      <c r="O207" s="245" t="str">
        <f t="shared" si="23"/>
        <v xml:space="preserve"> </v>
      </c>
      <c r="P207" s="245" t="str">
        <f t="shared" si="23"/>
        <v xml:space="preserve"> </v>
      </c>
      <c r="Q207" s="245" t="str">
        <f t="shared" si="23"/>
        <v xml:space="preserve"> </v>
      </c>
      <c r="R207" s="245" t="str">
        <f t="shared" si="23"/>
        <v xml:space="preserve"> </v>
      </c>
      <c r="S207" s="245" t="str">
        <f t="shared" si="23"/>
        <v xml:space="preserve"> </v>
      </c>
      <c r="T207" s="245" t="str">
        <f t="shared" si="23"/>
        <v xml:space="preserve"> </v>
      </c>
      <c r="U207" s="245" t="str">
        <f t="shared" si="23"/>
        <v xml:space="preserve"> </v>
      </c>
      <c r="V207" s="208">
        <f>SUM($N$10:$U207)</f>
        <v>0</v>
      </c>
      <c r="W207" s="208">
        <f>VLOOKUP(V207,Calcs!$Q$4:$R$24,2,TRUE)</f>
        <v>0</v>
      </c>
      <c r="X207" s="435" t="str">
        <f t="shared" si="26"/>
        <v>No</v>
      </c>
      <c r="Y207" s="436"/>
      <c r="Z207" s="435">
        <f t="shared" si="27"/>
        <v>0</v>
      </c>
      <c r="AA207" s="245" t="str">
        <f>IF(AND(X207="Yes",NOT(ISBLANK(Z207))),VLOOKUP(Z207,Calcs!$Y$48:$Z$57,2,TRUE)," ")</f>
        <v xml:space="preserve"> </v>
      </c>
    </row>
    <row r="208" spans="1:27" x14ac:dyDescent="0.2">
      <c r="A208" s="425">
        <f t="shared" si="28"/>
        <v>234</v>
      </c>
      <c r="B208" s="425" t="str">
        <f t="shared" si="24"/>
        <v>Winter</v>
      </c>
      <c r="C208" s="247">
        <f>IF(B208="Winter",A208-('Start Character'!$K$6)-1,IF('Start Character'!$K$7&gt;6,A208-('Start Character'!$K$6)-1,A208-('Start Character'!$K$6)))</f>
        <v>233</v>
      </c>
      <c r="D208" s="247">
        <f t="shared" si="25"/>
        <v>233</v>
      </c>
      <c r="E208" s="246"/>
      <c r="F208" s="83"/>
      <c r="G208" s="83"/>
      <c r="H208" s="246"/>
      <c r="I208" s="433"/>
      <c r="J208" s="254">
        <f>IF(ISBLANK(I208),0,ROUNDUP(D208/10,0)-E208-H208-F208-G208+VLOOKUP($D$2,Calcs!$A$23:$B$27,2,FALSE)+I208)</f>
        <v>0</v>
      </c>
      <c r="K208" s="245" t="str">
        <f>IF(ISBLANK(I208)," ",VLOOKUP(J208,Calcs!$A$82:$H$106,2,TRUE))</f>
        <v xml:space="preserve"> </v>
      </c>
      <c r="L208" s="245">
        <f>IF(ISBLANK(I208),0,VLOOKUP(J208,Calcs!$A$82:$F$106,5,TRUE))</f>
        <v>0</v>
      </c>
      <c r="M208" s="208">
        <f>IF(J208=13,IF(ISNUMBER(W207),VLOOKUP(W207+1,Calcs!$O$4:$Q$24,3,TRUE)-V207,5),IF(J208&lt;10,0,IF(J208&lt;18,1,IF(J208&lt;22,2,IF(ISNUMBER(W207),VLOOKUP(W207+1,Calcs!$O$4:$Q$24,3,TRUE)-V207,5)))))</f>
        <v>0</v>
      </c>
      <c r="N208" s="245" t="str">
        <f t="shared" si="23"/>
        <v xml:space="preserve"> </v>
      </c>
      <c r="O208" s="245" t="str">
        <f t="shared" si="23"/>
        <v xml:space="preserve"> </v>
      </c>
      <c r="P208" s="245" t="str">
        <f t="shared" si="23"/>
        <v xml:space="preserve"> </v>
      </c>
      <c r="Q208" s="245" t="str">
        <f t="shared" si="23"/>
        <v xml:space="preserve"> </v>
      </c>
      <c r="R208" s="245" t="str">
        <f t="shared" si="23"/>
        <v xml:space="preserve"> </v>
      </c>
      <c r="S208" s="245" t="str">
        <f t="shared" si="23"/>
        <v xml:space="preserve"> </v>
      </c>
      <c r="T208" s="245" t="str">
        <f t="shared" si="23"/>
        <v xml:space="preserve"> </v>
      </c>
      <c r="U208" s="245" t="str">
        <f t="shared" si="23"/>
        <v xml:space="preserve"> </v>
      </c>
      <c r="V208" s="208">
        <f>SUM($N$10:$U208)</f>
        <v>0</v>
      </c>
      <c r="W208" s="208">
        <f>VLOOKUP(V208,Calcs!$Q$4:$R$24,2,TRUE)</f>
        <v>0</v>
      </c>
      <c r="X208" s="435" t="str">
        <f t="shared" si="26"/>
        <v>No</v>
      </c>
      <c r="Y208" s="436"/>
      <c r="Z208" s="435">
        <f t="shared" si="27"/>
        <v>0</v>
      </c>
      <c r="AA208" s="245" t="str">
        <f>IF(AND(X208="Yes",NOT(ISBLANK(Z208))),VLOOKUP(Z208,Calcs!$Y$48:$Z$57,2,TRUE)," ")</f>
        <v xml:space="preserve"> </v>
      </c>
    </row>
    <row r="209" spans="1:27" x14ac:dyDescent="0.2">
      <c r="A209" s="425">
        <f t="shared" si="28"/>
        <v>235</v>
      </c>
      <c r="B209" s="425" t="str">
        <f t="shared" si="24"/>
        <v>Winter</v>
      </c>
      <c r="C209" s="247">
        <f>IF(B209="Winter",A209-('Start Character'!$K$6)-1,IF('Start Character'!$K$7&gt;6,A209-('Start Character'!$K$6)-1,A209-('Start Character'!$K$6)))</f>
        <v>234</v>
      </c>
      <c r="D209" s="247">
        <f t="shared" si="25"/>
        <v>234</v>
      </c>
      <c r="E209" s="246"/>
      <c r="F209" s="83"/>
      <c r="G209" s="83"/>
      <c r="H209" s="246"/>
      <c r="I209" s="433"/>
      <c r="J209" s="254">
        <f>IF(ISBLANK(I209),0,ROUNDUP(D209/10,0)-E209-H209-F209-G209+VLOOKUP($D$2,Calcs!$A$23:$B$27,2,FALSE)+I209)</f>
        <v>0</v>
      </c>
      <c r="K209" s="245" t="str">
        <f>IF(ISBLANK(I209)," ",VLOOKUP(J209,Calcs!$A$82:$H$106,2,TRUE))</f>
        <v xml:space="preserve"> </v>
      </c>
      <c r="L209" s="245">
        <f>IF(ISBLANK(I209),0,VLOOKUP(J209,Calcs!$A$82:$F$106,5,TRUE))</f>
        <v>0</v>
      </c>
      <c r="M209" s="208">
        <f>IF(J209=13,IF(ISNUMBER(W208),VLOOKUP(W208+1,Calcs!$O$4:$Q$24,3,TRUE)-V208,5),IF(J209&lt;10,0,IF(J209&lt;18,1,IF(J209&lt;22,2,IF(ISNUMBER(W208),VLOOKUP(W208+1,Calcs!$O$4:$Q$24,3,TRUE)-V208,5)))))</f>
        <v>0</v>
      </c>
      <c r="N209" s="245" t="str">
        <f t="shared" si="23"/>
        <v xml:space="preserve"> </v>
      </c>
      <c r="O209" s="245" t="str">
        <f t="shared" si="23"/>
        <v xml:space="preserve"> </v>
      </c>
      <c r="P209" s="245" t="str">
        <f t="shared" si="23"/>
        <v xml:space="preserve"> </v>
      </c>
      <c r="Q209" s="245" t="str">
        <f t="shared" si="23"/>
        <v xml:space="preserve"> </v>
      </c>
      <c r="R209" s="245" t="str">
        <f t="shared" si="23"/>
        <v xml:space="preserve"> </v>
      </c>
      <c r="S209" s="245" t="str">
        <f t="shared" si="23"/>
        <v xml:space="preserve"> </v>
      </c>
      <c r="T209" s="245" t="str">
        <f t="shared" si="23"/>
        <v xml:space="preserve"> </v>
      </c>
      <c r="U209" s="245" t="str">
        <f t="shared" si="23"/>
        <v xml:space="preserve"> </v>
      </c>
      <c r="V209" s="208">
        <f>SUM($N$10:$U209)</f>
        <v>0</v>
      </c>
      <c r="W209" s="208">
        <f>VLOOKUP(V209,Calcs!$Q$4:$R$24,2,TRUE)</f>
        <v>0</v>
      </c>
      <c r="X209" s="435" t="str">
        <f t="shared" si="26"/>
        <v>No</v>
      </c>
      <c r="Y209" s="436"/>
      <c r="Z209" s="435">
        <f t="shared" si="27"/>
        <v>0</v>
      </c>
      <c r="AA209" s="245" t="str">
        <f>IF(AND(X209="Yes",NOT(ISBLANK(Z209))),VLOOKUP(Z209,Calcs!$Y$48:$Z$57,2,TRUE)," ")</f>
        <v xml:space="preserve"> </v>
      </c>
    </row>
    <row r="210" spans="1:27" x14ac:dyDescent="0.2">
      <c r="A210" s="425">
        <f t="shared" si="28"/>
        <v>236</v>
      </c>
      <c r="B210" s="425" t="str">
        <f t="shared" si="24"/>
        <v>Winter</v>
      </c>
      <c r="C210" s="247">
        <f>IF(B210="Winter",A210-('Start Character'!$K$6)-1,IF('Start Character'!$K$7&gt;6,A210-('Start Character'!$K$6)-1,A210-('Start Character'!$K$6)))</f>
        <v>235</v>
      </c>
      <c r="D210" s="247">
        <f t="shared" si="25"/>
        <v>235</v>
      </c>
      <c r="E210" s="246"/>
      <c r="F210" s="83"/>
      <c r="G210" s="83"/>
      <c r="H210" s="246"/>
      <c r="I210" s="433"/>
      <c r="J210" s="254">
        <f>IF(ISBLANK(I210),0,ROUNDUP(D210/10,0)-E210-H210-F210-G210+VLOOKUP($D$2,Calcs!$A$23:$B$27,2,FALSE)+I210)</f>
        <v>0</v>
      </c>
      <c r="K210" s="245" t="str">
        <f>IF(ISBLANK(I210)," ",VLOOKUP(J210,Calcs!$A$82:$H$106,2,TRUE))</f>
        <v xml:space="preserve"> </v>
      </c>
      <c r="L210" s="245">
        <f>IF(ISBLANK(I210),0,VLOOKUP(J210,Calcs!$A$82:$F$106,5,TRUE))</f>
        <v>0</v>
      </c>
      <c r="M210" s="208">
        <f>IF(J210=13,IF(ISNUMBER(W209),VLOOKUP(W209+1,Calcs!$O$4:$Q$24,3,TRUE)-V209,5),IF(J210&lt;10,0,IF(J210&lt;18,1,IF(J210&lt;22,2,IF(ISNUMBER(W209),VLOOKUP(W209+1,Calcs!$O$4:$Q$24,3,TRUE)-V209,5)))))</f>
        <v>0</v>
      </c>
      <c r="N210" s="245" t="str">
        <f t="shared" si="23"/>
        <v xml:space="preserve"> </v>
      </c>
      <c r="O210" s="245" t="str">
        <f t="shared" si="23"/>
        <v xml:space="preserve"> </v>
      </c>
      <c r="P210" s="245" t="str">
        <f t="shared" si="23"/>
        <v xml:space="preserve"> </v>
      </c>
      <c r="Q210" s="245" t="str">
        <f t="shared" si="23"/>
        <v xml:space="preserve"> </v>
      </c>
      <c r="R210" s="245" t="str">
        <f t="shared" si="23"/>
        <v xml:space="preserve"> </v>
      </c>
      <c r="S210" s="245" t="str">
        <f t="shared" si="23"/>
        <v xml:space="preserve"> </v>
      </c>
      <c r="T210" s="245" t="str">
        <f t="shared" si="23"/>
        <v xml:space="preserve"> </v>
      </c>
      <c r="U210" s="245" t="str">
        <f t="shared" si="23"/>
        <v xml:space="preserve"> </v>
      </c>
      <c r="V210" s="208">
        <f>SUM($N$10:$U210)</f>
        <v>0</v>
      </c>
      <c r="W210" s="208">
        <f>VLOOKUP(V210,Calcs!$Q$4:$R$24,2,TRUE)</f>
        <v>0</v>
      </c>
      <c r="X210" s="435" t="str">
        <f t="shared" si="26"/>
        <v>No</v>
      </c>
      <c r="Y210" s="436"/>
      <c r="Z210" s="435">
        <f t="shared" si="27"/>
        <v>0</v>
      </c>
      <c r="AA210" s="245" t="str">
        <f>IF(AND(X210="Yes",NOT(ISBLANK(Z210))),VLOOKUP(Z210,Calcs!$Y$48:$Z$57,2,TRUE)," ")</f>
        <v xml:space="preserve"> </v>
      </c>
    </row>
    <row r="211" spans="1:27" x14ac:dyDescent="0.2">
      <c r="A211" s="425">
        <f t="shared" si="28"/>
        <v>237</v>
      </c>
      <c r="B211" s="425" t="str">
        <f t="shared" si="24"/>
        <v>Winter</v>
      </c>
      <c r="C211" s="247">
        <f>IF(B211="Winter",A211-('Start Character'!$K$6)-1,IF('Start Character'!$K$7&gt;6,A211-('Start Character'!$K$6)-1,A211-('Start Character'!$K$6)))</f>
        <v>236</v>
      </c>
      <c r="D211" s="247">
        <f t="shared" si="25"/>
        <v>236</v>
      </c>
      <c r="E211" s="246"/>
      <c r="F211" s="83"/>
      <c r="G211" s="83"/>
      <c r="H211" s="246"/>
      <c r="I211" s="433"/>
      <c r="J211" s="254">
        <f>IF(ISBLANK(I211),0,ROUNDUP(D211/10,0)-E211-H211-F211-G211+VLOOKUP($D$2,Calcs!$A$23:$B$27,2,FALSE)+I211)</f>
        <v>0</v>
      </c>
      <c r="K211" s="245" t="str">
        <f>IF(ISBLANK(I211)," ",VLOOKUP(J211,Calcs!$A$82:$H$106,2,TRUE))</f>
        <v xml:space="preserve"> </v>
      </c>
      <c r="L211" s="245">
        <f>IF(ISBLANK(I211),0,VLOOKUP(J211,Calcs!$A$82:$F$106,5,TRUE))</f>
        <v>0</v>
      </c>
      <c r="M211" s="208">
        <f>IF(J211=13,IF(ISNUMBER(W210),VLOOKUP(W210+1,Calcs!$O$4:$Q$24,3,TRUE)-V210,5),IF(J211&lt;10,0,IF(J211&lt;18,1,IF(J211&lt;22,2,IF(ISNUMBER(W210),VLOOKUP(W210+1,Calcs!$O$4:$Q$24,3,TRUE)-V210,5)))))</f>
        <v>0</v>
      </c>
      <c r="N211" s="245" t="str">
        <f t="shared" si="23"/>
        <v xml:space="preserve"> </v>
      </c>
      <c r="O211" s="245" t="str">
        <f t="shared" si="23"/>
        <v xml:space="preserve"> </v>
      </c>
      <c r="P211" s="245" t="str">
        <f t="shared" si="23"/>
        <v xml:space="preserve"> </v>
      </c>
      <c r="Q211" s="245" t="str">
        <f t="shared" si="23"/>
        <v xml:space="preserve"> </v>
      </c>
      <c r="R211" s="245" t="str">
        <f t="shared" si="23"/>
        <v xml:space="preserve"> </v>
      </c>
      <c r="S211" s="245" t="str">
        <f t="shared" si="23"/>
        <v xml:space="preserve"> </v>
      </c>
      <c r="T211" s="245" t="str">
        <f t="shared" si="23"/>
        <v xml:space="preserve"> </v>
      </c>
      <c r="U211" s="245" t="str">
        <f t="shared" si="23"/>
        <v xml:space="preserve"> </v>
      </c>
      <c r="V211" s="208">
        <f>SUM($N$10:$U211)</f>
        <v>0</v>
      </c>
      <c r="W211" s="208">
        <f>VLOOKUP(V211,Calcs!$Q$4:$R$24,2,TRUE)</f>
        <v>0</v>
      </c>
      <c r="X211" s="435" t="str">
        <f t="shared" si="26"/>
        <v>No</v>
      </c>
      <c r="Y211" s="436"/>
      <c r="Z211" s="435">
        <f t="shared" si="27"/>
        <v>0</v>
      </c>
      <c r="AA211" s="245" t="str">
        <f>IF(AND(X211="Yes",NOT(ISBLANK(Z211))),VLOOKUP(Z211,Calcs!$Y$48:$Z$57,2,TRUE)," ")</f>
        <v xml:space="preserve"> </v>
      </c>
    </row>
    <row r="212" spans="1:27" x14ac:dyDescent="0.2">
      <c r="A212" s="425">
        <f t="shared" si="28"/>
        <v>238</v>
      </c>
      <c r="B212" s="425" t="str">
        <f t="shared" si="24"/>
        <v>Winter</v>
      </c>
      <c r="C212" s="247">
        <f>IF(B212="Winter",A212-('Start Character'!$K$6)-1,IF('Start Character'!$K$7&gt;6,A212-('Start Character'!$K$6)-1,A212-('Start Character'!$K$6)))</f>
        <v>237</v>
      </c>
      <c r="D212" s="247">
        <f t="shared" si="25"/>
        <v>237</v>
      </c>
      <c r="E212" s="246"/>
      <c r="F212" s="83"/>
      <c r="G212" s="83"/>
      <c r="H212" s="246"/>
      <c r="I212" s="433"/>
      <c r="J212" s="254">
        <f>IF(ISBLANK(I212),0,ROUNDUP(D212/10,0)-E212-H212-F212-G212+VLOOKUP($D$2,Calcs!$A$23:$B$27,2,FALSE)+I212)</f>
        <v>0</v>
      </c>
      <c r="K212" s="245" t="str">
        <f>IF(ISBLANK(I212)," ",VLOOKUP(J212,Calcs!$A$82:$H$106,2,TRUE))</f>
        <v xml:space="preserve"> </v>
      </c>
      <c r="L212" s="245">
        <f>IF(ISBLANK(I212),0,VLOOKUP(J212,Calcs!$A$82:$F$106,5,TRUE))</f>
        <v>0</v>
      </c>
      <c r="M212" s="208">
        <f>IF(J212=13,IF(ISNUMBER(W211),VLOOKUP(W211+1,Calcs!$O$4:$Q$24,3,TRUE)-V211,5),IF(J212&lt;10,0,IF(J212&lt;18,1,IF(J212&lt;22,2,IF(ISNUMBER(W211),VLOOKUP(W211+1,Calcs!$O$4:$Q$24,3,TRUE)-V211,5)))))</f>
        <v>0</v>
      </c>
      <c r="N212" s="245" t="str">
        <f t="shared" si="23"/>
        <v xml:space="preserve"> </v>
      </c>
      <c r="O212" s="245" t="str">
        <f t="shared" si="23"/>
        <v xml:space="preserve"> </v>
      </c>
      <c r="P212" s="245" t="str">
        <f t="shared" si="23"/>
        <v xml:space="preserve"> </v>
      </c>
      <c r="Q212" s="245" t="str">
        <f t="shared" si="23"/>
        <v xml:space="preserve"> </v>
      </c>
      <c r="R212" s="245" t="str">
        <f t="shared" si="23"/>
        <v xml:space="preserve"> </v>
      </c>
      <c r="S212" s="245" t="str">
        <f t="shared" si="23"/>
        <v xml:space="preserve"> </v>
      </c>
      <c r="T212" s="245" t="str">
        <f t="shared" si="23"/>
        <v xml:space="preserve"> </v>
      </c>
      <c r="U212" s="245" t="str">
        <f t="shared" si="23"/>
        <v xml:space="preserve"> </v>
      </c>
      <c r="V212" s="208">
        <f>SUM($N$10:$U212)</f>
        <v>0</v>
      </c>
      <c r="W212" s="208">
        <f>VLOOKUP(V212,Calcs!$Q$4:$R$24,2,TRUE)</f>
        <v>0</v>
      </c>
      <c r="X212" s="435" t="str">
        <f t="shared" si="26"/>
        <v>No</v>
      </c>
      <c r="Y212" s="436"/>
      <c r="Z212" s="435">
        <f t="shared" si="27"/>
        <v>0</v>
      </c>
      <c r="AA212" s="245" t="str">
        <f>IF(AND(X212="Yes",NOT(ISBLANK(Z212))),VLOOKUP(Z212,Calcs!$Y$48:$Z$57,2,TRUE)," ")</f>
        <v xml:space="preserve"> </v>
      </c>
    </row>
    <row r="213" spans="1:27" x14ac:dyDescent="0.2">
      <c r="A213" s="425">
        <f t="shared" si="28"/>
        <v>239</v>
      </c>
      <c r="B213" s="425" t="str">
        <f t="shared" si="24"/>
        <v>Winter</v>
      </c>
      <c r="C213" s="247">
        <f>IF(B213="Winter",A213-('Start Character'!$K$6)-1,IF('Start Character'!$K$7&gt;6,A213-('Start Character'!$K$6)-1,A213-('Start Character'!$K$6)))</f>
        <v>238</v>
      </c>
      <c r="D213" s="247">
        <f t="shared" si="25"/>
        <v>238</v>
      </c>
      <c r="E213" s="246"/>
      <c r="F213" s="83"/>
      <c r="G213" s="83"/>
      <c r="H213" s="246"/>
      <c r="I213" s="433"/>
      <c r="J213" s="254">
        <f>IF(ISBLANK(I213),0,ROUNDUP(D213/10,0)-E213-H213-F213-G213+VLOOKUP($D$2,Calcs!$A$23:$B$27,2,FALSE)+I213)</f>
        <v>0</v>
      </c>
      <c r="K213" s="245" t="str">
        <f>IF(ISBLANK(I213)," ",VLOOKUP(J213,Calcs!$A$82:$H$106,2,TRUE))</f>
        <v xml:space="preserve"> </v>
      </c>
      <c r="L213" s="245">
        <f>IF(ISBLANK(I213),0,VLOOKUP(J213,Calcs!$A$82:$F$106,5,TRUE))</f>
        <v>0</v>
      </c>
      <c r="M213" s="208">
        <f>IF(J213=13,IF(ISNUMBER(W212),VLOOKUP(W212+1,Calcs!$O$4:$Q$24,3,TRUE)-V212,5),IF(J213&lt;10,0,IF(J213&lt;18,1,IF(J213&lt;22,2,IF(ISNUMBER(W212),VLOOKUP(W212+1,Calcs!$O$4:$Q$24,3,TRUE)-V212,5)))))</f>
        <v>0</v>
      </c>
      <c r="N213" s="245" t="str">
        <f t="shared" si="23"/>
        <v xml:space="preserve"> </v>
      </c>
      <c r="O213" s="245" t="str">
        <f t="shared" si="23"/>
        <v xml:space="preserve"> </v>
      </c>
      <c r="P213" s="245" t="str">
        <f t="shared" si="23"/>
        <v xml:space="preserve"> </v>
      </c>
      <c r="Q213" s="245" t="str">
        <f t="shared" si="23"/>
        <v xml:space="preserve"> </v>
      </c>
      <c r="R213" s="245" t="str">
        <f t="shared" si="23"/>
        <v xml:space="preserve"> </v>
      </c>
      <c r="S213" s="245" t="str">
        <f t="shared" si="23"/>
        <v xml:space="preserve"> </v>
      </c>
      <c r="T213" s="245" t="str">
        <f t="shared" si="23"/>
        <v xml:space="preserve"> </v>
      </c>
      <c r="U213" s="245" t="str">
        <f t="shared" si="23"/>
        <v xml:space="preserve"> </v>
      </c>
      <c r="V213" s="208">
        <f>SUM($N$10:$U213)</f>
        <v>0</v>
      </c>
      <c r="W213" s="208">
        <f>VLOOKUP(V213,Calcs!$Q$4:$R$24,2,TRUE)</f>
        <v>0</v>
      </c>
      <c r="X213" s="435" t="str">
        <f t="shared" si="26"/>
        <v>No</v>
      </c>
      <c r="Y213" s="436"/>
      <c r="Z213" s="435">
        <f t="shared" si="27"/>
        <v>0</v>
      </c>
      <c r="AA213" s="245" t="str">
        <f>IF(AND(X213="Yes",NOT(ISBLANK(Z213))),VLOOKUP(Z213,Calcs!$Y$48:$Z$57,2,TRUE)," ")</f>
        <v xml:space="preserve"> </v>
      </c>
    </row>
    <row r="214" spans="1:27" x14ac:dyDescent="0.2">
      <c r="A214" s="425">
        <f t="shared" si="28"/>
        <v>240</v>
      </c>
      <c r="B214" s="425" t="str">
        <f t="shared" si="24"/>
        <v>Winter</v>
      </c>
      <c r="C214" s="247">
        <f>IF(B214="Winter",A214-('Start Character'!$K$6)-1,IF('Start Character'!$K$7&gt;6,A214-('Start Character'!$K$6)-1,A214-('Start Character'!$K$6)))</f>
        <v>239</v>
      </c>
      <c r="D214" s="247">
        <f t="shared" si="25"/>
        <v>239</v>
      </c>
      <c r="E214" s="246"/>
      <c r="F214" s="83"/>
      <c r="G214" s="83"/>
      <c r="H214" s="246"/>
      <c r="I214" s="433"/>
      <c r="J214" s="254">
        <f>IF(ISBLANK(I214),0,ROUNDUP(D214/10,0)-E214-H214-F214-G214+VLOOKUP($D$2,Calcs!$A$23:$B$27,2,FALSE)+I214)</f>
        <v>0</v>
      </c>
      <c r="K214" s="245" t="str">
        <f>IF(ISBLANK(I214)," ",VLOOKUP(J214,Calcs!$A$82:$H$106,2,TRUE))</f>
        <v xml:space="preserve"> </v>
      </c>
      <c r="L214" s="245">
        <f>IF(ISBLANK(I214),0,VLOOKUP(J214,Calcs!$A$82:$F$106,5,TRUE))</f>
        <v>0</v>
      </c>
      <c r="M214" s="208">
        <f>IF(J214=13,IF(ISNUMBER(W213),VLOOKUP(W213+1,Calcs!$O$4:$Q$24,3,TRUE)-V213,5),IF(J214&lt;10,0,IF(J214&lt;18,1,IF(J214&lt;22,2,IF(ISNUMBER(W213),VLOOKUP(W213+1,Calcs!$O$4:$Q$24,3,TRUE)-V213,5)))))</f>
        <v>0</v>
      </c>
      <c r="N214" s="245" t="str">
        <f t="shared" si="23"/>
        <v xml:space="preserve"> </v>
      </c>
      <c r="O214" s="245" t="str">
        <f t="shared" si="23"/>
        <v xml:space="preserve"> </v>
      </c>
      <c r="P214" s="245" t="str">
        <f t="shared" si="23"/>
        <v xml:space="preserve"> </v>
      </c>
      <c r="Q214" s="245" t="str">
        <f t="shared" si="23"/>
        <v xml:space="preserve"> </v>
      </c>
      <c r="R214" s="245" t="str">
        <f t="shared" si="23"/>
        <v xml:space="preserve"> </v>
      </c>
      <c r="S214" s="245" t="str">
        <f t="shared" si="23"/>
        <v xml:space="preserve"> </v>
      </c>
      <c r="T214" s="245" t="str">
        <f t="shared" si="23"/>
        <v xml:space="preserve"> </v>
      </c>
      <c r="U214" s="245" t="str">
        <f t="shared" si="23"/>
        <v xml:space="preserve"> </v>
      </c>
      <c r="V214" s="208">
        <f>SUM($N$10:$U214)</f>
        <v>0</v>
      </c>
      <c r="W214" s="208">
        <f>VLOOKUP(V214,Calcs!$Q$4:$R$24,2,TRUE)</f>
        <v>0</v>
      </c>
      <c r="X214" s="435" t="str">
        <f t="shared" si="26"/>
        <v>No</v>
      </c>
      <c r="Y214" s="436"/>
      <c r="Z214" s="435">
        <f t="shared" si="27"/>
        <v>0</v>
      </c>
      <c r="AA214" s="245" t="str">
        <f>IF(AND(X214="Yes",NOT(ISBLANK(Z214))),VLOOKUP(Z214,Calcs!$Y$48:$Z$57,2,TRUE)," ")</f>
        <v xml:space="preserve"> </v>
      </c>
    </row>
    <row r="215" spans="1:27" x14ac:dyDescent="0.2">
      <c r="A215" s="425">
        <f t="shared" si="28"/>
        <v>241</v>
      </c>
      <c r="B215" s="425" t="str">
        <f t="shared" si="24"/>
        <v>Winter</v>
      </c>
      <c r="C215" s="247">
        <f>IF(B215="Winter",A215-('Start Character'!$K$6)-1,IF('Start Character'!$K$7&gt;6,A215-('Start Character'!$K$6)-1,A215-('Start Character'!$K$6)))</f>
        <v>240</v>
      </c>
      <c r="D215" s="247">
        <f t="shared" si="25"/>
        <v>240</v>
      </c>
      <c r="E215" s="246"/>
      <c r="F215" s="83"/>
      <c r="G215" s="83"/>
      <c r="H215" s="246"/>
      <c r="I215" s="433"/>
      <c r="J215" s="254">
        <f>IF(ISBLANK(I215),0,ROUNDUP(D215/10,0)-E215-H215-F215-G215+VLOOKUP($D$2,Calcs!$A$23:$B$27,2,FALSE)+I215)</f>
        <v>0</v>
      </c>
      <c r="K215" s="245" t="str">
        <f>IF(ISBLANK(I215)," ",VLOOKUP(J215,Calcs!$A$82:$H$106,2,TRUE))</f>
        <v xml:space="preserve"> </v>
      </c>
      <c r="L215" s="245">
        <f>IF(ISBLANK(I215),0,VLOOKUP(J215,Calcs!$A$82:$F$106,5,TRUE))</f>
        <v>0</v>
      </c>
      <c r="M215" s="208">
        <f>IF(J215=13,IF(ISNUMBER(W214),VLOOKUP(W214+1,Calcs!$O$4:$Q$24,3,TRUE)-V214,5),IF(J215&lt;10,0,IF(J215&lt;18,1,IF(J215&lt;22,2,IF(ISNUMBER(W214),VLOOKUP(W214+1,Calcs!$O$4:$Q$24,3,TRUE)-V214,5)))))</f>
        <v>0</v>
      </c>
      <c r="N215" s="245" t="str">
        <f t="shared" si="23"/>
        <v xml:space="preserve"> </v>
      </c>
      <c r="O215" s="245" t="str">
        <f t="shared" si="23"/>
        <v xml:space="preserve"> </v>
      </c>
      <c r="P215" s="245" t="str">
        <f t="shared" si="23"/>
        <v xml:space="preserve"> </v>
      </c>
      <c r="Q215" s="245" t="str">
        <f t="shared" si="23"/>
        <v xml:space="preserve"> </v>
      </c>
      <c r="R215" s="245" t="str">
        <f t="shared" si="23"/>
        <v xml:space="preserve"> </v>
      </c>
      <c r="S215" s="245" t="str">
        <f t="shared" si="23"/>
        <v xml:space="preserve"> </v>
      </c>
      <c r="T215" s="245" t="str">
        <f t="shared" si="23"/>
        <v xml:space="preserve"> </v>
      </c>
      <c r="U215" s="245" t="str">
        <f t="shared" si="23"/>
        <v xml:space="preserve"> </v>
      </c>
      <c r="V215" s="208">
        <f>SUM($N$10:$U215)</f>
        <v>0</v>
      </c>
      <c r="W215" s="208">
        <f>VLOOKUP(V215,Calcs!$Q$4:$R$24,2,TRUE)</f>
        <v>0</v>
      </c>
      <c r="X215" s="435" t="str">
        <f t="shared" si="26"/>
        <v>No</v>
      </c>
      <c r="Y215" s="436"/>
      <c r="Z215" s="435">
        <f t="shared" si="27"/>
        <v>0</v>
      </c>
      <c r="AA215" s="245" t="str">
        <f>IF(AND(X215="Yes",NOT(ISBLANK(Z215))),VLOOKUP(Z215,Calcs!$Y$48:$Z$57,2,TRUE)," ")</f>
        <v xml:space="preserve"> </v>
      </c>
    </row>
    <row r="216" spans="1:27" x14ac:dyDescent="0.2">
      <c r="A216" s="425">
        <f t="shared" si="28"/>
        <v>242</v>
      </c>
      <c r="B216" s="425" t="str">
        <f t="shared" si="24"/>
        <v>Winter</v>
      </c>
      <c r="C216" s="247">
        <f>IF(B216="Winter",A216-('Start Character'!$K$6)-1,IF('Start Character'!$K$7&gt;6,A216-('Start Character'!$K$6)-1,A216-('Start Character'!$K$6)))</f>
        <v>241</v>
      </c>
      <c r="D216" s="247">
        <f t="shared" si="25"/>
        <v>241</v>
      </c>
      <c r="E216" s="246"/>
      <c r="F216" s="83"/>
      <c r="G216" s="83"/>
      <c r="H216" s="246"/>
      <c r="I216" s="433"/>
      <c r="J216" s="254">
        <f>IF(ISBLANK(I216),0,ROUNDUP(D216/10,0)-E216-H216-F216-G216+VLOOKUP($D$2,Calcs!$A$23:$B$27,2,FALSE)+I216)</f>
        <v>0</v>
      </c>
      <c r="K216" s="245" t="str">
        <f>IF(ISBLANK(I216)," ",VLOOKUP(J216,Calcs!$A$82:$H$106,2,TRUE))</f>
        <v xml:space="preserve"> </v>
      </c>
      <c r="L216" s="245">
        <f>IF(ISBLANK(I216),0,VLOOKUP(J216,Calcs!$A$82:$F$106,5,TRUE))</f>
        <v>0</v>
      </c>
      <c r="M216" s="208">
        <f>IF(J216=13,IF(ISNUMBER(W215),VLOOKUP(W215+1,Calcs!$O$4:$Q$24,3,TRUE)-V215,5),IF(J216&lt;10,0,IF(J216&lt;18,1,IF(J216&lt;22,2,IF(ISNUMBER(W215),VLOOKUP(W215+1,Calcs!$O$4:$Q$24,3,TRUE)-V215,5)))))</f>
        <v>0</v>
      </c>
      <c r="N216" s="245" t="str">
        <f t="shared" si="23"/>
        <v xml:space="preserve"> </v>
      </c>
      <c r="O216" s="245" t="str">
        <f t="shared" si="23"/>
        <v xml:space="preserve"> </v>
      </c>
      <c r="P216" s="245" t="str">
        <f t="shared" si="23"/>
        <v xml:space="preserve"> </v>
      </c>
      <c r="Q216" s="245" t="str">
        <f t="shared" si="23"/>
        <v xml:space="preserve"> </v>
      </c>
      <c r="R216" s="245" t="str">
        <f t="shared" si="23"/>
        <v xml:space="preserve"> </v>
      </c>
      <c r="S216" s="245" t="str">
        <f t="shared" si="23"/>
        <v xml:space="preserve"> </v>
      </c>
      <c r="T216" s="245" t="str">
        <f t="shared" si="23"/>
        <v xml:space="preserve"> </v>
      </c>
      <c r="U216" s="245" t="str">
        <f t="shared" si="23"/>
        <v xml:space="preserve"> </v>
      </c>
      <c r="V216" s="208">
        <f>SUM($N$10:$U216)</f>
        <v>0</v>
      </c>
      <c r="W216" s="208">
        <f>VLOOKUP(V216,Calcs!$Q$4:$R$24,2,TRUE)</f>
        <v>0</v>
      </c>
      <c r="X216" s="435" t="str">
        <f t="shared" si="26"/>
        <v>No</v>
      </c>
      <c r="Y216" s="436"/>
      <c r="Z216" s="435">
        <f t="shared" si="27"/>
        <v>0</v>
      </c>
      <c r="AA216" s="245" t="str">
        <f>IF(AND(X216="Yes",NOT(ISBLANK(Z216))),VLOOKUP(Z216,Calcs!$Y$48:$Z$57,2,TRUE)," ")</f>
        <v xml:space="preserve"> </v>
      </c>
    </row>
    <row r="217" spans="1:27" x14ac:dyDescent="0.2">
      <c r="A217" s="425">
        <f t="shared" si="28"/>
        <v>243</v>
      </c>
      <c r="B217" s="425" t="str">
        <f t="shared" si="24"/>
        <v>Winter</v>
      </c>
      <c r="C217" s="247">
        <f>IF(B217="Winter",A217-('Start Character'!$K$6)-1,IF('Start Character'!$K$7&gt;6,A217-('Start Character'!$K$6)-1,A217-('Start Character'!$K$6)))</f>
        <v>242</v>
      </c>
      <c r="D217" s="247">
        <f t="shared" si="25"/>
        <v>242</v>
      </c>
      <c r="E217" s="246"/>
      <c r="F217" s="83"/>
      <c r="G217" s="83"/>
      <c r="H217" s="246"/>
      <c r="I217" s="433"/>
      <c r="J217" s="254">
        <f>IF(ISBLANK(I217),0,ROUNDUP(D217/10,0)-E217-H217-F217-G217+VLOOKUP($D$2,Calcs!$A$23:$B$27,2,FALSE)+I217)</f>
        <v>0</v>
      </c>
      <c r="K217" s="245" t="str">
        <f>IF(ISBLANK(I217)," ",VLOOKUP(J217,Calcs!$A$82:$H$106,2,TRUE))</f>
        <v xml:space="preserve"> </v>
      </c>
      <c r="L217" s="245">
        <f>IF(ISBLANK(I217),0,VLOOKUP(J217,Calcs!$A$82:$F$106,5,TRUE))</f>
        <v>0</v>
      </c>
      <c r="M217" s="208">
        <f>IF(J217=13,IF(ISNUMBER(W216),VLOOKUP(W216+1,Calcs!$O$4:$Q$24,3,TRUE)-V216,5),IF(J217&lt;10,0,IF(J217&lt;18,1,IF(J217&lt;22,2,IF(ISNUMBER(W216),VLOOKUP(W216+1,Calcs!$O$4:$Q$24,3,TRUE)-V216,5)))))</f>
        <v>0</v>
      </c>
      <c r="N217" s="245" t="str">
        <f t="shared" si="23"/>
        <v xml:space="preserve"> </v>
      </c>
      <c r="O217" s="245" t="str">
        <f t="shared" si="23"/>
        <v xml:space="preserve"> </v>
      </c>
      <c r="P217" s="245" t="str">
        <f t="shared" si="23"/>
        <v xml:space="preserve"> </v>
      </c>
      <c r="Q217" s="245" t="str">
        <f t="shared" si="23"/>
        <v xml:space="preserve"> </v>
      </c>
      <c r="R217" s="245" t="str">
        <f t="shared" si="23"/>
        <v xml:space="preserve"> </v>
      </c>
      <c r="S217" s="245" t="str">
        <f t="shared" si="23"/>
        <v xml:space="preserve"> </v>
      </c>
      <c r="T217" s="245" t="str">
        <f t="shared" si="23"/>
        <v xml:space="preserve"> </v>
      </c>
      <c r="U217" s="245" t="str">
        <f t="shared" si="23"/>
        <v xml:space="preserve"> </v>
      </c>
      <c r="V217" s="208">
        <f>SUM($N$10:$U217)</f>
        <v>0</v>
      </c>
      <c r="W217" s="208">
        <f>VLOOKUP(V217,Calcs!$Q$4:$R$24,2,TRUE)</f>
        <v>0</v>
      </c>
      <c r="X217" s="435" t="str">
        <f t="shared" si="26"/>
        <v>No</v>
      </c>
      <c r="Y217" s="436"/>
      <c r="Z217" s="435">
        <f t="shared" si="27"/>
        <v>0</v>
      </c>
      <c r="AA217" s="245" t="str">
        <f>IF(AND(X217="Yes",NOT(ISBLANK(Z217))),VLOOKUP(Z217,Calcs!$Y$48:$Z$57,2,TRUE)," ")</f>
        <v xml:space="preserve"> </v>
      </c>
    </row>
    <row r="218" spans="1:27" x14ac:dyDescent="0.2">
      <c r="A218" s="425">
        <f t="shared" si="28"/>
        <v>244</v>
      </c>
      <c r="B218" s="425" t="str">
        <f t="shared" si="24"/>
        <v>Winter</v>
      </c>
      <c r="C218" s="247">
        <f>IF(B218="Winter",A218-('Start Character'!$K$6)-1,IF('Start Character'!$K$7&gt;6,A218-('Start Character'!$K$6)-1,A218-('Start Character'!$K$6)))</f>
        <v>243</v>
      </c>
      <c r="D218" s="247">
        <f t="shared" si="25"/>
        <v>243</v>
      </c>
      <c r="E218" s="246"/>
      <c r="F218" s="83"/>
      <c r="G218" s="83"/>
      <c r="H218" s="246"/>
      <c r="I218" s="433"/>
      <c r="J218" s="254">
        <f>IF(ISBLANK(I218),0,ROUNDUP(D218/10,0)-E218-H218-F218-G218+VLOOKUP($D$2,Calcs!$A$23:$B$27,2,FALSE)+I218)</f>
        <v>0</v>
      </c>
      <c r="K218" s="245" t="str">
        <f>IF(ISBLANK(I218)," ",VLOOKUP(J218,Calcs!$A$82:$H$106,2,TRUE))</f>
        <v xml:space="preserve"> </v>
      </c>
      <c r="L218" s="245">
        <f>IF(ISBLANK(I218),0,VLOOKUP(J218,Calcs!$A$82:$F$106,5,TRUE))</f>
        <v>0</v>
      </c>
      <c r="M218" s="208">
        <f>IF(J218=13,IF(ISNUMBER(W217),VLOOKUP(W217+1,Calcs!$O$4:$Q$24,3,TRUE)-V217,5),IF(J218&lt;10,0,IF(J218&lt;18,1,IF(J218&lt;22,2,IF(ISNUMBER(W217),VLOOKUP(W217+1,Calcs!$O$4:$Q$24,3,TRUE)-V217,5)))))</f>
        <v>0</v>
      </c>
      <c r="N218" s="245" t="str">
        <f t="shared" si="23"/>
        <v xml:space="preserve"> </v>
      </c>
      <c r="O218" s="245" t="str">
        <f t="shared" si="23"/>
        <v xml:space="preserve"> </v>
      </c>
      <c r="P218" s="245" t="str">
        <f t="shared" si="23"/>
        <v xml:space="preserve"> </v>
      </c>
      <c r="Q218" s="245" t="str">
        <f t="shared" si="23"/>
        <v xml:space="preserve"> </v>
      </c>
      <c r="R218" s="245" t="str">
        <f t="shared" si="23"/>
        <v xml:space="preserve"> </v>
      </c>
      <c r="S218" s="245" t="str">
        <f t="shared" si="23"/>
        <v xml:space="preserve"> </v>
      </c>
      <c r="T218" s="245" t="str">
        <f t="shared" si="23"/>
        <v xml:space="preserve"> </v>
      </c>
      <c r="U218" s="245" t="str">
        <f t="shared" si="23"/>
        <v xml:space="preserve"> </v>
      </c>
      <c r="V218" s="208">
        <f>SUM($N$10:$U218)</f>
        <v>0</v>
      </c>
      <c r="W218" s="208">
        <f>VLOOKUP(V218,Calcs!$Q$4:$R$24,2,TRUE)</f>
        <v>0</v>
      </c>
      <c r="X218" s="435" t="str">
        <f t="shared" si="26"/>
        <v>No</v>
      </c>
      <c r="Y218" s="436"/>
      <c r="Z218" s="435">
        <f t="shared" si="27"/>
        <v>0</v>
      </c>
      <c r="AA218" s="245" t="str">
        <f>IF(AND(X218="Yes",NOT(ISBLANK(Z218))),VLOOKUP(Z218,Calcs!$Y$48:$Z$57,2,TRUE)," ")</f>
        <v xml:space="preserve"> </v>
      </c>
    </row>
    <row r="219" spans="1:27" x14ac:dyDescent="0.2">
      <c r="A219" s="425">
        <f t="shared" si="28"/>
        <v>245</v>
      </c>
      <c r="B219" s="425" t="str">
        <f t="shared" si="24"/>
        <v>Winter</v>
      </c>
      <c r="C219" s="247">
        <f>IF(B219="Winter",A219-('Start Character'!$K$6)-1,IF('Start Character'!$K$7&gt;6,A219-('Start Character'!$K$6)-1,A219-('Start Character'!$K$6)))</f>
        <v>244</v>
      </c>
      <c r="D219" s="247">
        <f t="shared" si="25"/>
        <v>244</v>
      </c>
      <c r="E219" s="246"/>
      <c r="F219" s="83"/>
      <c r="G219" s="83"/>
      <c r="H219" s="246"/>
      <c r="I219" s="433"/>
      <c r="J219" s="254">
        <f>IF(ISBLANK(I219),0,ROUNDUP(D219/10,0)-E219-H219-F219-G219+VLOOKUP($D$2,Calcs!$A$23:$B$27,2,FALSE)+I219)</f>
        <v>0</v>
      </c>
      <c r="K219" s="245" t="str">
        <f>IF(ISBLANK(I219)," ",VLOOKUP(J219,Calcs!$A$82:$H$106,2,TRUE))</f>
        <v xml:space="preserve"> </v>
      </c>
      <c r="L219" s="245">
        <f>IF(ISBLANK(I219),0,VLOOKUP(J219,Calcs!$A$82:$F$106,5,TRUE))</f>
        <v>0</v>
      </c>
      <c r="M219" s="208">
        <f>IF(J219=13,IF(ISNUMBER(W218),VLOOKUP(W218+1,Calcs!$O$4:$Q$24,3,TRUE)-V218,5),IF(J219&lt;10,0,IF(J219&lt;18,1,IF(J219&lt;22,2,IF(ISNUMBER(W218),VLOOKUP(W218+1,Calcs!$O$4:$Q$24,3,TRUE)-V218,5)))))</f>
        <v>0</v>
      </c>
      <c r="N219" s="245" t="str">
        <f t="shared" si="23"/>
        <v xml:space="preserve"> </v>
      </c>
      <c r="O219" s="245" t="str">
        <f t="shared" si="23"/>
        <v xml:space="preserve"> </v>
      </c>
      <c r="P219" s="245" t="str">
        <f t="shared" si="23"/>
        <v xml:space="preserve"> </v>
      </c>
      <c r="Q219" s="245" t="str">
        <f t="shared" si="23"/>
        <v xml:space="preserve"> </v>
      </c>
      <c r="R219" s="245" t="str">
        <f t="shared" si="23"/>
        <v xml:space="preserve"> </v>
      </c>
      <c r="S219" s="245" t="str">
        <f t="shared" si="23"/>
        <v xml:space="preserve"> </v>
      </c>
      <c r="T219" s="245" t="str">
        <f t="shared" si="23"/>
        <v xml:space="preserve"> </v>
      </c>
      <c r="U219" s="245" t="str">
        <f t="shared" si="23"/>
        <v xml:space="preserve"> </v>
      </c>
      <c r="V219" s="208">
        <f>SUM($N$10:$U219)</f>
        <v>0</v>
      </c>
      <c r="W219" s="208">
        <f>VLOOKUP(V219,Calcs!$Q$4:$R$24,2,TRUE)</f>
        <v>0</v>
      </c>
      <c r="X219" s="435" t="str">
        <f t="shared" si="26"/>
        <v>No</v>
      </c>
      <c r="Y219" s="436"/>
      <c r="Z219" s="435">
        <f t="shared" si="27"/>
        <v>0</v>
      </c>
      <c r="AA219" s="245" t="str">
        <f>IF(AND(X219="Yes",NOT(ISBLANK(Z219))),VLOOKUP(Z219,Calcs!$Y$48:$Z$57,2,TRUE)," ")</f>
        <v xml:space="preserve"> </v>
      </c>
    </row>
    <row r="220" spans="1:27" x14ac:dyDescent="0.2">
      <c r="A220" s="425">
        <f t="shared" si="28"/>
        <v>246</v>
      </c>
      <c r="B220" s="425" t="str">
        <f t="shared" si="24"/>
        <v>Winter</v>
      </c>
      <c r="C220" s="247">
        <f>IF(B220="Winter",A220-('Start Character'!$K$6)-1,IF('Start Character'!$K$7&gt;6,A220-('Start Character'!$K$6)-1,A220-('Start Character'!$K$6)))</f>
        <v>245</v>
      </c>
      <c r="D220" s="247">
        <f t="shared" si="25"/>
        <v>245</v>
      </c>
      <c r="E220" s="246"/>
      <c r="F220" s="83"/>
      <c r="G220" s="83"/>
      <c r="H220" s="246"/>
      <c r="I220" s="433"/>
      <c r="J220" s="254">
        <f>IF(ISBLANK(I220),0,ROUNDUP(D220/10,0)-E220-H220-F220-G220+VLOOKUP($D$2,Calcs!$A$23:$B$27,2,FALSE)+I220)</f>
        <v>0</v>
      </c>
      <c r="K220" s="245" t="str">
        <f>IF(ISBLANK(I220)," ",VLOOKUP(J220,Calcs!$A$82:$H$106,2,TRUE))</f>
        <v xml:space="preserve"> </v>
      </c>
      <c r="L220" s="245">
        <f>IF(ISBLANK(I220),0,VLOOKUP(J220,Calcs!$A$82:$F$106,5,TRUE))</f>
        <v>0</v>
      </c>
      <c r="M220" s="208">
        <f>IF(J220=13,IF(ISNUMBER(W219),VLOOKUP(W219+1,Calcs!$O$4:$Q$24,3,TRUE)-V219,5),IF(J220&lt;10,0,IF(J220&lt;18,1,IF(J220&lt;22,2,IF(ISNUMBER(W219),VLOOKUP(W219+1,Calcs!$O$4:$Q$24,3,TRUE)-V219,5)))))</f>
        <v>0</v>
      </c>
      <c r="N220" s="245" t="str">
        <f t="shared" si="23"/>
        <v xml:space="preserve"> </v>
      </c>
      <c r="O220" s="245" t="str">
        <f t="shared" si="23"/>
        <v xml:space="preserve"> </v>
      </c>
      <c r="P220" s="245" t="str">
        <f t="shared" si="23"/>
        <v xml:space="preserve"> </v>
      </c>
      <c r="Q220" s="245" t="str">
        <f t="shared" si="23"/>
        <v xml:space="preserve"> </v>
      </c>
      <c r="R220" s="245" t="str">
        <f t="shared" si="23"/>
        <v xml:space="preserve"> </v>
      </c>
      <c r="S220" s="245" t="str">
        <f t="shared" si="23"/>
        <v xml:space="preserve"> </v>
      </c>
      <c r="T220" s="245" t="str">
        <f t="shared" si="23"/>
        <v xml:space="preserve"> </v>
      </c>
      <c r="U220" s="245" t="str">
        <f t="shared" si="23"/>
        <v xml:space="preserve"> </v>
      </c>
      <c r="V220" s="208">
        <f>SUM($N$10:$U220)</f>
        <v>0</v>
      </c>
      <c r="W220" s="208">
        <f>VLOOKUP(V220,Calcs!$Q$4:$R$24,2,TRUE)</f>
        <v>0</v>
      </c>
      <c r="X220" s="435" t="str">
        <f t="shared" si="26"/>
        <v>No</v>
      </c>
      <c r="Y220" s="436"/>
      <c r="Z220" s="435">
        <f t="shared" si="27"/>
        <v>0</v>
      </c>
      <c r="AA220" s="245" t="str">
        <f>IF(AND(X220="Yes",NOT(ISBLANK(Z220))),VLOOKUP(Z220,Calcs!$Y$48:$Z$57,2,TRUE)," ")</f>
        <v xml:space="preserve"> </v>
      </c>
    </row>
    <row r="221" spans="1:27" x14ac:dyDescent="0.2">
      <c r="A221" s="425">
        <f t="shared" si="28"/>
        <v>247</v>
      </c>
      <c r="B221" s="425" t="str">
        <f t="shared" si="24"/>
        <v>Winter</v>
      </c>
      <c r="C221" s="247">
        <f>IF(B221="Winter",A221-('Start Character'!$K$6)-1,IF('Start Character'!$K$7&gt;6,A221-('Start Character'!$K$6)-1,A221-('Start Character'!$K$6)))</f>
        <v>246</v>
      </c>
      <c r="D221" s="247">
        <f t="shared" si="25"/>
        <v>246</v>
      </c>
      <c r="E221" s="246"/>
      <c r="F221" s="83"/>
      <c r="G221" s="83"/>
      <c r="H221" s="246"/>
      <c r="I221" s="433"/>
      <c r="J221" s="254">
        <f>IF(ISBLANK(I221),0,ROUNDUP(D221/10,0)-E221-H221-F221-G221+VLOOKUP($D$2,Calcs!$A$23:$B$27,2,FALSE)+I221)</f>
        <v>0</v>
      </c>
      <c r="K221" s="245" t="str">
        <f>IF(ISBLANK(I221)," ",VLOOKUP(J221,Calcs!$A$82:$H$106,2,TRUE))</f>
        <v xml:space="preserve"> </v>
      </c>
      <c r="L221" s="245">
        <f>IF(ISBLANK(I221),0,VLOOKUP(J221,Calcs!$A$82:$F$106,5,TRUE))</f>
        <v>0</v>
      </c>
      <c r="M221" s="208">
        <f>IF(J221=13,IF(ISNUMBER(W220),VLOOKUP(W220+1,Calcs!$O$4:$Q$24,3,TRUE)-V220,5),IF(J221&lt;10,0,IF(J221&lt;18,1,IF(J221&lt;22,2,IF(ISNUMBER(W220),VLOOKUP(W220+1,Calcs!$O$4:$Q$24,3,TRUE)-V220,5)))))</f>
        <v>0</v>
      </c>
      <c r="N221" s="245" t="str">
        <f t="shared" si="23"/>
        <v xml:space="preserve"> </v>
      </c>
      <c r="O221" s="245" t="str">
        <f t="shared" si="23"/>
        <v xml:space="preserve"> </v>
      </c>
      <c r="P221" s="245" t="str">
        <f t="shared" si="23"/>
        <v xml:space="preserve"> </v>
      </c>
      <c r="Q221" s="245" t="str">
        <f t="shared" si="23"/>
        <v xml:space="preserve"> </v>
      </c>
      <c r="R221" s="245" t="str">
        <f t="shared" si="23"/>
        <v xml:space="preserve"> </v>
      </c>
      <c r="S221" s="245" t="str">
        <f t="shared" si="23"/>
        <v xml:space="preserve"> </v>
      </c>
      <c r="T221" s="245" t="str">
        <f t="shared" si="23"/>
        <v xml:space="preserve"> </v>
      </c>
      <c r="U221" s="245" t="str">
        <f t="shared" si="23"/>
        <v xml:space="preserve"> </v>
      </c>
      <c r="V221" s="208">
        <f>SUM($N$10:$U221)</f>
        <v>0</v>
      </c>
      <c r="W221" s="208">
        <f>VLOOKUP(V221,Calcs!$Q$4:$R$24,2,TRUE)</f>
        <v>0</v>
      </c>
      <c r="X221" s="435" t="str">
        <f t="shared" si="26"/>
        <v>No</v>
      </c>
      <c r="Y221" s="436"/>
      <c r="Z221" s="435">
        <f t="shared" si="27"/>
        <v>0</v>
      </c>
      <c r="AA221" s="245" t="str">
        <f>IF(AND(X221="Yes",NOT(ISBLANK(Z221))),VLOOKUP(Z221,Calcs!$Y$48:$Z$57,2,TRUE)," ")</f>
        <v xml:space="preserve"> </v>
      </c>
    </row>
    <row r="222" spans="1:27" x14ac:dyDescent="0.2">
      <c r="A222" s="425">
        <f t="shared" si="28"/>
        <v>248</v>
      </c>
      <c r="B222" s="425" t="str">
        <f t="shared" si="24"/>
        <v>Winter</v>
      </c>
      <c r="C222" s="247">
        <f>IF(B222="Winter",A222-('Start Character'!$K$6)-1,IF('Start Character'!$K$7&gt;6,A222-('Start Character'!$K$6)-1,A222-('Start Character'!$K$6)))</f>
        <v>247</v>
      </c>
      <c r="D222" s="247">
        <f t="shared" si="25"/>
        <v>247</v>
      </c>
      <c r="E222" s="246"/>
      <c r="F222" s="83"/>
      <c r="G222" s="83"/>
      <c r="H222" s="246"/>
      <c r="I222" s="433"/>
      <c r="J222" s="254">
        <f>IF(ISBLANK(I222),0,ROUNDUP(D222/10,0)-E222-H222-F222-G222+VLOOKUP($D$2,Calcs!$A$23:$B$27,2,FALSE)+I222)</f>
        <v>0</v>
      </c>
      <c r="K222" s="245" t="str">
        <f>IF(ISBLANK(I222)," ",VLOOKUP(J222,Calcs!$A$82:$H$106,2,TRUE))</f>
        <v xml:space="preserve"> </v>
      </c>
      <c r="L222" s="245">
        <f>IF(ISBLANK(I222),0,VLOOKUP(J222,Calcs!$A$82:$F$106,5,TRUE))</f>
        <v>0</v>
      </c>
      <c r="M222" s="208">
        <f>IF(J222=13,IF(ISNUMBER(W221),VLOOKUP(W221+1,Calcs!$O$4:$Q$24,3,TRUE)-V221,5),IF(J222&lt;10,0,IF(J222&lt;18,1,IF(J222&lt;22,2,IF(ISNUMBER(W221),VLOOKUP(W221+1,Calcs!$O$4:$Q$24,3,TRUE)-V221,5)))))</f>
        <v>0</v>
      </c>
      <c r="N222" s="245" t="str">
        <f t="shared" si="23"/>
        <v xml:space="preserve"> </v>
      </c>
      <c r="O222" s="245" t="str">
        <f t="shared" si="23"/>
        <v xml:space="preserve"> </v>
      </c>
      <c r="P222" s="245" t="str">
        <f t="shared" si="23"/>
        <v xml:space="preserve"> </v>
      </c>
      <c r="Q222" s="245" t="str">
        <f t="shared" si="23"/>
        <v xml:space="preserve"> </v>
      </c>
      <c r="R222" s="245" t="str">
        <f t="shared" si="23"/>
        <v xml:space="preserve"> </v>
      </c>
      <c r="S222" s="245" t="str">
        <f t="shared" si="23"/>
        <v xml:space="preserve"> </v>
      </c>
      <c r="T222" s="245" t="str">
        <f t="shared" si="23"/>
        <v xml:space="preserve"> </v>
      </c>
      <c r="U222" s="245" t="str">
        <f t="shared" si="23"/>
        <v xml:space="preserve"> </v>
      </c>
      <c r="V222" s="208">
        <f>SUM($N$10:$U222)</f>
        <v>0</v>
      </c>
      <c r="W222" s="208">
        <f>VLOOKUP(V222,Calcs!$Q$4:$R$24,2,TRUE)</f>
        <v>0</v>
      </c>
      <c r="X222" s="435" t="str">
        <f t="shared" si="26"/>
        <v>No</v>
      </c>
      <c r="Y222" s="436"/>
      <c r="Z222" s="435">
        <f t="shared" si="27"/>
        <v>0</v>
      </c>
      <c r="AA222" s="245" t="str">
        <f>IF(AND(X222="Yes",NOT(ISBLANK(Z222))),VLOOKUP(Z222,Calcs!$Y$48:$Z$57,2,TRUE)," ")</f>
        <v xml:space="preserve"> </v>
      </c>
    </row>
    <row r="223" spans="1:27" x14ac:dyDescent="0.2">
      <c r="A223" s="425">
        <f t="shared" si="28"/>
        <v>249</v>
      </c>
      <c r="B223" s="425" t="str">
        <f t="shared" si="24"/>
        <v>Winter</v>
      </c>
      <c r="C223" s="247">
        <f>IF(B223="Winter",A223-('Start Character'!$K$6)-1,IF('Start Character'!$K$7&gt;6,A223-('Start Character'!$K$6)-1,A223-('Start Character'!$K$6)))</f>
        <v>248</v>
      </c>
      <c r="D223" s="247">
        <f t="shared" si="25"/>
        <v>248</v>
      </c>
      <c r="E223" s="246"/>
      <c r="F223" s="83"/>
      <c r="G223" s="83"/>
      <c r="H223" s="246"/>
      <c r="I223" s="433"/>
      <c r="J223" s="254">
        <f>IF(ISBLANK(I223),0,ROUNDUP(D223/10,0)-E223-H223-F223-G223+VLOOKUP($D$2,Calcs!$A$23:$B$27,2,FALSE)+I223)</f>
        <v>0</v>
      </c>
      <c r="K223" s="245" t="str">
        <f>IF(ISBLANK(I223)," ",VLOOKUP(J223,Calcs!$A$82:$H$106,2,TRUE))</f>
        <v xml:space="preserve"> </v>
      </c>
      <c r="L223" s="245">
        <f>IF(ISBLANK(I223),0,VLOOKUP(J223,Calcs!$A$82:$F$106,5,TRUE))</f>
        <v>0</v>
      </c>
      <c r="M223" s="208">
        <f>IF(J223=13,IF(ISNUMBER(W222),VLOOKUP(W222+1,Calcs!$O$4:$Q$24,3,TRUE)-V222,5),IF(J223&lt;10,0,IF(J223&lt;18,1,IF(J223&lt;22,2,IF(ISNUMBER(W222),VLOOKUP(W222+1,Calcs!$O$4:$Q$24,3,TRUE)-V222,5)))))</f>
        <v>0</v>
      </c>
      <c r="N223" s="245" t="str">
        <f t="shared" si="23"/>
        <v xml:space="preserve"> </v>
      </c>
      <c r="O223" s="245" t="str">
        <f t="shared" si="23"/>
        <v xml:space="preserve"> </v>
      </c>
      <c r="P223" s="245" t="str">
        <f t="shared" si="23"/>
        <v xml:space="preserve"> </v>
      </c>
      <c r="Q223" s="245" t="str">
        <f t="shared" si="23"/>
        <v xml:space="preserve"> </v>
      </c>
      <c r="R223" s="245" t="str">
        <f t="shared" si="23"/>
        <v xml:space="preserve"> </v>
      </c>
      <c r="S223" s="245" t="str">
        <f t="shared" si="23"/>
        <v xml:space="preserve"> </v>
      </c>
      <c r="T223" s="245" t="str">
        <f t="shared" si="23"/>
        <v xml:space="preserve"> </v>
      </c>
      <c r="U223" s="245" t="str">
        <f t="shared" si="23"/>
        <v xml:space="preserve"> </v>
      </c>
      <c r="V223" s="208">
        <f>SUM($N$10:$U223)</f>
        <v>0</v>
      </c>
      <c r="W223" s="208">
        <f>VLOOKUP(V223,Calcs!$Q$4:$R$24,2,TRUE)</f>
        <v>0</v>
      </c>
      <c r="X223" s="435" t="str">
        <f t="shared" si="26"/>
        <v>No</v>
      </c>
      <c r="Y223" s="436"/>
      <c r="Z223" s="435">
        <f t="shared" si="27"/>
        <v>0</v>
      </c>
      <c r="AA223" s="245" t="str">
        <f>IF(AND(X223="Yes",NOT(ISBLANK(Z223))),VLOOKUP(Z223,Calcs!$Y$48:$Z$57,2,TRUE)," ")</f>
        <v xml:space="preserve"> </v>
      </c>
    </row>
    <row r="224" spans="1:27" x14ac:dyDescent="0.2">
      <c r="A224" s="425">
        <f t="shared" si="28"/>
        <v>250</v>
      </c>
      <c r="B224" s="425" t="str">
        <f t="shared" si="24"/>
        <v>Winter</v>
      </c>
      <c r="C224" s="247">
        <f>IF(B224="Winter",A224-('Start Character'!$K$6)-1,IF('Start Character'!$K$7&gt;6,A224-('Start Character'!$K$6)-1,A224-('Start Character'!$K$6)))</f>
        <v>249</v>
      </c>
      <c r="D224" s="247">
        <f t="shared" si="25"/>
        <v>249</v>
      </c>
      <c r="E224" s="246"/>
      <c r="F224" s="83"/>
      <c r="G224" s="83"/>
      <c r="H224" s="246"/>
      <c r="I224" s="433"/>
      <c r="J224" s="254">
        <f>IF(ISBLANK(I224),0,ROUNDUP(D224/10,0)-E224-H224-F224-G224+VLOOKUP($D$2,Calcs!$A$23:$B$27,2,FALSE)+I224)</f>
        <v>0</v>
      </c>
      <c r="K224" s="245" t="str">
        <f>IF(ISBLANK(I224)," ",VLOOKUP(J224,Calcs!$A$82:$H$106,2,TRUE))</f>
        <v xml:space="preserve"> </v>
      </c>
      <c r="L224" s="245">
        <f>IF(ISBLANK(I224),0,VLOOKUP(J224,Calcs!$A$82:$F$106,5,TRUE))</f>
        <v>0</v>
      </c>
      <c r="M224" s="208">
        <f>IF(J224=13,IF(ISNUMBER(W223),VLOOKUP(W223+1,Calcs!$O$4:$Q$24,3,TRUE)-V223,5),IF(J224&lt;10,0,IF(J224&lt;18,1,IF(J224&lt;22,2,IF(ISNUMBER(W223),VLOOKUP(W223+1,Calcs!$O$4:$Q$24,3,TRUE)-V223,5)))))</f>
        <v>0</v>
      </c>
      <c r="N224" s="245" t="str">
        <f t="shared" si="23"/>
        <v xml:space="preserve"> </v>
      </c>
      <c r="O224" s="245" t="str">
        <f t="shared" si="23"/>
        <v xml:space="preserve"> </v>
      </c>
      <c r="P224" s="245" t="str">
        <f t="shared" si="23"/>
        <v xml:space="preserve"> </v>
      </c>
      <c r="Q224" s="245" t="str">
        <f t="shared" si="23"/>
        <v xml:space="preserve"> </v>
      </c>
      <c r="R224" s="245" t="str">
        <f t="shared" si="23"/>
        <v xml:space="preserve"> </v>
      </c>
      <c r="S224" s="245" t="str">
        <f t="shared" si="23"/>
        <v xml:space="preserve"> </v>
      </c>
      <c r="T224" s="245" t="str">
        <f t="shared" si="23"/>
        <v xml:space="preserve"> </v>
      </c>
      <c r="U224" s="245" t="str">
        <f t="shared" si="23"/>
        <v xml:space="preserve"> </v>
      </c>
      <c r="V224" s="208">
        <f>SUM($N$10:$U224)</f>
        <v>0</v>
      </c>
      <c r="W224" s="208">
        <f>VLOOKUP(V224,Calcs!$Q$4:$R$24,2,TRUE)</f>
        <v>0</v>
      </c>
      <c r="X224" s="435" t="str">
        <f t="shared" si="26"/>
        <v>No</v>
      </c>
      <c r="Y224" s="436"/>
      <c r="Z224" s="435">
        <f t="shared" si="27"/>
        <v>0</v>
      </c>
      <c r="AA224" s="245" t="str">
        <f>IF(AND(X224="Yes",NOT(ISBLANK(Z224))),VLOOKUP(Z224,Calcs!$Y$48:$Z$57,2,TRUE)," ")</f>
        <v xml:space="preserve"> </v>
      </c>
    </row>
    <row r="225" spans="1:27" x14ac:dyDescent="0.2">
      <c r="A225" s="425">
        <f t="shared" si="28"/>
        <v>251</v>
      </c>
      <c r="B225" s="425" t="str">
        <f t="shared" si="24"/>
        <v>Winter</v>
      </c>
      <c r="C225" s="247">
        <f>IF(B225="Winter",A225-('Start Character'!$K$6)-1,IF('Start Character'!$K$7&gt;6,A225-('Start Character'!$K$6)-1,A225-('Start Character'!$K$6)))</f>
        <v>250</v>
      </c>
      <c r="D225" s="247">
        <f t="shared" si="25"/>
        <v>250</v>
      </c>
      <c r="E225" s="246"/>
      <c r="F225" s="83"/>
      <c r="G225" s="83"/>
      <c r="H225" s="246"/>
      <c r="I225" s="433"/>
      <c r="J225" s="254">
        <f>IF(ISBLANK(I225),0,ROUNDUP(D225/10,0)-E225-H225-F225-G225+VLOOKUP($D$2,Calcs!$A$23:$B$27,2,FALSE)+I225)</f>
        <v>0</v>
      </c>
      <c r="K225" s="245" t="str">
        <f>IF(ISBLANK(I225)," ",VLOOKUP(J225,Calcs!$A$82:$H$106,2,TRUE))</f>
        <v xml:space="preserve"> </v>
      </c>
      <c r="L225" s="245">
        <f>IF(ISBLANK(I225),0,VLOOKUP(J225,Calcs!$A$82:$F$106,5,TRUE))</f>
        <v>0</v>
      </c>
      <c r="M225" s="208">
        <f>IF(J225=13,IF(ISNUMBER(W224),VLOOKUP(W224+1,Calcs!$O$4:$Q$24,3,TRUE)-V224,5),IF(J225&lt;10,0,IF(J225&lt;18,1,IF(J225&lt;22,2,IF(ISNUMBER(W224),VLOOKUP(W224+1,Calcs!$O$4:$Q$24,3,TRUE)-V224,5)))))</f>
        <v>0</v>
      </c>
      <c r="N225" s="245" t="str">
        <f t="shared" si="23"/>
        <v xml:space="preserve"> </v>
      </c>
      <c r="O225" s="245" t="str">
        <f t="shared" si="23"/>
        <v xml:space="preserve"> </v>
      </c>
      <c r="P225" s="245" t="str">
        <f t="shared" ref="N225:U257" si="29">IF(ISERROR(FIND(P$9,$K225))," ",1)</f>
        <v xml:space="preserve"> </v>
      </c>
      <c r="Q225" s="245" t="str">
        <f t="shared" si="29"/>
        <v xml:space="preserve"> </v>
      </c>
      <c r="R225" s="245" t="str">
        <f t="shared" si="29"/>
        <v xml:space="preserve"> </v>
      </c>
      <c r="S225" s="245" t="str">
        <f t="shared" si="29"/>
        <v xml:space="preserve"> </v>
      </c>
      <c r="T225" s="245" t="str">
        <f t="shared" si="29"/>
        <v xml:space="preserve"> </v>
      </c>
      <c r="U225" s="245" t="str">
        <f t="shared" si="29"/>
        <v xml:space="preserve"> </v>
      </c>
      <c r="V225" s="208">
        <f>SUM($N$10:$U225)</f>
        <v>0</v>
      </c>
      <c r="W225" s="208">
        <f>VLOOKUP(V225,Calcs!$Q$4:$R$24,2,TRUE)</f>
        <v>0</v>
      </c>
      <c r="X225" s="435" t="str">
        <f t="shared" si="26"/>
        <v>No</v>
      </c>
      <c r="Y225" s="436"/>
      <c r="Z225" s="435">
        <f t="shared" si="27"/>
        <v>0</v>
      </c>
      <c r="AA225" s="245" t="str">
        <f>IF(AND(X225="Yes",NOT(ISBLANK(Z225))),VLOOKUP(Z225,Calcs!$Y$48:$Z$57,2,TRUE)," ")</f>
        <v xml:space="preserve"> </v>
      </c>
    </row>
    <row r="226" spans="1:27" x14ac:dyDescent="0.2">
      <c r="A226" s="425">
        <f t="shared" si="28"/>
        <v>252</v>
      </c>
      <c r="B226" s="425" t="str">
        <f t="shared" si="24"/>
        <v>Winter</v>
      </c>
      <c r="C226" s="247">
        <f>IF(B226="Winter",A226-('Start Character'!$K$6)-1,IF('Start Character'!$K$7&gt;6,A226-('Start Character'!$K$6)-1,A226-('Start Character'!$K$6)))</f>
        <v>251</v>
      </c>
      <c r="D226" s="247">
        <f t="shared" si="25"/>
        <v>251</v>
      </c>
      <c r="E226" s="246"/>
      <c r="F226" s="83"/>
      <c r="G226" s="83"/>
      <c r="H226" s="246"/>
      <c r="I226" s="433"/>
      <c r="J226" s="254">
        <f>IF(ISBLANK(I226),0,ROUNDUP(D226/10,0)-E226-H226-F226-G226+VLOOKUP($D$2,Calcs!$A$23:$B$27,2,FALSE)+I226)</f>
        <v>0</v>
      </c>
      <c r="K226" s="245" t="str">
        <f>IF(ISBLANK(I226)," ",VLOOKUP(J226,Calcs!$A$82:$H$106,2,TRUE))</f>
        <v xml:space="preserve"> </v>
      </c>
      <c r="L226" s="245">
        <f>IF(ISBLANK(I226),0,VLOOKUP(J226,Calcs!$A$82:$F$106,5,TRUE))</f>
        <v>0</v>
      </c>
      <c r="M226" s="208">
        <f>IF(J226=13,IF(ISNUMBER(W225),VLOOKUP(W225+1,Calcs!$O$4:$Q$24,3,TRUE)-V225,5),IF(J226&lt;10,0,IF(J226&lt;18,1,IF(J226&lt;22,2,IF(ISNUMBER(W225),VLOOKUP(W225+1,Calcs!$O$4:$Q$24,3,TRUE)-V225,5)))))</f>
        <v>0</v>
      </c>
      <c r="N226" s="245" t="str">
        <f t="shared" si="29"/>
        <v xml:space="preserve"> </v>
      </c>
      <c r="O226" s="245" t="str">
        <f t="shared" si="29"/>
        <v xml:space="preserve"> </v>
      </c>
      <c r="P226" s="245" t="str">
        <f t="shared" si="29"/>
        <v xml:space="preserve"> </v>
      </c>
      <c r="Q226" s="245" t="str">
        <f t="shared" si="29"/>
        <v xml:space="preserve"> </v>
      </c>
      <c r="R226" s="245" t="str">
        <f t="shared" si="29"/>
        <v xml:space="preserve"> </v>
      </c>
      <c r="S226" s="245" t="str">
        <f t="shared" si="29"/>
        <v xml:space="preserve"> </v>
      </c>
      <c r="T226" s="245" t="str">
        <f t="shared" si="29"/>
        <v xml:space="preserve"> </v>
      </c>
      <c r="U226" s="245" t="str">
        <f t="shared" si="29"/>
        <v xml:space="preserve"> </v>
      </c>
      <c r="V226" s="208">
        <f>SUM($N$10:$U226)</f>
        <v>0</v>
      </c>
      <c r="W226" s="208">
        <f>VLOOKUP(V226,Calcs!$Q$4:$R$24,2,TRUE)</f>
        <v>0</v>
      </c>
      <c r="X226" s="435" t="str">
        <f t="shared" si="26"/>
        <v>No</v>
      </c>
      <c r="Y226" s="436"/>
      <c r="Z226" s="435">
        <f t="shared" si="27"/>
        <v>0</v>
      </c>
      <c r="AA226" s="245" t="str">
        <f>IF(AND(X226="Yes",NOT(ISBLANK(Z226))),VLOOKUP(Z226,Calcs!$Y$48:$Z$57,2,TRUE)," ")</f>
        <v xml:space="preserve"> </v>
      </c>
    </row>
    <row r="227" spans="1:27" x14ac:dyDescent="0.2">
      <c r="A227" s="425">
        <f t="shared" si="28"/>
        <v>253</v>
      </c>
      <c r="B227" s="425" t="str">
        <f t="shared" si="24"/>
        <v>Winter</v>
      </c>
      <c r="C227" s="247">
        <f>IF(B227="Winter",A227-('Start Character'!$K$6)-1,IF('Start Character'!$K$7&gt;6,A227-('Start Character'!$K$6)-1,A227-('Start Character'!$K$6)))</f>
        <v>252</v>
      </c>
      <c r="D227" s="247">
        <f t="shared" si="25"/>
        <v>252</v>
      </c>
      <c r="E227" s="246"/>
      <c r="F227" s="83"/>
      <c r="G227" s="83"/>
      <c r="H227" s="246"/>
      <c r="I227" s="433"/>
      <c r="J227" s="254">
        <f>IF(ISBLANK(I227),0,ROUNDUP(D227/10,0)-E227-H227-F227-G227+VLOOKUP($D$2,Calcs!$A$23:$B$27,2,FALSE)+I227)</f>
        <v>0</v>
      </c>
      <c r="K227" s="245" t="str">
        <f>IF(ISBLANK(I227)," ",VLOOKUP(J227,Calcs!$A$82:$H$106,2,TRUE))</f>
        <v xml:space="preserve"> </v>
      </c>
      <c r="L227" s="245">
        <f>IF(ISBLANK(I227),0,VLOOKUP(J227,Calcs!$A$82:$F$106,5,TRUE))</f>
        <v>0</v>
      </c>
      <c r="M227" s="208">
        <f>IF(J227=13,IF(ISNUMBER(W226),VLOOKUP(W226+1,Calcs!$O$4:$Q$24,3,TRUE)-V226,5),IF(J227&lt;10,0,IF(J227&lt;18,1,IF(J227&lt;22,2,IF(ISNUMBER(W226),VLOOKUP(W226+1,Calcs!$O$4:$Q$24,3,TRUE)-V226,5)))))</f>
        <v>0</v>
      </c>
      <c r="N227" s="245" t="str">
        <f t="shared" si="29"/>
        <v xml:space="preserve"> </v>
      </c>
      <c r="O227" s="245" t="str">
        <f t="shared" si="29"/>
        <v xml:space="preserve"> </v>
      </c>
      <c r="P227" s="245" t="str">
        <f t="shared" si="29"/>
        <v xml:space="preserve"> </v>
      </c>
      <c r="Q227" s="245" t="str">
        <f t="shared" si="29"/>
        <v xml:space="preserve"> </v>
      </c>
      <c r="R227" s="245" t="str">
        <f t="shared" si="29"/>
        <v xml:space="preserve"> </v>
      </c>
      <c r="S227" s="245" t="str">
        <f t="shared" si="29"/>
        <v xml:space="preserve"> </v>
      </c>
      <c r="T227" s="245" t="str">
        <f t="shared" si="29"/>
        <v xml:space="preserve"> </v>
      </c>
      <c r="U227" s="245" t="str">
        <f t="shared" si="29"/>
        <v xml:space="preserve"> </v>
      </c>
      <c r="V227" s="208">
        <f>SUM($N$10:$U227)</f>
        <v>0</v>
      </c>
      <c r="W227" s="208">
        <f>VLOOKUP(V227,Calcs!$Q$4:$R$24,2,TRUE)</f>
        <v>0</v>
      </c>
      <c r="X227" s="435" t="str">
        <f t="shared" si="26"/>
        <v>No</v>
      </c>
      <c r="Y227" s="436"/>
      <c r="Z227" s="435">
        <f t="shared" si="27"/>
        <v>0</v>
      </c>
      <c r="AA227" s="245" t="str">
        <f>IF(AND(X227="Yes",NOT(ISBLANK(Z227))),VLOOKUP(Z227,Calcs!$Y$48:$Z$57,2,TRUE)," ")</f>
        <v xml:space="preserve"> </v>
      </c>
    </row>
    <row r="228" spans="1:27" x14ac:dyDescent="0.2">
      <c r="A228" s="425">
        <f t="shared" si="28"/>
        <v>254</v>
      </c>
      <c r="B228" s="425" t="str">
        <f t="shared" si="24"/>
        <v>Winter</v>
      </c>
      <c r="C228" s="247">
        <f>IF(B228="Winter",A228-('Start Character'!$K$6)-1,IF('Start Character'!$K$7&gt;6,A228-('Start Character'!$K$6)-1,A228-('Start Character'!$K$6)))</f>
        <v>253</v>
      </c>
      <c r="D228" s="247">
        <f t="shared" si="25"/>
        <v>253</v>
      </c>
      <c r="E228" s="246"/>
      <c r="F228" s="83"/>
      <c r="G228" s="83"/>
      <c r="H228" s="246"/>
      <c r="I228" s="433"/>
      <c r="J228" s="254">
        <f>IF(ISBLANK(I228),0,ROUNDUP(D228/10,0)-E228-H228-F228-G228+VLOOKUP($D$2,Calcs!$A$23:$B$27,2,FALSE)+I228)</f>
        <v>0</v>
      </c>
      <c r="K228" s="245" t="str">
        <f>IF(ISBLANK(I228)," ",VLOOKUP(J228,Calcs!$A$82:$H$106,2,TRUE))</f>
        <v xml:space="preserve"> </v>
      </c>
      <c r="L228" s="245">
        <f>IF(ISBLANK(I228),0,VLOOKUP(J228,Calcs!$A$82:$F$106,5,TRUE))</f>
        <v>0</v>
      </c>
      <c r="M228" s="208">
        <f>IF(J228=13,IF(ISNUMBER(W227),VLOOKUP(W227+1,Calcs!$O$4:$Q$24,3,TRUE)-V227,5),IF(J228&lt;10,0,IF(J228&lt;18,1,IF(J228&lt;22,2,IF(ISNUMBER(W227),VLOOKUP(W227+1,Calcs!$O$4:$Q$24,3,TRUE)-V227,5)))))</f>
        <v>0</v>
      </c>
      <c r="N228" s="245" t="str">
        <f t="shared" si="29"/>
        <v xml:space="preserve"> </v>
      </c>
      <c r="O228" s="245" t="str">
        <f t="shared" si="29"/>
        <v xml:space="preserve"> </v>
      </c>
      <c r="P228" s="245" t="str">
        <f t="shared" si="29"/>
        <v xml:space="preserve"> </v>
      </c>
      <c r="Q228" s="245" t="str">
        <f t="shared" si="29"/>
        <v xml:space="preserve"> </v>
      </c>
      <c r="R228" s="245" t="str">
        <f t="shared" si="29"/>
        <v xml:space="preserve"> </v>
      </c>
      <c r="S228" s="245" t="str">
        <f t="shared" si="29"/>
        <v xml:space="preserve"> </v>
      </c>
      <c r="T228" s="245" t="str">
        <f t="shared" si="29"/>
        <v xml:space="preserve"> </v>
      </c>
      <c r="U228" s="245" t="str">
        <f t="shared" si="29"/>
        <v xml:space="preserve"> </v>
      </c>
      <c r="V228" s="208">
        <f>SUM($N$10:$U228)</f>
        <v>0</v>
      </c>
      <c r="W228" s="208">
        <f>VLOOKUP(V228,Calcs!$Q$4:$R$24,2,TRUE)</f>
        <v>0</v>
      </c>
      <c r="X228" s="435" t="str">
        <f t="shared" si="26"/>
        <v>No</v>
      </c>
      <c r="Y228" s="436"/>
      <c r="Z228" s="435">
        <f t="shared" si="27"/>
        <v>0</v>
      </c>
      <c r="AA228" s="245" t="str">
        <f>IF(AND(X228="Yes",NOT(ISBLANK(Z228))),VLOOKUP(Z228,Calcs!$Y$48:$Z$57,2,TRUE)," ")</f>
        <v xml:space="preserve"> </v>
      </c>
    </row>
    <row r="229" spans="1:27" x14ac:dyDescent="0.2">
      <c r="A229" s="425">
        <f t="shared" si="28"/>
        <v>255</v>
      </c>
      <c r="B229" s="425" t="str">
        <f t="shared" si="24"/>
        <v>Winter</v>
      </c>
      <c r="C229" s="247">
        <f>IF(B229="Winter",A229-('Start Character'!$K$6)-1,IF('Start Character'!$K$7&gt;6,A229-('Start Character'!$K$6)-1,A229-('Start Character'!$K$6)))</f>
        <v>254</v>
      </c>
      <c r="D229" s="247">
        <f t="shared" si="25"/>
        <v>254</v>
      </c>
      <c r="E229" s="246"/>
      <c r="F229" s="83"/>
      <c r="G229" s="83"/>
      <c r="H229" s="246"/>
      <c r="I229" s="433"/>
      <c r="J229" s="254">
        <f>IF(ISBLANK(I229),0,ROUNDUP(D229/10,0)-E229-H229-F229-G229+VLOOKUP($D$2,Calcs!$A$23:$B$27,2,FALSE)+I229)</f>
        <v>0</v>
      </c>
      <c r="K229" s="245" t="str">
        <f>IF(ISBLANK(I229)," ",VLOOKUP(J229,Calcs!$A$82:$H$106,2,TRUE))</f>
        <v xml:space="preserve"> </v>
      </c>
      <c r="L229" s="245">
        <f>IF(ISBLANK(I229),0,VLOOKUP(J229,Calcs!$A$82:$F$106,5,TRUE))</f>
        <v>0</v>
      </c>
      <c r="M229" s="208">
        <f>IF(J229=13,IF(ISNUMBER(W228),VLOOKUP(W228+1,Calcs!$O$4:$Q$24,3,TRUE)-V228,5),IF(J229&lt;10,0,IF(J229&lt;18,1,IF(J229&lt;22,2,IF(ISNUMBER(W228),VLOOKUP(W228+1,Calcs!$O$4:$Q$24,3,TRUE)-V228,5)))))</f>
        <v>0</v>
      </c>
      <c r="N229" s="245" t="str">
        <f t="shared" si="29"/>
        <v xml:space="preserve"> </v>
      </c>
      <c r="O229" s="245" t="str">
        <f t="shared" si="29"/>
        <v xml:space="preserve"> </v>
      </c>
      <c r="P229" s="245" t="str">
        <f t="shared" si="29"/>
        <v xml:space="preserve"> </v>
      </c>
      <c r="Q229" s="245" t="str">
        <f t="shared" si="29"/>
        <v xml:space="preserve"> </v>
      </c>
      <c r="R229" s="245" t="str">
        <f t="shared" si="29"/>
        <v xml:space="preserve"> </v>
      </c>
      <c r="S229" s="245" t="str">
        <f t="shared" si="29"/>
        <v xml:space="preserve"> </v>
      </c>
      <c r="T229" s="245" t="str">
        <f t="shared" si="29"/>
        <v xml:space="preserve"> </v>
      </c>
      <c r="U229" s="245" t="str">
        <f t="shared" si="29"/>
        <v xml:space="preserve"> </v>
      </c>
      <c r="V229" s="208">
        <f>SUM($N$10:$U229)</f>
        <v>0</v>
      </c>
      <c r="W229" s="208">
        <f>VLOOKUP(V229,Calcs!$Q$4:$R$24,2,TRUE)</f>
        <v>0</v>
      </c>
      <c r="X229" s="435" t="str">
        <f t="shared" si="26"/>
        <v>No</v>
      </c>
      <c r="Y229" s="436"/>
      <c r="Z229" s="435">
        <f t="shared" si="27"/>
        <v>0</v>
      </c>
      <c r="AA229" s="245" t="str">
        <f>IF(AND(X229="Yes",NOT(ISBLANK(Z229))),VLOOKUP(Z229,Calcs!$Y$48:$Z$57,2,TRUE)," ")</f>
        <v xml:space="preserve"> </v>
      </c>
    </row>
    <row r="230" spans="1:27" x14ac:dyDescent="0.2">
      <c r="A230" s="425">
        <f t="shared" si="28"/>
        <v>256</v>
      </c>
      <c r="B230" s="425" t="str">
        <f t="shared" si="24"/>
        <v>Winter</v>
      </c>
      <c r="C230" s="247">
        <f>IF(B230="Winter",A230-('Start Character'!$K$6)-1,IF('Start Character'!$K$7&gt;6,A230-('Start Character'!$K$6)-1,A230-('Start Character'!$K$6)))</f>
        <v>255</v>
      </c>
      <c r="D230" s="247">
        <f t="shared" si="25"/>
        <v>255</v>
      </c>
      <c r="E230" s="246"/>
      <c r="F230" s="83"/>
      <c r="G230" s="83"/>
      <c r="H230" s="246"/>
      <c r="I230" s="433"/>
      <c r="J230" s="254">
        <f>IF(ISBLANK(I230),0,ROUNDUP(D230/10,0)-E230-H230-F230-G230+VLOOKUP($D$2,Calcs!$A$23:$B$27,2,FALSE)+I230)</f>
        <v>0</v>
      </c>
      <c r="K230" s="245" t="str">
        <f>IF(ISBLANK(I230)," ",VLOOKUP(J230,Calcs!$A$82:$H$106,2,TRUE))</f>
        <v xml:space="preserve"> </v>
      </c>
      <c r="L230" s="245">
        <f>IF(ISBLANK(I230),0,VLOOKUP(J230,Calcs!$A$82:$F$106,5,TRUE))</f>
        <v>0</v>
      </c>
      <c r="M230" s="208">
        <f>IF(J230=13,IF(ISNUMBER(W229),VLOOKUP(W229+1,Calcs!$O$4:$Q$24,3,TRUE)-V229,5),IF(J230&lt;10,0,IF(J230&lt;18,1,IF(J230&lt;22,2,IF(ISNUMBER(W229),VLOOKUP(W229+1,Calcs!$O$4:$Q$24,3,TRUE)-V229,5)))))</f>
        <v>0</v>
      </c>
      <c r="N230" s="245" t="str">
        <f t="shared" si="29"/>
        <v xml:space="preserve"> </v>
      </c>
      <c r="O230" s="245" t="str">
        <f t="shared" si="29"/>
        <v xml:space="preserve"> </v>
      </c>
      <c r="P230" s="245" t="str">
        <f t="shared" si="29"/>
        <v xml:space="preserve"> </v>
      </c>
      <c r="Q230" s="245" t="str">
        <f t="shared" si="29"/>
        <v xml:space="preserve"> </v>
      </c>
      <c r="R230" s="245" t="str">
        <f t="shared" si="29"/>
        <v xml:space="preserve"> </v>
      </c>
      <c r="S230" s="245" t="str">
        <f t="shared" si="29"/>
        <v xml:space="preserve"> </v>
      </c>
      <c r="T230" s="245" t="str">
        <f t="shared" si="29"/>
        <v xml:space="preserve"> </v>
      </c>
      <c r="U230" s="245" t="str">
        <f t="shared" si="29"/>
        <v xml:space="preserve"> </v>
      </c>
      <c r="V230" s="208">
        <f>SUM($N$10:$U230)</f>
        <v>0</v>
      </c>
      <c r="W230" s="208">
        <f>VLOOKUP(V230,Calcs!$Q$4:$R$24,2,TRUE)</f>
        <v>0</v>
      </c>
      <c r="X230" s="435" t="str">
        <f t="shared" si="26"/>
        <v>No</v>
      </c>
      <c r="Y230" s="436"/>
      <c r="Z230" s="435">
        <f t="shared" si="27"/>
        <v>0</v>
      </c>
      <c r="AA230" s="245" t="str">
        <f>IF(AND(X230="Yes",NOT(ISBLANK(Z230))),VLOOKUP(Z230,Calcs!$Y$48:$Z$57,2,TRUE)," ")</f>
        <v xml:space="preserve"> </v>
      </c>
    </row>
    <row r="231" spans="1:27" x14ac:dyDescent="0.2">
      <c r="A231" s="425">
        <f t="shared" si="28"/>
        <v>257</v>
      </c>
      <c r="B231" s="425" t="str">
        <f t="shared" si="24"/>
        <v>Winter</v>
      </c>
      <c r="C231" s="247">
        <f>IF(B231="Winter",A231-('Start Character'!$K$6)-1,IF('Start Character'!$K$7&gt;6,A231-('Start Character'!$K$6)-1,A231-('Start Character'!$K$6)))</f>
        <v>256</v>
      </c>
      <c r="D231" s="247">
        <f t="shared" si="25"/>
        <v>256</v>
      </c>
      <c r="E231" s="246"/>
      <c r="F231" s="83"/>
      <c r="G231" s="83"/>
      <c r="H231" s="246"/>
      <c r="I231" s="433"/>
      <c r="J231" s="254">
        <f>IF(ISBLANK(I231),0,ROUNDUP(D231/10,0)-E231-H231-F231-G231+VLOOKUP($D$2,Calcs!$A$23:$B$27,2,FALSE)+I231)</f>
        <v>0</v>
      </c>
      <c r="K231" s="245" t="str">
        <f>IF(ISBLANK(I231)," ",VLOOKUP(J231,Calcs!$A$82:$H$106,2,TRUE))</f>
        <v xml:space="preserve"> </v>
      </c>
      <c r="L231" s="245">
        <f>IF(ISBLANK(I231),0,VLOOKUP(J231,Calcs!$A$82:$F$106,5,TRUE))</f>
        <v>0</v>
      </c>
      <c r="M231" s="208">
        <f>IF(J231=13,IF(ISNUMBER(W230),VLOOKUP(W230+1,Calcs!$O$4:$Q$24,3,TRUE)-V230,5),IF(J231&lt;10,0,IF(J231&lt;18,1,IF(J231&lt;22,2,IF(ISNUMBER(W230),VLOOKUP(W230+1,Calcs!$O$4:$Q$24,3,TRUE)-V230,5)))))</f>
        <v>0</v>
      </c>
      <c r="N231" s="245" t="str">
        <f t="shared" si="29"/>
        <v xml:space="preserve"> </v>
      </c>
      <c r="O231" s="245" t="str">
        <f t="shared" si="29"/>
        <v xml:space="preserve"> </v>
      </c>
      <c r="P231" s="245" t="str">
        <f t="shared" si="29"/>
        <v xml:space="preserve"> </v>
      </c>
      <c r="Q231" s="245" t="str">
        <f t="shared" si="29"/>
        <v xml:space="preserve"> </v>
      </c>
      <c r="R231" s="245" t="str">
        <f t="shared" si="29"/>
        <v xml:space="preserve"> </v>
      </c>
      <c r="S231" s="245" t="str">
        <f t="shared" si="29"/>
        <v xml:space="preserve"> </v>
      </c>
      <c r="T231" s="245" t="str">
        <f t="shared" si="29"/>
        <v xml:space="preserve"> </v>
      </c>
      <c r="U231" s="245" t="str">
        <f t="shared" si="29"/>
        <v xml:space="preserve"> </v>
      </c>
      <c r="V231" s="208">
        <f>SUM($N$10:$U231)</f>
        <v>0</v>
      </c>
      <c r="W231" s="208">
        <f>VLOOKUP(V231,Calcs!$Q$4:$R$24,2,TRUE)</f>
        <v>0</v>
      </c>
      <c r="X231" s="435" t="str">
        <f t="shared" si="26"/>
        <v>No</v>
      </c>
      <c r="Y231" s="436"/>
      <c r="Z231" s="435">
        <f t="shared" si="27"/>
        <v>0</v>
      </c>
      <c r="AA231" s="245" t="str">
        <f>IF(AND(X231="Yes",NOT(ISBLANK(Z231))),VLOOKUP(Z231,Calcs!$Y$48:$Z$57,2,TRUE)," ")</f>
        <v xml:space="preserve"> </v>
      </c>
    </row>
    <row r="232" spans="1:27" x14ac:dyDescent="0.2">
      <c r="A232" s="425">
        <f t="shared" si="28"/>
        <v>258</v>
      </c>
      <c r="B232" s="425" t="str">
        <f t="shared" si="24"/>
        <v>Winter</v>
      </c>
      <c r="C232" s="247">
        <f>IF(B232="Winter",A232-('Start Character'!$K$6)-1,IF('Start Character'!$K$7&gt;6,A232-('Start Character'!$K$6)-1,A232-('Start Character'!$K$6)))</f>
        <v>257</v>
      </c>
      <c r="D232" s="247">
        <f t="shared" si="25"/>
        <v>257</v>
      </c>
      <c r="E232" s="246"/>
      <c r="F232" s="83"/>
      <c r="G232" s="83"/>
      <c r="H232" s="246"/>
      <c r="I232" s="433"/>
      <c r="J232" s="254">
        <f>IF(ISBLANK(I232),0,ROUNDUP(D232/10,0)-E232-H232-F232-G232+VLOOKUP($D$2,Calcs!$A$23:$B$27,2,FALSE)+I232)</f>
        <v>0</v>
      </c>
      <c r="K232" s="245" t="str">
        <f>IF(ISBLANK(I232)," ",VLOOKUP(J232,Calcs!$A$82:$H$106,2,TRUE))</f>
        <v xml:space="preserve"> </v>
      </c>
      <c r="L232" s="245">
        <f>IF(ISBLANK(I232),0,VLOOKUP(J232,Calcs!$A$82:$F$106,5,TRUE))</f>
        <v>0</v>
      </c>
      <c r="M232" s="208">
        <f>IF(J232=13,IF(ISNUMBER(W231),VLOOKUP(W231+1,Calcs!$O$4:$Q$24,3,TRUE)-V231,5),IF(J232&lt;10,0,IF(J232&lt;18,1,IF(J232&lt;22,2,IF(ISNUMBER(W231),VLOOKUP(W231+1,Calcs!$O$4:$Q$24,3,TRUE)-V231,5)))))</f>
        <v>0</v>
      </c>
      <c r="N232" s="245" t="str">
        <f t="shared" si="29"/>
        <v xml:space="preserve"> </v>
      </c>
      <c r="O232" s="245" t="str">
        <f t="shared" si="29"/>
        <v xml:space="preserve"> </v>
      </c>
      <c r="P232" s="245" t="str">
        <f t="shared" si="29"/>
        <v xml:space="preserve"> </v>
      </c>
      <c r="Q232" s="245" t="str">
        <f t="shared" si="29"/>
        <v xml:space="preserve"> </v>
      </c>
      <c r="R232" s="245" t="str">
        <f t="shared" si="29"/>
        <v xml:space="preserve"> </v>
      </c>
      <c r="S232" s="245" t="str">
        <f t="shared" si="29"/>
        <v xml:space="preserve"> </v>
      </c>
      <c r="T232" s="245" t="str">
        <f t="shared" si="29"/>
        <v xml:space="preserve"> </v>
      </c>
      <c r="U232" s="245" t="str">
        <f t="shared" si="29"/>
        <v xml:space="preserve"> </v>
      </c>
      <c r="V232" s="208">
        <f>SUM($N$10:$U232)</f>
        <v>0</v>
      </c>
      <c r="W232" s="208">
        <f>VLOOKUP(V232,Calcs!$Q$4:$R$24,2,TRUE)</f>
        <v>0</v>
      </c>
      <c r="X232" s="435" t="str">
        <f t="shared" si="26"/>
        <v>No</v>
      </c>
      <c r="Y232" s="436"/>
      <c r="Z232" s="435">
        <f t="shared" si="27"/>
        <v>0</v>
      </c>
      <c r="AA232" s="245" t="str">
        <f>IF(AND(X232="Yes",NOT(ISBLANK(Z232))),VLOOKUP(Z232,Calcs!$Y$48:$Z$57,2,TRUE)," ")</f>
        <v xml:space="preserve"> </v>
      </c>
    </row>
    <row r="233" spans="1:27" x14ac:dyDescent="0.2">
      <c r="A233" s="425">
        <f t="shared" si="28"/>
        <v>259</v>
      </c>
      <c r="B233" s="425" t="str">
        <f t="shared" si="24"/>
        <v>Winter</v>
      </c>
      <c r="C233" s="247">
        <f>IF(B233="Winter",A233-('Start Character'!$K$6)-1,IF('Start Character'!$K$7&gt;6,A233-('Start Character'!$K$6)-1,A233-('Start Character'!$K$6)))</f>
        <v>258</v>
      </c>
      <c r="D233" s="247">
        <f t="shared" si="25"/>
        <v>258</v>
      </c>
      <c r="E233" s="246"/>
      <c r="F233" s="83"/>
      <c r="G233" s="83"/>
      <c r="H233" s="246"/>
      <c r="I233" s="433"/>
      <c r="J233" s="254">
        <f>IF(ISBLANK(I233),0,ROUNDUP(D233/10,0)-E233-H233-F233-G233+VLOOKUP($D$2,Calcs!$A$23:$B$27,2,FALSE)+I233)</f>
        <v>0</v>
      </c>
      <c r="K233" s="245" t="str">
        <f>IF(ISBLANK(I233)," ",VLOOKUP(J233,Calcs!$A$82:$H$106,2,TRUE))</f>
        <v xml:space="preserve"> </v>
      </c>
      <c r="L233" s="245">
        <f>IF(ISBLANK(I233),0,VLOOKUP(J233,Calcs!$A$82:$F$106,5,TRUE))</f>
        <v>0</v>
      </c>
      <c r="M233" s="208">
        <f>IF(J233=13,IF(ISNUMBER(W232),VLOOKUP(W232+1,Calcs!$O$4:$Q$24,3,TRUE)-V232,5),IF(J233&lt;10,0,IF(J233&lt;18,1,IF(J233&lt;22,2,IF(ISNUMBER(W232),VLOOKUP(W232+1,Calcs!$O$4:$Q$24,3,TRUE)-V232,5)))))</f>
        <v>0</v>
      </c>
      <c r="N233" s="245" t="str">
        <f t="shared" si="29"/>
        <v xml:space="preserve"> </v>
      </c>
      <c r="O233" s="245" t="str">
        <f t="shared" si="29"/>
        <v xml:space="preserve"> </v>
      </c>
      <c r="P233" s="245" t="str">
        <f t="shared" si="29"/>
        <v xml:space="preserve"> </v>
      </c>
      <c r="Q233" s="245" t="str">
        <f t="shared" si="29"/>
        <v xml:space="preserve"> </v>
      </c>
      <c r="R233" s="245" t="str">
        <f t="shared" si="29"/>
        <v xml:space="preserve"> </v>
      </c>
      <c r="S233" s="245" t="str">
        <f t="shared" si="29"/>
        <v xml:space="preserve"> </v>
      </c>
      <c r="T233" s="245" t="str">
        <f t="shared" si="29"/>
        <v xml:space="preserve"> </v>
      </c>
      <c r="U233" s="245" t="str">
        <f t="shared" si="29"/>
        <v xml:space="preserve"> </v>
      </c>
      <c r="V233" s="208">
        <f>SUM($N$10:$U233)</f>
        <v>0</v>
      </c>
      <c r="W233" s="208">
        <f>VLOOKUP(V233,Calcs!$Q$4:$R$24,2,TRUE)</f>
        <v>0</v>
      </c>
      <c r="X233" s="435" t="str">
        <f t="shared" si="26"/>
        <v>No</v>
      </c>
      <c r="Y233" s="436"/>
      <c r="Z233" s="435">
        <f t="shared" si="27"/>
        <v>0</v>
      </c>
      <c r="AA233" s="245" t="str">
        <f>IF(AND(X233="Yes",NOT(ISBLANK(Z233))),VLOOKUP(Z233,Calcs!$Y$48:$Z$57,2,TRUE)," ")</f>
        <v xml:space="preserve"> </v>
      </c>
    </row>
    <row r="234" spans="1:27" x14ac:dyDescent="0.2">
      <c r="A234" s="425">
        <f t="shared" si="28"/>
        <v>260</v>
      </c>
      <c r="B234" s="425" t="str">
        <f t="shared" si="24"/>
        <v>Winter</v>
      </c>
      <c r="C234" s="247">
        <f>IF(B234="Winter",A234-('Start Character'!$K$6)-1,IF('Start Character'!$K$7&gt;6,A234-('Start Character'!$K$6)-1,A234-('Start Character'!$K$6)))</f>
        <v>259</v>
      </c>
      <c r="D234" s="247">
        <f t="shared" si="25"/>
        <v>259</v>
      </c>
      <c r="E234" s="246"/>
      <c r="F234" s="83"/>
      <c r="G234" s="83"/>
      <c r="H234" s="246"/>
      <c r="I234" s="433"/>
      <c r="J234" s="254">
        <f>IF(ISBLANK(I234),0,ROUNDUP(D234/10,0)-E234-H234-F234-G234+VLOOKUP($D$2,Calcs!$A$23:$B$27,2,FALSE)+I234)</f>
        <v>0</v>
      </c>
      <c r="K234" s="245" t="str">
        <f>IF(ISBLANK(I234)," ",VLOOKUP(J234,Calcs!$A$82:$H$106,2,TRUE))</f>
        <v xml:space="preserve"> </v>
      </c>
      <c r="L234" s="245">
        <f>IF(ISBLANK(I234),0,VLOOKUP(J234,Calcs!$A$82:$F$106,5,TRUE))</f>
        <v>0</v>
      </c>
      <c r="M234" s="208">
        <f>IF(J234=13,IF(ISNUMBER(W233),VLOOKUP(W233+1,Calcs!$O$4:$Q$24,3,TRUE)-V233,5),IF(J234&lt;10,0,IF(J234&lt;18,1,IF(J234&lt;22,2,IF(ISNUMBER(W233),VLOOKUP(W233+1,Calcs!$O$4:$Q$24,3,TRUE)-V233,5)))))</f>
        <v>0</v>
      </c>
      <c r="N234" s="245" t="str">
        <f t="shared" si="29"/>
        <v xml:space="preserve"> </v>
      </c>
      <c r="O234" s="245" t="str">
        <f t="shared" si="29"/>
        <v xml:space="preserve"> </v>
      </c>
      <c r="P234" s="245" t="str">
        <f t="shared" si="29"/>
        <v xml:space="preserve"> </v>
      </c>
      <c r="Q234" s="245" t="str">
        <f t="shared" si="29"/>
        <v xml:space="preserve"> </v>
      </c>
      <c r="R234" s="245" t="str">
        <f t="shared" si="29"/>
        <v xml:space="preserve"> </v>
      </c>
      <c r="S234" s="245" t="str">
        <f t="shared" si="29"/>
        <v xml:space="preserve"> </v>
      </c>
      <c r="T234" s="245" t="str">
        <f t="shared" si="29"/>
        <v xml:space="preserve"> </v>
      </c>
      <c r="U234" s="245" t="str">
        <f t="shared" si="29"/>
        <v xml:space="preserve"> </v>
      </c>
      <c r="V234" s="208">
        <f>SUM($N$10:$U234)</f>
        <v>0</v>
      </c>
      <c r="W234" s="208">
        <f>VLOOKUP(V234,Calcs!$Q$4:$R$24,2,TRUE)</f>
        <v>0</v>
      </c>
      <c r="X234" s="435" t="str">
        <f t="shared" si="26"/>
        <v>No</v>
      </c>
      <c r="Y234" s="436"/>
      <c r="Z234" s="435">
        <f t="shared" si="27"/>
        <v>0</v>
      </c>
      <c r="AA234" s="245" t="str">
        <f>IF(AND(X234="Yes",NOT(ISBLANK(Z234))),VLOOKUP(Z234,Calcs!$Y$48:$Z$57,2,TRUE)," ")</f>
        <v xml:space="preserve"> </v>
      </c>
    </row>
    <row r="235" spans="1:27" x14ac:dyDescent="0.2">
      <c r="A235" s="425">
        <f t="shared" si="28"/>
        <v>261</v>
      </c>
      <c r="B235" s="425" t="str">
        <f t="shared" si="24"/>
        <v>Winter</v>
      </c>
      <c r="C235" s="247">
        <f>IF(B235="Winter",A235-('Start Character'!$K$6)-1,IF('Start Character'!$K$7&gt;6,A235-('Start Character'!$K$6)-1,A235-('Start Character'!$K$6)))</f>
        <v>260</v>
      </c>
      <c r="D235" s="247">
        <f t="shared" si="25"/>
        <v>260</v>
      </c>
      <c r="E235" s="246"/>
      <c r="F235" s="83"/>
      <c r="G235" s="83"/>
      <c r="H235" s="246"/>
      <c r="I235" s="433"/>
      <c r="J235" s="254">
        <f>IF(ISBLANK(I235),0,ROUNDUP(D235/10,0)-E235-H235-F235-G235+VLOOKUP($D$2,Calcs!$A$23:$B$27,2,FALSE)+I235)</f>
        <v>0</v>
      </c>
      <c r="K235" s="245" t="str">
        <f>IF(ISBLANK(I235)," ",VLOOKUP(J235,Calcs!$A$82:$H$106,2,TRUE))</f>
        <v xml:space="preserve"> </v>
      </c>
      <c r="L235" s="245">
        <f>IF(ISBLANK(I235),0,VLOOKUP(J235,Calcs!$A$82:$F$106,5,TRUE))</f>
        <v>0</v>
      </c>
      <c r="M235" s="208">
        <f>IF(J235=13,IF(ISNUMBER(W234),VLOOKUP(W234+1,Calcs!$O$4:$Q$24,3,TRUE)-V234,5),IF(J235&lt;10,0,IF(J235&lt;18,1,IF(J235&lt;22,2,IF(ISNUMBER(W234),VLOOKUP(W234+1,Calcs!$O$4:$Q$24,3,TRUE)-V234,5)))))</f>
        <v>0</v>
      </c>
      <c r="N235" s="245" t="str">
        <f t="shared" si="29"/>
        <v xml:space="preserve"> </v>
      </c>
      <c r="O235" s="245" t="str">
        <f t="shared" si="29"/>
        <v xml:space="preserve"> </v>
      </c>
      <c r="P235" s="245" t="str">
        <f t="shared" si="29"/>
        <v xml:space="preserve"> </v>
      </c>
      <c r="Q235" s="245" t="str">
        <f t="shared" si="29"/>
        <v xml:space="preserve"> </v>
      </c>
      <c r="R235" s="245" t="str">
        <f t="shared" si="29"/>
        <v xml:space="preserve"> </v>
      </c>
      <c r="S235" s="245" t="str">
        <f t="shared" si="29"/>
        <v xml:space="preserve"> </v>
      </c>
      <c r="T235" s="245" t="str">
        <f t="shared" si="29"/>
        <v xml:space="preserve"> </v>
      </c>
      <c r="U235" s="245" t="str">
        <f t="shared" si="29"/>
        <v xml:space="preserve"> </v>
      </c>
      <c r="V235" s="208">
        <f>SUM($N$10:$U235)</f>
        <v>0</v>
      </c>
      <c r="W235" s="208">
        <f>VLOOKUP(V235,Calcs!$Q$4:$R$24,2,TRUE)</f>
        <v>0</v>
      </c>
      <c r="X235" s="435" t="str">
        <f t="shared" si="26"/>
        <v>No</v>
      </c>
      <c r="Y235" s="436"/>
      <c r="Z235" s="435">
        <f t="shared" si="27"/>
        <v>0</v>
      </c>
      <c r="AA235" s="245" t="str">
        <f>IF(AND(X235="Yes",NOT(ISBLANK(Z235))),VLOOKUP(Z235,Calcs!$Y$48:$Z$57,2,TRUE)," ")</f>
        <v xml:space="preserve"> </v>
      </c>
    </row>
    <row r="236" spans="1:27" x14ac:dyDescent="0.2">
      <c r="A236" s="425">
        <f t="shared" si="28"/>
        <v>262</v>
      </c>
      <c r="B236" s="425" t="str">
        <f t="shared" si="24"/>
        <v>Winter</v>
      </c>
      <c r="C236" s="247">
        <f>IF(B236="Winter",A236-('Start Character'!$K$6)-1,IF('Start Character'!$K$7&gt;6,A236-('Start Character'!$K$6)-1,A236-('Start Character'!$K$6)))</f>
        <v>261</v>
      </c>
      <c r="D236" s="247">
        <f t="shared" si="25"/>
        <v>261</v>
      </c>
      <c r="E236" s="246"/>
      <c r="F236" s="83"/>
      <c r="G236" s="83"/>
      <c r="H236" s="246"/>
      <c r="I236" s="433"/>
      <c r="J236" s="254">
        <f>IF(ISBLANK(I236),0,ROUNDUP(D236/10,0)-E236-H236-F236-G236+VLOOKUP($D$2,Calcs!$A$23:$B$27,2,FALSE)+I236)</f>
        <v>0</v>
      </c>
      <c r="K236" s="245" t="str">
        <f>IF(ISBLANK(I236)," ",VLOOKUP(J236,Calcs!$A$82:$H$106,2,TRUE))</f>
        <v xml:space="preserve"> </v>
      </c>
      <c r="L236" s="245">
        <f>IF(ISBLANK(I236),0,VLOOKUP(J236,Calcs!$A$82:$F$106,5,TRUE))</f>
        <v>0</v>
      </c>
      <c r="M236" s="208">
        <f>IF(J236=13,IF(ISNUMBER(W235),VLOOKUP(W235+1,Calcs!$O$4:$Q$24,3,TRUE)-V235,5),IF(J236&lt;10,0,IF(J236&lt;18,1,IF(J236&lt;22,2,IF(ISNUMBER(W235),VLOOKUP(W235+1,Calcs!$O$4:$Q$24,3,TRUE)-V235,5)))))</f>
        <v>0</v>
      </c>
      <c r="N236" s="245" t="str">
        <f t="shared" si="29"/>
        <v xml:space="preserve"> </v>
      </c>
      <c r="O236" s="245" t="str">
        <f t="shared" si="29"/>
        <v xml:space="preserve"> </v>
      </c>
      <c r="P236" s="245" t="str">
        <f t="shared" si="29"/>
        <v xml:space="preserve"> </v>
      </c>
      <c r="Q236" s="245" t="str">
        <f t="shared" si="29"/>
        <v xml:space="preserve"> </v>
      </c>
      <c r="R236" s="245" t="str">
        <f t="shared" si="29"/>
        <v xml:space="preserve"> </v>
      </c>
      <c r="S236" s="245" t="str">
        <f t="shared" si="29"/>
        <v xml:space="preserve"> </v>
      </c>
      <c r="T236" s="245" t="str">
        <f t="shared" si="29"/>
        <v xml:space="preserve"> </v>
      </c>
      <c r="U236" s="245" t="str">
        <f t="shared" si="29"/>
        <v xml:space="preserve"> </v>
      </c>
      <c r="V236" s="208">
        <f>SUM($N$10:$U236)</f>
        <v>0</v>
      </c>
      <c r="W236" s="208">
        <f>VLOOKUP(V236,Calcs!$Q$4:$R$24,2,TRUE)</f>
        <v>0</v>
      </c>
      <c r="X236" s="435" t="str">
        <f t="shared" si="26"/>
        <v>No</v>
      </c>
      <c r="Y236" s="436"/>
      <c r="Z236" s="435">
        <f t="shared" si="27"/>
        <v>0</v>
      </c>
      <c r="AA236" s="245" t="str">
        <f>IF(AND(X236="Yes",NOT(ISBLANK(Z236))),VLOOKUP(Z236,Calcs!$Y$48:$Z$57,2,TRUE)," ")</f>
        <v xml:space="preserve"> </v>
      </c>
    </row>
    <row r="237" spans="1:27" x14ac:dyDescent="0.2">
      <c r="A237" s="425">
        <f t="shared" si="28"/>
        <v>263</v>
      </c>
      <c r="B237" s="425" t="str">
        <f t="shared" si="24"/>
        <v>Winter</v>
      </c>
      <c r="C237" s="247">
        <f>IF(B237="Winter",A237-('Start Character'!$K$6)-1,IF('Start Character'!$K$7&gt;6,A237-('Start Character'!$K$6)-1,A237-('Start Character'!$K$6)))</f>
        <v>262</v>
      </c>
      <c r="D237" s="247">
        <f t="shared" si="25"/>
        <v>262</v>
      </c>
      <c r="E237" s="246"/>
      <c r="F237" s="83"/>
      <c r="G237" s="83"/>
      <c r="H237" s="246"/>
      <c r="I237" s="433"/>
      <c r="J237" s="254">
        <f>IF(ISBLANK(I237),0,ROUNDUP(D237/10,0)-E237-H237-F237-G237+VLOOKUP($D$2,Calcs!$A$23:$B$27,2,FALSE)+I237)</f>
        <v>0</v>
      </c>
      <c r="K237" s="245" t="str">
        <f>IF(ISBLANK(I237)," ",VLOOKUP(J237,Calcs!$A$82:$H$106,2,TRUE))</f>
        <v xml:space="preserve"> </v>
      </c>
      <c r="L237" s="245">
        <f>IF(ISBLANK(I237),0,VLOOKUP(J237,Calcs!$A$82:$F$106,5,TRUE))</f>
        <v>0</v>
      </c>
      <c r="M237" s="208">
        <f>IF(J237=13,IF(ISNUMBER(W236),VLOOKUP(W236+1,Calcs!$O$4:$Q$24,3,TRUE)-V236,5),IF(J237&lt;10,0,IF(J237&lt;18,1,IF(J237&lt;22,2,IF(ISNUMBER(W236),VLOOKUP(W236+1,Calcs!$O$4:$Q$24,3,TRUE)-V236,5)))))</f>
        <v>0</v>
      </c>
      <c r="N237" s="245" t="str">
        <f t="shared" si="29"/>
        <v xml:space="preserve"> </v>
      </c>
      <c r="O237" s="245" t="str">
        <f t="shared" si="29"/>
        <v xml:space="preserve"> </v>
      </c>
      <c r="P237" s="245" t="str">
        <f t="shared" si="29"/>
        <v xml:space="preserve"> </v>
      </c>
      <c r="Q237" s="245" t="str">
        <f t="shared" si="29"/>
        <v xml:space="preserve"> </v>
      </c>
      <c r="R237" s="245" t="str">
        <f t="shared" si="29"/>
        <v xml:space="preserve"> </v>
      </c>
      <c r="S237" s="245" t="str">
        <f t="shared" si="29"/>
        <v xml:space="preserve"> </v>
      </c>
      <c r="T237" s="245" t="str">
        <f t="shared" si="29"/>
        <v xml:space="preserve"> </v>
      </c>
      <c r="U237" s="245" t="str">
        <f t="shared" si="29"/>
        <v xml:space="preserve"> </v>
      </c>
      <c r="V237" s="208">
        <f>SUM($N$10:$U237)</f>
        <v>0</v>
      </c>
      <c r="W237" s="208">
        <f>VLOOKUP(V237,Calcs!$Q$4:$R$24,2,TRUE)</f>
        <v>0</v>
      </c>
      <c r="X237" s="435" t="str">
        <f t="shared" si="26"/>
        <v>No</v>
      </c>
      <c r="Y237" s="436"/>
      <c r="Z237" s="435">
        <f t="shared" si="27"/>
        <v>0</v>
      </c>
      <c r="AA237" s="245" t="str">
        <f>IF(AND(X237="Yes",NOT(ISBLANK(Z237))),VLOOKUP(Z237,Calcs!$Y$48:$Z$57,2,TRUE)," ")</f>
        <v xml:space="preserve"> </v>
      </c>
    </row>
    <row r="238" spans="1:27" x14ac:dyDescent="0.2">
      <c r="A238" s="425">
        <f t="shared" si="28"/>
        <v>264</v>
      </c>
      <c r="B238" s="425" t="str">
        <f t="shared" si="24"/>
        <v>Winter</v>
      </c>
      <c r="C238" s="247">
        <f>IF(B238="Winter",A238-('Start Character'!$K$6)-1,IF('Start Character'!$K$7&gt;6,A238-('Start Character'!$K$6)-1,A238-('Start Character'!$K$6)))</f>
        <v>263</v>
      </c>
      <c r="D238" s="247">
        <f t="shared" si="25"/>
        <v>263</v>
      </c>
      <c r="E238" s="246"/>
      <c r="F238" s="83"/>
      <c r="G238" s="83"/>
      <c r="H238" s="246"/>
      <c r="I238" s="433"/>
      <c r="J238" s="254">
        <f>IF(ISBLANK(I238),0,ROUNDUP(D238/10,0)-E238-H238-F238-G238+VLOOKUP($D$2,Calcs!$A$23:$B$27,2,FALSE)+I238)</f>
        <v>0</v>
      </c>
      <c r="K238" s="245" t="str">
        <f>IF(ISBLANK(I238)," ",VLOOKUP(J238,Calcs!$A$82:$H$106,2,TRUE))</f>
        <v xml:space="preserve"> </v>
      </c>
      <c r="L238" s="245">
        <f>IF(ISBLANK(I238),0,VLOOKUP(J238,Calcs!$A$82:$F$106,5,TRUE))</f>
        <v>0</v>
      </c>
      <c r="M238" s="208">
        <f>IF(J238=13,IF(ISNUMBER(W237),VLOOKUP(W237+1,Calcs!$O$4:$Q$24,3,TRUE)-V237,5),IF(J238&lt;10,0,IF(J238&lt;18,1,IF(J238&lt;22,2,IF(ISNUMBER(W237),VLOOKUP(W237+1,Calcs!$O$4:$Q$24,3,TRUE)-V237,5)))))</f>
        <v>0</v>
      </c>
      <c r="N238" s="245" t="str">
        <f t="shared" si="29"/>
        <v xml:space="preserve"> </v>
      </c>
      <c r="O238" s="245" t="str">
        <f t="shared" si="29"/>
        <v xml:space="preserve"> </v>
      </c>
      <c r="P238" s="245" t="str">
        <f t="shared" si="29"/>
        <v xml:space="preserve"> </v>
      </c>
      <c r="Q238" s="245" t="str">
        <f t="shared" si="29"/>
        <v xml:space="preserve"> </v>
      </c>
      <c r="R238" s="245" t="str">
        <f t="shared" si="29"/>
        <v xml:space="preserve"> </v>
      </c>
      <c r="S238" s="245" t="str">
        <f t="shared" si="29"/>
        <v xml:space="preserve"> </v>
      </c>
      <c r="T238" s="245" t="str">
        <f t="shared" si="29"/>
        <v xml:space="preserve"> </v>
      </c>
      <c r="U238" s="245" t="str">
        <f t="shared" si="29"/>
        <v xml:space="preserve"> </v>
      </c>
      <c r="V238" s="208">
        <f>SUM($N$10:$U238)</f>
        <v>0</v>
      </c>
      <c r="W238" s="208">
        <f>VLOOKUP(V238,Calcs!$Q$4:$R$24,2,TRUE)</f>
        <v>0</v>
      </c>
      <c r="X238" s="435" t="str">
        <f t="shared" si="26"/>
        <v>No</v>
      </c>
      <c r="Y238" s="436"/>
      <c r="Z238" s="435">
        <f t="shared" si="27"/>
        <v>0</v>
      </c>
      <c r="AA238" s="245" t="str">
        <f>IF(AND(X238="Yes",NOT(ISBLANK(Z238))),VLOOKUP(Z238,Calcs!$Y$48:$Z$57,2,TRUE)," ")</f>
        <v xml:space="preserve"> </v>
      </c>
    </row>
    <row r="239" spans="1:27" x14ac:dyDescent="0.2">
      <c r="A239" s="425">
        <f t="shared" si="28"/>
        <v>265</v>
      </c>
      <c r="B239" s="425" t="str">
        <f t="shared" si="24"/>
        <v>Winter</v>
      </c>
      <c r="C239" s="247">
        <f>IF(B239="Winter",A239-('Start Character'!$K$6)-1,IF('Start Character'!$K$7&gt;6,A239-('Start Character'!$K$6)-1,A239-('Start Character'!$K$6)))</f>
        <v>264</v>
      </c>
      <c r="D239" s="247">
        <f t="shared" si="25"/>
        <v>264</v>
      </c>
      <c r="E239" s="246"/>
      <c r="F239" s="83"/>
      <c r="G239" s="83"/>
      <c r="H239" s="246"/>
      <c r="I239" s="433"/>
      <c r="J239" s="254">
        <f>IF(ISBLANK(I239),0,ROUNDUP(D239/10,0)-E239-H239-F239-G239+VLOOKUP($D$2,Calcs!$A$23:$B$27,2,FALSE)+I239)</f>
        <v>0</v>
      </c>
      <c r="K239" s="245" t="str">
        <f>IF(ISBLANK(I239)," ",VLOOKUP(J239,Calcs!$A$82:$H$106,2,TRUE))</f>
        <v xml:space="preserve"> </v>
      </c>
      <c r="L239" s="245">
        <f>IF(ISBLANK(I239),0,VLOOKUP(J239,Calcs!$A$82:$F$106,5,TRUE))</f>
        <v>0</v>
      </c>
      <c r="M239" s="208">
        <f>IF(J239=13,IF(ISNUMBER(W238),VLOOKUP(W238+1,Calcs!$O$4:$Q$24,3,TRUE)-V238,5),IF(J239&lt;10,0,IF(J239&lt;18,1,IF(J239&lt;22,2,IF(ISNUMBER(W238),VLOOKUP(W238+1,Calcs!$O$4:$Q$24,3,TRUE)-V238,5)))))</f>
        <v>0</v>
      </c>
      <c r="N239" s="245" t="str">
        <f t="shared" si="29"/>
        <v xml:space="preserve"> </v>
      </c>
      <c r="O239" s="245" t="str">
        <f t="shared" si="29"/>
        <v xml:space="preserve"> </v>
      </c>
      <c r="P239" s="245" t="str">
        <f t="shared" si="29"/>
        <v xml:space="preserve"> </v>
      </c>
      <c r="Q239" s="245" t="str">
        <f t="shared" si="29"/>
        <v xml:space="preserve"> </v>
      </c>
      <c r="R239" s="245" t="str">
        <f t="shared" si="29"/>
        <v xml:space="preserve"> </v>
      </c>
      <c r="S239" s="245" t="str">
        <f t="shared" si="29"/>
        <v xml:space="preserve"> </v>
      </c>
      <c r="T239" s="245" t="str">
        <f t="shared" si="29"/>
        <v xml:space="preserve"> </v>
      </c>
      <c r="U239" s="245" t="str">
        <f t="shared" si="29"/>
        <v xml:space="preserve"> </v>
      </c>
      <c r="V239" s="208">
        <f>SUM($N$10:$U239)</f>
        <v>0</v>
      </c>
      <c r="W239" s="208">
        <f>VLOOKUP(V239,Calcs!$Q$4:$R$24,2,TRUE)</f>
        <v>0</v>
      </c>
      <c r="X239" s="435" t="str">
        <f t="shared" si="26"/>
        <v>No</v>
      </c>
      <c r="Y239" s="436"/>
      <c r="Z239" s="435">
        <f t="shared" si="27"/>
        <v>0</v>
      </c>
      <c r="AA239" s="245" t="str">
        <f>IF(AND(X239="Yes",NOT(ISBLANK(Z239))),VLOOKUP(Z239,Calcs!$Y$48:$Z$57,2,TRUE)," ")</f>
        <v xml:space="preserve"> </v>
      </c>
    </row>
    <row r="240" spans="1:27" x14ac:dyDescent="0.2">
      <c r="A240" s="425">
        <f t="shared" si="28"/>
        <v>266</v>
      </c>
      <c r="B240" s="425" t="str">
        <f t="shared" si="24"/>
        <v>Winter</v>
      </c>
      <c r="C240" s="247">
        <f>IF(B240="Winter",A240-('Start Character'!$K$6)-1,IF('Start Character'!$K$7&gt;6,A240-('Start Character'!$K$6)-1,A240-('Start Character'!$K$6)))</f>
        <v>265</v>
      </c>
      <c r="D240" s="247">
        <f t="shared" si="25"/>
        <v>265</v>
      </c>
      <c r="E240" s="246"/>
      <c r="F240" s="83"/>
      <c r="G240" s="83"/>
      <c r="H240" s="246"/>
      <c r="I240" s="433"/>
      <c r="J240" s="254">
        <f>IF(ISBLANK(I240),0,ROUNDUP(D240/10,0)-E240-H240-F240-G240+VLOOKUP($D$2,Calcs!$A$23:$B$27,2,FALSE)+I240)</f>
        <v>0</v>
      </c>
      <c r="K240" s="245" t="str">
        <f>IF(ISBLANK(I240)," ",VLOOKUP(J240,Calcs!$A$82:$H$106,2,TRUE))</f>
        <v xml:space="preserve"> </v>
      </c>
      <c r="L240" s="245">
        <f>IF(ISBLANK(I240),0,VLOOKUP(J240,Calcs!$A$82:$F$106,5,TRUE))</f>
        <v>0</v>
      </c>
      <c r="M240" s="208">
        <f>IF(J240=13,IF(ISNUMBER(W239),VLOOKUP(W239+1,Calcs!$O$4:$Q$24,3,TRUE)-V239,5),IF(J240&lt;10,0,IF(J240&lt;18,1,IF(J240&lt;22,2,IF(ISNUMBER(W239),VLOOKUP(W239+1,Calcs!$O$4:$Q$24,3,TRUE)-V239,5)))))</f>
        <v>0</v>
      </c>
      <c r="N240" s="245" t="str">
        <f t="shared" si="29"/>
        <v xml:space="preserve"> </v>
      </c>
      <c r="O240" s="245" t="str">
        <f t="shared" si="29"/>
        <v xml:space="preserve"> </v>
      </c>
      <c r="P240" s="245" t="str">
        <f t="shared" si="29"/>
        <v xml:space="preserve"> </v>
      </c>
      <c r="Q240" s="245" t="str">
        <f t="shared" si="29"/>
        <v xml:space="preserve"> </v>
      </c>
      <c r="R240" s="245" t="str">
        <f t="shared" si="29"/>
        <v xml:space="preserve"> </v>
      </c>
      <c r="S240" s="245" t="str">
        <f t="shared" si="29"/>
        <v xml:space="preserve"> </v>
      </c>
      <c r="T240" s="245" t="str">
        <f t="shared" si="29"/>
        <v xml:space="preserve"> </v>
      </c>
      <c r="U240" s="245" t="str">
        <f t="shared" si="29"/>
        <v xml:space="preserve"> </v>
      </c>
      <c r="V240" s="208">
        <f>SUM($N$10:$U240)</f>
        <v>0</v>
      </c>
      <c r="W240" s="208">
        <f>VLOOKUP(V240,Calcs!$Q$4:$R$24,2,TRUE)</f>
        <v>0</v>
      </c>
      <c r="X240" s="435" t="str">
        <f t="shared" si="26"/>
        <v>No</v>
      </c>
      <c r="Y240" s="436"/>
      <c r="Z240" s="435">
        <f t="shared" si="27"/>
        <v>0</v>
      </c>
      <c r="AA240" s="245" t="str">
        <f>IF(AND(X240="Yes",NOT(ISBLANK(Z240))),VLOOKUP(Z240,Calcs!$Y$48:$Z$57,2,TRUE)," ")</f>
        <v xml:space="preserve"> </v>
      </c>
    </row>
    <row r="241" spans="1:27" x14ac:dyDescent="0.2">
      <c r="A241" s="425">
        <f t="shared" si="28"/>
        <v>267</v>
      </c>
      <c r="B241" s="425" t="str">
        <f t="shared" si="24"/>
        <v>Winter</v>
      </c>
      <c r="C241" s="247">
        <f>IF(B241="Winter",A241-('Start Character'!$K$6)-1,IF('Start Character'!$K$7&gt;6,A241-('Start Character'!$K$6)-1,A241-('Start Character'!$K$6)))</f>
        <v>266</v>
      </c>
      <c r="D241" s="247">
        <f t="shared" si="25"/>
        <v>266</v>
      </c>
      <c r="E241" s="246"/>
      <c r="F241" s="83"/>
      <c r="G241" s="83"/>
      <c r="H241" s="246"/>
      <c r="I241" s="433"/>
      <c r="J241" s="254">
        <f>IF(ISBLANK(I241),0,ROUNDUP(D241/10,0)-E241-H241-F241-G241+VLOOKUP($D$2,Calcs!$A$23:$B$27,2,FALSE)+I241)</f>
        <v>0</v>
      </c>
      <c r="K241" s="245" t="str">
        <f>IF(ISBLANK(I241)," ",VLOOKUP(J241,Calcs!$A$82:$H$106,2,TRUE))</f>
        <v xml:space="preserve"> </v>
      </c>
      <c r="L241" s="245">
        <f>IF(ISBLANK(I241),0,VLOOKUP(J241,Calcs!$A$82:$F$106,5,TRUE))</f>
        <v>0</v>
      </c>
      <c r="M241" s="208">
        <f>IF(J241=13,IF(ISNUMBER(W240),VLOOKUP(W240+1,Calcs!$O$4:$Q$24,3,TRUE)-V240,5),IF(J241&lt;10,0,IF(J241&lt;18,1,IF(J241&lt;22,2,IF(ISNUMBER(W240),VLOOKUP(W240+1,Calcs!$O$4:$Q$24,3,TRUE)-V240,5)))))</f>
        <v>0</v>
      </c>
      <c r="N241" s="245" t="str">
        <f t="shared" si="29"/>
        <v xml:space="preserve"> </v>
      </c>
      <c r="O241" s="245" t="str">
        <f t="shared" si="29"/>
        <v xml:space="preserve"> </v>
      </c>
      <c r="P241" s="245" t="str">
        <f t="shared" si="29"/>
        <v xml:space="preserve"> </v>
      </c>
      <c r="Q241" s="245" t="str">
        <f t="shared" si="29"/>
        <v xml:space="preserve"> </v>
      </c>
      <c r="R241" s="245" t="str">
        <f t="shared" si="29"/>
        <v xml:space="preserve"> </v>
      </c>
      <c r="S241" s="245" t="str">
        <f t="shared" si="29"/>
        <v xml:space="preserve"> </v>
      </c>
      <c r="T241" s="245" t="str">
        <f t="shared" si="29"/>
        <v xml:space="preserve"> </v>
      </c>
      <c r="U241" s="245" t="str">
        <f t="shared" si="29"/>
        <v xml:space="preserve"> </v>
      </c>
      <c r="V241" s="208">
        <f>SUM($N$10:$U241)</f>
        <v>0</v>
      </c>
      <c r="W241" s="208">
        <f>VLOOKUP(V241,Calcs!$Q$4:$R$24,2,TRUE)</f>
        <v>0</v>
      </c>
      <c r="X241" s="435" t="str">
        <f t="shared" si="26"/>
        <v>No</v>
      </c>
      <c r="Y241" s="436"/>
      <c r="Z241" s="435">
        <f t="shared" si="27"/>
        <v>0</v>
      </c>
      <c r="AA241" s="245" t="str">
        <f>IF(AND(X241="Yes",NOT(ISBLANK(Z241))),VLOOKUP(Z241,Calcs!$Y$48:$Z$57,2,TRUE)," ")</f>
        <v xml:space="preserve"> </v>
      </c>
    </row>
    <row r="242" spans="1:27" x14ac:dyDescent="0.2">
      <c r="A242" s="425">
        <f t="shared" si="28"/>
        <v>268</v>
      </c>
      <c r="B242" s="425" t="str">
        <f t="shared" si="24"/>
        <v>Winter</v>
      </c>
      <c r="C242" s="247">
        <f>IF(B242="Winter",A242-('Start Character'!$K$6)-1,IF('Start Character'!$K$7&gt;6,A242-('Start Character'!$K$6)-1,A242-('Start Character'!$K$6)))</f>
        <v>267</v>
      </c>
      <c r="D242" s="247">
        <f t="shared" si="25"/>
        <v>267</v>
      </c>
      <c r="E242" s="246"/>
      <c r="F242" s="83"/>
      <c r="G242" s="83"/>
      <c r="H242" s="246"/>
      <c r="I242" s="433"/>
      <c r="J242" s="254">
        <f>IF(ISBLANK(I242),0,ROUNDUP(D242/10,0)-E242-H242-F242-G242+VLOOKUP($D$2,Calcs!$A$23:$B$27,2,FALSE)+I242)</f>
        <v>0</v>
      </c>
      <c r="K242" s="245" t="str">
        <f>IF(ISBLANK(I242)," ",VLOOKUP(J242,Calcs!$A$82:$H$106,2,TRUE))</f>
        <v xml:space="preserve"> </v>
      </c>
      <c r="L242" s="245">
        <f>IF(ISBLANK(I242),0,VLOOKUP(J242,Calcs!$A$82:$F$106,5,TRUE))</f>
        <v>0</v>
      </c>
      <c r="M242" s="208">
        <f>IF(J242=13,IF(ISNUMBER(W241),VLOOKUP(W241+1,Calcs!$O$4:$Q$24,3,TRUE)-V241,5),IF(J242&lt;10,0,IF(J242&lt;18,1,IF(J242&lt;22,2,IF(ISNUMBER(W241),VLOOKUP(W241+1,Calcs!$O$4:$Q$24,3,TRUE)-V241,5)))))</f>
        <v>0</v>
      </c>
      <c r="N242" s="245" t="str">
        <f t="shared" si="29"/>
        <v xml:space="preserve"> </v>
      </c>
      <c r="O242" s="245" t="str">
        <f t="shared" si="29"/>
        <v xml:space="preserve"> </v>
      </c>
      <c r="P242" s="245" t="str">
        <f t="shared" si="29"/>
        <v xml:space="preserve"> </v>
      </c>
      <c r="Q242" s="245" t="str">
        <f t="shared" si="29"/>
        <v xml:space="preserve"> </v>
      </c>
      <c r="R242" s="245" t="str">
        <f t="shared" si="29"/>
        <v xml:space="preserve"> </v>
      </c>
      <c r="S242" s="245" t="str">
        <f t="shared" si="29"/>
        <v xml:space="preserve"> </v>
      </c>
      <c r="T242" s="245" t="str">
        <f t="shared" si="29"/>
        <v xml:space="preserve"> </v>
      </c>
      <c r="U242" s="245" t="str">
        <f t="shared" si="29"/>
        <v xml:space="preserve"> </v>
      </c>
      <c r="V242" s="208">
        <f>SUM($N$10:$U242)</f>
        <v>0</v>
      </c>
      <c r="W242" s="208">
        <f>VLOOKUP(V242,Calcs!$Q$4:$R$24,2,TRUE)</f>
        <v>0</v>
      </c>
      <c r="X242" s="435" t="str">
        <f t="shared" si="26"/>
        <v>No</v>
      </c>
      <c r="Y242" s="436"/>
      <c r="Z242" s="435">
        <f t="shared" si="27"/>
        <v>0</v>
      </c>
      <c r="AA242" s="245" t="str">
        <f>IF(AND(X242="Yes",NOT(ISBLANK(Z242))),VLOOKUP(Z242,Calcs!$Y$48:$Z$57,2,TRUE)," ")</f>
        <v xml:space="preserve"> </v>
      </c>
    </row>
    <row r="243" spans="1:27" x14ac:dyDescent="0.2">
      <c r="A243" s="425">
        <f t="shared" si="28"/>
        <v>269</v>
      </c>
      <c r="B243" s="425" t="str">
        <f t="shared" si="24"/>
        <v>Winter</v>
      </c>
      <c r="C243" s="247">
        <f>IF(B243="Winter",A243-('Start Character'!$K$6)-1,IF('Start Character'!$K$7&gt;6,A243-('Start Character'!$K$6)-1,A243-('Start Character'!$K$6)))</f>
        <v>268</v>
      </c>
      <c r="D243" s="247">
        <f t="shared" si="25"/>
        <v>268</v>
      </c>
      <c r="E243" s="246"/>
      <c r="F243" s="83"/>
      <c r="G243" s="83"/>
      <c r="H243" s="246"/>
      <c r="I243" s="433"/>
      <c r="J243" s="254">
        <f>IF(ISBLANK(I243),0,ROUNDUP(D243/10,0)-E243-H243-F243-G243+VLOOKUP($D$2,Calcs!$A$23:$B$27,2,FALSE)+I243)</f>
        <v>0</v>
      </c>
      <c r="K243" s="245" t="str">
        <f>IF(ISBLANK(I243)," ",VLOOKUP(J243,Calcs!$A$82:$H$106,2,TRUE))</f>
        <v xml:space="preserve"> </v>
      </c>
      <c r="L243" s="245">
        <f>IF(ISBLANK(I243),0,VLOOKUP(J243,Calcs!$A$82:$F$106,5,TRUE))</f>
        <v>0</v>
      </c>
      <c r="M243" s="208">
        <f>IF(J243=13,IF(ISNUMBER(W242),VLOOKUP(W242+1,Calcs!$O$4:$Q$24,3,TRUE)-V242,5),IF(J243&lt;10,0,IF(J243&lt;18,1,IF(J243&lt;22,2,IF(ISNUMBER(W242),VLOOKUP(W242+1,Calcs!$O$4:$Q$24,3,TRUE)-V242,5)))))</f>
        <v>0</v>
      </c>
      <c r="N243" s="245" t="str">
        <f t="shared" si="29"/>
        <v xml:space="preserve"> </v>
      </c>
      <c r="O243" s="245" t="str">
        <f t="shared" si="29"/>
        <v xml:space="preserve"> </v>
      </c>
      <c r="P243" s="245" t="str">
        <f t="shared" si="29"/>
        <v xml:space="preserve"> </v>
      </c>
      <c r="Q243" s="245" t="str">
        <f t="shared" si="29"/>
        <v xml:space="preserve"> </v>
      </c>
      <c r="R243" s="245" t="str">
        <f t="shared" si="29"/>
        <v xml:space="preserve"> </v>
      </c>
      <c r="S243" s="245" t="str">
        <f t="shared" si="29"/>
        <v xml:space="preserve"> </v>
      </c>
      <c r="T243" s="245" t="str">
        <f t="shared" si="29"/>
        <v xml:space="preserve"> </v>
      </c>
      <c r="U243" s="245" t="str">
        <f t="shared" si="29"/>
        <v xml:space="preserve"> </v>
      </c>
      <c r="V243" s="208">
        <f>SUM($N$10:$U243)</f>
        <v>0</v>
      </c>
      <c r="W243" s="208">
        <f>VLOOKUP(V243,Calcs!$Q$4:$R$24,2,TRUE)</f>
        <v>0</v>
      </c>
      <c r="X243" s="435" t="str">
        <f t="shared" si="26"/>
        <v>No</v>
      </c>
      <c r="Y243" s="436"/>
      <c r="Z243" s="435">
        <f t="shared" si="27"/>
        <v>0</v>
      </c>
      <c r="AA243" s="245" t="str">
        <f>IF(AND(X243="Yes",NOT(ISBLANK(Z243))),VLOOKUP(Z243,Calcs!$Y$48:$Z$57,2,TRUE)," ")</f>
        <v xml:space="preserve"> </v>
      </c>
    </row>
    <row r="244" spans="1:27" x14ac:dyDescent="0.2">
      <c r="A244" s="425">
        <f t="shared" si="28"/>
        <v>270</v>
      </c>
      <c r="B244" s="425" t="str">
        <f t="shared" si="24"/>
        <v>Winter</v>
      </c>
      <c r="C244" s="247">
        <f>IF(B244="Winter",A244-('Start Character'!$K$6)-1,IF('Start Character'!$K$7&gt;6,A244-('Start Character'!$K$6)-1,A244-('Start Character'!$K$6)))</f>
        <v>269</v>
      </c>
      <c r="D244" s="247">
        <f t="shared" si="25"/>
        <v>269</v>
      </c>
      <c r="E244" s="246"/>
      <c r="F244" s="83"/>
      <c r="G244" s="83"/>
      <c r="H244" s="246"/>
      <c r="I244" s="433"/>
      <c r="J244" s="254">
        <f>IF(ISBLANK(I244),0,ROUNDUP(D244/10,0)-E244-H244-F244-G244+VLOOKUP($D$2,Calcs!$A$23:$B$27,2,FALSE)+I244)</f>
        <v>0</v>
      </c>
      <c r="K244" s="245" t="str">
        <f>IF(ISBLANK(I244)," ",VLOOKUP(J244,Calcs!$A$82:$H$106,2,TRUE))</f>
        <v xml:space="preserve"> </v>
      </c>
      <c r="L244" s="245">
        <f>IF(ISBLANK(I244),0,VLOOKUP(J244,Calcs!$A$82:$F$106,5,TRUE))</f>
        <v>0</v>
      </c>
      <c r="M244" s="208">
        <f>IF(J244=13,IF(ISNUMBER(W243),VLOOKUP(W243+1,Calcs!$O$4:$Q$24,3,TRUE)-V243,5),IF(J244&lt;10,0,IF(J244&lt;18,1,IF(J244&lt;22,2,IF(ISNUMBER(W243),VLOOKUP(W243+1,Calcs!$O$4:$Q$24,3,TRUE)-V243,5)))))</f>
        <v>0</v>
      </c>
      <c r="N244" s="245" t="str">
        <f t="shared" si="29"/>
        <v xml:space="preserve"> </v>
      </c>
      <c r="O244" s="245" t="str">
        <f t="shared" si="29"/>
        <v xml:space="preserve"> </v>
      </c>
      <c r="P244" s="245" t="str">
        <f t="shared" si="29"/>
        <v xml:space="preserve"> </v>
      </c>
      <c r="Q244" s="245" t="str">
        <f t="shared" si="29"/>
        <v xml:space="preserve"> </v>
      </c>
      <c r="R244" s="245" t="str">
        <f t="shared" si="29"/>
        <v xml:space="preserve"> </v>
      </c>
      <c r="S244" s="245" t="str">
        <f t="shared" si="29"/>
        <v xml:space="preserve"> </v>
      </c>
      <c r="T244" s="245" t="str">
        <f t="shared" si="29"/>
        <v xml:space="preserve"> </v>
      </c>
      <c r="U244" s="245" t="str">
        <f t="shared" si="29"/>
        <v xml:space="preserve"> </v>
      </c>
      <c r="V244" s="208">
        <f>SUM($N$10:$U244)</f>
        <v>0</v>
      </c>
      <c r="W244" s="208">
        <f>VLOOKUP(V244,Calcs!$Q$4:$R$24,2,TRUE)</f>
        <v>0</v>
      </c>
      <c r="X244" s="435" t="str">
        <f t="shared" si="26"/>
        <v>No</v>
      </c>
      <c r="Y244" s="436"/>
      <c r="Z244" s="435">
        <f t="shared" si="27"/>
        <v>0</v>
      </c>
      <c r="AA244" s="245" t="str">
        <f>IF(AND(X244="Yes",NOT(ISBLANK(Z244))),VLOOKUP(Z244,Calcs!$Y$48:$Z$57,2,TRUE)," ")</f>
        <v xml:space="preserve"> </v>
      </c>
    </row>
    <row r="245" spans="1:27" x14ac:dyDescent="0.2">
      <c r="A245" s="425">
        <f t="shared" si="28"/>
        <v>271</v>
      </c>
      <c r="B245" s="425" t="str">
        <f t="shared" si="24"/>
        <v>Winter</v>
      </c>
      <c r="C245" s="247">
        <f>IF(B245="Winter",A245-('Start Character'!$K$6)-1,IF('Start Character'!$K$7&gt;6,A245-('Start Character'!$K$6)-1,A245-('Start Character'!$K$6)))</f>
        <v>270</v>
      </c>
      <c r="D245" s="247">
        <f t="shared" si="25"/>
        <v>270</v>
      </c>
      <c r="E245" s="246"/>
      <c r="F245" s="83"/>
      <c r="G245" s="83"/>
      <c r="H245" s="246"/>
      <c r="I245" s="433"/>
      <c r="J245" s="254">
        <f>IF(ISBLANK(I245),0,ROUNDUP(D245/10,0)-E245-H245-F245-G245+VLOOKUP($D$2,Calcs!$A$23:$B$27,2,FALSE)+I245)</f>
        <v>0</v>
      </c>
      <c r="K245" s="245" t="str">
        <f>IF(ISBLANK(I245)," ",VLOOKUP(J245,Calcs!$A$82:$H$106,2,TRUE))</f>
        <v xml:space="preserve"> </v>
      </c>
      <c r="L245" s="245">
        <f>IF(ISBLANK(I245),0,VLOOKUP(J245,Calcs!$A$82:$F$106,5,TRUE))</f>
        <v>0</v>
      </c>
      <c r="M245" s="208">
        <f>IF(J245=13,IF(ISNUMBER(W244),VLOOKUP(W244+1,Calcs!$O$4:$Q$24,3,TRUE)-V244,5),IF(J245&lt;10,0,IF(J245&lt;18,1,IF(J245&lt;22,2,IF(ISNUMBER(W244),VLOOKUP(W244+1,Calcs!$O$4:$Q$24,3,TRUE)-V244,5)))))</f>
        <v>0</v>
      </c>
      <c r="N245" s="245" t="str">
        <f t="shared" si="29"/>
        <v xml:space="preserve"> </v>
      </c>
      <c r="O245" s="245" t="str">
        <f t="shared" si="29"/>
        <v xml:space="preserve"> </v>
      </c>
      <c r="P245" s="245" t="str">
        <f t="shared" si="29"/>
        <v xml:space="preserve"> </v>
      </c>
      <c r="Q245" s="245" t="str">
        <f t="shared" si="29"/>
        <v xml:space="preserve"> </v>
      </c>
      <c r="R245" s="245" t="str">
        <f t="shared" si="29"/>
        <v xml:space="preserve"> </v>
      </c>
      <c r="S245" s="245" t="str">
        <f t="shared" si="29"/>
        <v xml:space="preserve"> </v>
      </c>
      <c r="T245" s="245" t="str">
        <f t="shared" si="29"/>
        <v xml:space="preserve"> </v>
      </c>
      <c r="U245" s="245" t="str">
        <f t="shared" si="29"/>
        <v xml:space="preserve"> </v>
      </c>
      <c r="V245" s="208">
        <f>SUM($N$10:$U245)</f>
        <v>0</v>
      </c>
      <c r="W245" s="208">
        <f>VLOOKUP(V245,Calcs!$Q$4:$R$24,2,TRUE)</f>
        <v>0</v>
      </c>
      <c r="X245" s="435" t="str">
        <f t="shared" si="26"/>
        <v>No</v>
      </c>
      <c r="Y245" s="436"/>
      <c r="Z245" s="435">
        <f t="shared" si="27"/>
        <v>0</v>
      </c>
      <c r="AA245" s="245" t="str">
        <f>IF(AND(X245="Yes",NOT(ISBLANK(Z245))),VLOOKUP(Z245,Calcs!$Y$48:$Z$57,2,TRUE)," ")</f>
        <v xml:space="preserve"> </v>
      </c>
    </row>
    <row r="246" spans="1:27" x14ac:dyDescent="0.2">
      <c r="A246" s="425">
        <f t="shared" si="28"/>
        <v>272</v>
      </c>
      <c r="B246" s="425" t="str">
        <f t="shared" si="24"/>
        <v>Winter</v>
      </c>
      <c r="C246" s="247">
        <f>IF(B246="Winter",A246-('Start Character'!$K$6)-1,IF('Start Character'!$K$7&gt;6,A246-('Start Character'!$K$6)-1,A246-('Start Character'!$K$6)))</f>
        <v>271</v>
      </c>
      <c r="D246" s="247">
        <f t="shared" si="25"/>
        <v>271</v>
      </c>
      <c r="E246" s="246"/>
      <c r="F246" s="83"/>
      <c r="G246" s="83"/>
      <c r="H246" s="246"/>
      <c r="I246" s="433"/>
      <c r="J246" s="254">
        <f>IF(ISBLANK(I246),0,ROUNDUP(D246/10,0)-E246-H246-F246-G246+VLOOKUP($D$2,Calcs!$A$23:$B$27,2,FALSE)+I246)</f>
        <v>0</v>
      </c>
      <c r="K246" s="245" t="str">
        <f>IF(ISBLANK(I246)," ",VLOOKUP(J246,Calcs!$A$82:$H$106,2,TRUE))</f>
        <v xml:space="preserve"> </v>
      </c>
      <c r="L246" s="245">
        <f>IF(ISBLANK(I246),0,VLOOKUP(J246,Calcs!$A$82:$F$106,5,TRUE))</f>
        <v>0</v>
      </c>
      <c r="M246" s="208">
        <f>IF(J246=13,IF(ISNUMBER(W245),VLOOKUP(W245+1,Calcs!$O$4:$Q$24,3,TRUE)-V245,5),IF(J246&lt;10,0,IF(J246&lt;18,1,IF(J246&lt;22,2,IF(ISNUMBER(W245),VLOOKUP(W245+1,Calcs!$O$4:$Q$24,3,TRUE)-V245,5)))))</f>
        <v>0</v>
      </c>
      <c r="N246" s="245" t="str">
        <f t="shared" si="29"/>
        <v xml:space="preserve"> </v>
      </c>
      <c r="O246" s="245" t="str">
        <f t="shared" si="29"/>
        <v xml:space="preserve"> </v>
      </c>
      <c r="P246" s="245" t="str">
        <f t="shared" si="29"/>
        <v xml:space="preserve"> </v>
      </c>
      <c r="Q246" s="245" t="str">
        <f t="shared" si="29"/>
        <v xml:space="preserve"> </v>
      </c>
      <c r="R246" s="245" t="str">
        <f t="shared" si="29"/>
        <v xml:space="preserve"> </v>
      </c>
      <c r="S246" s="245" t="str">
        <f t="shared" si="29"/>
        <v xml:space="preserve"> </v>
      </c>
      <c r="T246" s="245" t="str">
        <f t="shared" si="29"/>
        <v xml:space="preserve"> </v>
      </c>
      <c r="U246" s="245" t="str">
        <f t="shared" si="29"/>
        <v xml:space="preserve"> </v>
      </c>
      <c r="V246" s="208">
        <f>SUM($N$10:$U246)</f>
        <v>0</v>
      </c>
      <c r="W246" s="208">
        <f>VLOOKUP(V246,Calcs!$Q$4:$R$24,2,TRUE)</f>
        <v>0</v>
      </c>
      <c r="X246" s="435" t="str">
        <f t="shared" si="26"/>
        <v>No</v>
      </c>
      <c r="Y246" s="436"/>
      <c r="Z246" s="435">
        <f t="shared" si="27"/>
        <v>0</v>
      </c>
      <c r="AA246" s="245" t="str">
        <f>IF(AND(X246="Yes",NOT(ISBLANK(Z246))),VLOOKUP(Z246,Calcs!$Y$48:$Z$57,2,TRUE)," ")</f>
        <v xml:space="preserve"> </v>
      </c>
    </row>
    <row r="247" spans="1:27" x14ac:dyDescent="0.2">
      <c r="A247" s="425">
        <f t="shared" si="28"/>
        <v>273</v>
      </c>
      <c r="B247" s="425" t="str">
        <f t="shared" si="24"/>
        <v>Winter</v>
      </c>
      <c r="C247" s="247">
        <f>IF(B247="Winter",A247-('Start Character'!$K$6)-1,IF('Start Character'!$K$7&gt;6,A247-('Start Character'!$K$6)-1,A247-('Start Character'!$K$6)))</f>
        <v>272</v>
      </c>
      <c r="D247" s="247">
        <f t="shared" si="25"/>
        <v>272</v>
      </c>
      <c r="E247" s="246"/>
      <c r="F247" s="83"/>
      <c r="G247" s="83"/>
      <c r="H247" s="246"/>
      <c r="I247" s="433"/>
      <c r="J247" s="254">
        <f>IF(ISBLANK(I247),0,ROUNDUP(D247/10,0)-E247-H247-F247-G247+VLOOKUP($D$2,Calcs!$A$23:$B$27,2,FALSE)+I247)</f>
        <v>0</v>
      </c>
      <c r="K247" s="245" t="str">
        <f>IF(ISBLANK(I247)," ",VLOOKUP(J247,Calcs!$A$82:$H$106,2,TRUE))</f>
        <v xml:space="preserve"> </v>
      </c>
      <c r="L247" s="245">
        <f>IF(ISBLANK(I247),0,VLOOKUP(J247,Calcs!$A$82:$F$106,5,TRUE))</f>
        <v>0</v>
      </c>
      <c r="M247" s="208">
        <f>IF(J247=13,IF(ISNUMBER(W246),VLOOKUP(W246+1,Calcs!$O$4:$Q$24,3,TRUE)-V246,5),IF(J247&lt;10,0,IF(J247&lt;18,1,IF(J247&lt;22,2,IF(ISNUMBER(W246),VLOOKUP(W246+1,Calcs!$O$4:$Q$24,3,TRUE)-V246,5)))))</f>
        <v>0</v>
      </c>
      <c r="N247" s="245" t="str">
        <f t="shared" si="29"/>
        <v xml:space="preserve"> </v>
      </c>
      <c r="O247" s="245" t="str">
        <f t="shared" si="29"/>
        <v xml:space="preserve"> </v>
      </c>
      <c r="P247" s="245" t="str">
        <f t="shared" si="29"/>
        <v xml:space="preserve"> </v>
      </c>
      <c r="Q247" s="245" t="str">
        <f t="shared" si="29"/>
        <v xml:space="preserve"> </v>
      </c>
      <c r="R247" s="245" t="str">
        <f t="shared" si="29"/>
        <v xml:space="preserve"> </v>
      </c>
      <c r="S247" s="245" t="str">
        <f t="shared" si="29"/>
        <v xml:space="preserve"> </v>
      </c>
      <c r="T247" s="245" t="str">
        <f t="shared" si="29"/>
        <v xml:space="preserve"> </v>
      </c>
      <c r="U247" s="245" t="str">
        <f t="shared" si="29"/>
        <v xml:space="preserve"> </v>
      </c>
      <c r="V247" s="208">
        <f>SUM($N$10:$U247)</f>
        <v>0</v>
      </c>
      <c r="W247" s="208">
        <f>VLOOKUP(V247,Calcs!$Q$4:$R$24,2,TRUE)</f>
        <v>0</v>
      </c>
      <c r="X247" s="435" t="str">
        <f t="shared" si="26"/>
        <v>No</v>
      </c>
      <c r="Y247" s="436"/>
      <c r="Z247" s="435">
        <f t="shared" si="27"/>
        <v>0</v>
      </c>
      <c r="AA247" s="245" t="str">
        <f>IF(AND(X247="Yes",NOT(ISBLANK(Z247))),VLOOKUP(Z247,Calcs!$Y$48:$Z$57,2,TRUE)," ")</f>
        <v xml:space="preserve"> </v>
      </c>
    </row>
    <row r="248" spans="1:27" x14ac:dyDescent="0.2">
      <c r="A248" s="425">
        <f t="shared" si="28"/>
        <v>274</v>
      </c>
      <c r="B248" s="425" t="str">
        <f t="shared" si="24"/>
        <v>Winter</v>
      </c>
      <c r="C248" s="247">
        <f>IF(B248="Winter",A248-('Start Character'!$K$6)-1,IF('Start Character'!$K$7&gt;6,A248-('Start Character'!$K$6)-1,A248-('Start Character'!$K$6)))</f>
        <v>273</v>
      </c>
      <c r="D248" s="247">
        <f t="shared" si="25"/>
        <v>273</v>
      </c>
      <c r="E248" s="246"/>
      <c r="F248" s="83"/>
      <c r="G248" s="83"/>
      <c r="H248" s="246"/>
      <c r="I248" s="433"/>
      <c r="J248" s="254">
        <f>IF(ISBLANK(I248),0,ROUNDUP(D248/10,0)-E248-H248-F248-G248+VLOOKUP($D$2,Calcs!$A$23:$B$27,2,FALSE)+I248)</f>
        <v>0</v>
      </c>
      <c r="K248" s="245" t="str">
        <f>IF(ISBLANK(I248)," ",VLOOKUP(J248,Calcs!$A$82:$H$106,2,TRUE))</f>
        <v xml:space="preserve"> </v>
      </c>
      <c r="L248" s="245">
        <f>IF(ISBLANK(I248),0,VLOOKUP(J248,Calcs!$A$82:$F$106,5,TRUE))</f>
        <v>0</v>
      </c>
      <c r="M248" s="208">
        <f>IF(J248=13,IF(ISNUMBER(W247),VLOOKUP(W247+1,Calcs!$O$4:$Q$24,3,TRUE)-V247,5),IF(J248&lt;10,0,IF(J248&lt;18,1,IF(J248&lt;22,2,IF(ISNUMBER(W247),VLOOKUP(W247+1,Calcs!$O$4:$Q$24,3,TRUE)-V247,5)))))</f>
        <v>0</v>
      </c>
      <c r="N248" s="245" t="str">
        <f t="shared" si="29"/>
        <v xml:space="preserve"> </v>
      </c>
      <c r="O248" s="245" t="str">
        <f t="shared" si="29"/>
        <v xml:space="preserve"> </v>
      </c>
      <c r="P248" s="245" t="str">
        <f t="shared" si="29"/>
        <v xml:space="preserve"> </v>
      </c>
      <c r="Q248" s="245" t="str">
        <f t="shared" si="29"/>
        <v xml:space="preserve"> </v>
      </c>
      <c r="R248" s="245" t="str">
        <f t="shared" si="29"/>
        <v xml:space="preserve"> </v>
      </c>
      <c r="S248" s="245" t="str">
        <f t="shared" si="29"/>
        <v xml:space="preserve"> </v>
      </c>
      <c r="T248" s="245" t="str">
        <f t="shared" si="29"/>
        <v xml:space="preserve"> </v>
      </c>
      <c r="U248" s="245" t="str">
        <f t="shared" si="29"/>
        <v xml:space="preserve"> </v>
      </c>
      <c r="V248" s="208">
        <f>SUM($N$10:$U248)</f>
        <v>0</v>
      </c>
      <c r="W248" s="208">
        <f>VLOOKUP(V248,Calcs!$Q$4:$R$24,2,TRUE)</f>
        <v>0</v>
      </c>
      <c r="X248" s="435" t="str">
        <f t="shared" si="26"/>
        <v>No</v>
      </c>
      <c r="Y248" s="436"/>
      <c r="Z248" s="435">
        <f t="shared" si="27"/>
        <v>0</v>
      </c>
      <c r="AA248" s="245" t="str">
        <f>IF(AND(X248="Yes",NOT(ISBLANK(Z248))),VLOOKUP(Z248,Calcs!$Y$48:$Z$57,2,TRUE)," ")</f>
        <v xml:space="preserve"> </v>
      </c>
    </row>
    <row r="249" spans="1:27" x14ac:dyDescent="0.2">
      <c r="A249" s="425">
        <f t="shared" si="28"/>
        <v>275</v>
      </c>
      <c r="B249" s="425" t="str">
        <f t="shared" si="24"/>
        <v>Winter</v>
      </c>
      <c r="C249" s="247">
        <f>IF(B249="Winter",A249-('Start Character'!$K$6)-1,IF('Start Character'!$K$7&gt;6,A249-('Start Character'!$K$6)-1,A249-('Start Character'!$K$6)))</f>
        <v>274</v>
      </c>
      <c r="D249" s="247">
        <f t="shared" si="25"/>
        <v>274</v>
      </c>
      <c r="E249" s="246"/>
      <c r="F249" s="83"/>
      <c r="G249" s="83"/>
      <c r="H249" s="246"/>
      <c r="I249" s="433"/>
      <c r="J249" s="254">
        <f>IF(ISBLANK(I249),0,ROUNDUP(D249/10,0)-E249-H249-F249-G249+VLOOKUP($D$2,Calcs!$A$23:$B$27,2,FALSE)+I249)</f>
        <v>0</v>
      </c>
      <c r="K249" s="245" t="str">
        <f>IF(ISBLANK(I249)," ",VLOOKUP(J249,Calcs!$A$82:$H$106,2,TRUE))</f>
        <v xml:space="preserve"> </v>
      </c>
      <c r="L249" s="245">
        <f>IF(ISBLANK(I249),0,VLOOKUP(J249,Calcs!$A$82:$F$106,5,TRUE))</f>
        <v>0</v>
      </c>
      <c r="M249" s="208">
        <f>IF(J249=13,IF(ISNUMBER(W248),VLOOKUP(W248+1,Calcs!$O$4:$Q$24,3,TRUE)-V248,5),IF(J249&lt;10,0,IF(J249&lt;18,1,IF(J249&lt;22,2,IF(ISNUMBER(W248),VLOOKUP(W248+1,Calcs!$O$4:$Q$24,3,TRUE)-V248,5)))))</f>
        <v>0</v>
      </c>
      <c r="N249" s="245" t="str">
        <f t="shared" si="29"/>
        <v xml:space="preserve"> </v>
      </c>
      <c r="O249" s="245" t="str">
        <f t="shared" si="29"/>
        <v xml:space="preserve"> </v>
      </c>
      <c r="P249" s="245" t="str">
        <f t="shared" si="29"/>
        <v xml:space="preserve"> </v>
      </c>
      <c r="Q249" s="245" t="str">
        <f t="shared" si="29"/>
        <v xml:space="preserve"> </v>
      </c>
      <c r="R249" s="245" t="str">
        <f t="shared" si="29"/>
        <v xml:space="preserve"> </v>
      </c>
      <c r="S249" s="245" t="str">
        <f t="shared" si="29"/>
        <v xml:space="preserve"> </v>
      </c>
      <c r="T249" s="245" t="str">
        <f t="shared" si="29"/>
        <v xml:space="preserve"> </v>
      </c>
      <c r="U249" s="245" t="str">
        <f t="shared" si="29"/>
        <v xml:space="preserve"> </v>
      </c>
      <c r="V249" s="208">
        <f>SUM($N$10:$U249)</f>
        <v>0</v>
      </c>
      <c r="W249" s="208">
        <f>VLOOKUP(V249,Calcs!$Q$4:$R$24,2,TRUE)</f>
        <v>0</v>
      </c>
      <c r="X249" s="435" t="str">
        <f t="shared" si="26"/>
        <v>No</v>
      </c>
      <c r="Y249" s="436"/>
      <c r="Z249" s="435">
        <f t="shared" si="27"/>
        <v>0</v>
      </c>
      <c r="AA249" s="245" t="str">
        <f>IF(AND(X249="Yes",NOT(ISBLANK(Z249))),VLOOKUP(Z249,Calcs!$Y$48:$Z$57,2,TRUE)," ")</f>
        <v xml:space="preserve"> </v>
      </c>
    </row>
    <row r="250" spans="1:27" x14ac:dyDescent="0.2">
      <c r="A250" s="425">
        <f t="shared" si="28"/>
        <v>276</v>
      </c>
      <c r="B250" s="425" t="str">
        <f t="shared" si="24"/>
        <v>Winter</v>
      </c>
      <c r="C250" s="247">
        <f>IF(B250="Winter",A250-('Start Character'!$K$6)-1,IF('Start Character'!$K$7&gt;6,A250-('Start Character'!$K$6)-1,A250-('Start Character'!$K$6)))</f>
        <v>275</v>
      </c>
      <c r="D250" s="247">
        <f t="shared" si="25"/>
        <v>275</v>
      </c>
      <c r="E250" s="246"/>
      <c r="F250" s="83"/>
      <c r="G250" s="83"/>
      <c r="H250" s="246"/>
      <c r="I250" s="433"/>
      <c r="J250" s="254">
        <f>IF(ISBLANK(I250),0,ROUNDUP(D250/10,0)-E250-H250-F250-G250+VLOOKUP($D$2,Calcs!$A$23:$B$27,2,FALSE)+I250)</f>
        <v>0</v>
      </c>
      <c r="K250" s="245" t="str">
        <f>IF(ISBLANK(I250)," ",VLOOKUP(J250,Calcs!$A$82:$H$106,2,TRUE))</f>
        <v xml:space="preserve"> </v>
      </c>
      <c r="L250" s="245">
        <f>IF(ISBLANK(I250),0,VLOOKUP(J250,Calcs!$A$82:$F$106,5,TRUE))</f>
        <v>0</v>
      </c>
      <c r="M250" s="208">
        <f>IF(J250=13,IF(ISNUMBER(W249),VLOOKUP(W249+1,Calcs!$O$4:$Q$24,3,TRUE)-V249,5),IF(J250&lt;10,0,IF(J250&lt;18,1,IF(J250&lt;22,2,IF(ISNUMBER(W249),VLOOKUP(W249+1,Calcs!$O$4:$Q$24,3,TRUE)-V249,5)))))</f>
        <v>0</v>
      </c>
      <c r="N250" s="245" t="str">
        <f t="shared" si="29"/>
        <v xml:space="preserve"> </v>
      </c>
      <c r="O250" s="245" t="str">
        <f t="shared" si="29"/>
        <v xml:space="preserve"> </v>
      </c>
      <c r="P250" s="245" t="str">
        <f t="shared" si="29"/>
        <v xml:space="preserve"> </v>
      </c>
      <c r="Q250" s="245" t="str">
        <f t="shared" si="29"/>
        <v xml:space="preserve"> </v>
      </c>
      <c r="R250" s="245" t="str">
        <f t="shared" si="29"/>
        <v xml:space="preserve"> </v>
      </c>
      <c r="S250" s="245" t="str">
        <f t="shared" si="29"/>
        <v xml:space="preserve"> </v>
      </c>
      <c r="T250" s="245" t="str">
        <f t="shared" si="29"/>
        <v xml:space="preserve"> </v>
      </c>
      <c r="U250" s="245" t="str">
        <f t="shared" si="29"/>
        <v xml:space="preserve"> </v>
      </c>
      <c r="V250" s="208">
        <f>SUM($N$10:$U250)</f>
        <v>0</v>
      </c>
      <c r="W250" s="208">
        <f>VLOOKUP(V250,Calcs!$Q$4:$R$24,2,TRUE)</f>
        <v>0</v>
      </c>
      <c r="X250" s="435" t="str">
        <f t="shared" si="26"/>
        <v>No</v>
      </c>
      <c r="Y250" s="436"/>
      <c r="Z250" s="435">
        <f t="shared" si="27"/>
        <v>0</v>
      </c>
      <c r="AA250" s="245" t="str">
        <f>IF(AND(X250="Yes",NOT(ISBLANK(Z250))),VLOOKUP(Z250,Calcs!$Y$48:$Z$57,2,TRUE)," ")</f>
        <v xml:space="preserve"> </v>
      </c>
    </row>
    <row r="251" spans="1:27" x14ac:dyDescent="0.2">
      <c r="A251" s="425">
        <f t="shared" si="28"/>
        <v>277</v>
      </c>
      <c r="B251" s="425" t="str">
        <f t="shared" si="24"/>
        <v>Winter</v>
      </c>
      <c r="C251" s="247">
        <f>IF(B251="Winter",A251-('Start Character'!$K$6)-1,IF('Start Character'!$K$7&gt;6,A251-('Start Character'!$K$6)-1,A251-('Start Character'!$K$6)))</f>
        <v>276</v>
      </c>
      <c r="D251" s="247">
        <f t="shared" si="25"/>
        <v>276</v>
      </c>
      <c r="E251" s="246"/>
      <c r="F251" s="83"/>
      <c r="G251" s="83"/>
      <c r="H251" s="246"/>
      <c r="I251" s="433"/>
      <c r="J251" s="254">
        <f>IF(ISBLANK(I251),0,ROUNDUP(D251/10,0)-E251-H251-F251-G251+VLOOKUP($D$2,Calcs!$A$23:$B$27,2,FALSE)+I251)</f>
        <v>0</v>
      </c>
      <c r="K251" s="245" t="str">
        <f>IF(ISBLANK(I251)," ",VLOOKUP(J251,Calcs!$A$82:$H$106,2,TRUE))</f>
        <v xml:space="preserve"> </v>
      </c>
      <c r="L251" s="245">
        <f>IF(ISBLANK(I251),0,VLOOKUP(J251,Calcs!$A$82:$F$106,5,TRUE))</f>
        <v>0</v>
      </c>
      <c r="M251" s="208">
        <f>IF(J251=13,IF(ISNUMBER(W250),VLOOKUP(W250+1,Calcs!$O$4:$Q$24,3,TRUE)-V250,5),IF(J251&lt;10,0,IF(J251&lt;18,1,IF(J251&lt;22,2,IF(ISNUMBER(W250),VLOOKUP(W250+1,Calcs!$O$4:$Q$24,3,TRUE)-V250,5)))))</f>
        <v>0</v>
      </c>
      <c r="N251" s="245" t="str">
        <f t="shared" si="29"/>
        <v xml:space="preserve"> </v>
      </c>
      <c r="O251" s="245" t="str">
        <f t="shared" si="29"/>
        <v xml:space="preserve"> </v>
      </c>
      <c r="P251" s="245" t="str">
        <f t="shared" si="29"/>
        <v xml:space="preserve"> </v>
      </c>
      <c r="Q251" s="245" t="str">
        <f t="shared" si="29"/>
        <v xml:space="preserve"> </v>
      </c>
      <c r="R251" s="245" t="str">
        <f t="shared" si="29"/>
        <v xml:space="preserve"> </v>
      </c>
      <c r="S251" s="245" t="str">
        <f t="shared" si="29"/>
        <v xml:space="preserve"> </v>
      </c>
      <c r="T251" s="245" t="str">
        <f t="shared" si="29"/>
        <v xml:space="preserve"> </v>
      </c>
      <c r="U251" s="245" t="str">
        <f t="shared" si="29"/>
        <v xml:space="preserve"> </v>
      </c>
      <c r="V251" s="208">
        <f>SUM($N$10:$U251)</f>
        <v>0</v>
      </c>
      <c r="W251" s="208">
        <f>VLOOKUP(V251,Calcs!$Q$4:$R$24,2,TRUE)</f>
        <v>0</v>
      </c>
      <c r="X251" s="435" t="str">
        <f t="shared" si="26"/>
        <v>No</v>
      </c>
      <c r="Y251" s="436"/>
      <c r="Z251" s="435">
        <f t="shared" si="27"/>
        <v>0</v>
      </c>
      <c r="AA251" s="245" t="str">
        <f>IF(AND(X251="Yes",NOT(ISBLANK(Z251))),VLOOKUP(Z251,Calcs!$Y$48:$Z$57,2,TRUE)," ")</f>
        <v xml:space="preserve"> </v>
      </c>
    </row>
    <row r="252" spans="1:27" x14ac:dyDescent="0.2">
      <c r="A252" s="425">
        <f t="shared" si="28"/>
        <v>278</v>
      </c>
      <c r="B252" s="425" t="str">
        <f t="shared" si="24"/>
        <v>Winter</v>
      </c>
      <c r="C252" s="247">
        <f>IF(B252="Winter",A252-('Start Character'!$K$6)-1,IF('Start Character'!$K$7&gt;6,A252-('Start Character'!$K$6)-1,A252-('Start Character'!$K$6)))</f>
        <v>277</v>
      </c>
      <c r="D252" s="247">
        <f t="shared" si="25"/>
        <v>277</v>
      </c>
      <c r="E252" s="246"/>
      <c r="F252" s="83"/>
      <c r="G252" s="83"/>
      <c r="H252" s="246"/>
      <c r="I252" s="433"/>
      <c r="J252" s="254">
        <f>IF(ISBLANK(I252),0,ROUNDUP(D252/10,0)-E252-H252-F252-G252+VLOOKUP($D$2,Calcs!$A$23:$B$27,2,FALSE)+I252)</f>
        <v>0</v>
      </c>
      <c r="K252" s="245" t="str">
        <f>IF(ISBLANK(I252)," ",VLOOKUP(J252,Calcs!$A$82:$H$106,2,TRUE))</f>
        <v xml:space="preserve"> </v>
      </c>
      <c r="L252" s="245">
        <f>IF(ISBLANK(I252),0,VLOOKUP(J252,Calcs!$A$82:$F$106,5,TRUE))</f>
        <v>0</v>
      </c>
      <c r="M252" s="208">
        <f>IF(J252=13,IF(ISNUMBER(W251),VLOOKUP(W251+1,Calcs!$O$4:$Q$24,3,TRUE)-V251,5),IF(J252&lt;10,0,IF(J252&lt;18,1,IF(J252&lt;22,2,IF(ISNUMBER(W251),VLOOKUP(W251+1,Calcs!$O$4:$Q$24,3,TRUE)-V251,5)))))</f>
        <v>0</v>
      </c>
      <c r="N252" s="245" t="str">
        <f t="shared" si="29"/>
        <v xml:space="preserve"> </v>
      </c>
      <c r="O252" s="245" t="str">
        <f t="shared" si="29"/>
        <v xml:space="preserve"> </v>
      </c>
      <c r="P252" s="245" t="str">
        <f t="shared" si="29"/>
        <v xml:space="preserve"> </v>
      </c>
      <c r="Q252" s="245" t="str">
        <f t="shared" si="29"/>
        <v xml:space="preserve"> </v>
      </c>
      <c r="R252" s="245" t="str">
        <f t="shared" si="29"/>
        <v xml:space="preserve"> </v>
      </c>
      <c r="S252" s="245" t="str">
        <f t="shared" si="29"/>
        <v xml:space="preserve"> </v>
      </c>
      <c r="T252" s="245" t="str">
        <f t="shared" si="29"/>
        <v xml:space="preserve"> </v>
      </c>
      <c r="U252" s="245" t="str">
        <f t="shared" si="29"/>
        <v xml:space="preserve"> </v>
      </c>
      <c r="V252" s="208">
        <f>SUM($N$10:$U252)</f>
        <v>0</v>
      </c>
      <c r="W252" s="208">
        <f>VLOOKUP(V252,Calcs!$Q$4:$R$24,2,TRUE)</f>
        <v>0</v>
      </c>
      <c r="X252" s="435" t="str">
        <f t="shared" si="26"/>
        <v>No</v>
      </c>
      <c r="Y252" s="436"/>
      <c r="Z252" s="435">
        <f t="shared" si="27"/>
        <v>0</v>
      </c>
      <c r="AA252" s="245" t="str">
        <f>IF(AND(X252="Yes",NOT(ISBLANK(Z252))),VLOOKUP(Z252,Calcs!$Y$48:$Z$57,2,TRUE)," ")</f>
        <v xml:space="preserve"> </v>
      </c>
    </row>
    <row r="253" spans="1:27" x14ac:dyDescent="0.2">
      <c r="A253" s="425">
        <f t="shared" si="28"/>
        <v>279</v>
      </c>
      <c r="B253" s="425" t="str">
        <f t="shared" si="24"/>
        <v>Winter</v>
      </c>
      <c r="C253" s="247">
        <f>IF(B253="Winter",A253-('Start Character'!$K$6)-1,IF('Start Character'!$K$7&gt;6,A253-('Start Character'!$K$6)-1,A253-('Start Character'!$K$6)))</f>
        <v>278</v>
      </c>
      <c r="D253" s="247">
        <f t="shared" si="25"/>
        <v>278</v>
      </c>
      <c r="E253" s="246"/>
      <c r="F253" s="83"/>
      <c r="G253" s="83"/>
      <c r="H253" s="246"/>
      <c r="I253" s="433"/>
      <c r="J253" s="254">
        <f>IF(ISBLANK(I253),0,ROUNDUP(D253/10,0)-E253-H253-F253-G253+VLOOKUP($D$2,Calcs!$A$23:$B$27,2,FALSE)+I253)</f>
        <v>0</v>
      </c>
      <c r="K253" s="245" t="str">
        <f>IF(ISBLANK(I253)," ",VLOOKUP(J253,Calcs!$A$82:$H$106,2,TRUE))</f>
        <v xml:space="preserve"> </v>
      </c>
      <c r="L253" s="245">
        <f>IF(ISBLANK(I253),0,VLOOKUP(J253,Calcs!$A$82:$F$106,5,TRUE))</f>
        <v>0</v>
      </c>
      <c r="M253" s="208">
        <f>IF(J253=13,IF(ISNUMBER(W252),VLOOKUP(W252+1,Calcs!$O$4:$Q$24,3,TRUE)-V252,5),IF(J253&lt;10,0,IF(J253&lt;18,1,IF(J253&lt;22,2,IF(ISNUMBER(W252),VLOOKUP(W252+1,Calcs!$O$4:$Q$24,3,TRUE)-V252,5)))))</f>
        <v>0</v>
      </c>
      <c r="N253" s="245" t="str">
        <f t="shared" si="29"/>
        <v xml:space="preserve"> </v>
      </c>
      <c r="O253" s="245" t="str">
        <f t="shared" si="29"/>
        <v xml:space="preserve"> </v>
      </c>
      <c r="P253" s="245" t="str">
        <f t="shared" si="29"/>
        <v xml:space="preserve"> </v>
      </c>
      <c r="Q253" s="245" t="str">
        <f t="shared" si="29"/>
        <v xml:space="preserve"> </v>
      </c>
      <c r="R253" s="245" t="str">
        <f t="shared" si="29"/>
        <v xml:space="preserve"> </v>
      </c>
      <c r="S253" s="245" t="str">
        <f t="shared" si="29"/>
        <v xml:space="preserve"> </v>
      </c>
      <c r="T253" s="245" t="str">
        <f t="shared" si="29"/>
        <v xml:space="preserve"> </v>
      </c>
      <c r="U253" s="245" t="str">
        <f t="shared" si="29"/>
        <v xml:space="preserve"> </v>
      </c>
      <c r="V253" s="208">
        <f>SUM($N$10:$U253)</f>
        <v>0</v>
      </c>
      <c r="W253" s="208">
        <f>VLOOKUP(V253,Calcs!$Q$4:$R$24,2,TRUE)</f>
        <v>0</v>
      </c>
      <c r="X253" s="435" t="str">
        <f t="shared" si="26"/>
        <v>No</v>
      </c>
      <c r="Y253" s="436"/>
      <c r="Z253" s="435">
        <f t="shared" si="27"/>
        <v>0</v>
      </c>
      <c r="AA253" s="245" t="str">
        <f>IF(AND(X253="Yes",NOT(ISBLANK(Z253))),VLOOKUP(Z253,Calcs!$Y$48:$Z$57,2,TRUE)," ")</f>
        <v xml:space="preserve"> </v>
      </c>
    </row>
    <row r="254" spans="1:27" x14ac:dyDescent="0.2">
      <c r="A254" s="425">
        <f t="shared" si="28"/>
        <v>280</v>
      </c>
      <c r="B254" s="425" t="str">
        <f t="shared" si="24"/>
        <v>Winter</v>
      </c>
      <c r="C254" s="247">
        <f>IF(B254="Winter",A254-('Start Character'!$K$6)-1,IF('Start Character'!$K$7&gt;6,A254-('Start Character'!$K$6)-1,A254-('Start Character'!$K$6)))</f>
        <v>279</v>
      </c>
      <c r="D254" s="247">
        <f t="shared" si="25"/>
        <v>279</v>
      </c>
      <c r="E254" s="246"/>
      <c r="F254" s="83"/>
      <c r="G254" s="83"/>
      <c r="H254" s="246"/>
      <c r="I254" s="433"/>
      <c r="J254" s="254">
        <f>IF(ISBLANK(I254),0,ROUNDUP(D254/10,0)-E254-H254-F254-G254+VLOOKUP($D$2,Calcs!$A$23:$B$27,2,FALSE)+I254)</f>
        <v>0</v>
      </c>
      <c r="K254" s="245" t="str">
        <f>IF(ISBLANK(I254)," ",VLOOKUP(J254,Calcs!$A$82:$H$106,2,TRUE))</f>
        <v xml:space="preserve"> </v>
      </c>
      <c r="L254" s="245">
        <f>IF(ISBLANK(I254),0,VLOOKUP(J254,Calcs!$A$82:$F$106,5,TRUE))</f>
        <v>0</v>
      </c>
      <c r="M254" s="208">
        <f>IF(J254=13,IF(ISNUMBER(W253),VLOOKUP(W253+1,Calcs!$O$4:$Q$24,3,TRUE)-V253,5),IF(J254&lt;10,0,IF(J254&lt;18,1,IF(J254&lt;22,2,IF(ISNUMBER(W253),VLOOKUP(W253+1,Calcs!$O$4:$Q$24,3,TRUE)-V253,5)))))</f>
        <v>0</v>
      </c>
      <c r="N254" s="245" t="str">
        <f t="shared" si="29"/>
        <v xml:space="preserve"> </v>
      </c>
      <c r="O254" s="245" t="str">
        <f t="shared" si="29"/>
        <v xml:space="preserve"> </v>
      </c>
      <c r="P254" s="245" t="str">
        <f t="shared" si="29"/>
        <v xml:space="preserve"> </v>
      </c>
      <c r="Q254" s="245" t="str">
        <f t="shared" si="29"/>
        <v xml:space="preserve"> </v>
      </c>
      <c r="R254" s="245" t="str">
        <f t="shared" si="29"/>
        <v xml:space="preserve"> </v>
      </c>
      <c r="S254" s="245" t="str">
        <f t="shared" si="29"/>
        <v xml:space="preserve"> </v>
      </c>
      <c r="T254" s="245" t="str">
        <f t="shared" si="29"/>
        <v xml:space="preserve"> </v>
      </c>
      <c r="U254" s="245" t="str">
        <f t="shared" si="29"/>
        <v xml:space="preserve"> </v>
      </c>
      <c r="V254" s="208">
        <f>SUM($N$10:$U254)</f>
        <v>0</v>
      </c>
      <c r="W254" s="208">
        <f>VLOOKUP(V254,Calcs!$Q$4:$R$24,2,TRUE)</f>
        <v>0</v>
      </c>
      <c r="X254" s="435" t="str">
        <f t="shared" si="26"/>
        <v>No</v>
      </c>
      <c r="Y254" s="436"/>
      <c r="Z254" s="435">
        <f t="shared" si="27"/>
        <v>0</v>
      </c>
      <c r="AA254" s="245" t="str">
        <f>IF(AND(X254="Yes",NOT(ISBLANK(Z254))),VLOOKUP(Z254,Calcs!$Y$48:$Z$57,2,TRUE)," ")</f>
        <v xml:space="preserve"> </v>
      </c>
    </row>
    <row r="255" spans="1:27" x14ac:dyDescent="0.2">
      <c r="A255" s="425">
        <f t="shared" si="28"/>
        <v>281</v>
      </c>
      <c r="B255" s="425" t="str">
        <f t="shared" si="24"/>
        <v>Winter</v>
      </c>
      <c r="C255" s="247">
        <f>IF(B255="Winter",A255-('Start Character'!$K$6)-1,IF('Start Character'!$K$7&gt;6,A255-('Start Character'!$K$6)-1,A255-('Start Character'!$K$6)))</f>
        <v>280</v>
      </c>
      <c r="D255" s="247">
        <f t="shared" si="25"/>
        <v>280</v>
      </c>
      <c r="E255" s="246"/>
      <c r="F255" s="83"/>
      <c r="G255" s="83"/>
      <c r="H255" s="246"/>
      <c r="I255" s="433"/>
      <c r="J255" s="254">
        <f>IF(ISBLANK(I255),0,ROUNDUP(D255/10,0)-E255-H255-F255-G255+VLOOKUP($D$2,Calcs!$A$23:$B$27,2,FALSE)+I255)</f>
        <v>0</v>
      </c>
      <c r="K255" s="245" t="str">
        <f>IF(ISBLANK(I255)," ",VLOOKUP(J255,Calcs!$A$82:$H$106,2,TRUE))</f>
        <v xml:space="preserve"> </v>
      </c>
      <c r="L255" s="245">
        <f>IF(ISBLANK(I255),0,VLOOKUP(J255,Calcs!$A$82:$F$106,5,TRUE))</f>
        <v>0</v>
      </c>
      <c r="M255" s="208">
        <f>IF(J255=13,IF(ISNUMBER(W254),VLOOKUP(W254+1,Calcs!$O$4:$Q$24,3,TRUE)-V254,5),IF(J255&lt;10,0,IF(J255&lt;18,1,IF(J255&lt;22,2,IF(ISNUMBER(W254),VLOOKUP(W254+1,Calcs!$O$4:$Q$24,3,TRUE)-V254,5)))))</f>
        <v>0</v>
      </c>
      <c r="N255" s="245" t="str">
        <f t="shared" si="29"/>
        <v xml:space="preserve"> </v>
      </c>
      <c r="O255" s="245" t="str">
        <f t="shared" si="29"/>
        <v xml:space="preserve"> </v>
      </c>
      <c r="P255" s="245" t="str">
        <f t="shared" si="29"/>
        <v xml:space="preserve"> </v>
      </c>
      <c r="Q255" s="245" t="str">
        <f t="shared" si="29"/>
        <v xml:space="preserve"> </v>
      </c>
      <c r="R255" s="245" t="str">
        <f t="shared" si="29"/>
        <v xml:space="preserve"> </v>
      </c>
      <c r="S255" s="245" t="str">
        <f t="shared" si="29"/>
        <v xml:space="preserve"> </v>
      </c>
      <c r="T255" s="245" t="str">
        <f t="shared" si="29"/>
        <v xml:space="preserve"> </v>
      </c>
      <c r="U255" s="245" t="str">
        <f t="shared" si="29"/>
        <v xml:space="preserve"> </v>
      </c>
      <c r="V255" s="208">
        <f>SUM($N$10:$U255)</f>
        <v>0</v>
      </c>
      <c r="W255" s="208">
        <f>VLOOKUP(V255,Calcs!$Q$4:$R$24,2,TRUE)</f>
        <v>0</v>
      </c>
      <c r="X255" s="435" t="str">
        <f t="shared" si="26"/>
        <v>No</v>
      </c>
      <c r="Y255" s="436"/>
      <c r="Z255" s="435">
        <f t="shared" si="27"/>
        <v>0</v>
      </c>
      <c r="AA255" s="245" t="str">
        <f>IF(AND(X255="Yes",NOT(ISBLANK(Z255))),VLOOKUP(Z255,Calcs!$Y$48:$Z$57,2,TRUE)," ")</f>
        <v xml:space="preserve"> </v>
      </c>
    </row>
    <row r="256" spans="1:27" x14ac:dyDescent="0.2">
      <c r="A256" s="425">
        <f t="shared" si="28"/>
        <v>282</v>
      </c>
      <c r="B256" s="425" t="str">
        <f t="shared" si="24"/>
        <v>Winter</v>
      </c>
      <c r="C256" s="247">
        <f>IF(B256="Winter",A256-('Start Character'!$K$6)-1,IF('Start Character'!$K$7&gt;6,A256-('Start Character'!$K$6)-1,A256-('Start Character'!$K$6)))</f>
        <v>281</v>
      </c>
      <c r="D256" s="247">
        <f t="shared" si="25"/>
        <v>281</v>
      </c>
      <c r="E256" s="246"/>
      <c r="F256" s="83"/>
      <c r="G256" s="83"/>
      <c r="H256" s="246"/>
      <c r="I256" s="433"/>
      <c r="J256" s="254">
        <f>IF(ISBLANK(I256),0,ROUNDUP(D256/10,0)-E256-H256-F256-G256+VLOOKUP($D$2,Calcs!$A$23:$B$27,2,FALSE)+I256)</f>
        <v>0</v>
      </c>
      <c r="K256" s="245" t="str">
        <f>IF(ISBLANK(I256)," ",VLOOKUP(J256,Calcs!$A$82:$H$106,2,TRUE))</f>
        <v xml:space="preserve"> </v>
      </c>
      <c r="L256" s="245">
        <f>IF(ISBLANK(I256),0,VLOOKUP(J256,Calcs!$A$82:$F$106,5,TRUE))</f>
        <v>0</v>
      </c>
      <c r="M256" s="208">
        <f>IF(J256=13,IF(ISNUMBER(W255),VLOOKUP(W255+1,Calcs!$O$4:$Q$24,3,TRUE)-V255,5),IF(J256&lt;10,0,IF(J256&lt;18,1,IF(J256&lt;22,2,IF(ISNUMBER(W255),VLOOKUP(W255+1,Calcs!$O$4:$Q$24,3,TRUE)-V255,5)))))</f>
        <v>0</v>
      </c>
      <c r="N256" s="245" t="str">
        <f t="shared" si="29"/>
        <v xml:space="preserve"> </v>
      </c>
      <c r="O256" s="245" t="str">
        <f t="shared" si="29"/>
        <v xml:space="preserve"> </v>
      </c>
      <c r="P256" s="245" t="str">
        <f t="shared" si="29"/>
        <v xml:space="preserve"> </v>
      </c>
      <c r="Q256" s="245" t="str">
        <f t="shared" si="29"/>
        <v xml:space="preserve"> </v>
      </c>
      <c r="R256" s="245" t="str">
        <f t="shared" si="29"/>
        <v xml:space="preserve"> </v>
      </c>
      <c r="S256" s="245" t="str">
        <f t="shared" si="29"/>
        <v xml:space="preserve"> </v>
      </c>
      <c r="T256" s="245" t="str">
        <f t="shared" si="29"/>
        <v xml:space="preserve"> </v>
      </c>
      <c r="U256" s="245" t="str">
        <f t="shared" si="29"/>
        <v xml:space="preserve"> </v>
      </c>
      <c r="V256" s="208">
        <f>SUM($N$10:$U256)</f>
        <v>0</v>
      </c>
      <c r="W256" s="208">
        <f>VLOOKUP(V256,Calcs!$Q$4:$R$24,2,TRUE)</f>
        <v>0</v>
      </c>
      <c r="X256" s="435" t="str">
        <f t="shared" si="26"/>
        <v>No</v>
      </c>
      <c r="Y256" s="436"/>
      <c r="Z256" s="435">
        <f t="shared" si="27"/>
        <v>0</v>
      </c>
      <c r="AA256" s="245" t="str">
        <f>IF(AND(X256="Yes",NOT(ISBLANK(Z256))),VLOOKUP(Z256,Calcs!$Y$48:$Z$57,2,TRUE)," ")</f>
        <v xml:space="preserve"> </v>
      </c>
    </row>
    <row r="257" spans="1:27" x14ac:dyDescent="0.2">
      <c r="A257" s="425">
        <f t="shared" si="28"/>
        <v>283</v>
      </c>
      <c r="B257" s="425" t="str">
        <f t="shared" si="24"/>
        <v>Winter</v>
      </c>
      <c r="C257" s="247">
        <f>IF(B257="Winter",A257-('Start Character'!$K$6)-1,IF('Start Character'!$K$7&gt;6,A257-('Start Character'!$K$6)-1,A257-('Start Character'!$K$6)))</f>
        <v>282</v>
      </c>
      <c r="D257" s="247">
        <f t="shared" si="25"/>
        <v>282</v>
      </c>
      <c r="E257" s="246"/>
      <c r="F257" s="83"/>
      <c r="G257" s="83"/>
      <c r="H257" s="246"/>
      <c r="I257" s="433"/>
      <c r="J257" s="254">
        <f>IF(ISBLANK(I257),0,ROUNDUP(D257/10,0)-E257-H257-F257-G257+VLOOKUP($D$2,Calcs!$A$23:$B$27,2,FALSE)+I257)</f>
        <v>0</v>
      </c>
      <c r="K257" s="245" t="str">
        <f>IF(ISBLANK(I257)," ",VLOOKUP(J257,Calcs!$A$82:$H$106,2,TRUE))</f>
        <v xml:space="preserve"> </v>
      </c>
      <c r="L257" s="245">
        <f>IF(ISBLANK(I257),0,VLOOKUP(J257,Calcs!$A$82:$F$106,5,TRUE))</f>
        <v>0</v>
      </c>
      <c r="M257" s="208">
        <f>IF(J257=13,IF(ISNUMBER(W256),VLOOKUP(W256+1,Calcs!$O$4:$Q$24,3,TRUE)-V256,5),IF(J257&lt;10,0,IF(J257&lt;18,1,IF(J257&lt;22,2,IF(ISNUMBER(W256),VLOOKUP(W256+1,Calcs!$O$4:$Q$24,3,TRUE)-V256,5)))))</f>
        <v>0</v>
      </c>
      <c r="N257" s="245" t="str">
        <f t="shared" si="29"/>
        <v xml:space="preserve"> </v>
      </c>
      <c r="O257" s="245" t="str">
        <f t="shared" ref="N257:U288" si="30">IF(ISERROR(FIND(O$9,$K257))," ",1)</f>
        <v xml:space="preserve"> </v>
      </c>
      <c r="P257" s="245" t="str">
        <f t="shared" si="30"/>
        <v xml:space="preserve"> </v>
      </c>
      <c r="Q257" s="245" t="str">
        <f t="shared" si="30"/>
        <v xml:space="preserve"> </v>
      </c>
      <c r="R257" s="245" t="str">
        <f t="shared" si="30"/>
        <v xml:space="preserve"> </v>
      </c>
      <c r="S257" s="245" t="str">
        <f t="shared" si="30"/>
        <v xml:space="preserve"> </v>
      </c>
      <c r="T257" s="245" t="str">
        <f t="shared" si="30"/>
        <v xml:space="preserve"> </v>
      </c>
      <c r="U257" s="245" t="str">
        <f t="shared" si="30"/>
        <v xml:space="preserve"> </v>
      </c>
      <c r="V257" s="208">
        <f>SUM($N$10:$U257)</f>
        <v>0</v>
      </c>
      <c r="W257" s="208">
        <f>VLOOKUP(V257,Calcs!$Q$4:$R$24,2,TRUE)</f>
        <v>0</v>
      </c>
      <c r="X257" s="435" t="str">
        <f t="shared" si="26"/>
        <v>No</v>
      </c>
      <c r="Y257" s="436"/>
      <c r="Z257" s="435">
        <f t="shared" si="27"/>
        <v>0</v>
      </c>
      <c r="AA257" s="245" t="str">
        <f>IF(AND(X257="Yes",NOT(ISBLANK(Z257))),VLOOKUP(Z257,Calcs!$Y$48:$Z$57,2,TRUE)," ")</f>
        <v xml:space="preserve"> </v>
      </c>
    </row>
    <row r="258" spans="1:27" x14ac:dyDescent="0.2">
      <c r="A258" s="425">
        <f t="shared" si="28"/>
        <v>284</v>
      </c>
      <c r="B258" s="425" t="str">
        <f t="shared" si="24"/>
        <v>Winter</v>
      </c>
      <c r="C258" s="247">
        <f>IF(B258="Winter",A258-('Start Character'!$K$6)-1,IF('Start Character'!$K$7&gt;6,A258-('Start Character'!$K$6)-1,A258-('Start Character'!$K$6)))</f>
        <v>283</v>
      </c>
      <c r="D258" s="247">
        <f t="shared" si="25"/>
        <v>283</v>
      </c>
      <c r="E258" s="246"/>
      <c r="F258" s="83"/>
      <c r="G258" s="83"/>
      <c r="H258" s="246"/>
      <c r="I258" s="433"/>
      <c r="J258" s="254">
        <f>IF(ISBLANK(I258),0,ROUNDUP(D258/10,0)-E258-H258-F258-G258+VLOOKUP($D$2,Calcs!$A$23:$B$27,2,FALSE)+I258)</f>
        <v>0</v>
      </c>
      <c r="K258" s="245" t="str">
        <f>IF(ISBLANK(I258)," ",VLOOKUP(J258,Calcs!$A$82:$H$106,2,TRUE))</f>
        <v xml:space="preserve"> </v>
      </c>
      <c r="L258" s="245">
        <f>IF(ISBLANK(I258),0,VLOOKUP(J258,Calcs!$A$82:$F$106,5,TRUE))</f>
        <v>0</v>
      </c>
      <c r="M258" s="208">
        <f>IF(J258=13,IF(ISNUMBER(W257),VLOOKUP(W257+1,Calcs!$O$4:$Q$24,3,TRUE)-V257,5),IF(J258&lt;10,0,IF(J258&lt;18,1,IF(J258&lt;22,2,IF(ISNUMBER(W257),VLOOKUP(W257+1,Calcs!$O$4:$Q$24,3,TRUE)-V257,5)))))</f>
        <v>0</v>
      </c>
      <c r="N258" s="245" t="str">
        <f t="shared" si="30"/>
        <v xml:space="preserve"> </v>
      </c>
      <c r="O258" s="245" t="str">
        <f t="shared" si="30"/>
        <v xml:space="preserve"> </v>
      </c>
      <c r="P258" s="245" t="str">
        <f t="shared" si="30"/>
        <v xml:space="preserve"> </v>
      </c>
      <c r="Q258" s="245" t="str">
        <f t="shared" si="30"/>
        <v xml:space="preserve"> </v>
      </c>
      <c r="R258" s="245" t="str">
        <f t="shared" si="30"/>
        <v xml:space="preserve"> </v>
      </c>
      <c r="S258" s="245" t="str">
        <f t="shared" si="30"/>
        <v xml:space="preserve"> </v>
      </c>
      <c r="T258" s="245" t="str">
        <f t="shared" si="30"/>
        <v xml:space="preserve"> </v>
      </c>
      <c r="U258" s="245" t="str">
        <f t="shared" si="30"/>
        <v xml:space="preserve"> </v>
      </c>
      <c r="V258" s="208">
        <f>SUM($N$10:$U258)</f>
        <v>0</v>
      </c>
      <c r="W258" s="208">
        <f>VLOOKUP(V258,Calcs!$Q$4:$R$24,2,TRUE)</f>
        <v>0</v>
      </c>
      <c r="X258" s="435" t="str">
        <f t="shared" si="26"/>
        <v>No</v>
      </c>
      <c r="Y258" s="436"/>
      <c r="Z258" s="435">
        <f t="shared" si="27"/>
        <v>0</v>
      </c>
      <c r="AA258" s="245" t="str">
        <f>IF(AND(X258="Yes",NOT(ISBLANK(Z258))),VLOOKUP(Z258,Calcs!$Y$48:$Z$57,2,TRUE)," ")</f>
        <v xml:space="preserve"> </v>
      </c>
    </row>
    <row r="259" spans="1:27" x14ac:dyDescent="0.2">
      <c r="A259" s="425">
        <f t="shared" si="28"/>
        <v>285</v>
      </c>
      <c r="B259" s="425" t="str">
        <f t="shared" si="24"/>
        <v>Winter</v>
      </c>
      <c r="C259" s="247">
        <f>IF(B259="Winter",A259-('Start Character'!$K$6)-1,IF('Start Character'!$K$7&gt;6,A259-('Start Character'!$K$6)-1,A259-('Start Character'!$K$6)))</f>
        <v>284</v>
      </c>
      <c r="D259" s="247">
        <f t="shared" si="25"/>
        <v>284</v>
      </c>
      <c r="E259" s="246"/>
      <c r="F259" s="83"/>
      <c r="G259" s="83"/>
      <c r="H259" s="246"/>
      <c r="I259" s="433"/>
      <c r="J259" s="254">
        <f>IF(ISBLANK(I259),0,ROUNDUP(D259/10,0)-E259-H259-F259-G259+VLOOKUP($D$2,Calcs!$A$23:$B$27,2,FALSE)+I259)</f>
        <v>0</v>
      </c>
      <c r="K259" s="245" t="str">
        <f>IF(ISBLANK(I259)," ",VLOOKUP(J259,Calcs!$A$82:$H$106,2,TRUE))</f>
        <v xml:space="preserve"> </v>
      </c>
      <c r="L259" s="245">
        <f>IF(ISBLANK(I259),0,VLOOKUP(J259,Calcs!$A$82:$F$106,5,TRUE))</f>
        <v>0</v>
      </c>
      <c r="M259" s="208">
        <f>IF(J259=13,IF(ISNUMBER(W258),VLOOKUP(W258+1,Calcs!$O$4:$Q$24,3,TRUE)-V258,5),IF(J259&lt;10,0,IF(J259&lt;18,1,IF(J259&lt;22,2,IF(ISNUMBER(W258),VLOOKUP(W258+1,Calcs!$O$4:$Q$24,3,TRUE)-V258,5)))))</f>
        <v>0</v>
      </c>
      <c r="N259" s="245" t="str">
        <f t="shared" si="30"/>
        <v xml:space="preserve"> </v>
      </c>
      <c r="O259" s="245" t="str">
        <f t="shared" si="30"/>
        <v xml:space="preserve"> </v>
      </c>
      <c r="P259" s="245" t="str">
        <f t="shared" si="30"/>
        <v xml:space="preserve"> </v>
      </c>
      <c r="Q259" s="245" t="str">
        <f t="shared" si="30"/>
        <v xml:space="preserve"> </v>
      </c>
      <c r="R259" s="245" t="str">
        <f t="shared" si="30"/>
        <v xml:space="preserve"> </v>
      </c>
      <c r="S259" s="245" t="str">
        <f t="shared" si="30"/>
        <v xml:space="preserve"> </v>
      </c>
      <c r="T259" s="245" t="str">
        <f t="shared" si="30"/>
        <v xml:space="preserve"> </v>
      </c>
      <c r="U259" s="245" t="str">
        <f t="shared" si="30"/>
        <v xml:space="preserve"> </v>
      </c>
      <c r="V259" s="208">
        <f>SUM($N$10:$U259)</f>
        <v>0</v>
      </c>
      <c r="W259" s="208">
        <f>VLOOKUP(V259,Calcs!$Q$4:$R$24,2,TRUE)</f>
        <v>0</v>
      </c>
      <c r="X259" s="435" t="str">
        <f t="shared" si="26"/>
        <v>No</v>
      </c>
      <c r="Y259" s="436"/>
      <c r="Z259" s="435">
        <f t="shared" si="27"/>
        <v>0</v>
      </c>
      <c r="AA259" s="245" t="str">
        <f>IF(AND(X259="Yes",NOT(ISBLANK(Z259))),VLOOKUP(Z259,Calcs!$Y$48:$Z$57,2,TRUE)," ")</f>
        <v xml:space="preserve"> </v>
      </c>
    </row>
    <row r="260" spans="1:27" x14ac:dyDescent="0.2">
      <c r="A260" s="425">
        <f t="shared" si="28"/>
        <v>286</v>
      </c>
      <c r="B260" s="425" t="str">
        <f t="shared" si="24"/>
        <v>Winter</v>
      </c>
      <c r="C260" s="247">
        <f>IF(B260="Winter",A260-('Start Character'!$K$6)-1,IF('Start Character'!$K$7&gt;6,A260-('Start Character'!$K$6)-1,A260-('Start Character'!$K$6)))</f>
        <v>285</v>
      </c>
      <c r="D260" s="247">
        <f t="shared" si="25"/>
        <v>285</v>
      </c>
      <c r="E260" s="246"/>
      <c r="F260" s="83"/>
      <c r="G260" s="83"/>
      <c r="H260" s="246"/>
      <c r="I260" s="433"/>
      <c r="J260" s="254">
        <f>IF(ISBLANK(I260),0,ROUNDUP(D260/10,0)-E260-H260-F260-G260+VLOOKUP($D$2,Calcs!$A$23:$B$27,2,FALSE)+I260)</f>
        <v>0</v>
      </c>
      <c r="K260" s="245" t="str">
        <f>IF(ISBLANK(I260)," ",VLOOKUP(J260,Calcs!$A$82:$H$106,2,TRUE))</f>
        <v xml:space="preserve"> </v>
      </c>
      <c r="L260" s="245">
        <f>IF(ISBLANK(I260),0,VLOOKUP(J260,Calcs!$A$82:$F$106,5,TRUE))</f>
        <v>0</v>
      </c>
      <c r="M260" s="208">
        <f>IF(J260=13,IF(ISNUMBER(W259),VLOOKUP(W259+1,Calcs!$O$4:$Q$24,3,TRUE)-V259,5),IF(J260&lt;10,0,IF(J260&lt;18,1,IF(J260&lt;22,2,IF(ISNUMBER(W259),VLOOKUP(W259+1,Calcs!$O$4:$Q$24,3,TRUE)-V259,5)))))</f>
        <v>0</v>
      </c>
      <c r="N260" s="245" t="str">
        <f t="shared" si="30"/>
        <v xml:space="preserve"> </v>
      </c>
      <c r="O260" s="245" t="str">
        <f t="shared" si="30"/>
        <v xml:space="preserve"> </v>
      </c>
      <c r="P260" s="245" t="str">
        <f t="shared" si="30"/>
        <v xml:space="preserve"> </v>
      </c>
      <c r="Q260" s="245" t="str">
        <f t="shared" si="30"/>
        <v xml:space="preserve"> </v>
      </c>
      <c r="R260" s="245" t="str">
        <f t="shared" si="30"/>
        <v xml:space="preserve"> </v>
      </c>
      <c r="S260" s="245" t="str">
        <f t="shared" si="30"/>
        <v xml:space="preserve"> </v>
      </c>
      <c r="T260" s="245" t="str">
        <f t="shared" si="30"/>
        <v xml:space="preserve"> </v>
      </c>
      <c r="U260" s="245" t="str">
        <f t="shared" si="30"/>
        <v xml:space="preserve"> </v>
      </c>
      <c r="V260" s="208">
        <f>SUM($N$10:$U260)</f>
        <v>0</v>
      </c>
      <c r="W260" s="208">
        <f>VLOOKUP(V260,Calcs!$Q$4:$R$24,2,TRUE)</f>
        <v>0</v>
      </c>
      <c r="X260" s="435" t="str">
        <f t="shared" si="26"/>
        <v>No</v>
      </c>
      <c r="Y260" s="436"/>
      <c r="Z260" s="435">
        <f t="shared" si="27"/>
        <v>0</v>
      </c>
      <c r="AA260" s="245" t="str">
        <f>IF(AND(X260="Yes",NOT(ISBLANK(Z260))),VLOOKUP(Z260,Calcs!$Y$48:$Z$57,2,TRUE)," ")</f>
        <v xml:space="preserve"> </v>
      </c>
    </row>
    <row r="261" spans="1:27" x14ac:dyDescent="0.2">
      <c r="A261" s="425">
        <f t="shared" si="28"/>
        <v>287</v>
      </c>
      <c r="B261" s="425" t="str">
        <f t="shared" si="24"/>
        <v>Winter</v>
      </c>
      <c r="C261" s="247">
        <f>IF(B261="Winter",A261-('Start Character'!$K$6)-1,IF('Start Character'!$K$7&gt;6,A261-('Start Character'!$K$6)-1,A261-('Start Character'!$K$6)))</f>
        <v>286</v>
      </c>
      <c r="D261" s="247">
        <f t="shared" si="25"/>
        <v>286</v>
      </c>
      <c r="E261" s="246"/>
      <c r="F261" s="83"/>
      <c r="G261" s="83"/>
      <c r="H261" s="246"/>
      <c r="I261" s="433"/>
      <c r="J261" s="254">
        <f>IF(ISBLANK(I261),0,ROUNDUP(D261/10,0)-E261-H261-F261-G261+VLOOKUP($D$2,Calcs!$A$23:$B$27,2,FALSE)+I261)</f>
        <v>0</v>
      </c>
      <c r="K261" s="245" t="str">
        <f>IF(ISBLANK(I261)," ",VLOOKUP(J261,Calcs!$A$82:$H$106,2,TRUE))</f>
        <v xml:space="preserve"> </v>
      </c>
      <c r="L261" s="245">
        <f>IF(ISBLANK(I261),0,VLOOKUP(J261,Calcs!$A$82:$F$106,5,TRUE))</f>
        <v>0</v>
      </c>
      <c r="M261" s="208">
        <f>IF(J261=13,IF(ISNUMBER(W260),VLOOKUP(W260+1,Calcs!$O$4:$Q$24,3,TRUE)-V260,5),IF(J261&lt;10,0,IF(J261&lt;18,1,IF(J261&lt;22,2,IF(ISNUMBER(W260),VLOOKUP(W260+1,Calcs!$O$4:$Q$24,3,TRUE)-V260,5)))))</f>
        <v>0</v>
      </c>
      <c r="N261" s="245" t="str">
        <f t="shared" si="30"/>
        <v xml:space="preserve"> </v>
      </c>
      <c r="O261" s="245" t="str">
        <f t="shared" si="30"/>
        <v xml:space="preserve"> </v>
      </c>
      <c r="P261" s="245" t="str">
        <f t="shared" si="30"/>
        <v xml:space="preserve"> </v>
      </c>
      <c r="Q261" s="245" t="str">
        <f t="shared" si="30"/>
        <v xml:space="preserve"> </v>
      </c>
      <c r="R261" s="245" t="str">
        <f t="shared" si="30"/>
        <v xml:space="preserve"> </v>
      </c>
      <c r="S261" s="245" t="str">
        <f t="shared" si="30"/>
        <v xml:space="preserve"> </v>
      </c>
      <c r="T261" s="245" t="str">
        <f t="shared" si="30"/>
        <v xml:space="preserve"> </v>
      </c>
      <c r="U261" s="245" t="str">
        <f t="shared" si="30"/>
        <v xml:space="preserve"> </v>
      </c>
      <c r="V261" s="208">
        <f>SUM($N$10:$U261)</f>
        <v>0</v>
      </c>
      <c r="W261" s="208">
        <f>VLOOKUP(V261,Calcs!$Q$4:$R$24,2,TRUE)</f>
        <v>0</v>
      </c>
      <c r="X261" s="435" t="str">
        <f t="shared" si="26"/>
        <v>No</v>
      </c>
      <c r="Y261" s="436"/>
      <c r="Z261" s="435">
        <f t="shared" si="27"/>
        <v>0</v>
      </c>
      <c r="AA261" s="245" t="str">
        <f>IF(AND(X261="Yes",NOT(ISBLANK(Z261))),VLOOKUP(Z261,Calcs!$Y$48:$Z$57,2,TRUE)," ")</f>
        <v xml:space="preserve"> </v>
      </c>
    </row>
    <row r="262" spans="1:27" x14ac:dyDescent="0.2">
      <c r="A262" s="425">
        <f t="shared" si="28"/>
        <v>288</v>
      </c>
      <c r="B262" s="425" t="str">
        <f t="shared" si="24"/>
        <v>Winter</v>
      </c>
      <c r="C262" s="247">
        <f>IF(B262="Winter",A262-('Start Character'!$K$6)-1,IF('Start Character'!$K$7&gt;6,A262-('Start Character'!$K$6)-1,A262-('Start Character'!$K$6)))</f>
        <v>287</v>
      </c>
      <c r="D262" s="247">
        <f t="shared" si="25"/>
        <v>287</v>
      </c>
      <c r="E262" s="246"/>
      <c r="F262" s="83"/>
      <c r="G262" s="83"/>
      <c r="H262" s="246"/>
      <c r="I262" s="433"/>
      <c r="J262" s="254">
        <f>IF(ISBLANK(I262),0,ROUNDUP(D262/10,0)-E262-H262-F262-G262+VLOOKUP($D$2,Calcs!$A$23:$B$27,2,FALSE)+I262)</f>
        <v>0</v>
      </c>
      <c r="K262" s="245" t="str">
        <f>IF(ISBLANK(I262)," ",VLOOKUP(J262,Calcs!$A$82:$H$106,2,TRUE))</f>
        <v xml:space="preserve"> </v>
      </c>
      <c r="L262" s="245">
        <f>IF(ISBLANK(I262),0,VLOOKUP(J262,Calcs!$A$82:$F$106,5,TRUE))</f>
        <v>0</v>
      </c>
      <c r="M262" s="208">
        <f>IF(J262=13,IF(ISNUMBER(W261),VLOOKUP(W261+1,Calcs!$O$4:$Q$24,3,TRUE)-V261,5),IF(J262&lt;10,0,IF(J262&lt;18,1,IF(J262&lt;22,2,IF(ISNUMBER(W261),VLOOKUP(W261+1,Calcs!$O$4:$Q$24,3,TRUE)-V261,5)))))</f>
        <v>0</v>
      </c>
      <c r="N262" s="245" t="str">
        <f t="shared" si="30"/>
        <v xml:space="preserve"> </v>
      </c>
      <c r="O262" s="245" t="str">
        <f t="shared" si="30"/>
        <v xml:space="preserve"> </v>
      </c>
      <c r="P262" s="245" t="str">
        <f t="shared" si="30"/>
        <v xml:space="preserve"> </v>
      </c>
      <c r="Q262" s="245" t="str">
        <f t="shared" si="30"/>
        <v xml:space="preserve"> </v>
      </c>
      <c r="R262" s="245" t="str">
        <f t="shared" si="30"/>
        <v xml:space="preserve"> </v>
      </c>
      <c r="S262" s="245" t="str">
        <f t="shared" si="30"/>
        <v xml:space="preserve"> </v>
      </c>
      <c r="T262" s="245" t="str">
        <f t="shared" si="30"/>
        <v xml:space="preserve"> </v>
      </c>
      <c r="U262" s="245" t="str">
        <f t="shared" si="30"/>
        <v xml:space="preserve"> </v>
      </c>
      <c r="V262" s="208">
        <f>SUM($N$10:$U262)</f>
        <v>0</v>
      </c>
      <c r="W262" s="208">
        <f>VLOOKUP(V262,Calcs!$Q$4:$R$24,2,TRUE)</f>
        <v>0</v>
      </c>
      <c r="X262" s="435" t="str">
        <f t="shared" si="26"/>
        <v>No</v>
      </c>
      <c r="Y262" s="436"/>
      <c r="Z262" s="435">
        <f t="shared" si="27"/>
        <v>0</v>
      </c>
      <c r="AA262" s="245" t="str">
        <f>IF(AND(X262="Yes",NOT(ISBLANK(Z262))),VLOOKUP(Z262,Calcs!$Y$48:$Z$57,2,TRUE)," ")</f>
        <v xml:space="preserve"> </v>
      </c>
    </row>
    <row r="263" spans="1:27" x14ac:dyDescent="0.2">
      <c r="A263" s="425">
        <f t="shared" si="28"/>
        <v>289</v>
      </c>
      <c r="B263" s="425" t="str">
        <f t="shared" si="24"/>
        <v>Winter</v>
      </c>
      <c r="C263" s="247">
        <f>IF(B263="Winter",A263-('Start Character'!$K$6)-1,IF('Start Character'!$K$7&gt;6,A263-('Start Character'!$K$6)-1,A263-('Start Character'!$K$6)))</f>
        <v>288</v>
      </c>
      <c r="D263" s="247">
        <f t="shared" si="25"/>
        <v>288</v>
      </c>
      <c r="E263" s="246"/>
      <c r="F263" s="83"/>
      <c r="G263" s="83"/>
      <c r="H263" s="246"/>
      <c r="I263" s="433"/>
      <c r="J263" s="254">
        <f>IF(ISBLANK(I263),0,ROUNDUP(D263/10,0)-E263-H263-F263-G263+VLOOKUP($D$2,Calcs!$A$23:$B$27,2,FALSE)+I263)</f>
        <v>0</v>
      </c>
      <c r="K263" s="245" t="str">
        <f>IF(ISBLANK(I263)," ",VLOOKUP(J263,Calcs!$A$82:$H$106,2,TRUE))</f>
        <v xml:space="preserve"> </v>
      </c>
      <c r="L263" s="245">
        <f>IF(ISBLANK(I263),0,VLOOKUP(J263,Calcs!$A$82:$F$106,5,TRUE))</f>
        <v>0</v>
      </c>
      <c r="M263" s="208">
        <f>IF(J263=13,IF(ISNUMBER(W262),VLOOKUP(W262+1,Calcs!$O$4:$Q$24,3,TRUE)-V262,5),IF(J263&lt;10,0,IF(J263&lt;18,1,IF(J263&lt;22,2,IF(ISNUMBER(W262),VLOOKUP(W262+1,Calcs!$O$4:$Q$24,3,TRUE)-V262,5)))))</f>
        <v>0</v>
      </c>
      <c r="N263" s="245" t="str">
        <f t="shared" si="30"/>
        <v xml:space="preserve"> </v>
      </c>
      <c r="O263" s="245" t="str">
        <f t="shared" si="30"/>
        <v xml:space="preserve"> </v>
      </c>
      <c r="P263" s="245" t="str">
        <f t="shared" si="30"/>
        <v xml:space="preserve"> </v>
      </c>
      <c r="Q263" s="245" t="str">
        <f t="shared" si="30"/>
        <v xml:space="preserve"> </v>
      </c>
      <c r="R263" s="245" t="str">
        <f t="shared" si="30"/>
        <v xml:space="preserve"> </v>
      </c>
      <c r="S263" s="245" t="str">
        <f t="shared" si="30"/>
        <v xml:space="preserve"> </v>
      </c>
      <c r="T263" s="245" t="str">
        <f t="shared" si="30"/>
        <v xml:space="preserve"> </v>
      </c>
      <c r="U263" s="245" t="str">
        <f t="shared" si="30"/>
        <v xml:space="preserve"> </v>
      </c>
      <c r="V263" s="208">
        <f>SUM($N$10:$U263)</f>
        <v>0</v>
      </c>
      <c r="W263" s="208">
        <f>VLOOKUP(V263,Calcs!$Q$4:$R$24,2,TRUE)</f>
        <v>0</v>
      </c>
      <c r="X263" s="435" t="str">
        <f t="shared" si="26"/>
        <v>No</v>
      </c>
      <c r="Y263" s="436"/>
      <c r="Z263" s="435">
        <f t="shared" si="27"/>
        <v>0</v>
      </c>
      <c r="AA263" s="245" t="str">
        <f>IF(AND(X263="Yes",NOT(ISBLANK(Z263))),VLOOKUP(Z263,Calcs!$Y$48:$Z$57,2,TRUE)," ")</f>
        <v xml:space="preserve"> </v>
      </c>
    </row>
    <row r="264" spans="1:27" x14ac:dyDescent="0.2">
      <c r="A264" s="425">
        <f t="shared" si="28"/>
        <v>290</v>
      </c>
      <c r="B264" s="425" t="str">
        <f t="shared" si="24"/>
        <v>Winter</v>
      </c>
      <c r="C264" s="247">
        <f>IF(B264="Winter",A264-('Start Character'!$K$6)-1,IF('Start Character'!$K$7&gt;6,A264-('Start Character'!$K$6)-1,A264-('Start Character'!$K$6)))</f>
        <v>289</v>
      </c>
      <c r="D264" s="247">
        <f t="shared" si="25"/>
        <v>289</v>
      </c>
      <c r="E264" s="246"/>
      <c r="F264" s="83"/>
      <c r="G264" s="83"/>
      <c r="H264" s="246"/>
      <c r="I264" s="433"/>
      <c r="J264" s="254">
        <f>IF(ISBLANK(I264),0,ROUNDUP(D264/10,0)-E264-H264-F264-G264+VLOOKUP($D$2,Calcs!$A$23:$B$27,2,FALSE)+I264)</f>
        <v>0</v>
      </c>
      <c r="K264" s="245" t="str">
        <f>IF(ISBLANK(I264)," ",VLOOKUP(J264,Calcs!$A$82:$H$106,2,TRUE))</f>
        <v xml:space="preserve"> </v>
      </c>
      <c r="L264" s="245">
        <f>IF(ISBLANK(I264),0,VLOOKUP(J264,Calcs!$A$82:$F$106,5,TRUE))</f>
        <v>0</v>
      </c>
      <c r="M264" s="208">
        <f>IF(J264=13,IF(ISNUMBER(W263),VLOOKUP(W263+1,Calcs!$O$4:$Q$24,3,TRUE)-V263,5),IF(J264&lt;10,0,IF(J264&lt;18,1,IF(J264&lt;22,2,IF(ISNUMBER(W263),VLOOKUP(W263+1,Calcs!$O$4:$Q$24,3,TRUE)-V263,5)))))</f>
        <v>0</v>
      </c>
      <c r="N264" s="245" t="str">
        <f t="shared" si="30"/>
        <v xml:space="preserve"> </v>
      </c>
      <c r="O264" s="245" t="str">
        <f t="shared" si="30"/>
        <v xml:space="preserve"> </v>
      </c>
      <c r="P264" s="245" t="str">
        <f t="shared" si="30"/>
        <v xml:space="preserve"> </v>
      </c>
      <c r="Q264" s="245" t="str">
        <f t="shared" si="30"/>
        <v xml:space="preserve"> </v>
      </c>
      <c r="R264" s="245" t="str">
        <f t="shared" si="30"/>
        <v xml:space="preserve"> </v>
      </c>
      <c r="S264" s="245" t="str">
        <f t="shared" si="30"/>
        <v xml:space="preserve"> </v>
      </c>
      <c r="T264" s="245" t="str">
        <f t="shared" si="30"/>
        <v xml:space="preserve"> </v>
      </c>
      <c r="U264" s="245" t="str">
        <f t="shared" si="30"/>
        <v xml:space="preserve"> </v>
      </c>
      <c r="V264" s="208">
        <f>SUM($N$10:$U264)</f>
        <v>0</v>
      </c>
      <c r="W264" s="208">
        <f>VLOOKUP(V264,Calcs!$Q$4:$R$24,2,TRUE)</f>
        <v>0</v>
      </c>
      <c r="X264" s="435" t="str">
        <f t="shared" si="26"/>
        <v>No</v>
      </c>
      <c r="Y264" s="436"/>
      <c r="Z264" s="435">
        <f t="shared" si="27"/>
        <v>0</v>
      </c>
      <c r="AA264" s="245" t="str">
        <f>IF(AND(X264="Yes",NOT(ISBLANK(Z264))),VLOOKUP(Z264,Calcs!$Y$48:$Z$57,2,TRUE)," ")</f>
        <v xml:space="preserve"> </v>
      </c>
    </row>
    <row r="265" spans="1:27" x14ac:dyDescent="0.2">
      <c r="A265" s="425">
        <f t="shared" si="28"/>
        <v>291</v>
      </c>
      <c r="B265" s="425" t="str">
        <f t="shared" si="24"/>
        <v>Winter</v>
      </c>
      <c r="C265" s="247">
        <f>IF(B265="Winter",A265-('Start Character'!$K$6)-1,IF('Start Character'!$K$7&gt;6,A265-('Start Character'!$K$6)-1,A265-('Start Character'!$K$6)))</f>
        <v>290</v>
      </c>
      <c r="D265" s="247">
        <f t="shared" si="25"/>
        <v>290</v>
      </c>
      <c r="E265" s="246"/>
      <c r="F265" s="83"/>
      <c r="G265" s="83"/>
      <c r="H265" s="246"/>
      <c r="I265" s="433"/>
      <c r="J265" s="254">
        <f>IF(ISBLANK(I265),0,ROUNDUP(D265/10,0)-E265-H265-F265-G265+VLOOKUP($D$2,Calcs!$A$23:$B$27,2,FALSE)+I265)</f>
        <v>0</v>
      </c>
      <c r="K265" s="245" t="str">
        <f>IF(ISBLANK(I265)," ",VLOOKUP(J265,Calcs!$A$82:$H$106,2,TRUE))</f>
        <v xml:space="preserve"> </v>
      </c>
      <c r="L265" s="245">
        <f>IF(ISBLANK(I265),0,VLOOKUP(J265,Calcs!$A$82:$F$106,5,TRUE))</f>
        <v>0</v>
      </c>
      <c r="M265" s="208">
        <f>IF(J265=13,IF(ISNUMBER(W264),VLOOKUP(W264+1,Calcs!$O$4:$Q$24,3,TRUE)-V264,5),IF(J265&lt;10,0,IF(J265&lt;18,1,IF(J265&lt;22,2,IF(ISNUMBER(W264),VLOOKUP(W264+1,Calcs!$O$4:$Q$24,3,TRUE)-V264,5)))))</f>
        <v>0</v>
      </c>
      <c r="N265" s="245" t="str">
        <f t="shared" si="30"/>
        <v xml:space="preserve"> </v>
      </c>
      <c r="O265" s="245" t="str">
        <f t="shared" si="30"/>
        <v xml:space="preserve"> </v>
      </c>
      <c r="P265" s="245" t="str">
        <f t="shared" si="30"/>
        <v xml:space="preserve"> </v>
      </c>
      <c r="Q265" s="245" t="str">
        <f t="shared" si="30"/>
        <v xml:space="preserve"> </v>
      </c>
      <c r="R265" s="245" t="str">
        <f t="shared" si="30"/>
        <v xml:space="preserve"> </v>
      </c>
      <c r="S265" s="245" t="str">
        <f t="shared" si="30"/>
        <v xml:space="preserve"> </v>
      </c>
      <c r="T265" s="245" t="str">
        <f t="shared" si="30"/>
        <v xml:space="preserve"> </v>
      </c>
      <c r="U265" s="245" t="str">
        <f t="shared" si="30"/>
        <v xml:space="preserve"> </v>
      </c>
      <c r="V265" s="208">
        <f>SUM($N$10:$U265)</f>
        <v>0</v>
      </c>
      <c r="W265" s="208">
        <f>VLOOKUP(V265,Calcs!$Q$4:$R$24,2,TRUE)</f>
        <v>0</v>
      </c>
      <c r="X265" s="435" t="str">
        <f t="shared" si="26"/>
        <v>No</v>
      </c>
      <c r="Y265" s="436"/>
      <c r="Z265" s="435">
        <f t="shared" si="27"/>
        <v>0</v>
      </c>
      <c r="AA265" s="245" t="str">
        <f>IF(AND(X265="Yes",NOT(ISBLANK(Z265))),VLOOKUP(Z265,Calcs!$Y$48:$Z$57,2,TRUE)," ")</f>
        <v xml:space="preserve"> </v>
      </c>
    </row>
    <row r="266" spans="1:27" x14ac:dyDescent="0.2">
      <c r="A266" s="425">
        <f t="shared" si="28"/>
        <v>292</v>
      </c>
      <c r="B266" s="425" t="str">
        <f t="shared" si="24"/>
        <v>Winter</v>
      </c>
      <c r="C266" s="247">
        <f>IF(B266="Winter",A266-('Start Character'!$K$6)-1,IF('Start Character'!$K$7&gt;6,A266-('Start Character'!$K$6)-1,A266-('Start Character'!$K$6)))</f>
        <v>291</v>
      </c>
      <c r="D266" s="247">
        <f t="shared" si="25"/>
        <v>291</v>
      </c>
      <c r="E266" s="246"/>
      <c r="F266" s="83"/>
      <c r="G266" s="83"/>
      <c r="H266" s="246"/>
      <c r="I266" s="433"/>
      <c r="J266" s="254">
        <f>IF(ISBLANK(I266),0,ROUNDUP(D266/10,0)-E266-H266-F266-G266+VLOOKUP($D$2,Calcs!$A$23:$B$27,2,FALSE)+I266)</f>
        <v>0</v>
      </c>
      <c r="K266" s="245" t="str">
        <f>IF(ISBLANK(I266)," ",VLOOKUP(J266,Calcs!$A$82:$H$106,2,TRUE))</f>
        <v xml:space="preserve"> </v>
      </c>
      <c r="L266" s="245">
        <f>IF(ISBLANK(I266),0,VLOOKUP(J266,Calcs!$A$82:$F$106,5,TRUE))</f>
        <v>0</v>
      </c>
      <c r="M266" s="208">
        <f>IF(J266=13,IF(ISNUMBER(W265),VLOOKUP(W265+1,Calcs!$O$4:$Q$24,3,TRUE)-V265,5),IF(J266&lt;10,0,IF(J266&lt;18,1,IF(J266&lt;22,2,IF(ISNUMBER(W265),VLOOKUP(W265+1,Calcs!$O$4:$Q$24,3,TRUE)-V265,5)))))</f>
        <v>0</v>
      </c>
      <c r="N266" s="245" t="str">
        <f t="shared" si="30"/>
        <v xml:space="preserve"> </v>
      </c>
      <c r="O266" s="245" t="str">
        <f t="shared" si="30"/>
        <v xml:space="preserve"> </v>
      </c>
      <c r="P266" s="245" t="str">
        <f t="shared" si="30"/>
        <v xml:space="preserve"> </v>
      </c>
      <c r="Q266" s="245" t="str">
        <f t="shared" si="30"/>
        <v xml:space="preserve"> </v>
      </c>
      <c r="R266" s="245" t="str">
        <f t="shared" si="30"/>
        <v xml:space="preserve"> </v>
      </c>
      <c r="S266" s="245" t="str">
        <f t="shared" si="30"/>
        <v xml:space="preserve"> </v>
      </c>
      <c r="T266" s="245" t="str">
        <f t="shared" si="30"/>
        <v xml:space="preserve"> </v>
      </c>
      <c r="U266" s="245" t="str">
        <f t="shared" si="30"/>
        <v xml:space="preserve"> </v>
      </c>
      <c r="V266" s="208">
        <f>SUM($N$10:$U266)</f>
        <v>0</v>
      </c>
      <c r="W266" s="208">
        <f>VLOOKUP(V266,Calcs!$Q$4:$R$24,2,TRUE)</f>
        <v>0</v>
      </c>
      <c r="X266" s="435" t="str">
        <f t="shared" si="26"/>
        <v>No</v>
      </c>
      <c r="Y266" s="436"/>
      <c r="Z266" s="435">
        <f t="shared" si="27"/>
        <v>0</v>
      </c>
      <c r="AA266" s="245" t="str">
        <f>IF(AND(X266="Yes",NOT(ISBLANK(Z266))),VLOOKUP(Z266,Calcs!$Y$48:$Z$57,2,TRUE)," ")</f>
        <v xml:space="preserve"> </v>
      </c>
    </row>
    <row r="267" spans="1:27" x14ac:dyDescent="0.2">
      <c r="A267" s="425">
        <f t="shared" si="28"/>
        <v>293</v>
      </c>
      <c r="B267" s="425" t="str">
        <f t="shared" ref="B267:B330" si="31">IF(AND($D$2="Age Quickly",B266="Winter"),"Summer","Winter")</f>
        <v>Winter</v>
      </c>
      <c r="C267" s="247">
        <f>IF(B267="Winter",A267-('Start Character'!$K$6)-1,IF('Start Character'!$K$7&gt;6,A267-('Start Character'!$K$6)-1,A267-('Start Character'!$K$6)))</f>
        <v>292</v>
      </c>
      <c r="D267" s="247">
        <f t="shared" ref="D267:D330" si="32">IF($D$2="Age Quickly",IF(C266=C267,(C267*2)+1,C267*2),C267)</f>
        <v>292</v>
      </c>
      <c r="E267" s="246"/>
      <c r="F267" s="83"/>
      <c r="G267" s="83"/>
      <c r="H267" s="246"/>
      <c r="I267" s="433"/>
      <c r="J267" s="254">
        <f>IF(ISBLANK(I267),0,ROUNDUP(D267/10,0)-E267-H267-F267-G267+VLOOKUP($D$2,Calcs!$A$23:$B$27,2,FALSE)+I267)</f>
        <v>0</v>
      </c>
      <c r="K267" s="245" t="str">
        <f>IF(ISBLANK(I267)," ",VLOOKUP(J267,Calcs!$A$82:$H$106,2,TRUE))</f>
        <v xml:space="preserve"> </v>
      </c>
      <c r="L267" s="245">
        <f>IF(ISBLANK(I267),0,VLOOKUP(J267,Calcs!$A$82:$F$106,5,TRUE))</f>
        <v>0</v>
      </c>
      <c r="M267" s="208">
        <f>IF(J267=13,IF(ISNUMBER(W266),VLOOKUP(W266+1,Calcs!$O$4:$Q$24,3,TRUE)-V266,5),IF(J267&lt;10,0,IF(J267&lt;18,1,IF(J267&lt;22,2,IF(ISNUMBER(W266),VLOOKUP(W266+1,Calcs!$O$4:$Q$24,3,TRUE)-V266,5)))))</f>
        <v>0</v>
      </c>
      <c r="N267" s="245" t="str">
        <f t="shared" si="30"/>
        <v xml:space="preserve"> </v>
      </c>
      <c r="O267" s="245" t="str">
        <f t="shared" si="30"/>
        <v xml:space="preserve"> </v>
      </c>
      <c r="P267" s="245" t="str">
        <f t="shared" si="30"/>
        <v xml:space="preserve"> </v>
      </c>
      <c r="Q267" s="245" t="str">
        <f t="shared" si="30"/>
        <v xml:space="preserve"> </v>
      </c>
      <c r="R267" s="245" t="str">
        <f t="shared" si="30"/>
        <v xml:space="preserve"> </v>
      </c>
      <c r="S267" s="245" t="str">
        <f t="shared" si="30"/>
        <v xml:space="preserve"> </v>
      </c>
      <c r="T267" s="245" t="str">
        <f t="shared" si="30"/>
        <v xml:space="preserve"> </v>
      </c>
      <c r="U267" s="245" t="str">
        <f t="shared" si="30"/>
        <v xml:space="preserve"> </v>
      </c>
      <c r="V267" s="208">
        <f>SUM($N$10:$U267)</f>
        <v>0</v>
      </c>
      <c r="W267" s="208">
        <f>VLOOKUP(V267,Calcs!$Q$4:$R$24,2,TRUE)</f>
        <v>0</v>
      </c>
      <c r="X267" s="435" t="str">
        <f t="shared" ref="X267:X330" si="33">IF(ISERROR(FIND("Crisis",K267)),"No","Yes")</f>
        <v>No</v>
      </c>
      <c r="Y267" s="436"/>
      <c r="Z267" s="435">
        <f t="shared" ref="Z267:Z330" si="34">IF(ISBLANK(Y267),0,ROUNDUP(D267/10,0)+W267+Y267)</f>
        <v>0</v>
      </c>
      <c r="AA267" s="245" t="str">
        <f>IF(AND(X267="Yes",NOT(ISBLANK(Z267))),VLOOKUP(Z267,Calcs!$Y$48:$Z$57,2,TRUE)," ")</f>
        <v xml:space="preserve"> </v>
      </c>
    </row>
    <row r="268" spans="1:27" x14ac:dyDescent="0.2">
      <c r="A268" s="425">
        <f t="shared" ref="A268:A331" si="35">IF($D$2&lt;&gt;"Age Quickly",A267+1,IF(A267=A266,A267+1,A267))</f>
        <v>294</v>
      </c>
      <c r="B268" s="425" t="str">
        <f t="shared" si="31"/>
        <v>Winter</v>
      </c>
      <c r="C268" s="247">
        <f>IF(B268="Winter",A268-('Start Character'!$K$6)-1,IF('Start Character'!$K$7&gt;6,A268-('Start Character'!$K$6)-1,A268-('Start Character'!$K$6)))</f>
        <v>293</v>
      </c>
      <c r="D268" s="247">
        <f t="shared" si="32"/>
        <v>293</v>
      </c>
      <c r="E268" s="246"/>
      <c r="F268" s="83"/>
      <c r="G268" s="83"/>
      <c r="H268" s="246"/>
      <c r="I268" s="433"/>
      <c r="J268" s="254">
        <f>IF(ISBLANK(I268),0,ROUNDUP(D268/10,0)-E268-H268-F268-G268+VLOOKUP($D$2,Calcs!$A$23:$B$27,2,FALSE)+I268)</f>
        <v>0</v>
      </c>
      <c r="K268" s="245" t="str">
        <f>IF(ISBLANK(I268)," ",VLOOKUP(J268,Calcs!$A$82:$H$106,2,TRUE))</f>
        <v xml:space="preserve"> </v>
      </c>
      <c r="L268" s="245">
        <f>IF(ISBLANK(I268),0,VLOOKUP(J268,Calcs!$A$82:$F$106,5,TRUE))</f>
        <v>0</v>
      </c>
      <c r="M268" s="208">
        <f>IF(J268=13,IF(ISNUMBER(W267),VLOOKUP(W267+1,Calcs!$O$4:$Q$24,3,TRUE)-V267,5),IF(J268&lt;10,0,IF(J268&lt;18,1,IF(J268&lt;22,2,IF(ISNUMBER(W267),VLOOKUP(W267+1,Calcs!$O$4:$Q$24,3,TRUE)-V267,5)))))</f>
        <v>0</v>
      </c>
      <c r="N268" s="245" t="str">
        <f t="shared" si="30"/>
        <v xml:space="preserve"> </v>
      </c>
      <c r="O268" s="245" t="str">
        <f t="shared" si="30"/>
        <v xml:space="preserve"> </v>
      </c>
      <c r="P268" s="245" t="str">
        <f t="shared" si="30"/>
        <v xml:space="preserve"> </v>
      </c>
      <c r="Q268" s="245" t="str">
        <f t="shared" si="30"/>
        <v xml:space="preserve"> </v>
      </c>
      <c r="R268" s="245" t="str">
        <f t="shared" si="30"/>
        <v xml:space="preserve"> </v>
      </c>
      <c r="S268" s="245" t="str">
        <f t="shared" si="30"/>
        <v xml:space="preserve"> </v>
      </c>
      <c r="T268" s="245" t="str">
        <f t="shared" si="30"/>
        <v xml:space="preserve"> </v>
      </c>
      <c r="U268" s="245" t="str">
        <f t="shared" si="30"/>
        <v xml:space="preserve"> </v>
      </c>
      <c r="V268" s="208">
        <f>SUM($N$10:$U268)</f>
        <v>0</v>
      </c>
      <c r="W268" s="208">
        <f>VLOOKUP(V268,Calcs!$Q$4:$R$24,2,TRUE)</f>
        <v>0</v>
      </c>
      <c r="X268" s="435" t="str">
        <f t="shared" si="33"/>
        <v>No</v>
      </c>
      <c r="Y268" s="436"/>
      <c r="Z268" s="435">
        <f t="shared" si="34"/>
        <v>0</v>
      </c>
      <c r="AA268" s="245" t="str">
        <f>IF(AND(X268="Yes",NOT(ISBLANK(Z268))),VLOOKUP(Z268,Calcs!$Y$48:$Z$57,2,TRUE)," ")</f>
        <v xml:space="preserve"> </v>
      </c>
    </row>
    <row r="269" spans="1:27" x14ac:dyDescent="0.2">
      <c r="A269" s="425">
        <f t="shared" si="35"/>
        <v>295</v>
      </c>
      <c r="B269" s="425" t="str">
        <f t="shared" si="31"/>
        <v>Winter</v>
      </c>
      <c r="C269" s="247">
        <f>IF(B269="Winter",A269-('Start Character'!$K$6)-1,IF('Start Character'!$K$7&gt;6,A269-('Start Character'!$K$6)-1,A269-('Start Character'!$K$6)))</f>
        <v>294</v>
      </c>
      <c r="D269" s="247">
        <f t="shared" si="32"/>
        <v>294</v>
      </c>
      <c r="E269" s="246"/>
      <c r="F269" s="83"/>
      <c r="G269" s="83"/>
      <c r="H269" s="246"/>
      <c r="I269" s="433"/>
      <c r="J269" s="254">
        <f>IF(ISBLANK(I269),0,ROUNDUP(D269/10,0)-E269-H269-F269-G269+VLOOKUP($D$2,Calcs!$A$23:$B$27,2,FALSE)+I269)</f>
        <v>0</v>
      </c>
      <c r="K269" s="245" t="str">
        <f>IF(ISBLANK(I269)," ",VLOOKUP(J269,Calcs!$A$82:$H$106,2,TRUE))</f>
        <v xml:space="preserve"> </v>
      </c>
      <c r="L269" s="245">
        <f>IF(ISBLANK(I269),0,VLOOKUP(J269,Calcs!$A$82:$F$106,5,TRUE))</f>
        <v>0</v>
      </c>
      <c r="M269" s="208">
        <f>IF(J269=13,IF(ISNUMBER(W268),VLOOKUP(W268+1,Calcs!$O$4:$Q$24,3,TRUE)-V268,5),IF(J269&lt;10,0,IF(J269&lt;18,1,IF(J269&lt;22,2,IF(ISNUMBER(W268),VLOOKUP(W268+1,Calcs!$O$4:$Q$24,3,TRUE)-V268,5)))))</f>
        <v>0</v>
      </c>
      <c r="N269" s="245" t="str">
        <f t="shared" si="30"/>
        <v xml:space="preserve"> </v>
      </c>
      <c r="O269" s="245" t="str">
        <f t="shared" si="30"/>
        <v xml:space="preserve"> </v>
      </c>
      <c r="P269" s="245" t="str">
        <f t="shared" si="30"/>
        <v xml:space="preserve"> </v>
      </c>
      <c r="Q269" s="245" t="str">
        <f t="shared" si="30"/>
        <v xml:space="preserve"> </v>
      </c>
      <c r="R269" s="245" t="str">
        <f t="shared" si="30"/>
        <v xml:space="preserve"> </v>
      </c>
      <c r="S269" s="245" t="str">
        <f t="shared" si="30"/>
        <v xml:space="preserve"> </v>
      </c>
      <c r="T269" s="245" t="str">
        <f t="shared" si="30"/>
        <v xml:space="preserve"> </v>
      </c>
      <c r="U269" s="245" t="str">
        <f t="shared" si="30"/>
        <v xml:space="preserve"> </v>
      </c>
      <c r="V269" s="208">
        <f>SUM($N$10:$U269)</f>
        <v>0</v>
      </c>
      <c r="W269" s="208">
        <f>VLOOKUP(V269,Calcs!$Q$4:$R$24,2,TRUE)</f>
        <v>0</v>
      </c>
      <c r="X269" s="435" t="str">
        <f t="shared" si="33"/>
        <v>No</v>
      </c>
      <c r="Y269" s="436"/>
      <c r="Z269" s="435">
        <f t="shared" si="34"/>
        <v>0</v>
      </c>
      <c r="AA269" s="245" t="str">
        <f>IF(AND(X269="Yes",NOT(ISBLANK(Z269))),VLOOKUP(Z269,Calcs!$Y$48:$Z$57,2,TRUE)," ")</f>
        <v xml:space="preserve"> </v>
      </c>
    </row>
    <row r="270" spans="1:27" x14ac:dyDescent="0.2">
      <c r="A270" s="425">
        <f t="shared" si="35"/>
        <v>296</v>
      </c>
      <c r="B270" s="425" t="str">
        <f t="shared" si="31"/>
        <v>Winter</v>
      </c>
      <c r="C270" s="247">
        <f>IF(B270="Winter",A270-('Start Character'!$K$6)-1,IF('Start Character'!$K$7&gt;6,A270-('Start Character'!$K$6)-1,A270-('Start Character'!$K$6)))</f>
        <v>295</v>
      </c>
      <c r="D270" s="247">
        <f t="shared" si="32"/>
        <v>295</v>
      </c>
      <c r="E270" s="246"/>
      <c r="F270" s="83"/>
      <c r="G270" s="83"/>
      <c r="H270" s="246"/>
      <c r="I270" s="433"/>
      <c r="J270" s="254">
        <f>IF(ISBLANK(I270),0,ROUNDUP(D270/10,0)-E270-H270-F270-G270+VLOOKUP($D$2,Calcs!$A$23:$B$27,2,FALSE)+I270)</f>
        <v>0</v>
      </c>
      <c r="K270" s="245" t="str">
        <f>IF(ISBLANK(I270)," ",VLOOKUP(J270,Calcs!$A$82:$H$106,2,TRUE))</f>
        <v xml:space="preserve"> </v>
      </c>
      <c r="L270" s="245">
        <f>IF(ISBLANK(I270),0,VLOOKUP(J270,Calcs!$A$82:$F$106,5,TRUE))</f>
        <v>0</v>
      </c>
      <c r="M270" s="208">
        <f>IF(J270=13,IF(ISNUMBER(W269),VLOOKUP(W269+1,Calcs!$O$4:$Q$24,3,TRUE)-V269,5),IF(J270&lt;10,0,IF(J270&lt;18,1,IF(J270&lt;22,2,IF(ISNUMBER(W269),VLOOKUP(W269+1,Calcs!$O$4:$Q$24,3,TRUE)-V269,5)))))</f>
        <v>0</v>
      </c>
      <c r="N270" s="245" t="str">
        <f t="shared" si="30"/>
        <v xml:space="preserve"> </v>
      </c>
      <c r="O270" s="245" t="str">
        <f t="shared" si="30"/>
        <v xml:space="preserve"> </v>
      </c>
      <c r="P270" s="245" t="str">
        <f t="shared" si="30"/>
        <v xml:space="preserve"> </v>
      </c>
      <c r="Q270" s="245" t="str">
        <f t="shared" si="30"/>
        <v xml:space="preserve"> </v>
      </c>
      <c r="R270" s="245" t="str">
        <f t="shared" si="30"/>
        <v xml:space="preserve"> </v>
      </c>
      <c r="S270" s="245" t="str">
        <f t="shared" si="30"/>
        <v xml:space="preserve"> </v>
      </c>
      <c r="T270" s="245" t="str">
        <f t="shared" si="30"/>
        <v xml:space="preserve"> </v>
      </c>
      <c r="U270" s="245" t="str">
        <f t="shared" si="30"/>
        <v xml:space="preserve"> </v>
      </c>
      <c r="V270" s="208">
        <f>SUM($N$10:$U270)</f>
        <v>0</v>
      </c>
      <c r="W270" s="208">
        <f>VLOOKUP(V270,Calcs!$Q$4:$R$24,2,TRUE)</f>
        <v>0</v>
      </c>
      <c r="X270" s="435" t="str">
        <f t="shared" si="33"/>
        <v>No</v>
      </c>
      <c r="Y270" s="436"/>
      <c r="Z270" s="435">
        <f t="shared" si="34"/>
        <v>0</v>
      </c>
      <c r="AA270" s="245" t="str">
        <f>IF(AND(X270="Yes",NOT(ISBLANK(Z270))),VLOOKUP(Z270,Calcs!$Y$48:$Z$57,2,TRUE)," ")</f>
        <v xml:space="preserve"> </v>
      </c>
    </row>
    <row r="271" spans="1:27" x14ac:dyDescent="0.2">
      <c r="A271" s="425">
        <f t="shared" si="35"/>
        <v>297</v>
      </c>
      <c r="B271" s="425" t="str">
        <f t="shared" si="31"/>
        <v>Winter</v>
      </c>
      <c r="C271" s="247">
        <f>IF(B271="Winter",A271-('Start Character'!$K$6)-1,IF('Start Character'!$K$7&gt;6,A271-('Start Character'!$K$6)-1,A271-('Start Character'!$K$6)))</f>
        <v>296</v>
      </c>
      <c r="D271" s="247">
        <f t="shared" si="32"/>
        <v>296</v>
      </c>
      <c r="E271" s="246"/>
      <c r="F271" s="83"/>
      <c r="G271" s="83"/>
      <c r="H271" s="246"/>
      <c r="I271" s="433"/>
      <c r="J271" s="254">
        <f>IF(ISBLANK(I271),0,ROUNDUP(D271/10,0)-E271-H271-F271-G271+VLOOKUP($D$2,Calcs!$A$23:$B$27,2,FALSE)+I271)</f>
        <v>0</v>
      </c>
      <c r="K271" s="245" t="str">
        <f>IF(ISBLANK(I271)," ",VLOOKUP(J271,Calcs!$A$82:$H$106,2,TRUE))</f>
        <v xml:space="preserve"> </v>
      </c>
      <c r="L271" s="245">
        <f>IF(ISBLANK(I271),0,VLOOKUP(J271,Calcs!$A$82:$F$106,5,TRUE))</f>
        <v>0</v>
      </c>
      <c r="M271" s="208">
        <f>IF(J271=13,IF(ISNUMBER(W270),VLOOKUP(W270+1,Calcs!$O$4:$Q$24,3,TRUE)-V270,5),IF(J271&lt;10,0,IF(J271&lt;18,1,IF(J271&lt;22,2,IF(ISNUMBER(W270),VLOOKUP(W270+1,Calcs!$O$4:$Q$24,3,TRUE)-V270,5)))))</f>
        <v>0</v>
      </c>
      <c r="N271" s="245" t="str">
        <f t="shared" si="30"/>
        <v xml:space="preserve"> </v>
      </c>
      <c r="O271" s="245" t="str">
        <f t="shared" si="30"/>
        <v xml:space="preserve"> </v>
      </c>
      <c r="P271" s="245" t="str">
        <f t="shared" si="30"/>
        <v xml:space="preserve"> </v>
      </c>
      <c r="Q271" s="245" t="str">
        <f t="shared" si="30"/>
        <v xml:space="preserve"> </v>
      </c>
      <c r="R271" s="245" t="str">
        <f t="shared" si="30"/>
        <v xml:space="preserve"> </v>
      </c>
      <c r="S271" s="245" t="str">
        <f t="shared" si="30"/>
        <v xml:space="preserve"> </v>
      </c>
      <c r="T271" s="245" t="str">
        <f t="shared" si="30"/>
        <v xml:space="preserve"> </v>
      </c>
      <c r="U271" s="245" t="str">
        <f t="shared" si="30"/>
        <v xml:space="preserve"> </v>
      </c>
      <c r="V271" s="208">
        <f>SUM($N$10:$U271)</f>
        <v>0</v>
      </c>
      <c r="W271" s="208">
        <f>VLOOKUP(V271,Calcs!$Q$4:$R$24,2,TRUE)</f>
        <v>0</v>
      </c>
      <c r="X271" s="435" t="str">
        <f t="shared" si="33"/>
        <v>No</v>
      </c>
      <c r="Y271" s="436"/>
      <c r="Z271" s="435">
        <f t="shared" si="34"/>
        <v>0</v>
      </c>
      <c r="AA271" s="245" t="str">
        <f>IF(AND(X271="Yes",NOT(ISBLANK(Z271))),VLOOKUP(Z271,Calcs!$Y$48:$Z$57,2,TRUE)," ")</f>
        <v xml:space="preserve"> </v>
      </c>
    </row>
    <row r="272" spans="1:27" x14ac:dyDescent="0.2">
      <c r="A272" s="425">
        <f t="shared" si="35"/>
        <v>298</v>
      </c>
      <c r="B272" s="425" t="str">
        <f t="shared" si="31"/>
        <v>Winter</v>
      </c>
      <c r="C272" s="247">
        <f>IF(B272="Winter",A272-('Start Character'!$K$6)-1,IF('Start Character'!$K$7&gt;6,A272-('Start Character'!$K$6)-1,A272-('Start Character'!$K$6)))</f>
        <v>297</v>
      </c>
      <c r="D272" s="247">
        <f t="shared" si="32"/>
        <v>297</v>
      </c>
      <c r="E272" s="246"/>
      <c r="F272" s="83"/>
      <c r="G272" s="83"/>
      <c r="H272" s="246"/>
      <c r="I272" s="433"/>
      <c r="J272" s="254">
        <f>IF(ISBLANK(I272),0,ROUNDUP(D272/10,0)-E272-H272-F272-G272+VLOOKUP($D$2,Calcs!$A$23:$B$27,2,FALSE)+I272)</f>
        <v>0</v>
      </c>
      <c r="K272" s="245" t="str">
        <f>IF(ISBLANK(I272)," ",VLOOKUP(J272,Calcs!$A$82:$H$106,2,TRUE))</f>
        <v xml:space="preserve"> </v>
      </c>
      <c r="L272" s="245">
        <f>IF(ISBLANK(I272),0,VLOOKUP(J272,Calcs!$A$82:$F$106,5,TRUE))</f>
        <v>0</v>
      </c>
      <c r="M272" s="208">
        <f>IF(J272=13,IF(ISNUMBER(W271),VLOOKUP(W271+1,Calcs!$O$4:$Q$24,3,TRUE)-V271,5),IF(J272&lt;10,0,IF(J272&lt;18,1,IF(J272&lt;22,2,IF(ISNUMBER(W271),VLOOKUP(W271+1,Calcs!$O$4:$Q$24,3,TRUE)-V271,5)))))</f>
        <v>0</v>
      </c>
      <c r="N272" s="245" t="str">
        <f t="shared" si="30"/>
        <v xml:space="preserve"> </v>
      </c>
      <c r="O272" s="245" t="str">
        <f t="shared" si="30"/>
        <v xml:space="preserve"> </v>
      </c>
      <c r="P272" s="245" t="str">
        <f t="shared" si="30"/>
        <v xml:space="preserve"> </v>
      </c>
      <c r="Q272" s="245" t="str">
        <f t="shared" si="30"/>
        <v xml:space="preserve"> </v>
      </c>
      <c r="R272" s="245" t="str">
        <f t="shared" si="30"/>
        <v xml:space="preserve"> </v>
      </c>
      <c r="S272" s="245" t="str">
        <f t="shared" si="30"/>
        <v xml:space="preserve"> </v>
      </c>
      <c r="T272" s="245" t="str">
        <f t="shared" si="30"/>
        <v xml:space="preserve"> </v>
      </c>
      <c r="U272" s="245" t="str">
        <f t="shared" si="30"/>
        <v xml:space="preserve"> </v>
      </c>
      <c r="V272" s="208">
        <f>SUM($N$10:$U272)</f>
        <v>0</v>
      </c>
      <c r="W272" s="208">
        <f>VLOOKUP(V272,Calcs!$Q$4:$R$24,2,TRUE)</f>
        <v>0</v>
      </c>
      <c r="X272" s="435" t="str">
        <f t="shared" si="33"/>
        <v>No</v>
      </c>
      <c r="Y272" s="436"/>
      <c r="Z272" s="435">
        <f t="shared" si="34"/>
        <v>0</v>
      </c>
      <c r="AA272" s="245" t="str">
        <f>IF(AND(X272="Yes",NOT(ISBLANK(Z272))),VLOOKUP(Z272,Calcs!$Y$48:$Z$57,2,TRUE)," ")</f>
        <v xml:space="preserve"> </v>
      </c>
    </row>
    <row r="273" spans="1:27" x14ac:dyDescent="0.2">
      <c r="A273" s="425">
        <f t="shared" si="35"/>
        <v>299</v>
      </c>
      <c r="B273" s="425" t="str">
        <f t="shared" si="31"/>
        <v>Winter</v>
      </c>
      <c r="C273" s="247">
        <f>IF(B273="Winter",A273-('Start Character'!$K$6)-1,IF('Start Character'!$K$7&gt;6,A273-('Start Character'!$K$6)-1,A273-('Start Character'!$K$6)))</f>
        <v>298</v>
      </c>
      <c r="D273" s="247">
        <f t="shared" si="32"/>
        <v>298</v>
      </c>
      <c r="E273" s="246"/>
      <c r="F273" s="83"/>
      <c r="G273" s="83"/>
      <c r="H273" s="246"/>
      <c r="I273" s="433"/>
      <c r="J273" s="254">
        <f>IF(ISBLANK(I273),0,ROUNDUP(D273/10,0)-E273-H273-F273-G273+VLOOKUP($D$2,Calcs!$A$23:$B$27,2,FALSE)+I273)</f>
        <v>0</v>
      </c>
      <c r="K273" s="245" t="str">
        <f>IF(ISBLANK(I273)," ",VLOOKUP(J273,Calcs!$A$82:$H$106,2,TRUE))</f>
        <v xml:space="preserve"> </v>
      </c>
      <c r="L273" s="245">
        <f>IF(ISBLANK(I273),0,VLOOKUP(J273,Calcs!$A$82:$F$106,5,TRUE))</f>
        <v>0</v>
      </c>
      <c r="M273" s="208">
        <f>IF(J273=13,IF(ISNUMBER(W272),VLOOKUP(W272+1,Calcs!$O$4:$Q$24,3,TRUE)-V272,5),IF(J273&lt;10,0,IF(J273&lt;18,1,IF(J273&lt;22,2,IF(ISNUMBER(W272),VLOOKUP(W272+1,Calcs!$O$4:$Q$24,3,TRUE)-V272,5)))))</f>
        <v>0</v>
      </c>
      <c r="N273" s="245" t="str">
        <f t="shared" si="30"/>
        <v xml:space="preserve"> </v>
      </c>
      <c r="O273" s="245" t="str">
        <f t="shared" si="30"/>
        <v xml:space="preserve"> </v>
      </c>
      <c r="P273" s="245" t="str">
        <f t="shared" si="30"/>
        <v xml:space="preserve"> </v>
      </c>
      <c r="Q273" s="245" t="str">
        <f t="shared" si="30"/>
        <v xml:space="preserve"> </v>
      </c>
      <c r="R273" s="245" t="str">
        <f t="shared" si="30"/>
        <v xml:space="preserve"> </v>
      </c>
      <c r="S273" s="245" t="str">
        <f t="shared" si="30"/>
        <v xml:space="preserve"> </v>
      </c>
      <c r="T273" s="245" t="str">
        <f t="shared" si="30"/>
        <v xml:space="preserve"> </v>
      </c>
      <c r="U273" s="245" t="str">
        <f t="shared" si="30"/>
        <v xml:space="preserve"> </v>
      </c>
      <c r="V273" s="208">
        <f>SUM($N$10:$U273)</f>
        <v>0</v>
      </c>
      <c r="W273" s="208">
        <f>VLOOKUP(V273,Calcs!$Q$4:$R$24,2,TRUE)</f>
        <v>0</v>
      </c>
      <c r="X273" s="435" t="str">
        <f t="shared" si="33"/>
        <v>No</v>
      </c>
      <c r="Y273" s="436"/>
      <c r="Z273" s="435">
        <f t="shared" si="34"/>
        <v>0</v>
      </c>
      <c r="AA273" s="245" t="str">
        <f>IF(AND(X273="Yes",NOT(ISBLANK(Z273))),VLOOKUP(Z273,Calcs!$Y$48:$Z$57,2,TRUE)," ")</f>
        <v xml:space="preserve"> </v>
      </c>
    </row>
    <row r="274" spans="1:27" x14ac:dyDescent="0.2">
      <c r="A274" s="425">
        <f t="shared" si="35"/>
        <v>300</v>
      </c>
      <c r="B274" s="425" t="str">
        <f t="shared" si="31"/>
        <v>Winter</v>
      </c>
      <c r="C274" s="247">
        <f>IF(B274="Winter",A274-('Start Character'!$K$6)-1,IF('Start Character'!$K$7&gt;6,A274-('Start Character'!$K$6)-1,A274-('Start Character'!$K$6)))</f>
        <v>299</v>
      </c>
      <c r="D274" s="247">
        <f t="shared" si="32"/>
        <v>299</v>
      </c>
      <c r="E274" s="246"/>
      <c r="F274" s="83"/>
      <c r="G274" s="83"/>
      <c r="H274" s="246"/>
      <c r="I274" s="433"/>
      <c r="J274" s="254">
        <f>IF(ISBLANK(I274),0,ROUNDUP(D274/10,0)-E274-H274-F274-G274+VLOOKUP($D$2,Calcs!$A$23:$B$27,2,FALSE)+I274)</f>
        <v>0</v>
      </c>
      <c r="K274" s="245" t="str">
        <f>IF(ISBLANK(I274)," ",VLOOKUP(J274,Calcs!$A$82:$H$106,2,TRUE))</f>
        <v xml:space="preserve"> </v>
      </c>
      <c r="L274" s="245">
        <f>IF(ISBLANK(I274),0,VLOOKUP(J274,Calcs!$A$82:$F$106,5,TRUE))</f>
        <v>0</v>
      </c>
      <c r="M274" s="208">
        <f>IF(J274=13,IF(ISNUMBER(W273),VLOOKUP(W273+1,Calcs!$O$4:$Q$24,3,TRUE)-V273,5),IF(J274&lt;10,0,IF(J274&lt;18,1,IF(J274&lt;22,2,IF(ISNUMBER(W273),VLOOKUP(W273+1,Calcs!$O$4:$Q$24,3,TRUE)-V273,5)))))</f>
        <v>0</v>
      </c>
      <c r="N274" s="245" t="str">
        <f t="shared" si="30"/>
        <v xml:space="preserve"> </v>
      </c>
      <c r="O274" s="245" t="str">
        <f t="shared" si="30"/>
        <v xml:space="preserve"> </v>
      </c>
      <c r="P274" s="245" t="str">
        <f t="shared" si="30"/>
        <v xml:space="preserve"> </v>
      </c>
      <c r="Q274" s="245" t="str">
        <f t="shared" si="30"/>
        <v xml:space="preserve"> </v>
      </c>
      <c r="R274" s="245" t="str">
        <f t="shared" si="30"/>
        <v xml:space="preserve"> </v>
      </c>
      <c r="S274" s="245" t="str">
        <f t="shared" si="30"/>
        <v xml:space="preserve"> </v>
      </c>
      <c r="T274" s="245" t="str">
        <f t="shared" si="30"/>
        <v xml:space="preserve"> </v>
      </c>
      <c r="U274" s="245" t="str">
        <f t="shared" si="30"/>
        <v xml:space="preserve"> </v>
      </c>
      <c r="V274" s="208">
        <f>SUM($N$10:$U274)</f>
        <v>0</v>
      </c>
      <c r="W274" s="208">
        <f>VLOOKUP(V274,Calcs!$Q$4:$R$24,2,TRUE)</f>
        <v>0</v>
      </c>
      <c r="X274" s="435" t="str">
        <f t="shared" si="33"/>
        <v>No</v>
      </c>
      <c r="Y274" s="436"/>
      <c r="Z274" s="435">
        <f t="shared" si="34"/>
        <v>0</v>
      </c>
      <c r="AA274" s="245" t="str">
        <f>IF(AND(X274="Yes",NOT(ISBLANK(Z274))),VLOOKUP(Z274,Calcs!$Y$48:$Z$57,2,TRUE)," ")</f>
        <v xml:space="preserve"> </v>
      </c>
    </row>
    <row r="275" spans="1:27" x14ac:dyDescent="0.2">
      <c r="A275" s="425">
        <f t="shared" si="35"/>
        <v>301</v>
      </c>
      <c r="B275" s="425" t="str">
        <f t="shared" si="31"/>
        <v>Winter</v>
      </c>
      <c r="C275" s="247">
        <f>IF(B275="Winter",A275-('Start Character'!$K$6)-1,IF('Start Character'!$K$7&gt;6,A275-('Start Character'!$K$6)-1,A275-('Start Character'!$K$6)))</f>
        <v>300</v>
      </c>
      <c r="D275" s="247">
        <f t="shared" si="32"/>
        <v>300</v>
      </c>
      <c r="E275" s="246"/>
      <c r="F275" s="83"/>
      <c r="G275" s="83"/>
      <c r="H275" s="246"/>
      <c r="I275" s="433"/>
      <c r="J275" s="254">
        <f>IF(ISBLANK(I275),0,ROUNDUP(D275/10,0)-E275-H275-F275-G275+VLOOKUP($D$2,Calcs!$A$23:$B$27,2,FALSE)+I275)</f>
        <v>0</v>
      </c>
      <c r="K275" s="245" t="str">
        <f>IF(ISBLANK(I275)," ",VLOOKUP(J275,Calcs!$A$82:$H$106,2,TRUE))</f>
        <v xml:space="preserve"> </v>
      </c>
      <c r="L275" s="245">
        <f>IF(ISBLANK(I275),0,VLOOKUP(J275,Calcs!$A$82:$F$106,5,TRUE))</f>
        <v>0</v>
      </c>
      <c r="M275" s="208">
        <f>IF(J275=13,IF(ISNUMBER(W274),VLOOKUP(W274+1,Calcs!$O$4:$Q$24,3,TRUE)-V274,5),IF(J275&lt;10,0,IF(J275&lt;18,1,IF(J275&lt;22,2,IF(ISNUMBER(W274),VLOOKUP(W274+1,Calcs!$O$4:$Q$24,3,TRUE)-V274,5)))))</f>
        <v>0</v>
      </c>
      <c r="N275" s="245" t="str">
        <f t="shared" si="30"/>
        <v xml:space="preserve"> </v>
      </c>
      <c r="O275" s="245" t="str">
        <f t="shared" si="30"/>
        <v xml:space="preserve"> </v>
      </c>
      <c r="P275" s="245" t="str">
        <f t="shared" si="30"/>
        <v xml:space="preserve"> </v>
      </c>
      <c r="Q275" s="245" t="str">
        <f t="shared" si="30"/>
        <v xml:space="preserve"> </v>
      </c>
      <c r="R275" s="245" t="str">
        <f t="shared" si="30"/>
        <v xml:space="preserve"> </v>
      </c>
      <c r="S275" s="245" t="str">
        <f t="shared" si="30"/>
        <v xml:space="preserve"> </v>
      </c>
      <c r="T275" s="245" t="str">
        <f t="shared" si="30"/>
        <v xml:space="preserve"> </v>
      </c>
      <c r="U275" s="245" t="str">
        <f t="shared" si="30"/>
        <v xml:space="preserve"> </v>
      </c>
      <c r="V275" s="208">
        <f>SUM($N$10:$U275)</f>
        <v>0</v>
      </c>
      <c r="W275" s="208">
        <f>VLOOKUP(V275,Calcs!$Q$4:$R$24,2,TRUE)</f>
        <v>0</v>
      </c>
      <c r="X275" s="435" t="str">
        <f t="shared" si="33"/>
        <v>No</v>
      </c>
      <c r="Y275" s="436"/>
      <c r="Z275" s="435">
        <f t="shared" si="34"/>
        <v>0</v>
      </c>
      <c r="AA275" s="245" t="str">
        <f>IF(AND(X275="Yes",NOT(ISBLANK(Z275))),VLOOKUP(Z275,Calcs!$Y$48:$Z$57,2,TRUE)," ")</f>
        <v xml:space="preserve"> </v>
      </c>
    </row>
    <row r="276" spans="1:27" x14ac:dyDescent="0.2">
      <c r="A276" s="425">
        <f t="shared" si="35"/>
        <v>302</v>
      </c>
      <c r="B276" s="425" t="str">
        <f t="shared" si="31"/>
        <v>Winter</v>
      </c>
      <c r="C276" s="247">
        <f>IF(B276="Winter",A276-('Start Character'!$K$6)-1,IF('Start Character'!$K$7&gt;6,A276-('Start Character'!$K$6)-1,A276-('Start Character'!$K$6)))</f>
        <v>301</v>
      </c>
      <c r="D276" s="247">
        <f t="shared" si="32"/>
        <v>301</v>
      </c>
      <c r="E276" s="246"/>
      <c r="F276" s="83"/>
      <c r="G276" s="83"/>
      <c r="H276" s="246"/>
      <c r="I276" s="433"/>
      <c r="J276" s="254">
        <f>IF(ISBLANK(I276),0,ROUNDUP(D276/10,0)-E276-H276-F276-G276+VLOOKUP($D$2,Calcs!$A$23:$B$27,2,FALSE)+I276)</f>
        <v>0</v>
      </c>
      <c r="K276" s="245" t="str">
        <f>IF(ISBLANK(I276)," ",VLOOKUP(J276,Calcs!$A$82:$H$106,2,TRUE))</f>
        <v xml:space="preserve"> </v>
      </c>
      <c r="L276" s="245">
        <f>IF(ISBLANK(I276),0,VLOOKUP(J276,Calcs!$A$82:$F$106,5,TRUE))</f>
        <v>0</v>
      </c>
      <c r="M276" s="208">
        <f>IF(J276=13,IF(ISNUMBER(W275),VLOOKUP(W275+1,Calcs!$O$4:$Q$24,3,TRUE)-V275,5),IF(J276&lt;10,0,IF(J276&lt;18,1,IF(J276&lt;22,2,IF(ISNUMBER(W275),VLOOKUP(W275+1,Calcs!$O$4:$Q$24,3,TRUE)-V275,5)))))</f>
        <v>0</v>
      </c>
      <c r="N276" s="245" t="str">
        <f t="shared" si="30"/>
        <v xml:space="preserve"> </v>
      </c>
      <c r="O276" s="245" t="str">
        <f t="shared" si="30"/>
        <v xml:space="preserve"> </v>
      </c>
      <c r="P276" s="245" t="str">
        <f t="shared" si="30"/>
        <v xml:space="preserve"> </v>
      </c>
      <c r="Q276" s="245" t="str">
        <f t="shared" si="30"/>
        <v xml:space="preserve"> </v>
      </c>
      <c r="R276" s="245" t="str">
        <f t="shared" si="30"/>
        <v xml:space="preserve"> </v>
      </c>
      <c r="S276" s="245" t="str">
        <f t="shared" si="30"/>
        <v xml:space="preserve"> </v>
      </c>
      <c r="T276" s="245" t="str">
        <f t="shared" si="30"/>
        <v xml:space="preserve"> </v>
      </c>
      <c r="U276" s="245" t="str">
        <f t="shared" si="30"/>
        <v xml:space="preserve"> </v>
      </c>
      <c r="V276" s="208">
        <f>SUM($N$10:$U276)</f>
        <v>0</v>
      </c>
      <c r="W276" s="208">
        <f>VLOOKUP(V276,Calcs!$Q$4:$R$24,2,TRUE)</f>
        <v>0</v>
      </c>
      <c r="X276" s="435" t="str">
        <f t="shared" si="33"/>
        <v>No</v>
      </c>
      <c r="Y276" s="436"/>
      <c r="Z276" s="435">
        <f t="shared" si="34"/>
        <v>0</v>
      </c>
      <c r="AA276" s="245" t="str">
        <f>IF(AND(X276="Yes",NOT(ISBLANK(Z276))),VLOOKUP(Z276,Calcs!$Y$48:$Z$57,2,TRUE)," ")</f>
        <v xml:space="preserve"> </v>
      </c>
    </row>
    <row r="277" spans="1:27" x14ac:dyDescent="0.2">
      <c r="A277" s="425">
        <f t="shared" si="35"/>
        <v>303</v>
      </c>
      <c r="B277" s="425" t="str">
        <f t="shared" si="31"/>
        <v>Winter</v>
      </c>
      <c r="C277" s="247">
        <f>IF(B277="Winter",A277-('Start Character'!$K$6)-1,IF('Start Character'!$K$7&gt;6,A277-('Start Character'!$K$6)-1,A277-('Start Character'!$K$6)))</f>
        <v>302</v>
      </c>
      <c r="D277" s="247">
        <f t="shared" si="32"/>
        <v>302</v>
      </c>
      <c r="E277" s="246"/>
      <c r="F277" s="83"/>
      <c r="G277" s="83"/>
      <c r="H277" s="246"/>
      <c r="I277" s="433"/>
      <c r="J277" s="254">
        <f>IF(ISBLANK(I277),0,ROUNDUP(D277/10,0)-E277-H277-F277-G277+VLOOKUP($D$2,Calcs!$A$23:$B$27,2,FALSE)+I277)</f>
        <v>0</v>
      </c>
      <c r="K277" s="245" t="str">
        <f>IF(ISBLANK(I277)," ",VLOOKUP(J277,Calcs!$A$82:$H$106,2,TRUE))</f>
        <v xml:space="preserve"> </v>
      </c>
      <c r="L277" s="245">
        <f>IF(ISBLANK(I277),0,VLOOKUP(J277,Calcs!$A$82:$F$106,5,TRUE))</f>
        <v>0</v>
      </c>
      <c r="M277" s="208">
        <f>IF(J277=13,IF(ISNUMBER(W276),VLOOKUP(W276+1,Calcs!$O$4:$Q$24,3,TRUE)-V276,5),IF(J277&lt;10,0,IF(J277&lt;18,1,IF(J277&lt;22,2,IF(ISNUMBER(W276),VLOOKUP(W276+1,Calcs!$O$4:$Q$24,3,TRUE)-V276,5)))))</f>
        <v>0</v>
      </c>
      <c r="N277" s="245" t="str">
        <f t="shared" si="30"/>
        <v xml:space="preserve"> </v>
      </c>
      <c r="O277" s="245" t="str">
        <f t="shared" si="30"/>
        <v xml:space="preserve"> </v>
      </c>
      <c r="P277" s="245" t="str">
        <f t="shared" si="30"/>
        <v xml:space="preserve"> </v>
      </c>
      <c r="Q277" s="245" t="str">
        <f t="shared" si="30"/>
        <v xml:space="preserve"> </v>
      </c>
      <c r="R277" s="245" t="str">
        <f t="shared" si="30"/>
        <v xml:space="preserve"> </v>
      </c>
      <c r="S277" s="245" t="str">
        <f t="shared" si="30"/>
        <v xml:space="preserve"> </v>
      </c>
      <c r="T277" s="245" t="str">
        <f t="shared" si="30"/>
        <v xml:space="preserve"> </v>
      </c>
      <c r="U277" s="245" t="str">
        <f t="shared" si="30"/>
        <v xml:space="preserve"> </v>
      </c>
      <c r="V277" s="208">
        <f>SUM($N$10:$U277)</f>
        <v>0</v>
      </c>
      <c r="W277" s="208">
        <f>VLOOKUP(V277,Calcs!$Q$4:$R$24,2,TRUE)</f>
        <v>0</v>
      </c>
      <c r="X277" s="435" t="str">
        <f t="shared" si="33"/>
        <v>No</v>
      </c>
      <c r="Y277" s="436"/>
      <c r="Z277" s="435">
        <f t="shared" si="34"/>
        <v>0</v>
      </c>
      <c r="AA277" s="245" t="str">
        <f>IF(AND(X277="Yes",NOT(ISBLANK(Z277))),VLOOKUP(Z277,Calcs!$Y$48:$Z$57,2,TRUE)," ")</f>
        <v xml:space="preserve"> </v>
      </c>
    </row>
    <row r="278" spans="1:27" x14ac:dyDescent="0.2">
      <c r="A278" s="425">
        <f t="shared" si="35"/>
        <v>304</v>
      </c>
      <c r="B278" s="425" t="str">
        <f t="shared" si="31"/>
        <v>Winter</v>
      </c>
      <c r="C278" s="247">
        <f>IF(B278="Winter",A278-('Start Character'!$K$6)-1,IF('Start Character'!$K$7&gt;6,A278-('Start Character'!$K$6)-1,A278-('Start Character'!$K$6)))</f>
        <v>303</v>
      </c>
      <c r="D278" s="247">
        <f t="shared" si="32"/>
        <v>303</v>
      </c>
      <c r="E278" s="246"/>
      <c r="F278" s="83"/>
      <c r="G278" s="83"/>
      <c r="H278" s="246"/>
      <c r="I278" s="433"/>
      <c r="J278" s="254">
        <f>IF(ISBLANK(I278),0,ROUNDUP(D278/10,0)-E278-H278-F278-G278+VLOOKUP($D$2,Calcs!$A$23:$B$27,2,FALSE)+I278)</f>
        <v>0</v>
      </c>
      <c r="K278" s="245" t="str">
        <f>IF(ISBLANK(I278)," ",VLOOKUP(J278,Calcs!$A$82:$H$106,2,TRUE))</f>
        <v xml:space="preserve"> </v>
      </c>
      <c r="L278" s="245">
        <f>IF(ISBLANK(I278),0,VLOOKUP(J278,Calcs!$A$82:$F$106,5,TRUE))</f>
        <v>0</v>
      </c>
      <c r="M278" s="208">
        <f>IF(J278=13,IF(ISNUMBER(W277),VLOOKUP(W277+1,Calcs!$O$4:$Q$24,3,TRUE)-V277,5),IF(J278&lt;10,0,IF(J278&lt;18,1,IF(J278&lt;22,2,IF(ISNUMBER(W277),VLOOKUP(W277+1,Calcs!$O$4:$Q$24,3,TRUE)-V277,5)))))</f>
        <v>0</v>
      </c>
      <c r="N278" s="245" t="str">
        <f t="shared" si="30"/>
        <v xml:space="preserve"> </v>
      </c>
      <c r="O278" s="245" t="str">
        <f t="shared" si="30"/>
        <v xml:space="preserve"> </v>
      </c>
      <c r="P278" s="245" t="str">
        <f t="shared" si="30"/>
        <v xml:space="preserve"> </v>
      </c>
      <c r="Q278" s="245" t="str">
        <f t="shared" si="30"/>
        <v xml:space="preserve"> </v>
      </c>
      <c r="R278" s="245" t="str">
        <f t="shared" si="30"/>
        <v xml:space="preserve"> </v>
      </c>
      <c r="S278" s="245" t="str">
        <f t="shared" si="30"/>
        <v xml:space="preserve"> </v>
      </c>
      <c r="T278" s="245" t="str">
        <f t="shared" si="30"/>
        <v xml:space="preserve"> </v>
      </c>
      <c r="U278" s="245" t="str">
        <f t="shared" si="30"/>
        <v xml:space="preserve"> </v>
      </c>
      <c r="V278" s="208">
        <f>SUM($N$10:$U278)</f>
        <v>0</v>
      </c>
      <c r="W278" s="208">
        <f>VLOOKUP(V278,Calcs!$Q$4:$R$24,2,TRUE)</f>
        <v>0</v>
      </c>
      <c r="X278" s="435" t="str">
        <f t="shared" si="33"/>
        <v>No</v>
      </c>
      <c r="Y278" s="436"/>
      <c r="Z278" s="435">
        <f t="shared" si="34"/>
        <v>0</v>
      </c>
      <c r="AA278" s="245" t="str">
        <f>IF(AND(X278="Yes",NOT(ISBLANK(Z278))),VLOOKUP(Z278,Calcs!$Y$48:$Z$57,2,TRUE)," ")</f>
        <v xml:space="preserve"> </v>
      </c>
    </row>
    <row r="279" spans="1:27" x14ac:dyDescent="0.2">
      <c r="A279" s="425">
        <f t="shared" si="35"/>
        <v>305</v>
      </c>
      <c r="B279" s="425" t="str">
        <f t="shared" si="31"/>
        <v>Winter</v>
      </c>
      <c r="C279" s="247">
        <f>IF(B279="Winter",A279-('Start Character'!$K$6)-1,IF('Start Character'!$K$7&gt;6,A279-('Start Character'!$K$6)-1,A279-('Start Character'!$K$6)))</f>
        <v>304</v>
      </c>
      <c r="D279" s="247">
        <f t="shared" si="32"/>
        <v>304</v>
      </c>
      <c r="E279" s="246"/>
      <c r="F279" s="83"/>
      <c r="G279" s="83"/>
      <c r="H279" s="246"/>
      <c r="I279" s="433"/>
      <c r="J279" s="254">
        <f>IF(ISBLANK(I279),0,ROUNDUP(D279/10,0)-E279-H279-F279-G279+VLOOKUP($D$2,Calcs!$A$23:$B$27,2,FALSE)+I279)</f>
        <v>0</v>
      </c>
      <c r="K279" s="245" t="str">
        <f>IF(ISBLANK(I279)," ",VLOOKUP(J279,Calcs!$A$82:$H$106,2,TRUE))</f>
        <v xml:space="preserve"> </v>
      </c>
      <c r="L279" s="245">
        <f>IF(ISBLANK(I279),0,VLOOKUP(J279,Calcs!$A$82:$F$106,5,TRUE))</f>
        <v>0</v>
      </c>
      <c r="M279" s="208">
        <f>IF(J279=13,IF(ISNUMBER(W278),VLOOKUP(W278+1,Calcs!$O$4:$Q$24,3,TRUE)-V278,5),IF(J279&lt;10,0,IF(J279&lt;18,1,IF(J279&lt;22,2,IF(ISNUMBER(W278),VLOOKUP(W278+1,Calcs!$O$4:$Q$24,3,TRUE)-V278,5)))))</f>
        <v>0</v>
      </c>
      <c r="N279" s="245" t="str">
        <f t="shared" si="30"/>
        <v xml:space="preserve"> </v>
      </c>
      <c r="O279" s="245" t="str">
        <f t="shared" si="30"/>
        <v xml:space="preserve"> </v>
      </c>
      <c r="P279" s="245" t="str">
        <f t="shared" si="30"/>
        <v xml:space="preserve"> </v>
      </c>
      <c r="Q279" s="245" t="str">
        <f t="shared" si="30"/>
        <v xml:space="preserve"> </v>
      </c>
      <c r="R279" s="245" t="str">
        <f t="shared" si="30"/>
        <v xml:space="preserve"> </v>
      </c>
      <c r="S279" s="245" t="str">
        <f t="shared" si="30"/>
        <v xml:space="preserve"> </v>
      </c>
      <c r="T279" s="245" t="str">
        <f t="shared" si="30"/>
        <v xml:space="preserve"> </v>
      </c>
      <c r="U279" s="245" t="str">
        <f t="shared" si="30"/>
        <v xml:space="preserve"> </v>
      </c>
      <c r="V279" s="208">
        <f>SUM($N$10:$U279)</f>
        <v>0</v>
      </c>
      <c r="W279" s="208">
        <f>VLOOKUP(V279,Calcs!$Q$4:$R$24,2,TRUE)</f>
        <v>0</v>
      </c>
      <c r="X279" s="435" t="str">
        <f t="shared" si="33"/>
        <v>No</v>
      </c>
      <c r="Y279" s="436"/>
      <c r="Z279" s="435">
        <f t="shared" si="34"/>
        <v>0</v>
      </c>
      <c r="AA279" s="245" t="str">
        <f>IF(AND(X279="Yes",NOT(ISBLANK(Z279))),VLOOKUP(Z279,Calcs!$Y$48:$Z$57,2,TRUE)," ")</f>
        <v xml:space="preserve"> </v>
      </c>
    </row>
    <row r="280" spans="1:27" x14ac:dyDescent="0.2">
      <c r="A280" s="425">
        <f t="shared" si="35"/>
        <v>306</v>
      </c>
      <c r="B280" s="425" t="str">
        <f t="shared" si="31"/>
        <v>Winter</v>
      </c>
      <c r="C280" s="247">
        <f>IF(B280="Winter",A280-('Start Character'!$K$6)-1,IF('Start Character'!$K$7&gt;6,A280-('Start Character'!$K$6)-1,A280-('Start Character'!$K$6)))</f>
        <v>305</v>
      </c>
      <c r="D280" s="247">
        <f t="shared" si="32"/>
        <v>305</v>
      </c>
      <c r="E280" s="246"/>
      <c r="F280" s="83"/>
      <c r="G280" s="83"/>
      <c r="H280" s="246"/>
      <c r="I280" s="433"/>
      <c r="J280" s="254">
        <f>IF(ISBLANK(I280),0,ROUNDUP(D280/10,0)-E280-H280-F280-G280+VLOOKUP($D$2,Calcs!$A$23:$B$27,2,FALSE)+I280)</f>
        <v>0</v>
      </c>
      <c r="K280" s="245" t="str">
        <f>IF(ISBLANK(I280)," ",VLOOKUP(J280,Calcs!$A$82:$H$106,2,TRUE))</f>
        <v xml:space="preserve"> </v>
      </c>
      <c r="L280" s="245">
        <f>IF(ISBLANK(I280),0,VLOOKUP(J280,Calcs!$A$82:$F$106,5,TRUE))</f>
        <v>0</v>
      </c>
      <c r="M280" s="208">
        <f>IF(J280=13,IF(ISNUMBER(W279),VLOOKUP(W279+1,Calcs!$O$4:$Q$24,3,TRUE)-V279,5),IF(J280&lt;10,0,IF(J280&lt;18,1,IF(J280&lt;22,2,IF(ISNUMBER(W279),VLOOKUP(W279+1,Calcs!$O$4:$Q$24,3,TRUE)-V279,5)))))</f>
        <v>0</v>
      </c>
      <c r="N280" s="245" t="str">
        <f t="shared" si="30"/>
        <v xml:space="preserve"> </v>
      </c>
      <c r="O280" s="245" t="str">
        <f t="shared" si="30"/>
        <v xml:space="preserve"> </v>
      </c>
      <c r="P280" s="245" t="str">
        <f t="shared" si="30"/>
        <v xml:space="preserve"> </v>
      </c>
      <c r="Q280" s="245" t="str">
        <f t="shared" si="30"/>
        <v xml:space="preserve"> </v>
      </c>
      <c r="R280" s="245" t="str">
        <f t="shared" si="30"/>
        <v xml:space="preserve"> </v>
      </c>
      <c r="S280" s="245" t="str">
        <f t="shared" si="30"/>
        <v xml:space="preserve"> </v>
      </c>
      <c r="T280" s="245" t="str">
        <f t="shared" si="30"/>
        <v xml:space="preserve"> </v>
      </c>
      <c r="U280" s="245" t="str">
        <f t="shared" si="30"/>
        <v xml:space="preserve"> </v>
      </c>
      <c r="V280" s="208">
        <f>SUM($N$10:$U280)</f>
        <v>0</v>
      </c>
      <c r="W280" s="208">
        <f>VLOOKUP(V280,Calcs!$Q$4:$R$24,2,TRUE)</f>
        <v>0</v>
      </c>
      <c r="X280" s="435" t="str">
        <f t="shared" si="33"/>
        <v>No</v>
      </c>
      <c r="Y280" s="436"/>
      <c r="Z280" s="435">
        <f t="shared" si="34"/>
        <v>0</v>
      </c>
      <c r="AA280" s="245" t="str">
        <f>IF(AND(X280="Yes",NOT(ISBLANK(Z280))),VLOOKUP(Z280,Calcs!$Y$48:$Z$57,2,TRUE)," ")</f>
        <v xml:space="preserve"> </v>
      </c>
    </row>
    <row r="281" spans="1:27" x14ac:dyDescent="0.2">
      <c r="A281" s="425">
        <f t="shared" si="35"/>
        <v>307</v>
      </c>
      <c r="B281" s="425" t="str">
        <f t="shared" si="31"/>
        <v>Winter</v>
      </c>
      <c r="C281" s="247">
        <f>IF(B281="Winter",A281-('Start Character'!$K$6)-1,IF('Start Character'!$K$7&gt;6,A281-('Start Character'!$K$6)-1,A281-('Start Character'!$K$6)))</f>
        <v>306</v>
      </c>
      <c r="D281" s="247">
        <f t="shared" si="32"/>
        <v>306</v>
      </c>
      <c r="E281" s="246"/>
      <c r="F281" s="83"/>
      <c r="G281" s="83"/>
      <c r="H281" s="246"/>
      <c r="I281" s="433"/>
      <c r="J281" s="254">
        <f>IF(ISBLANK(I281),0,ROUNDUP(D281/10,0)-E281-H281-F281-G281+VLOOKUP($D$2,Calcs!$A$23:$B$27,2,FALSE)+I281)</f>
        <v>0</v>
      </c>
      <c r="K281" s="245" t="str">
        <f>IF(ISBLANK(I281)," ",VLOOKUP(J281,Calcs!$A$82:$H$106,2,TRUE))</f>
        <v xml:space="preserve"> </v>
      </c>
      <c r="L281" s="245">
        <f>IF(ISBLANK(I281),0,VLOOKUP(J281,Calcs!$A$82:$F$106,5,TRUE))</f>
        <v>0</v>
      </c>
      <c r="M281" s="208">
        <f>IF(J281=13,IF(ISNUMBER(W280),VLOOKUP(W280+1,Calcs!$O$4:$Q$24,3,TRUE)-V280,5),IF(J281&lt;10,0,IF(J281&lt;18,1,IF(J281&lt;22,2,IF(ISNUMBER(W280),VLOOKUP(W280+1,Calcs!$O$4:$Q$24,3,TRUE)-V280,5)))))</f>
        <v>0</v>
      </c>
      <c r="N281" s="245" t="str">
        <f t="shared" si="30"/>
        <v xml:space="preserve"> </v>
      </c>
      <c r="O281" s="245" t="str">
        <f t="shared" si="30"/>
        <v xml:space="preserve"> </v>
      </c>
      <c r="P281" s="245" t="str">
        <f t="shared" si="30"/>
        <v xml:space="preserve"> </v>
      </c>
      <c r="Q281" s="245" t="str">
        <f t="shared" si="30"/>
        <v xml:space="preserve"> </v>
      </c>
      <c r="R281" s="245" t="str">
        <f t="shared" si="30"/>
        <v xml:space="preserve"> </v>
      </c>
      <c r="S281" s="245" t="str">
        <f t="shared" si="30"/>
        <v xml:space="preserve"> </v>
      </c>
      <c r="T281" s="245" t="str">
        <f t="shared" si="30"/>
        <v xml:space="preserve"> </v>
      </c>
      <c r="U281" s="245" t="str">
        <f t="shared" si="30"/>
        <v xml:space="preserve"> </v>
      </c>
      <c r="V281" s="208">
        <f>SUM($N$10:$U281)</f>
        <v>0</v>
      </c>
      <c r="W281" s="208">
        <f>VLOOKUP(V281,Calcs!$Q$4:$R$24,2,TRUE)</f>
        <v>0</v>
      </c>
      <c r="X281" s="435" t="str">
        <f t="shared" si="33"/>
        <v>No</v>
      </c>
      <c r="Y281" s="436"/>
      <c r="Z281" s="435">
        <f t="shared" si="34"/>
        <v>0</v>
      </c>
      <c r="AA281" s="245" t="str">
        <f>IF(AND(X281="Yes",NOT(ISBLANK(Z281))),VLOOKUP(Z281,Calcs!$Y$48:$Z$57,2,TRUE)," ")</f>
        <v xml:space="preserve"> </v>
      </c>
    </row>
    <row r="282" spans="1:27" x14ac:dyDescent="0.2">
      <c r="A282" s="425">
        <f t="shared" si="35"/>
        <v>308</v>
      </c>
      <c r="B282" s="425" t="str">
        <f t="shared" si="31"/>
        <v>Winter</v>
      </c>
      <c r="C282" s="247">
        <f>IF(B282="Winter",A282-('Start Character'!$K$6)-1,IF('Start Character'!$K$7&gt;6,A282-('Start Character'!$K$6)-1,A282-('Start Character'!$K$6)))</f>
        <v>307</v>
      </c>
      <c r="D282" s="247">
        <f t="shared" si="32"/>
        <v>307</v>
      </c>
      <c r="E282" s="246"/>
      <c r="F282" s="83"/>
      <c r="G282" s="83"/>
      <c r="H282" s="246"/>
      <c r="I282" s="433"/>
      <c r="J282" s="254">
        <f>IF(ISBLANK(I282),0,ROUNDUP(D282/10,0)-E282-H282-F282-G282+VLOOKUP($D$2,Calcs!$A$23:$B$27,2,FALSE)+I282)</f>
        <v>0</v>
      </c>
      <c r="K282" s="245" t="str">
        <f>IF(ISBLANK(I282)," ",VLOOKUP(J282,Calcs!$A$82:$H$106,2,TRUE))</f>
        <v xml:space="preserve"> </v>
      </c>
      <c r="L282" s="245">
        <f>IF(ISBLANK(I282),0,VLOOKUP(J282,Calcs!$A$82:$F$106,5,TRUE))</f>
        <v>0</v>
      </c>
      <c r="M282" s="208">
        <f>IF(J282=13,IF(ISNUMBER(W281),VLOOKUP(W281+1,Calcs!$O$4:$Q$24,3,TRUE)-V281,5),IF(J282&lt;10,0,IF(J282&lt;18,1,IF(J282&lt;22,2,IF(ISNUMBER(W281),VLOOKUP(W281+1,Calcs!$O$4:$Q$24,3,TRUE)-V281,5)))))</f>
        <v>0</v>
      </c>
      <c r="N282" s="245" t="str">
        <f t="shared" si="30"/>
        <v xml:space="preserve"> </v>
      </c>
      <c r="O282" s="245" t="str">
        <f t="shared" si="30"/>
        <v xml:space="preserve"> </v>
      </c>
      <c r="P282" s="245" t="str">
        <f t="shared" si="30"/>
        <v xml:space="preserve"> </v>
      </c>
      <c r="Q282" s="245" t="str">
        <f t="shared" si="30"/>
        <v xml:space="preserve"> </v>
      </c>
      <c r="R282" s="245" t="str">
        <f t="shared" si="30"/>
        <v xml:space="preserve"> </v>
      </c>
      <c r="S282" s="245" t="str">
        <f t="shared" si="30"/>
        <v xml:space="preserve"> </v>
      </c>
      <c r="T282" s="245" t="str">
        <f t="shared" si="30"/>
        <v xml:space="preserve"> </v>
      </c>
      <c r="U282" s="245" t="str">
        <f t="shared" si="30"/>
        <v xml:space="preserve"> </v>
      </c>
      <c r="V282" s="208">
        <f>SUM($N$10:$U282)</f>
        <v>0</v>
      </c>
      <c r="W282" s="208">
        <f>VLOOKUP(V282,Calcs!$Q$4:$R$24,2,TRUE)</f>
        <v>0</v>
      </c>
      <c r="X282" s="435" t="str">
        <f t="shared" si="33"/>
        <v>No</v>
      </c>
      <c r="Y282" s="436"/>
      <c r="Z282" s="435">
        <f t="shared" si="34"/>
        <v>0</v>
      </c>
      <c r="AA282" s="245" t="str">
        <f>IF(AND(X282="Yes",NOT(ISBLANK(Z282))),VLOOKUP(Z282,Calcs!$Y$48:$Z$57,2,TRUE)," ")</f>
        <v xml:space="preserve"> </v>
      </c>
    </row>
    <row r="283" spans="1:27" x14ac:dyDescent="0.2">
      <c r="A283" s="425">
        <f t="shared" si="35"/>
        <v>309</v>
      </c>
      <c r="B283" s="425" t="str">
        <f t="shared" si="31"/>
        <v>Winter</v>
      </c>
      <c r="C283" s="247">
        <f>IF(B283="Winter",A283-('Start Character'!$K$6)-1,IF('Start Character'!$K$7&gt;6,A283-('Start Character'!$K$6)-1,A283-('Start Character'!$K$6)))</f>
        <v>308</v>
      </c>
      <c r="D283" s="247">
        <f t="shared" si="32"/>
        <v>308</v>
      </c>
      <c r="E283" s="246"/>
      <c r="F283" s="83"/>
      <c r="G283" s="83"/>
      <c r="H283" s="246"/>
      <c r="I283" s="433"/>
      <c r="J283" s="254">
        <f>IF(ISBLANK(I283),0,ROUNDUP(D283/10,0)-E283-H283-F283-G283+VLOOKUP($D$2,Calcs!$A$23:$B$27,2,FALSE)+I283)</f>
        <v>0</v>
      </c>
      <c r="K283" s="245" t="str">
        <f>IF(ISBLANK(I283)," ",VLOOKUP(J283,Calcs!$A$82:$H$106,2,TRUE))</f>
        <v xml:space="preserve"> </v>
      </c>
      <c r="L283" s="245">
        <f>IF(ISBLANK(I283),0,VLOOKUP(J283,Calcs!$A$82:$F$106,5,TRUE))</f>
        <v>0</v>
      </c>
      <c r="M283" s="208">
        <f>IF(J283=13,IF(ISNUMBER(W282),VLOOKUP(W282+1,Calcs!$O$4:$Q$24,3,TRUE)-V282,5),IF(J283&lt;10,0,IF(J283&lt;18,1,IF(J283&lt;22,2,IF(ISNUMBER(W282),VLOOKUP(W282+1,Calcs!$O$4:$Q$24,3,TRUE)-V282,5)))))</f>
        <v>0</v>
      </c>
      <c r="N283" s="245" t="str">
        <f t="shared" si="30"/>
        <v xml:space="preserve"> </v>
      </c>
      <c r="O283" s="245" t="str">
        <f t="shared" si="30"/>
        <v xml:space="preserve"> </v>
      </c>
      <c r="P283" s="245" t="str">
        <f t="shared" si="30"/>
        <v xml:space="preserve"> </v>
      </c>
      <c r="Q283" s="245" t="str">
        <f t="shared" si="30"/>
        <v xml:space="preserve"> </v>
      </c>
      <c r="R283" s="245" t="str">
        <f t="shared" si="30"/>
        <v xml:space="preserve"> </v>
      </c>
      <c r="S283" s="245" t="str">
        <f t="shared" si="30"/>
        <v xml:space="preserve"> </v>
      </c>
      <c r="T283" s="245" t="str">
        <f t="shared" si="30"/>
        <v xml:space="preserve"> </v>
      </c>
      <c r="U283" s="245" t="str">
        <f t="shared" si="30"/>
        <v xml:space="preserve"> </v>
      </c>
      <c r="V283" s="208">
        <f>SUM($N$10:$U283)</f>
        <v>0</v>
      </c>
      <c r="W283" s="208">
        <f>VLOOKUP(V283,Calcs!$Q$4:$R$24,2,TRUE)</f>
        <v>0</v>
      </c>
      <c r="X283" s="435" t="str">
        <f t="shared" si="33"/>
        <v>No</v>
      </c>
      <c r="Y283" s="436"/>
      <c r="Z283" s="435">
        <f t="shared" si="34"/>
        <v>0</v>
      </c>
      <c r="AA283" s="245" t="str">
        <f>IF(AND(X283="Yes",NOT(ISBLANK(Z283))),VLOOKUP(Z283,Calcs!$Y$48:$Z$57,2,TRUE)," ")</f>
        <v xml:space="preserve"> </v>
      </c>
    </row>
    <row r="284" spans="1:27" x14ac:dyDescent="0.2">
      <c r="A284" s="425">
        <f t="shared" si="35"/>
        <v>310</v>
      </c>
      <c r="B284" s="425" t="str">
        <f t="shared" si="31"/>
        <v>Winter</v>
      </c>
      <c r="C284" s="247">
        <f>IF(B284="Winter",A284-('Start Character'!$K$6)-1,IF('Start Character'!$K$7&gt;6,A284-('Start Character'!$K$6)-1,A284-('Start Character'!$K$6)))</f>
        <v>309</v>
      </c>
      <c r="D284" s="247">
        <f t="shared" si="32"/>
        <v>309</v>
      </c>
      <c r="E284" s="246"/>
      <c r="F284" s="83"/>
      <c r="G284" s="83"/>
      <c r="H284" s="246"/>
      <c r="I284" s="433"/>
      <c r="J284" s="254">
        <f>IF(ISBLANK(I284),0,ROUNDUP(D284/10,0)-E284-H284-F284-G284+VLOOKUP($D$2,Calcs!$A$23:$B$27,2,FALSE)+I284)</f>
        <v>0</v>
      </c>
      <c r="K284" s="245" t="str">
        <f>IF(ISBLANK(I284)," ",VLOOKUP(J284,Calcs!$A$82:$H$106,2,TRUE))</f>
        <v xml:space="preserve"> </v>
      </c>
      <c r="L284" s="245">
        <f>IF(ISBLANK(I284),0,VLOOKUP(J284,Calcs!$A$82:$F$106,5,TRUE))</f>
        <v>0</v>
      </c>
      <c r="M284" s="208">
        <f>IF(J284=13,IF(ISNUMBER(W283),VLOOKUP(W283+1,Calcs!$O$4:$Q$24,3,TRUE)-V283,5),IF(J284&lt;10,0,IF(J284&lt;18,1,IF(J284&lt;22,2,IF(ISNUMBER(W283),VLOOKUP(W283+1,Calcs!$O$4:$Q$24,3,TRUE)-V283,5)))))</f>
        <v>0</v>
      </c>
      <c r="N284" s="245" t="str">
        <f t="shared" si="30"/>
        <v xml:space="preserve"> </v>
      </c>
      <c r="O284" s="245" t="str">
        <f t="shared" si="30"/>
        <v xml:space="preserve"> </v>
      </c>
      <c r="P284" s="245" t="str">
        <f t="shared" si="30"/>
        <v xml:space="preserve"> </v>
      </c>
      <c r="Q284" s="245" t="str">
        <f t="shared" si="30"/>
        <v xml:space="preserve"> </v>
      </c>
      <c r="R284" s="245" t="str">
        <f t="shared" si="30"/>
        <v xml:space="preserve"> </v>
      </c>
      <c r="S284" s="245" t="str">
        <f t="shared" si="30"/>
        <v xml:space="preserve"> </v>
      </c>
      <c r="T284" s="245" t="str">
        <f t="shared" si="30"/>
        <v xml:space="preserve"> </v>
      </c>
      <c r="U284" s="245" t="str">
        <f t="shared" si="30"/>
        <v xml:space="preserve"> </v>
      </c>
      <c r="V284" s="208">
        <f>SUM($N$10:$U284)</f>
        <v>0</v>
      </c>
      <c r="W284" s="208">
        <f>VLOOKUP(V284,Calcs!$Q$4:$R$24,2,TRUE)</f>
        <v>0</v>
      </c>
      <c r="X284" s="435" t="str">
        <f t="shared" si="33"/>
        <v>No</v>
      </c>
      <c r="Y284" s="436"/>
      <c r="Z284" s="435">
        <f t="shared" si="34"/>
        <v>0</v>
      </c>
      <c r="AA284" s="245" t="str">
        <f>IF(AND(X284="Yes",NOT(ISBLANK(Z284))),VLOOKUP(Z284,Calcs!$Y$48:$Z$57,2,TRUE)," ")</f>
        <v xml:space="preserve"> </v>
      </c>
    </row>
    <row r="285" spans="1:27" x14ac:dyDescent="0.2">
      <c r="A285" s="425">
        <f t="shared" si="35"/>
        <v>311</v>
      </c>
      <c r="B285" s="425" t="str">
        <f t="shared" si="31"/>
        <v>Winter</v>
      </c>
      <c r="C285" s="247">
        <f>IF(B285="Winter",A285-('Start Character'!$K$6)-1,IF('Start Character'!$K$7&gt;6,A285-('Start Character'!$K$6)-1,A285-('Start Character'!$K$6)))</f>
        <v>310</v>
      </c>
      <c r="D285" s="247">
        <f t="shared" si="32"/>
        <v>310</v>
      </c>
      <c r="E285" s="246"/>
      <c r="F285" s="83"/>
      <c r="G285" s="83"/>
      <c r="H285" s="246"/>
      <c r="I285" s="433"/>
      <c r="J285" s="254">
        <f>IF(ISBLANK(I285),0,ROUNDUP(D285/10,0)-E285-H285-F285-G285+VLOOKUP($D$2,Calcs!$A$23:$B$27,2,FALSE)+I285)</f>
        <v>0</v>
      </c>
      <c r="K285" s="245" t="str">
        <f>IF(ISBLANK(I285)," ",VLOOKUP(J285,Calcs!$A$82:$H$106,2,TRUE))</f>
        <v xml:space="preserve"> </v>
      </c>
      <c r="L285" s="245">
        <f>IF(ISBLANK(I285),0,VLOOKUP(J285,Calcs!$A$82:$F$106,5,TRUE))</f>
        <v>0</v>
      </c>
      <c r="M285" s="208">
        <f>IF(J285=13,IF(ISNUMBER(W284),VLOOKUP(W284+1,Calcs!$O$4:$Q$24,3,TRUE)-V284,5),IF(J285&lt;10,0,IF(J285&lt;18,1,IF(J285&lt;22,2,IF(ISNUMBER(W284),VLOOKUP(W284+1,Calcs!$O$4:$Q$24,3,TRUE)-V284,5)))))</f>
        <v>0</v>
      </c>
      <c r="N285" s="245" t="str">
        <f t="shared" si="30"/>
        <v xml:space="preserve"> </v>
      </c>
      <c r="O285" s="245" t="str">
        <f t="shared" si="30"/>
        <v xml:space="preserve"> </v>
      </c>
      <c r="P285" s="245" t="str">
        <f t="shared" si="30"/>
        <v xml:space="preserve"> </v>
      </c>
      <c r="Q285" s="245" t="str">
        <f t="shared" si="30"/>
        <v xml:space="preserve"> </v>
      </c>
      <c r="R285" s="245" t="str">
        <f t="shared" si="30"/>
        <v xml:space="preserve"> </v>
      </c>
      <c r="S285" s="245" t="str">
        <f t="shared" si="30"/>
        <v xml:space="preserve"> </v>
      </c>
      <c r="T285" s="245" t="str">
        <f t="shared" si="30"/>
        <v xml:space="preserve"> </v>
      </c>
      <c r="U285" s="245" t="str">
        <f t="shared" si="30"/>
        <v xml:space="preserve"> </v>
      </c>
      <c r="V285" s="208">
        <f>SUM($N$10:$U285)</f>
        <v>0</v>
      </c>
      <c r="W285" s="208">
        <f>VLOOKUP(V285,Calcs!$Q$4:$R$24,2,TRUE)</f>
        <v>0</v>
      </c>
      <c r="X285" s="435" t="str">
        <f t="shared" si="33"/>
        <v>No</v>
      </c>
      <c r="Y285" s="436"/>
      <c r="Z285" s="435">
        <f t="shared" si="34"/>
        <v>0</v>
      </c>
      <c r="AA285" s="245" t="str">
        <f>IF(AND(X285="Yes",NOT(ISBLANK(Z285))),VLOOKUP(Z285,Calcs!$Y$48:$Z$57,2,TRUE)," ")</f>
        <v xml:space="preserve"> </v>
      </c>
    </row>
    <row r="286" spans="1:27" x14ac:dyDescent="0.2">
      <c r="A286" s="425">
        <f t="shared" si="35"/>
        <v>312</v>
      </c>
      <c r="B286" s="425" t="str">
        <f t="shared" si="31"/>
        <v>Winter</v>
      </c>
      <c r="C286" s="247">
        <f>IF(B286="Winter",A286-('Start Character'!$K$6)-1,IF('Start Character'!$K$7&gt;6,A286-('Start Character'!$K$6)-1,A286-('Start Character'!$K$6)))</f>
        <v>311</v>
      </c>
      <c r="D286" s="247">
        <f t="shared" si="32"/>
        <v>311</v>
      </c>
      <c r="E286" s="246"/>
      <c r="F286" s="83"/>
      <c r="G286" s="83"/>
      <c r="H286" s="246"/>
      <c r="I286" s="433"/>
      <c r="J286" s="254">
        <f>IF(ISBLANK(I286),0,ROUNDUP(D286/10,0)-E286-H286-F286-G286+VLOOKUP($D$2,Calcs!$A$23:$B$27,2,FALSE)+I286)</f>
        <v>0</v>
      </c>
      <c r="K286" s="245" t="str">
        <f>IF(ISBLANK(I286)," ",VLOOKUP(J286,Calcs!$A$82:$H$106,2,TRUE))</f>
        <v xml:space="preserve"> </v>
      </c>
      <c r="L286" s="245">
        <f>IF(ISBLANK(I286),0,VLOOKUP(J286,Calcs!$A$82:$F$106,5,TRUE))</f>
        <v>0</v>
      </c>
      <c r="M286" s="208">
        <f>IF(J286=13,IF(ISNUMBER(W285),VLOOKUP(W285+1,Calcs!$O$4:$Q$24,3,TRUE)-V285,5),IF(J286&lt;10,0,IF(J286&lt;18,1,IF(J286&lt;22,2,IF(ISNUMBER(W285),VLOOKUP(W285+1,Calcs!$O$4:$Q$24,3,TRUE)-V285,5)))))</f>
        <v>0</v>
      </c>
      <c r="N286" s="245" t="str">
        <f t="shared" si="30"/>
        <v xml:space="preserve"> </v>
      </c>
      <c r="O286" s="245" t="str">
        <f t="shared" si="30"/>
        <v xml:space="preserve"> </v>
      </c>
      <c r="P286" s="245" t="str">
        <f t="shared" si="30"/>
        <v xml:space="preserve"> </v>
      </c>
      <c r="Q286" s="245" t="str">
        <f t="shared" si="30"/>
        <v xml:space="preserve"> </v>
      </c>
      <c r="R286" s="245" t="str">
        <f t="shared" si="30"/>
        <v xml:space="preserve"> </v>
      </c>
      <c r="S286" s="245" t="str">
        <f t="shared" si="30"/>
        <v xml:space="preserve"> </v>
      </c>
      <c r="T286" s="245" t="str">
        <f t="shared" si="30"/>
        <v xml:space="preserve"> </v>
      </c>
      <c r="U286" s="245" t="str">
        <f t="shared" si="30"/>
        <v xml:space="preserve"> </v>
      </c>
      <c r="V286" s="208">
        <f>SUM($N$10:$U286)</f>
        <v>0</v>
      </c>
      <c r="W286" s="208">
        <f>VLOOKUP(V286,Calcs!$Q$4:$R$24,2,TRUE)</f>
        <v>0</v>
      </c>
      <c r="X286" s="435" t="str">
        <f t="shared" si="33"/>
        <v>No</v>
      </c>
      <c r="Y286" s="436"/>
      <c r="Z286" s="435">
        <f t="shared" si="34"/>
        <v>0</v>
      </c>
      <c r="AA286" s="245" t="str">
        <f>IF(AND(X286="Yes",NOT(ISBLANK(Z286))),VLOOKUP(Z286,Calcs!$Y$48:$Z$57,2,TRUE)," ")</f>
        <v xml:space="preserve"> </v>
      </c>
    </row>
    <row r="287" spans="1:27" x14ac:dyDescent="0.2">
      <c r="A287" s="425">
        <f t="shared" si="35"/>
        <v>313</v>
      </c>
      <c r="B287" s="425" t="str">
        <f t="shared" si="31"/>
        <v>Winter</v>
      </c>
      <c r="C287" s="247">
        <f>IF(B287="Winter",A287-('Start Character'!$K$6)-1,IF('Start Character'!$K$7&gt;6,A287-('Start Character'!$K$6)-1,A287-('Start Character'!$K$6)))</f>
        <v>312</v>
      </c>
      <c r="D287" s="247">
        <f t="shared" si="32"/>
        <v>312</v>
      </c>
      <c r="E287" s="246"/>
      <c r="F287" s="83"/>
      <c r="G287" s="83"/>
      <c r="H287" s="246"/>
      <c r="I287" s="433"/>
      <c r="J287" s="254">
        <f>IF(ISBLANK(I287),0,ROUNDUP(D287/10,0)-E287-H287-F287-G287+VLOOKUP($D$2,Calcs!$A$23:$B$27,2,FALSE)+I287)</f>
        <v>0</v>
      </c>
      <c r="K287" s="245" t="str">
        <f>IF(ISBLANK(I287)," ",VLOOKUP(J287,Calcs!$A$82:$H$106,2,TRUE))</f>
        <v xml:space="preserve"> </v>
      </c>
      <c r="L287" s="245">
        <f>IF(ISBLANK(I287),0,VLOOKUP(J287,Calcs!$A$82:$F$106,5,TRUE))</f>
        <v>0</v>
      </c>
      <c r="M287" s="208">
        <f>IF(J287=13,IF(ISNUMBER(W286),VLOOKUP(W286+1,Calcs!$O$4:$Q$24,3,TRUE)-V286,5),IF(J287&lt;10,0,IF(J287&lt;18,1,IF(J287&lt;22,2,IF(ISNUMBER(W286),VLOOKUP(W286+1,Calcs!$O$4:$Q$24,3,TRUE)-V286,5)))))</f>
        <v>0</v>
      </c>
      <c r="N287" s="245" t="str">
        <f t="shared" si="30"/>
        <v xml:space="preserve"> </v>
      </c>
      <c r="O287" s="245" t="str">
        <f t="shared" si="30"/>
        <v xml:space="preserve"> </v>
      </c>
      <c r="P287" s="245" t="str">
        <f t="shared" si="30"/>
        <v xml:space="preserve"> </v>
      </c>
      <c r="Q287" s="245" t="str">
        <f t="shared" si="30"/>
        <v xml:space="preserve"> </v>
      </c>
      <c r="R287" s="245" t="str">
        <f t="shared" si="30"/>
        <v xml:space="preserve"> </v>
      </c>
      <c r="S287" s="245" t="str">
        <f t="shared" si="30"/>
        <v xml:space="preserve"> </v>
      </c>
      <c r="T287" s="245" t="str">
        <f t="shared" si="30"/>
        <v xml:space="preserve"> </v>
      </c>
      <c r="U287" s="245" t="str">
        <f t="shared" si="30"/>
        <v xml:space="preserve"> </v>
      </c>
      <c r="V287" s="208">
        <f>SUM($N$10:$U287)</f>
        <v>0</v>
      </c>
      <c r="W287" s="208">
        <f>VLOOKUP(V287,Calcs!$Q$4:$R$24,2,TRUE)</f>
        <v>0</v>
      </c>
      <c r="X287" s="435" t="str">
        <f t="shared" si="33"/>
        <v>No</v>
      </c>
      <c r="Y287" s="436"/>
      <c r="Z287" s="435">
        <f t="shared" si="34"/>
        <v>0</v>
      </c>
      <c r="AA287" s="245" t="str">
        <f>IF(AND(X287="Yes",NOT(ISBLANK(Z287))),VLOOKUP(Z287,Calcs!$Y$48:$Z$57,2,TRUE)," ")</f>
        <v xml:space="preserve"> </v>
      </c>
    </row>
    <row r="288" spans="1:27" x14ac:dyDescent="0.2">
      <c r="A288" s="425">
        <f t="shared" si="35"/>
        <v>314</v>
      </c>
      <c r="B288" s="425" t="str">
        <f t="shared" si="31"/>
        <v>Winter</v>
      </c>
      <c r="C288" s="247">
        <f>IF(B288="Winter",A288-('Start Character'!$K$6)-1,IF('Start Character'!$K$7&gt;6,A288-('Start Character'!$K$6)-1,A288-('Start Character'!$K$6)))</f>
        <v>313</v>
      </c>
      <c r="D288" s="247">
        <f t="shared" si="32"/>
        <v>313</v>
      </c>
      <c r="E288" s="246"/>
      <c r="F288" s="83"/>
      <c r="G288" s="83"/>
      <c r="H288" s="246"/>
      <c r="I288" s="433"/>
      <c r="J288" s="254">
        <f>IF(ISBLANK(I288),0,ROUNDUP(D288/10,0)-E288-H288-F288-G288+VLOOKUP($D$2,Calcs!$A$23:$B$27,2,FALSE)+I288)</f>
        <v>0</v>
      </c>
      <c r="K288" s="245" t="str">
        <f>IF(ISBLANK(I288)," ",VLOOKUP(J288,Calcs!$A$82:$H$106,2,TRUE))</f>
        <v xml:space="preserve"> </v>
      </c>
      <c r="L288" s="245">
        <f>IF(ISBLANK(I288),0,VLOOKUP(J288,Calcs!$A$82:$F$106,5,TRUE))</f>
        <v>0</v>
      </c>
      <c r="M288" s="208">
        <f>IF(J288=13,IF(ISNUMBER(W287),VLOOKUP(W287+1,Calcs!$O$4:$Q$24,3,TRUE)-V287,5),IF(J288&lt;10,0,IF(J288&lt;18,1,IF(J288&lt;22,2,IF(ISNUMBER(W287),VLOOKUP(W287+1,Calcs!$O$4:$Q$24,3,TRUE)-V287,5)))))</f>
        <v>0</v>
      </c>
      <c r="N288" s="245" t="str">
        <f t="shared" si="30"/>
        <v xml:space="preserve"> </v>
      </c>
      <c r="O288" s="245" t="str">
        <f t="shared" si="30"/>
        <v xml:space="preserve"> </v>
      </c>
      <c r="P288" s="245" t="str">
        <f t="shared" si="30"/>
        <v xml:space="preserve"> </v>
      </c>
      <c r="Q288" s="245" t="str">
        <f t="shared" si="30"/>
        <v xml:space="preserve"> </v>
      </c>
      <c r="R288" s="245" t="str">
        <f t="shared" si="30"/>
        <v xml:space="preserve"> </v>
      </c>
      <c r="S288" s="245" t="str">
        <f t="shared" si="30"/>
        <v xml:space="preserve"> </v>
      </c>
      <c r="T288" s="245" t="str">
        <f t="shared" si="30"/>
        <v xml:space="preserve"> </v>
      </c>
      <c r="U288" s="245" t="str">
        <f t="shared" si="30"/>
        <v xml:space="preserve"> </v>
      </c>
      <c r="V288" s="208">
        <f>SUM($N$10:$U288)</f>
        <v>0</v>
      </c>
      <c r="W288" s="208">
        <f>VLOOKUP(V288,Calcs!$Q$4:$R$24,2,TRUE)</f>
        <v>0</v>
      </c>
      <c r="X288" s="435" t="str">
        <f t="shared" si="33"/>
        <v>No</v>
      </c>
      <c r="Y288" s="436"/>
      <c r="Z288" s="435">
        <f t="shared" si="34"/>
        <v>0</v>
      </c>
      <c r="AA288" s="245" t="str">
        <f>IF(AND(X288="Yes",NOT(ISBLANK(Z288))),VLOOKUP(Z288,Calcs!$Y$48:$Z$57,2,TRUE)," ")</f>
        <v xml:space="preserve"> </v>
      </c>
    </row>
    <row r="289" spans="1:27" x14ac:dyDescent="0.2">
      <c r="A289" s="425">
        <f t="shared" si="35"/>
        <v>315</v>
      </c>
      <c r="B289" s="425" t="str">
        <f t="shared" si="31"/>
        <v>Winter</v>
      </c>
      <c r="C289" s="247">
        <f>IF(B289="Winter",A289-('Start Character'!$K$6)-1,IF('Start Character'!$K$7&gt;6,A289-('Start Character'!$K$6)-1,A289-('Start Character'!$K$6)))</f>
        <v>314</v>
      </c>
      <c r="D289" s="247">
        <f t="shared" si="32"/>
        <v>314</v>
      </c>
      <c r="E289" s="246"/>
      <c r="F289" s="83"/>
      <c r="G289" s="83"/>
      <c r="H289" s="246"/>
      <c r="I289" s="433"/>
      <c r="J289" s="254">
        <f>IF(ISBLANK(I289),0,ROUNDUP(D289/10,0)-E289-H289-F289-G289+VLOOKUP($D$2,Calcs!$A$23:$B$27,2,FALSE)+I289)</f>
        <v>0</v>
      </c>
      <c r="K289" s="245" t="str">
        <f>IF(ISBLANK(I289)," ",VLOOKUP(J289,Calcs!$A$82:$H$106,2,TRUE))</f>
        <v xml:space="preserve"> </v>
      </c>
      <c r="L289" s="245">
        <f>IF(ISBLANK(I289),0,VLOOKUP(J289,Calcs!$A$82:$F$106,5,TRUE))</f>
        <v>0</v>
      </c>
      <c r="M289" s="208">
        <f>IF(J289=13,IF(ISNUMBER(W288),VLOOKUP(W288+1,Calcs!$O$4:$Q$24,3,TRUE)-V288,5),IF(J289&lt;10,0,IF(J289&lt;18,1,IF(J289&lt;22,2,IF(ISNUMBER(W288),VLOOKUP(W288+1,Calcs!$O$4:$Q$24,3,TRUE)-V288,5)))))</f>
        <v>0</v>
      </c>
      <c r="N289" s="245" t="str">
        <f t="shared" ref="N289:U320" si="36">IF(ISERROR(FIND(N$9,$K289))," ",1)</f>
        <v xml:space="preserve"> </v>
      </c>
      <c r="O289" s="245" t="str">
        <f t="shared" si="36"/>
        <v xml:space="preserve"> </v>
      </c>
      <c r="P289" s="245" t="str">
        <f t="shared" si="36"/>
        <v xml:space="preserve"> </v>
      </c>
      <c r="Q289" s="245" t="str">
        <f t="shared" si="36"/>
        <v xml:space="preserve"> </v>
      </c>
      <c r="R289" s="245" t="str">
        <f t="shared" si="36"/>
        <v xml:space="preserve"> </v>
      </c>
      <c r="S289" s="245" t="str">
        <f t="shared" si="36"/>
        <v xml:space="preserve"> </v>
      </c>
      <c r="T289" s="245" t="str">
        <f t="shared" si="36"/>
        <v xml:space="preserve"> </v>
      </c>
      <c r="U289" s="245" t="str">
        <f t="shared" si="36"/>
        <v xml:space="preserve"> </v>
      </c>
      <c r="V289" s="208">
        <f>SUM($N$10:$U289)</f>
        <v>0</v>
      </c>
      <c r="W289" s="208">
        <f>VLOOKUP(V289,Calcs!$Q$4:$R$24,2,TRUE)</f>
        <v>0</v>
      </c>
      <c r="X289" s="435" t="str">
        <f t="shared" si="33"/>
        <v>No</v>
      </c>
      <c r="Y289" s="436"/>
      <c r="Z289" s="435">
        <f t="shared" si="34"/>
        <v>0</v>
      </c>
      <c r="AA289" s="245" t="str">
        <f>IF(AND(X289="Yes",NOT(ISBLANK(Z289))),VLOOKUP(Z289,Calcs!$Y$48:$Z$57,2,TRUE)," ")</f>
        <v xml:space="preserve"> </v>
      </c>
    </row>
    <row r="290" spans="1:27" x14ac:dyDescent="0.2">
      <c r="A290" s="425">
        <f t="shared" si="35"/>
        <v>316</v>
      </c>
      <c r="B290" s="425" t="str">
        <f t="shared" si="31"/>
        <v>Winter</v>
      </c>
      <c r="C290" s="247">
        <f>IF(B290="Winter",A290-('Start Character'!$K$6)-1,IF('Start Character'!$K$7&gt;6,A290-('Start Character'!$K$6)-1,A290-('Start Character'!$K$6)))</f>
        <v>315</v>
      </c>
      <c r="D290" s="247">
        <f t="shared" si="32"/>
        <v>315</v>
      </c>
      <c r="E290" s="246"/>
      <c r="F290" s="83"/>
      <c r="G290" s="83"/>
      <c r="H290" s="246"/>
      <c r="I290" s="433"/>
      <c r="J290" s="254">
        <f>IF(ISBLANK(I290),0,ROUNDUP(D290/10,0)-E290-H290-F290-G290+VLOOKUP($D$2,Calcs!$A$23:$B$27,2,FALSE)+I290)</f>
        <v>0</v>
      </c>
      <c r="K290" s="245" t="str">
        <f>IF(ISBLANK(I290)," ",VLOOKUP(J290,Calcs!$A$82:$H$106,2,TRUE))</f>
        <v xml:space="preserve"> </v>
      </c>
      <c r="L290" s="245">
        <f>IF(ISBLANK(I290),0,VLOOKUP(J290,Calcs!$A$82:$F$106,5,TRUE))</f>
        <v>0</v>
      </c>
      <c r="M290" s="208">
        <f>IF(J290=13,IF(ISNUMBER(W289),VLOOKUP(W289+1,Calcs!$O$4:$Q$24,3,TRUE)-V289,5),IF(J290&lt;10,0,IF(J290&lt;18,1,IF(J290&lt;22,2,IF(ISNUMBER(W289),VLOOKUP(W289+1,Calcs!$O$4:$Q$24,3,TRUE)-V289,5)))))</f>
        <v>0</v>
      </c>
      <c r="N290" s="245" t="str">
        <f t="shared" si="36"/>
        <v xml:space="preserve"> </v>
      </c>
      <c r="O290" s="245" t="str">
        <f t="shared" si="36"/>
        <v xml:space="preserve"> </v>
      </c>
      <c r="P290" s="245" t="str">
        <f t="shared" si="36"/>
        <v xml:space="preserve"> </v>
      </c>
      <c r="Q290" s="245" t="str">
        <f t="shared" si="36"/>
        <v xml:space="preserve"> </v>
      </c>
      <c r="R290" s="245" t="str">
        <f t="shared" si="36"/>
        <v xml:space="preserve"> </v>
      </c>
      <c r="S290" s="245" t="str">
        <f t="shared" si="36"/>
        <v xml:space="preserve"> </v>
      </c>
      <c r="T290" s="245" t="str">
        <f t="shared" si="36"/>
        <v xml:space="preserve"> </v>
      </c>
      <c r="U290" s="245" t="str">
        <f t="shared" si="36"/>
        <v xml:space="preserve"> </v>
      </c>
      <c r="V290" s="208">
        <f>SUM($N$10:$U290)</f>
        <v>0</v>
      </c>
      <c r="W290" s="208">
        <f>VLOOKUP(V290,Calcs!$Q$4:$R$24,2,TRUE)</f>
        <v>0</v>
      </c>
      <c r="X290" s="435" t="str">
        <f t="shared" si="33"/>
        <v>No</v>
      </c>
      <c r="Y290" s="436"/>
      <c r="Z290" s="435">
        <f t="shared" si="34"/>
        <v>0</v>
      </c>
      <c r="AA290" s="245" t="str">
        <f>IF(AND(X290="Yes",NOT(ISBLANK(Z290))),VLOOKUP(Z290,Calcs!$Y$48:$Z$57,2,TRUE)," ")</f>
        <v xml:space="preserve"> </v>
      </c>
    </row>
    <row r="291" spans="1:27" x14ac:dyDescent="0.2">
      <c r="A291" s="425">
        <f t="shared" si="35"/>
        <v>317</v>
      </c>
      <c r="B291" s="425" t="str">
        <f t="shared" si="31"/>
        <v>Winter</v>
      </c>
      <c r="C291" s="247">
        <f>IF(B291="Winter",A291-('Start Character'!$K$6)-1,IF('Start Character'!$K$7&gt;6,A291-('Start Character'!$K$6)-1,A291-('Start Character'!$K$6)))</f>
        <v>316</v>
      </c>
      <c r="D291" s="247">
        <f t="shared" si="32"/>
        <v>316</v>
      </c>
      <c r="E291" s="246"/>
      <c r="F291" s="83"/>
      <c r="G291" s="83"/>
      <c r="H291" s="246"/>
      <c r="I291" s="433"/>
      <c r="J291" s="254">
        <f>IF(ISBLANK(I291),0,ROUNDUP(D291/10,0)-E291-H291-F291-G291+VLOOKUP($D$2,Calcs!$A$23:$B$27,2,FALSE)+I291)</f>
        <v>0</v>
      </c>
      <c r="K291" s="245" t="str">
        <f>IF(ISBLANK(I291)," ",VLOOKUP(J291,Calcs!$A$82:$H$106,2,TRUE))</f>
        <v xml:space="preserve"> </v>
      </c>
      <c r="L291" s="245">
        <f>IF(ISBLANK(I291),0,VLOOKUP(J291,Calcs!$A$82:$F$106,5,TRUE))</f>
        <v>0</v>
      </c>
      <c r="M291" s="208">
        <f>IF(J291=13,IF(ISNUMBER(W290),VLOOKUP(W290+1,Calcs!$O$4:$Q$24,3,TRUE)-V290,5),IF(J291&lt;10,0,IF(J291&lt;18,1,IF(J291&lt;22,2,IF(ISNUMBER(W290),VLOOKUP(W290+1,Calcs!$O$4:$Q$24,3,TRUE)-V290,5)))))</f>
        <v>0</v>
      </c>
      <c r="N291" s="245" t="str">
        <f t="shared" si="36"/>
        <v xml:space="preserve"> </v>
      </c>
      <c r="O291" s="245" t="str">
        <f t="shared" si="36"/>
        <v xml:space="preserve"> </v>
      </c>
      <c r="P291" s="245" t="str">
        <f t="shared" si="36"/>
        <v xml:space="preserve"> </v>
      </c>
      <c r="Q291" s="245" t="str">
        <f t="shared" si="36"/>
        <v xml:space="preserve"> </v>
      </c>
      <c r="R291" s="245" t="str">
        <f t="shared" si="36"/>
        <v xml:space="preserve"> </v>
      </c>
      <c r="S291" s="245" t="str">
        <f t="shared" si="36"/>
        <v xml:space="preserve"> </v>
      </c>
      <c r="T291" s="245" t="str">
        <f t="shared" si="36"/>
        <v xml:space="preserve"> </v>
      </c>
      <c r="U291" s="245" t="str">
        <f t="shared" si="36"/>
        <v xml:space="preserve"> </v>
      </c>
      <c r="V291" s="208">
        <f>SUM($N$10:$U291)</f>
        <v>0</v>
      </c>
      <c r="W291" s="208">
        <f>VLOOKUP(V291,Calcs!$Q$4:$R$24,2,TRUE)</f>
        <v>0</v>
      </c>
      <c r="X291" s="435" t="str">
        <f t="shared" si="33"/>
        <v>No</v>
      </c>
      <c r="Y291" s="436"/>
      <c r="Z291" s="435">
        <f t="shared" si="34"/>
        <v>0</v>
      </c>
      <c r="AA291" s="245" t="str">
        <f>IF(AND(X291="Yes",NOT(ISBLANK(Z291))),VLOOKUP(Z291,Calcs!$Y$48:$Z$57,2,TRUE)," ")</f>
        <v xml:space="preserve"> </v>
      </c>
    </row>
    <row r="292" spans="1:27" x14ac:dyDescent="0.2">
      <c r="A292" s="425">
        <f t="shared" si="35"/>
        <v>318</v>
      </c>
      <c r="B292" s="425" t="str">
        <f t="shared" si="31"/>
        <v>Winter</v>
      </c>
      <c r="C292" s="247">
        <f>IF(B292="Winter",A292-('Start Character'!$K$6)-1,IF('Start Character'!$K$7&gt;6,A292-('Start Character'!$K$6)-1,A292-('Start Character'!$K$6)))</f>
        <v>317</v>
      </c>
      <c r="D292" s="247">
        <f t="shared" si="32"/>
        <v>317</v>
      </c>
      <c r="E292" s="246"/>
      <c r="F292" s="83"/>
      <c r="G292" s="83"/>
      <c r="H292" s="246"/>
      <c r="I292" s="433"/>
      <c r="J292" s="254">
        <f>IF(ISBLANK(I292),0,ROUNDUP(D292/10,0)-E292-H292-F292-G292+VLOOKUP($D$2,Calcs!$A$23:$B$27,2,FALSE)+I292)</f>
        <v>0</v>
      </c>
      <c r="K292" s="245" t="str">
        <f>IF(ISBLANK(I292)," ",VLOOKUP(J292,Calcs!$A$82:$H$106,2,TRUE))</f>
        <v xml:space="preserve"> </v>
      </c>
      <c r="L292" s="245">
        <f>IF(ISBLANK(I292),0,VLOOKUP(J292,Calcs!$A$82:$F$106,5,TRUE))</f>
        <v>0</v>
      </c>
      <c r="M292" s="208">
        <f>IF(J292=13,IF(ISNUMBER(W291),VLOOKUP(W291+1,Calcs!$O$4:$Q$24,3,TRUE)-V291,5),IF(J292&lt;10,0,IF(J292&lt;18,1,IF(J292&lt;22,2,IF(ISNUMBER(W291),VLOOKUP(W291+1,Calcs!$O$4:$Q$24,3,TRUE)-V291,5)))))</f>
        <v>0</v>
      </c>
      <c r="N292" s="245" t="str">
        <f t="shared" si="36"/>
        <v xml:space="preserve"> </v>
      </c>
      <c r="O292" s="245" t="str">
        <f t="shared" si="36"/>
        <v xml:space="preserve"> </v>
      </c>
      <c r="P292" s="245" t="str">
        <f t="shared" si="36"/>
        <v xml:space="preserve"> </v>
      </c>
      <c r="Q292" s="245" t="str">
        <f t="shared" si="36"/>
        <v xml:space="preserve"> </v>
      </c>
      <c r="R292" s="245" t="str">
        <f t="shared" si="36"/>
        <v xml:space="preserve"> </v>
      </c>
      <c r="S292" s="245" t="str">
        <f t="shared" si="36"/>
        <v xml:space="preserve"> </v>
      </c>
      <c r="T292" s="245" t="str">
        <f t="shared" si="36"/>
        <v xml:space="preserve"> </v>
      </c>
      <c r="U292" s="245" t="str">
        <f t="shared" si="36"/>
        <v xml:space="preserve"> </v>
      </c>
      <c r="V292" s="208">
        <f>SUM($N$10:$U292)</f>
        <v>0</v>
      </c>
      <c r="W292" s="208">
        <f>VLOOKUP(V292,Calcs!$Q$4:$R$24,2,TRUE)</f>
        <v>0</v>
      </c>
      <c r="X292" s="435" t="str">
        <f t="shared" si="33"/>
        <v>No</v>
      </c>
      <c r="Y292" s="436"/>
      <c r="Z292" s="435">
        <f t="shared" si="34"/>
        <v>0</v>
      </c>
      <c r="AA292" s="245" t="str">
        <f>IF(AND(X292="Yes",NOT(ISBLANK(Z292))),VLOOKUP(Z292,Calcs!$Y$48:$Z$57,2,TRUE)," ")</f>
        <v xml:space="preserve"> </v>
      </c>
    </row>
    <row r="293" spans="1:27" x14ac:dyDescent="0.2">
      <c r="A293" s="425">
        <f t="shared" si="35"/>
        <v>319</v>
      </c>
      <c r="B293" s="425" t="str">
        <f t="shared" si="31"/>
        <v>Winter</v>
      </c>
      <c r="C293" s="247">
        <f>IF(B293="Winter",A293-('Start Character'!$K$6)-1,IF('Start Character'!$K$7&gt;6,A293-('Start Character'!$K$6)-1,A293-('Start Character'!$K$6)))</f>
        <v>318</v>
      </c>
      <c r="D293" s="247">
        <f t="shared" si="32"/>
        <v>318</v>
      </c>
      <c r="E293" s="246"/>
      <c r="F293" s="83"/>
      <c r="G293" s="83"/>
      <c r="H293" s="246"/>
      <c r="I293" s="433"/>
      <c r="J293" s="254">
        <f>IF(ISBLANK(I293),0,ROUNDUP(D293/10,0)-E293-H293-F293-G293+VLOOKUP($D$2,Calcs!$A$23:$B$27,2,FALSE)+I293)</f>
        <v>0</v>
      </c>
      <c r="K293" s="245" t="str">
        <f>IF(ISBLANK(I293)," ",VLOOKUP(J293,Calcs!$A$82:$H$106,2,TRUE))</f>
        <v xml:space="preserve"> </v>
      </c>
      <c r="L293" s="245">
        <f>IF(ISBLANK(I293),0,VLOOKUP(J293,Calcs!$A$82:$F$106,5,TRUE))</f>
        <v>0</v>
      </c>
      <c r="M293" s="208">
        <f>IF(J293=13,IF(ISNUMBER(W292),VLOOKUP(W292+1,Calcs!$O$4:$Q$24,3,TRUE)-V292,5),IF(J293&lt;10,0,IF(J293&lt;18,1,IF(J293&lt;22,2,IF(ISNUMBER(W292),VLOOKUP(W292+1,Calcs!$O$4:$Q$24,3,TRUE)-V292,5)))))</f>
        <v>0</v>
      </c>
      <c r="N293" s="245" t="str">
        <f t="shared" si="36"/>
        <v xml:space="preserve"> </v>
      </c>
      <c r="O293" s="245" t="str">
        <f t="shared" si="36"/>
        <v xml:space="preserve"> </v>
      </c>
      <c r="P293" s="245" t="str">
        <f t="shared" si="36"/>
        <v xml:space="preserve"> </v>
      </c>
      <c r="Q293" s="245" t="str">
        <f t="shared" si="36"/>
        <v xml:space="preserve"> </v>
      </c>
      <c r="R293" s="245" t="str">
        <f t="shared" si="36"/>
        <v xml:space="preserve"> </v>
      </c>
      <c r="S293" s="245" t="str">
        <f t="shared" si="36"/>
        <v xml:space="preserve"> </v>
      </c>
      <c r="T293" s="245" t="str">
        <f t="shared" si="36"/>
        <v xml:space="preserve"> </v>
      </c>
      <c r="U293" s="245" t="str">
        <f t="shared" si="36"/>
        <v xml:space="preserve"> </v>
      </c>
      <c r="V293" s="208">
        <f>SUM($N$10:$U293)</f>
        <v>0</v>
      </c>
      <c r="W293" s="208">
        <f>VLOOKUP(V293,Calcs!$Q$4:$R$24,2,TRUE)</f>
        <v>0</v>
      </c>
      <c r="X293" s="435" t="str">
        <f t="shared" si="33"/>
        <v>No</v>
      </c>
      <c r="Y293" s="436"/>
      <c r="Z293" s="435">
        <f t="shared" si="34"/>
        <v>0</v>
      </c>
      <c r="AA293" s="245" t="str">
        <f>IF(AND(X293="Yes",NOT(ISBLANK(Z293))),VLOOKUP(Z293,Calcs!$Y$48:$Z$57,2,TRUE)," ")</f>
        <v xml:space="preserve"> </v>
      </c>
    </row>
    <row r="294" spans="1:27" x14ac:dyDescent="0.2">
      <c r="A294" s="425">
        <f t="shared" si="35"/>
        <v>320</v>
      </c>
      <c r="B294" s="425" t="str">
        <f t="shared" si="31"/>
        <v>Winter</v>
      </c>
      <c r="C294" s="247">
        <f>IF(B294="Winter",A294-('Start Character'!$K$6)-1,IF('Start Character'!$K$7&gt;6,A294-('Start Character'!$K$6)-1,A294-('Start Character'!$K$6)))</f>
        <v>319</v>
      </c>
      <c r="D294" s="247">
        <f t="shared" si="32"/>
        <v>319</v>
      </c>
      <c r="E294" s="246"/>
      <c r="F294" s="83"/>
      <c r="G294" s="83"/>
      <c r="H294" s="246"/>
      <c r="I294" s="433"/>
      <c r="J294" s="254">
        <f>IF(ISBLANK(I294),0,ROUNDUP(D294/10,0)-E294-H294-F294-G294+VLOOKUP($D$2,Calcs!$A$23:$B$27,2,FALSE)+I294)</f>
        <v>0</v>
      </c>
      <c r="K294" s="245" t="str">
        <f>IF(ISBLANK(I294)," ",VLOOKUP(J294,Calcs!$A$82:$H$106,2,TRUE))</f>
        <v xml:space="preserve"> </v>
      </c>
      <c r="L294" s="245">
        <f>IF(ISBLANK(I294),0,VLOOKUP(J294,Calcs!$A$82:$F$106,5,TRUE))</f>
        <v>0</v>
      </c>
      <c r="M294" s="208">
        <f>IF(J294=13,IF(ISNUMBER(W293),VLOOKUP(W293+1,Calcs!$O$4:$Q$24,3,TRUE)-V293,5),IF(J294&lt;10,0,IF(J294&lt;18,1,IF(J294&lt;22,2,IF(ISNUMBER(W293),VLOOKUP(W293+1,Calcs!$O$4:$Q$24,3,TRUE)-V293,5)))))</f>
        <v>0</v>
      </c>
      <c r="N294" s="245" t="str">
        <f t="shared" si="36"/>
        <v xml:space="preserve"> </v>
      </c>
      <c r="O294" s="245" t="str">
        <f t="shared" si="36"/>
        <v xml:space="preserve"> </v>
      </c>
      <c r="P294" s="245" t="str">
        <f t="shared" si="36"/>
        <v xml:space="preserve"> </v>
      </c>
      <c r="Q294" s="245" t="str">
        <f t="shared" si="36"/>
        <v xml:space="preserve"> </v>
      </c>
      <c r="R294" s="245" t="str">
        <f t="shared" si="36"/>
        <v xml:space="preserve"> </v>
      </c>
      <c r="S294" s="245" t="str">
        <f t="shared" si="36"/>
        <v xml:space="preserve"> </v>
      </c>
      <c r="T294" s="245" t="str">
        <f t="shared" si="36"/>
        <v xml:space="preserve"> </v>
      </c>
      <c r="U294" s="245" t="str">
        <f t="shared" si="36"/>
        <v xml:space="preserve"> </v>
      </c>
      <c r="V294" s="208">
        <f>SUM($N$10:$U294)</f>
        <v>0</v>
      </c>
      <c r="W294" s="208">
        <f>VLOOKUP(V294,Calcs!$Q$4:$R$24,2,TRUE)</f>
        <v>0</v>
      </c>
      <c r="X294" s="435" t="str">
        <f t="shared" si="33"/>
        <v>No</v>
      </c>
      <c r="Y294" s="436"/>
      <c r="Z294" s="435">
        <f t="shared" si="34"/>
        <v>0</v>
      </c>
      <c r="AA294" s="245" t="str">
        <f>IF(AND(X294="Yes",NOT(ISBLANK(Z294))),VLOOKUP(Z294,Calcs!$Y$48:$Z$57,2,TRUE)," ")</f>
        <v xml:space="preserve"> </v>
      </c>
    </row>
    <row r="295" spans="1:27" x14ac:dyDescent="0.2">
      <c r="A295" s="425">
        <f t="shared" si="35"/>
        <v>321</v>
      </c>
      <c r="B295" s="425" t="str">
        <f t="shared" si="31"/>
        <v>Winter</v>
      </c>
      <c r="C295" s="247">
        <f>IF(B295="Winter",A295-('Start Character'!$K$6)-1,IF('Start Character'!$K$7&gt;6,A295-('Start Character'!$K$6)-1,A295-('Start Character'!$K$6)))</f>
        <v>320</v>
      </c>
      <c r="D295" s="247">
        <f t="shared" si="32"/>
        <v>320</v>
      </c>
      <c r="E295" s="246"/>
      <c r="F295" s="83"/>
      <c r="G295" s="83"/>
      <c r="H295" s="246"/>
      <c r="I295" s="433"/>
      <c r="J295" s="254">
        <f>IF(ISBLANK(I295),0,ROUNDUP(D295/10,0)-E295-H295-F295-G295+VLOOKUP($D$2,Calcs!$A$23:$B$27,2,FALSE)+I295)</f>
        <v>0</v>
      </c>
      <c r="K295" s="245" t="str">
        <f>IF(ISBLANK(I295)," ",VLOOKUP(J295,Calcs!$A$82:$H$106,2,TRUE))</f>
        <v xml:space="preserve"> </v>
      </c>
      <c r="L295" s="245">
        <f>IF(ISBLANK(I295),0,VLOOKUP(J295,Calcs!$A$82:$F$106,5,TRUE))</f>
        <v>0</v>
      </c>
      <c r="M295" s="208">
        <f>IF(J295=13,IF(ISNUMBER(W294),VLOOKUP(W294+1,Calcs!$O$4:$Q$24,3,TRUE)-V294,5),IF(J295&lt;10,0,IF(J295&lt;18,1,IF(J295&lt;22,2,IF(ISNUMBER(W294),VLOOKUP(W294+1,Calcs!$O$4:$Q$24,3,TRUE)-V294,5)))))</f>
        <v>0</v>
      </c>
      <c r="N295" s="245" t="str">
        <f t="shared" si="36"/>
        <v xml:space="preserve"> </v>
      </c>
      <c r="O295" s="245" t="str">
        <f t="shared" si="36"/>
        <v xml:space="preserve"> </v>
      </c>
      <c r="P295" s="245" t="str">
        <f t="shared" si="36"/>
        <v xml:space="preserve"> </v>
      </c>
      <c r="Q295" s="245" t="str">
        <f t="shared" si="36"/>
        <v xml:space="preserve"> </v>
      </c>
      <c r="R295" s="245" t="str">
        <f t="shared" si="36"/>
        <v xml:space="preserve"> </v>
      </c>
      <c r="S295" s="245" t="str">
        <f t="shared" si="36"/>
        <v xml:space="preserve"> </v>
      </c>
      <c r="T295" s="245" t="str">
        <f t="shared" si="36"/>
        <v xml:space="preserve"> </v>
      </c>
      <c r="U295" s="245" t="str">
        <f t="shared" si="36"/>
        <v xml:space="preserve"> </v>
      </c>
      <c r="V295" s="208">
        <f>SUM($N$10:$U295)</f>
        <v>0</v>
      </c>
      <c r="W295" s="208">
        <f>VLOOKUP(V295,Calcs!$Q$4:$R$24,2,TRUE)</f>
        <v>0</v>
      </c>
      <c r="X295" s="435" t="str">
        <f t="shared" si="33"/>
        <v>No</v>
      </c>
      <c r="Y295" s="436"/>
      <c r="Z295" s="435">
        <f t="shared" si="34"/>
        <v>0</v>
      </c>
      <c r="AA295" s="245" t="str">
        <f>IF(AND(X295="Yes",NOT(ISBLANK(Z295))),VLOOKUP(Z295,Calcs!$Y$48:$Z$57,2,TRUE)," ")</f>
        <v xml:space="preserve"> </v>
      </c>
    </row>
    <row r="296" spans="1:27" x14ac:dyDescent="0.2">
      <c r="A296" s="425">
        <f t="shared" si="35"/>
        <v>322</v>
      </c>
      <c r="B296" s="425" t="str">
        <f t="shared" si="31"/>
        <v>Winter</v>
      </c>
      <c r="C296" s="247">
        <f>IF(B296="Winter",A296-('Start Character'!$K$6)-1,IF('Start Character'!$K$7&gt;6,A296-('Start Character'!$K$6)-1,A296-('Start Character'!$K$6)))</f>
        <v>321</v>
      </c>
      <c r="D296" s="247">
        <f t="shared" si="32"/>
        <v>321</v>
      </c>
      <c r="E296" s="246"/>
      <c r="F296" s="83"/>
      <c r="G296" s="83"/>
      <c r="H296" s="246"/>
      <c r="I296" s="433"/>
      <c r="J296" s="254">
        <f>IF(ISBLANK(I296),0,ROUNDUP(D296/10,0)-E296-H296-F296-G296+VLOOKUP($D$2,Calcs!$A$23:$B$27,2,FALSE)+I296)</f>
        <v>0</v>
      </c>
      <c r="K296" s="245" t="str">
        <f>IF(ISBLANK(I296)," ",VLOOKUP(J296,Calcs!$A$82:$H$106,2,TRUE))</f>
        <v xml:space="preserve"> </v>
      </c>
      <c r="L296" s="245">
        <f>IF(ISBLANK(I296),0,VLOOKUP(J296,Calcs!$A$82:$F$106,5,TRUE))</f>
        <v>0</v>
      </c>
      <c r="M296" s="208">
        <f>IF(J296=13,IF(ISNUMBER(W295),VLOOKUP(W295+1,Calcs!$O$4:$Q$24,3,TRUE)-V295,5),IF(J296&lt;10,0,IF(J296&lt;18,1,IF(J296&lt;22,2,IF(ISNUMBER(W295),VLOOKUP(W295+1,Calcs!$O$4:$Q$24,3,TRUE)-V295,5)))))</f>
        <v>0</v>
      </c>
      <c r="N296" s="245" t="str">
        <f t="shared" si="36"/>
        <v xml:space="preserve"> </v>
      </c>
      <c r="O296" s="245" t="str">
        <f t="shared" si="36"/>
        <v xml:space="preserve"> </v>
      </c>
      <c r="P296" s="245" t="str">
        <f t="shared" si="36"/>
        <v xml:space="preserve"> </v>
      </c>
      <c r="Q296" s="245" t="str">
        <f t="shared" si="36"/>
        <v xml:space="preserve"> </v>
      </c>
      <c r="R296" s="245" t="str">
        <f t="shared" si="36"/>
        <v xml:space="preserve"> </v>
      </c>
      <c r="S296" s="245" t="str">
        <f t="shared" si="36"/>
        <v xml:space="preserve"> </v>
      </c>
      <c r="T296" s="245" t="str">
        <f t="shared" si="36"/>
        <v xml:space="preserve"> </v>
      </c>
      <c r="U296" s="245" t="str">
        <f t="shared" si="36"/>
        <v xml:space="preserve"> </v>
      </c>
      <c r="V296" s="208">
        <f>SUM($N$10:$U296)</f>
        <v>0</v>
      </c>
      <c r="W296" s="208">
        <f>VLOOKUP(V296,Calcs!$Q$4:$R$24,2,TRUE)</f>
        <v>0</v>
      </c>
      <c r="X296" s="435" t="str">
        <f t="shared" si="33"/>
        <v>No</v>
      </c>
      <c r="Y296" s="436"/>
      <c r="Z296" s="435">
        <f t="shared" si="34"/>
        <v>0</v>
      </c>
      <c r="AA296" s="245" t="str">
        <f>IF(AND(X296="Yes",NOT(ISBLANK(Z296))),VLOOKUP(Z296,Calcs!$Y$48:$Z$57,2,TRUE)," ")</f>
        <v xml:space="preserve"> </v>
      </c>
    </row>
    <row r="297" spans="1:27" x14ac:dyDescent="0.2">
      <c r="A297" s="425">
        <f t="shared" si="35"/>
        <v>323</v>
      </c>
      <c r="B297" s="425" t="str">
        <f t="shared" si="31"/>
        <v>Winter</v>
      </c>
      <c r="C297" s="247">
        <f>IF(B297="Winter",A297-('Start Character'!$K$6)-1,IF('Start Character'!$K$7&gt;6,A297-('Start Character'!$K$6)-1,A297-('Start Character'!$K$6)))</f>
        <v>322</v>
      </c>
      <c r="D297" s="247">
        <f t="shared" si="32"/>
        <v>322</v>
      </c>
      <c r="E297" s="246"/>
      <c r="F297" s="83"/>
      <c r="G297" s="83"/>
      <c r="H297" s="246"/>
      <c r="I297" s="433"/>
      <c r="J297" s="254">
        <f>IF(ISBLANK(I297),0,ROUNDUP(D297/10,0)-E297-H297-F297-G297+VLOOKUP($D$2,Calcs!$A$23:$B$27,2,FALSE)+I297)</f>
        <v>0</v>
      </c>
      <c r="K297" s="245" t="str">
        <f>IF(ISBLANK(I297)," ",VLOOKUP(J297,Calcs!$A$82:$H$106,2,TRUE))</f>
        <v xml:space="preserve"> </v>
      </c>
      <c r="L297" s="245">
        <f>IF(ISBLANK(I297),0,VLOOKUP(J297,Calcs!$A$82:$F$106,5,TRUE))</f>
        <v>0</v>
      </c>
      <c r="M297" s="208">
        <f>IF(J297=13,IF(ISNUMBER(W296),VLOOKUP(W296+1,Calcs!$O$4:$Q$24,3,TRUE)-V296,5),IF(J297&lt;10,0,IF(J297&lt;18,1,IF(J297&lt;22,2,IF(ISNUMBER(W296),VLOOKUP(W296+1,Calcs!$O$4:$Q$24,3,TRUE)-V296,5)))))</f>
        <v>0</v>
      </c>
      <c r="N297" s="245" t="str">
        <f t="shared" si="36"/>
        <v xml:space="preserve"> </v>
      </c>
      <c r="O297" s="245" t="str">
        <f t="shared" si="36"/>
        <v xml:space="preserve"> </v>
      </c>
      <c r="P297" s="245" t="str">
        <f t="shared" si="36"/>
        <v xml:space="preserve"> </v>
      </c>
      <c r="Q297" s="245" t="str">
        <f t="shared" si="36"/>
        <v xml:space="preserve"> </v>
      </c>
      <c r="R297" s="245" t="str">
        <f t="shared" si="36"/>
        <v xml:space="preserve"> </v>
      </c>
      <c r="S297" s="245" t="str">
        <f t="shared" si="36"/>
        <v xml:space="preserve"> </v>
      </c>
      <c r="T297" s="245" t="str">
        <f t="shared" si="36"/>
        <v xml:space="preserve"> </v>
      </c>
      <c r="U297" s="245" t="str">
        <f t="shared" si="36"/>
        <v xml:space="preserve"> </v>
      </c>
      <c r="V297" s="208">
        <f>SUM($N$10:$U297)</f>
        <v>0</v>
      </c>
      <c r="W297" s="208">
        <f>VLOOKUP(V297,Calcs!$Q$4:$R$24,2,TRUE)</f>
        <v>0</v>
      </c>
      <c r="X297" s="435" t="str">
        <f t="shared" si="33"/>
        <v>No</v>
      </c>
      <c r="Y297" s="436"/>
      <c r="Z297" s="435">
        <f t="shared" si="34"/>
        <v>0</v>
      </c>
      <c r="AA297" s="245" t="str">
        <f>IF(AND(X297="Yes",NOT(ISBLANK(Z297))),VLOOKUP(Z297,Calcs!$Y$48:$Z$57,2,TRUE)," ")</f>
        <v xml:space="preserve"> </v>
      </c>
    </row>
    <row r="298" spans="1:27" x14ac:dyDescent="0.2">
      <c r="A298" s="425">
        <f t="shared" si="35"/>
        <v>324</v>
      </c>
      <c r="B298" s="425" t="str">
        <f t="shared" si="31"/>
        <v>Winter</v>
      </c>
      <c r="C298" s="247">
        <f>IF(B298="Winter",A298-('Start Character'!$K$6)-1,IF('Start Character'!$K$7&gt;6,A298-('Start Character'!$K$6)-1,A298-('Start Character'!$K$6)))</f>
        <v>323</v>
      </c>
      <c r="D298" s="247">
        <f t="shared" si="32"/>
        <v>323</v>
      </c>
      <c r="E298" s="246"/>
      <c r="F298" s="83"/>
      <c r="G298" s="83"/>
      <c r="H298" s="246"/>
      <c r="I298" s="433"/>
      <c r="J298" s="254">
        <f>IF(ISBLANK(I298),0,ROUNDUP(D298/10,0)-E298-H298-F298-G298+VLOOKUP($D$2,Calcs!$A$23:$B$27,2,FALSE)+I298)</f>
        <v>0</v>
      </c>
      <c r="K298" s="245" t="str">
        <f>IF(ISBLANK(I298)," ",VLOOKUP(J298,Calcs!$A$82:$H$106,2,TRUE))</f>
        <v xml:space="preserve"> </v>
      </c>
      <c r="L298" s="245">
        <f>IF(ISBLANK(I298),0,VLOOKUP(J298,Calcs!$A$82:$F$106,5,TRUE))</f>
        <v>0</v>
      </c>
      <c r="M298" s="208">
        <f>IF(J298=13,IF(ISNUMBER(W297),VLOOKUP(W297+1,Calcs!$O$4:$Q$24,3,TRUE)-V297,5),IF(J298&lt;10,0,IF(J298&lt;18,1,IF(J298&lt;22,2,IF(ISNUMBER(W297),VLOOKUP(W297+1,Calcs!$O$4:$Q$24,3,TRUE)-V297,5)))))</f>
        <v>0</v>
      </c>
      <c r="N298" s="245" t="str">
        <f t="shared" si="36"/>
        <v xml:space="preserve"> </v>
      </c>
      <c r="O298" s="245" t="str">
        <f t="shared" si="36"/>
        <v xml:space="preserve"> </v>
      </c>
      <c r="P298" s="245" t="str">
        <f t="shared" si="36"/>
        <v xml:space="preserve"> </v>
      </c>
      <c r="Q298" s="245" t="str">
        <f t="shared" si="36"/>
        <v xml:space="preserve"> </v>
      </c>
      <c r="R298" s="245" t="str">
        <f t="shared" si="36"/>
        <v xml:space="preserve"> </v>
      </c>
      <c r="S298" s="245" t="str">
        <f t="shared" si="36"/>
        <v xml:space="preserve"> </v>
      </c>
      <c r="T298" s="245" t="str">
        <f t="shared" si="36"/>
        <v xml:space="preserve"> </v>
      </c>
      <c r="U298" s="245" t="str">
        <f t="shared" si="36"/>
        <v xml:space="preserve"> </v>
      </c>
      <c r="V298" s="208">
        <f>SUM($N$10:$U298)</f>
        <v>0</v>
      </c>
      <c r="W298" s="208">
        <f>VLOOKUP(V298,Calcs!$Q$4:$R$24,2,TRUE)</f>
        <v>0</v>
      </c>
      <c r="X298" s="435" t="str">
        <f t="shared" si="33"/>
        <v>No</v>
      </c>
      <c r="Y298" s="436"/>
      <c r="Z298" s="435">
        <f t="shared" si="34"/>
        <v>0</v>
      </c>
      <c r="AA298" s="245" t="str">
        <f>IF(AND(X298="Yes",NOT(ISBLANK(Z298))),VLOOKUP(Z298,Calcs!$Y$48:$Z$57,2,TRUE)," ")</f>
        <v xml:space="preserve"> </v>
      </c>
    </row>
    <row r="299" spans="1:27" x14ac:dyDescent="0.2">
      <c r="A299" s="425">
        <f t="shared" si="35"/>
        <v>325</v>
      </c>
      <c r="B299" s="425" t="str">
        <f t="shared" si="31"/>
        <v>Winter</v>
      </c>
      <c r="C299" s="247">
        <f>IF(B299="Winter",A299-('Start Character'!$K$6)-1,IF('Start Character'!$K$7&gt;6,A299-('Start Character'!$K$6)-1,A299-('Start Character'!$K$6)))</f>
        <v>324</v>
      </c>
      <c r="D299" s="247">
        <f t="shared" si="32"/>
        <v>324</v>
      </c>
      <c r="E299" s="246"/>
      <c r="F299" s="83"/>
      <c r="G299" s="83"/>
      <c r="H299" s="246"/>
      <c r="I299" s="433"/>
      <c r="J299" s="254">
        <f>IF(ISBLANK(I299),0,ROUNDUP(D299/10,0)-E299-H299-F299-G299+VLOOKUP($D$2,Calcs!$A$23:$B$27,2,FALSE)+I299)</f>
        <v>0</v>
      </c>
      <c r="K299" s="245" t="str">
        <f>IF(ISBLANK(I299)," ",VLOOKUP(J299,Calcs!$A$82:$H$106,2,TRUE))</f>
        <v xml:space="preserve"> </v>
      </c>
      <c r="L299" s="245">
        <f>IF(ISBLANK(I299),0,VLOOKUP(J299,Calcs!$A$82:$F$106,5,TRUE))</f>
        <v>0</v>
      </c>
      <c r="M299" s="208">
        <f>IF(J299=13,IF(ISNUMBER(W298),VLOOKUP(W298+1,Calcs!$O$4:$Q$24,3,TRUE)-V298,5),IF(J299&lt;10,0,IF(J299&lt;18,1,IF(J299&lt;22,2,IF(ISNUMBER(W298),VLOOKUP(W298+1,Calcs!$O$4:$Q$24,3,TRUE)-V298,5)))))</f>
        <v>0</v>
      </c>
      <c r="N299" s="245" t="str">
        <f t="shared" si="36"/>
        <v xml:space="preserve"> </v>
      </c>
      <c r="O299" s="245" t="str">
        <f t="shared" si="36"/>
        <v xml:space="preserve"> </v>
      </c>
      <c r="P299" s="245" t="str">
        <f t="shared" si="36"/>
        <v xml:space="preserve"> </v>
      </c>
      <c r="Q299" s="245" t="str">
        <f t="shared" si="36"/>
        <v xml:space="preserve"> </v>
      </c>
      <c r="R299" s="245" t="str">
        <f t="shared" si="36"/>
        <v xml:space="preserve"> </v>
      </c>
      <c r="S299" s="245" t="str">
        <f t="shared" si="36"/>
        <v xml:space="preserve"> </v>
      </c>
      <c r="T299" s="245" t="str">
        <f t="shared" si="36"/>
        <v xml:space="preserve"> </v>
      </c>
      <c r="U299" s="245" t="str">
        <f t="shared" si="36"/>
        <v xml:space="preserve"> </v>
      </c>
      <c r="V299" s="208">
        <f>SUM($N$10:$U299)</f>
        <v>0</v>
      </c>
      <c r="W299" s="208">
        <f>VLOOKUP(V299,Calcs!$Q$4:$R$24,2,TRUE)</f>
        <v>0</v>
      </c>
      <c r="X299" s="435" t="str">
        <f t="shared" si="33"/>
        <v>No</v>
      </c>
      <c r="Y299" s="436"/>
      <c r="Z299" s="435">
        <f t="shared" si="34"/>
        <v>0</v>
      </c>
      <c r="AA299" s="245" t="str">
        <f>IF(AND(X299="Yes",NOT(ISBLANK(Z299))),VLOOKUP(Z299,Calcs!$Y$48:$Z$57,2,TRUE)," ")</f>
        <v xml:space="preserve"> </v>
      </c>
    </row>
    <row r="300" spans="1:27" x14ac:dyDescent="0.2">
      <c r="A300" s="425">
        <f t="shared" si="35"/>
        <v>326</v>
      </c>
      <c r="B300" s="425" t="str">
        <f t="shared" si="31"/>
        <v>Winter</v>
      </c>
      <c r="C300" s="247">
        <f>IF(B300="Winter",A300-('Start Character'!$K$6)-1,IF('Start Character'!$K$7&gt;6,A300-('Start Character'!$K$6)-1,A300-('Start Character'!$K$6)))</f>
        <v>325</v>
      </c>
      <c r="D300" s="247">
        <f t="shared" si="32"/>
        <v>325</v>
      </c>
      <c r="E300" s="246"/>
      <c r="F300" s="83"/>
      <c r="G300" s="83"/>
      <c r="H300" s="246"/>
      <c r="I300" s="433"/>
      <c r="J300" s="254">
        <f>IF(ISBLANK(I300),0,ROUNDUP(D300/10,0)-E300-H300-F300-G300+VLOOKUP($D$2,Calcs!$A$23:$B$27,2,FALSE)+I300)</f>
        <v>0</v>
      </c>
      <c r="K300" s="245" t="str">
        <f>IF(ISBLANK(I300)," ",VLOOKUP(J300,Calcs!$A$82:$H$106,2,TRUE))</f>
        <v xml:space="preserve"> </v>
      </c>
      <c r="L300" s="245">
        <f>IF(ISBLANK(I300),0,VLOOKUP(J300,Calcs!$A$82:$F$106,5,TRUE))</f>
        <v>0</v>
      </c>
      <c r="M300" s="208">
        <f>IF(J300=13,IF(ISNUMBER(W299),VLOOKUP(W299+1,Calcs!$O$4:$Q$24,3,TRUE)-V299,5),IF(J300&lt;10,0,IF(J300&lt;18,1,IF(J300&lt;22,2,IF(ISNUMBER(W299),VLOOKUP(W299+1,Calcs!$O$4:$Q$24,3,TRUE)-V299,5)))))</f>
        <v>0</v>
      </c>
      <c r="N300" s="245" t="str">
        <f t="shared" si="36"/>
        <v xml:space="preserve"> </v>
      </c>
      <c r="O300" s="245" t="str">
        <f t="shared" si="36"/>
        <v xml:space="preserve"> </v>
      </c>
      <c r="P300" s="245" t="str">
        <f t="shared" si="36"/>
        <v xml:space="preserve"> </v>
      </c>
      <c r="Q300" s="245" t="str">
        <f t="shared" si="36"/>
        <v xml:space="preserve"> </v>
      </c>
      <c r="R300" s="245" t="str">
        <f t="shared" si="36"/>
        <v xml:space="preserve"> </v>
      </c>
      <c r="S300" s="245" t="str">
        <f t="shared" si="36"/>
        <v xml:space="preserve"> </v>
      </c>
      <c r="T300" s="245" t="str">
        <f t="shared" si="36"/>
        <v xml:space="preserve"> </v>
      </c>
      <c r="U300" s="245" t="str">
        <f t="shared" si="36"/>
        <v xml:space="preserve"> </v>
      </c>
      <c r="V300" s="208">
        <f>SUM($N$10:$U300)</f>
        <v>0</v>
      </c>
      <c r="W300" s="208">
        <f>VLOOKUP(V300,Calcs!$Q$4:$R$24,2,TRUE)</f>
        <v>0</v>
      </c>
      <c r="X300" s="435" t="str">
        <f t="shared" si="33"/>
        <v>No</v>
      </c>
      <c r="Y300" s="436"/>
      <c r="Z300" s="435">
        <f t="shared" si="34"/>
        <v>0</v>
      </c>
      <c r="AA300" s="245" t="str">
        <f>IF(AND(X300="Yes",NOT(ISBLANK(Z300))),VLOOKUP(Z300,Calcs!$Y$48:$Z$57,2,TRUE)," ")</f>
        <v xml:space="preserve"> </v>
      </c>
    </row>
    <row r="301" spans="1:27" x14ac:dyDescent="0.2">
      <c r="A301" s="425">
        <f t="shared" si="35"/>
        <v>327</v>
      </c>
      <c r="B301" s="425" t="str">
        <f t="shared" si="31"/>
        <v>Winter</v>
      </c>
      <c r="C301" s="247">
        <f>IF(B301="Winter",A301-('Start Character'!$K$6)-1,IF('Start Character'!$K$7&gt;6,A301-('Start Character'!$K$6)-1,A301-('Start Character'!$K$6)))</f>
        <v>326</v>
      </c>
      <c r="D301" s="247">
        <f t="shared" si="32"/>
        <v>326</v>
      </c>
      <c r="E301" s="246"/>
      <c r="F301" s="83"/>
      <c r="G301" s="83"/>
      <c r="H301" s="246"/>
      <c r="I301" s="433"/>
      <c r="J301" s="254">
        <f>IF(ISBLANK(I301),0,ROUNDUP(D301/10,0)-E301-H301-F301-G301+VLOOKUP($D$2,Calcs!$A$23:$B$27,2,FALSE)+I301)</f>
        <v>0</v>
      </c>
      <c r="K301" s="245" t="str">
        <f>IF(ISBLANK(I301)," ",VLOOKUP(J301,Calcs!$A$82:$H$106,2,TRUE))</f>
        <v xml:space="preserve"> </v>
      </c>
      <c r="L301" s="245">
        <f>IF(ISBLANK(I301),0,VLOOKUP(J301,Calcs!$A$82:$F$106,5,TRUE))</f>
        <v>0</v>
      </c>
      <c r="M301" s="208">
        <f>IF(J301=13,IF(ISNUMBER(W300),VLOOKUP(W300+1,Calcs!$O$4:$Q$24,3,TRUE)-V300,5),IF(J301&lt;10,0,IF(J301&lt;18,1,IF(J301&lt;22,2,IF(ISNUMBER(W300),VLOOKUP(W300+1,Calcs!$O$4:$Q$24,3,TRUE)-V300,5)))))</f>
        <v>0</v>
      </c>
      <c r="N301" s="245" t="str">
        <f t="shared" si="36"/>
        <v xml:space="preserve"> </v>
      </c>
      <c r="O301" s="245" t="str">
        <f t="shared" si="36"/>
        <v xml:space="preserve"> </v>
      </c>
      <c r="P301" s="245" t="str">
        <f t="shared" si="36"/>
        <v xml:space="preserve"> </v>
      </c>
      <c r="Q301" s="245" t="str">
        <f t="shared" si="36"/>
        <v xml:space="preserve"> </v>
      </c>
      <c r="R301" s="245" t="str">
        <f t="shared" si="36"/>
        <v xml:space="preserve"> </v>
      </c>
      <c r="S301" s="245" t="str">
        <f t="shared" si="36"/>
        <v xml:space="preserve"> </v>
      </c>
      <c r="T301" s="245" t="str">
        <f t="shared" si="36"/>
        <v xml:space="preserve"> </v>
      </c>
      <c r="U301" s="245" t="str">
        <f t="shared" si="36"/>
        <v xml:space="preserve"> </v>
      </c>
      <c r="V301" s="208">
        <f>SUM($N$10:$U301)</f>
        <v>0</v>
      </c>
      <c r="W301" s="208">
        <f>VLOOKUP(V301,Calcs!$Q$4:$R$24,2,TRUE)</f>
        <v>0</v>
      </c>
      <c r="X301" s="435" t="str">
        <f t="shared" si="33"/>
        <v>No</v>
      </c>
      <c r="Y301" s="436"/>
      <c r="Z301" s="435">
        <f t="shared" si="34"/>
        <v>0</v>
      </c>
      <c r="AA301" s="245" t="str">
        <f>IF(AND(X301="Yes",NOT(ISBLANK(Z301))),VLOOKUP(Z301,Calcs!$Y$48:$Z$57,2,TRUE)," ")</f>
        <v xml:space="preserve"> </v>
      </c>
    </row>
    <row r="302" spans="1:27" x14ac:dyDescent="0.2">
      <c r="A302" s="425">
        <f t="shared" si="35"/>
        <v>328</v>
      </c>
      <c r="B302" s="425" t="str">
        <f t="shared" si="31"/>
        <v>Winter</v>
      </c>
      <c r="C302" s="247">
        <f>IF(B302="Winter",A302-('Start Character'!$K$6)-1,IF('Start Character'!$K$7&gt;6,A302-('Start Character'!$K$6)-1,A302-('Start Character'!$K$6)))</f>
        <v>327</v>
      </c>
      <c r="D302" s="247">
        <f t="shared" si="32"/>
        <v>327</v>
      </c>
      <c r="E302" s="246"/>
      <c r="F302" s="83"/>
      <c r="G302" s="83"/>
      <c r="H302" s="246"/>
      <c r="I302" s="433"/>
      <c r="J302" s="254">
        <f>IF(ISBLANK(I302),0,ROUNDUP(D302/10,0)-E302-H302-F302-G302+VLOOKUP($D$2,Calcs!$A$23:$B$27,2,FALSE)+I302)</f>
        <v>0</v>
      </c>
      <c r="K302" s="245" t="str">
        <f>IF(ISBLANK(I302)," ",VLOOKUP(J302,Calcs!$A$82:$H$106,2,TRUE))</f>
        <v xml:space="preserve"> </v>
      </c>
      <c r="L302" s="245">
        <f>IF(ISBLANK(I302),0,VLOOKUP(J302,Calcs!$A$82:$F$106,5,TRUE))</f>
        <v>0</v>
      </c>
      <c r="M302" s="208">
        <f>IF(J302=13,IF(ISNUMBER(W301),VLOOKUP(W301+1,Calcs!$O$4:$Q$24,3,TRUE)-V301,5),IF(J302&lt;10,0,IF(J302&lt;18,1,IF(J302&lt;22,2,IF(ISNUMBER(W301),VLOOKUP(W301+1,Calcs!$O$4:$Q$24,3,TRUE)-V301,5)))))</f>
        <v>0</v>
      </c>
      <c r="N302" s="245" t="str">
        <f t="shared" si="36"/>
        <v xml:space="preserve"> </v>
      </c>
      <c r="O302" s="245" t="str">
        <f t="shared" si="36"/>
        <v xml:space="preserve"> </v>
      </c>
      <c r="P302" s="245" t="str">
        <f t="shared" si="36"/>
        <v xml:space="preserve"> </v>
      </c>
      <c r="Q302" s="245" t="str">
        <f t="shared" si="36"/>
        <v xml:space="preserve"> </v>
      </c>
      <c r="R302" s="245" t="str">
        <f t="shared" si="36"/>
        <v xml:space="preserve"> </v>
      </c>
      <c r="S302" s="245" t="str">
        <f t="shared" si="36"/>
        <v xml:space="preserve"> </v>
      </c>
      <c r="T302" s="245" t="str">
        <f t="shared" si="36"/>
        <v xml:space="preserve"> </v>
      </c>
      <c r="U302" s="245" t="str">
        <f t="shared" si="36"/>
        <v xml:space="preserve"> </v>
      </c>
      <c r="V302" s="208">
        <f>SUM($N$10:$U302)</f>
        <v>0</v>
      </c>
      <c r="W302" s="208">
        <f>VLOOKUP(V302,Calcs!$Q$4:$R$24,2,TRUE)</f>
        <v>0</v>
      </c>
      <c r="X302" s="435" t="str">
        <f t="shared" si="33"/>
        <v>No</v>
      </c>
      <c r="Y302" s="436"/>
      <c r="Z302" s="435">
        <f t="shared" si="34"/>
        <v>0</v>
      </c>
      <c r="AA302" s="245" t="str">
        <f>IF(AND(X302="Yes",NOT(ISBLANK(Z302))),VLOOKUP(Z302,Calcs!$Y$48:$Z$57,2,TRUE)," ")</f>
        <v xml:space="preserve"> </v>
      </c>
    </row>
    <row r="303" spans="1:27" x14ac:dyDescent="0.2">
      <c r="A303" s="425">
        <f t="shared" si="35"/>
        <v>329</v>
      </c>
      <c r="B303" s="425" t="str">
        <f t="shared" si="31"/>
        <v>Winter</v>
      </c>
      <c r="C303" s="247">
        <f>IF(B303="Winter",A303-('Start Character'!$K$6)-1,IF('Start Character'!$K$7&gt;6,A303-('Start Character'!$K$6)-1,A303-('Start Character'!$K$6)))</f>
        <v>328</v>
      </c>
      <c r="D303" s="247">
        <f t="shared" si="32"/>
        <v>328</v>
      </c>
      <c r="E303" s="246"/>
      <c r="F303" s="83"/>
      <c r="G303" s="83"/>
      <c r="H303" s="246"/>
      <c r="I303" s="433"/>
      <c r="J303" s="254">
        <f>IF(ISBLANK(I303),0,ROUNDUP(D303/10,0)-E303-H303-F303-G303+VLOOKUP($D$2,Calcs!$A$23:$B$27,2,FALSE)+I303)</f>
        <v>0</v>
      </c>
      <c r="K303" s="245" t="str">
        <f>IF(ISBLANK(I303)," ",VLOOKUP(J303,Calcs!$A$82:$H$106,2,TRUE))</f>
        <v xml:space="preserve"> </v>
      </c>
      <c r="L303" s="245">
        <f>IF(ISBLANK(I303),0,VLOOKUP(J303,Calcs!$A$82:$F$106,5,TRUE))</f>
        <v>0</v>
      </c>
      <c r="M303" s="208">
        <f>IF(J303=13,IF(ISNUMBER(W302),VLOOKUP(W302+1,Calcs!$O$4:$Q$24,3,TRUE)-V302,5),IF(J303&lt;10,0,IF(J303&lt;18,1,IF(J303&lt;22,2,IF(ISNUMBER(W302),VLOOKUP(W302+1,Calcs!$O$4:$Q$24,3,TRUE)-V302,5)))))</f>
        <v>0</v>
      </c>
      <c r="N303" s="245" t="str">
        <f t="shared" si="36"/>
        <v xml:space="preserve"> </v>
      </c>
      <c r="O303" s="245" t="str">
        <f t="shared" si="36"/>
        <v xml:space="preserve"> </v>
      </c>
      <c r="P303" s="245" t="str">
        <f t="shared" si="36"/>
        <v xml:space="preserve"> </v>
      </c>
      <c r="Q303" s="245" t="str">
        <f t="shared" si="36"/>
        <v xml:space="preserve"> </v>
      </c>
      <c r="R303" s="245" t="str">
        <f t="shared" si="36"/>
        <v xml:space="preserve"> </v>
      </c>
      <c r="S303" s="245" t="str">
        <f t="shared" si="36"/>
        <v xml:space="preserve"> </v>
      </c>
      <c r="T303" s="245" t="str">
        <f t="shared" si="36"/>
        <v xml:space="preserve"> </v>
      </c>
      <c r="U303" s="245" t="str">
        <f t="shared" si="36"/>
        <v xml:space="preserve"> </v>
      </c>
      <c r="V303" s="208">
        <f>SUM($N$10:$U303)</f>
        <v>0</v>
      </c>
      <c r="W303" s="208">
        <f>VLOOKUP(V303,Calcs!$Q$4:$R$24,2,TRUE)</f>
        <v>0</v>
      </c>
      <c r="X303" s="435" t="str">
        <f t="shared" si="33"/>
        <v>No</v>
      </c>
      <c r="Y303" s="436"/>
      <c r="Z303" s="435">
        <f t="shared" si="34"/>
        <v>0</v>
      </c>
      <c r="AA303" s="245" t="str">
        <f>IF(AND(X303="Yes",NOT(ISBLANK(Z303))),VLOOKUP(Z303,Calcs!$Y$48:$Z$57,2,TRUE)," ")</f>
        <v xml:space="preserve"> </v>
      </c>
    </row>
    <row r="304" spans="1:27" x14ac:dyDescent="0.2">
      <c r="A304" s="425">
        <f t="shared" si="35"/>
        <v>330</v>
      </c>
      <c r="B304" s="425" t="str">
        <f t="shared" si="31"/>
        <v>Winter</v>
      </c>
      <c r="C304" s="247">
        <f>IF(B304="Winter",A304-('Start Character'!$K$6)-1,IF('Start Character'!$K$7&gt;6,A304-('Start Character'!$K$6)-1,A304-('Start Character'!$K$6)))</f>
        <v>329</v>
      </c>
      <c r="D304" s="247">
        <f t="shared" si="32"/>
        <v>329</v>
      </c>
      <c r="E304" s="246"/>
      <c r="F304" s="83"/>
      <c r="G304" s="83"/>
      <c r="H304" s="246"/>
      <c r="I304" s="433"/>
      <c r="J304" s="254">
        <f>IF(ISBLANK(I304),0,ROUNDUP(D304/10,0)-E304-H304-F304-G304+VLOOKUP($D$2,Calcs!$A$23:$B$27,2,FALSE)+I304)</f>
        <v>0</v>
      </c>
      <c r="K304" s="245" t="str">
        <f>IF(ISBLANK(I304)," ",VLOOKUP(J304,Calcs!$A$82:$H$106,2,TRUE))</f>
        <v xml:space="preserve"> </v>
      </c>
      <c r="L304" s="245">
        <f>IF(ISBLANK(I304),0,VLOOKUP(J304,Calcs!$A$82:$F$106,5,TRUE))</f>
        <v>0</v>
      </c>
      <c r="M304" s="208">
        <f>IF(J304=13,IF(ISNUMBER(W303),VLOOKUP(W303+1,Calcs!$O$4:$Q$24,3,TRUE)-V303,5),IF(J304&lt;10,0,IF(J304&lt;18,1,IF(J304&lt;22,2,IF(ISNUMBER(W303),VLOOKUP(W303+1,Calcs!$O$4:$Q$24,3,TRUE)-V303,5)))))</f>
        <v>0</v>
      </c>
      <c r="N304" s="245" t="str">
        <f t="shared" si="36"/>
        <v xml:space="preserve"> </v>
      </c>
      <c r="O304" s="245" t="str">
        <f t="shared" si="36"/>
        <v xml:space="preserve"> </v>
      </c>
      <c r="P304" s="245" t="str">
        <f t="shared" si="36"/>
        <v xml:space="preserve"> </v>
      </c>
      <c r="Q304" s="245" t="str">
        <f t="shared" si="36"/>
        <v xml:space="preserve"> </v>
      </c>
      <c r="R304" s="245" t="str">
        <f t="shared" si="36"/>
        <v xml:space="preserve"> </v>
      </c>
      <c r="S304" s="245" t="str">
        <f t="shared" si="36"/>
        <v xml:space="preserve"> </v>
      </c>
      <c r="T304" s="245" t="str">
        <f t="shared" si="36"/>
        <v xml:space="preserve"> </v>
      </c>
      <c r="U304" s="245" t="str">
        <f t="shared" si="36"/>
        <v xml:space="preserve"> </v>
      </c>
      <c r="V304" s="208">
        <f>SUM($N$10:$U304)</f>
        <v>0</v>
      </c>
      <c r="W304" s="208">
        <f>VLOOKUP(V304,Calcs!$Q$4:$R$24,2,TRUE)</f>
        <v>0</v>
      </c>
      <c r="X304" s="435" t="str">
        <f t="shared" si="33"/>
        <v>No</v>
      </c>
      <c r="Y304" s="436"/>
      <c r="Z304" s="435">
        <f t="shared" si="34"/>
        <v>0</v>
      </c>
      <c r="AA304" s="245" t="str">
        <f>IF(AND(X304="Yes",NOT(ISBLANK(Z304))),VLOOKUP(Z304,Calcs!$Y$48:$Z$57,2,TRUE)," ")</f>
        <v xml:space="preserve"> </v>
      </c>
    </row>
    <row r="305" spans="1:27" x14ac:dyDescent="0.2">
      <c r="A305" s="425">
        <f t="shared" si="35"/>
        <v>331</v>
      </c>
      <c r="B305" s="425" t="str">
        <f t="shared" si="31"/>
        <v>Winter</v>
      </c>
      <c r="C305" s="247">
        <f>IF(B305="Winter",A305-('Start Character'!$K$6)-1,IF('Start Character'!$K$7&gt;6,A305-('Start Character'!$K$6)-1,A305-('Start Character'!$K$6)))</f>
        <v>330</v>
      </c>
      <c r="D305" s="247">
        <f t="shared" si="32"/>
        <v>330</v>
      </c>
      <c r="E305" s="246"/>
      <c r="F305" s="83"/>
      <c r="G305" s="83"/>
      <c r="H305" s="246"/>
      <c r="I305" s="433"/>
      <c r="J305" s="254">
        <f>IF(ISBLANK(I305),0,ROUNDUP(D305/10,0)-E305-H305-F305-G305+VLOOKUP($D$2,Calcs!$A$23:$B$27,2,FALSE)+I305)</f>
        <v>0</v>
      </c>
      <c r="K305" s="245" t="str">
        <f>IF(ISBLANK(I305)," ",VLOOKUP(J305,Calcs!$A$82:$H$106,2,TRUE))</f>
        <v xml:space="preserve"> </v>
      </c>
      <c r="L305" s="245">
        <f>IF(ISBLANK(I305),0,VLOOKUP(J305,Calcs!$A$82:$F$106,5,TRUE))</f>
        <v>0</v>
      </c>
      <c r="M305" s="208">
        <f>IF(J305=13,IF(ISNUMBER(W304),VLOOKUP(W304+1,Calcs!$O$4:$Q$24,3,TRUE)-V304,5),IF(J305&lt;10,0,IF(J305&lt;18,1,IF(J305&lt;22,2,IF(ISNUMBER(W304),VLOOKUP(W304+1,Calcs!$O$4:$Q$24,3,TRUE)-V304,5)))))</f>
        <v>0</v>
      </c>
      <c r="N305" s="245" t="str">
        <f t="shared" si="36"/>
        <v xml:space="preserve"> </v>
      </c>
      <c r="O305" s="245" t="str">
        <f t="shared" si="36"/>
        <v xml:space="preserve"> </v>
      </c>
      <c r="P305" s="245" t="str">
        <f t="shared" si="36"/>
        <v xml:space="preserve"> </v>
      </c>
      <c r="Q305" s="245" t="str">
        <f t="shared" si="36"/>
        <v xml:space="preserve"> </v>
      </c>
      <c r="R305" s="245" t="str">
        <f t="shared" si="36"/>
        <v xml:space="preserve"> </v>
      </c>
      <c r="S305" s="245" t="str">
        <f t="shared" si="36"/>
        <v xml:space="preserve"> </v>
      </c>
      <c r="T305" s="245" t="str">
        <f t="shared" si="36"/>
        <v xml:space="preserve"> </v>
      </c>
      <c r="U305" s="245" t="str">
        <f t="shared" si="36"/>
        <v xml:space="preserve"> </v>
      </c>
      <c r="V305" s="208">
        <f>SUM($N$10:$U305)</f>
        <v>0</v>
      </c>
      <c r="W305" s="208">
        <f>VLOOKUP(V305,Calcs!$Q$4:$R$24,2,TRUE)</f>
        <v>0</v>
      </c>
      <c r="X305" s="435" t="str">
        <f t="shared" si="33"/>
        <v>No</v>
      </c>
      <c r="Y305" s="436"/>
      <c r="Z305" s="435">
        <f t="shared" si="34"/>
        <v>0</v>
      </c>
      <c r="AA305" s="245" t="str">
        <f>IF(AND(X305="Yes",NOT(ISBLANK(Z305))),VLOOKUP(Z305,Calcs!$Y$48:$Z$57,2,TRUE)," ")</f>
        <v xml:space="preserve"> </v>
      </c>
    </row>
    <row r="306" spans="1:27" x14ac:dyDescent="0.2">
      <c r="A306" s="425">
        <f t="shared" si="35"/>
        <v>332</v>
      </c>
      <c r="B306" s="425" t="str">
        <f t="shared" si="31"/>
        <v>Winter</v>
      </c>
      <c r="C306" s="247">
        <f>IF(B306="Winter",A306-('Start Character'!$K$6)-1,IF('Start Character'!$K$7&gt;6,A306-('Start Character'!$K$6)-1,A306-('Start Character'!$K$6)))</f>
        <v>331</v>
      </c>
      <c r="D306" s="247">
        <f t="shared" si="32"/>
        <v>331</v>
      </c>
      <c r="E306" s="246"/>
      <c r="F306" s="83"/>
      <c r="G306" s="83"/>
      <c r="H306" s="246"/>
      <c r="I306" s="433"/>
      <c r="J306" s="254">
        <f>IF(ISBLANK(I306),0,ROUNDUP(D306/10,0)-E306-H306-F306-G306+VLOOKUP($D$2,Calcs!$A$23:$B$27,2,FALSE)+I306)</f>
        <v>0</v>
      </c>
      <c r="K306" s="245" t="str">
        <f>IF(ISBLANK(I306)," ",VLOOKUP(J306,Calcs!$A$82:$H$106,2,TRUE))</f>
        <v xml:space="preserve"> </v>
      </c>
      <c r="L306" s="245">
        <f>IF(ISBLANK(I306),0,VLOOKUP(J306,Calcs!$A$82:$F$106,5,TRUE))</f>
        <v>0</v>
      </c>
      <c r="M306" s="208">
        <f>IF(J306=13,IF(ISNUMBER(W305),VLOOKUP(W305+1,Calcs!$O$4:$Q$24,3,TRUE)-V305,5),IF(J306&lt;10,0,IF(J306&lt;18,1,IF(J306&lt;22,2,IF(ISNUMBER(W305),VLOOKUP(W305+1,Calcs!$O$4:$Q$24,3,TRUE)-V305,5)))))</f>
        <v>0</v>
      </c>
      <c r="N306" s="245" t="str">
        <f t="shared" si="36"/>
        <v xml:space="preserve"> </v>
      </c>
      <c r="O306" s="245" t="str">
        <f t="shared" si="36"/>
        <v xml:space="preserve"> </v>
      </c>
      <c r="P306" s="245" t="str">
        <f t="shared" si="36"/>
        <v xml:space="preserve"> </v>
      </c>
      <c r="Q306" s="245" t="str">
        <f t="shared" si="36"/>
        <v xml:space="preserve"> </v>
      </c>
      <c r="R306" s="245" t="str">
        <f t="shared" si="36"/>
        <v xml:space="preserve"> </v>
      </c>
      <c r="S306" s="245" t="str">
        <f t="shared" si="36"/>
        <v xml:space="preserve"> </v>
      </c>
      <c r="T306" s="245" t="str">
        <f t="shared" si="36"/>
        <v xml:space="preserve"> </v>
      </c>
      <c r="U306" s="245" t="str">
        <f t="shared" si="36"/>
        <v xml:space="preserve"> </v>
      </c>
      <c r="V306" s="208">
        <f>SUM($N$10:$U306)</f>
        <v>0</v>
      </c>
      <c r="W306" s="208">
        <f>VLOOKUP(V306,Calcs!$Q$4:$R$24,2,TRUE)</f>
        <v>0</v>
      </c>
      <c r="X306" s="435" t="str">
        <f t="shared" si="33"/>
        <v>No</v>
      </c>
      <c r="Y306" s="436"/>
      <c r="Z306" s="435">
        <f t="shared" si="34"/>
        <v>0</v>
      </c>
      <c r="AA306" s="245" t="str">
        <f>IF(AND(X306="Yes",NOT(ISBLANK(Z306))),VLOOKUP(Z306,Calcs!$Y$48:$Z$57,2,TRUE)," ")</f>
        <v xml:space="preserve"> </v>
      </c>
    </row>
    <row r="307" spans="1:27" x14ac:dyDescent="0.2">
      <c r="A307" s="425">
        <f t="shared" si="35"/>
        <v>333</v>
      </c>
      <c r="B307" s="425" t="str">
        <f t="shared" si="31"/>
        <v>Winter</v>
      </c>
      <c r="C307" s="247">
        <f>IF(B307="Winter",A307-('Start Character'!$K$6)-1,IF('Start Character'!$K$7&gt;6,A307-('Start Character'!$K$6)-1,A307-('Start Character'!$K$6)))</f>
        <v>332</v>
      </c>
      <c r="D307" s="247">
        <f t="shared" si="32"/>
        <v>332</v>
      </c>
      <c r="E307" s="246"/>
      <c r="F307" s="83"/>
      <c r="G307" s="83"/>
      <c r="H307" s="246"/>
      <c r="I307" s="433"/>
      <c r="J307" s="254">
        <f>IF(ISBLANK(I307),0,ROUNDUP(D307/10,0)-E307-H307-F307-G307+VLOOKUP($D$2,Calcs!$A$23:$B$27,2,FALSE)+I307)</f>
        <v>0</v>
      </c>
      <c r="K307" s="245" t="str">
        <f>IF(ISBLANK(I307)," ",VLOOKUP(J307,Calcs!$A$82:$H$106,2,TRUE))</f>
        <v xml:space="preserve"> </v>
      </c>
      <c r="L307" s="245">
        <f>IF(ISBLANK(I307),0,VLOOKUP(J307,Calcs!$A$82:$F$106,5,TRUE))</f>
        <v>0</v>
      </c>
      <c r="M307" s="208">
        <f>IF(J307=13,IF(ISNUMBER(W306),VLOOKUP(W306+1,Calcs!$O$4:$Q$24,3,TRUE)-V306,5),IF(J307&lt;10,0,IF(J307&lt;18,1,IF(J307&lt;22,2,IF(ISNUMBER(W306),VLOOKUP(W306+1,Calcs!$O$4:$Q$24,3,TRUE)-V306,5)))))</f>
        <v>0</v>
      </c>
      <c r="N307" s="245" t="str">
        <f t="shared" si="36"/>
        <v xml:space="preserve"> </v>
      </c>
      <c r="O307" s="245" t="str">
        <f t="shared" si="36"/>
        <v xml:space="preserve"> </v>
      </c>
      <c r="P307" s="245" t="str">
        <f t="shared" si="36"/>
        <v xml:space="preserve"> </v>
      </c>
      <c r="Q307" s="245" t="str">
        <f t="shared" si="36"/>
        <v xml:space="preserve"> </v>
      </c>
      <c r="R307" s="245" t="str">
        <f t="shared" si="36"/>
        <v xml:space="preserve"> </v>
      </c>
      <c r="S307" s="245" t="str">
        <f t="shared" si="36"/>
        <v xml:space="preserve"> </v>
      </c>
      <c r="T307" s="245" t="str">
        <f t="shared" si="36"/>
        <v xml:space="preserve"> </v>
      </c>
      <c r="U307" s="245" t="str">
        <f t="shared" si="36"/>
        <v xml:space="preserve"> </v>
      </c>
      <c r="V307" s="208">
        <f>SUM($N$10:$U307)</f>
        <v>0</v>
      </c>
      <c r="W307" s="208">
        <f>VLOOKUP(V307,Calcs!$Q$4:$R$24,2,TRUE)</f>
        <v>0</v>
      </c>
      <c r="X307" s="435" t="str">
        <f t="shared" si="33"/>
        <v>No</v>
      </c>
      <c r="Y307" s="436"/>
      <c r="Z307" s="435">
        <f t="shared" si="34"/>
        <v>0</v>
      </c>
      <c r="AA307" s="245" t="str">
        <f>IF(AND(X307="Yes",NOT(ISBLANK(Z307))),VLOOKUP(Z307,Calcs!$Y$48:$Z$57,2,TRUE)," ")</f>
        <v xml:space="preserve"> </v>
      </c>
    </row>
    <row r="308" spans="1:27" x14ac:dyDescent="0.2">
      <c r="A308" s="425">
        <f t="shared" si="35"/>
        <v>334</v>
      </c>
      <c r="B308" s="425" t="str">
        <f t="shared" si="31"/>
        <v>Winter</v>
      </c>
      <c r="C308" s="247">
        <f>IF(B308="Winter",A308-('Start Character'!$K$6)-1,IF('Start Character'!$K$7&gt;6,A308-('Start Character'!$K$6)-1,A308-('Start Character'!$K$6)))</f>
        <v>333</v>
      </c>
      <c r="D308" s="247">
        <f t="shared" si="32"/>
        <v>333</v>
      </c>
      <c r="E308" s="246"/>
      <c r="F308" s="83"/>
      <c r="G308" s="83"/>
      <c r="H308" s="246"/>
      <c r="I308" s="433"/>
      <c r="J308" s="254">
        <f>IF(ISBLANK(I308),0,ROUNDUP(D308/10,0)-E308-H308-F308-G308+VLOOKUP($D$2,Calcs!$A$23:$B$27,2,FALSE)+I308)</f>
        <v>0</v>
      </c>
      <c r="K308" s="245" t="str">
        <f>IF(ISBLANK(I308)," ",VLOOKUP(J308,Calcs!$A$82:$H$106,2,TRUE))</f>
        <v xml:space="preserve"> </v>
      </c>
      <c r="L308" s="245">
        <f>IF(ISBLANK(I308),0,VLOOKUP(J308,Calcs!$A$82:$F$106,5,TRUE))</f>
        <v>0</v>
      </c>
      <c r="M308" s="208">
        <f>IF(J308=13,IF(ISNUMBER(W307),VLOOKUP(W307+1,Calcs!$O$4:$Q$24,3,TRUE)-V307,5),IF(J308&lt;10,0,IF(J308&lt;18,1,IF(J308&lt;22,2,IF(ISNUMBER(W307),VLOOKUP(W307+1,Calcs!$O$4:$Q$24,3,TRUE)-V307,5)))))</f>
        <v>0</v>
      </c>
      <c r="N308" s="245" t="str">
        <f t="shared" si="36"/>
        <v xml:space="preserve"> </v>
      </c>
      <c r="O308" s="245" t="str">
        <f t="shared" si="36"/>
        <v xml:space="preserve"> </v>
      </c>
      <c r="P308" s="245" t="str">
        <f t="shared" si="36"/>
        <v xml:space="preserve"> </v>
      </c>
      <c r="Q308" s="245" t="str">
        <f t="shared" si="36"/>
        <v xml:space="preserve"> </v>
      </c>
      <c r="R308" s="245" t="str">
        <f t="shared" si="36"/>
        <v xml:space="preserve"> </v>
      </c>
      <c r="S308" s="245" t="str">
        <f t="shared" si="36"/>
        <v xml:space="preserve"> </v>
      </c>
      <c r="T308" s="245" t="str">
        <f t="shared" si="36"/>
        <v xml:space="preserve"> </v>
      </c>
      <c r="U308" s="245" t="str">
        <f t="shared" si="36"/>
        <v xml:space="preserve"> </v>
      </c>
      <c r="V308" s="208">
        <f>SUM($N$10:$U308)</f>
        <v>0</v>
      </c>
      <c r="W308" s="208">
        <f>VLOOKUP(V308,Calcs!$Q$4:$R$24,2,TRUE)</f>
        <v>0</v>
      </c>
      <c r="X308" s="435" t="str">
        <f t="shared" si="33"/>
        <v>No</v>
      </c>
      <c r="Y308" s="436"/>
      <c r="Z308" s="435">
        <f t="shared" si="34"/>
        <v>0</v>
      </c>
      <c r="AA308" s="245" t="str">
        <f>IF(AND(X308="Yes",NOT(ISBLANK(Z308))),VLOOKUP(Z308,Calcs!$Y$48:$Z$57,2,TRUE)," ")</f>
        <v xml:space="preserve"> </v>
      </c>
    </row>
    <row r="309" spans="1:27" x14ac:dyDescent="0.2">
      <c r="A309" s="425">
        <f t="shared" si="35"/>
        <v>335</v>
      </c>
      <c r="B309" s="425" t="str">
        <f t="shared" si="31"/>
        <v>Winter</v>
      </c>
      <c r="C309" s="247">
        <f>IF(B309="Winter",A309-('Start Character'!$K$6)-1,IF('Start Character'!$K$7&gt;6,A309-('Start Character'!$K$6)-1,A309-('Start Character'!$K$6)))</f>
        <v>334</v>
      </c>
      <c r="D309" s="247">
        <f t="shared" si="32"/>
        <v>334</v>
      </c>
      <c r="E309" s="246"/>
      <c r="F309" s="83"/>
      <c r="G309" s="83"/>
      <c r="H309" s="246"/>
      <c r="I309" s="433"/>
      <c r="J309" s="254">
        <f>IF(ISBLANK(I309),0,ROUNDUP(D309/10,0)-E309-H309-F309-G309+VLOOKUP($D$2,Calcs!$A$23:$B$27,2,FALSE)+I309)</f>
        <v>0</v>
      </c>
      <c r="K309" s="245" t="str">
        <f>IF(ISBLANK(I309)," ",VLOOKUP(J309,Calcs!$A$82:$H$106,2,TRUE))</f>
        <v xml:space="preserve"> </v>
      </c>
      <c r="L309" s="245">
        <f>IF(ISBLANK(I309),0,VLOOKUP(J309,Calcs!$A$82:$F$106,5,TRUE))</f>
        <v>0</v>
      </c>
      <c r="M309" s="208">
        <f>IF(J309=13,IF(ISNUMBER(W308),VLOOKUP(W308+1,Calcs!$O$4:$Q$24,3,TRUE)-V308,5),IF(J309&lt;10,0,IF(J309&lt;18,1,IF(J309&lt;22,2,IF(ISNUMBER(W308),VLOOKUP(W308+1,Calcs!$O$4:$Q$24,3,TRUE)-V308,5)))))</f>
        <v>0</v>
      </c>
      <c r="N309" s="245" t="str">
        <f t="shared" si="36"/>
        <v xml:space="preserve"> </v>
      </c>
      <c r="O309" s="245" t="str">
        <f t="shared" si="36"/>
        <v xml:space="preserve"> </v>
      </c>
      <c r="P309" s="245" t="str">
        <f t="shared" si="36"/>
        <v xml:space="preserve"> </v>
      </c>
      <c r="Q309" s="245" t="str">
        <f t="shared" si="36"/>
        <v xml:space="preserve"> </v>
      </c>
      <c r="R309" s="245" t="str">
        <f t="shared" si="36"/>
        <v xml:space="preserve"> </v>
      </c>
      <c r="S309" s="245" t="str">
        <f t="shared" si="36"/>
        <v xml:space="preserve"> </v>
      </c>
      <c r="T309" s="245" t="str">
        <f t="shared" si="36"/>
        <v xml:space="preserve"> </v>
      </c>
      <c r="U309" s="245" t="str">
        <f t="shared" si="36"/>
        <v xml:space="preserve"> </v>
      </c>
      <c r="V309" s="208">
        <f>SUM($N$10:$U309)</f>
        <v>0</v>
      </c>
      <c r="W309" s="208">
        <f>VLOOKUP(V309,Calcs!$Q$4:$R$24,2,TRUE)</f>
        <v>0</v>
      </c>
      <c r="X309" s="435" t="str">
        <f t="shared" si="33"/>
        <v>No</v>
      </c>
      <c r="Y309" s="436"/>
      <c r="Z309" s="435">
        <f t="shared" si="34"/>
        <v>0</v>
      </c>
      <c r="AA309" s="245" t="str">
        <f>IF(AND(X309="Yes",NOT(ISBLANK(Z309))),VLOOKUP(Z309,Calcs!$Y$48:$Z$57,2,TRUE)," ")</f>
        <v xml:space="preserve"> </v>
      </c>
    </row>
    <row r="310" spans="1:27" x14ac:dyDescent="0.2">
      <c r="A310" s="425">
        <f t="shared" si="35"/>
        <v>336</v>
      </c>
      <c r="B310" s="425" t="str">
        <f t="shared" si="31"/>
        <v>Winter</v>
      </c>
      <c r="C310" s="247">
        <f>IF(B310="Winter",A310-('Start Character'!$K$6)-1,IF('Start Character'!$K$7&gt;6,A310-('Start Character'!$K$6)-1,A310-('Start Character'!$K$6)))</f>
        <v>335</v>
      </c>
      <c r="D310" s="247">
        <f t="shared" si="32"/>
        <v>335</v>
      </c>
      <c r="E310" s="246"/>
      <c r="F310" s="83"/>
      <c r="G310" s="83"/>
      <c r="H310" s="246"/>
      <c r="I310" s="433"/>
      <c r="J310" s="254">
        <f>IF(ISBLANK(I310),0,ROUNDUP(D310/10,0)-E310-H310-F310-G310+VLOOKUP($D$2,Calcs!$A$23:$B$27,2,FALSE)+I310)</f>
        <v>0</v>
      </c>
      <c r="K310" s="245" t="str">
        <f>IF(ISBLANK(I310)," ",VLOOKUP(J310,Calcs!$A$82:$H$106,2,TRUE))</f>
        <v xml:space="preserve"> </v>
      </c>
      <c r="L310" s="245">
        <f>IF(ISBLANK(I310),0,VLOOKUP(J310,Calcs!$A$82:$F$106,5,TRUE))</f>
        <v>0</v>
      </c>
      <c r="M310" s="208">
        <f>IF(J310=13,IF(ISNUMBER(W309),VLOOKUP(W309+1,Calcs!$O$4:$Q$24,3,TRUE)-V309,5),IF(J310&lt;10,0,IF(J310&lt;18,1,IF(J310&lt;22,2,IF(ISNUMBER(W309),VLOOKUP(W309+1,Calcs!$O$4:$Q$24,3,TRUE)-V309,5)))))</f>
        <v>0</v>
      </c>
      <c r="N310" s="245" t="str">
        <f t="shared" si="36"/>
        <v xml:space="preserve"> </v>
      </c>
      <c r="O310" s="245" t="str">
        <f t="shared" si="36"/>
        <v xml:space="preserve"> </v>
      </c>
      <c r="P310" s="245" t="str">
        <f t="shared" si="36"/>
        <v xml:space="preserve"> </v>
      </c>
      <c r="Q310" s="245" t="str">
        <f t="shared" si="36"/>
        <v xml:space="preserve"> </v>
      </c>
      <c r="R310" s="245" t="str">
        <f t="shared" si="36"/>
        <v xml:space="preserve"> </v>
      </c>
      <c r="S310" s="245" t="str">
        <f t="shared" si="36"/>
        <v xml:space="preserve"> </v>
      </c>
      <c r="T310" s="245" t="str">
        <f t="shared" si="36"/>
        <v xml:space="preserve"> </v>
      </c>
      <c r="U310" s="245" t="str">
        <f t="shared" si="36"/>
        <v xml:space="preserve"> </v>
      </c>
      <c r="V310" s="208">
        <f>SUM($N$10:$U310)</f>
        <v>0</v>
      </c>
      <c r="W310" s="208">
        <f>VLOOKUP(V310,Calcs!$Q$4:$R$24,2,TRUE)</f>
        <v>0</v>
      </c>
      <c r="X310" s="435" t="str">
        <f t="shared" si="33"/>
        <v>No</v>
      </c>
      <c r="Y310" s="436"/>
      <c r="Z310" s="435">
        <f t="shared" si="34"/>
        <v>0</v>
      </c>
      <c r="AA310" s="245" t="str">
        <f>IF(AND(X310="Yes",NOT(ISBLANK(Z310))),VLOOKUP(Z310,Calcs!$Y$48:$Z$57,2,TRUE)," ")</f>
        <v xml:space="preserve"> </v>
      </c>
    </row>
    <row r="311" spans="1:27" x14ac:dyDescent="0.2">
      <c r="A311" s="425">
        <f t="shared" si="35"/>
        <v>337</v>
      </c>
      <c r="B311" s="425" t="str">
        <f t="shared" si="31"/>
        <v>Winter</v>
      </c>
      <c r="C311" s="247">
        <f>IF(B311="Winter",A311-('Start Character'!$K$6)-1,IF('Start Character'!$K$7&gt;6,A311-('Start Character'!$K$6)-1,A311-('Start Character'!$K$6)))</f>
        <v>336</v>
      </c>
      <c r="D311" s="247">
        <f t="shared" si="32"/>
        <v>336</v>
      </c>
      <c r="E311" s="246"/>
      <c r="F311" s="83"/>
      <c r="G311" s="83"/>
      <c r="H311" s="246"/>
      <c r="I311" s="433"/>
      <c r="J311" s="254">
        <f>IF(ISBLANK(I311),0,ROUNDUP(D311/10,0)-E311-H311-F311-G311+VLOOKUP($D$2,Calcs!$A$23:$B$27,2,FALSE)+I311)</f>
        <v>0</v>
      </c>
      <c r="K311" s="245" t="str">
        <f>IF(ISBLANK(I311)," ",VLOOKUP(J311,Calcs!$A$82:$H$106,2,TRUE))</f>
        <v xml:space="preserve"> </v>
      </c>
      <c r="L311" s="245">
        <f>IF(ISBLANK(I311),0,VLOOKUP(J311,Calcs!$A$82:$F$106,5,TRUE))</f>
        <v>0</v>
      </c>
      <c r="M311" s="208">
        <f>IF(J311=13,IF(ISNUMBER(W310),VLOOKUP(W310+1,Calcs!$O$4:$Q$24,3,TRUE)-V310,5),IF(J311&lt;10,0,IF(J311&lt;18,1,IF(J311&lt;22,2,IF(ISNUMBER(W310),VLOOKUP(W310+1,Calcs!$O$4:$Q$24,3,TRUE)-V310,5)))))</f>
        <v>0</v>
      </c>
      <c r="N311" s="245" t="str">
        <f t="shared" si="36"/>
        <v xml:space="preserve"> </v>
      </c>
      <c r="O311" s="245" t="str">
        <f t="shared" si="36"/>
        <v xml:space="preserve"> </v>
      </c>
      <c r="P311" s="245" t="str">
        <f t="shared" si="36"/>
        <v xml:space="preserve"> </v>
      </c>
      <c r="Q311" s="245" t="str">
        <f t="shared" si="36"/>
        <v xml:space="preserve"> </v>
      </c>
      <c r="R311" s="245" t="str">
        <f t="shared" si="36"/>
        <v xml:space="preserve"> </v>
      </c>
      <c r="S311" s="245" t="str">
        <f t="shared" si="36"/>
        <v xml:space="preserve"> </v>
      </c>
      <c r="T311" s="245" t="str">
        <f t="shared" si="36"/>
        <v xml:space="preserve"> </v>
      </c>
      <c r="U311" s="245" t="str">
        <f t="shared" si="36"/>
        <v xml:space="preserve"> </v>
      </c>
      <c r="V311" s="208">
        <f>SUM($N$10:$U311)</f>
        <v>0</v>
      </c>
      <c r="W311" s="208">
        <f>VLOOKUP(V311,Calcs!$Q$4:$R$24,2,TRUE)</f>
        <v>0</v>
      </c>
      <c r="X311" s="435" t="str">
        <f t="shared" si="33"/>
        <v>No</v>
      </c>
      <c r="Y311" s="436"/>
      <c r="Z311" s="435">
        <f t="shared" si="34"/>
        <v>0</v>
      </c>
      <c r="AA311" s="245" t="str">
        <f>IF(AND(X311="Yes",NOT(ISBLANK(Z311))),VLOOKUP(Z311,Calcs!$Y$48:$Z$57,2,TRUE)," ")</f>
        <v xml:space="preserve"> </v>
      </c>
    </row>
    <row r="312" spans="1:27" x14ac:dyDescent="0.2">
      <c r="A312" s="425">
        <f t="shared" si="35"/>
        <v>338</v>
      </c>
      <c r="B312" s="425" t="str">
        <f t="shared" si="31"/>
        <v>Winter</v>
      </c>
      <c r="C312" s="247">
        <f>IF(B312="Winter",A312-('Start Character'!$K$6)-1,IF('Start Character'!$K$7&gt;6,A312-('Start Character'!$K$6)-1,A312-('Start Character'!$K$6)))</f>
        <v>337</v>
      </c>
      <c r="D312" s="247">
        <f t="shared" si="32"/>
        <v>337</v>
      </c>
      <c r="E312" s="246"/>
      <c r="F312" s="83"/>
      <c r="G312" s="83"/>
      <c r="H312" s="246"/>
      <c r="I312" s="433"/>
      <c r="J312" s="254">
        <f>IF(ISBLANK(I312),0,ROUNDUP(D312/10,0)-E312-H312-F312-G312+VLOOKUP($D$2,Calcs!$A$23:$B$27,2,FALSE)+I312)</f>
        <v>0</v>
      </c>
      <c r="K312" s="245" t="str">
        <f>IF(ISBLANK(I312)," ",VLOOKUP(J312,Calcs!$A$82:$H$106,2,TRUE))</f>
        <v xml:space="preserve"> </v>
      </c>
      <c r="L312" s="245">
        <f>IF(ISBLANK(I312),0,VLOOKUP(J312,Calcs!$A$82:$F$106,5,TRUE))</f>
        <v>0</v>
      </c>
      <c r="M312" s="208">
        <f>IF(J312=13,IF(ISNUMBER(W311),VLOOKUP(W311+1,Calcs!$O$4:$Q$24,3,TRUE)-V311,5),IF(J312&lt;10,0,IF(J312&lt;18,1,IF(J312&lt;22,2,IF(ISNUMBER(W311),VLOOKUP(W311+1,Calcs!$O$4:$Q$24,3,TRUE)-V311,5)))))</f>
        <v>0</v>
      </c>
      <c r="N312" s="245" t="str">
        <f t="shared" si="36"/>
        <v xml:space="preserve"> </v>
      </c>
      <c r="O312" s="245" t="str">
        <f t="shared" si="36"/>
        <v xml:space="preserve"> </v>
      </c>
      <c r="P312" s="245" t="str">
        <f t="shared" si="36"/>
        <v xml:space="preserve"> </v>
      </c>
      <c r="Q312" s="245" t="str">
        <f t="shared" si="36"/>
        <v xml:space="preserve"> </v>
      </c>
      <c r="R312" s="245" t="str">
        <f t="shared" si="36"/>
        <v xml:space="preserve"> </v>
      </c>
      <c r="S312" s="245" t="str">
        <f t="shared" si="36"/>
        <v xml:space="preserve"> </v>
      </c>
      <c r="T312" s="245" t="str">
        <f t="shared" si="36"/>
        <v xml:space="preserve"> </v>
      </c>
      <c r="U312" s="245" t="str">
        <f t="shared" si="36"/>
        <v xml:space="preserve"> </v>
      </c>
      <c r="V312" s="208">
        <f>SUM($N$10:$U312)</f>
        <v>0</v>
      </c>
      <c r="W312" s="208">
        <f>VLOOKUP(V312,Calcs!$Q$4:$R$24,2,TRUE)</f>
        <v>0</v>
      </c>
      <c r="X312" s="435" t="str">
        <f t="shared" si="33"/>
        <v>No</v>
      </c>
      <c r="Y312" s="436"/>
      <c r="Z312" s="435">
        <f t="shared" si="34"/>
        <v>0</v>
      </c>
      <c r="AA312" s="245" t="str">
        <f>IF(AND(X312="Yes",NOT(ISBLANK(Z312))),VLOOKUP(Z312,Calcs!$Y$48:$Z$57,2,TRUE)," ")</f>
        <v xml:space="preserve"> </v>
      </c>
    </row>
    <row r="313" spans="1:27" x14ac:dyDescent="0.2">
      <c r="A313" s="425">
        <f t="shared" si="35"/>
        <v>339</v>
      </c>
      <c r="B313" s="425" t="str">
        <f t="shared" si="31"/>
        <v>Winter</v>
      </c>
      <c r="C313" s="247">
        <f>IF(B313="Winter",A313-('Start Character'!$K$6)-1,IF('Start Character'!$K$7&gt;6,A313-('Start Character'!$K$6)-1,A313-('Start Character'!$K$6)))</f>
        <v>338</v>
      </c>
      <c r="D313" s="247">
        <f t="shared" si="32"/>
        <v>338</v>
      </c>
      <c r="E313" s="246"/>
      <c r="F313" s="83"/>
      <c r="G313" s="83"/>
      <c r="H313" s="246"/>
      <c r="I313" s="433"/>
      <c r="J313" s="254">
        <f>IF(ISBLANK(I313),0,ROUNDUP(D313/10,0)-E313-H313-F313-G313+VLOOKUP($D$2,Calcs!$A$23:$B$27,2,FALSE)+I313)</f>
        <v>0</v>
      </c>
      <c r="K313" s="245" t="str">
        <f>IF(ISBLANK(I313)," ",VLOOKUP(J313,Calcs!$A$82:$H$106,2,TRUE))</f>
        <v xml:space="preserve"> </v>
      </c>
      <c r="L313" s="245">
        <f>IF(ISBLANK(I313),0,VLOOKUP(J313,Calcs!$A$82:$F$106,5,TRUE))</f>
        <v>0</v>
      </c>
      <c r="M313" s="208">
        <f>IF(J313=13,IF(ISNUMBER(W312),VLOOKUP(W312+1,Calcs!$O$4:$Q$24,3,TRUE)-V312,5),IF(J313&lt;10,0,IF(J313&lt;18,1,IF(J313&lt;22,2,IF(ISNUMBER(W312),VLOOKUP(W312+1,Calcs!$O$4:$Q$24,3,TRUE)-V312,5)))))</f>
        <v>0</v>
      </c>
      <c r="N313" s="245" t="str">
        <f t="shared" si="36"/>
        <v xml:space="preserve"> </v>
      </c>
      <c r="O313" s="245" t="str">
        <f t="shared" si="36"/>
        <v xml:space="preserve"> </v>
      </c>
      <c r="P313" s="245" t="str">
        <f t="shared" si="36"/>
        <v xml:space="preserve"> </v>
      </c>
      <c r="Q313" s="245" t="str">
        <f t="shared" si="36"/>
        <v xml:space="preserve"> </v>
      </c>
      <c r="R313" s="245" t="str">
        <f t="shared" si="36"/>
        <v xml:space="preserve"> </v>
      </c>
      <c r="S313" s="245" t="str">
        <f t="shared" si="36"/>
        <v xml:space="preserve"> </v>
      </c>
      <c r="T313" s="245" t="str">
        <f t="shared" si="36"/>
        <v xml:space="preserve"> </v>
      </c>
      <c r="U313" s="245" t="str">
        <f t="shared" si="36"/>
        <v xml:space="preserve"> </v>
      </c>
      <c r="V313" s="208">
        <f>SUM($N$10:$U313)</f>
        <v>0</v>
      </c>
      <c r="W313" s="208">
        <f>VLOOKUP(V313,Calcs!$Q$4:$R$24,2,TRUE)</f>
        <v>0</v>
      </c>
      <c r="X313" s="435" t="str">
        <f t="shared" si="33"/>
        <v>No</v>
      </c>
      <c r="Y313" s="436"/>
      <c r="Z313" s="435">
        <f t="shared" si="34"/>
        <v>0</v>
      </c>
      <c r="AA313" s="245" t="str">
        <f>IF(AND(X313="Yes",NOT(ISBLANK(Z313))),VLOOKUP(Z313,Calcs!$Y$48:$Z$57,2,TRUE)," ")</f>
        <v xml:space="preserve"> </v>
      </c>
    </row>
    <row r="314" spans="1:27" x14ac:dyDescent="0.2">
      <c r="A314" s="425">
        <f t="shared" si="35"/>
        <v>340</v>
      </c>
      <c r="B314" s="425" t="str">
        <f t="shared" si="31"/>
        <v>Winter</v>
      </c>
      <c r="C314" s="247">
        <f>IF(B314="Winter",A314-('Start Character'!$K$6)-1,IF('Start Character'!$K$7&gt;6,A314-('Start Character'!$K$6)-1,A314-('Start Character'!$K$6)))</f>
        <v>339</v>
      </c>
      <c r="D314" s="247">
        <f t="shared" si="32"/>
        <v>339</v>
      </c>
      <c r="E314" s="246"/>
      <c r="F314" s="83"/>
      <c r="G314" s="83"/>
      <c r="H314" s="246"/>
      <c r="I314" s="433"/>
      <c r="J314" s="254">
        <f>IF(ISBLANK(I314),0,ROUNDUP(D314/10,0)-E314-H314-F314-G314+VLOOKUP($D$2,Calcs!$A$23:$B$27,2,FALSE)+I314)</f>
        <v>0</v>
      </c>
      <c r="K314" s="245" t="str">
        <f>IF(ISBLANK(I314)," ",VLOOKUP(J314,Calcs!$A$82:$H$106,2,TRUE))</f>
        <v xml:space="preserve"> </v>
      </c>
      <c r="L314" s="245">
        <f>IF(ISBLANK(I314),0,VLOOKUP(J314,Calcs!$A$82:$F$106,5,TRUE))</f>
        <v>0</v>
      </c>
      <c r="M314" s="208">
        <f>IF(J314=13,IF(ISNUMBER(W313),VLOOKUP(W313+1,Calcs!$O$4:$Q$24,3,TRUE)-V313,5),IF(J314&lt;10,0,IF(J314&lt;18,1,IF(J314&lt;22,2,IF(ISNUMBER(W313),VLOOKUP(W313+1,Calcs!$O$4:$Q$24,3,TRUE)-V313,5)))))</f>
        <v>0</v>
      </c>
      <c r="N314" s="245" t="str">
        <f t="shared" si="36"/>
        <v xml:space="preserve"> </v>
      </c>
      <c r="O314" s="245" t="str">
        <f t="shared" si="36"/>
        <v xml:space="preserve"> </v>
      </c>
      <c r="P314" s="245" t="str">
        <f t="shared" si="36"/>
        <v xml:space="preserve"> </v>
      </c>
      <c r="Q314" s="245" t="str">
        <f t="shared" si="36"/>
        <v xml:space="preserve"> </v>
      </c>
      <c r="R314" s="245" t="str">
        <f t="shared" si="36"/>
        <v xml:space="preserve"> </v>
      </c>
      <c r="S314" s="245" t="str">
        <f t="shared" si="36"/>
        <v xml:space="preserve"> </v>
      </c>
      <c r="T314" s="245" t="str">
        <f t="shared" si="36"/>
        <v xml:space="preserve"> </v>
      </c>
      <c r="U314" s="245" t="str">
        <f t="shared" si="36"/>
        <v xml:space="preserve"> </v>
      </c>
      <c r="V314" s="208">
        <f>SUM($N$10:$U314)</f>
        <v>0</v>
      </c>
      <c r="W314" s="208">
        <f>VLOOKUP(V314,Calcs!$Q$4:$R$24,2,TRUE)</f>
        <v>0</v>
      </c>
      <c r="X314" s="435" t="str">
        <f t="shared" si="33"/>
        <v>No</v>
      </c>
      <c r="Y314" s="436"/>
      <c r="Z314" s="435">
        <f t="shared" si="34"/>
        <v>0</v>
      </c>
      <c r="AA314" s="245" t="str">
        <f>IF(AND(X314="Yes",NOT(ISBLANK(Z314))),VLOOKUP(Z314,Calcs!$Y$48:$Z$57,2,TRUE)," ")</f>
        <v xml:space="preserve"> </v>
      </c>
    </row>
    <row r="315" spans="1:27" x14ac:dyDescent="0.2">
      <c r="A315" s="425">
        <f t="shared" si="35"/>
        <v>341</v>
      </c>
      <c r="B315" s="425" t="str">
        <f t="shared" si="31"/>
        <v>Winter</v>
      </c>
      <c r="C315" s="247">
        <f>IF(B315="Winter",A315-('Start Character'!$K$6)-1,IF('Start Character'!$K$7&gt;6,A315-('Start Character'!$K$6)-1,A315-('Start Character'!$K$6)))</f>
        <v>340</v>
      </c>
      <c r="D315" s="247">
        <f t="shared" si="32"/>
        <v>340</v>
      </c>
      <c r="E315" s="246"/>
      <c r="F315" s="83"/>
      <c r="G315" s="83"/>
      <c r="H315" s="246"/>
      <c r="I315" s="433"/>
      <c r="J315" s="254">
        <f>IF(ISBLANK(I315),0,ROUNDUP(D315/10,0)-E315-H315-F315-G315+VLOOKUP($D$2,Calcs!$A$23:$B$27,2,FALSE)+I315)</f>
        <v>0</v>
      </c>
      <c r="K315" s="245" t="str">
        <f>IF(ISBLANK(I315)," ",VLOOKUP(J315,Calcs!$A$82:$H$106,2,TRUE))</f>
        <v xml:space="preserve"> </v>
      </c>
      <c r="L315" s="245">
        <f>IF(ISBLANK(I315),0,VLOOKUP(J315,Calcs!$A$82:$F$106,5,TRUE))</f>
        <v>0</v>
      </c>
      <c r="M315" s="208">
        <f>IF(J315=13,IF(ISNUMBER(W314),VLOOKUP(W314+1,Calcs!$O$4:$Q$24,3,TRUE)-V314,5),IF(J315&lt;10,0,IF(J315&lt;18,1,IF(J315&lt;22,2,IF(ISNUMBER(W314),VLOOKUP(W314+1,Calcs!$O$4:$Q$24,3,TRUE)-V314,5)))))</f>
        <v>0</v>
      </c>
      <c r="N315" s="245" t="str">
        <f t="shared" si="36"/>
        <v xml:space="preserve"> </v>
      </c>
      <c r="O315" s="245" t="str">
        <f t="shared" si="36"/>
        <v xml:space="preserve"> </v>
      </c>
      <c r="P315" s="245" t="str">
        <f t="shared" si="36"/>
        <v xml:space="preserve"> </v>
      </c>
      <c r="Q315" s="245" t="str">
        <f t="shared" si="36"/>
        <v xml:space="preserve"> </v>
      </c>
      <c r="R315" s="245" t="str">
        <f t="shared" si="36"/>
        <v xml:space="preserve"> </v>
      </c>
      <c r="S315" s="245" t="str">
        <f t="shared" si="36"/>
        <v xml:space="preserve"> </v>
      </c>
      <c r="T315" s="245" t="str">
        <f t="shared" si="36"/>
        <v xml:space="preserve"> </v>
      </c>
      <c r="U315" s="245" t="str">
        <f t="shared" si="36"/>
        <v xml:space="preserve"> </v>
      </c>
      <c r="V315" s="208">
        <f>SUM($N$10:$U315)</f>
        <v>0</v>
      </c>
      <c r="W315" s="208">
        <f>VLOOKUP(V315,Calcs!$Q$4:$R$24,2,TRUE)</f>
        <v>0</v>
      </c>
      <c r="X315" s="435" t="str">
        <f t="shared" si="33"/>
        <v>No</v>
      </c>
      <c r="Y315" s="436"/>
      <c r="Z315" s="435">
        <f t="shared" si="34"/>
        <v>0</v>
      </c>
      <c r="AA315" s="245" t="str">
        <f>IF(AND(X315="Yes",NOT(ISBLANK(Z315))),VLOOKUP(Z315,Calcs!$Y$48:$Z$57,2,TRUE)," ")</f>
        <v xml:space="preserve"> </v>
      </c>
    </row>
    <row r="316" spans="1:27" x14ac:dyDescent="0.2">
      <c r="A316" s="425">
        <f t="shared" si="35"/>
        <v>342</v>
      </c>
      <c r="B316" s="425" t="str">
        <f t="shared" si="31"/>
        <v>Winter</v>
      </c>
      <c r="C316" s="247">
        <f>IF(B316="Winter",A316-('Start Character'!$K$6)-1,IF('Start Character'!$K$7&gt;6,A316-('Start Character'!$K$6)-1,A316-('Start Character'!$K$6)))</f>
        <v>341</v>
      </c>
      <c r="D316" s="247">
        <f t="shared" si="32"/>
        <v>341</v>
      </c>
      <c r="E316" s="246"/>
      <c r="F316" s="83"/>
      <c r="G316" s="83"/>
      <c r="H316" s="246"/>
      <c r="I316" s="433"/>
      <c r="J316" s="254">
        <f>IF(ISBLANK(I316),0,ROUNDUP(D316/10,0)-E316-H316-F316-G316+VLOOKUP($D$2,Calcs!$A$23:$B$27,2,FALSE)+I316)</f>
        <v>0</v>
      </c>
      <c r="K316" s="245" t="str">
        <f>IF(ISBLANK(I316)," ",VLOOKUP(J316,Calcs!$A$82:$H$106,2,TRUE))</f>
        <v xml:space="preserve"> </v>
      </c>
      <c r="L316" s="245">
        <f>IF(ISBLANK(I316),0,VLOOKUP(J316,Calcs!$A$82:$F$106,5,TRUE))</f>
        <v>0</v>
      </c>
      <c r="M316" s="208">
        <f>IF(J316=13,IF(ISNUMBER(W315),VLOOKUP(W315+1,Calcs!$O$4:$Q$24,3,TRUE)-V315,5),IF(J316&lt;10,0,IF(J316&lt;18,1,IF(J316&lt;22,2,IF(ISNUMBER(W315),VLOOKUP(W315+1,Calcs!$O$4:$Q$24,3,TRUE)-V315,5)))))</f>
        <v>0</v>
      </c>
      <c r="N316" s="245" t="str">
        <f t="shared" si="36"/>
        <v xml:space="preserve"> </v>
      </c>
      <c r="O316" s="245" t="str">
        <f t="shared" si="36"/>
        <v xml:space="preserve"> </v>
      </c>
      <c r="P316" s="245" t="str">
        <f t="shared" si="36"/>
        <v xml:space="preserve"> </v>
      </c>
      <c r="Q316" s="245" t="str">
        <f t="shared" si="36"/>
        <v xml:space="preserve"> </v>
      </c>
      <c r="R316" s="245" t="str">
        <f t="shared" si="36"/>
        <v xml:space="preserve"> </v>
      </c>
      <c r="S316" s="245" t="str">
        <f t="shared" si="36"/>
        <v xml:space="preserve"> </v>
      </c>
      <c r="T316" s="245" t="str">
        <f t="shared" si="36"/>
        <v xml:space="preserve"> </v>
      </c>
      <c r="U316" s="245" t="str">
        <f t="shared" si="36"/>
        <v xml:space="preserve"> </v>
      </c>
      <c r="V316" s="208">
        <f>SUM($N$10:$U316)</f>
        <v>0</v>
      </c>
      <c r="W316" s="208">
        <f>VLOOKUP(V316,Calcs!$Q$4:$R$24,2,TRUE)</f>
        <v>0</v>
      </c>
      <c r="X316" s="435" t="str">
        <f t="shared" si="33"/>
        <v>No</v>
      </c>
      <c r="Y316" s="436"/>
      <c r="Z316" s="435">
        <f t="shared" si="34"/>
        <v>0</v>
      </c>
      <c r="AA316" s="245" t="str">
        <f>IF(AND(X316="Yes",NOT(ISBLANK(Z316))),VLOOKUP(Z316,Calcs!$Y$48:$Z$57,2,TRUE)," ")</f>
        <v xml:space="preserve"> </v>
      </c>
    </row>
    <row r="317" spans="1:27" x14ac:dyDescent="0.2">
      <c r="A317" s="425">
        <f t="shared" si="35"/>
        <v>343</v>
      </c>
      <c r="B317" s="425" t="str">
        <f t="shared" si="31"/>
        <v>Winter</v>
      </c>
      <c r="C317" s="247">
        <f>IF(B317="Winter",A317-('Start Character'!$K$6)-1,IF('Start Character'!$K$7&gt;6,A317-('Start Character'!$K$6)-1,A317-('Start Character'!$K$6)))</f>
        <v>342</v>
      </c>
      <c r="D317" s="247">
        <f t="shared" si="32"/>
        <v>342</v>
      </c>
      <c r="E317" s="246"/>
      <c r="F317" s="83"/>
      <c r="G317" s="83"/>
      <c r="H317" s="246"/>
      <c r="I317" s="433"/>
      <c r="J317" s="254">
        <f>IF(ISBLANK(I317),0,ROUNDUP(D317/10,0)-E317-H317-F317-G317+VLOOKUP($D$2,Calcs!$A$23:$B$27,2,FALSE)+I317)</f>
        <v>0</v>
      </c>
      <c r="K317" s="245" t="str">
        <f>IF(ISBLANK(I317)," ",VLOOKUP(J317,Calcs!$A$82:$H$106,2,TRUE))</f>
        <v xml:space="preserve"> </v>
      </c>
      <c r="L317" s="245">
        <f>IF(ISBLANK(I317),0,VLOOKUP(J317,Calcs!$A$82:$F$106,5,TRUE))</f>
        <v>0</v>
      </c>
      <c r="M317" s="208">
        <f>IF(J317=13,IF(ISNUMBER(W316),VLOOKUP(W316+1,Calcs!$O$4:$Q$24,3,TRUE)-V316,5),IF(J317&lt;10,0,IF(J317&lt;18,1,IF(J317&lt;22,2,IF(ISNUMBER(W316),VLOOKUP(W316+1,Calcs!$O$4:$Q$24,3,TRUE)-V316,5)))))</f>
        <v>0</v>
      </c>
      <c r="N317" s="245" t="str">
        <f t="shared" si="36"/>
        <v xml:space="preserve"> </v>
      </c>
      <c r="O317" s="245" t="str">
        <f t="shared" si="36"/>
        <v xml:space="preserve"> </v>
      </c>
      <c r="P317" s="245" t="str">
        <f t="shared" si="36"/>
        <v xml:space="preserve"> </v>
      </c>
      <c r="Q317" s="245" t="str">
        <f t="shared" si="36"/>
        <v xml:space="preserve"> </v>
      </c>
      <c r="R317" s="245" t="str">
        <f t="shared" si="36"/>
        <v xml:space="preserve"> </v>
      </c>
      <c r="S317" s="245" t="str">
        <f t="shared" si="36"/>
        <v xml:space="preserve"> </v>
      </c>
      <c r="T317" s="245" t="str">
        <f t="shared" si="36"/>
        <v xml:space="preserve"> </v>
      </c>
      <c r="U317" s="245" t="str">
        <f t="shared" si="36"/>
        <v xml:space="preserve"> </v>
      </c>
      <c r="V317" s="208">
        <f>SUM($N$10:$U317)</f>
        <v>0</v>
      </c>
      <c r="W317" s="208">
        <f>VLOOKUP(V317,Calcs!$Q$4:$R$24,2,TRUE)</f>
        <v>0</v>
      </c>
      <c r="X317" s="435" t="str">
        <f t="shared" si="33"/>
        <v>No</v>
      </c>
      <c r="Y317" s="436"/>
      <c r="Z317" s="435">
        <f t="shared" si="34"/>
        <v>0</v>
      </c>
      <c r="AA317" s="245" t="str">
        <f>IF(AND(X317="Yes",NOT(ISBLANK(Z317))),VLOOKUP(Z317,Calcs!$Y$48:$Z$57,2,TRUE)," ")</f>
        <v xml:space="preserve"> </v>
      </c>
    </row>
    <row r="318" spans="1:27" x14ac:dyDescent="0.2">
      <c r="A318" s="425">
        <f t="shared" si="35"/>
        <v>344</v>
      </c>
      <c r="B318" s="425" t="str">
        <f t="shared" si="31"/>
        <v>Winter</v>
      </c>
      <c r="C318" s="247">
        <f>IF(B318="Winter",A318-('Start Character'!$K$6)-1,IF('Start Character'!$K$7&gt;6,A318-('Start Character'!$K$6)-1,A318-('Start Character'!$K$6)))</f>
        <v>343</v>
      </c>
      <c r="D318" s="247">
        <f t="shared" si="32"/>
        <v>343</v>
      </c>
      <c r="E318" s="246"/>
      <c r="F318" s="83"/>
      <c r="G318" s="83"/>
      <c r="H318" s="246"/>
      <c r="I318" s="433"/>
      <c r="J318" s="254">
        <f>IF(ISBLANK(I318),0,ROUNDUP(D318/10,0)-E318-H318-F318-G318+VLOOKUP($D$2,Calcs!$A$23:$B$27,2,FALSE)+I318)</f>
        <v>0</v>
      </c>
      <c r="K318" s="245" t="str">
        <f>IF(ISBLANK(I318)," ",VLOOKUP(J318,Calcs!$A$82:$H$106,2,TRUE))</f>
        <v xml:space="preserve"> </v>
      </c>
      <c r="L318" s="245">
        <f>IF(ISBLANK(I318),0,VLOOKUP(J318,Calcs!$A$82:$F$106,5,TRUE))</f>
        <v>0</v>
      </c>
      <c r="M318" s="208">
        <f>IF(J318=13,IF(ISNUMBER(W317),VLOOKUP(W317+1,Calcs!$O$4:$Q$24,3,TRUE)-V317,5),IF(J318&lt;10,0,IF(J318&lt;18,1,IF(J318&lt;22,2,IF(ISNUMBER(W317),VLOOKUP(W317+1,Calcs!$O$4:$Q$24,3,TRUE)-V317,5)))))</f>
        <v>0</v>
      </c>
      <c r="N318" s="245" t="str">
        <f t="shared" si="36"/>
        <v xml:space="preserve"> </v>
      </c>
      <c r="O318" s="245" t="str">
        <f t="shared" si="36"/>
        <v xml:space="preserve"> </v>
      </c>
      <c r="P318" s="245" t="str">
        <f t="shared" si="36"/>
        <v xml:space="preserve"> </v>
      </c>
      <c r="Q318" s="245" t="str">
        <f t="shared" si="36"/>
        <v xml:space="preserve"> </v>
      </c>
      <c r="R318" s="245" t="str">
        <f t="shared" si="36"/>
        <v xml:space="preserve"> </v>
      </c>
      <c r="S318" s="245" t="str">
        <f t="shared" si="36"/>
        <v xml:space="preserve"> </v>
      </c>
      <c r="T318" s="245" t="str">
        <f t="shared" si="36"/>
        <v xml:space="preserve"> </v>
      </c>
      <c r="U318" s="245" t="str">
        <f t="shared" si="36"/>
        <v xml:space="preserve"> </v>
      </c>
      <c r="V318" s="208">
        <f>SUM($N$10:$U318)</f>
        <v>0</v>
      </c>
      <c r="W318" s="208">
        <f>VLOOKUP(V318,Calcs!$Q$4:$R$24,2,TRUE)</f>
        <v>0</v>
      </c>
      <c r="X318" s="435" t="str">
        <f t="shared" si="33"/>
        <v>No</v>
      </c>
      <c r="Y318" s="436"/>
      <c r="Z318" s="435">
        <f t="shared" si="34"/>
        <v>0</v>
      </c>
      <c r="AA318" s="245" t="str">
        <f>IF(AND(X318="Yes",NOT(ISBLANK(Z318))),VLOOKUP(Z318,Calcs!$Y$48:$Z$57,2,TRUE)," ")</f>
        <v xml:space="preserve"> </v>
      </c>
    </row>
    <row r="319" spans="1:27" x14ac:dyDescent="0.2">
      <c r="A319" s="425">
        <f t="shared" si="35"/>
        <v>345</v>
      </c>
      <c r="B319" s="425" t="str">
        <f t="shared" si="31"/>
        <v>Winter</v>
      </c>
      <c r="C319" s="247">
        <f>IF(B319="Winter",A319-('Start Character'!$K$6)-1,IF('Start Character'!$K$7&gt;6,A319-('Start Character'!$K$6)-1,A319-('Start Character'!$K$6)))</f>
        <v>344</v>
      </c>
      <c r="D319" s="247">
        <f t="shared" si="32"/>
        <v>344</v>
      </c>
      <c r="E319" s="246"/>
      <c r="F319" s="83"/>
      <c r="G319" s="83"/>
      <c r="H319" s="246"/>
      <c r="I319" s="433"/>
      <c r="J319" s="254">
        <f>IF(ISBLANK(I319),0,ROUNDUP(D319/10,0)-E319-H319-F319-G319+VLOOKUP($D$2,Calcs!$A$23:$B$27,2,FALSE)+I319)</f>
        <v>0</v>
      </c>
      <c r="K319" s="245" t="str">
        <f>IF(ISBLANK(I319)," ",VLOOKUP(J319,Calcs!$A$82:$H$106,2,TRUE))</f>
        <v xml:space="preserve"> </v>
      </c>
      <c r="L319" s="245">
        <f>IF(ISBLANK(I319),0,VLOOKUP(J319,Calcs!$A$82:$F$106,5,TRUE))</f>
        <v>0</v>
      </c>
      <c r="M319" s="208">
        <f>IF(J319=13,IF(ISNUMBER(W318),VLOOKUP(W318+1,Calcs!$O$4:$Q$24,3,TRUE)-V318,5),IF(J319&lt;10,0,IF(J319&lt;18,1,IF(J319&lt;22,2,IF(ISNUMBER(W318),VLOOKUP(W318+1,Calcs!$O$4:$Q$24,3,TRUE)-V318,5)))))</f>
        <v>0</v>
      </c>
      <c r="N319" s="245" t="str">
        <f t="shared" si="36"/>
        <v xml:space="preserve"> </v>
      </c>
      <c r="O319" s="245" t="str">
        <f t="shared" si="36"/>
        <v xml:space="preserve"> </v>
      </c>
      <c r="P319" s="245" t="str">
        <f t="shared" si="36"/>
        <v xml:space="preserve"> </v>
      </c>
      <c r="Q319" s="245" t="str">
        <f t="shared" si="36"/>
        <v xml:space="preserve"> </v>
      </c>
      <c r="R319" s="245" t="str">
        <f t="shared" si="36"/>
        <v xml:space="preserve"> </v>
      </c>
      <c r="S319" s="245" t="str">
        <f t="shared" si="36"/>
        <v xml:space="preserve"> </v>
      </c>
      <c r="T319" s="245" t="str">
        <f t="shared" si="36"/>
        <v xml:space="preserve"> </v>
      </c>
      <c r="U319" s="245" t="str">
        <f t="shared" si="36"/>
        <v xml:space="preserve"> </v>
      </c>
      <c r="V319" s="208">
        <f>SUM($N$10:$U319)</f>
        <v>0</v>
      </c>
      <c r="W319" s="208">
        <f>VLOOKUP(V319,Calcs!$Q$4:$R$24,2,TRUE)</f>
        <v>0</v>
      </c>
      <c r="X319" s="435" t="str">
        <f t="shared" si="33"/>
        <v>No</v>
      </c>
      <c r="Y319" s="436"/>
      <c r="Z319" s="435">
        <f t="shared" si="34"/>
        <v>0</v>
      </c>
      <c r="AA319" s="245" t="str">
        <f>IF(AND(X319="Yes",NOT(ISBLANK(Z319))),VLOOKUP(Z319,Calcs!$Y$48:$Z$57,2,TRUE)," ")</f>
        <v xml:space="preserve"> </v>
      </c>
    </row>
    <row r="320" spans="1:27" x14ac:dyDescent="0.2">
      <c r="A320" s="425">
        <f t="shared" si="35"/>
        <v>346</v>
      </c>
      <c r="B320" s="425" t="str">
        <f t="shared" si="31"/>
        <v>Winter</v>
      </c>
      <c r="C320" s="247">
        <f>IF(B320="Winter",A320-('Start Character'!$K$6)-1,IF('Start Character'!$K$7&gt;6,A320-('Start Character'!$K$6)-1,A320-('Start Character'!$K$6)))</f>
        <v>345</v>
      </c>
      <c r="D320" s="247">
        <f t="shared" si="32"/>
        <v>345</v>
      </c>
      <c r="E320" s="246"/>
      <c r="F320" s="83"/>
      <c r="G320" s="83"/>
      <c r="H320" s="246"/>
      <c r="I320" s="433"/>
      <c r="J320" s="254">
        <f>IF(ISBLANK(I320),0,ROUNDUP(D320/10,0)-E320-H320-F320-G320+VLOOKUP($D$2,Calcs!$A$23:$B$27,2,FALSE)+I320)</f>
        <v>0</v>
      </c>
      <c r="K320" s="245" t="str">
        <f>IF(ISBLANK(I320)," ",VLOOKUP(J320,Calcs!$A$82:$H$106,2,TRUE))</f>
        <v xml:space="preserve"> </v>
      </c>
      <c r="L320" s="245">
        <f>IF(ISBLANK(I320),0,VLOOKUP(J320,Calcs!$A$82:$F$106,5,TRUE))</f>
        <v>0</v>
      </c>
      <c r="M320" s="208">
        <f>IF(J320=13,IF(ISNUMBER(W319),VLOOKUP(W319+1,Calcs!$O$4:$Q$24,3,TRUE)-V319,5),IF(J320&lt;10,0,IF(J320&lt;18,1,IF(J320&lt;22,2,IF(ISNUMBER(W319),VLOOKUP(W319+1,Calcs!$O$4:$Q$24,3,TRUE)-V319,5)))))</f>
        <v>0</v>
      </c>
      <c r="N320" s="245" t="str">
        <f t="shared" si="36"/>
        <v xml:space="preserve"> </v>
      </c>
      <c r="O320" s="245" t="str">
        <f t="shared" si="36"/>
        <v xml:space="preserve"> </v>
      </c>
      <c r="P320" s="245" t="str">
        <f t="shared" si="36"/>
        <v xml:space="preserve"> </v>
      </c>
      <c r="Q320" s="245" t="str">
        <f t="shared" si="36"/>
        <v xml:space="preserve"> </v>
      </c>
      <c r="R320" s="245" t="str">
        <f t="shared" si="36"/>
        <v xml:space="preserve"> </v>
      </c>
      <c r="S320" s="245" t="str">
        <f t="shared" si="36"/>
        <v xml:space="preserve"> </v>
      </c>
      <c r="T320" s="245" t="str">
        <f t="shared" si="36"/>
        <v xml:space="preserve"> </v>
      </c>
      <c r="U320" s="245" t="str">
        <f t="shared" ref="U320:U383" si="37">IF(ISERROR(FIND(U$9,$K320))," ",1)</f>
        <v xml:space="preserve"> </v>
      </c>
      <c r="V320" s="208">
        <f>SUM($N$10:$U320)</f>
        <v>0</v>
      </c>
      <c r="W320" s="208">
        <f>VLOOKUP(V320,Calcs!$Q$4:$R$24,2,TRUE)</f>
        <v>0</v>
      </c>
      <c r="X320" s="435" t="str">
        <f t="shared" si="33"/>
        <v>No</v>
      </c>
      <c r="Y320" s="436"/>
      <c r="Z320" s="435">
        <f t="shared" si="34"/>
        <v>0</v>
      </c>
      <c r="AA320" s="245" t="str">
        <f>IF(AND(X320="Yes",NOT(ISBLANK(Z320))),VLOOKUP(Z320,Calcs!$Y$48:$Z$57,2,TRUE)," ")</f>
        <v xml:space="preserve"> </v>
      </c>
    </row>
    <row r="321" spans="1:27" x14ac:dyDescent="0.2">
      <c r="A321" s="425">
        <f t="shared" si="35"/>
        <v>347</v>
      </c>
      <c r="B321" s="425" t="str">
        <f t="shared" si="31"/>
        <v>Winter</v>
      </c>
      <c r="C321" s="247">
        <f>IF(B321="Winter",A321-('Start Character'!$K$6)-1,IF('Start Character'!$K$7&gt;6,A321-('Start Character'!$K$6)-1,A321-('Start Character'!$K$6)))</f>
        <v>346</v>
      </c>
      <c r="D321" s="247">
        <f t="shared" si="32"/>
        <v>346</v>
      </c>
      <c r="E321" s="246"/>
      <c r="F321" s="83"/>
      <c r="G321" s="83"/>
      <c r="H321" s="246"/>
      <c r="I321" s="433"/>
      <c r="J321" s="254">
        <f>IF(ISBLANK(I321),0,ROUNDUP(D321/10,0)-E321-H321-F321-G321+VLOOKUP($D$2,Calcs!$A$23:$B$27,2,FALSE)+I321)</f>
        <v>0</v>
      </c>
      <c r="K321" s="245" t="str">
        <f>IF(ISBLANK(I321)," ",VLOOKUP(J321,Calcs!$A$82:$H$106,2,TRUE))</f>
        <v xml:space="preserve"> </v>
      </c>
      <c r="L321" s="245">
        <f>IF(ISBLANK(I321),0,VLOOKUP(J321,Calcs!$A$82:$F$106,5,TRUE))</f>
        <v>0</v>
      </c>
      <c r="M321" s="208">
        <f>IF(J321=13,IF(ISNUMBER(W320),VLOOKUP(W320+1,Calcs!$O$4:$Q$24,3,TRUE)-V320,5),IF(J321&lt;10,0,IF(J321&lt;18,1,IF(J321&lt;22,2,IF(ISNUMBER(W320),VLOOKUP(W320+1,Calcs!$O$4:$Q$24,3,TRUE)-V320,5)))))</f>
        <v>0</v>
      </c>
      <c r="N321" s="245" t="str">
        <f t="shared" ref="N321:T357" si="38">IF(ISERROR(FIND(N$9,$K321))," ",1)</f>
        <v xml:space="preserve"> </v>
      </c>
      <c r="O321" s="245" t="str">
        <f t="shared" si="38"/>
        <v xml:space="preserve"> </v>
      </c>
      <c r="P321" s="245" t="str">
        <f t="shared" si="38"/>
        <v xml:space="preserve"> </v>
      </c>
      <c r="Q321" s="245" t="str">
        <f t="shared" si="38"/>
        <v xml:space="preserve"> </v>
      </c>
      <c r="R321" s="245" t="str">
        <f t="shared" si="38"/>
        <v xml:space="preserve"> </v>
      </c>
      <c r="S321" s="245" t="str">
        <f t="shared" si="38"/>
        <v xml:space="preserve"> </v>
      </c>
      <c r="T321" s="245" t="str">
        <f t="shared" si="38"/>
        <v xml:space="preserve"> </v>
      </c>
      <c r="U321" s="245" t="str">
        <f t="shared" si="37"/>
        <v xml:space="preserve"> </v>
      </c>
      <c r="V321" s="208">
        <f>SUM($N$10:$U321)</f>
        <v>0</v>
      </c>
      <c r="W321" s="208">
        <f>VLOOKUP(V321,Calcs!$Q$4:$R$24,2,TRUE)</f>
        <v>0</v>
      </c>
      <c r="X321" s="435" t="str">
        <f t="shared" si="33"/>
        <v>No</v>
      </c>
      <c r="Y321" s="436"/>
      <c r="Z321" s="435">
        <f t="shared" si="34"/>
        <v>0</v>
      </c>
      <c r="AA321" s="245" t="str">
        <f>IF(AND(X321="Yes",NOT(ISBLANK(Z321))),VLOOKUP(Z321,Calcs!$Y$48:$Z$57,2,TRUE)," ")</f>
        <v xml:space="preserve"> </v>
      </c>
    </row>
    <row r="322" spans="1:27" x14ac:dyDescent="0.2">
      <c r="A322" s="425">
        <f t="shared" si="35"/>
        <v>348</v>
      </c>
      <c r="B322" s="425" t="str">
        <f t="shared" si="31"/>
        <v>Winter</v>
      </c>
      <c r="C322" s="247">
        <f>IF(B322="Winter",A322-('Start Character'!$K$6)-1,IF('Start Character'!$K$7&gt;6,A322-('Start Character'!$K$6)-1,A322-('Start Character'!$K$6)))</f>
        <v>347</v>
      </c>
      <c r="D322" s="247">
        <f t="shared" si="32"/>
        <v>347</v>
      </c>
      <c r="E322" s="246"/>
      <c r="F322" s="83"/>
      <c r="G322" s="83"/>
      <c r="H322" s="246"/>
      <c r="I322" s="433"/>
      <c r="J322" s="254">
        <f>IF(ISBLANK(I322),0,ROUNDUP(D322/10,0)-E322-H322-F322-G322+VLOOKUP($D$2,Calcs!$A$23:$B$27,2,FALSE)+I322)</f>
        <v>0</v>
      </c>
      <c r="K322" s="245" t="str">
        <f>IF(ISBLANK(I322)," ",VLOOKUP(J322,Calcs!$A$82:$H$106,2,TRUE))</f>
        <v xml:space="preserve"> </v>
      </c>
      <c r="L322" s="245">
        <f>IF(ISBLANK(I322),0,VLOOKUP(J322,Calcs!$A$82:$F$106,5,TRUE))</f>
        <v>0</v>
      </c>
      <c r="M322" s="208">
        <f>IF(J322=13,IF(ISNUMBER(W321),VLOOKUP(W321+1,Calcs!$O$4:$Q$24,3,TRUE)-V321,5),IF(J322&lt;10,0,IF(J322&lt;18,1,IF(J322&lt;22,2,IF(ISNUMBER(W321),VLOOKUP(W321+1,Calcs!$O$4:$Q$24,3,TRUE)-V321,5)))))</f>
        <v>0</v>
      </c>
      <c r="N322" s="245" t="str">
        <f t="shared" si="38"/>
        <v xml:space="preserve"> </v>
      </c>
      <c r="O322" s="245" t="str">
        <f t="shared" si="38"/>
        <v xml:space="preserve"> </v>
      </c>
      <c r="P322" s="245" t="str">
        <f t="shared" si="38"/>
        <v xml:space="preserve"> </v>
      </c>
      <c r="Q322" s="245" t="str">
        <f t="shared" si="38"/>
        <v xml:space="preserve"> </v>
      </c>
      <c r="R322" s="245" t="str">
        <f t="shared" si="38"/>
        <v xml:space="preserve"> </v>
      </c>
      <c r="S322" s="245" t="str">
        <f t="shared" si="38"/>
        <v xml:space="preserve"> </v>
      </c>
      <c r="T322" s="245" t="str">
        <f t="shared" si="38"/>
        <v xml:space="preserve"> </v>
      </c>
      <c r="U322" s="245" t="str">
        <f t="shared" si="37"/>
        <v xml:space="preserve"> </v>
      </c>
      <c r="V322" s="208">
        <f>SUM($N$10:$U322)</f>
        <v>0</v>
      </c>
      <c r="W322" s="208">
        <f>VLOOKUP(V322,Calcs!$Q$4:$R$24,2,TRUE)</f>
        <v>0</v>
      </c>
      <c r="X322" s="435" t="str">
        <f t="shared" si="33"/>
        <v>No</v>
      </c>
      <c r="Y322" s="436"/>
      <c r="Z322" s="435">
        <f t="shared" si="34"/>
        <v>0</v>
      </c>
      <c r="AA322" s="245" t="str">
        <f>IF(AND(X322="Yes",NOT(ISBLANK(Z322))),VLOOKUP(Z322,Calcs!$Y$48:$Z$57,2,TRUE)," ")</f>
        <v xml:space="preserve"> </v>
      </c>
    </row>
    <row r="323" spans="1:27" x14ac:dyDescent="0.2">
      <c r="A323" s="425">
        <f t="shared" si="35"/>
        <v>349</v>
      </c>
      <c r="B323" s="425" t="str">
        <f t="shared" si="31"/>
        <v>Winter</v>
      </c>
      <c r="C323" s="247">
        <f>IF(B323="Winter",A323-('Start Character'!$K$6)-1,IF('Start Character'!$K$7&gt;6,A323-('Start Character'!$K$6)-1,A323-('Start Character'!$K$6)))</f>
        <v>348</v>
      </c>
      <c r="D323" s="247">
        <f t="shared" si="32"/>
        <v>348</v>
      </c>
      <c r="E323" s="246"/>
      <c r="F323" s="83"/>
      <c r="G323" s="83"/>
      <c r="H323" s="246"/>
      <c r="I323" s="433"/>
      <c r="J323" s="254">
        <f>IF(ISBLANK(I323),0,ROUNDUP(D323/10,0)-E323-H323-F323-G323+VLOOKUP($D$2,Calcs!$A$23:$B$27,2,FALSE)+I323)</f>
        <v>0</v>
      </c>
      <c r="K323" s="245" t="str">
        <f>IF(ISBLANK(I323)," ",VLOOKUP(J323,Calcs!$A$82:$H$106,2,TRUE))</f>
        <v xml:space="preserve"> </v>
      </c>
      <c r="L323" s="245">
        <f>IF(ISBLANK(I323),0,VLOOKUP(J323,Calcs!$A$82:$F$106,5,TRUE))</f>
        <v>0</v>
      </c>
      <c r="M323" s="208">
        <f>IF(J323=13,IF(ISNUMBER(W322),VLOOKUP(W322+1,Calcs!$O$4:$Q$24,3,TRUE)-V322,5),IF(J323&lt;10,0,IF(J323&lt;18,1,IF(J323&lt;22,2,IF(ISNUMBER(W322),VLOOKUP(W322+1,Calcs!$O$4:$Q$24,3,TRUE)-V322,5)))))</f>
        <v>0</v>
      </c>
      <c r="N323" s="245" t="str">
        <f t="shared" si="38"/>
        <v xml:space="preserve"> </v>
      </c>
      <c r="O323" s="245" t="str">
        <f t="shared" si="38"/>
        <v xml:space="preserve"> </v>
      </c>
      <c r="P323" s="245" t="str">
        <f t="shared" si="38"/>
        <v xml:space="preserve"> </v>
      </c>
      <c r="Q323" s="245" t="str">
        <f t="shared" si="38"/>
        <v xml:space="preserve"> </v>
      </c>
      <c r="R323" s="245" t="str">
        <f t="shared" si="38"/>
        <v xml:space="preserve"> </v>
      </c>
      <c r="S323" s="245" t="str">
        <f t="shared" si="38"/>
        <v xml:space="preserve"> </v>
      </c>
      <c r="T323" s="245" t="str">
        <f t="shared" si="38"/>
        <v xml:space="preserve"> </v>
      </c>
      <c r="U323" s="245" t="str">
        <f t="shared" si="37"/>
        <v xml:space="preserve"> </v>
      </c>
      <c r="V323" s="208">
        <f>SUM($N$10:$U323)</f>
        <v>0</v>
      </c>
      <c r="W323" s="208">
        <f>VLOOKUP(V323,Calcs!$Q$4:$R$24,2,TRUE)</f>
        <v>0</v>
      </c>
      <c r="X323" s="435" t="str">
        <f t="shared" si="33"/>
        <v>No</v>
      </c>
      <c r="Y323" s="436"/>
      <c r="Z323" s="435">
        <f t="shared" si="34"/>
        <v>0</v>
      </c>
      <c r="AA323" s="245" t="str">
        <f>IF(AND(X323="Yes",NOT(ISBLANK(Z323))),VLOOKUP(Z323,Calcs!$Y$48:$Z$57,2,TRUE)," ")</f>
        <v xml:space="preserve"> </v>
      </c>
    </row>
    <row r="324" spans="1:27" x14ac:dyDescent="0.2">
      <c r="A324" s="425">
        <f t="shared" si="35"/>
        <v>350</v>
      </c>
      <c r="B324" s="425" t="str">
        <f t="shared" si="31"/>
        <v>Winter</v>
      </c>
      <c r="C324" s="247">
        <f>IF(B324="Winter",A324-('Start Character'!$K$6)-1,IF('Start Character'!$K$7&gt;6,A324-('Start Character'!$K$6)-1,A324-('Start Character'!$K$6)))</f>
        <v>349</v>
      </c>
      <c r="D324" s="247">
        <f t="shared" si="32"/>
        <v>349</v>
      </c>
      <c r="E324" s="246"/>
      <c r="F324" s="83"/>
      <c r="G324" s="83"/>
      <c r="H324" s="246"/>
      <c r="I324" s="433"/>
      <c r="J324" s="254">
        <f>IF(ISBLANK(I324),0,ROUNDUP(D324/10,0)-E324-H324-F324-G324+VLOOKUP($D$2,Calcs!$A$23:$B$27,2,FALSE)+I324)</f>
        <v>0</v>
      </c>
      <c r="K324" s="245" t="str">
        <f>IF(ISBLANK(I324)," ",VLOOKUP(J324,Calcs!$A$82:$H$106,2,TRUE))</f>
        <v xml:space="preserve"> </v>
      </c>
      <c r="L324" s="245">
        <f>IF(ISBLANK(I324),0,VLOOKUP(J324,Calcs!$A$82:$F$106,5,TRUE))</f>
        <v>0</v>
      </c>
      <c r="M324" s="208">
        <f>IF(J324=13,IF(ISNUMBER(W323),VLOOKUP(W323+1,Calcs!$O$4:$Q$24,3,TRUE)-V323,5),IF(J324&lt;10,0,IF(J324&lt;18,1,IF(J324&lt;22,2,IF(ISNUMBER(W323),VLOOKUP(W323+1,Calcs!$O$4:$Q$24,3,TRUE)-V323,5)))))</f>
        <v>0</v>
      </c>
      <c r="N324" s="245" t="str">
        <f t="shared" si="38"/>
        <v xml:space="preserve"> </v>
      </c>
      <c r="O324" s="245" t="str">
        <f t="shared" si="38"/>
        <v xml:space="preserve"> </v>
      </c>
      <c r="P324" s="245" t="str">
        <f t="shared" si="38"/>
        <v xml:space="preserve"> </v>
      </c>
      <c r="Q324" s="245" t="str">
        <f t="shared" si="38"/>
        <v xml:space="preserve"> </v>
      </c>
      <c r="R324" s="245" t="str">
        <f t="shared" si="38"/>
        <v xml:space="preserve"> </v>
      </c>
      <c r="S324" s="245" t="str">
        <f t="shared" si="38"/>
        <v xml:space="preserve"> </v>
      </c>
      <c r="T324" s="245" t="str">
        <f t="shared" si="38"/>
        <v xml:space="preserve"> </v>
      </c>
      <c r="U324" s="245" t="str">
        <f t="shared" si="37"/>
        <v xml:space="preserve"> </v>
      </c>
      <c r="V324" s="208">
        <f>SUM($N$10:$U324)</f>
        <v>0</v>
      </c>
      <c r="W324" s="208">
        <f>VLOOKUP(V324,Calcs!$Q$4:$R$24,2,TRUE)</f>
        <v>0</v>
      </c>
      <c r="X324" s="435" t="str">
        <f t="shared" si="33"/>
        <v>No</v>
      </c>
      <c r="Y324" s="436"/>
      <c r="Z324" s="435">
        <f t="shared" si="34"/>
        <v>0</v>
      </c>
      <c r="AA324" s="245" t="str">
        <f>IF(AND(X324="Yes",NOT(ISBLANK(Z324))),VLOOKUP(Z324,Calcs!$Y$48:$Z$57,2,TRUE)," ")</f>
        <v xml:space="preserve"> </v>
      </c>
    </row>
    <row r="325" spans="1:27" x14ac:dyDescent="0.2">
      <c r="A325" s="425">
        <f t="shared" si="35"/>
        <v>351</v>
      </c>
      <c r="B325" s="425" t="str">
        <f t="shared" si="31"/>
        <v>Winter</v>
      </c>
      <c r="C325" s="247">
        <f>IF(B325="Winter",A325-('Start Character'!$K$6)-1,IF('Start Character'!$K$7&gt;6,A325-('Start Character'!$K$6)-1,A325-('Start Character'!$K$6)))</f>
        <v>350</v>
      </c>
      <c r="D325" s="247">
        <f t="shared" si="32"/>
        <v>350</v>
      </c>
      <c r="E325" s="246"/>
      <c r="F325" s="83"/>
      <c r="G325" s="83"/>
      <c r="H325" s="246"/>
      <c r="I325" s="433"/>
      <c r="J325" s="254">
        <f>IF(ISBLANK(I325),0,ROUNDUP(D325/10,0)-E325-H325-F325-G325+VLOOKUP($D$2,Calcs!$A$23:$B$27,2,FALSE)+I325)</f>
        <v>0</v>
      </c>
      <c r="K325" s="245" t="str">
        <f>IF(ISBLANK(I325)," ",VLOOKUP(J325,Calcs!$A$82:$H$106,2,TRUE))</f>
        <v xml:space="preserve"> </v>
      </c>
      <c r="L325" s="245">
        <f>IF(ISBLANK(I325),0,VLOOKUP(J325,Calcs!$A$82:$F$106,5,TRUE))</f>
        <v>0</v>
      </c>
      <c r="M325" s="208">
        <f>IF(J325=13,IF(ISNUMBER(W324),VLOOKUP(W324+1,Calcs!$O$4:$Q$24,3,TRUE)-V324,5),IF(J325&lt;10,0,IF(J325&lt;18,1,IF(J325&lt;22,2,IF(ISNUMBER(W324),VLOOKUP(W324+1,Calcs!$O$4:$Q$24,3,TRUE)-V324,5)))))</f>
        <v>0</v>
      </c>
      <c r="N325" s="245" t="str">
        <f t="shared" si="38"/>
        <v xml:space="preserve"> </v>
      </c>
      <c r="O325" s="245" t="str">
        <f t="shared" si="38"/>
        <v xml:space="preserve"> </v>
      </c>
      <c r="P325" s="245" t="str">
        <f t="shared" si="38"/>
        <v xml:space="preserve"> </v>
      </c>
      <c r="Q325" s="245" t="str">
        <f t="shared" si="38"/>
        <v xml:space="preserve"> </v>
      </c>
      <c r="R325" s="245" t="str">
        <f t="shared" si="38"/>
        <v xml:space="preserve"> </v>
      </c>
      <c r="S325" s="245" t="str">
        <f t="shared" si="38"/>
        <v xml:space="preserve"> </v>
      </c>
      <c r="T325" s="245" t="str">
        <f t="shared" si="38"/>
        <v xml:space="preserve"> </v>
      </c>
      <c r="U325" s="245" t="str">
        <f t="shared" si="37"/>
        <v xml:space="preserve"> </v>
      </c>
      <c r="V325" s="208">
        <f>SUM($N$10:$U325)</f>
        <v>0</v>
      </c>
      <c r="W325" s="208">
        <f>VLOOKUP(V325,Calcs!$Q$4:$R$24,2,TRUE)</f>
        <v>0</v>
      </c>
      <c r="X325" s="435" t="str">
        <f t="shared" si="33"/>
        <v>No</v>
      </c>
      <c r="Y325" s="436"/>
      <c r="Z325" s="435">
        <f t="shared" si="34"/>
        <v>0</v>
      </c>
      <c r="AA325" s="245" t="str">
        <f>IF(AND(X325="Yes",NOT(ISBLANK(Z325))),VLOOKUP(Z325,Calcs!$Y$48:$Z$57,2,TRUE)," ")</f>
        <v xml:space="preserve"> </v>
      </c>
    </row>
    <row r="326" spans="1:27" x14ac:dyDescent="0.2">
      <c r="A326" s="425">
        <f t="shared" si="35"/>
        <v>352</v>
      </c>
      <c r="B326" s="425" t="str">
        <f t="shared" si="31"/>
        <v>Winter</v>
      </c>
      <c r="C326" s="247">
        <f>IF(B326="Winter",A326-('Start Character'!$K$6)-1,IF('Start Character'!$K$7&gt;6,A326-('Start Character'!$K$6)-1,A326-('Start Character'!$K$6)))</f>
        <v>351</v>
      </c>
      <c r="D326" s="247">
        <f t="shared" si="32"/>
        <v>351</v>
      </c>
      <c r="E326" s="246"/>
      <c r="F326" s="83"/>
      <c r="G326" s="83"/>
      <c r="H326" s="246"/>
      <c r="I326" s="433"/>
      <c r="J326" s="254">
        <f>IF(ISBLANK(I326),0,ROUNDUP(D326/10,0)-E326-H326-F326-G326+VLOOKUP($D$2,Calcs!$A$23:$B$27,2,FALSE)+I326)</f>
        <v>0</v>
      </c>
      <c r="K326" s="245" t="str">
        <f>IF(ISBLANK(I326)," ",VLOOKUP(J326,Calcs!$A$82:$H$106,2,TRUE))</f>
        <v xml:space="preserve"> </v>
      </c>
      <c r="L326" s="245">
        <f>IF(ISBLANK(I326),0,VLOOKUP(J326,Calcs!$A$82:$F$106,5,TRUE))</f>
        <v>0</v>
      </c>
      <c r="M326" s="208">
        <f>IF(J326=13,IF(ISNUMBER(W325),VLOOKUP(W325+1,Calcs!$O$4:$Q$24,3,TRUE)-V325,5),IF(J326&lt;10,0,IF(J326&lt;18,1,IF(J326&lt;22,2,IF(ISNUMBER(W325),VLOOKUP(W325+1,Calcs!$O$4:$Q$24,3,TRUE)-V325,5)))))</f>
        <v>0</v>
      </c>
      <c r="N326" s="245" t="str">
        <f t="shared" si="38"/>
        <v xml:space="preserve"> </v>
      </c>
      <c r="O326" s="245" t="str">
        <f t="shared" si="38"/>
        <v xml:space="preserve"> </v>
      </c>
      <c r="P326" s="245" t="str">
        <f t="shared" si="38"/>
        <v xml:space="preserve"> </v>
      </c>
      <c r="Q326" s="245" t="str">
        <f t="shared" si="38"/>
        <v xml:space="preserve"> </v>
      </c>
      <c r="R326" s="245" t="str">
        <f t="shared" si="38"/>
        <v xml:space="preserve"> </v>
      </c>
      <c r="S326" s="245" t="str">
        <f t="shared" si="38"/>
        <v xml:space="preserve"> </v>
      </c>
      <c r="T326" s="245" t="str">
        <f t="shared" si="38"/>
        <v xml:space="preserve"> </v>
      </c>
      <c r="U326" s="245" t="str">
        <f t="shared" si="37"/>
        <v xml:space="preserve"> </v>
      </c>
      <c r="V326" s="208">
        <f>SUM($N$10:$U326)</f>
        <v>0</v>
      </c>
      <c r="W326" s="208">
        <f>VLOOKUP(V326,Calcs!$Q$4:$R$24,2,TRUE)</f>
        <v>0</v>
      </c>
      <c r="X326" s="435" t="str">
        <f t="shared" si="33"/>
        <v>No</v>
      </c>
      <c r="Y326" s="436"/>
      <c r="Z326" s="435">
        <f t="shared" si="34"/>
        <v>0</v>
      </c>
      <c r="AA326" s="245" t="str">
        <f>IF(AND(X326="Yes",NOT(ISBLANK(Z326))),VLOOKUP(Z326,Calcs!$Y$48:$Z$57,2,TRUE)," ")</f>
        <v xml:space="preserve"> </v>
      </c>
    </row>
    <row r="327" spans="1:27" x14ac:dyDescent="0.2">
      <c r="A327" s="425">
        <f t="shared" si="35"/>
        <v>353</v>
      </c>
      <c r="B327" s="425" t="str">
        <f t="shared" si="31"/>
        <v>Winter</v>
      </c>
      <c r="C327" s="247">
        <f>IF(B327="Winter",A327-('Start Character'!$K$6)-1,IF('Start Character'!$K$7&gt;6,A327-('Start Character'!$K$6)-1,A327-('Start Character'!$K$6)))</f>
        <v>352</v>
      </c>
      <c r="D327" s="247">
        <f t="shared" si="32"/>
        <v>352</v>
      </c>
      <c r="E327" s="246"/>
      <c r="F327" s="83"/>
      <c r="G327" s="83"/>
      <c r="H327" s="246"/>
      <c r="I327" s="433"/>
      <c r="J327" s="254">
        <f>IF(ISBLANK(I327),0,ROUNDUP(D327/10,0)-E327-H327-F327-G327+VLOOKUP($D$2,Calcs!$A$23:$B$27,2,FALSE)+I327)</f>
        <v>0</v>
      </c>
      <c r="K327" s="245" t="str">
        <f>IF(ISBLANK(I327)," ",VLOOKUP(J327,Calcs!$A$82:$H$106,2,TRUE))</f>
        <v xml:space="preserve"> </v>
      </c>
      <c r="L327" s="245">
        <f>IF(ISBLANK(I327),0,VLOOKUP(J327,Calcs!$A$82:$F$106,5,TRUE))</f>
        <v>0</v>
      </c>
      <c r="M327" s="208">
        <f>IF(J327=13,IF(ISNUMBER(W326),VLOOKUP(W326+1,Calcs!$O$4:$Q$24,3,TRUE)-V326,5),IF(J327&lt;10,0,IF(J327&lt;18,1,IF(J327&lt;22,2,IF(ISNUMBER(W326),VLOOKUP(W326+1,Calcs!$O$4:$Q$24,3,TRUE)-V326,5)))))</f>
        <v>0</v>
      </c>
      <c r="N327" s="245" t="str">
        <f t="shared" si="38"/>
        <v xml:space="preserve"> </v>
      </c>
      <c r="O327" s="245" t="str">
        <f t="shared" si="38"/>
        <v xml:space="preserve"> </v>
      </c>
      <c r="P327" s="245" t="str">
        <f t="shared" si="38"/>
        <v xml:space="preserve"> </v>
      </c>
      <c r="Q327" s="245" t="str">
        <f t="shared" si="38"/>
        <v xml:space="preserve"> </v>
      </c>
      <c r="R327" s="245" t="str">
        <f t="shared" si="38"/>
        <v xml:space="preserve"> </v>
      </c>
      <c r="S327" s="245" t="str">
        <f t="shared" si="38"/>
        <v xml:space="preserve"> </v>
      </c>
      <c r="T327" s="245" t="str">
        <f t="shared" si="38"/>
        <v xml:space="preserve"> </v>
      </c>
      <c r="U327" s="245" t="str">
        <f t="shared" si="37"/>
        <v xml:space="preserve"> </v>
      </c>
      <c r="V327" s="208">
        <f>SUM($N$10:$U327)</f>
        <v>0</v>
      </c>
      <c r="W327" s="208">
        <f>VLOOKUP(V327,Calcs!$Q$4:$R$24,2,TRUE)</f>
        <v>0</v>
      </c>
      <c r="X327" s="435" t="str">
        <f t="shared" si="33"/>
        <v>No</v>
      </c>
      <c r="Y327" s="436"/>
      <c r="Z327" s="435">
        <f t="shared" si="34"/>
        <v>0</v>
      </c>
      <c r="AA327" s="245" t="str">
        <f>IF(AND(X327="Yes",NOT(ISBLANK(Z327))),VLOOKUP(Z327,Calcs!$Y$48:$Z$57,2,TRUE)," ")</f>
        <v xml:space="preserve"> </v>
      </c>
    </row>
    <row r="328" spans="1:27" x14ac:dyDescent="0.2">
      <c r="A328" s="425">
        <f t="shared" si="35"/>
        <v>354</v>
      </c>
      <c r="B328" s="425" t="str">
        <f t="shared" si="31"/>
        <v>Winter</v>
      </c>
      <c r="C328" s="247">
        <f>IF(B328="Winter",A328-('Start Character'!$K$6)-1,IF('Start Character'!$K$7&gt;6,A328-('Start Character'!$K$6)-1,A328-('Start Character'!$K$6)))</f>
        <v>353</v>
      </c>
      <c r="D328" s="247">
        <f t="shared" si="32"/>
        <v>353</v>
      </c>
      <c r="E328" s="246"/>
      <c r="F328" s="83"/>
      <c r="G328" s="83"/>
      <c r="H328" s="246"/>
      <c r="I328" s="433"/>
      <c r="J328" s="254">
        <f>IF(ISBLANK(I328),0,ROUNDUP(D328/10,0)-E328-H328-F328-G328+VLOOKUP($D$2,Calcs!$A$23:$B$27,2,FALSE)+I328)</f>
        <v>0</v>
      </c>
      <c r="K328" s="245" t="str">
        <f>IF(ISBLANK(I328)," ",VLOOKUP(J328,Calcs!$A$82:$H$106,2,TRUE))</f>
        <v xml:space="preserve"> </v>
      </c>
      <c r="L328" s="245">
        <f>IF(ISBLANK(I328),0,VLOOKUP(J328,Calcs!$A$82:$F$106,5,TRUE))</f>
        <v>0</v>
      </c>
      <c r="M328" s="208">
        <f>IF(J328=13,IF(ISNUMBER(W327),VLOOKUP(W327+1,Calcs!$O$4:$Q$24,3,TRUE)-V327,5),IF(J328&lt;10,0,IF(J328&lt;18,1,IF(J328&lt;22,2,IF(ISNUMBER(W327),VLOOKUP(W327+1,Calcs!$O$4:$Q$24,3,TRUE)-V327,5)))))</f>
        <v>0</v>
      </c>
      <c r="N328" s="245" t="str">
        <f t="shared" si="38"/>
        <v xml:space="preserve"> </v>
      </c>
      <c r="O328" s="245" t="str">
        <f t="shared" si="38"/>
        <v xml:space="preserve"> </v>
      </c>
      <c r="P328" s="245" t="str">
        <f t="shared" si="38"/>
        <v xml:space="preserve"> </v>
      </c>
      <c r="Q328" s="245" t="str">
        <f t="shared" si="38"/>
        <v xml:space="preserve"> </v>
      </c>
      <c r="R328" s="245" t="str">
        <f t="shared" si="38"/>
        <v xml:space="preserve"> </v>
      </c>
      <c r="S328" s="245" t="str">
        <f t="shared" si="38"/>
        <v xml:space="preserve"> </v>
      </c>
      <c r="T328" s="245" t="str">
        <f t="shared" si="38"/>
        <v xml:space="preserve"> </v>
      </c>
      <c r="U328" s="245" t="str">
        <f t="shared" si="37"/>
        <v xml:space="preserve"> </v>
      </c>
      <c r="V328" s="208">
        <f>SUM($N$10:$U328)</f>
        <v>0</v>
      </c>
      <c r="W328" s="208">
        <f>VLOOKUP(V328,Calcs!$Q$4:$R$24,2,TRUE)</f>
        <v>0</v>
      </c>
      <c r="X328" s="435" t="str">
        <f t="shared" si="33"/>
        <v>No</v>
      </c>
      <c r="Y328" s="436"/>
      <c r="Z328" s="435">
        <f t="shared" si="34"/>
        <v>0</v>
      </c>
      <c r="AA328" s="245" t="str">
        <f>IF(AND(X328="Yes",NOT(ISBLANK(Z328))),VLOOKUP(Z328,Calcs!$Y$48:$Z$57,2,TRUE)," ")</f>
        <v xml:space="preserve"> </v>
      </c>
    </row>
    <row r="329" spans="1:27" x14ac:dyDescent="0.2">
      <c r="A329" s="425">
        <f t="shared" si="35"/>
        <v>355</v>
      </c>
      <c r="B329" s="425" t="str">
        <f t="shared" si="31"/>
        <v>Winter</v>
      </c>
      <c r="C329" s="247">
        <f>IF(B329="Winter",A329-('Start Character'!$K$6)-1,IF('Start Character'!$K$7&gt;6,A329-('Start Character'!$K$6)-1,A329-('Start Character'!$K$6)))</f>
        <v>354</v>
      </c>
      <c r="D329" s="247">
        <f t="shared" si="32"/>
        <v>354</v>
      </c>
      <c r="E329" s="246"/>
      <c r="F329" s="83"/>
      <c r="G329" s="83"/>
      <c r="H329" s="246"/>
      <c r="I329" s="433"/>
      <c r="J329" s="254">
        <f>IF(ISBLANK(I329),0,ROUNDUP(D329/10,0)-E329-H329-F329-G329+VLOOKUP($D$2,Calcs!$A$23:$B$27,2,FALSE)+I329)</f>
        <v>0</v>
      </c>
      <c r="K329" s="245" t="str">
        <f>IF(ISBLANK(I329)," ",VLOOKUP(J329,Calcs!$A$82:$H$106,2,TRUE))</f>
        <v xml:space="preserve"> </v>
      </c>
      <c r="L329" s="245">
        <f>IF(ISBLANK(I329),0,VLOOKUP(J329,Calcs!$A$82:$F$106,5,TRUE))</f>
        <v>0</v>
      </c>
      <c r="M329" s="208">
        <f>IF(J329=13,IF(ISNUMBER(W328),VLOOKUP(W328+1,Calcs!$O$4:$Q$24,3,TRUE)-V328,5),IF(J329&lt;10,0,IF(J329&lt;18,1,IF(J329&lt;22,2,IF(ISNUMBER(W328),VLOOKUP(W328+1,Calcs!$O$4:$Q$24,3,TRUE)-V328,5)))))</f>
        <v>0</v>
      </c>
      <c r="N329" s="245" t="str">
        <f t="shared" si="38"/>
        <v xml:space="preserve"> </v>
      </c>
      <c r="O329" s="245" t="str">
        <f t="shared" si="38"/>
        <v xml:space="preserve"> </v>
      </c>
      <c r="P329" s="245" t="str">
        <f t="shared" si="38"/>
        <v xml:space="preserve"> </v>
      </c>
      <c r="Q329" s="245" t="str">
        <f t="shared" si="38"/>
        <v xml:space="preserve"> </v>
      </c>
      <c r="R329" s="245" t="str">
        <f t="shared" si="38"/>
        <v xml:space="preserve"> </v>
      </c>
      <c r="S329" s="245" t="str">
        <f t="shared" si="38"/>
        <v xml:space="preserve"> </v>
      </c>
      <c r="T329" s="245" t="str">
        <f t="shared" si="38"/>
        <v xml:space="preserve"> </v>
      </c>
      <c r="U329" s="245" t="str">
        <f t="shared" si="37"/>
        <v xml:space="preserve"> </v>
      </c>
      <c r="V329" s="208">
        <f>SUM($N$10:$U329)</f>
        <v>0</v>
      </c>
      <c r="W329" s="208">
        <f>VLOOKUP(V329,Calcs!$Q$4:$R$24,2,TRUE)</f>
        <v>0</v>
      </c>
      <c r="X329" s="435" t="str">
        <f t="shared" si="33"/>
        <v>No</v>
      </c>
      <c r="Y329" s="436"/>
      <c r="Z329" s="435">
        <f t="shared" si="34"/>
        <v>0</v>
      </c>
      <c r="AA329" s="245" t="str">
        <f>IF(AND(X329="Yes",NOT(ISBLANK(Z329))),VLOOKUP(Z329,Calcs!$Y$48:$Z$57,2,TRUE)," ")</f>
        <v xml:space="preserve"> </v>
      </c>
    </row>
    <row r="330" spans="1:27" x14ac:dyDescent="0.2">
      <c r="A330" s="425">
        <f t="shared" si="35"/>
        <v>356</v>
      </c>
      <c r="B330" s="425" t="str">
        <f t="shared" si="31"/>
        <v>Winter</v>
      </c>
      <c r="C330" s="247">
        <f>IF(B330="Winter",A330-('Start Character'!$K$6)-1,IF('Start Character'!$K$7&gt;6,A330-('Start Character'!$K$6)-1,A330-('Start Character'!$K$6)))</f>
        <v>355</v>
      </c>
      <c r="D330" s="247">
        <f t="shared" si="32"/>
        <v>355</v>
      </c>
      <c r="E330" s="246"/>
      <c r="F330" s="83"/>
      <c r="G330" s="83"/>
      <c r="H330" s="246"/>
      <c r="I330" s="433"/>
      <c r="J330" s="254">
        <f>IF(ISBLANK(I330),0,ROUNDUP(D330/10,0)-E330-H330-F330-G330+VLOOKUP($D$2,Calcs!$A$23:$B$27,2,FALSE)+I330)</f>
        <v>0</v>
      </c>
      <c r="K330" s="245" t="str">
        <f>IF(ISBLANK(I330)," ",VLOOKUP(J330,Calcs!$A$82:$H$106,2,TRUE))</f>
        <v xml:space="preserve"> </v>
      </c>
      <c r="L330" s="245">
        <f>IF(ISBLANK(I330),0,VLOOKUP(J330,Calcs!$A$82:$F$106,5,TRUE))</f>
        <v>0</v>
      </c>
      <c r="M330" s="208">
        <f>IF(J330=13,IF(ISNUMBER(W329),VLOOKUP(W329+1,Calcs!$O$4:$Q$24,3,TRUE)-V329,5),IF(J330&lt;10,0,IF(J330&lt;18,1,IF(J330&lt;22,2,IF(ISNUMBER(W329),VLOOKUP(W329+1,Calcs!$O$4:$Q$24,3,TRUE)-V329,5)))))</f>
        <v>0</v>
      </c>
      <c r="N330" s="245" t="str">
        <f t="shared" si="38"/>
        <v xml:space="preserve"> </v>
      </c>
      <c r="O330" s="245" t="str">
        <f t="shared" si="38"/>
        <v xml:space="preserve"> </v>
      </c>
      <c r="P330" s="245" t="str">
        <f t="shared" si="38"/>
        <v xml:space="preserve"> </v>
      </c>
      <c r="Q330" s="245" t="str">
        <f t="shared" si="38"/>
        <v xml:space="preserve"> </v>
      </c>
      <c r="R330" s="245" t="str">
        <f t="shared" si="38"/>
        <v xml:space="preserve"> </v>
      </c>
      <c r="S330" s="245" t="str">
        <f t="shared" si="38"/>
        <v xml:space="preserve"> </v>
      </c>
      <c r="T330" s="245" t="str">
        <f t="shared" si="38"/>
        <v xml:space="preserve"> </v>
      </c>
      <c r="U330" s="245" t="str">
        <f t="shared" si="37"/>
        <v xml:space="preserve"> </v>
      </c>
      <c r="V330" s="208">
        <f>SUM($N$10:$U330)</f>
        <v>0</v>
      </c>
      <c r="W330" s="208">
        <f>VLOOKUP(V330,Calcs!$Q$4:$R$24,2,TRUE)</f>
        <v>0</v>
      </c>
      <c r="X330" s="435" t="str">
        <f t="shared" si="33"/>
        <v>No</v>
      </c>
      <c r="Y330" s="436"/>
      <c r="Z330" s="435">
        <f t="shared" si="34"/>
        <v>0</v>
      </c>
      <c r="AA330" s="245" t="str">
        <f>IF(AND(X330="Yes",NOT(ISBLANK(Z330))),VLOOKUP(Z330,Calcs!$Y$48:$Z$57,2,TRUE)," ")</f>
        <v xml:space="preserve"> </v>
      </c>
    </row>
    <row r="331" spans="1:27" x14ac:dyDescent="0.2">
      <c r="A331" s="425">
        <f t="shared" si="35"/>
        <v>357</v>
      </c>
      <c r="B331" s="425" t="str">
        <f t="shared" ref="B331:B394" si="39">IF(AND($D$2="Age Quickly",B330="Winter"),"Summer","Winter")</f>
        <v>Winter</v>
      </c>
      <c r="C331" s="247">
        <f>IF(B331="Winter",A331-('Start Character'!$K$6)-1,IF('Start Character'!$K$7&gt;6,A331-('Start Character'!$K$6)-1,A331-('Start Character'!$K$6)))</f>
        <v>356</v>
      </c>
      <c r="D331" s="247">
        <f t="shared" ref="D331:D394" si="40">IF($D$2="Age Quickly",IF(C330=C331,(C331*2)+1,C331*2),C331)</f>
        <v>356</v>
      </c>
      <c r="E331" s="246"/>
      <c r="F331" s="83"/>
      <c r="G331" s="83"/>
      <c r="H331" s="246"/>
      <c r="I331" s="433"/>
      <c r="J331" s="254">
        <f>IF(ISBLANK(I331),0,ROUNDUP(D331/10,0)-E331-H331-F331-G331+VLOOKUP($D$2,Calcs!$A$23:$B$27,2,FALSE)+I331)</f>
        <v>0</v>
      </c>
      <c r="K331" s="245" t="str">
        <f>IF(ISBLANK(I331)," ",VLOOKUP(J331,Calcs!$A$82:$H$106,2,TRUE))</f>
        <v xml:space="preserve"> </v>
      </c>
      <c r="L331" s="245">
        <f>IF(ISBLANK(I331),0,VLOOKUP(J331,Calcs!$A$82:$F$106,5,TRUE))</f>
        <v>0</v>
      </c>
      <c r="M331" s="208">
        <f>IF(J331=13,IF(ISNUMBER(W330),VLOOKUP(W330+1,Calcs!$O$4:$Q$24,3,TRUE)-V330,5),IF(J331&lt;10,0,IF(J331&lt;18,1,IF(J331&lt;22,2,IF(ISNUMBER(W330),VLOOKUP(W330+1,Calcs!$O$4:$Q$24,3,TRUE)-V330,5)))))</f>
        <v>0</v>
      </c>
      <c r="N331" s="245" t="str">
        <f t="shared" si="38"/>
        <v xml:space="preserve"> </v>
      </c>
      <c r="O331" s="245" t="str">
        <f t="shared" si="38"/>
        <v xml:space="preserve"> </v>
      </c>
      <c r="P331" s="245" t="str">
        <f t="shared" si="38"/>
        <v xml:space="preserve"> </v>
      </c>
      <c r="Q331" s="245" t="str">
        <f t="shared" si="38"/>
        <v xml:space="preserve"> </v>
      </c>
      <c r="R331" s="245" t="str">
        <f t="shared" si="38"/>
        <v xml:space="preserve"> </v>
      </c>
      <c r="S331" s="245" t="str">
        <f t="shared" si="38"/>
        <v xml:space="preserve"> </v>
      </c>
      <c r="T331" s="245" t="str">
        <f t="shared" si="38"/>
        <v xml:space="preserve"> </v>
      </c>
      <c r="U331" s="245" t="str">
        <f t="shared" si="37"/>
        <v xml:space="preserve"> </v>
      </c>
      <c r="V331" s="208">
        <f>SUM($N$10:$U331)</f>
        <v>0</v>
      </c>
      <c r="W331" s="208">
        <f>VLOOKUP(V331,Calcs!$Q$4:$R$24,2,TRUE)</f>
        <v>0</v>
      </c>
      <c r="X331" s="435" t="str">
        <f t="shared" ref="X331:X394" si="41">IF(ISERROR(FIND("Crisis",K331)),"No","Yes")</f>
        <v>No</v>
      </c>
      <c r="Y331" s="436"/>
      <c r="Z331" s="435">
        <f t="shared" ref="Z331:Z394" si="42">IF(ISBLANK(Y331),0,ROUNDUP(D331/10,0)+W331+Y331)</f>
        <v>0</v>
      </c>
      <c r="AA331" s="245" t="str">
        <f>IF(AND(X331="Yes",NOT(ISBLANK(Z331))),VLOOKUP(Z331,Calcs!$Y$48:$Z$57,2,TRUE)," ")</f>
        <v xml:space="preserve"> </v>
      </c>
    </row>
    <row r="332" spans="1:27" x14ac:dyDescent="0.2">
      <c r="A332" s="425">
        <f t="shared" ref="A332:A395" si="43">IF($D$2&lt;&gt;"Age Quickly",A331+1,IF(A331=A330,A331+1,A331))</f>
        <v>358</v>
      </c>
      <c r="B332" s="425" t="str">
        <f t="shared" si="39"/>
        <v>Winter</v>
      </c>
      <c r="C332" s="247">
        <f>IF(B332="Winter",A332-('Start Character'!$K$6)-1,IF('Start Character'!$K$7&gt;6,A332-('Start Character'!$K$6)-1,A332-('Start Character'!$K$6)))</f>
        <v>357</v>
      </c>
      <c r="D332" s="247">
        <f t="shared" si="40"/>
        <v>357</v>
      </c>
      <c r="E332" s="246"/>
      <c r="F332" s="83"/>
      <c r="G332" s="83"/>
      <c r="H332" s="246"/>
      <c r="I332" s="433"/>
      <c r="J332" s="254">
        <f>IF(ISBLANK(I332),0,ROUNDUP(D332/10,0)-E332-H332-F332-G332+VLOOKUP($D$2,Calcs!$A$23:$B$27,2,FALSE)+I332)</f>
        <v>0</v>
      </c>
      <c r="K332" s="245" t="str">
        <f>IF(ISBLANK(I332)," ",VLOOKUP(J332,Calcs!$A$82:$H$106,2,TRUE))</f>
        <v xml:space="preserve"> </v>
      </c>
      <c r="L332" s="245">
        <f>IF(ISBLANK(I332),0,VLOOKUP(J332,Calcs!$A$82:$F$106,5,TRUE))</f>
        <v>0</v>
      </c>
      <c r="M332" s="208">
        <f>IF(J332=13,IF(ISNUMBER(W331),VLOOKUP(W331+1,Calcs!$O$4:$Q$24,3,TRUE)-V331,5),IF(J332&lt;10,0,IF(J332&lt;18,1,IF(J332&lt;22,2,IF(ISNUMBER(W331),VLOOKUP(W331+1,Calcs!$O$4:$Q$24,3,TRUE)-V331,5)))))</f>
        <v>0</v>
      </c>
      <c r="N332" s="245" t="str">
        <f t="shared" si="38"/>
        <v xml:space="preserve"> </v>
      </c>
      <c r="O332" s="245" t="str">
        <f t="shared" si="38"/>
        <v xml:space="preserve"> </v>
      </c>
      <c r="P332" s="245" t="str">
        <f t="shared" si="38"/>
        <v xml:space="preserve"> </v>
      </c>
      <c r="Q332" s="245" t="str">
        <f t="shared" si="38"/>
        <v xml:space="preserve"> </v>
      </c>
      <c r="R332" s="245" t="str">
        <f t="shared" si="38"/>
        <v xml:space="preserve"> </v>
      </c>
      <c r="S332" s="245" t="str">
        <f t="shared" si="38"/>
        <v xml:space="preserve"> </v>
      </c>
      <c r="T332" s="245" t="str">
        <f t="shared" si="38"/>
        <v xml:space="preserve"> </v>
      </c>
      <c r="U332" s="245" t="str">
        <f t="shared" si="37"/>
        <v xml:space="preserve"> </v>
      </c>
      <c r="V332" s="208">
        <f>SUM($N$10:$U332)</f>
        <v>0</v>
      </c>
      <c r="W332" s="208">
        <f>VLOOKUP(V332,Calcs!$Q$4:$R$24,2,TRUE)</f>
        <v>0</v>
      </c>
      <c r="X332" s="435" t="str">
        <f t="shared" si="41"/>
        <v>No</v>
      </c>
      <c r="Y332" s="436"/>
      <c r="Z332" s="435">
        <f t="shared" si="42"/>
        <v>0</v>
      </c>
      <c r="AA332" s="245" t="str">
        <f>IF(AND(X332="Yes",NOT(ISBLANK(Z332))),VLOOKUP(Z332,Calcs!$Y$48:$Z$57,2,TRUE)," ")</f>
        <v xml:space="preserve"> </v>
      </c>
    </row>
    <row r="333" spans="1:27" x14ac:dyDescent="0.2">
      <c r="A333" s="425">
        <f t="shared" si="43"/>
        <v>359</v>
      </c>
      <c r="B333" s="425" t="str">
        <f t="shared" si="39"/>
        <v>Winter</v>
      </c>
      <c r="C333" s="247">
        <f>IF(B333="Winter",A333-('Start Character'!$K$6)-1,IF('Start Character'!$K$7&gt;6,A333-('Start Character'!$K$6)-1,A333-('Start Character'!$K$6)))</f>
        <v>358</v>
      </c>
      <c r="D333" s="247">
        <f t="shared" si="40"/>
        <v>358</v>
      </c>
      <c r="E333" s="246"/>
      <c r="F333" s="83"/>
      <c r="G333" s="83"/>
      <c r="H333" s="246"/>
      <c r="I333" s="433"/>
      <c r="J333" s="254">
        <f>IF(ISBLANK(I333),0,ROUNDUP(D333/10,0)-E333-H333-F333-G333+VLOOKUP($D$2,Calcs!$A$23:$B$27,2,FALSE)+I333)</f>
        <v>0</v>
      </c>
      <c r="K333" s="245" t="str">
        <f>IF(ISBLANK(I333)," ",VLOOKUP(J333,Calcs!$A$82:$H$106,2,TRUE))</f>
        <v xml:space="preserve"> </v>
      </c>
      <c r="L333" s="245">
        <f>IF(ISBLANK(I333),0,VLOOKUP(J333,Calcs!$A$82:$F$106,5,TRUE))</f>
        <v>0</v>
      </c>
      <c r="M333" s="208">
        <f>IF(J333=13,IF(ISNUMBER(W332),VLOOKUP(W332+1,Calcs!$O$4:$Q$24,3,TRUE)-V332,5),IF(J333&lt;10,0,IF(J333&lt;18,1,IF(J333&lt;22,2,IF(ISNUMBER(W332),VLOOKUP(W332+1,Calcs!$O$4:$Q$24,3,TRUE)-V332,5)))))</f>
        <v>0</v>
      </c>
      <c r="N333" s="245" t="str">
        <f t="shared" si="38"/>
        <v xml:space="preserve"> </v>
      </c>
      <c r="O333" s="245" t="str">
        <f t="shared" si="38"/>
        <v xml:space="preserve"> </v>
      </c>
      <c r="P333" s="245" t="str">
        <f t="shared" si="38"/>
        <v xml:space="preserve"> </v>
      </c>
      <c r="Q333" s="245" t="str">
        <f t="shared" si="38"/>
        <v xml:space="preserve"> </v>
      </c>
      <c r="R333" s="245" t="str">
        <f t="shared" si="38"/>
        <v xml:space="preserve"> </v>
      </c>
      <c r="S333" s="245" t="str">
        <f t="shared" si="38"/>
        <v xml:space="preserve"> </v>
      </c>
      <c r="T333" s="245" t="str">
        <f t="shared" si="38"/>
        <v xml:space="preserve"> </v>
      </c>
      <c r="U333" s="245" t="str">
        <f t="shared" si="37"/>
        <v xml:space="preserve"> </v>
      </c>
      <c r="V333" s="208">
        <f>SUM($N$10:$U333)</f>
        <v>0</v>
      </c>
      <c r="W333" s="208">
        <f>VLOOKUP(V333,Calcs!$Q$4:$R$24,2,TRUE)</f>
        <v>0</v>
      </c>
      <c r="X333" s="435" t="str">
        <f t="shared" si="41"/>
        <v>No</v>
      </c>
      <c r="Y333" s="436"/>
      <c r="Z333" s="435">
        <f t="shared" si="42"/>
        <v>0</v>
      </c>
      <c r="AA333" s="245" t="str">
        <f>IF(AND(X333="Yes",NOT(ISBLANK(Z333))),VLOOKUP(Z333,Calcs!$Y$48:$Z$57,2,TRUE)," ")</f>
        <v xml:space="preserve"> </v>
      </c>
    </row>
    <row r="334" spans="1:27" x14ac:dyDescent="0.2">
      <c r="A334" s="425">
        <f t="shared" si="43"/>
        <v>360</v>
      </c>
      <c r="B334" s="425" t="str">
        <f t="shared" si="39"/>
        <v>Winter</v>
      </c>
      <c r="C334" s="247">
        <f>IF(B334="Winter",A334-('Start Character'!$K$6)-1,IF('Start Character'!$K$7&gt;6,A334-('Start Character'!$K$6)-1,A334-('Start Character'!$K$6)))</f>
        <v>359</v>
      </c>
      <c r="D334" s="247">
        <f t="shared" si="40"/>
        <v>359</v>
      </c>
      <c r="E334" s="246"/>
      <c r="F334" s="83"/>
      <c r="G334" s="83"/>
      <c r="H334" s="246"/>
      <c r="I334" s="433"/>
      <c r="J334" s="254">
        <f>IF(ISBLANK(I334),0,ROUNDUP(D334/10,0)-E334-H334-F334-G334+VLOOKUP($D$2,Calcs!$A$23:$B$27,2,FALSE)+I334)</f>
        <v>0</v>
      </c>
      <c r="K334" s="245" t="str">
        <f>IF(ISBLANK(I334)," ",VLOOKUP(J334,Calcs!$A$82:$H$106,2,TRUE))</f>
        <v xml:space="preserve"> </v>
      </c>
      <c r="L334" s="245">
        <f>IF(ISBLANK(I334),0,VLOOKUP(J334,Calcs!$A$82:$F$106,5,TRUE))</f>
        <v>0</v>
      </c>
      <c r="M334" s="208">
        <f>IF(J334=13,IF(ISNUMBER(W333),VLOOKUP(W333+1,Calcs!$O$4:$Q$24,3,TRUE)-V333,5),IF(J334&lt;10,0,IF(J334&lt;18,1,IF(J334&lt;22,2,IF(ISNUMBER(W333),VLOOKUP(W333+1,Calcs!$O$4:$Q$24,3,TRUE)-V333,5)))))</f>
        <v>0</v>
      </c>
      <c r="N334" s="245" t="str">
        <f t="shared" si="38"/>
        <v xml:space="preserve"> </v>
      </c>
      <c r="O334" s="245" t="str">
        <f t="shared" si="38"/>
        <v xml:space="preserve"> </v>
      </c>
      <c r="P334" s="245" t="str">
        <f t="shared" si="38"/>
        <v xml:space="preserve"> </v>
      </c>
      <c r="Q334" s="245" t="str">
        <f t="shared" si="38"/>
        <v xml:space="preserve"> </v>
      </c>
      <c r="R334" s="245" t="str">
        <f t="shared" si="38"/>
        <v xml:space="preserve"> </v>
      </c>
      <c r="S334" s="245" t="str">
        <f t="shared" si="38"/>
        <v xml:space="preserve"> </v>
      </c>
      <c r="T334" s="245" t="str">
        <f t="shared" si="38"/>
        <v xml:space="preserve"> </v>
      </c>
      <c r="U334" s="245" t="str">
        <f t="shared" si="37"/>
        <v xml:space="preserve"> </v>
      </c>
      <c r="V334" s="208">
        <f>SUM($N$10:$U334)</f>
        <v>0</v>
      </c>
      <c r="W334" s="208">
        <f>VLOOKUP(V334,Calcs!$Q$4:$R$24,2,TRUE)</f>
        <v>0</v>
      </c>
      <c r="X334" s="435" t="str">
        <f t="shared" si="41"/>
        <v>No</v>
      </c>
      <c r="Y334" s="436"/>
      <c r="Z334" s="435">
        <f t="shared" si="42"/>
        <v>0</v>
      </c>
      <c r="AA334" s="245" t="str">
        <f>IF(AND(X334="Yes",NOT(ISBLANK(Z334))),VLOOKUP(Z334,Calcs!$Y$48:$Z$57,2,TRUE)," ")</f>
        <v xml:space="preserve"> </v>
      </c>
    </row>
    <row r="335" spans="1:27" x14ac:dyDescent="0.2">
      <c r="A335" s="425">
        <f t="shared" si="43"/>
        <v>361</v>
      </c>
      <c r="B335" s="425" t="str">
        <f t="shared" si="39"/>
        <v>Winter</v>
      </c>
      <c r="C335" s="247">
        <f>IF(B335="Winter",A335-('Start Character'!$K$6)-1,IF('Start Character'!$K$7&gt;6,A335-('Start Character'!$K$6)-1,A335-('Start Character'!$K$6)))</f>
        <v>360</v>
      </c>
      <c r="D335" s="247">
        <f t="shared" si="40"/>
        <v>360</v>
      </c>
      <c r="E335" s="246"/>
      <c r="F335" s="83"/>
      <c r="G335" s="83"/>
      <c r="H335" s="246"/>
      <c r="I335" s="433"/>
      <c r="J335" s="254">
        <f>IF(ISBLANK(I335),0,ROUNDUP(D335/10,0)-E335-H335-F335-G335+VLOOKUP($D$2,Calcs!$A$23:$B$27,2,FALSE)+I335)</f>
        <v>0</v>
      </c>
      <c r="K335" s="245" t="str">
        <f>IF(ISBLANK(I335)," ",VLOOKUP(J335,Calcs!$A$82:$H$106,2,TRUE))</f>
        <v xml:space="preserve"> </v>
      </c>
      <c r="L335" s="245">
        <f>IF(ISBLANK(I335),0,VLOOKUP(J335,Calcs!$A$82:$F$106,5,TRUE))</f>
        <v>0</v>
      </c>
      <c r="M335" s="208">
        <f>IF(J335=13,IF(ISNUMBER(W334),VLOOKUP(W334+1,Calcs!$O$4:$Q$24,3,TRUE)-V334,5),IF(J335&lt;10,0,IF(J335&lt;18,1,IF(J335&lt;22,2,IF(ISNUMBER(W334),VLOOKUP(W334+1,Calcs!$O$4:$Q$24,3,TRUE)-V334,5)))))</f>
        <v>0</v>
      </c>
      <c r="N335" s="245" t="str">
        <f t="shared" si="38"/>
        <v xml:space="preserve"> </v>
      </c>
      <c r="O335" s="245" t="str">
        <f t="shared" si="38"/>
        <v xml:space="preserve"> </v>
      </c>
      <c r="P335" s="245" t="str">
        <f t="shared" si="38"/>
        <v xml:space="preserve"> </v>
      </c>
      <c r="Q335" s="245" t="str">
        <f t="shared" si="38"/>
        <v xml:space="preserve"> </v>
      </c>
      <c r="R335" s="245" t="str">
        <f t="shared" si="38"/>
        <v xml:space="preserve"> </v>
      </c>
      <c r="S335" s="245" t="str">
        <f t="shared" si="38"/>
        <v xml:space="preserve"> </v>
      </c>
      <c r="T335" s="245" t="str">
        <f t="shared" si="38"/>
        <v xml:space="preserve"> </v>
      </c>
      <c r="U335" s="245" t="str">
        <f t="shared" si="37"/>
        <v xml:space="preserve"> </v>
      </c>
      <c r="V335" s="208">
        <f>SUM($N$10:$U335)</f>
        <v>0</v>
      </c>
      <c r="W335" s="208">
        <f>VLOOKUP(V335,Calcs!$Q$4:$R$24,2,TRUE)</f>
        <v>0</v>
      </c>
      <c r="X335" s="435" t="str">
        <f t="shared" si="41"/>
        <v>No</v>
      </c>
      <c r="Y335" s="436"/>
      <c r="Z335" s="435">
        <f t="shared" si="42"/>
        <v>0</v>
      </c>
      <c r="AA335" s="245" t="str">
        <f>IF(AND(X335="Yes",NOT(ISBLANK(Z335))),VLOOKUP(Z335,Calcs!$Y$48:$Z$57,2,TRUE)," ")</f>
        <v xml:space="preserve"> </v>
      </c>
    </row>
    <row r="336" spans="1:27" x14ac:dyDescent="0.2">
      <c r="A336" s="425">
        <f t="shared" si="43"/>
        <v>362</v>
      </c>
      <c r="B336" s="425" t="str">
        <f t="shared" si="39"/>
        <v>Winter</v>
      </c>
      <c r="C336" s="247">
        <f>IF(B336="Winter",A336-('Start Character'!$K$6)-1,IF('Start Character'!$K$7&gt;6,A336-('Start Character'!$K$6)-1,A336-('Start Character'!$K$6)))</f>
        <v>361</v>
      </c>
      <c r="D336" s="247">
        <f t="shared" si="40"/>
        <v>361</v>
      </c>
      <c r="E336" s="246"/>
      <c r="F336" s="83"/>
      <c r="G336" s="83"/>
      <c r="H336" s="246"/>
      <c r="I336" s="433"/>
      <c r="J336" s="254">
        <f>IF(ISBLANK(I336),0,ROUNDUP(D336/10,0)-E336-H336-F336-G336+VLOOKUP($D$2,Calcs!$A$23:$B$27,2,FALSE)+I336)</f>
        <v>0</v>
      </c>
      <c r="K336" s="245" t="str">
        <f>IF(ISBLANK(I336)," ",VLOOKUP(J336,Calcs!$A$82:$H$106,2,TRUE))</f>
        <v xml:space="preserve"> </v>
      </c>
      <c r="L336" s="245">
        <f>IF(ISBLANK(I336),0,VLOOKUP(J336,Calcs!$A$82:$F$106,5,TRUE))</f>
        <v>0</v>
      </c>
      <c r="M336" s="208">
        <f>IF(J336=13,IF(ISNUMBER(W335),VLOOKUP(W335+1,Calcs!$O$4:$Q$24,3,TRUE)-V335,5),IF(J336&lt;10,0,IF(J336&lt;18,1,IF(J336&lt;22,2,IF(ISNUMBER(W335),VLOOKUP(W335+1,Calcs!$O$4:$Q$24,3,TRUE)-V335,5)))))</f>
        <v>0</v>
      </c>
      <c r="N336" s="245" t="str">
        <f t="shared" si="38"/>
        <v xml:space="preserve"> </v>
      </c>
      <c r="O336" s="245" t="str">
        <f t="shared" si="38"/>
        <v xml:space="preserve"> </v>
      </c>
      <c r="P336" s="245" t="str">
        <f t="shared" si="38"/>
        <v xml:space="preserve"> </v>
      </c>
      <c r="Q336" s="245" t="str">
        <f t="shared" si="38"/>
        <v xml:space="preserve"> </v>
      </c>
      <c r="R336" s="245" t="str">
        <f t="shared" si="38"/>
        <v xml:space="preserve"> </v>
      </c>
      <c r="S336" s="245" t="str">
        <f t="shared" si="38"/>
        <v xml:space="preserve"> </v>
      </c>
      <c r="T336" s="245" t="str">
        <f t="shared" si="38"/>
        <v xml:space="preserve"> </v>
      </c>
      <c r="U336" s="245" t="str">
        <f t="shared" si="37"/>
        <v xml:space="preserve"> </v>
      </c>
      <c r="V336" s="208">
        <f>SUM($N$10:$U336)</f>
        <v>0</v>
      </c>
      <c r="W336" s="208">
        <f>VLOOKUP(V336,Calcs!$Q$4:$R$24,2,TRUE)</f>
        <v>0</v>
      </c>
      <c r="X336" s="435" t="str">
        <f t="shared" si="41"/>
        <v>No</v>
      </c>
      <c r="Y336" s="436"/>
      <c r="Z336" s="435">
        <f t="shared" si="42"/>
        <v>0</v>
      </c>
      <c r="AA336" s="245" t="str">
        <f>IF(AND(X336="Yes",NOT(ISBLANK(Z336))),VLOOKUP(Z336,Calcs!$Y$48:$Z$57,2,TRUE)," ")</f>
        <v xml:space="preserve"> </v>
      </c>
    </row>
    <row r="337" spans="1:27" x14ac:dyDescent="0.2">
      <c r="A337" s="425">
        <f t="shared" si="43"/>
        <v>363</v>
      </c>
      <c r="B337" s="425" t="str">
        <f t="shared" si="39"/>
        <v>Winter</v>
      </c>
      <c r="C337" s="247">
        <f>IF(B337="Winter",A337-('Start Character'!$K$6)-1,IF('Start Character'!$K$7&gt;6,A337-('Start Character'!$K$6)-1,A337-('Start Character'!$K$6)))</f>
        <v>362</v>
      </c>
      <c r="D337" s="247">
        <f t="shared" si="40"/>
        <v>362</v>
      </c>
      <c r="E337" s="246"/>
      <c r="F337" s="83"/>
      <c r="G337" s="83"/>
      <c r="H337" s="246"/>
      <c r="I337" s="433"/>
      <c r="J337" s="254">
        <f>IF(ISBLANK(I337),0,ROUNDUP(D337/10,0)-E337-H337-F337-G337+VLOOKUP($D$2,Calcs!$A$23:$B$27,2,FALSE)+I337)</f>
        <v>0</v>
      </c>
      <c r="K337" s="245" t="str">
        <f>IF(ISBLANK(I337)," ",VLOOKUP(J337,Calcs!$A$82:$H$106,2,TRUE))</f>
        <v xml:space="preserve"> </v>
      </c>
      <c r="L337" s="245">
        <f>IF(ISBLANK(I337),0,VLOOKUP(J337,Calcs!$A$82:$F$106,5,TRUE))</f>
        <v>0</v>
      </c>
      <c r="M337" s="208">
        <f>IF(J337=13,IF(ISNUMBER(W336),VLOOKUP(W336+1,Calcs!$O$4:$Q$24,3,TRUE)-V336,5),IF(J337&lt;10,0,IF(J337&lt;18,1,IF(J337&lt;22,2,IF(ISNUMBER(W336),VLOOKUP(W336+1,Calcs!$O$4:$Q$24,3,TRUE)-V336,5)))))</f>
        <v>0</v>
      </c>
      <c r="N337" s="245" t="str">
        <f t="shared" si="38"/>
        <v xml:space="preserve"> </v>
      </c>
      <c r="O337" s="245" t="str">
        <f t="shared" si="38"/>
        <v xml:space="preserve"> </v>
      </c>
      <c r="P337" s="245" t="str">
        <f t="shared" si="38"/>
        <v xml:space="preserve"> </v>
      </c>
      <c r="Q337" s="245" t="str">
        <f t="shared" si="38"/>
        <v xml:space="preserve"> </v>
      </c>
      <c r="R337" s="245" t="str">
        <f t="shared" si="38"/>
        <v xml:space="preserve"> </v>
      </c>
      <c r="S337" s="245" t="str">
        <f t="shared" si="38"/>
        <v xml:space="preserve"> </v>
      </c>
      <c r="T337" s="245" t="str">
        <f t="shared" si="38"/>
        <v xml:space="preserve"> </v>
      </c>
      <c r="U337" s="245" t="str">
        <f t="shared" si="37"/>
        <v xml:space="preserve"> </v>
      </c>
      <c r="V337" s="208">
        <f>SUM($N$10:$U337)</f>
        <v>0</v>
      </c>
      <c r="W337" s="208">
        <f>VLOOKUP(V337,Calcs!$Q$4:$R$24,2,TRUE)</f>
        <v>0</v>
      </c>
      <c r="X337" s="435" t="str">
        <f t="shared" si="41"/>
        <v>No</v>
      </c>
      <c r="Y337" s="436"/>
      <c r="Z337" s="435">
        <f t="shared" si="42"/>
        <v>0</v>
      </c>
      <c r="AA337" s="245" t="str">
        <f>IF(AND(X337="Yes",NOT(ISBLANK(Z337))),VLOOKUP(Z337,Calcs!$Y$48:$Z$57,2,TRUE)," ")</f>
        <v xml:space="preserve"> </v>
      </c>
    </row>
    <row r="338" spans="1:27" x14ac:dyDescent="0.2">
      <c r="A338" s="425">
        <f t="shared" si="43"/>
        <v>364</v>
      </c>
      <c r="B338" s="425" t="str">
        <f t="shared" si="39"/>
        <v>Winter</v>
      </c>
      <c r="C338" s="247">
        <f>IF(B338="Winter",A338-('Start Character'!$K$6)-1,IF('Start Character'!$K$7&gt;6,A338-('Start Character'!$K$6)-1,A338-('Start Character'!$K$6)))</f>
        <v>363</v>
      </c>
      <c r="D338" s="247">
        <f t="shared" si="40"/>
        <v>363</v>
      </c>
      <c r="E338" s="246"/>
      <c r="F338" s="83"/>
      <c r="G338" s="83"/>
      <c r="H338" s="246"/>
      <c r="I338" s="433"/>
      <c r="J338" s="254">
        <f>IF(ISBLANK(I338),0,ROUNDUP(D338/10,0)-E338-H338-F338-G338+VLOOKUP($D$2,Calcs!$A$23:$B$27,2,FALSE)+I338)</f>
        <v>0</v>
      </c>
      <c r="K338" s="245" t="str">
        <f>IF(ISBLANK(I338)," ",VLOOKUP(J338,Calcs!$A$82:$H$106,2,TRUE))</f>
        <v xml:space="preserve"> </v>
      </c>
      <c r="L338" s="245">
        <f>IF(ISBLANK(I338),0,VLOOKUP(J338,Calcs!$A$82:$F$106,5,TRUE))</f>
        <v>0</v>
      </c>
      <c r="M338" s="208">
        <f>IF(J338=13,IF(ISNUMBER(W337),VLOOKUP(W337+1,Calcs!$O$4:$Q$24,3,TRUE)-V337,5),IF(J338&lt;10,0,IF(J338&lt;18,1,IF(J338&lt;22,2,IF(ISNUMBER(W337),VLOOKUP(W337+1,Calcs!$O$4:$Q$24,3,TRUE)-V337,5)))))</f>
        <v>0</v>
      </c>
      <c r="N338" s="245" t="str">
        <f t="shared" si="38"/>
        <v xml:space="preserve"> </v>
      </c>
      <c r="O338" s="245" t="str">
        <f t="shared" si="38"/>
        <v xml:space="preserve"> </v>
      </c>
      <c r="P338" s="245" t="str">
        <f t="shared" si="38"/>
        <v xml:space="preserve"> </v>
      </c>
      <c r="Q338" s="245" t="str">
        <f t="shared" si="38"/>
        <v xml:space="preserve"> </v>
      </c>
      <c r="R338" s="245" t="str">
        <f t="shared" si="38"/>
        <v xml:space="preserve"> </v>
      </c>
      <c r="S338" s="245" t="str">
        <f t="shared" si="38"/>
        <v xml:space="preserve"> </v>
      </c>
      <c r="T338" s="245" t="str">
        <f t="shared" si="38"/>
        <v xml:space="preserve"> </v>
      </c>
      <c r="U338" s="245" t="str">
        <f t="shared" si="37"/>
        <v xml:space="preserve"> </v>
      </c>
      <c r="V338" s="208">
        <f>SUM($N$10:$U338)</f>
        <v>0</v>
      </c>
      <c r="W338" s="208">
        <f>VLOOKUP(V338,Calcs!$Q$4:$R$24,2,TRUE)</f>
        <v>0</v>
      </c>
      <c r="X338" s="435" t="str">
        <f t="shared" si="41"/>
        <v>No</v>
      </c>
      <c r="Y338" s="436"/>
      <c r="Z338" s="435">
        <f t="shared" si="42"/>
        <v>0</v>
      </c>
      <c r="AA338" s="245" t="str">
        <f>IF(AND(X338="Yes",NOT(ISBLANK(Z338))),VLOOKUP(Z338,Calcs!$Y$48:$Z$57,2,TRUE)," ")</f>
        <v xml:space="preserve"> </v>
      </c>
    </row>
    <row r="339" spans="1:27" x14ac:dyDescent="0.2">
      <c r="A339" s="425">
        <f t="shared" si="43"/>
        <v>365</v>
      </c>
      <c r="B339" s="425" t="str">
        <f t="shared" si="39"/>
        <v>Winter</v>
      </c>
      <c r="C339" s="247">
        <f>IF(B339="Winter",A339-('Start Character'!$K$6)-1,IF('Start Character'!$K$7&gt;6,A339-('Start Character'!$K$6)-1,A339-('Start Character'!$K$6)))</f>
        <v>364</v>
      </c>
      <c r="D339" s="247">
        <f t="shared" si="40"/>
        <v>364</v>
      </c>
      <c r="E339" s="246"/>
      <c r="F339" s="83"/>
      <c r="G339" s="83"/>
      <c r="H339" s="246"/>
      <c r="I339" s="433"/>
      <c r="J339" s="254">
        <f>IF(ISBLANK(I339),0,ROUNDUP(D339/10,0)-E339-H339-F339-G339+VLOOKUP($D$2,Calcs!$A$23:$B$27,2,FALSE)+I339)</f>
        <v>0</v>
      </c>
      <c r="K339" s="245" t="str">
        <f>IF(ISBLANK(I339)," ",VLOOKUP(J339,Calcs!$A$82:$H$106,2,TRUE))</f>
        <v xml:space="preserve"> </v>
      </c>
      <c r="L339" s="245">
        <f>IF(ISBLANK(I339),0,VLOOKUP(J339,Calcs!$A$82:$F$106,5,TRUE))</f>
        <v>0</v>
      </c>
      <c r="M339" s="208">
        <f>IF(J339=13,IF(ISNUMBER(W338),VLOOKUP(W338+1,Calcs!$O$4:$Q$24,3,TRUE)-V338,5),IF(J339&lt;10,0,IF(J339&lt;18,1,IF(J339&lt;22,2,IF(ISNUMBER(W338),VLOOKUP(W338+1,Calcs!$O$4:$Q$24,3,TRUE)-V338,5)))))</f>
        <v>0</v>
      </c>
      <c r="N339" s="245" t="str">
        <f t="shared" si="38"/>
        <v xml:space="preserve"> </v>
      </c>
      <c r="O339" s="245" t="str">
        <f t="shared" si="38"/>
        <v xml:space="preserve"> </v>
      </c>
      <c r="P339" s="245" t="str">
        <f t="shared" si="38"/>
        <v xml:space="preserve"> </v>
      </c>
      <c r="Q339" s="245" t="str">
        <f t="shared" si="38"/>
        <v xml:space="preserve"> </v>
      </c>
      <c r="R339" s="245" t="str">
        <f t="shared" si="38"/>
        <v xml:space="preserve"> </v>
      </c>
      <c r="S339" s="245" t="str">
        <f t="shared" si="38"/>
        <v xml:space="preserve"> </v>
      </c>
      <c r="T339" s="245" t="str">
        <f t="shared" si="38"/>
        <v xml:space="preserve"> </v>
      </c>
      <c r="U339" s="245" t="str">
        <f t="shared" si="37"/>
        <v xml:space="preserve"> </v>
      </c>
      <c r="V339" s="208">
        <f>SUM($N$10:$U339)</f>
        <v>0</v>
      </c>
      <c r="W339" s="208">
        <f>VLOOKUP(V339,Calcs!$Q$4:$R$24,2,TRUE)</f>
        <v>0</v>
      </c>
      <c r="X339" s="435" t="str">
        <f t="shared" si="41"/>
        <v>No</v>
      </c>
      <c r="Y339" s="436"/>
      <c r="Z339" s="435">
        <f t="shared" si="42"/>
        <v>0</v>
      </c>
      <c r="AA339" s="245" t="str">
        <f>IF(AND(X339="Yes",NOT(ISBLANK(Z339))),VLOOKUP(Z339,Calcs!$Y$48:$Z$57,2,TRUE)," ")</f>
        <v xml:space="preserve"> </v>
      </c>
    </row>
    <row r="340" spans="1:27" x14ac:dyDescent="0.2">
      <c r="A340" s="425">
        <f t="shared" si="43"/>
        <v>366</v>
      </c>
      <c r="B340" s="425" t="str">
        <f t="shared" si="39"/>
        <v>Winter</v>
      </c>
      <c r="C340" s="247">
        <f>IF(B340="Winter",A340-('Start Character'!$K$6)-1,IF('Start Character'!$K$7&gt;6,A340-('Start Character'!$K$6)-1,A340-('Start Character'!$K$6)))</f>
        <v>365</v>
      </c>
      <c r="D340" s="247">
        <f t="shared" si="40"/>
        <v>365</v>
      </c>
      <c r="E340" s="246"/>
      <c r="F340" s="83"/>
      <c r="G340" s="83"/>
      <c r="H340" s="246"/>
      <c r="I340" s="433"/>
      <c r="J340" s="254">
        <f>IF(ISBLANK(I340),0,ROUNDUP(D340/10,0)-E340-H340-F340-G340+VLOOKUP($D$2,Calcs!$A$23:$B$27,2,FALSE)+I340)</f>
        <v>0</v>
      </c>
      <c r="K340" s="245" t="str">
        <f>IF(ISBLANK(I340)," ",VLOOKUP(J340,Calcs!$A$82:$H$106,2,TRUE))</f>
        <v xml:space="preserve"> </v>
      </c>
      <c r="L340" s="245">
        <f>IF(ISBLANK(I340),0,VLOOKUP(J340,Calcs!$A$82:$F$106,5,TRUE))</f>
        <v>0</v>
      </c>
      <c r="M340" s="208">
        <f>IF(J340=13,IF(ISNUMBER(W339),VLOOKUP(W339+1,Calcs!$O$4:$Q$24,3,TRUE)-V339,5),IF(J340&lt;10,0,IF(J340&lt;18,1,IF(J340&lt;22,2,IF(ISNUMBER(W339),VLOOKUP(W339+1,Calcs!$O$4:$Q$24,3,TRUE)-V339,5)))))</f>
        <v>0</v>
      </c>
      <c r="N340" s="245" t="str">
        <f t="shared" si="38"/>
        <v xml:space="preserve"> </v>
      </c>
      <c r="O340" s="245" t="str">
        <f t="shared" si="38"/>
        <v xml:space="preserve"> </v>
      </c>
      <c r="P340" s="245" t="str">
        <f t="shared" si="38"/>
        <v xml:space="preserve"> </v>
      </c>
      <c r="Q340" s="245" t="str">
        <f t="shared" si="38"/>
        <v xml:space="preserve"> </v>
      </c>
      <c r="R340" s="245" t="str">
        <f t="shared" si="38"/>
        <v xml:space="preserve"> </v>
      </c>
      <c r="S340" s="245" t="str">
        <f t="shared" si="38"/>
        <v xml:space="preserve"> </v>
      </c>
      <c r="T340" s="245" t="str">
        <f t="shared" si="38"/>
        <v xml:space="preserve"> </v>
      </c>
      <c r="U340" s="245" t="str">
        <f t="shared" si="37"/>
        <v xml:space="preserve"> </v>
      </c>
      <c r="V340" s="208">
        <f>SUM($N$10:$U340)</f>
        <v>0</v>
      </c>
      <c r="W340" s="208">
        <f>VLOOKUP(V340,Calcs!$Q$4:$R$24,2,TRUE)</f>
        <v>0</v>
      </c>
      <c r="X340" s="435" t="str">
        <f t="shared" si="41"/>
        <v>No</v>
      </c>
      <c r="Y340" s="436"/>
      <c r="Z340" s="435">
        <f t="shared" si="42"/>
        <v>0</v>
      </c>
      <c r="AA340" s="245" t="str">
        <f>IF(AND(X340="Yes",NOT(ISBLANK(Z340))),VLOOKUP(Z340,Calcs!$Y$48:$Z$57,2,TRUE)," ")</f>
        <v xml:space="preserve"> </v>
      </c>
    </row>
    <row r="341" spans="1:27" x14ac:dyDescent="0.2">
      <c r="A341" s="425">
        <f t="shared" si="43"/>
        <v>367</v>
      </c>
      <c r="B341" s="425" t="str">
        <f t="shared" si="39"/>
        <v>Winter</v>
      </c>
      <c r="C341" s="247">
        <f>IF(B341="Winter",A341-('Start Character'!$K$6)-1,IF('Start Character'!$K$7&gt;6,A341-('Start Character'!$K$6)-1,A341-('Start Character'!$K$6)))</f>
        <v>366</v>
      </c>
      <c r="D341" s="247">
        <f t="shared" si="40"/>
        <v>366</v>
      </c>
      <c r="E341" s="246"/>
      <c r="F341" s="83"/>
      <c r="G341" s="83"/>
      <c r="H341" s="246"/>
      <c r="I341" s="433"/>
      <c r="J341" s="254">
        <f>IF(ISBLANK(I341),0,ROUNDUP(D341/10,0)-E341-H341-F341-G341+VLOOKUP($D$2,Calcs!$A$23:$B$27,2,FALSE)+I341)</f>
        <v>0</v>
      </c>
      <c r="K341" s="245" t="str">
        <f>IF(ISBLANK(I341)," ",VLOOKUP(J341,Calcs!$A$82:$H$106,2,TRUE))</f>
        <v xml:space="preserve"> </v>
      </c>
      <c r="L341" s="245">
        <f>IF(ISBLANK(I341),0,VLOOKUP(J341,Calcs!$A$82:$F$106,5,TRUE))</f>
        <v>0</v>
      </c>
      <c r="M341" s="208">
        <f>IF(J341=13,IF(ISNUMBER(W340),VLOOKUP(W340+1,Calcs!$O$4:$Q$24,3,TRUE)-V340,5),IF(J341&lt;10,0,IF(J341&lt;18,1,IF(J341&lt;22,2,IF(ISNUMBER(W340),VLOOKUP(W340+1,Calcs!$O$4:$Q$24,3,TRUE)-V340,5)))))</f>
        <v>0</v>
      </c>
      <c r="N341" s="245" t="str">
        <f t="shared" si="38"/>
        <v xml:space="preserve"> </v>
      </c>
      <c r="O341" s="245" t="str">
        <f t="shared" si="38"/>
        <v xml:space="preserve"> </v>
      </c>
      <c r="P341" s="245" t="str">
        <f t="shared" si="38"/>
        <v xml:space="preserve"> </v>
      </c>
      <c r="Q341" s="245" t="str">
        <f t="shared" si="38"/>
        <v xml:space="preserve"> </v>
      </c>
      <c r="R341" s="245" t="str">
        <f t="shared" si="38"/>
        <v xml:space="preserve"> </v>
      </c>
      <c r="S341" s="245" t="str">
        <f t="shared" si="38"/>
        <v xml:space="preserve"> </v>
      </c>
      <c r="T341" s="245" t="str">
        <f t="shared" si="38"/>
        <v xml:space="preserve"> </v>
      </c>
      <c r="U341" s="245" t="str">
        <f t="shared" si="37"/>
        <v xml:space="preserve"> </v>
      </c>
      <c r="V341" s="208">
        <f>SUM($N$10:$U341)</f>
        <v>0</v>
      </c>
      <c r="W341" s="208">
        <f>VLOOKUP(V341,Calcs!$Q$4:$R$24,2,TRUE)</f>
        <v>0</v>
      </c>
      <c r="X341" s="435" t="str">
        <f t="shared" si="41"/>
        <v>No</v>
      </c>
      <c r="Y341" s="436"/>
      <c r="Z341" s="435">
        <f t="shared" si="42"/>
        <v>0</v>
      </c>
      <c r="AA341" s="245" t="str">
        <f>IF(AND(X341="Yes",NOT(ISBLANK(Z341))),VLOOKUP(Z341,Calcs!$Y$48:$Z$57,2,TRUE)," ")</f>
        <v xml:space="preserve"> </v>
      </c>
    </row>
    <row r="342" spans="1:27" x14ac:dyDescent="0.2">
      <c r="A342" s="425">
        <f t="shared" si="43"/>
        <v>368</v>
      </c>
      <c r="B342" s="425" t="str">
        <f t="shared" si="39"/>
        <v>Winter</v>
      </c>
      <c r="C342" s="247">
        <f>IF(B342="Winter",A342-('Start Character'!$K$6)-1,IF('Start Character'!$K$7&gt;6,A342-('Start Character'!$K$6)-1,A342-('Start Character'!$K$6)))</f>
        <v>367</v>
      </c>
      <c r="D342" s="247">
        <f t="shared" si="40"/>
        <v>367</v>
      </c>
      <c r="E342" s="246"/>
      <c r="F342" s="83"/>
      <c r="G342" s="83"/>
      <c r="H342" s="246"/>
      <c r="I342" s="433"/>
      <c r="J342" s="254">
        <f>IF(ISBLANK(I342),0,ROUNDUP(D342/10,0)-E342-H342-F342-G342+VLOOKUP($D$2,Calcs!$A$23:$B$27,2,FALSE)+I342)</f>
        <v>0</v>
      </c>
      <c r="K342" s="245" t="str">
        <f>IF(ISBLANK(I342)," ",VLOOKUP(J342,Calcs!$A$82:$H$106,2,TRUE))</f>
        <v xml:space="preserve"> </v>
      </c>
      <c r="L342" s="245">
        <f>IF(ISBLANK(I342),0,VLOOKUP(J342,Calcs!$A$82:$F$106,5,TRUE))</f>
        <v>0</v>
      </c>
      <c r="M342" s="208">
        <f>IF(J342=13,IF(ISNUMBER(W341),VLOOKUP(W341+1,Calcs!$O$4:$Q$24,3,TRUE)-V341,5),IF(J342&lt;10,0,IF(J342&lt;18,1,IF(J342&lt;22,2,IF(ISNUMBER(W341),VLOOKUP(W341+1,Calcs!$O$4:$Q$24,3,TRUE)-V341,5)))))</f>
        <v>0</v>
      </c>
      <c r="N342" s="245" t="str">
        <f t="shared" si="38"/>
        <v xml:space="preserve"> </v>
      </c>
      <c r="O342" s="245" t="str">
        <f t="shared" si="38"/>
        <v xml:space="preserve"> </v>
      </c>
      <c r="P342" s="245" t="str">
        <f t="shared" si="38"/>
        <v xml:space="preserve"> </v>
      </c>
      <c r="Q342" s="245" t="str">
        <f t="shared" si="38"/>
        <v xml:space="preserve"> </v>
      </c>
      <c r="R342" s="245" t="str">
        <f t="shared" si="38"/>
        <v xml:space="preserve"> </v>
      </c>
      <c r="S342" s="245" t="str">
        <f t="shared" si="38"/>
        <v xml:space="preserve"> </v>
      </c>
      <c r="T342" s="245" t="str">
        <f t="shared" si="38"/>
        <v xml:space="preserve"> </v>
      </c>
      <c r="U342" s="245" t="str">
        <f t="shared" si="37"/>
        <v xml:space="preserve"> </v>
      </c>
      <c r="V342" s="208">
        <f>SUM($N$10:$U342)</f>
        <v>0</v>
      </c>
      <c r="W342" s="208">
        <f>VLOOKUP(V342,Calcs!$Q$4:$R$24,2,TRUE)</f>
        <v>0</v>
      </c>
      <c r="X342" s="435" t="str">
        <f t="shared" si="41"/>
        <v>No</v>
      </c>
      <c r="Y342" s="436"/>
      <c r="Z342" s="435">
        <f t="shared" si="42"/>
        <v>0</v>
      </c>
      <c r="AA342" s="245" t="str">
        <f>IF(AND(X342="Yes",NOT(ISBLANK(Z342))),VLOOKUP(Z342,Calcs!$Y$48:$Z$57,2,TRUE)," ")</f>
        <v xml:space="preserve"> </v>
      </c>
    </row>
    <row r="343" spans="1:27" x14ac:dyDescent="0.2">
      <c r="A343" s="425">
        <f t="shared" si="43"/>
        <v>369</v>
      </c>
      <c r="B343" s="425" t="str">
        <f t="shared" si="39"/>
        <v>Winter</v>
      </c>
      <c r="C343" s="247">
        <f>IF(B343="Winter",A343-('Start Character'!$K$6)-1,IF('Start Character'!$K$7&gt;6,A343-('Start Character'!$K$6)-1,A343-('Start Character'!$K$6)))</f>
        <v>368</v>
      </c>
      <c r="D343" s="247">
        <f t="shared" si="40"/>
        <v>368</v>
      </c>
      <c r="E343" s="246"/>
      <c r="F343" s="83"/>
      <c r="G343" s="83"/>
      <c r="H343" s="246"/>
      <c r="I343" s="433"/>
      <c r="J343" s="254">
        <f>IF(ISBLANK(I343),0,ROUNDUP(D343/10,0)-E343-H343-F343-G343+VLOOKUP($D$2,Calcs!$A$23:$B$27,2,FALSE)+I343)</f>
        <v>0</v>
      </c>
      <c r="K343" s="245" t="str">
        <f>IF(ISBLANK(I343)," ",VLOOKUP(J343,Calcs!$A$82:$H$106,2,TRUE))</f>
        <v xml:space="preserve"> </v>
      </c>
      <c r="L343" s="245">
        <f>IF(ISBLANK(I343),0,VLOOKUP(J343,Calcs!$A$82:$F$106,5,TRUE))</f>
        <v>0</v>
      </c>
      <c r="M343" s="208">
        <f>IF(J343=13,IF(ISNUMBER(W342),VLOOKUP(W342+1,Calcs!$O$4:$Q$24,3,TRUE)-V342,5),IF(J343&lt;10,0,IF(J343&lt;18,1,IF(J343&lt;22,2,IF(ISNUMBER(W342),VLOOKUP(W342+1,Calcs!$O$4:$Q$24,3,TRUE)-V342,5)))))</f>
        <v>0</v>
      </c>
      <c r="N343" s="245" t="str">
        <f t="shared" si="38"/>
        <v xml:space="preserve"> </v>
      </c>
      <c r="O343" s="245" t="str">
        <f t="shared" si="38"/>
        <v xml:space="preserve"> </v>
      </c>
      <c r="P343" s="245" t="str">
        <f t="shared" si="38"/>
        <v xml:space="preserve"> </v>
      </c>
      <c r="Q343" s="245" t="str">
        <f t="shared" si="38"/>
        <v xml:space="preserve"> </v>
      </c>
      <c r="R343" s="245" t="str">
        <f t="shared" si="38"/>
        <v xml:space="preserve"> </v>
      </c>
      <c r="S343" s="245" t="str">
        <f t="shared" si="38"/>
        <v xml:space="preserve"> </v>
      </c>
      <c r="T343" s="245" t="str">
        <f t="shared" si="38"/>
        <v xml:space="preserve"> </v>
      </c>
      <c r="U343" s="245" t="str">
        <f t="shared" si="37"/>
        <v xml:space="preserve"> </v>
      </c>
      <c r="V343" s="208">
        <f>SUM($N$10:$U343)</f>
        <v>0</v>
      </c>
      <c r="W343" s="208">
        <f>VLOOKUP(V343,Calcs!$Q$4:$R$24,2,TRUE)</f>
        <v>0</v>
      </c>
      <c r="X343" s="435" t="str">
        <f t="shared" si="41"/>
        <v>No</v>
      </c>
      <c r="Y343" s="436"/>
      <c r="Z343" s="435">
        <f t="shared" si="42"/>
        <v>0</v>
      </c>
      <c r="AA343" s="245" t="str">
        <f>IF(AND(X343="Yes",NOT(ISBLANK(Z343))),VLOOKUP(Z343,Calcs!$Y$48:$Z$57,2,TRUE)," ")</f>
        <v xml:space="preserve"> </v>
      </c>
    </row>
    <row r="344" spans="1:27" x14ac:dyDescent="0.2">
      <c r="A344" s="425">
        <f t="shared" si="43"/>
        <v>370</v>
      </c>
      <c r="B344" s="425" t="str">
        <f t="shared" si="39"/>
        <v>Winter</v>
      </c>
      <c r="C344" s="247">
        <f>IF(B344="Winter",A344-('Start Character'!$K$6)-1,IF('Start Character'!$K$7&gt;6,A344-('Start Character'!$K$6)-1,A344-('Start Character'!$K$6)))</f>
        <v>369</v>
      </c>
      <c r="D344" s="247">
        <f t="shared" si="40"/>
        <v>369</v>
      </c>
      <c r="E344" s="246"/>
      <c r="F344" s="83"/>
      <c r="G344" s="83"/>
      <c r="H344" s="246"/>
      <c r="I344" s="433"/>
      <c r="J344" s="254">
        <f>IF(ISBLANK(I344),0,ROUNDUP(D344/10,0)-E344-H344-F344-G344+VLOOKUP($D$2,Calcs!$A$23:$B$27,2,FALSE)+I344)</f>
        <v>0</v>
      </c>
      <c r="K344" s="245" t="str">
        <f>IF(ISBLANK(I344)," ",VLOOKUP(J344,Calcs!$A$82:$H$106,2,TRUE))</f>
        <v xml:space="preserve"> </v>
      </c>
      <c r="L344" s="245">
        <f>IF(ISBLANK(I344),0,VLOOKUP(J344,Calcs!$A$82:$F$106,5,TRUE))</f>
        <v>0</v>
      </c>
      <c r="M344" s="208">
        <f>IF(J344=13,IF(ISNUMBER(W343),VLOOKUP(W343+1,Calcs!$O$4:$Q$24,3,TRUE)-V343,5),IF(J344&lt;10,0,IF(J344&lt;18,1,IF(J344&lt;22,2,IF(ISNUMBER(W343),VLOOKUP(W343+1,Calcs!$O$4:$Q$24,3,TRUE)-V343,5)))))</f>
        <v>0</v>
      </c>
      <c r="N344" s="245" t="str">
        <f t="shared" si="38"/>
        <v xml:space="preserve"> </v>
      </c>
      <c r="O344" s="245" t="str">
        <f t="shared" si="38"/>
        <v xml:space="preserve"> </v>
      </c>
      <c r="P344" s="245" t="str">
        <f t="shared" si="38"/>
        <v xml:space="preserve"> </v>
      </c>
      <c r="Q344" s="245" t="str">
        <f t="shared" si="38"/>
        <v xml:space="preserve"> </v>
      </c>
      <c r="R344" s="245" t="str">
        <f t="shared" si="38"/>
        <v xml:space="preserve"> </v>
      </c>
      <c r="S344" s="245" t="str">
        <f t="shared" si="38"/>
        <v xml:space="preserve"> </v>
      </c>
      <c r="T344" s="245" t="str">
        <f t="shared" si="38"/>
        <v xml:space="preserve"> </v>
      </c>
      <c r="U344" s="245" t="str">
        <f t="shared" si="37"/>
        <v xml:space="preserve"> </v>
      </c>
      <c r="V344" s="208">
        <f>SUM($N$10:$U344)</f>
        <v>0</v>
      </c>
      <c r="W344" s="208">
        <f>VLOOKUP(V344,Calcs!$Q$4:$R$24,2,TRUE)</f>
        <v>0</v>
      </c>
      <c r="X344" s="435" t="str">
        <f t="shared" si="41"/>
        <v>No</v>
      </c>
      <c r="Y344" s="436"/>
      <c r="Z344" s="435">
        <f t="shared" si="42"/>
        <v>0</v>
      </c>
      <c r="AA344" s="245" t="str">
        <f>IF(AND(X344="Yes",NOT(ISBLANK(Z344))),VLOOKUP(Z344,Calcs!$Y$48:$Z$57,2,TRUE)," ")</f>
        <v xml:space="preserve"> </v>
      </c>
    </row>
    <row r="345" spans="1:27" x14ac:dyDescent="0.2">
      <c r="A345" s="425">
        <f t="shared" si="43"/>
        <v>371</v>
      </c>
      <c r="B345" s="425" t="str">
        <f t="shared" si="39"/>
        <v>Winter</v>
      </c>
      <c r="C345" s="247">
        <f>IF(B345="Winter",A345-('Start Character'!$K$6)-1,IF('Start Character'!$K$7&gt;6,A345-('Start Character'!$K$6)-1,A345-('Start Character'!$K$6)))</f>
        <v>370</v>
      </c>
      <c r="D345" s="247">
        <f t="shared" si="40"/>
        <v>370</v>
      </c>
      <c r="E345" s="246"/>
      <c r="F345" s="83"/>
      <c r="G345" s="83"/>
      <c r="H345" s="246"/>
      <c r="I345" s="433"/>
      <c r="J345" s="254">
        <f>IF(ISBLANK(I345),0,ROUNDUP(D345/10,0)-E345-H345-F345-G345+VLOOKUP($D$2,Calcs!$A$23:$B$27,2,FALSE)+I345)</f>
        <v>0</v>
      </c>
      <c r="K345" s="245" t="str">
        <f>IF(ISBLANK(I345)," ",VLOOKUP(J345,Calcs!$A$82:$H$106,2,TRUE))</f>
        <v xml:space="preserve"> </v>
      </c>
      <c r="L345" s="245">
        <f>IF(ISBLANK(I345),0,VLOOKUP(J345,Calcs!$A$82:$F$106,5,TRUE))</f>
        <v>0</v>
      </c>
      <c r="M345" s="208">
        <f>IF(J345=13,IF(ISNUMBER(W344),VLOOKUP(W344+1,Calcs!$O$4:$Q$24,3,TRUE)-V344,5),IF(J345&lt;10,0,IF(J345&lt;18,1,IF(J345&lt;22,2,IF(ISNUMBER(W344),VLOOKUP(W344+1,Calcs!$O$4:$Q$24,3,TRUE)-V344,5)))))</f>
        <v>0</v>
      </c>
      <c r="N345" s="245" t="str">
        <f t="shared" si="38"/>
        <v xml:space="preserve"> </v>
      </c>
      <c r="O345" s="245" t="str">
        <f t="shared" si="38"/>
        <v xml:space="preserve"> </v>
      </c>
      <c r="P345" s="245" t="str">
        <f t="shared" si="38"/>
        <v xml:space="preserve"> </v>
      </c>
      <c r="Q345" s="245" t="str">
        <f t="shared" si="38"/>
        <v xml:space="preserve"> </v>
      </c>
      <c r="R345" s="245" t="str">
        <f t="shared" si="38"/>
        <v xml:space="preserve"> </v>
      </c>
      <c r="S345" s="245" t="str">
        <f t="shared" si="38"/>
        <v xml:space="preserve"> </v>
      </c>
      <c r="T345" s="245" t="str">
        <f t="shared" si="38"/>
        <v xml:space="preserve"> </v>
      </c>
      <c r="U345" s="245" t="str">
        <f t="shared" si="37"/>
        <v xml:space="preserve"> </v>
      </c>
      <c r="V345" s="208">
        <f>SUM($N$10:$U345)</f>
        <v>0</v>
      </c>
      <c r="W345" s="208">
        <f>VLOOKUP(V345,Calcs!$Q$4:$R$24,2,TRUE)</f>
        <v>0</v>
      </c>
      <c r="X345" s="435" t="str">
        <f t="shared" si="41"/>
        <v>No</v>
      </c>
      <c r="Y345" s="436"/>
      <c r="Z345" s="435">
        <f t="shared" si="42"/>
        <v>0</v>
      </c>
      <c r="AA345" s="245" t="str">
        <f>IF(AND(X345="Yes",NOT(ISBLANK(Z345))),VLOOKUP(Z345,Calcs!$Y$48:$Z$57,2,TRUE)," ")</f>
        <v xml:space="preserve"> </v>
      </c>
    </row>
    <row r="346" spans="1:27" x14ac:dyDescent="0.2">
      <c r="A346" s="425">
        <f t="shared" si="43"/>
        <v>372</v>
      </c>
      <c r="B346" s="425" t="str">
        <f t="shared" si="39"/>
        <v>Winter</v>
      </c>
      <c r="C346" s="247">
        <f>IF(B346="Winter",A346-('Start Character'!$K$6)-1,IF('Start Character'!$K$7&gt;6,A346-('Start Character'!$K$6)-1,A346-('Start Character'!$K$6)))</f>
        <v>371</v>
      </c>
      <c r="D346" s="247">
        <f t="shared" si="40"/>
        <v>371</v>
      </c>
      <c r="E346" s="246"/>
      <c r="F346" s="83"/>
      <c r="G346" s="83"/>
      <c r="H346" s="246"/>
      <c r="I346" s="433"/>
      <c r="J346" s="254">
        <f>IF(ISBLANK(I346),0,ROUNDUP(D346/10,0)-E346-H346-F346-G346+VLOOKUP($D$2,Calcs!$A$23:$B$27,2,FALSE)+I346)</f>
        <v>0</v>
      </c>
      <c r="K346" s="245" t="str">
        <f>IF(ISBLANK(I346)," ",VLOOKUP(J346,Calcs!$A$82:$H$106,2,TRUE))</f>
        <v xml:space="preserve"> </v>
      </c>
      <c r="L346" s="245">
        <f>IF(ISBLANK(I346),0,VLOOKUP(J346,Calcs!$A$82:$F$106,5,TRUE))</f>
        <v>0</v>
      </c>
      <c r="M346" s="208">
        <f>IF(J346=13,IF(ISNUMBER(W345),VLOOKUP(W345+1,Calcs!$O$4:$Q$24,3,TRUE)-V345,5),IF(J346&lt;10,0,IF(J346&lt;18,1,IF(J346&lt;22,2,IF(ISNUMBER(W345),VLOOKUP(W345+1,Calcs!$O$4:$Q$24,3,TRUE)-V345,5)))))</f>
        <v>0</v>
      </c>
      <c r="N346" s="245" t="str">
        <f t="shared" si="38"/>
        <v xml:space="preserve"> </v>
      </c>
      <c r="O346" s="245" t="str">
        <f t="shared" si="38"/>
        <v xml:space="preserve"> </v>
      </c>
      <c r="P346" s="245" t="str">
        <f t="shared" si="38"/>
        <v xml:space="preserve"> </v>
      </c>
      <c r="Q346" s="245" t="str">
        <f t="shared" si="38"/>
        <v xml:space="preserve"> </v>
      </c>
      <c r="R346" s="245" t="str">
        <f t="shared" si="38"/>
        <v xml:space="preserve"> </v>
      </c>
      <c r="S346" s="245" t="str">
        <f t="shared" si="38"/>
        <v xml:space="preserve"> </v>
      </c>
      <c r="T346" s="245" t="str">
        <f t="shared" si="38"/>
        <v xml:space="preserve"> </v>
      </c>
      <c r="U346" s="245" t="str">
        <f t="shared" si="37"/>
        <v xml:space="preserve"> </v>
      </c>
      <c r="V346" s="208">
        <f>SUM($N$10:$U346)</f>
        <v>0</v>
      </c>
      <c r="W346" s="208">
        <f>VLOOKUP(V346,Calcs!$Q$4:$R$24,2,TRUE)</f>
        <v>0</v>
      </c>
      <c r="X346" s="435" t="str">
        <f t="shared" si="41"/>
        <v>No</v>
      </c>
      <c r="Y346" s="436"/>
      <c r="Z346" s="435">
        <f t="shared" si="42"/>
        <v>0</v>
      </c>
      <c r="AA346" s="245" t="str">
        <f>IF(AND(X346="Yes",NOT(ISBLANK(Z346))),VLOOKUP(Z346,Calcs!$Y$48:$Z$57,2,TRUE)," ")</f>
        <v xml:space="preserve"> </v>
      </c>
    </row>
    <row r="347" spans="1:27" x14ac:dyDescent="0.2">
      <c r="A347" s="425">
        <f t="shared" si="43"/>
        <v>373</v>
      </c>
      <c r="B347" s="425" t="str">
        <f t="shared" si="39"/>
        <v>Winter</v>
      </c>
      <c r="C347" s="247">
        <f>IF(B347="Winter",A347-('Start Character'!$K$6)-1,IF('Start Character'!$K$7&gt;6,A347-('Start Character'!$K$6)-1,A347-('Start Character'!$K$6)))</f>
        <v>372</v>
      </c>
      <c r="D347" s="247">
        <f t="shared" si="40"/>
        <v>372</v>
      </c>
      <c r="E347" s="246"/>
      <c r="F347" s="83"/>
      <c r="G347" s="83"/>
      <c r="H347" s="246"/>
      <c r="I347" s="433"/>
      <c r="J347" s="254">
        <f>IF(ISBLANK(I347),0,ROUNDUP(D347/10,0)-E347-H347-F347-G347+VLOOKUP($D$2,Calcs!$A$23:$B$27,2,FALSE)+I347)</f>
        <v>0</v>
      </c>
      <c r="K347" s="245" t="str">
        <f>IF(ISBLANK(I347)," ",VLOOKUP(J347,Calcs!$A$82:$H$106,2,TRUE))</f>
        <v xml:space="preserve"> </v>
      </c>
      <c r="L347" s="245">
        <f>IF(ISBLANK(I347),0,VLOOKUP(J347,Calcs!$A$82:$F$106,5,TRUE))</f>
        <v>0</v>
      </c>
      <c r="M347" s="208">
        <f>IF(J347=13,IF(ISNUMBER(W346),VLOOKUP(W346+1,Calcs!$O$4:$Q$24,3,TRUE)-V346,5),IF(J347&lt;10,0,IF(J347&lt;18,1,IF(J347&lt;22,2,IF(ISNUMBER(W346),VLOOKUP(W346+1,Calcs!$O$4:$Q$24,3,TRUE)-V346,5)))))</f>
        <v>0</v>
      </c>
      <c r="N347" s="245" t="str">
        <f t="shared" si="38"/>
        <v xml:space="preserve"> </v>
      </c>
      <c r="O347" s="245" t="str">
        <f t="shared" si="38"/>
        <v xml:space="preserve"> </v>
      </c>
      <c r="P347" s="245" t="str">
        <f t="shared" si="38"/>
        <v xml:space="preserve"> </v>
      </c>
      <c r="Q347" s="245" t="str">
        <f t="shared" si="38"/>
        <v xml:space="preserve"> </v>
      </c>
      <c r="R347" s="245" t="str">
        <f t="shared" si="38"/>
        <v xml:space="preserve"> </v>
      </c>
      <c r="S347" s="245" t="str">
        <f t="shared" si="38"/>
        <v xml:space="preserve"> </v>
      </c>
      <c r="T347" s="245" t="str">
        <f t="shared" si="38"/>
        <v xml:space="preserve"> </v>
      </c>
      <c r="U347" s="245" t="str">
        <f t="shared" si="37"/>
        <v xml:space="preserve"> </v>
      </c>
      <c r="V347" s="208">
        <f>SUM($N$10:$U347)</f>
        <v>0</v>
      </c>
      <c r="W347" s="208">
        <f>VLOOKUP(V347,Calcs!$Q$4:$R$24,2,TRUE)</f>
        <v>0</v>
      </c>
      <c r="X347" s="435" t="str">
        <f t="shared" si="41"/>
        <v>No</v>
      </c>
      <c r="Y347" s="436"/>
      <c r="Z347" s="435">
        <f t="shared" si="42"/>
        <v>0</v>
      </c>
      <c r="AA347" s="245" t="str">
        <f>IF(AND(X347="Yes",NOT(ISBLANK(Z347))),VLOOKUP(Z347,Calcs!$Y$48:$Z$57,2,TRUE)," ")</f>
        <v xml:space="preserve"> </v>
      </c>
    </row>
    <row r="348" spans="1:27" x14ac:dyDescent="0.2">
      <c r="A348" s="425">
        <f t="shared" si="43"/>
        <v>374</v>
      </c>
      <c r="B348" s="425" t="str">
        <f t="shared" si="39"/>
        <v>Winter</v>
      </c>
      <c r="C348" s="247">
        <f>IF(B348="Winter",A348-('Start Character'!$K$6)-1,IF('Start Character'!$K$7&gt;6,A348-('Start Character'!$K$6)-1,A348-('Start Character'!$K$6)))</f>
        <v>373</v>
      </c>
      <c r="D348" s="247">
        <f t="shared" si="40"/>
        <v>373</v>
      </c>
      <c r="E348" s="246"/>
      <c r="F348" s="83"/>
      <c r="G348" s="83"/>
      <c r="H348" s="246"/>
      <c r="I348" s="433"/>
      <c r="J348" s="254">
        <f>IF(ISBLANK(I348),0,ROUNDUP(D348/10,0)-E348-H348-F348-G348+VLOOKUP($D$2,Calcs!$A$23:$B$27,2,FALSE)+I348)</f>
        <v>0</v>
      </c>
      <c r="K348" s="245" t="str">
        <f>IF(ISBLANK(I348)," ",VLOOKUP(J348,Calcs!$A$82:$H$106,2,TRUE))</f>
        <v xml:space="preserve"> </v>
      </c>
      <c r="L348" s="245">
        <f>IF(ISBLANK(I348),0,VLOOKUP(J348,Calcs!$A$82:$F$106,5,TRUE))</f>
        <v>0</v>
      </c>
      <c r="M348" s="208">
        <f>IF(J348=13,IF(ISNUMBER(W347),VLOOKUP(W347+1,Calcs!$O$4:$Q$24,3,TRUE)-V347,5),IF(J348&lt;10,0,IF(J348&lt;18,1,IF(J348&lt;22,2,IF(ISNUMBER(W347),VLOOKUP(W347+1,Calcs!$O$4:$Q$24,3,TRUE)-V347,5)))))</f>
        <v>0</v>
      </c>
      <c r="N348" s="245" t="str">
        <f t="shared" si="38"/>
        <v xml:space="preserve"> </v>
      </c>
      <c r="O348" s="245" t="str">
        <f t="shared" si="38"/>
        <v xml:space="preserve"> </v>
      </c>
      <c r="P348" s="245" t="str">
        <f t="shared" si="38"/>
        <v xml:space="preserve"> </v>
      </c>
      <c r="Q348" s="245" t="str">
        <f t="shared" si="38"/>
        <v xml:space="preserve"> </v>
      </c>
      <c r="R348" s="245" t="str">
        <f t="shared" si="38"/>
        <v xml:space="preserve"> </v>
      </c>
      <c r="S348" s="245" t="str">
        <f t="shared" si="38"/>
        <v xml:space="preserve"> </v>
      </c>
      <c r="T348" s="245" t="str">
        <f t="shared" si="38"/>
        <v xml:space="preserve"> </v>
      </c>
      <c r="U348" s="245" t="str">
        <f t="shared" si="37"/>
        <v xml:space="preserve"> </v>
      </c>
      <c r="V348" s="208">
        <f>SUM($N$10:$U348)</f>
        <v>0</v>
      </c>
      <c r="W348" s="208">
        <f>VLOOKUP(V348,Calcs!$Q$4:$R$24,2,TRUE)</f>
        <v>0</v>
      </c>
      <c r="X348" s="435" t="str">
        <f t="shared" si="41"/>
        <v>No</v>
      </c>
      <c r="Y348" s="436"/>
      <c r="Z348" s="435">
        <f t="shared" si="42"/>
        <v>0</v>
      </c>
      <c r="AA348" s="245" t="str">
        <f>IF(AND(X348="Yes",NOT(ISBLANK(Z348))),VLOOKUP(Z348,Calcs!$Y$48:$Z$57,2,TRUE)," ")</f>
        <v xml:space="preserve"> </v>
      </c>
    </row>
    <row r="349" spans="1:27" x14ac:dyDescent="0.2">
      <c r="A349" s="425">
        <f t="shared" si="43"/>
        <v>375</v>
      </c>
      <c r="B349" s="425" t="str">
        <f t="shared" si="39"/>
        <v>Winter</v>
      </c>
      <c r="C349" s="247">
        <f>IF(B349="Winter",A349-('Start Character'!$K$6)-1,IF('Start Character'!$K$7&gt;6,A349-('Start Character'!$K$6)-1,A349-('Start Character'!$K$6)))</f>
        <v>374</v>
      </c>
      <c r="D349" s="247">
        <f t="shared" si="40"/>
        <v>374</v>
      </c>
      <c r="E349" s="246"/>
      <c r="F349" s="83"/>
      <c r="G349" s="83"/>
      <c r="H349" s="246"/>
      <c r="I349" s="433"/>
      <c r="J349" s="254">
        <f>IF(ISBLANK(I349),0,ROUNDUP(D349/10,0)-E349-H349-F349-G349+VLOOKUP($D$2,Calcs!$A$23:$B$27,2,FALSE)+I349)</f>
        <v>0</v>
      </c>
      <c r="K349" s="245" t="str">
        <f>IF(ISBLANK(I349)," ",VLOOKUP(J349,Calcs!$A$82:$H$106,2,TRUE))</f>
        <v xml:space="preserve"> </v>
      </c>
      <c r="L349" s="245">
        <f>IF(ISBLANK(I349),0,VLOOKUP(J349,Calcs!$A$82:$F$106,5,TRUE))</f>
        <v>0</v>
      </c>
      <c r="M349" s="208">
        <f>IF(J349=13,IF(ISNUMBER(W348),VLOOKUP(W348+1,Calcs!$O$4:$Q$24,3,TRUE)-V348,5),IF(J349&lt;10,0,IF(J349&lt;18,1,IF(J349&lt;22,2,IF(ISNUMBER(W348),VLOOKUP(W348+1,Calcs!$O$4:$Q$24,3,TRUE)-V348,5)))))</f>
        <v>0</v>
      </c>
      <c r="N349" s="245" t="str">
        <f t="shared" si="38"/>
        <v xml:space="preserve"> </v>
      </c>
      <c r="O349" s="245" t="str">
        <f t="shared" si="38"/>
        <v xml:space="preserve"> </v>
      </c>
      <c r="P349" s="245" t="str">
        <f t="shared" si="38"/>
        <v xml:space="preserve"> </v>
      </c>
      <c r="Q349" s="245" t="str">
        <f t="shared" si="38"/>
        <v xml:space="preserve"> </v>
      </c>
      <c r="R349" s="245" t="str">
        <f t="shared" si="38"/>
        <v xml:space="preserve"> </v>
      </c>
      <c r="S349" s="245" t="str">
        <f t="shared" si="38"/>
        <v xml:space="preserve"> </v>
      </c>
      <c r="T349" s="245" t="str">
        <f t="shared" si="38"/>
        <v xml:space="preserve"> </v>
      </c>
      <c r="U349" s="245" t="str">
        <f t="shared" si="37"/>
        <v xml:space="preserve"> </v>
      </c>
      <c r="V349" s="208">
        <f>SUM($N$10:$U349)</f>
        <v>0</v>
      </c>
      <c r="W349" s="208">
        <f>VLOOKUP(V349,Calcs!$Q$4:$R$24,2,TRUE)</f>
        <v>0</v>
      </c>
      <c r="X349" s="435" t="str">
        <f t="shared" si="41"/>
        <v>No</v>
      </c>
      <c r="Y349" s="436"/>
      <c r="Z349" s="435">
        <f t="shared" si="42"/>
        <v>0</v>
      </c>
      <c r="AA349" s="245" t="str">
        <f>IF(AND(X349="Yes",NOT(ISBLANK(Z349))),VLOOKUP(Z349,Calcs!$Y$48:$Z$57,2,TRUE)," ")</f>
        <v xml:space="preserve"> </v>
      </c>
    </row>
    <row r="350" spans="1:27" x14ac:dyDescent="0.2">
      <c r="A350" s="425">
        <f t="shared" si="43"/>
        <v>376</v>
      </c>
      <c r="B350" s="425" t="str">
        <f t="shared" si="39"/>
        <v>Winter</v>
      </c>
      <c r="C350" s="247">
        <f>IF(B350="Winter",A350-('Start Character'!$K$6)-1,IF('Start Character'!$K$7&gt;6,A350-('Start Character'!$K$6)-1,A350-('Start Character'!$K$6)))</f>
        <v>375</v>
      </c>
      <c r="D350" s="247">
        <f t="shared" si="40"/>
        <v>375</v>
      </c>
      <c r="E350" s="246"/>
      <c r="F350" s="83"/>
      <c r="G350" s="83"/>
      <c r="H350" s="246"/>
      <c r="I350" s="433"/>
      <c r="J350" s="254">
        <f>IF(ISBLANK(I350),0,ROUNDUP(D350/10,0)-E350-H350-F350-G350+VLOOKUP($D$2,Calcs!$A$23:$B$27,2,FALSE)+I350)</f>
        <v>0</v>
      </c>
      <c r="K350" s="245" t="str">
        <f>IF(ISBLANK(I350)," ",VLOOKUP(J350,Calcs!$A$82:$H$106,2,TRUE))</f>
        <v xml:space="preserve"> </v>
      </c>
      <c r="L350" s="245">
        <f>IF(ISBLANK(I350),0,VLOOKUP(J350,Calcs!$A$82:$F$106,5,TRUE))</f>
        <v>0</v>
      </c>
      <c r="M350" s="208">
        <f>IF(J350=13,IF(ISNUMBER(W349),VLOOKUP(W349+1,Calcs!$O$4:$Q$24,3,TRUE)-V349,5),IF(J350&lt;10,0,IF(J350&lt;18,1,IF(J350&lt;22,2,IF(ISNUMBER(W349),VLOOKUP(W349+1,Calcs!$O$4:$Q$24,3,TRUE)-V349,5)))))</f>
        <v>0</v>
      </c>
      <c r="N350" s="245" t="str">
        <f t="shared" si="38"/>
        <v xml:space="preserve"> </v>
      </c>
      <c r="O350" s="245" t="str">
        <f t="shared" si="38"/>
        <v xml:space="preserve"> </v>
      </c>
      <c r="P350" s="245" t="str">
        <f t="shared" si="38"/>
        <v xml:space="preserve"> </v>
      </c>
      <c r="Q350" s="245" t="str">
        <f t="shared" si="38"/>
        <v xml:space="preserve"> </v>
      </c>
      <c r="R350" s="245" t="str">
        <f t="shared" si="38"/>
        <v xml:space="preserve"> </v>
      </c>
      <c r="S350" s="245" t="str">
        <f t="shared" si="38"/>
        <v xml:space="preserve"> </v>
      </c>
      <c r="T350" s="245" t="str">
        <f t="shared" si="38"/>
        <v xml:space="preserve"> </v>
      </c>
      <c r="U350" s="245" t="str">
        <f t="shared" si="37"/>
        <v xml:space="preserve"> </v>
      </c>
      <c r="V350" s="208">
        <f>SUM($N$10:$U350)</f>
        <v>0</v>
      </c>
      <c r="W350" s="208">
        <f>VLOOKUP(V350,Calcs!$Q$4:$R$24,2,TRUE)</f>
        <v>0</v>
      </c>
      <c r="X350" s="435" t="str">
        <f t="shared" si="41"/>
        <v>No</v>
      </c>
      <c r="Y350" s="436"/>
      <c r="Z350" s="435">
        <f t="shared" si="42"/>
        <v>0</v>
      </c>
      <c r="AA350" s="245" t="str">
        <f>IF(AND(X350="Yes",NOT(ISBLANK(Z350))),VLOOKUP(Z350,Calcs!$Y$48:$Z$57,2,TRUE)," ")</f>
        <v xml:space="preserve"> </v>
      </c>
    </row>
    <row r="351" spans="1:27" x14ac:dyDescent="0.2">
      <c r="A351" s="425">
        <f t="shared" si="43"/>
        <v>377</v>
      </c>
      <c r="B351" s="425" t="str">
        <f t="shared" si="39"/>
        <v>Winter</v>
      </c>
      <c r="C351" s="247">
        <f>IF(B351="Winter",A351-('Start Character'!$K$6)-1,IF('Start Character'!$K$7&gt;6,A351-('Start Character'!$K$6)-1,A351-('Start Character'!$K$6)))</f>
        <v>376</v>
      </c>
      <c r="D351" s="247">
        <f t="shared" si="40"/>
        <v>376</v>
      </c>
      <c r="E351" s="246"/>
      <c r="F351" s="83"/>
      <c r="G351" s="83"/>
      <c r="H351" s="246"/>
      <c r="I351" s="433"/>
      <c r="J351" s="254">
        <f>IF(ISBLANK(I351),0,ROUNDUP(D351/10,0)-E351-H351-F351-G351+VLOOKUP($D$2,Calcs!$A$23:$B$27,2,FALSE)+I351)</f>
        <v>0</v>
      </c>
      <c r="K351" s="245" t="str">
        <f>IF(ISBLANK(I351)," ",VLOOKUP(J351,Calcs!$A$82:$H$106,2,TRUE))</f>
        <v xml:space="preserve"> </v>
      </c>
      <c r="L351" s="245">
        <f>IF(ISBLANK(I351),0,VLOOKUP(J351,Calcs!$A$82:$F$106,5,TRUE))</f>
        <v>0</v>
      </c>
      <c r="M351" s="208">
        <f>IF(J351=13,IF(ISNUMBER(W350),VLOOKUP(W350+1,Calcs!$O$4:$Q$24,3,TRUE)-V350,5),IF(J351&lt;10,0,IF(J351&lt;18,1,IF(J351&lt;22,2,IF(ISNUMBER(W350),VLOOKUP(W350+1,Calcs!$O$4:$Q$24,3,TRUE)-V350,5)))))</f>
        <v>0</v>
      </c>
      <c r="N351" s="245" t="str">
        <f t="shared" si="38"/>
        <v xml:space="preserve"> </v>
      </c>
      <c r="O351" s="245" t="str">
        <f t="shared" si="38"/>
        <v xml:space="preserve"> </v>
      </c>
      <c r="P351" s="245" t="str">
        <f t="shared" si="38"/>
        <v xml:space="preserve"> </v>
      </c>
      <c r="Q351" s="245" t="str">
        <f t="shared" si="38"/>
        <v xml:space="preserve"> </v>
      </c>
      <c r="R351" s="245" t="str">
        <f t="shared" si="38"/>
        <v xml:space="preserve"> </v>
      </c>
      <c r="S351" s="245" t="str">
        <f t="shared" si="38"/>
        <v xml:space="preserve"> </v>
      </c>
      <c r="T351" s="245" t="str">
        <f t="shared" si="38"/>
        <v xml:space="preserve"> </v>
      </c>
      <c r="U351" s="245" t="str">
        <f t="shared" si="37"/>
        <v xml:space="preserve"> </v>
      </c>
      <c r="V351" s="208">
        <f>SUM($N$10:$U351)</f>
        <v>0</v>
      </c>
      <c r="W351" s="208">
        <f>VLOOKUP(V351,Calcs!$Q$4:$R$24,2,TRUE)</f>
        <v>0</v>
      </c>
      <c r="X351" s="435" t="str">
        <f t="shared" si="41"/>
        <v>No</v>
      </c>
      <c r="Y351" s="436"/>
      <c r="Z351" s="435">
        <f t="shared" si="42"/>
        <v>0</v>
      </c>
      <c r="AA351" s="245" t="str">
        <f>IF(AND(X351="Yes",NOT(ISBLANK(Z351))),VLOOKUP(Z351,Calcs!$Y$48:$Z$57,2,TRUE)," ")</f>
        <v xml:space="preserve"> </v>
      </c>
    </row>
    <row r="352" spans="1:27" x14ac:dyDescent="0.2">
      <c r="A352" s="425">
        <f t="shared" si="43"/>
        <v>378</v>
      </c>
      <c r="B352" s="425" t="str">
        <f t="shared" si="39"/>
        <v>Winter</v>
      </c>
      <c r="C352" s="247">
        <f>IF(B352="Winter",A352-('Start Character'!$K$6)-1,IF('Start Character'!$K$7&gt;6,A352-('Start Character'!$K$6)-1,A352-('Start Character'!$K$6)))</f>
        <v>377</v>
      </c>
      <c r="D352" s="247">
        <f t="shared" si="40"/>
        <v>377</v>
      </c>
      <c r="E352" s="246"/>
      <c r="F352" s="83"/>
      <c r="G352" s="83"/>
      <c r="H352" s="246"/>
      <c r="I352" s="433"/>
      <c r="J352" s="254">
        <f>IF(ISBLANK(I352),0,ROUNDUP(D352/10,0)-E352-H352-F352-G352+VLOOKUP($D$2,Calcs!$A$23:$B$27,2,FALSE)+I352)</f>
        <v>0</v>
      </c>
      <c r="K352" s="245" t="str">
        <f>IF(ISBLANK(I352)," ",VLOOKUP(J352,Calcs!$A$82:$H$106,2,TRUE))</f>
        <v xml:space="preserve"> </v>
      </c>
      <c r="L352" s="245">
        <f>IF(ISBLANK(I352),0,VLOOKUP(J352,Calcs!$A$82:$F$106,5,TRUE))</f>
        <v>0</v>
      </c>
      <c r="M352" s="208">
        <f>IF(J352=13,IF(ISNUMBER(W351),VLOOKUP(W351+1,Calcs!$O$4:$Q$24,3,TRUE)-V351,5),IF(J352&lt;10,0,IF(J352&lt;18,1,IF(J352&lt;22,2,IF(ISNUMBER(W351),VLOOKUP(W351+1,Calcs!$O$4:$Q$24,3,TRUE)-V351,5)))))</f>
        <v>0</v>
      </c>
      <c r="N352" s="245" t="str">
        <f t="shared" si="38"/>
        <v xml:space="preserve"> </v>
      </c>
      <c r="O352" s="245" t="str">
        <f t="shared" si="38"/>
        <v xml:space="preserve"> </v>
      </c>
      <c r="P352" s="245" t="str">
        <f t="shared" si="38"/>
        <v xml:space="preserve"> </v>
      </c>
      <c r="Q352" s="245" t="str">
        <f t="shared" si="38"/>
        <v xml:space="preserve"> </v>
      </c>
      <c r="R352" s="245" t="str">
        <f t="shared" si="38"/>
        <v xml:space="preserve"> </v>
      </c>
      <c r="S352" s="245" t="str">
        <f t="shared" si="38"/>
        <v xml:space="preserve"> </v>
      </c>
      <c r="T352" s="245" t="str">
        <f t="shared" si="38"/>
        <v xml:space="preserve"> </v>
      </c>
      <c r="U352" s="245" t="str">
        <f t="shared" si="37"/>
        <v xml:space="preserve"> </v>
      </c>
      <c r="V352" s="208">
        <f>SUM($N$10:$U352)</f>
        <v>0</v>
      </c>
      <c r="W352" s="208">
        <f>VLOOKUP(V352,Calcs!$Q$4:$R$24,2,TRUE)</f>
        <v>0</v>
      </c>
      <c r="X352" s="435" t="str">
        <f t="shared" si="41"/>
        <v>No</v>
      </c>
      <c r="Y352" s="436"/>
      <c r="Z352" s="435">
        <f t="shared" si="42"/>
        <v>0</v>
      </c>
      <c r="AA352" s="245" t="str">
        <f>IF(AND(X352="Yes",NOT(ISBLANK(Z352))),VLOOKUP(Z352,Calcs!$Y$48:$Z$57,2,TRUE)," ")</f>
        <v xml:space="preserve"> </v>
      </c>
    </row>
    <row r="353" spans="1:27" x14ac:dyDescent="0.2">
      <c r="A353" s="425">
        <f t="shared" si="43"/>
        <v>379</v>
      </c>
      <c r="B353" s="425" t="str">
        <f t="shared" si="39"/>
        <v>Winter</v>
      </c>
      <c r="C353" s="247">
        <f>IF(B353="Winter",A353-('Start Character'!$K$6)-1,IF('Start Character'!$K$7&gt;6,A353-('Start Character'!$K$6)-1,A353-('Start Character'!$K$6)))</f>
        <v>378</v>
      </c>
      <c r="D353" s="247">
        <f t="shared" si="40"/>
        <v>378</v>
      </c>
      <c r="E353" s="246"/>
      <c r="F353" s="83"/>
      <c r="G353" s="83"/>
      <c r="H353" s="246"/>
      <c r="I353" s="433"/>
      <c r="J353" s="254">
        <f>IF(ISBLANK(I353),0,ROUNDUP(D353/10,0)-E353-H353-F353-G353+VLOOKUP($D$2,Calcs!$A$23:$B$27,2,FALSE)+I353)</f>
        <v>0</v>
      </c>
      <c r="K353" s="245" t="str">
        <f>IF(ISBLANK(I353)," ",VLOOKUP(J353,Calcs!$A$82:$H$106,2,TRUE))</f>
        <v xml:space="preserve"> </v>
      </c>
      <c r="L353" s="245">
        <f>IF(ISBLANK(I353),0,VLOOKUP(J353,Calcs!$A$82:$F$106,5,TRUE))</f>
        <v>0</v>
      </c>
      <c r="M353" s="208">
        <f>IF(J353=13,IF(ISNUMBER(W352),VLOOKUP(W352+1,Calcs!$O$4:$Q$24,3,TRUE)-V352,5),IF(J353&lt;10,0,IF(J353&lt;18,1,IF(J353&lt;22,2,IF(ISNUMBER(W352),VLOOKUP(W352+1,Calcs!$O$4:$Q$24,3,TRUE)-V352,5)))))</f>
        <v>0</v>
      </c>
      <c r="N353" s="245" t="str">
        <f t="shared" si="38"/>
        <v xml:space="preserve"> </v>
      </c>
      <c r="O353" s="245" t="str">
        <f t="shared" si="38"/>
        <v xml:space="preserve"> </v>
      </c>
      <c r="P353" s="245" t="str">
        <f t="shared" si="38"/>
        <v xml:space="preserve"> </v>
      </c>
      <c r="Q353" s="245" t="str">
        <f t="shared" si="38"/>
        <v xml:space="preserve"> </v>
      </c>
      <c r="R353" s="245" t="str">
        <f t="shared" si="38"/>
        <v xml:space="preserve"> </v>
      </c>
      <c r="S353" s="245" t="str">
        <f t="shared" si="38"/>
        <v xml:space="preserve"> </v>
      </c>
      <c r="T353" s="245" t="str">
        <f t="shared" si="38"/>
        <v xml:space="preserve"> </v>
      </c>
      <c r="U353" s="245" t="str">
        <f t="shared" si="37"/>
        <v xml:space="preserve"> </v>
      </c>
      <c r="V353" s="208">
        <f>SUM($N$10:$U353)</f>
        <v>0</v>
      </c>
      <c r="W353" s="208">
        <f>VLOOKUP(V353,Calcs!$Q$4:$R$24,2,TRUE)</f>
        <v>0</v>
      </c>
      <c r="X353" s="435" t="str">
        <f t="shared" si="41"/>
        <v>No</v>
      </c>
      <c r="Y353" s="436"/>
      <c r="Z353" s="435">
        <f t="shared" si="42"/>
        <v>0</v>
      </c>
      <c r="AA353" s="245" t="str">
        <f>IF(AND(X353="Yes",NOT(ISBLANK(Z353))),VLOOKUP(Z353,Calcs!$Y$48:$Z$57,2,TRUE)," ")</f>
        <v xml:space="preserve"> </v>
      </c>
    </row>
    <row r="354" spans="1:27" x14ac:dyDescent="0.2">
      <c r="A354" s="425">
        <f t="shared" si="43"/>
        <v>380</v>
      </c>
      <c r="B354" s="425" t="str">
        <f t="shared" si="39"/>
        <v>Winter</v>
      </c>
      <c r="C354" s="247">
        <f>IF(B354="Winter",A354-('Start Character'!$K$6)-1,IF('Start Character'!$K$7&gt;6,A354-('Start Character'!$K$6)-1,A354-('Start Character'!$K$6)))</f>
        <v>379</v>
      </c>
      <c r="D354" s="247">
        <f t="shared" si="40"/>
        <v>379</v>
      </c>
      <c r="E354" s="246"/>
      <c r="F354" s="83"/>
      <c r="G354" s="83"/>
      <c r="H354" s="246"/>
      <c r="I354" s="433"/>
      <c r="J354" s="254">
        <f>IF(ISBLANK(I354),0,ROUNDUP(D354/10,0)-E354-H354-F354-G354+VLOOKUP($D$2,Calcs!$A$23:$B$27,2,FALSE)+I354)</f>
        <v>0</v>
      </c>
      <c r="K354" s="245" t="str">
        <f>IF(ISBLANK(I354)," ",VLOOKUP(J354,Calcs!$A$82:$H$106,2,TRUE))</f>
        <v xml:space="preserve"> </v>
      </c>
      <c r="L354" s="245">
        <f>IF(ISBLANK(I354),0,VLOOKUP(J354,Calcs!$A$82:$F$106,5,TRUE))</f>
        <v>0</v>
      </c>
      <c r="M354" s="208">
        <f>IF(J354=13,IF(ISNUMBER(W353),VLOOKUP(W353+1,Calcs!$O$4:$Q$24,3,TRUE)-V353,5),IF(J354&lt;10,0,IF(J354&lt;18,1,IF(J354&lt;22,2,IF(ISNUMBER(W353),VLOOKUP(W353+1,Calcs!$O$4:$Q$24,3,TRUE)-V353,5)))))</f>
        <v>0</v>
      </c>
      <c r="N354" s="245" t="str">
        <f t="shared" si="38"/>
        <v xml:space="preserve"> </v>
      </c>
      <c r="O354" s="245" t="str">
        <f t="shared" si="38"/>
        <v xml:space="preserve"> </v>
      </c>
      <c r="P354" s="245" t="str">
        <f t="shared" si="38"/>
        <v xml:space="preserve"> </v>
      </c>
      <c r="Q354" s="245" t="str">
        <f t="shared" si="38"/>
        <v xml:space="preserve"> </v>
      </c>
      <c r="R354" s="245" t="str">
        <f t="shared" si="38"/>
        <v xml:space="preserve"> </v>
      </c>
      <c r="S354" s="245" t="str">
        <f t="shared" si="38"/>
        <v xml:space="preserve"> </v>
      </c>
      <c r="T354" s="245" t="str">
        <f t="shared" si="38"/>
        <v xml:space="preserve"> </v>
      </c>
      <c r="U354" s="245" t="str">
        <f t="shared" si="37"/>
        <v xml:space="preserve"> </v>
      </c>
      <c r="V354" s="208">
        <f>SUM($N$10:$U354)</f>
        <v>0</v>
      </c>
      <c r="W354" s="208">
        <f>VLOOKUP(V354,Calcs!$Q$4:$R$24,2,TRUE)</f>
        <v>0</v>
      </c>
      <c r="X354" s="435" t="str">
        <f t="shared" si="41"/>
        <v>No</v>
      </c>
      <c r="Y354" s="436"/>
      <c r="Z354" s="435">
        <f t="shared" si="42"/>
        <v>0</v>
      </c>
      <c r="AA354" s="245" t="str">
        <f>IF(AND(X354="Yes",NOT(ISBLANK(Z354))),VLOOKUP(Z354,Calcs!$Y$48:$Z$57,2,TRUE)," ")</f>
        <v xml:space="preserve"> </v>
      </c>
    </row>
    <row r="355" spans="1:27" x14ac:dyDescent="0.2">
      <c r="A355" s="425">
        <f t="shared" si="43"/>
        <v>381</v>
      </c>
      <c r="B355" s="425" t="str">
        <f t="shared" si="39"/>
        <v>Winter</v>
      </c>
      <c r="C355" s="247">
        <f>IF(B355="Winter",A355-('Start Character'!$K$6)-1,IF('Start Character'!$K$7&gt;6,A355-('Start Character'!$K$6)-1,A355-('Start Character'!$K$6)))</f>
        <v>380</v>
      </c>
      <c r="D355" s="247">
        <f t="shared" si="40"/>
        <v>380</v>
      </c>
      <c r="E355" s="246"/>
      <c r="F355" s="83"/>
      <c r="G355" s="83"/>
      <c r="H355" s="246"/>
      <c r="I355" s="433"/>
      <c r="J355" s="254">
        <f>IF(ISBLANK(I355),0,ROUNDUP(D355/10,0)-E355-H355-F355-G355+VLOOKUP($D$2,Calcs!$A$23:$B$27,2,FALSE)+I355)</f>
        <v>0</v>
      </c>
      <c r="K355" s="245" t="str">
        <f>IF(ISBLANK(I355)," ",VLOOKUP(J355,Calcs!$A$82:$H$106,2,TRUE))</f>
        <v xml:space="preserve"> </v>
      </c>
      <c r="L355" s="245">
        <f>IF(ISBLANK(I355),0,VLOOKUP(J355,Calcs!$A$82:$F$106,5,TRUE))</f>
        <v>0</v>
      </c>
      <c r="M355" s="208">
        <f>IF(J355=13,IF(ISNUMBER(W354),VLOOKUP(W354+1,Calcs!$O$4:$Q$24,3,TRUE)-V354,5),IF(J355&lt;10,0,IF(J355&lt;18,1,IF(J355&lt;22,2,IF(ISNUMBER(W354),VLOOKUP(W354+1,Calcs!$O$4:$Q$24,3,TRUE)-V354,5)))))</f>
        <v>0</v>
      </c>
      <c r="N355" s="245" t="str">
        <f t="shared" si="38"/>
        <v xml:space="preserve"> </v>
      </c>
      <c r="O355" s="245" t="str">
        <f t="shared" si="38"/>
        <v xml:space="preserve"> </v>
      </c>
      <c r="P355" s="245" t="str">
        <f t="shared" si="38"/>
        <v xml:space="preserve"> </v>
      </c>
      <c r="Q355" s="245" t="str">
        <f t="shared" si="38"/>
        <v xml:space="preserve"> </v>
      </c>
      <c r="R355" s="245" t="str">
        <f t="shared" si="38"/>
        <v xml:space="preserve"> </v>
      </c>
      <c r="S355" s="245" t="str">
        <f t="shared" si="38"/>
        <v xml:space="preserve"> </v>
      </c>
      <c r="T355" s="245" t="str">
        <f t="shared" si="38"/>
        <v xml:space="preserve"> </v>
      </c>
      <c r="U355" s="245" t="str">
        <f t="shared" si="37"/>
        <v xml:space="preserve"> </v>
      </c>
      <c r="V355" s="208">
        <f>SUM($N$10:$U355)</f>
        <v>0</v>
      </c>
      <c r="W355" s="208">
        <f>VLOOKUP(V355,Calcs!$Q$4:$R$24,2,TRUE)</f>
        <v>0</v>
      </c>
      <c r="X355" s="435" t="str">
        <f t="shared" si="41"/>
        <v>No</v>
      </c>
      <c r="Y355" s="436"/>
      <c r="Z355" s="435">
        <f t="shared" si="42"/>
        <v>0</v>
      </c>
      <c r="AA355" s="245" t="str">
        <f>IF(AND(X355="Yes",NOT(ISBLANK(Z355))),VLOOKUP(Z355,Calcs!$Y$48:$Z$57,2,TRUE)," ")</f>
        <v xml:space="preserve"> </v>
      </c>
    </row>
    <row r="356" spans="1:27" x14ac:dyDescent="0.2">
      <c r="A356" s="425">
        <f t="shared" si="43"/>
        <v>382</v>
      </c>
      <c r="B356" s="425" t="str">
        <f t="shared" si="39"/>
        <v>Winter</v>
      </c>
      <c r="C356" s="247">
        <f>IF(B356="Winter",A356-('Start Character'!$K$6)-1,IF('Start Character'!$K$7&gt;6,A356-('Start Character'!$K$6)-1,A356-('Start Character'!$K$6)))</f>
        <v>381</v>
      </c>
      <c r="D356" s="247">
        <f t="shared" si="40"/>
        <v>381</v>
      </c>
      <c r="E356" s="246"/>
      <c r="F356" s="83"/>
      <c r="G356" s="83"/>
      <c r="H356" s="246"/>
      <c r="I356" s="433"/>
      <c r="J356" s="254">
        <f>IF(ISBLANK(I356),0,ROUNDUP(D356/10,0)-E356-H356-F356-G356+VLOOKUP($D$2,Calcs!$A$23:$B$27,2,FALSE)+I356)</f>
        <v>0</v>
      </c>
      <c r="K356" s="245" t="str">
        <f>IF(ISBLANK(I356)," ",VLOOKUP(J356,Calcs!$A$82:$H$106,2,TRUE))</f>
        <v xml:space="preserve"> </v>
      </c>
      <c r="L356" s="245">
        <f>IF(ISBLANK(I356),0,VLOOKUP(J356,Calcs!$A$82:$F$106,5,TRUE))</f>
        <v>0</v>
      </c>
      <c r="M356" s="208">
        <f>IF(J356=13,IF(ISNUMBER(W355),VLOOKUP(W355+1,Calcs!$O$4:$Q$24,3,TRUE)-V355,5),IF(J356&lt;10,0,IF(J356&lt;18,1,IF(J356&lt;22,2,IF(ISNUMBER(W355),VLOOKUP(W355+1,Calcs!$O$4:$Q$24,3,TRUE)-V355,5)))))</f>
        <v>0</v>
      </c>
      <c r="N356" s="245" t="str">
        <f t="shared" si="38"/>
        <v xml:space="preserve"> </v>
      </c>
      <c r="O356" s="245" t="str">
        <f t="shared" si="38"/>
        <v xml:space="preserve"> </v>
      </c>
      <c r="P356" s="245" t="str">
        <f t="shared" si="38"/>
        <v xml:space="preserve"> </v>
      </c>
      <c r="Q356" s="245" t="str">
        <f t="shared" si="38"/>
        <v xml:space="preserve"> </v>
      </c>
      <c r="R356" s="245" t="str">
        <f t="shared" si="38"/>
        <v xml:space="preserve"> </v>
      </c>
      <c r="S356" s="245" t="str">
        <f t="shared" si="38"/>
        <v xml:space="preserve"> </v>
      </c>
      <c r="T356" s="245" t="str">
        <f t="shared" si="38"/>
        <v xml:space="preserve"> </v>
      </c>
      <c r="U356" s="245" t="str">
        <f t="shared" si="37"/>
        <v xml:space="preserve"> </v>
      </c>
      <c r="V356" s="208">
        <f>SUM($N$10:$U356)</f>
        <v>0</v>
      </c>
      <c r="W356" s="208">
        <f>VLOOKUP(V356,Calcs!$Q$4:$R$24,2,TRUE)</f>
        <v>0</v>
      </c>
      <c r="X356" s="435" t="str">
        <f t="shared" si="41"/>
        <v>No</v>
      </c>
      <c r="Y356" s="436"/>
      <c r="Z356" s="435">
        <f t="shared" si="42"/>
        <v>0</v>
      </c>
      <c r="AA356" s="245" t="str">
        <f>IF(AND(X356="Yes",NOT(ISBLANK(Z356))),VLOOKUP(Z356,Calcs!$Y$48:$Z$57,2,TRUE)," ")</f>
        <v xml:space="preserve"> </v>
      </c>
    </row>
    <row r="357" spans="1:27" x14ac:dyDescent="0.2">
      <c r="A357" s="425">
        <f t="shared" si="43"/>
        <v>383</v>
      </c>
      <c r="B357" s="425" t="str">
        <f t="shared" si="39"/>
        <v>Winter</v>
      </c>
      <c r="C357" s="247">
        <f>IF(B357="Winter",A357-('Start Character'!$K$6)-1,IF('Start Character'!$K$7&gt;6,A357-('Start Character'!$K$6)-1,A357-('Start Character'!$K$6)))</f>
        <v>382</v>
      </c>
      <c r="D357" s="247">
        <f t="shared" si="40"/>
        <v>382</v>
      </c>
      <c r="E357" s="246"/>
      <c r="F357" s="83"/>
      <c r="G357" s="83"/>
      <c r="H357" s="246"/>
      <c r="I357" s="433"/>
      <c r="J357" s="254">
        <f>IF(ISBLANK(I357),0,ROUNDUP(D357/10,0)-E357-H357-F357-G357+VLOOKUP($D$2,Calcs!$A$23:$B$27,2,FALSE)+I357)</f>
        <v>0</v>
      </c>
      <c r="K357" s="245" t="str">
        <f>IF(ISBLANK(I357)," ",VLOOKUP(J357,Calcs!$A$82:$H$106,2,TRUE))</f>
        <v xml:space="preserve"> </v>
      </c>
      <c r="L357" s="245">
        <f>IF(ISBLANK(I357),0,VLOOKUP(J357,Calcs!$A$82:$F$106,5,TRUE))</f>
        <v>0</v>
      </c>
      <c r="M357" s="208">
        <f>IF(J357=13,IF(ISNUMBER(W356),VLOOKUP(W356+1,Calcs!$O$4:$Q$24,3,TRUE)-V356,5),IF(J357&lt;10,0,IF(J357&lt;18,1,IF(J357&lt;22,2,IF(ISNUMBER(W356),VLOOKUP(W356+1,Calcs!$O$4:$Q$24,3,TRUE)-V356,5)))))</f>
        <v>0</v>
      </c>
      <c r="N357" s="245" t="str">
        <f t="shared" si="38"/>
        <v xml:space="preserve"> </v>
      </c>
      <c r="O357" s="245" t="str">
        <f t="shared" si="38"/>
        <v xml:space="preserve"> </v>
      </c>
      <c r="P357" s="245" t="str">
        <f t="shared" si="38"/>
        <v xml:space="preserve"> </v>
      </c>
      <c r="Q357" s="245" t="str">
        <f t="shared" ref="N357:U392" si="44">IF(ISERROR(FIND(Q$9,$K357))," ",1)</f>
        <v xml:space="preserve"> </v>
      </c>
      <c r="R357" s="245" t="str">
        <f t="shared" si="44"/>
        <v xml:space="preserve"> </v>
      </c>
      <c r="S357" s="245" t="str">
        <f t="shared" si="44"/>
        <v xml:space="preserve"> </v>
      </c>
      <c r="T357" s="245" t="str">
        <f t="shared" si="44"/>
        <v xml:space="preserve"> </v>
      </c>
      <c r="U357" s="245" t="str">
        <f t="shared" si="37"/>
        <v xml:space="preserve"> </v>
      </c>
      <c r="V357" s="208">
        <f>SUM($N$10:$U357)</f>
        <v>0</v>
      </c>
      <c r="W357" s="208">
        <f>VLOOKUP(V357,Calcs!$Q$4:$R$24,2,TRUE)</f>
        <v>0</v>
      </c>
      <c r="X357" s="435" t="str">
        <f t="shared" si="41"/>
        <v>No</v>
      </c>
      <c r="Y357" s="436"/>
      <c r="Z357" s="435">
        <f t="shared" si="42"/>
        <v>0</v>
      </c>
      <c r="AA357" s="245" t="str">
        <f>IF(AND(X357="Yes",NOT(ISBLANK(Z357))),VLOOKUP(Z357,Calcs!$Y$48:$Z$57,2,TRUE)," ")</f>
        <v xml:space="preserve"> </v>
      </c>
    </row>
    <row r="358" spans="1:27" x14ac:dyDescent="0.2">
      <c r="A358" s="425">
        <f t="shared" si="43"/>
        <v>384</v>
      </c>
      <c r="B358" s="425" t="str">
        <f t="shared" si="39"/>
        <v>Winter</v>
      </c>
      <c r="C358" s="247">
        <f>IF(B358="Winter",A358-('Start Character'!$K$6)-1,IF('Start Character'!$K$7&gt;6,A358-('Start Character'!$K$6)-1,A358-('Start Character'!$K$6)))</f>
        <v>383</v>
      </c>
      <c r="D358" s="247">
        <f t="shared" si="40"/>
        <v>383</v>
      </c>
      <c r="E358" s="246"/>
      <c r="F358" s="83"/>
      <c r="G358" s="83"/>
      <c r="H358" s="246"/>
      <c r="I358" s="433"/>
      <c r="J358" s="254">
        <f>IF(ISBLANK(I358),0,ROUNDUP(D358/10,0)-E358-H358-F358-G358+VLOOKUP($D$2,Calcs!$A$23:$B$27,2,FALSE)+I358)</f>
        <v>0</v>
      </c>
      <c r="K358" s="245" t="str">
        <f>IF(ISBLANK(I358)," ",VLOOKUP(J358,Calcs!$A$82:$H$106,2,TRUE))</f>
        <v xml:space="preserve"> </v>
      </c>
      <c r="L358" s="245">
        <f>IF(ISBLANK(I358),0,VLOOKUP(J358,Calcs!$A$82:$F$106,5,TRUE))</f>
        <v>0</v>
      </c>
      <c r="M358" s="208">
        <f>IF(J358=13,IF(ISNUMBER(W357),VLOOKUP(W357+1,Calcs!$O$4:$Q$24,3,TRUE)-V357,5),IF(J358&lt;10,0,IF(J358&lt;18,1,IF(J358&lt;22,2,IF(ISNUMBER(W357),VLOOKUP(W357+1,Calcs!$O$4:$Q$24,3,TRUE)-V357,5)))))</f>
        <v>0</v>
      </c>
      <c r="N358" s="245" t="str">
        <f t="shared" si="44"/>
        <v xml:space="preserve"> </v>
      </c>
      <c r="O358" s="245" t="str">
        <f t="shared" si="44"/>
        <v xml:space="preserve"> </v>
      </c>
      <c r="P358" s="245" t="str">
        <f t="shared" si="44"/>
        <v xml:space="preserve"> </v>
      </c>
      <c r="Q358" s="245" t="str">
        <f t="shared" si="44"/>
        <v xml:space="preserve"> </v>
      </c>
      <c r="R358" s="245" t="str">
        <f t="shared" si="44"/>
        <v xml:space="preserve"> </v>
      </c>
      <c r="S358" s="245" t="str">
        <f t="shared" si="44"/>
        <v xml:space="preserve"> </v>
      </c>
      <c r="T358" s="245" t="str">
        <f t="shared" si="44"/>
        <v xml:space="preserve"> </v>
      </c>
      <c r="U358" s="245" t="str">
        <f t="shared" si="37"/>
        <v xml:space="preserve"> </v>
      </c>
      <c r="V358" s="208">
        <f>SUM($N$10:$U358)</f>
        <v>0</v>
      </c>
      <c r="W358" s="208">
        <f>VLOOKUP(V358,Calcs!$Q$4:$R$24,2,TRUE)</f>
        <v>0</v>
      </c>
      <c r="X358" s="435" t="str">
        <f t="shared" si="41"/>
        <v>No</v>
      </c>
      <c r="Y358" s="436"/>
      <c r="Z358" s="435">
        <f t="shared" si="42"/>
        <v>0</v>
      </c>
      <c r="AA358" s="245" t="str">
        <f>IF(AND(X358="Yes",NOT(ISBLANK(Z358))),VLOOKUP(Z358,Calcs!$Y$48:$Z$57,2,TRUE)," ")</f>
        <v xml:space="preserve"> </v>
      </c>
    </row>
    <row r="359" spans="1:27" x14ac:dyDescent="0.2">
      <c r="A359" s="425">
        <f t="shared" si="43"/>
        <v>385</v>
      </c>
      <c r="B359" s="425" t="str">
        <f t="shared" si="39"/>
        <v>Winter</v>
      </c>
      <c r="C359" s="247">
        <f>IF(B359="Winter",A359-('Start Character'!$K$6)-1,IF('Start Character'!$K$7&gt;6,A359-('Start Character'!$K$6)-1,A359-('Start Character'!$K$6)))</f>
        <v>384</v>
      </c>
      <c r="D359" s="247">
        <f t="shared" si="40"/>
        <v>384</v>
      </c>
      <c r="E359" s="246"/>
      <c r="F359" s="83"/>
      <c r="G359" s="83"/>
      <c r="H359" s="246"/>
      <c r="I359" s="433"/>
      <c r="J359" s="254">
        <f>IF(ISBLANK(I359),0,ROUNDUP(D359/10,0)-E359-H359-F359-G359+VLOOKUP($D$2,Calcs!$A$23:$B$27,2,FALSE)+I359)</f>
        <v>0</v>
      </c>
      <c r="K359" s="245" t="str">
        <f>IF(ISBLANK(I359)," ",VLOOKUP(J359,Calcs!$A$82:$H$106,2,TRUE))</f>
        <v xml:space="preserve"> </v>
      </c>
      <c r="L359" s="245">
        <f>IF(ISBLANK(I359),0,VLOOKUP(J359,Calcs!$A$82:$F$106,5,TRUE))</f>
        <v>0</v>
      </c>
      <c r="M359" s="208">
        <f>IF(J359=13,IF(ISNUMBER(W358),VLOOKUP(W358+1,Calcs!$O$4:$Q$24,3,TRUE)-V358,5),IF(J359&lt;10,0,IF(J359&lt;18,1,IF(J359&lt;22,2,IF(ISNUMBER(W358),VLOOKUP(W358+1,Calcs!$O$4:$Q$24,3,TRUE)-V358,5)))))</f>
        <v>0</v>
      </c>
      <c r="N359" s="245" t="str">
        <f t="shared" si="44"/>
        <v xml:space="preserve"> </v>
      </c>
      <c r="O359" s="245" t="str">
        <f t="shared" si="44"/>
        <v xml:space="preserve"> </v>
      </c>
      <c r="P359" s="245" t="str">
        <f t="shared" si="44"/>
        <v xml:space="preserve"> </v>
      </c>
      <c r="Q359" s="245" t="str">
        <f t="shared" si="44"/>
        <v xml:space="preserve"> </v>
      </c>
      <c r="R359" s="245" t="str">
        <f t="shared" si="44"/>
        <v xml:space="preserve"> </v>
      </c>
      <c r="S359" s="245" t="str">
        <f t="shared" si="44"/>
        <v xml:space="preserve"> </v>
      </c>
      <c r="T359" s="245" t="str">
        <f t="shared" si="44"/>
        <v xml:space="preserve"> </v>
      </c>
      <c r="U359" s="245" t="str">
        <f t="shared" si="37"/>
        <v xml:space="preserve"> </v>
      </c>
      <c r="V359" s="208">
        <f>SUM($N$10:$U359)</f>
        <v>0</v>
      </c>
      <c r="W359" s="208">
        <f>VLOOKUP(V359,Calcs!$Q$4:$R$24,2,TRUE)</f>
        <v>0</v>
      </c>
      <c r="X359" s="435" t="str">
        <f t="shared" si="41"/>
        <v>No</v>
      </c>
      <c r="Y359" s="436"/>
      <c r="Z359" s="435">
        <f t="shared" si="42"/>
        <v>0</v>
      </c>
      <c r="AA359" s="245" t="str">
        <f>IF(AND(X359="Yes",NOT(ISBLANK(Z359))),VLOOKUP(Z359,Calcs!$Y$48:$Z$57,2,TRUE)," ")</f>
        <v xml:space="preserve"> </v>
      </c>
    </row>
    <row r="360" spans="1:27" x14ac:dyDescent="0.2">
      <c r="A360" s="425">
        <f t="shared" si="43"/>
        <v>386</v>
      </c>
      <c r="B360" s="425" t="str">
        <f t="shared" si="39"/>
        <v>Winter</v>
      </c>
      <c r="C360" s="247">
        <f>IF(B360="Winter",A360-('Start Character'!$K$6)-1,IF('Start Character'!$K$7&gt;6,A360-('Start Character'!$K$6)-1,A360-('Start Character'!$K$6)))</f>
        <v>385</v>
      </c>
      <c r="D360" s="247">
        <f t="shared" si="40"/>
        <v>385</v>
      </c>
      <c r="E360" s="246"/>
      <c r="F360" s="83"/>
      <c r="G360" s="83"/>
      <c r="H360" s="246"/>
      <c r="I360" s="433"/>
      <c r="J360" s="254">
        <f>IF(ISBLANK(I360),0,ROUNDUP(D360/10,0)-E360-H360-F360-G360+VLOOKUP($D$2,Calcs!$A$23:$B$27,2,FALSE)+I360)</f>
        <v>0</v>
      </c>
      <c r="K360" s="245" t="str">
        <f>IF(ISBLANK(I360)," ",VLOOKUP(J360,Calcs!$A$82:$H$106,2,TRUE))</f>
        <v xml:space="preserve"> </v>
      </c>
      <c r="L360" s="245">
        <f>IF(ISBLANK(I360),0,VLOOKUP(J360,Calcs!$A$82:$F$106,5,TRUE))</f>
        <v>0</v>
      </c>
      <c r="M360" s="208">
        <f>IF(J360=13,IF(ISNUMBER(W359),VLOOKUP(W359+1,Calcs!$O$4:$Q$24,3,TRUE)-V359,5),IF(J360&lt;10,0,IF(J360&lt;18,1,IF(J360&lt;22,2,IF(ISNUMBER(W359),VLOOKUP(W359+1,Calcs!$O$4:$Q$24,3,TRUE)-V359,5)))))</f>
        <v>0</v>
      </c>
      <c r="N360" s="245" t="str">
        <f t="shared" si="44"/>
        <v xml:space="preserve"> </v>
      </c>
      <c r="O360" s="245" t="str">
        <f t="shared" si="44"/>
        <v xml:space="preserve"> </v>
      </c>
      <c r="P360" s="245" t="str">
        <f t="shared" si="44"/>
        <v xml:space="preserve"> </v>
      </c>
      <c r="Q360" s="245" t="str">
        <f t="shared" si="44"/>
        <v xml:space="preserve"> </v>
      </c>
      <c r="R360" s="245" t="str">
        <f t="shared" si="44"/>
        <v xml:space="preserve"> </v>
      </c>
      <c r="S360" s="245" t="str">
        <f t="shared" si="44"/>
        <v xml:space="preserve"> </v>
      </c>
      <c r="T360" s="245" t="str">
        <f t="shared" si="44"/>
        <v xml:space="preserve"> </v>
      </c>
      <c r="U360" s="245" t="str">
        <f t="shared" si="37"/>
        <v xml:space="preserve"> </v>
      </c>
      <c r="V360" s="208">
        <f>SUM($N$10:$U360)</f>
        <v>0</v>
      </c>
      <c r="W360" s="208">
        <f>VLOOKUP(V360,Calcs!$Q$4:$R$24,2,TRUE)</f>
        <v>0</v>
      </c>
      <c r="X360" s="435" t="str">
        <f t="shared" si="41"/>
        <v>No</v>
      </c>
      <c r="Y360" s="436"/>
      <c r="Z360" s="435">
        <f t="shared" si="42"/>
        <v>0</v>
      </c>
      <c r="AA360" s="245" t="str">
        <f>IF(AND(X360="Yes",NOT(ISBLANK(Z360))),VLOOKUP(Z360,Calcs!$Y$48:$Z$57,2,TRUE)," ")</f>
        <v xml:space="preserve"> </v>
      </c>
    </row>
    <row r="361" spans="1:27" x14ac:dyDescent="0.2">
      <c r="A361" s="425">
        <f t="shared" si="43"/>
        <v>387</v>
      </c>
      <c r="B361" s="425" t="str">
        <f t="shared" si="39"/>
        <v>Winter</v>
      </c>
      <c r="C361" s="247">
        <f>IF(B361="Winter",A361-('Start Character'!$K$6)-1,IF('Start Character'!$K$7&gt;6,A361-('Start Character'!$K$6)-1,A361-('Start Character'!$K$6)))</f>
        <v>386</v>
      </c>
      <c r="D361" s="247">
        <f t="shared" si="40"/>
        <v>386</v>
      </c>
      <c r="E361" s="246"/>
      <c r="F361" s="83"/>
      <c r="G361" s="83"/>
      <c r="H361" s="246"/>
      <c r="I361" s="433"/>
      <c r="J361" s="254">
        <f>IF(ISBLANK(I361),0,ROUNDUP(D361/10,0)-E361-H361-F361-G361+VLOOKUP($D$2,Calcs!$A$23:$B$27,2,FALSE)+I361)</f>
        <v>0</v>
      </c>
      <c r="K361" s="245" t="str">
        <f>IF(ISBLANK(I361)," ",VLOOKUP(J361,Calcs!$A$82:$H$106,2,TRUE))</f>
        <v xml:space="preserve"> </v>
      </c>
      <c r="L361" s="245">
        <f>IF(ISBLANK(I361),0,VLOOKUP(J361,Calcs!$A$82:$F$106,5,TRUE))</f>
        <v>0</v>
      </c>
      <c r="M361" s="208">
        <f>IF(J361=13,IF(ISNUMBER(W360),VLOOKUP(W360+1,Calcs!$O$4:$Q$24,3,TRUE)-V360,5),IF(J361&lt;10,0,IF(J361&lt;18,1,IF(J361&lt;22,2,IF(ISNUMBER(W360),VLOOKUP(W360+1,Calcs!$O$4:$Q$24,3,TRUE)-V360,5)))))</f>
        <v>0</v>
      </c>
      <c r="N361" s="245" t="str">
        <f t="shared" si="44"/>
        <v xml:space="preserve"> </v>
      </c>
      <c r="O361" s="245" t="str">
        <f t="shared" si="44"/>
        <v xml:space="preserve"> </v>
      </c>
      <c r="P361" s="245" t="str">
        <f t="shared" si="44"/>
        <v xml:space="preserve"> </v>
      </c>
      <c r="Q361" s="245" t="str">
        <f t="shared" si="44"/>
        <v xml:space="preserve"> </v>
      </c>
      <c r="R361" s="245" t="str">
        <f t="shared" si="44"/>
        <v xml:space="preserve"> </v>
      </c>
      <c r="S361" s="245" t="str">
        <f t="shared" si="44"/>
        <v xml:space="preserve"> </v>
      </c>
      <c r="T361" s="245" t="str">
        <f t="shared" si="44"/>
        <v xml:space="preserve"> </v>
      </c>
      <c r="U361" s="245" t="str">
        <f t="shared" si="37"/>
        <v xml:space="preserve"> </v>
      </c>
      <c r="V361" s="208">
        <f>SUM($N$10:$U361)</f>
        <v>0</v>
      </c>
      <c r="W361" s="208">
        <f>VLOOKUP(V361,Calcs!$Q$4:$R$24,2,TRUE)</f>
        <v>0</v>
      </c>
      <c r="X361" s="435" t="str">
        <f t="shared" si="41"/>
        <v>No</v>
      </c>
      <c r="Y361" s="436"/>
      <c r="Z361" s="435">
        <f t="shared" si="42"/>
        <v>0</v>
      </c>
      <c r="AA361" s="245" t="str">
        <f>IF(AND(X361="Yes",NOT(ISBLANK(Z361))),VLOOKUP(Z361,Calcs!$Y$48:$Z$57,2,TRUE)," ")</f>
        <v xml:space="preserve"> </v>
      </c>
    </row>
    <row r="362" spans="1:27" x14ac:dyDescent="0.2">
      <c r="A362" s="425">
        <f t="shared" si="43"/>
        <v>388</v>
      </c>
      <c r="B362" s="425" t="str">
        <f t="shared" si="39"/>
        <v>Winter</v>
      </c>
      <c r="C362" s="247">
        <f>IF(B362="Winter",A362-('Start Character'!$K$6)-1,IF('Start Character'!$K$7&gt;6,A362-('Start Character'!$K$6)-1,A362-('Start Character'!$K$6)))</f>
        <v>387</v>
      </c>
      <c r="D362" s="247">
        <f t="shared" si="40"/>
        <v>387</v>
      </c>
      <c r="E362" s="246"/>
      <c r="F362" s="83"/>
      <c r="G362" s="83"/>
      <c r="H362" s="246"/>
      <c r="I362" s="433"/>
      <c r="J362" s="254">
        <f>IF(ISBLANK(I362),0,ROUNDUP(D362/10,0)-E362-H362-F362-G362+VLOOKUP($D$2,Calcs!$A$23:$B$27,2,FALSE)+I362)</f>
        <v>0</v>
      </c>
      <c r="K362" s="245" t="str">
        <f>IF(ISBLANK(I362)," ",VLOOKUP(J362,Calcs!$A$82:$H$106,2,TRUE))</f>
        <v xml:space="preserve"> </v>
      </c>
      <c r="L362" s="245">
        <f>IF(ISBLANK(I362),0,VLOOKUP(J362,Calcs!$A$82:$F$106,5,TRUE))</f>
        <v>0</v>
      </c>
      <c r="M362" s="208">
        <f>IF(J362=13,IF(ISNUMBER(W361),VLOOKUP(W361+1,Calcs!$O$4:$Q$24,3,TRUE)-V361,5),IF(J362&lt;10,0,IF(J362&lt;18,1,IF(J362&lt;22,2,IF(ISNUMBER(W361),VLOOKUP(W361+1,Calcs!$O$4:$Q$24,3,TRUE)-V361,5)))))</f>
        <v>0</v>
      </c>
      <c r="N362" s="245" t="str">
        <f t="shared" si="44"/>
        <v xml:space="preserve"> </v>
      </c>
      <c r="O362" s="245" t="str">
        <f t="shared" si="44"/>
        <v xml:space="preserve"> </v>
      </c>
      <c r="P362" s="245" t="str">
        <f t="shared" si="44"/>
        <v xml:space="preserve"> </v>
      </c>
      <c r="Q362" s="245" t="str">
        <f t="shared" si="44"/>
        <v xml:space="preserve"> </v>
      </c>
      <c r="R362" s="245" t="str">
        <f t="shared" si="44"/>
        <v xml:space="preserve"> </v>
      </c>
      <c r="S362" s="245" t="str">
        <f t="shared" si="44"/>
        <v xml:space="preserve"> </v>
      </c>
      <c r="T362" s="245" t="str">
        <f t="shared" si="44"/>
        <v xml:space="preserve"> </v>
      </c>
      <c r="U362" s="245" t="str">
        <f t="shared" si="37"/>
        <v xml:space="preserve"> </v>
      </c>
      <c r="V362" s="208">
        <f>SUM($N$10:$U362)</f>
        <v>0</v>
      </c>
      <c r="W362" s="208">
        <f>VLOOKUP(V362,Calcs!$Q$4:$R$24,2,TRUE)</f>
        <v>0</v>
      </c>
      <c r="X362" s="435" t="str">
        <f t="shared" si="41"/>
        <v>No</v>
      </c>
      <c r="Y362" s="436"/>
      <c r="Z362" s="435">
        <f t="shared" si="42"/>
        <v>0</v>
      </c>
      <c r="AA362" s="245" t="str">
        <f>IF(AND(X362="Yes",NOT(ISBLANK(Z362))),VLOOKUP(Z362,Calcs!$Y$48:$Z$57,2,TRUE)," ")</f>
        <v xml:space="preserve"> </v>
      </c>
    </row>
    <row r="363" spans="1:27" x14ac:dyDescent="0.2">
      <c r="A363" s="425">
        <f t="shared" si="43"/>
        <v>389</v>
      </c>
      <c r="B363" s="425" t="str">
        <f t="shared" si="39"/>
        <v>Winter</v>
      </c>
      <c r="C363" s="247">
        <f>IF(B363="Winter",A363-('Start Character'!$K$6)-1,IF('Start Character'!$K$7&gt;6,A363-('Start Character'!$K$6)-1,A363-('Start Character'!$K$6)))</f>
        <v>388</v>
      </c>
      <c r="D363" s="247">
        <f t="shared" si="40"/>
        <v>388</v>
      </c>
      <c r="E363" s="246"/>
      <c r="F363" s="83"/>
      <c r="G363" s="83"/>
      <c r="H363" s="246"/>
      <c r="I363" s="433"/>
      <c r="J363" s="254">
        <f>IF(ISBLANK(I363),0,ROUNDUP(D363/10,0)-E363-H363-F363-G363+VLOOKUP($D$2,Calcs!$A$23:$B$27,2,FALSE)+I363)</f>
        <v>0</v>
      </c>
      <c r="K363" s="245" t="str">
        <f>IF(ISBLANK(I363)," ",VLOOKUP(J363,Calcs!$A$82:$H$106,2,TRUE))</f>
        <v xml:space="preserve"> </v>
      </c>
      <c r="L363" s="245">
        <f>IF(ISBLANK(I363),0,VLOOKUP(J363,Calcs!$A$82:$F$106,5,TRUE))</f>
        <v>0</v>
      </c>
      <c r="M363" s="208">
        <f>IF(J363=13,IF(ISNUMBER(W362),VLOOKUP(W362+1,Calcs!$O$4:$Q$24,3,TRUE)-V362,5),IF(J363&lt;10,0,IF(J363&lt;18,1,IF(J363&lt;22,2,IF(ISNUMBER(W362),VLOOKUP(W362+1,Calcs!$O$4:$Q$24,3,TRUE)-V362,5)))))</f>
        <v>0</v>
      </c>
      <c r="N363" s="245" t="str">
        <f t="shared" si="44"/>
        <v xml:space="preserve"> </v>
      </c>
      <c r="O363" s="245" t="str">
        <f t="shared" si="44"/>
        <v xml:space="preserve"> </v>
      </c>
      <c r="P363" s="245" t="str">
        <f t="shared" si="44"/>
        <v xml:space="preserve"> </v>
      </c>
      <c r="Q363" s="245" t="str">
        <f t="shared" si="44"/>
        <v xml:space="preserve"> </v>
      </c>
      <c r="R363" s="245" t="str">
        <f t="shared" si="44"/>
        <v xml:space="preserve"> </v>
      </c>
      <c r="S363" s="245" t="str">
        <f t="shared" si="44"/>
        <v xml:space="preserve"> </v>
      </c>
      <c r="T363" s="245" t="str">
        <f t="shared" si="44"/>
        <v xml:space="preserve"> </v>
      </c>
      <c r="U363" s="245" t="str">
        <f t="shared" si="37"/>
        <v xml:space="preserve"> </v>
      </c>
      <c r="V363" s="208">
        <f>SUM($N$10:$U363)</f>
        <v>0</v>
      </c>
      <c r="W363" s="208">
        <f>VLOOKUP(V363,Calcs!$Q$4:$R$24,2,TRUE)</f>
        <v>0</v>
      </c>
      <c r="X363" s="435" t="str">
        <f t="shared" si="41"/>
        <v>No</v>
      </c>
      <c r="Y363" s="436"/>
      <c r="Z363" s="435">
        <f t="shared" si="42"/>
        <v>0</v>
      </c>
      <c r="AA363" s="245" t="str">
        <f>IF(AND(X363="Yes",NOT(ISBLANK(Z363))),VLOOKUP(Z363,Calcs!$Y$48:$Z$57,2,TRUE)," ")</f>
        <v xml:space="preserve"> </v>
      </c>
    </row>
    <row r="364" spans="1:27" x14ac:dyDescent="0.2">
      <c r="A364" s="425">
        <f t="shared" si="43"/>
        <v>390</v>
      </c>
      <c r="B364" s="425" t="str">
        <f t="shared" si="39"/>
        <v>Winter</v>
      </c>
      <c r="C364" s="247">
        <f>IF(B364="Winter",A364-('Start Character'!$K$6)-1,IF('Start Character'!$K$7&gt;6,A364-('Start Character'!$K$6)-1,A364-('Start Character'!$K$6)))</f>
        <v>389</v>
      </c>
      <c r="D364" s="247">
        <f t="shared" si="40"/>
        <v>389</v>
      </c>
      <c r="E364" s="246"/>
      <c r="F364" s="83"/>
      <c r="G364" s="83"/>
      <c r="H364" s="246"/>
      <c r="I364" s="433"/>
      <c r="J364" s="254">
        <f>IF(ISBLANK(I364),0,ROUNDUP(D364/10,0)-E364-H364-F364-G364+VLOOKUP($D$2,Calcs!$A$23:$B$27,2,FALSE)+I364)</f>
        <v>0</v>
      </c>
      <c r="K364" s="245" t="str">
        <f>IF(ISBLANK(I364)," ",VLOOKUP(J364,Calcs!$A$82:$H$106,2,TRUE))</f>
        <v xml:space="preserve"> </v>
      </c>
      <c r="L364" s="245">
        <f>IF(ISBLANK(I364),0,VLOOKUP(J364,Calcs!$A$82:$F$106,5,TRUE))</f>
        <v>0</v>
      </c>
      <c r="M364" s="208">
        <f>IF(J364=13,IF(ISNUMBER(W363),VLOOKUP(W363+1,Calcs!$O$4:$Q$24,3,TRUE)-V363,5),IF(J364&lt;10,0,IF(J364&lt;18,1,IF(J364&lt;22,2,IF(ISNUMBER(W363),VLOOKUP(W363+1,Calcs!$O$4:$Q$24,3,TRUE)-V363,5)))))</f>
        <v>0</v>
      </c>
      <c r="N364" s="245" t="str">
        <f t="shared" si="44"/>
        <v xml:space="preserve"> </v>
      </c>
      <c r="O364" s="245" t="str">
        <f t="shared" si="44"/>
        <v xml:space="preserve"> </v>
      </c>
      <c r="P364" s="245" t="str">
        <f t="shared" si="44"/>
        <v xml:space="preserve"> </v>
      </c>
      <c r="Q364" s="245" t="str">
        <f t="shared" si="44"/>
        <v xml:space="preserve"> </v>
      </c>
      <c r="R364" s="245" t="str">
        <f t="shared" si="44"/>
        <v xml:space="preserve"> </v>
      </c>
      <c r="S364" s="245" t="str">
        <f t="shared" si="44"/>
        <v xml:space="preserve"> </v>
      </c>
      <c r="T364" s="245" t="str">
        <f t="shared" si="44"/>
        <v xml:space="preserve"> </v>
      </c>
      <c r="U364" s="245" t="str">
        <f t="shared" si="37"/>
        <v xml:space="preserve"> </v>
      </c>
      <c r="V364" s="208">
        <f>SUM($N$10:$U364)</f>
        <v>0</v>
      </c>
      <c r="W364" s="208">
        <f>VLOOKUP(V364,Calcs!$Q$4:$R$24,2,TRUE)</f>
        <v>0</v>
      </c>
      <c r="X364" s="435" t="str">
        <f t="shared" si="41"/>
        <v>No</v>
      </c>
      <c r="Y364" s="436"/>
      <c r="Z364" s="435">
        <f t="shared" si="42"/>
        <v>0</v>
      </c>
      <c r="AA364" s="245" t="str">
        <f>IF(AND(X364="Yes",NOT(ISBLANK(Z364))),VLOOKUP(Z364,Calcs!$Y$48:$Z$57,2,TRUE)," ")</f>
        <v xml:space="preserve"> </v>
      </c>
    </row>
    <row r="365" spans="1:27" x14ac:dyDescent="0.2">
      <c r="A365" s="425">
        <f t="shared" si="43"/>
        <v>391</v>
      </c>
      <c r="B365" s="425" t="str">
        <f t="shared" si="39"/>
        <v>Winter</v>
      </c>
      <c r="C365" s="247">
        <f>IF(B365="Winter",A365-('Start Character'!$K$6)-1,IF('Start Character'!$K$7&gt;6,A365-('Start Character'!$K$6)-1,A365-('Start Character'!$K$6)))</f>
        <v>390</v>
      </c>
      <c r="D365" s="247">
        <f t="shared" si="40"/>
        <v>390</v>
      </c>
      <c r="E365" s="246"/>
      <c r="F365" s="83"/>
      <c r="G365" s="83"/>
      <c r="H365" s="246"/>
      <c r="I365" s="433"/>
      <c r="J365" s="254">
        <f>IF(ISBLANK(I365),0,ROUNDUP(D365/10,0)-E365-H365-F365-G365+VLOOKUP($D$2,Calcs!$A$23:$B$27,2,FALSE)+I365)</f>
        <v>0</v>
      </c>
      <c r="K365" s="245" t="str">
        <f>IF(ISBLANK(I365)," ",VLOOKUP(J365,Calcs!$A$82:$H$106,2,TRUE))</f>
        <v xml:space="preserve"> </v>
      </c>
      <c r="L365" s="245">
        <f>IF(ISBLANK(I365),0,VLOOKUP(J365,Calcs!$A$82:$F$106,5,TRUE))</f>
        <v>0</v>
      </c>
      <c r="M365" s="208">
        <f>IF(J365=13,IF(ISNUMBER(W364),VLOOKUP(W364+1,Calcs!$O$4:$Q$24,3,TRUE)-V364,5),IF(J365&lt;10,0,IF(J365&lt;18,1,IF(J365&lt;22,2,IF(ISNUMBER(W364),VLOOKUP(W364+1,Calcs!$O$4:$Q$24,3,TRUE)-V364,5)))))</f>
        <v>0</v>
      </c>
      <c r="N365" s="245" t="str">
        <f t="shared" si="44"/>
        <v xml:space="preserve"> </v>
      </c>
      <c r="O365" s="245" t="str">
        <f t="shared" si="44"/>
        <v xml:space="preserve"> </v>
      </c>
      <c r="P365" s="245" t="str">
        <f t="shared" si="44"/>
        <v xml:space="preserve"> </v>
      </c>
      <c r="Q365" s="245" t="str">
        <f t="shared" si="44"/>
        <v xml:space="preserve"> </v>
      </c>
      <c r="R365" s="245" t="str">
        <f t="shared" si="44"/>
        <v xml:space="preserve"> </v>
      </c>
      <c r="S365" s="245" t="str">
        <f t="shared" si="44"/>
        <v xml:space="preserve"> </v>
      </c>
      <c r="T365" s="245" t="str">
        <f t="shared" si="44"/>
        <v xml:space="preserve"> </v>
      </c>
      <c r="U365" s="245" t="str">
        <f t="shared" si="37"/>
        <v xml:space="preserve"> </v>
      </c>
      <c r="V365" s="208">
        <f>SUM($N$10:$U365)</f>
        <v>0</v>
      </c>
      <c r="W365" s="208">
        <f>VLOOKUP(V365,Calcs!$Q$4:$R$24,2,TRUE)</f>
        <v>0</v>
      </c>
      <c r="X365" s="435" t="str">
        <f t="shared" si="41"/>
        <v>No</v>
      </c>
      <c r="Y365" s="436"/>
      <c r="Z365" s="435">
        <f t="shared" si="42"/>
        <v>0</v>
      </c>
      <c r="AA365" s="245" t="str">
        <f>IF(AND(X365="Yes",NOT(ISBLANK(Z365))),VLOOKUP(Z365,Calcs!$Y$48:$Z$57,2,TRUE)," ")</f>
        <v xml:space="preserve"> </v>
      </c>
    </row>
    <row r="366" spans="1:27" x14ac:dyDescent="0.2">
      <c r="A366" s="425">
        <f t="shared" si="43"/>
        <v>392</v>
      </c>
      <c r="B366" s="425" t="str">
        <f t="shared" si="39"/>
        <v>Winter</v>
      </c>
      <c r="C366" s="247">
        <f>IF(B366="Winter",A366-('Start Character'!$K$6)-1,IF('Start Character'!$K$7&gt;6,A366-('Start Character'!$K$6)-1,A366-('Start Character'!$K$6)))</f>
        <v>391</v>
      </c>
      <c r="D366" s="247">
        <f t="shared" si="40"/>
        <v>391</v>
      </c>
      <c r="E366" s="246"/>
      <c r="F366" s="83"/>
      <c r="G366" s="83"/>
      <c r="H366" s="246"/>
      <c r="I366" s="433"/>
      <c r="J366" s="254">
        <f>IF(ISBLANK(I366),0,ROUNDUP(D366/10,0)-E366-H366-F366-G366+VLOOKUP($D$2,Calcs!$A$23:$B$27,2,FALSE)+I366)</f>
        <v>0</v>
      </c>
      <c r="K366" s="245" t="str">
        <f>IF(ISBLANK(I366)," ",VLOOKUP(J366,Calcs!$A$82:$H$106,2,TRUE))</f>
        <v xml:space="preserve"> </v>
      </c>
      <c r="L366" s="245">
        <f>IF(ISBLANK(I366),0,VLOOKUP(J366,Calcs!$A$82:$F$106,5,TRUE))</f>
        <v>0</v>
      </c>
      <c r="M366" s="208">
        <f>IF(J366=13,IF(ISNUMBER(W365),VLOOKUP(W365+1,Calcs!$O$4:$Q$24,3,TRUE)-V365,5),IF(J366&lt;10,0,IF(J366&lt;18,1,IF(J366&lt;22,2,IF(ISNUMBER(W365),VLOOKUP(W365+1,Calcs!$O$4:$Q$24,3,TRUE)-V365,5)))))</f>
        <v>0</v>
      </c>
      <c r="N366" s="245" t="str">
        <f t="shared" si="44"/>
        <v xml:space="preserve"> </v>
      </c>
      <c r="O366" s="245" t="str">
        <f t="shared" si="44"/>
        <v xml:space="preserve"> </v>
      </c>
      <c r="P366" s="245" t="str">
        <f t="shared" si="44"/>
        <v xml:space="preserve"> </v>
      </c>
      <c r="Q366" s="245" t="str">
        <f t="shared" si="44"/>
        <v xml:space="preserve"> </v>
      </c>
      <c r="R366" s="245" t="str">
        <f t="shared" si="44"/>
        <v xml:space="preserve"> </v>
      </c>
      <c r="S366" s="245" t="str">
        <f t="shared" si="44"/>
        <v xml:space="preserve"> </v>
      </c>
      <c r="T366" s="245" t="str">
        <f t="shared" si="44"/>
        <v xml:space="preserve"> </v>
      </c>
      <c r="U366" s="245" t="str">
        <f t="shared" si="37"/>
        <v xml:space="preserve"> </v>
      </c>
      <c r="V366" s="208">
        <f>SUM($N$10:$U366)</f>
        <v>0</v>
      </c>
      <c r="W366" s="208">
        <f>VLOOKUP(V366,Calcs!$Q$4:$R$24,2,TRUE)</f>
        <v>0</v>
      </c>
      <c r="X366" s="435" t="str">
        <f t="shared" si="41"/>
        <v>No</v>
      </c>
      <c r="Y366" s="436"/>
      <c r="Z366" s="435">
        <f t="shared" si="42"/>
        <v>0</v>
      </c>
      <c r="AA366" s="245" t="str">
        <f>IF(AND(X366="Yes",NOT(ISBLANK(Z366))),VLOOKUP(Z366,Calcs!$Y$48:$Z$57,2,TRUE)," ")</f>
        <v xml:space="preserve"> </v>
      </c>
    </row>
    <row r="367" spans="1:27" x14ac:dyDescent="0.2">
      <c r="A367" s="425">
        <f t="shared" si="43"/>
        <v>393</v>
      </c>
      <c r="B367" s="425" t="str">
        <f t="shared" si="39"/>
        <v>Winter</v>
      </c>
      <c r="C367" s="247">
        <f>IF(B367="Winter",A367-('Start Character'!$K$6)-1,IF('Start Character'!$K$7&gt;6,A367-('Start Character'!$K$6)-1,A367-('Start Character'!$K$6)))</f>
        <v>392</v>
      </c>
      <c r="D367" s="247">
        <f t="shared" si="40"/>
        <v>392</v>
      </c>
      <c r="E367" s="246"/>
      <c r="F367" s="83"/>
      <c r="G367" s="83"/>
      <c r="H367" s="246"/>
      <c r="I367" s="433"/>
      <c r="J367" s="254">
        <f>IF(ISBLANK(I367),0,ROUNDUP(D367/10,0)-E367-H367-F367-G367+VLOOKUP($D$2,Calcs!$A$23:$B$27,2,FALSE)+I367)</f>
        <v>0</v>
      </c>
      <c r="K367" s="245" t="str">
        <f>IF(ISBLANK(I367)," ",VLOOKUP(J367,Calcs!$A$82:$H$106,2,TRUE))</f>
        <v xml:space="preserve"> </v>
      </c>
      <c r="L367" s="245">
        <f>IF(ISBLANK(I367),0,VLOOKUP(J367,Calcs!$A$82:$F$106,5,TRUE))</f>
        <v>0</v>
      </c>
      <c r="M367" s="208">
        <f>IF(J367=13,IF(ISNUMBER(W366),VLOOKUP(W366+1,Calcs!$O$4:$Q$24,3,TRUE)-V366,5),IF(J367&lt;10,0,IF(J367&lt;18,1,IF(J367&lt;22,2,IF(ISNUMBER(W366),VLOOKUP(W366+1,Calcs!$O$4:$Q$24,3,TRUE)-V366,5)))))</f>
        <v>0</v>
      </c>
      <c r="N367" s="245" t="str">
        <f t="shared" si="44"/>
        <v xml:space="preserve"> </v>
      </c>
      <c r="O367" s="245" t="str">
        <f t="shared" si="44"/>
        <v xml:space="preserve"> </v>
      </c>
      <c r="P367" s="245" t="str">
        <f t="shared" si="44"/>
        <v xml:space="preserve"> </v>
      </c>
      <c r="Q367" s="245" t="str">
        <f t="shared" si="44"/>
        <v xml:space="preserve"> </v>
      </c>
      <c r="R367" s="245" t="str">
        <f t="shared" si="44"/>
        <v xml:space="preserve"> </v>
      </c>
      <c r="S367" s="245" t="str">
        <f t="shared" si="44"/>
        <v xml:space="preserve"> </v>
      </c>
      <c r="T367" s="245" t="str">
        <f t="shared" si="44"/>
        <v xml:space="preserve"> </v>
      </c>
      <c r="U367" s="245" t="str">
        <f t="shared" si="37"/>
        <v xml:space="preserve"> </v>
      </c>
      <c r="V367" s="208">
        <f>SUM($N$10:$U367)</f>
        <v>0</v>
      </c>
      <c r="W367" s="208">
        <f>VLOOKUP(V367,Calcs!$Q$4:$R$24,2,TRUE)</f>
        <v>0</v>
      </c>
      <c r="X367" s="435" t="str">
        <f t="shared" si="41"/>
        <v>No</v>
      </c>
      <c r="Y367" s="436"/>
      <c r="Z367" s="435">
        <f t="shared" si="42"/>
        <v>0</v>
      </c>
      <c r="AA367" s="245" t="str">
        <f>IF(AND(X367="Yes",NOT(ISBLANK(Z367))),VLOOKUP(Z367,Calcs!$Y$48:$Z$57,2,TRUE)," ")</f>
        <v xml:space="preserve"> </v>
      </c>
    </row>
    <row r="368" spans="1:27" x14ac:dyDescent="0.2">
      <c r="A368" s="425">
        <f t="shared" si="43"/>
        <v>394</v>
      </c>
      <c r="B368" s="425" t="str">
        <f t="shared" si="39"/>
        <v>Winter</v>
      </c>
      <c r="C368" s="247">
        <f>IF(B368="Winter",A368-('Start Character'!$K$6)-1,IF('Start Character'!$K$7&gt;6,A368-('Start Character'!$K$6)-1,A368-('Start Character'!$K$6)))</f>
        <v>393</v>
      </c>
      <c r="D368" s="247">
        <f t="shared" si="40"/>
        <v>393</v>
      </c>
      <c r="E368" s="246"/>
      <c r="F368" s="83"/>
      <c r="G368" s="83"/>
      <c r="H368" s="246"/>
      <c r="I368" s="433"/>
      <c r="J368" s="254">
        <f>IF(ISBLANK(I368),0,ROUNDUP(D368/10,0)-E368-H368-F368-G368+VLOOKUP($D$2,Calcs!$A$23:$B$27,2,FALSE)+I368)</f>
        <v>0</v>
      </c>
      <c r="K368" s="245" t="str">
        <f>IF(ISBLANK(I368)," ",VLOOKUP(J368,Calcs!$A$82:$H$106,2,TRUE))</f>
        <v xml:space="preserve"> </v>
      </c>
      <c r="L368" s="245">
        <f>IF(ISBLANK(I368),0,VLOOKUP(J368,Calcs!$A$82:$F$106,5,TRUE))</f>
        <v>0</v>
      </c>
      <c r="M368" s="208">
        <f>IF(J368=13,IF(ISNUMBER(W367),VLOOKUP(W367+1,Calcs!$O$4:$Q$24,3,TRUE)-V367,5),IF(J368&lt;10,0,IF(J368&lt;18,1,IF(J368&lt;22,2,IF(ISNUMBER(W367),VLOOKUP(W367+1,Calcs!$O$4:$Q$24,3,TRUE)-V367,5)))))</f>
        <v>0</v>
      </c>
      <c r="N368" s="245" t="str">
        <f t="shared" si="44"/>
        <v xml:space="preserve"> </v>
      </c>
      <c r="O368" s="245" t="str">
        <f t="shared" si="44"/>
        <v xml:space="preserve"> </v>
      </c>
      <c r="P368" s="245" t="str">
        <f t="shared" si="44"/>
        <v xml:space="preserve"> </v>
      </c>
      <c r="Q368" s="245" t="str">
        <f t="shared" si="44"/>
        <v xml:space="preserve"> </v>
      </c>
      <c r="R368" s="245" t="str">
        <f t="shared" si="44"/>
        <v xml:space="preserve"> </v>
      </c>
      <c r="S368" s="245" t="str">
        <f t="shared" si="44"/>
        <v xml:space="preserve"> </v>
      </c>
      <c r="T368" s="245" t="str">
        <f t="shared" si="44"/>
        <v xml:space="preserve"> </v>
      </c>
      <c r="U368" s="245" t="str">
        <f t="shared" si="37"/>
        <v xml:space="preserve"> </v>
      </c>
      <c r="V368" s="208">
        <f>SUM($N$10:$U368)</f>
        <v>0</v>
      </c>
      <c r="W368" s="208">
        <f>VLOOKUP(V368,Calcs!$Q$4:$R$24,2,TRUE)</f>
        <v>0</v>
      </c>
      <c r="X368" s="435" t="str">
        <f t="shared" si="41"/>
        <v>No</v>
      </c>
      <c r="Y368" s="436"/>
      <c r="Z368" s="435">
        <f t="shared" si="42"/>
        <v>0</v>
      </c>
      <c r="AA368" s="245" t="str">
        <f>IF(AND(X368="Yes",NOT(ISBLANK(Z368))),VLOOKUP(Z368,Calcs!$Y$48:$Z$57,2,TRUE)," ")</f>
        <v xml:space="preserve"> </v>
      </c>
    </row>
    <row r="369" spans="1:27" x14ac:dyDescent="0.2">
      <c r="A369" s="425">
        <f t="shared" si="43"/>
        <v>395</v>
      </c>
      <c r="B369" s="425" t="str">
        <f t="shared" si="39"/>
        <v>Winter</v>
      </c>
      <c r="C369" s="247">
        <f>IF(B369="Winter",A369-('Start Character'!$K$6)-1,IF('Start Character'!$K$7&gt;6,A369-('Start Character'!$K$6)-1,A369-('Start Character'!$K$6)))</f>
        <v>394</v>
      </c>
      <c r="D369" s="247">
        <f t="shared" si="40"/>
        <v>394</v>
      </c>
      <c r="E369" s="246"/>
      <c r="F369" s="83"/>
      <c r="G369" s="83"/>
      <c r="H369" s="246"/>
      <c r="I369" s="433"/>
      <c r="J369" s="254">
        <f>IF(ISBLANK(I369),0,ROUNDUP(D369/10,0)-E369-H369-F369-G369+VLOOKUP($D$2,Calcs!$A$23:$B$27,2,FALSE)+I369)</f>
        <v>0</v>
      </c>
      <c r="K369" s="245" t="str">
        <f>IF(ISBLANK(I369)," ",VLOOKUP(J369,Calcs!$A$82:$H$106,2,TRUE))</f>
        <v xml:space="preserve"> </v>
      </c>
      <c r="L369" s="245">
        <f>IF(ISBLANK(I369),0,VLOOKUP(J369,Calcs!$A$82:$F$106,5,TRUE))</f>
        <v>0</v>
      </c>
      <c r="M369" s="208">
        <f>IF(J369=13,IF(ISNUMBER(W368),VLOOKUP(W368+1,Calcs!$O$4:$Q$24,3,TRUE)-V368,5),IF(J369&lt;10,0,IF(J369&lt;18,1,IF(J369&lt;22,2,IF(ISNUMBER(W368),VLOOKUP(W368+1,Calcs!$O$4:$Q$24,3,TRUE)-V368,5)))))</f>
        <v>0</v>
      </c>
      <c r="N369" s="245" t="str">
        <f t="shared" si="44"/>
        <v xml:space="preserve"> </v>
      </c>
      <c r="O369" s="245" t="str">
        <f t="shared" si="44"/>
        <v xml:space="preserve"> </v>
      </c>
      <c r="P369" s="245" t="str">
        <f t="shared" si="44"/>
        <v xml:space="preserve"> </v>
      </c>
      <c r="Q369" s="245" t="str">
        <f t="shared" si="44"/>
        <v xml:space="preserve"> </v>
      </c>
      <c r="R369" s="245" t="str">
        <f t="shared" si="44"/>
        <v xml:space="preserve"> </v>
      </c>
      <c r="S369" s="245" t="str">
        <f t="shared" si="44"/>
        <v xml:space="preserve"> </v>
      </c>
      <c r="T369" s="245" t="str">
        <f t="shared" si="44"/>
        <v xml:space="preserve"> </v>
      </c>
      <c r="U369" s="245" t="str">
        <f t="shared" si="37"/>
        <v xml:space="preserve"> </v>
      </c>
      <c r="V369" s="208">
        <f>SUM($N$10:$U369)</f>
        <v>0</v>
      </c>
      <c r="W369" s="208">
        <f>VLOOKUP(V369,Calcs!$Q$4:$R$24,2,TRUE)</f>
        <v>0</v>
      </c>
      <c r="X369" s="435" t="str">
        <f t="shared" si="41"/>
        <v>No</v>
      </c>
      <c r="Y369" s="436"/>
      <c r="Z369" s="435">
        <f t="shared" si="42"/>
        <v>0</v>
      </c>
      <c r="AA369" s="245" t="str">
        <f>IF(AND(X369="Yes",NOT(ISBLANK(Z369))),VLOOKUP(Z369,Calcs!$Y$48:$Z$57,2,TRUE)," ")</f>
        <v xml:space="preserve"> </v>
      </c>
    </row>
    <row r="370" spans="1:27" x14ac:dyDescent="0.2">
      <c r="A370" s="425">
        <f t="shared" si="43"/>
        <v>396</v>
      </c>
      <c r="B370" s="425" t="str">
        <f t="shared" si="39"/>
        <v>Winter</v>
      </c>
      <c r="C370" s="247">
        <f>IF(B370="Winter",A370-('Start Character'!$K$6)-1,IF('Start Character'!$K$7&gt;6,A370-('Start Character'!$K$6)-1,A370-('Start Character'!$K$6)))</f>
        <v>395</v>
      </c>
      <c r="D370" s="247">
        <f t="shared" si="40"/>
        <v>395</v>
      </c>
      <c r="E370" s="246"/>
      <c r="F370" s="83"/>
      <c r="G370" s="83"/>
      <c r="H370" s="246"/>
      <c r="I370" s="433"/>
      <c r="J370" s="254">
        <f>IF(ISBLANK(I370),0,ROUNDUP(D370/10,0)-E370-H370-F370-G370+VLOOKUP($D$2,Calcs!$A$23:$B$27,2,FALSE)+I370)</f>
        <v>0</v>
      </c>
      <c r="K370" s="245" t="str">
        <f>IF(ISBLANK(I370)," ",VLOOKUP(J370,Calcs!$A$82:$H$106,2,TRUE))</f>
        <v xml:space="preserve"> </v>
      </c>
      <c r="L370" s="245">
        <f>IF(ISBLANK(I370),0,VLOOKUP(J370,Calcs!$A$82:$F$106,5,TRUE))</f>
        <v>0</v>
      </c>
      <c r="M370" s="208">
        <f>IF(J370=13,IF(ISNUMBER(W369),VLOOKUP(W369+1,Calcs!$O$4:$Q$24,3,TRUE)-V369,5),IF(J370&lt;10,0,IF(J370&lt;18,1,IF(J370&lt;22,2,IF(ISNUMBER(W369),VLOOKUP(W369+1,Calcs!$O$4:$Q$24,3,TRUE)-V369,5)))))</f>
        <v>0</v>
      </c>
      <c r="N370" s="245" t="str">
        <f t="shared" si="44"/>
        <v xml:space="preserve"> </v>
      </c>
      <c r="O370" s="245" t="str">
        <f t="shared" si="44"/>
        <v xml:space="preserve"> </v>
      </c>
      <c r="P370" s="245" t="str">
        <f t="shared" si="44"/>
        <v xml:space="preserve"> </v>
      </c>
      <c r="Q370" s="245" t="str">
        <f t="shared" si="44"/>
        <v xml:space="preserve"> </v>
      </c>
      <c r="R370" s="245" t="str">
        <f t="shared" si="44"/>
        <v xml:space="preserve"> </v>
      </c>
      <c r="S370" s="245" t="str">
        <f t="shared" si="44"/>
        <v xml:space="preserve"> </v>
      </c>
      <c r="T370" s="245" t="str">
        <f t="shared" si="44"/>
        <v xml:space="preserve"> </v>
      </c>
      <c r="U370" s="245" t="str">
        <f t="shared" si="37"/>
        <v xml:space="preserve"> </v>
      </c>
      <c r="V370" s="208">
        <f>SUM($N$10:$U370)</f>
        <v>0</v>
      </c>
      <c r="W370" s="208">
        <f>VLOOKUP(V370,Calcs!$Q$4:$R$24,2,TRUE)</f>
        <v>0</v>
      </c>
      <c r="X370" s="435" t="str">
        <f t="shared" si="41"/>
        <v>No</v>
      </c>
      <c r="Y370" s="436"/>
      <c r="Z370" s="435">
        <f t="shared" si="42"/>
        <v>0</v>
      </c>
      <c r="AA370" s="245" t="str">
        <f>IF(AND(X370="Yes",NOT(ISBLANK(Z370))),VLOOKUP(Z370,Calcs!$Y$48:$Z$57,2,TRUE)," ")</f>
        <v xml:space="preserve"> </v>
      </c>
    </row>
    <row r="371" spans="1:27" x14ac:dyDescent="0.2">
      <c r="A371" s="425">
        <f t="shared" si="43"/>
        <v>397</v>
      </c>
      <c r="B371" s="425" t="str">
        <f t="shared" si="39"/>
        <v>Winter</v>
      </c>
      <c r="C371" s="247">
        <f>IF(B371="Winter",A371-('Start Character'!$K$6)-1,IF('Start Character'!$K$7&gt;6,A371-('Start Character'!$K$6)-1,A371-('Start Character'!$K$6)))</f>
        <v>396</v>
      </c>
      <c r="D371" s="247">
        <f t="shared" si="40"/>
        <v>396</v>
      </c>
      <c r="E371" s="246"/>
      <c r="F371" s="83"/>
      <c r="G371" s="83"/>
      <c r="H371" s="246"/>
      <c r="I371" s="433"/>
      <c r="J371" s="254">
        <f>IF(ISBLANK(I371),0,ROUNDUP(D371/10,0)-E371-H371-F371-G371+VLOOKUP($D$2,Calcs!$A$23:$B$27,2,FALSE)+I371)</f>
        <v>0</v>
      </c>
      <c r="K371" s="245" t="str">
        <f>IF(ISBLANK(I371)," ",VLOOKUP(J371,Calcs!$A$82:$H$106,2,TRUE))</f>
        <v xml:space="preserve"> </v>
      </c>
      <c r="L371" s="245">
        <f>IF(ISBLANK(I371),0,VLOOKUP(J371,Calcs!$A$82:$F$106,5,TRUE))</f>
        <v>0</v>
      </c>
      <c r="M371" s="208">
        <f>IF(J371=13,IF(ISNUMBER(W370),VLOOKUP(W370+1,Calcs!$O$4:$Q$24,3,TRUE)-V370,5),IF(J371&lt;10,0,IF(J371&lt;18,1,IF(J371&lt;22,2,IF(ISNUMBER(W370),VLOOKUP(W370+1,Calcs!$O$4:$Q$24,3,TRUE)-V370,5)))))</f>
        <v>0</v>
      </c>
      <c r="N371" s="245" t="str">
        <f t="shared" si="44"/>
        <v xml:space="preserve"> </v>
      </c>
      <c r="O371" s="245" t="str">
        <f t="shared" si="44"/>
        <v xml:space="preserve"> </v>
      </c>
      <c r="P371" s="245" t="str">
        <f t="shared" si="44"/>
        <v xml:space="preserve"> </v>
      </c>
      <c r="Q371" s="245" t="str">
        <f t="shared" si="44"/>
        <v xml:space="preserve"> </v>
      </c>
      <c r="R371" s="245" t="str">
        <f t="shared" si="44"/>
        <v xml:space="preserve"> </v>
      </c>
      <c r="S371" s="245" t="str">
        <f t="shared" si="44"/>
        <v xml:space="preserve"> </v>
      </c>
      <c r="T371" s="245" t="str">
        <f t="shared" si="44"/>
        <v xml:space="preserve"> </v>
      </c>
      <c r="U371" s="245" t="str">
        <f t="shared" si="37"/>
        <v xml:space="preserve"> </v>
      </c>
      <c r="V371" s="208">
        <f>SUM($N$10:$U371)</f>
        <v>0</v>
      </c>
      <c r="W371" s="208">
        <f>VLOOKUP(V371,Calcs!$Q$4:$R$24,2,TRUE)</f>
        <v>0</v>
      </c>
      <c r="X371" s="435" t="str">
        <f t="shared" si="41"/>
        <v>No</v>
      </c>
      <c r="Y371" s="436"/>
      <c r="Z371" s="435">
        <f t="shared" si="42"/>
        <v>0</v>
      </c>
      <c r="AA371" s="245" t="str">
        <f>IF(AND(X371="Yes",NOT(ISBLANK(Z371))),VLOOKUP(Z371,Calcs!$Y$48:$Z$57,2,TRUE)," ")</f>
        <v xml:space="preserve"> </v>
      </c>
    </row>
    <row r="372" spans="1:27" x14ac:dyDescent="0.2">
      <c r="A372" s="425">
        <f t="shared" si="43"/>
        <v>398</v>
      </c>
      <c r="B372" s="425" t="str">
        <f t="shared" si="39"/>
        <v>Winter</v>
      </c>
      <c r="C372" s="247">
        <f>IF(B372="Winter",A372-('Start Character'!$K$6)-1,IF('Start Character'!$K$7&gt;6,A372-('Start Character'!$K$6)-1,A372-('Start Character'!$K$6)))</f>
        <v>397</v>
      </c>
      <c r="D372" s="247">
        <f t="shared" si="40"/>
        <v>397</v>
      </c>
      <c r="E372" s="246"/>
      <c r="F372" s="83"/>
      <c r="G372" s="83"/>
      <c r="H372" s="246"/>
      <c r="I372" s="433"/>
      <c r="J372" s="254">
        <f>IF(ISBLANK(I372),0,ROUNDUP(D372/10,0)-E372-H372-F372-G372+VLOOKUP($D$2,Calcs!$A$23:$B$27,2,FALSE)+I372)</f>
        <v>0</v>
      </c>
      <c r="K372" s="245" t="str">
        <f>IF(ISBLANK(I372)," ",VLOOKUP(J372,Calcs!$A$82:$H$106,2,TRUE))</f>
        <v xml:space="preserve"> </v>
      </c>
      <c r="L372" s="245">
        <f>IF(ISBLANK(I372),0,VLOOKUP(J372,Calcs!$A$82:$F$106,5,TRUE))</f>
        <v>0</v>
      </c>
      <c r="M372" s="208">
        <f>IF(J372=13,IF(ISNUMBER(W371),VLOOKUP(W371+1,Calcs!$O$4:$Q$24,3,TRUE)-V371,5),IF(J372&lt;10,0,IF(J372&lt;18,1,IF(J372&lt;22,2,IF(ISNUMBER(W371),VLOOKUP(W371+1,Calcs!$O$4:$Q$24,3,TRUE)-V371,5)))))</f>
        <v>0</v>
      </c>
      <c r="N372" s="245" t="str">
        <f t="shared" si="44"/>
        <v xml:space="preserve"> </v>
      </c>
      <c r="O372" s="245" t="str">
        <f t="shared" si="44"/>
        <v xml:space="preserve"> </v>
      </c>
      <c r="P372" s="245" t="str">
        <f t="shared" si="44"/>
        <v xml:space="preserve"> </v>
      </c>
      <c r="Q372" s="245" t="str">
        <f t="shared" si="44"/>
        <v xml:space="preserve"> </v>
      </c>
      <c r="R372" s="245" t="str">
        <f t="shared" si="44"/>
        <v xml:space="preserve"> </v>
      </c>
      <c r="S372" s="245" t="str">
        <f t="shared" si="44"/>
        <v xml:space="preserve"> </v>
      </c>
      <c r="T372" s="245" t="str">
        <f t="shared" si="44"/>
        <v xml:space="preserve"> </v>
      </c>
      <c r="U372" s="245" t="str">
        <f t="shared" si="37"/>
        <v xml:space="preserve"> </v>
      </c>
      <c r="V372" s="208">
        <f>SUM($N$10:$U372)</f>
        <v>0</v>
      </c>
      <c r="W372" s="208">
        <f>VLOOKUP(V372,Calcs!$Q$4:$R$24,2,TRUE)</f>
        <v>0</v>
      </c>
      <c r="X372" s="435" t="str">
        <f t="shared" si="41"/>
        <v>No</v>
      </c>
      <c r="Y372" s="436"/>
      <c r="Z372" s="435">
        <f t="shared" si="42"/>
        <v>0</v>
      </c>
      <c r="AA372" s="245" t="str">
        <f>IF(AND(X372="Yes",NOT(ISBLANK(Z372))),VLOOKUP(Z372,Calcs!$Y$48:$Z$57,2,TRUE)," ")</f>
        <v xml:space="preserve"> </v>
      </c>
    </row>
    <row r="373" spans="1:27" x14ac:dyDescent="0.2">
      <c r="A373" s="425">
        <f t="shared" si="43"/>
        <v>399</v>
      </c>
      <c r="B373" s="425" t="str">
        <f t="shared" si="39"/>
        <v>Winter</v>
      </c>
      <c r="C373" s="247">
        <f>IF(B373="Winter",A373-('Start Character'!$K$6)-1,IF('Start Character'!$K$7&gt;6,A373-('Start Character'!$K$6)-1,A373-('Start Character'!$K$6)))</f>
        <v>398</v>
      </c>
      <c r="D373" s="247">
        <f t="shared" si="40"/>
        <v>398</v>
      </c>
      <c r="E373" s="246"/>
      <c r="F373" s="83"/>
      <c r="G373" s="83"/>
      <c r="H373" s="246"/>
      <c r="I373" s="433"/>
      <c r="J373" s="254">
        <f>IF(ISBLANK(I373),0,ROUNDUP(D373/10,0)-E373-H373-F373-G373+VLOOKUP($D$2,Calcs!$A$23:$B$27,2,FALSE)+I373)</f>
        <v>0</v>
      </c>
      <c r="K373" s="245" t="str">
        <f>IF(ISBLANK(I373)," ",VLOOKUP(J373,Calcs!$A$82:$H$106,2,TRUE))</f>
        <v xml:space="preserve"> </v>
      </c>
      <c r="L373" s="245">
        <f>IF(ISBLANK(I373),0,VLOOKUP(J373,Calcs!$A$82:$F$106,5,TRUE))</f>
        <v>0</v>
      </c>
      <c r="M373" s="208">
        <f>IF(J373=13,IF(ISNUMBER(W372),VLOOKUP(W372+1,Calcs!$O$4:$Q$24,3,TRUE)-V372,5),IF(J373&lt;10,0,IF(J373&lt;18,1,IF(J373&lt;22,2,IF(ISNUMBER(W372),VLOOKUP(W372+1,Calcs!$O$4:$Q$24,3,TRUE)-V372,5)))))</f>
        <v>0</v>
      </c>
      <c r="N373" s="245" t="str">
        <f t="shared" si="44"/>
        <v xml:space="preserve"> </v>
      </c>
      <c r="O373" s="245" t="str">
        <f t="shared" si="44"/>
        <v xml:space="preserve"> </v>
      </c>
      <c r="P373" s="245" t="str">
        <f t="shared" si="44"/>
        <v xml:space="preserve"> </v>
      </c>
      <c r="Q373" s="245" t="str">
        <f t="shared" si="44"/>
        <v xml:space="preserve"> </v>
      </c>
      <c r="R373" s="245" t="str">
        <f t="shared" si="44"/>
        <v xml:space="preserve"> </v>
      </c>
      <c r="S373" s="245" t="str">
        <f t="shared" si="44"/>
        <v xml:space="preserve"> </v>
      </c>
      <c r="T373" s="245" t="str">
        <f t="shared" si="44"/>
        <v xml:space="preserve"> </v>
      </c>
      <c r="U373" s="245" t="str">
        <f t="shared" si="37"/>
        <v xml:space="preserve"> </v>
      </c>
      <c r="V373" s="208">
        <f>SUM($N$10:$U373)</f>
        <v>0</v>
      </c>
      <c r="W373" s="208">
        <f>VLOOKUP(V373,Calcs!$Q$4:$R$24,2,TRUE)</f>
        <v>0</v>
      </c>
      <c r="X373" s="435" t="str">
        <f t="shared" si="41"/>
        <v>No</v>
      </c>
      <c r="Y373" s="436"/>
      <c r="Z373" s="435">
        <f t="shared" si="42"/>
        <v>0</v>
      </c>
      <c r="AA373" s="245" t="str">
        <f>IF(AND(X373="Yes",NOT(ISBLANK(Z373))),VLOOKUP(Z373,Calcs!$Y$48:$Z$57,2,TRUE)," ")</f>
        <v xml:space="preserve"> </v>
      </c>
    </row>
    <row r="374" spans="1:27" x14ac:dyDescent="0.2">
      <c r="A374" s="425">
        <f t="shared" si="43"/>
        <v>400</v>
      </c>
      <c r="B374" s="425" t="str">
        <f t="shared" si="39"/>
        <v>Winter</v>
      </c>
      <c r="C374" s="247">
        <f>IF(B374="Winter",A374-('Start Character'!$K$6)-1,IF('Start Character'!$K$7&gt;6,A374-('Start Character'!$K$6)-1,A374-('Start Character'!$K$6)))</f>
        <v>399</v>
      </c>
      <c r="D374" s="247">
        <f t="shared" si="40"/>
        <v>399</v>
      </c>
      <c r="E374" s="246"/>
      <c r="F374" s="83"/>
      <c r="G374" s="83"/>
      <c r="H374" s="246"/>
      <c r="I374" s="433"/>
      <c r="J374" s="254">
        <f>IF(ISBLANK(I374),0,ROUNDUP(D374/10,0)-E374-H374-F374-G374+VLOOKUP($D$2,Calcs!$A$23:$B$27,2,FALSE)+I374)</f>
        <v>0</v>
      </c>
      <c r="K374" s="245" t="str">
        <f>IF(ISBLANK(I374)," ",VLOOKUP(J374,Calcs!$A$82:$H$106,2,TRUE))</f>
        <v xml:space="preserve"> </v>
      </c>
      <c r="L374" s="245">
        <f>IF(ISBLANK(I374),0,VLOOKUP(J374,Calcs!$A$82:$F$106,5,TRUE))</f>
        <v>0</v>
      </c>
      <c r="M374" s="208">
        <f>IF(J374=13,IF(ISNUMBER(W373),VLOOKUP(W373+1,Calcs!$O$4:$Q$24,3,TRUE)-V373,5),IF(J374&lt;10,0,IF(J374&lt;18,1,IF(J374&lt;22,2,IF(ISNUMBER(W373),VLOOKUP(W373+1,Calcs!$O$4:$Q$24,3,TRUE)-V373,5)))))</f>
        <v>0</v>
      </c>
      <c r="N374" s="245" t="str">
        <f t="shared" si="44"/>
        <v xml:space="preserve"> </v>
      </c>
      <c r="O374" s="245" t="str">
        <f t="shared" si="44"/>
        <v xml:space="preserve"> </v>
      </c>
      <c r="P374" s="245" t="str">
        <f t="shared" si="44"/>
        <v xml:space="preserve"> </v>
      </c>
      <c r="Q374" s="245" t="str">
        <f t="shared" si="44"/>
        <v xml:space="preserve"> </v>
      </c>
      <c r="R374" s="245" t="str">
        <f t="shared" si="44"/>
        <v xml:space="preserve"> </v>
      </c>
      <c r="S374" s="245" t="str">
        <f t="shared" si="44"/>
        <v xml:space="preserve"> </v>
      </c>
      <c r="T374" s="245" t="str">
        <f t="shared" si="44"/>
        <v xml:space="preserve"> </v>
      </c>
      <c r="U374" s="245" t="str">
        <f t="shared" si="37"/>
        <v xml:space="preserve"> </v>
      </c>
      <c r="V374" s="208">
        <f>SUM($N$10:$U374)</f>
        <v>0</v>
      </c>
      <c r="W374" s="208">
        <f>VLOOKUP(V374,Calcs!$Q$4:$R$24,2,TRUE)</f>
        <v>0</v>
      </c>
      <c r="X374" s="435" t="str">
        <f t="shared" si="41"/>
        <v>No</v>
      </c>
      <c r="Y374" s="436"/>
      <c r="Z374" s="435">
        <f t="shared" si="42"/>
        <v>0</v>
      </c>
      <c r="AA374" s="245" t="str">
        <f>IF(AND(X374="Yes",NOT(ISBLANK(Z374))),VLOOKUP(Z374,Calcs!$Y$48:$Z$57,2,TRUE)," ")</f>
        <v xml:space="preserve"> </v>
      </c>
    </row>
    <row r="375" spans="1:27" x14ac:dyDescent="0.2">
      <c r="A375" s="425">
        <f t="shared" si="43"/>
        <v>401</v>
      </c>
      <c r="B375" s="425" t="str">
        <f t="shared" si="39"/>
        <v>Winter</v>
      </c>
      <c r="C375" s="247">
        <f>IF(B375="Winter",A375-('Start Character'!$K$6)-1,IF('Start Character'!$K$7&gt;6,A375-('Start Character'!$K$6)-1,A375-('Start Character'!$K$6)))</f>
        <v>400</v>
      </c>
      <c r="D375" s="247">
        <f t="shared" si="40"/>
        <v>400</v>
      </c>
      <c r="E375" s="246"/>
      <c r="F375" s="83"/>
      <c r="G375" s="83"/>
      <c r="H375" s="246"/>
      <c r="I375" s="433"/>
      <c r="J375" s="254">
        <f>IF(ISBLANK(I375),0,ROUNDUP(D375/10,0)-E375-H375-F375-G375+VLOOKUP($D$2,Calcs!$A$23:$B$27,2,FALSE)+I375)</f>
        <v>0</v>
      </c>
      <c r="K375" s="245" t="str">
        <f>IF(ISBLANK(I375)," ",VLOOKUP(J375,Calcs!$A$82:$H$106,2,TRUE))</f>
        <v xml:space="preserve"> </v>
      </c>
      <c r="L375" s="245">
        <f>IF(ISBLANK(I375),0,VLOOKUP(J375,Calcs!$A$82:$F$106,5,TRUE))</f>
        <v>0</v>
      </c>
      <c r="M375" s="208">
        <f>IF(J375=13,IF(ISNUMBER(W374),VLOOKUP(W374+1,Calcs!$O$4:$Q$24,3,TRUE)-V374,5),IF(J375&lt;10,0,IF(J375&lt;18,1,IF(J375&lt;22,2,IF(ISNUMBER(W374),VLOOKUP(W374+1,Calcs!$O$4:$Q$24,3,TRUE)-V374,5)))))</f>
        <v>0</v>
      </c>
      <c r="N375" s="245" t="str">
        <f t="shared" si="44"/>
        <v xml:space="preserve"> </v>
      </c>
      <c r="O375" s="245" t="str">
        <f t="shared" si="44"/>
        <v xml:space="preserve"> </v>
      </c>
      <c r="P375" s="245" t="str">
        <f t="shared" si="44"/>
        <v xml:space="preserve"> </v>
      </c>
      <c r="Q375" s="245" t="str">
        <f t="shared" si="44"/>
        <v xml:space="preserve"> </v>
      </c>
      <c r="R375" s="245" t="str">
        <f t="shared" si="44"/>
        <v xml:space="preserve"> </v>
      </c>
      <c r="S375" s="245" t="str">
        <f t="shared" si="44"/>
        <v xml:space="preserve"> </v>
      </c>
      <c r="T375" s="245" t="str">
        <f t="shared" si="44"/>
        <v xml:space="preserve"> </v>
      </c>
      <c r="U375" s="245" t="str">
        <f t="shared" si="37"/>
        <v xml:space="preserve"> </v>
      </c>
      <c r="V375" s="208">
        <f>SUM($N$10:$U375)</f>
        <v>0</v>
      </c>
      <c r="W375" s="208">
        <f>VLOOKUP(V375,Calcs!$Q$4:$R$24,2,TRUE)</f>
        <v>0</v>
      </c>
      <c r="X375" s="435" t="str">
        <f t="shared" si="41"/>
        <v>No</v>
      </c>
      <c r="Y375" s="436"/>
      <c r="Z375" s="435">
        <f t="shared" si="42"/>
        <v>0</v>
      </c>
      <c r="AA375" s="245" t="str">
        <f>IF(AND(X375="Yes",NOT(ISBLANK(Z375))),VLOOKUP(Z375,Calcs!$Y$48:$Z$57,2,TRUE)," ")</f>
        <v xml:space="preserve"> </v>
      </c>
    </row>
    <row r="376" spans="1:27" x14ac:dyDescent="0.2">
      <c r="A376" s="425">
        <f t="shared" si="43"/>
        <v>402</v>
      </c>
      <c r="B376" s="425" t="str">
        <f t="shared" si="39"/>
        <v>Winter</v>
      </c>
      <c r="C376" s="247">
        <f>IF(B376="Winter",A376-('Start Character'!$K$6)-1,IF('Start Character'!$K$7&gt;6,A376-('Start Character'!$K$6)-1,A376-('Start Character'!$K$6)))</f>
        <v>401</v>
      </c>
      <c r="D376" s="247">
        <f t="shared" si="40"/>
        <v>401</v>
      </c>
      <c r="E376" s="246"/>
      <c r="F376" s="83"/>
      <c r="G376" s="83"/>
      <c r="H376" s="246"/>
      <c r="I376" s="433"/>
      <c r="J376" s="254">
        <f>IF(ISBLANK(I376),0,ROUNDUP(D376/10,0)-E376-H376-F376-G376+VLOOKUP($D$2,Calcs!$A$23:$B$27,2,FALSE)+I376)</f>
        <v>0</v>
      </c>
      <c r="K376" s="245" t="str">
        <f>IF(ISBLANK(I376)," ",VLOOKUP(J376,Calcs!$A$82:$H$106,2,TRUE))</f>
        <v xml:space="preserve"> </v>
      </c>
      <c r="L376" s="245">
        <f>IF(ISBLANK(I376),0,VLOOKUP(J376,Calcs!$A$82:$F$106,5,TRUE))</f>
        <v>0</v>
      </c>
      <c r="M376" s="208">
        <f>IF(J376=13,IF(ISNUMBER(W375),VLOOKUP(W375+1,Calcs!$O$4:$Q$24,3,TRUE)-V375,5),IF(J376&lt;10,0,IF(J376&lt;18,1,IF(J376&lt;22,2,IF(ISNUMBER(W375),VLOOKUP(W375+1,Calcs!$O$4:$Q$24,3,TRUE)-V375,5)))))</f>
        <v>0</v>
      </c>
      <c r="N376" s="245" t="str">
        <f t="shared" si="44"/>
        <v xml:space="preserve"> </v>
      </c>
      <c r="O376" s="245" t="str">
        <f t="shared" si="44"/>
        <v xml:space="preserve"> </v>
      </c>
      <c r="P376" s="245" t="str">
        <f t="shared" si="44"/>
        <v xml:space="preserve"> </v>
      </c>
      <c r="Q376" s="245" t="str">
        <f t="shared" si="44"/>
        <v xml:space="preserve"> </v>
      </c>
      <c r="R376" s="245" t="str">
        <f t="shared" si="44"/>
        <v xml:space="preserve"> </v>
      </c>
      <c r="S376" s="245" t="str">
        <f t="shared" si="44"/>
        <v xml:space="preserve"> </v>
      </c>
      <c r="T376" s="245" t="str">
        <f t="shared" si="44"/>
        <v xml:space="preserve"> </v>
      </c>
      <c r="U376" s="245" t="str">
        <f t="shared" si="37"/>
        <v xml:space="preserve"> </v>
      </c>
      <c r="V376" s="208">
        <f>SUM($N$10:$U376)</f>
        <v>0</v>
      </c>
      <c r="W376" s="208">
        <f>VLOOKUP(V376,Calcs!$Q$4:$R$24,2,TRUE)</f>
        <v>0</v>
      </c>
      <c r="X376" s="435" t="str">
        <f t="shared" si="41"/>
        <v>No</v>
      </c>
      <c r="Y376" s="436"/>
      <c r="Z376" s="435">
        <f t="shared" si="42"/>
        <v>0</v>
      </c>
      <c r="AA376" s="245" t="str">
        <f>IF(AND(X376="Yes",NOT(ISBLANK(Z376))),VLOOKUP(Z376,Calcs!$Y$48:$Z$57,2,TRUE)," ")</f>
        <v xml:space="preserve"> </v>
      </c>
    </row>
    <row r="377" spans="1:27" x14ac:dyDescent="0.2">
      <c r="A377" s="425">
        <f t="shared" si="43"/>
        <v>403</v>
      </c>
      <c r="B377" s="425" t="str">
        <f t="shared" si="39"/>
        <v>Winter</v>
      </c>
      <c r="C377" s="247">
        <f>IF(B377="Winter",A377-('Start Character'!$K$6)-1,IF('Start Character'!$K$7&gt;6,A377-('Start Character'!$K$6)-1,A377-('Start Character'!$K$6)))</f>
        <v>402</v>
      </c>
      <c r="D377" s="247">
        <f t="shared" si="40"/>
        <v>402</v>
      </c>
      <c r="E377" s="246"/>
      <c r="F377" s="83"/>
      <c r="G377" s="83"/>
      <c r="H377" s="246"/>
      <c r="I377" s="433"/>
      <c r="J377" s="254">
        <f>IF(ISBLANK(I377),0,ROUNDUP(D377/10,0)-E377-H377-F377-G377+VLOOKUP($D$2,Calcs!$A$23:$B$27,2,FALSE)+I377)</f>
        <v>0</v>
      </c>
      <c r="K377" s="245" t="str">
        <f>IF(ISBLANK(I377)," ",VLOOKUP(J377,Calcs!$A$82:$H$106,2,TRUE))</f>
        <v xml:space="preserve"> </v>
      </c>
      <c r="L377" s="245">
        <f>IF(ISBLANK(I377),0,VLOOKUP(J377,Calcs!$A$82:$F$106,5,TRUE))</f>
        <v>0</v>
      </c>
      <c r="M377" s="208">
        <f>IF(J377=13,IF(ISNUMBER(W376),VLOOKUP(W376+1,Calcs!$O$4:$Q$24,3,TRUE)-V376,5),IF(J377&lt;10,0,IF(J377&lt;18,1,IF(J377&lt;22,2,IF(ISNUMBER(W376),VLOOKUP(W376+1,Calcs!$O$4:$Q$24,3,TRUE)-V376,5)))))</f>
        <v>0</v>
      </c>
      <c r="N377" s="245" t="str">
        <f t="shared" si="44"/>
        <v xml:space="preserve"> </v>
      </c>
      <c r="O377" s="245" t="str">
        <f t="shared" si="44"/>
        <v xml:space="preserve"> </v>
      </c>
      <c r="P377" s="245" t="str">
        <f t="shared" si="44"/>
        <v xml:space="preserve"> </v>
      </c>
      <c r="Q377" s="245" t="str">
        <f t="shared" si="44"/>
        <v xml:space="preserve"> </v>
      </c>
      <c r="R377" s="245" t="str">
        <f t="shared" si="44"/>
        <v xml:space="preserve"> </v>
      </c>
      <c r="S377" s="245" t="str">
        <f t="shared" si="44"/>
        <v xml:space="preserve"> </v>
      </c>
      <c r="T377" s="245" t="str">
        <f t="shared" si="44"/>
        <v xml:space="preserve"> </v>
      </c>
      <c r="U377" s="245" t="str">
        <f t="shared" si="37"/>
        <v xml:space="preserve"> </v>
      </c>
      <c r="V377" s="208">
        <f>SUM($N$10:$U377)</f>
        <v>0</v>
      </c>
      <c r="W377" s="208">
        <f>VLOOKUP(V377,Calcs!$Q$4:$R$24,2,TRUE)</f>
        <v>0</v>
      </c>
      <c r="X377" s="435" t="str">
        <f t="shared" si="41"/>
        <v>No</v>
      </c>
      <c r="Y377" s="436"/>
      <c r="Z377" s="435">
        <f t="shared" si="42"/>
        <v>0</v>
      </c>
      <c r="AA377" s="245" t="str">
        <f>IF(AND(X377="Yes",NOT(ISBLANK(Z377))),VLOOKUP(Z377,Calcs!$Y$48:$Z$57,2,TRUE)," ")</f>
        <v xml:space="preserve"> </v>
      </c>
    </row>
    <row r="378" spans="1:27" x14ac:dyDescent="0.2">
      <c r="A378" s="425">
        <f t="shared" si="43"/>
        <v>404</v>
      </c>
      <c r="B378" s="425" t="str">
        <f t="shared" si="39"/>
        <v>Winter</v>
      </c>
      <c r="C378" s="247">
        <f>IF(B378="Winter",A378-('Start Character'!$K$6)-1,IF('Start Character'!$K$7&gt;6,A378-('Start Character'!$K$6)-1,A378-('Start Character'!$K$6)))</f>
        <v>403</v>
      </c>
      <c r="D378" s="247">
        <f t="shared" si="40"/>
        <v>403</v>
      </c>
      <c r="E378" s="246"/>
      <c r="F378" s="83"/>
      <c r="G378" s="83"/>
      <c r="H378" s="246"/>
      <c r="I378" s="433"/>
      <c r="J378" s="254">
        <f>IF(ISBLANK(I378),0,ROUNDUP(D378/10,0)-E378-H378-F378-G378+VLOOKUP($D$2,Calcs!$A$23:$B$27,2,FALSE)+I378)</f>
        <v>0</v>
      </c>
      <c r="K378" s="245" t="str">
        <f>IF(ISBLANK(I378)," ",VLOOKUP(J378,Calcs!$A$82:$H$106,2,TRUE))</f>
        <v xml:space="preserve"> </v>
      </c>
      <c r="L378" s="245">
        <f>IF(ISBLANK(I378),0,VLOOKUP(J378,Calcs!$A$82:$F$106,5,TRUE))</f>
        <v>0</v>
      </c>
      <c r="M378" s="208">
        <f>IF(J378=13,IF(ISNUMBER(W377),VLOOKUP(W377+1,Calcs!$O$4:$Q$24,3,TRUE)-V377,5),IF(J378&lt;10,0,IF(J378&lt;18,1,IF(J378&lt;22,2,IF(ISNUMBER(W377),VLOOKUP(W377+1,Calcs!$O$4:$Q$24,3,TRUE)-V377,5)))))</f>
        <v>0</v>
      </c>
      <c r="N378" s="245" t="str">
        <f t="shared" si="44"/>
        <v xml:space="preserve"> </v>
      </c>
      <c r="O378" s="245" t="str">
        <f t="shared" si="44"/>
        <v xml:space="preserve"> </v>
      </c>
      <c r="P378" s="245" t="str">
        <f t="shared" si="44"/>
        <v xml:space="preserve"> </v>
      </c>
      <c r="Q378" s="245" t="str">
        <f t="shared" si="44"/>
        <v xml:space="preserve"> </v>
      </c>
      <c r="R378" s="245" t="str">
        <f t="shared" si="44"/>
        <v xml:space="preserve"> </v>
      </c>
      <c r="S378" s="245" t="str">
        <f t="shared" si="44"/>
        <v xml:space="preserve"> </v>
      </c>
      <c r="T378" s="245" t="str">
        <f t="shared" si="44"/>
        <v xml:space="preserve"> </v>
      </c>
      <c r="U378" s="245" t="str">
        <f t="shared" si="37"/>
        <v xml:space="preserve"> </v>
      </c>
      <c r="V378" s="208">
        <f>SUM($N$10:$U378)</f>
        <v>0</v>
      </c>
      <c r="W378" s="208">
        <f>VLOOKUP(V378,Calcs!$Q$4:$R$24,2,TRUE)</f>
        <v>0</v>
      </c>
      <c r="X378" s="435" t="str">
        <f t="shared" si="41"/>
        <v>No</v>
      </c>
      <c r="Y378" s="436"/>
      <c r="Z378" s="435">
        <f t="shared" si="42"/>
        <v>0</v>
      </c>
      <c r="AA378" s="245" t="str">
        <f>IF(AND(X378="Yes",NOT(ISBLANK(Z378))),VLOOKUP(Z378,Calcs!$Y$48:$Z$57,2,TRUE)," ")</f>
        <v xml:space="preserve"> </v>
      </c>
    </row>
    <row r="379" spans="1:27" x14ac:dyDescent="0.2">
      <c r="A379" s="425">
        <f t="shared" si="43"/>
        <v>405</v>
      </c>
      <c r="B379" s="425" t="str">
        <f t="shared" si="39"/>
        <v>Winter</v>
      </c>
      <c r="C379" s="247">
        <f>IF(B379="Winter",A379-('Start Character'!$K$6)-1,IF('Start Character'!$K$7&gt;6,A379-('Start Character'!$K$6)-1,A379-('Start Character'!$K$6)))</f>
        <v>404</v>
      </c>
      <c r="D379" s="247">
        <f t="shared" si="40"/>
        <v>404</v>
      </c>
      <c r="E379" s="246"/>
      <c r="F379" s="83"/>
      <c r="G379" s="83"/>
      <c r="H379" s="246"/>
      <c r="I379" s="433"/>
      <c r="J379" s="254">
        <f>IF(ISBLANK(I379),0,ROUNDUP(D379/10,0)-E379-H379-F379-G379+VLOOKUP($D$2,Calcs!$A$23:$B$27,2,FALSE)+I379)</f>
        <v>0</v>
      </c>
      <c r="K379" s="245" t="str">
        <f>IF(ISBLANK(I379)," ",VLOOKUP(J379,Calcs!$A$82:$H$106,2,TRUE))</f>
        <v xml:space="preserve"> </v>
      </c>
      <c r="L379" s="245">
        <f>IF(ISBLANK(I379),0,VLOOKUP(J379,Calcs!$A$82:$F$106,5,TRUE))</f>
        <v>0</v>
      </c>
      <c r="M379" s="208">
        <f>IF(J379=13,IF(ISNUMBER(W378),VLOOKUP(W378+1,Calcs!$O$4:$Q$24,3,TRUE)-V378,5),IF(J379&lt;10,0,IF(J379&lt;18,1,IF(J379&lt;22,2,IF(ISNUMBER(W378),VLOOKUP(W378+1,Calcs!$O$4:$Q$24,3,TRUE)-V378,5)))))</f>
        <v>0</v>
      </c>
      <c r="N379" s="245" t="str">
        <f t="shared" si="44"/>
        <v xml:space="preserve"> </v>
      </c>
      <c r="O379" s="245" t="str">
        <f t="shared" si="44"/>
        <v xml:space="preserve"> </v>
      </c>
      <c r="P379" s="245" t="str">
        <f t="shared" si="44"/>
        <v xml:space="preserve"> </v>
      </c>
      <c r="Q379" s="245" t="str">
        <f t="shared" si="44"/>
        <v xml:space="preserve"> </v>
      </c>
      <c r="R379" s="245" t="str">
        <f t="shared" si="44"/>
        <v xml:space="preserve"> </v>
      </c>
      <c r="S379" s="245" t="str">
        <f t="shared" si="44"/>
        <v xml:space="preserve"> </v>
      </c>
      <c r="T379" s="245" t="str">
        <f t="shared" si="44"/>
        <v xml:space="preserve"> </v>
      </c>
      <c r="U379" s="245" t="str">
        <f t="shared" si="37"/>
        <v xml:space="preserve"> </v>
      </c>
      <c r="V379" s="208">
        <f>SUM($N$10:$U379)</f>
        <v>0</v>
      </c>
      <c r="W379" s="208">
        <f>VLOOKUP(V379,Calcs!$Q$4:$R$24,2,TRUE)</f>
        <v>0</v>
      </c>
      <c r="X379" s="435" t="str">
        <f t="shared" si="41"/>
        <v>No</v>
      </c>
      <c r="Y379" s="436"/>
      <c r="Z379" s="435">
        <f t="shared" si="42"/>
        <v>0</v>
      </c>
      <c r="AA379" s="245" t="str">
        <f>IF(AND(X379="Yes",NOT(ISBLANK(Z379))),VLOOKUP(Z379,Calcs!$Y$48:$Z$57,2,TRUE)," ")</f>
        <v xml:space="preserve"> </v>
      </c>
    </row>
    <row r="380" spans="1:27" x14ac:dyDescent="0.2">
      <c r="A380" s="425">
        <f t="shared" si="43"/>
        <v>406</v>
      </c>
      <c r="B380" s="425" t="str">
        <f t="shared" si="39"/>
        <v>Winter</v>
      </c>
      <c r="C380" s="247">
        <f>IF(B380="Winter",A380-('Start Character'!$K$6)-1,IF('Start Character'!$K$7&gt;6,A380-('Start Character'!$K$6)-1,A380-('Start Character'!$K$6)))</f>
        <v>405</v>
      </c>
      <c r="D380" s="247">
        <f t="shared" si="40"/>
        <v>405</v>
      </c>
      <c r="E380" s="246"/>
      <c r="F380" s="83"/>
      <c r="G380" s="83"/>
      <c r="H380" s="246"/>
      <c r="I380" s="433"/>
      <c r="J380" s="254">
        <f>IF(ISBLANK(I380),0,ROUNDUP(D380/10,0)-E380-H380-F380-G380+VLOOKUP($D$2,Calcs!$A$23:$B$27,2,FALSE)+I380)</f>
        <v>0</v>
      </c>
      <c r="K380" s="245" t="str">
        <f>IF(ISBLANK(I380)," ",VLOOKUP(J380,Calcs!$A$82:$H$106,2,TRUE))</f>
        <v xml:space="preserve"> </v>
      </c>
      <c r="L380" s="245">
        <f>IF(ISBLANK(I380),0,VLOOKUP(J380,Calcs!$A$82:$F$106,5,TRUE))</f>
        <v>0</v>
      </c>
      <c r="M380" s="208">
        <f>IF(J380=13,IF(ISNUMBER(W379),VLOOKUP(W379+1,Calcs!$O$4:$Q$24,3,TRUE)-V379,5),IF(J380&lt;10,0,IF(J380&lt;18,1,IF(J380&lt;22,2,IF(ISNUMBER(W379),VLOOKUP(W379+1,Calcs!$O$4:$Q$24,3,TRUE)-V379,5)))))</f>
        <v>0</v>
      </c>
      <c r="N380" s="245" t="str">
        <f t="shared" si="44"/>
        <v xml:space="preserve"> </v>
      </c>
      <c r="O380" s="245" t="str">
        <f t="shared" si="44"/>
        <v xml:space="preserve"> </v>
      </c>
      <c r="P380" s="245" t="str">
        <f t="shared" si="44"/>
        <v xml:space="preserve"> </v>
      </c>
      <c r="Q380" s="245" t="str">
        <f t="shared" si="44"/>
        <v xml:space="preserve"> </v>
      </c>
      <c r="R380" s="245" t="str">
        <f t="shared" si="44"/>
        <v xml:space="preserve"> </v>
      </c>
      <c r="S380" s="245" t="str">
        <f t="shared" si="44"/>
        <v xml:space="preserve"> </v>
      </c>
      <c r="T380" s="245" t="str">
        <f t="shared" si="44"/>
        <v xml:space="preserve"> </v>
      </c>
      <c r="U380" s="245" t="str">
        <f t="shared" si="37"/>
        <v xml:space="preserve"> </v>
      </c>
      <c r="V380" s="208">
        <f>SUM($N$10:$U380)</f>
        <v>0</v>
      </c>
      <c r="W380" s="208">
        <f>VLOOKUP(V380,Calcs!$Q$4:$R$24,2,TRUE)</f>
        <v>0</v>
      </c>
      <c r="X380" s="435" t="str">
        <f t="shared" si="41"/>
        <v>No</v>
      </c>
      <c r="Y380" s="436"/>
      <c r="Z380" s="435">
        <f t="shared" si="42"/>
        <v>0</v>
      </c>
      <c r="AA380" s="245" t="str">
        <f>IF(AND(X380="Yes",NOT(ISBLANK(Z380))),VLOOKUP(Z380,Calcs!$Y$48:$Z$57,2,TRUE)," ")</f>
        <v xml:space="preserve"> </v>
      </c>
    </row>
    <row r="381" spans="1:27" x14ac:dyDescent="0.2">
      <c r="A381" s="425">
        <f t="shared" si="43"/>
        <v>407</v>
      </c>
      <c r="B381" s="425" t="str">
        <f t="shared" si="39"/>
        <v>Winter</v>
      </c>
      <c r="C381" s="247">
        <f>IF(B381="Winter",A381-('Start Character'!$K$6)-1,IF('Start Character'!$K$7&gt;6,A381-('Start Character'!$K$6)-1,A381-('Start Character'!$K$6)))</f>
        <v>406</v>
      </c>
      <c r="D381" s="247">
        <f t="shared" si="40"/>
        <v>406</v>
      </c>
      <c r="E381" s="246"/>
      <c r="F381" s="83"/>
      <c r="G381" s="83"/>
      <c r="H381" s="246"/>
      <c r="I381" s="433"/>
      <c r="J381" s="254">
        <f>IF(ISBLANK(I381),0,ROUNDUP(D381/10,0)-E381-H381-F381-G381+VLOOKUP($D$2,Calcs!$A$23:$B$27,2,FALSE)+I381)</f>
        <v>0</v>
      </c>
      <c r="K381" s="245" t="str">
        <f>IF(ISBLANK(I381)," ",VLOOKUP(J381,Calcs!$A$82:$H$106,2,TRUE))</f>
        <v xml:space="preserve"> </v>
      </c>
      <c r="L381" s="245">
        <f>IF(ISBLANK(I381),0,VLOOKUP(J381,Calcs!$A$82:$F$106,5,TRUE))</f>
        <v>0</v>
      </c>
      <c r="M381" s="208">
        <f>IF(J381=13,IF(ISNUMBER(W380),VLOOKUP(W380+1,Calcs!$O$4:$Q$24,3,TRUE)-V380,5),IF(J381&lt;10,0,IF(J381&lt;18,1,IF(J381&lt;22,2,IF(ISNUMBER(W380),VLOOKUP(W380+1,Calcs!$O$4:$Q$24,3,TRUE)-V380,5)))))</f>
        <v>0</v>
      </c>
      <c r="N381" s="245" t="str">
        <f t="shared" si="44"/>
        <v xml:space="preserve"> </v>
      </c>
      <c r="O381" s="245" t="str">
        <f t="shared" si="44"/>
        <v xml:space="preserve"> </v>
      </c>
      <c r="P381" s="245" t="str">
        <f t="shared" si="44"/>
        <v xml:space="preserve"> </v>
      </c>
      <c r="Q381" s="245" t="str">
        <f t="shared" si="44"/>
        <v xml:space="preserve"> </v>
      </c>
      <c r="R381" s="245" t="str">
        <f t="shared" si="44"/>
        <v xml:space="preserve"> </v>
      </c>
      <c r="S381" s="245" t="str">
        <f t="shared" si="44"/>
        <v xml:space="preserve"> </v>
      </c>
      <c r="T381" s="245" t="str">
        <f t="shared" si="44"/>
        <v xml:space="preserve"> </v>
      </c>
      <c r="U381" s="245" t="str">
        <f t="shared" si="37"/>
        <v xml:space="preserve"> </v>
      </c>
      <c r="V381" s="208">
        <f>SUM($N$10:$U381)</f>
        <v>0</v>
      </c>
      <c r="W381" s="208">
        <f>VLOOKUP(V381,Calcs!$Q$4:$R$24,2,TRUE)</f>
        <v>0</v>
      </c>
      <c r="X381" s="435" t="str">
        <f t="shared" si="41"/>
        <v>No</v>
      </c>
      <c r="Y381" s="436"/>
      <c r="Z381" s="435">
        <f t="shared" si="42"/>
        <v>0</v>
      </c>
      <c r="AA381" s="245" t="str">
        <f>IF(AND(X381="Yes",NOT(ISBLANK(Z381))),VLOOKUP(Z381,Calcs!$Y$48:$Z$57,2,TRUE)," ")</f>
        <v xml:space="preserve"> </v>
      </c>
    </row>
    <row r="382" spans="1:27" x14ac:dyDescent="0.2">
      <c r="A382" s="425">
        <f t="shared" si="43"/>
        <v>408</v>
      </c>
      <c r="B382" s="425" t="str">
        <f t="shared" si="39"/>
        <v>Winter</v>
      </c>
      <c r="C382" s="247">
        <f>IF(B382="Winter",A382-('Start Character'!$K$6)-1,IF('Start Character'!$K$7&gt;6,A382-('Start Character'!$K$6)-1,A382-('Start Character'!$K$6)))</f>
        <v>407</v>
      </c>
      <c r="D382" s="247">
        <f t="shared" si="40"/>
        <v>407</v>
      </c>
      <c r="E382" s="246"/>
      <c r="F382" s="83"/>
      <c r="G382" s="83"/>
      <c r="H382" s="246"/>
      <c r="I382" s="433"/>
      <c r="J382" s="254">
        <f>IF(ISBLANK(I382),0,ROUNDUP(D382/10,0)-E382-H382-F382-G382+VLOOKUP($D$2,Calcs!$A$23:$B$27,2,FALSE)+I382)</f>
        <v>0</v>
      </c>
      <c r="K382" s="245" t="str">
        <f>IF(ISBLANK(I382)," ",VLOOKUP(J382,Calcs!$A$82:$H$106,2,TRUE))</f>
        <v xml:space="preserve"> </v>
      </c>
      <c r="L382" s="245">
        <f>IF(ISBLANK(I382),0,VLOOKUP(J382,Calcs!$A$82:$F$106,5,TRUE))</f>
        <v>0</v>
      </c>
      <c r="M382" s="208">
        <f>IF(J382=13,IF(ISNUMBER(W381),VLOOKUP(W381+1,Calcs!$O$4:$Q$24,3,TRUE)-V381,5),IF(J382&lt;10,0,IF(J382&lt;18,1,IF(J382&lt;22,2,IF(ISNUMBER(W381),VLOOKUP(W381+1,Calcs!$O$4:$Q$24,3,TRUE)-V381,5)))))</f>
        <v>0</v>
      </c>
      <c r="N382" s="245" t="str">
        <f t="shared" si="44"/>
        <v xml:space="preserve"> </v>
      </c>
      <c r="O382" s="245" t="str">
        <f t="shared" si="44"/>
        <v xml:space="preserve"> </v>
      </c>
      <c r="P382" s="245" t="str">
        <f t="shared" si="44"/>
        <v xml:space="preserve"> </v>
      </c>
      <c r="Q382" s="245" t="str">
        <f t="shared" si="44"/>
        <v xml:space="preserve"> </v>
      </c>
      <c r="R382" s="245" t="str">
        <f t="shared" si="44"/>
        <v xml:space="preserve"> </v>
      </c>
      <c r="S382" s="245" t="str">
        <f t="shared" si="44"/>
        <v xml:space="preserve"> </v>
      </c>
      <c r="T382" s="245" t="str">
        <f t="shared" si="44"/>
        <v xml:space="preserve"> </v>
      </c>
      <c r="U382" s="245" t="str">
        <f t="shared" si="37"/>
        <v xml:space="preserve"> </v>
      </c>
      <c r="V382" s="208">
        <f>SUM($N$10:$U382)</f>
        <v>0</v>
      </c>
      <c r="W382" s="208">
        <f>VLOOKUP(V382,Calcs!$Q$4:$R$24,2,TRUE)</f>
        <v>0</v>
      </c>
      <c r="X382" s="435" t="str">
        <f t="shared" si="41"/>
        <v>No</v>
      </c>
      <c r="Y382" s="436"/>
      <c r="Z382" s="435">
        <f t="shared" si="42"/>
        <v>0</v>
      </c>
      <c r="AA382" s="245" t="str">
        <f>IF(AND(X382="Yes",NOT(ISBLANK(Z382))),VLOOKUP(Z382,Calcs!$Y$48:$Z$57,2,TRUE)," ")</f>
        <v xml:space="preserve"> </v>
      </c>
    </row>
    <row r="383" spans="1:27" x14ac:dyDescent="0.2">
      <c r="A383" s="425">
        <f t="shared" si="43"/>
        <v>409</v>
      </c>
      <c r="B383" s="425" t="str">
        <f t="shared" si="39"/>
        <v>Winter</v>
      </c>
      <c r="C383" s="247">
        <f>IF(B383="Winter",A383-('Start Character'!$K$6)-1,IF('Start Character'!$K$7&gt;6,A383-('Start Character'!$K$6)-1,A383-('Start Character'!$K$6)))</f>
        <v>408</v>
      </c>
      <c r="D383" s="247">
        <f t="shared" si="40"/>
        <v>408</v>
      </c>
      <c r="E383" s="246"/>
      <c r="F383" s="83"/>
      <c r="G383" s="83"/>
      <c r="H383" s="246"/>
      <c r="I383" s="433"/>
      <c r="J383" s="254">
        <f>IF(ISBLANK(I383),0,ROUNDUP(D383/10,0)-E383-H383-F383-G383+VLOOKUP($D$2,Calcs!$A$23:$B$27,2,FALSE)+I383)</f>
        <v>0</v>
      </c>
      <c r="K383" s="245" t="str">
        <f>IF(ISBLANK(I383)," ",VLOOKUP(J383,Calcs!$A$82:$H$106,2,TRUE))</f>
        <v xml:space="preserve"> </v>
      </c>
      <c r="L383" s="245">
        <f>IF(ISBLANK(I383),0,VLOOKUP(J383,Calcs!$A$82:$F$106,5,TRUE))</f>
        <v>0</v>
      </c>
      <c r="M383" s="208">
        <f>IF(J383=13,IF(ISNUMBER(W382),VLOOKUP(W382+1,Calcs!$O$4:$Q$24,3,TRUE)-V382,5),IF(J383&lt;10,0,IF(J383&lt;18,1,IF(J383&lt;22,2,IF(ISNUMBER(W382),VLOOKUP(W382+1,Calcs!$O$4:$Q$24,3,TRUE)-V382,5)))))</f>
        <v>0</v>
      </c>
      <c r="N383" s="245" t="str">
        <f t="shared" si="44"/>
        <v xml:space="preserve"> </v>
      </c>
      <c r="O383" s="245" t="str">
        <f t="shared" si="44"/>
        <v xml:space="preserve"> </v>
      </c>
      <c r="P383" s="245" t="str">
        <f t="shared" si="44"/>
        <v xml:space="preserve"> </v>
      </c>
      <c r="Q383" s="245" t="str">
        <f t="shared" si="44"/>
        <v xml:space="preserve"> </v>
      </c>
      <c r="R383" s="245" t="str">
        <f t="shared" si="44"/>
        <v xml:space="preserve"> </v>
      </c>
      <c r="S383" s="245" t="str">
        <f t="shared" si="44"/>
        <v xml:space="preserve"> </v>
      </c>
      <c r="T383" s="245" t="str">
        <f t="shared" si="44"/>
        <v xml:space="preserve"> </v>
      </c>
      <c r="U383" s="245" t="str">
        <f t="shared" si="37"/>
        <v xml:space="preserve"> </v>
      </c>
      <c r="V383" s="208">
        <f>SUM($N$10:$U383)</f>
        <v>0</v>
      </c>
      <c r="W383" s="208">
        <f>VLOOKUP(V383,Calcs!$Q$4:$R$24,2,TRUE)</f>
        <v>0</v>
      </c>
      <c r="X383" s="435" t="str">
        <f t="shared" si="41"/>
        <v>No</v>
      </c>
      <c r="Y383" s="436"/>
      <c r="Z383" s="435">
        <f t="shared" si="42"/>
        <v>0</v>
      </c>
      <c r="AA383" s="245" t="str">
        <f>IF(AND(X383="Yes",NOT(ISBLANK(Z383))),VLOOKUP(Z383,Calcs!$Y$48:$Z$57,2,TRUE)," ")</f>
        <v xml:space="preserve"> </v>
      </c>
    </row>
    <row r="384" spans="1:27" x14ac:dyDescent="0.2">
      <c r="A384" s="425">
        <f t="shared" si="43"/>
        <v>410</v>
      </c>
      <c r="B384" s="425" t="str">
        <f t="shared" si="39"/>
        <v>Winter</v>
      </c>
      <c r="C384" s="247">
        <f>IF(B384="Winter",A384-('Start Character'!$K$6)-1,IF('Start Character'!$K$7&gt;6,A384-('Start Character'!$K$6)-1,A384-('Start Character'!$K$6)))</f>
        <v>409</v>
      </c>
      <c r="D384" s="247">
        <f t="shared" si="40"/>
        <v>409</v>
      </c>
      <c r="E384" s="246"/>
      <c r="F384" s="83"/>
      <c r="G384" s="83"/>
      <c r="H384" s="246"/>
      <c r="I384" s="433"/>
      <c r="J384" s="254">
        <f>IF(ISBLANK(I384),0,ROUNDUP(D384/10,0)-E384-H384-F384-G384+VLOOKUP($D$2,Calcs!$A$23:$B$27,2,FALSE)+I384)</f>
        <v>0</v>
      </c>
      <c r="K384" s="245" t="str">
        <f>IF(ISBLANK(I384)," ",VLOOKUP(J384,Calcs!$A$82:$H$106,2,TRUE))</f>
        <v xml:space="preserve"> </v>
      </c>
      <c r="L384" s="245">
        <f>IF(ISBLANK(I384),0,VLOOKUP(J384,Calcs!$A$82:$F$106,5,TRUE))</f>
        <v>0</v>
      </c>
      <c r="M384" s="208">
        <f>IF(J384=13,IF(ISNUMBER(W383),VLOOKUP(W383+1,Calcs!$O$4:$Q$24,3,TRUE)-V383,5),IF(J384&lt;10,0,IF(J384&lt;18,1,IF(J384&lt;22,2,IF(ISNUMBER(W383),VLOOKUP(W383+1,Calcs!$O$4:$Q$24,3,TRUE)-V383,5)))))</f>
        <v>0</v>
      </c>
      <c r="N384" s="245" t="str">
        <f t="shared" si="44"/>
        <v xml:space="preserve"> </v>
      </c>
      <c r="O384" s="245" t="str">
        <f t="shared" si="44"/>
        <v xml:space="preserve"> </v>
      </c>
      <c r="P384" s="245" t="str">
        <f t="shared" si="44"/>
        <v xml:space="preserve"> </v>
      </c>
      <c r="Q384" s="245" t="str">
        <f t="shared" si="44"/>
        <v xml:space="preserve"> </v>
      </c>
      <c r="R384" s="245" t="str">
        <f t="shared" si="44"/>
        <v xml:space="preserve"> </v>
      </c>
      <c r="S384" s="245" t="str">
        <f t="shared" si="44"/>
        <v xml:space="preserve"> </v>
      </c>
      <c r="T384" s="245" t="str">
        <f t="shared" si="44"/>
        <v xml:space="preserve"> </v>
      </c>
      <c r="U384" s="245" t="str">
        <f t="shared" si="44"/>
        <v xml:space="preserve"> </v>
      </c>
      <c r="V384" s="208">
        <f>SUM($N$10:$U384)</f>
        <v>0</v>
      </c>
      <c r="W384" s="208">
        <f>VLOOKUP(V384,Calcs!$Q$4:$R$24,2,TRUE)</f>
        <v>0</v>
      </c>
      <c r="X384" s="435" t="str">
        <f t="shared" si="41"/>
        <v>No</v>
      </c>
      <c r="Y384" s="436"/>
      <c r="Z384" s="435">
        <f t="shared" si="42"/>
        <v>0</v>
      </c>
      <c r="AA384" s="245" t="str">
        <f>IF(AND(X384="Yes",NOT(ISBLANK(Z384))),VLOOKUP(Z384,Calcs!$Y$48:$Z$57,2,TRUE)," ")</f>
        <v xml:space="preserve"> </v>
      </c>
    </row>
    <row r="385" spans="1:27" x14ac:dyDescent="0.2">
      <c r="A385" s="425">
        <f t="shared" si="43"/>
        <v>411</v>
      </c>
      <c r="B385" s="425" t="str">
        <f t="shared" si="39"/>
        <v>Winter</v>
      </c>
      <c r="C385" s="247">
        <f>IF(B385="Winter",A385-('Start Character'!$K$6)-1,IF('Start Character'!$K$7&gt;6,A385-('Start Character'!$K$6)-1,A385-('Start Character'!$K$6)))</f>
        <v>410</v>
      </c>
      <c r="D385" s="247">
        <f t="shared" si="40"/>
        <v>410</v>
      </c>
      <c r="E385" s="246"/>
      <c r="F385" s="83"/>
      <c r="G385" s="83"/>
      <c r="H385" s="246"/>
      <c r="I385" s="433"/>
      <c r="J385" s="254">
        <f>IF(ISBLANK(I385),0,ROUNDUP(D385/10,0)-E385-H385-F385-G385+VLOOKUP($D$2,Calcs!$A$23:$B$27,2,FALSE)+I385)</f>
        <v>0</v>
      </c>
      <c r="K385" s="245" t="str">
        <f>IF(ISBLANK(I385)," ",VLOOKUP(J385,Calcs!$A$82:$H$106,2,TRUE))</f>
        <v xml:space="preserve"> </v>
      </c>
      <c r="L385" s="245">
        <f>IF(ISBLANK(I385),0,VLOOKUP(J385,Calcs!$A$82:$F$106,5,TRUE))</f>
        <v>0</v>
      </c>
      <c r="M385" s="208">
        <f>IF(J385=13,IF(ISNUMBER(W384),VLOOKUP(W384+1,Calcs!$O$4:$Q$24,3,TRUE)-V384,5),IF(J385&lt;10,0,IF(J385&lt;18,1,IF(J385&lt;22,2,IF(ISNUMBER(W384),VLOOKUP(W384+1,Calcs!$O$4:$Q$24,3,TRUE)-V384,5)))))</f>
        <v>0</v>
      </c>
      <c r="N385" s="245" t="str">
        <f t="shared" si="44"/>
        <v xml:space="preserve"> </v>
      </c>
      <c r="O385" s="245" t="str">
        <f t="shared" si="44"/>
        <v xml:space="preserve"> </v>
      </c>
      <c r="P385" s="245" t="str">
        <f t="shared" si="44"/>
        <v xml:space="preserve"> </v>
      </c>
      <c r="Q385" s="245" t="str">
        <f t="shared" si="44"/>
        <v xml:space="preserve"> </v>
      </c>
      <c r="R385" s="245" t="str">
        <f t="shared" si="44"/>
        <v xml:space="preserve"> </v>
      </c>
      <c r="S385" s="245" t="str">
        <f t="shared" si="44"/>
        <v xml:space="preserve"> </v>
      </c>
      <c r="T385" s="245" t="str">
        <f t="shared" si="44"/>
        <v xml:space="preserve"> </v>
      </c>
      <c r="U385" s="245" t="str">
        <f t="shared" si="44"/>
        <v xml:space="preserve"> </v>
      </c>
      <c r="V385" s="208">
        <f>SUM($N$10:$U385)</f>
        <v>0</v>
      </c>
      <c r="W385" s="208">
        <f>VLOOKUP(V385,Calcs!$Q$4:$R$24,2,TRUE)</f>
        <v>0</v>
      </c>
      <c r="X385" s="435" t="str">
        <f t="shared" si="41"/>
        <v>No</v>
      </c>
      <c r="Y385" s="436"/>
      <c r="Z385" s="435">
        <f t="shared" si="42"/>
        <v>0</v>
      </c>
      <c r="AA385" s="245" t="str">
        <f>IF(AND(X385="Yes",NOT(ISBLANK(Z385))),VLOOKUP(Z385,Calcs!$Y$48:$Z$57,2,TRUE)," ")</f>
        <v xml:space="preserve"> </v>
      </c>
    </row>
    <row r="386" spans="1:27" x14ac:dyDescent="0.2">
      <c r="A386" s="425">
        <f t="shared" si="43"/>
        <v>412</v>
      </c>
      <c r="B386" s="425" t="str">
        <f t="shared" si="39"/>
        <v>Winter</v>
      </c>
      <c r="C386" s="247">
        <f>IF(B386="Winter",A386-('Start Character'!$K$6)-1,IF('Start Character'!$K$7&gt;6,A386-('Start Character'!$K$6)-1,A386-('Start Character'!$K$6)))</f>
        <v>411</v>
      </c>
      <c r="D386" s="247">
        <f t="shared" si="40"/>
        <v>411</v>
      </c>
      <c r="E386" s="246"/>
      <c r="F386" s="83"/>
      <c r="G386" s="83"/>
      <c r="H386" s="246"/>
      <c r="I386" s="433"/>
      <c r="J386" s="254">
        <f>IF(ISBLANK(I386),0,ROUNDUP(D386/10,0)-E386-H386-F386-G386+VLOOKUP($D$2,Calcs!$A$23:$B$27,2,FALSE)+I386)</f>
        <v>0</v>
      </c>
      <c r="K386" s="245" t="str">
        <f>IF(ISBLANK(I386)," ",VLOOKUP(J386,Calcs!$A$82:$H$106,2,TRUE))</f>
        <v xml:space="preserve"> </v>
      </c>
      <c r="L386" s="245">
        <f>IF(ISBLANK(I386),0,VLOOKUP(J386,Calcs!$A$82:$F$106,5,TRUE))</f>
        <v>0</v>
      </c>
      <c r="M386" s="208">
        <f>IF(J386=13,IF(ISNUMBER(W385),VLOOKUP(W385+1,Calcs!$O$4:$Q$24,3,TRUE)-V385,5),IF(J386&lt;10,0,IF(J386&lt;18,1,IF(J386&lt;22,2,IF(ISNUMBER(W385),VLOOKUP(W385+1,Calcs!$O$4:$Q$24,3,TRUE)-V385,5)))))</f>
        <v>0</v>
      </c>
      <c r="N386" s="245" t="str">
        <f t="shared" si="44"/>
        <v xml:space="preserve"> </v>
      </c>
      <c r="O386" s="245" t="str">
        <f t="shared" si="44"/>
        <v xml:space="preserve"> </v>
      </c>
      <c r="P386" s="245" t="str">
        <f t="shared" si="44"/>
        <v xml:space="preserve"> </v>
      </c>
      <c r="Q386" s="245" t="str">
        <f t="shared" si="44"/>
        <v xml:space="preserve"> </v>
      </c>
      <c r="R386" s="245" t="str">
        <f t="shared" si="44"/>
        <v xml:space="preserve"> </v>
      </c>
      <c r="S386" s="245" t="str">
        <f t="shared" si="44"/>
        <v xml:space="preserve"> </v>
      </c>
      <c r="T386" s="245" t="str">
        <f t="shared" si="44"/>
        <v xml:space="preserve"> </v>
      </c>
      <c r="U386" s="245" t="str">
        <f t="shared" si="44"/>
        <v xml:space="preserve"> </v>
      </c>
      <c r="V386" s="208">
        <f>SUM($N$10:$U386)</f>
        <v>0</v>
      </c>
      <c r="W386" s="208">
        <f>VLOOKUP(V386,Calcs!$Q$4:$R$24,2,TRUE)</f>
        <v>0</v>
      </c>
      <c r="X386" s="435" t="str">
        <f t="shared" si="41"/>
        <v>No</v>
      </c>
      <c r="Y386" s="436"/>
      <c r="Z386" s="435">
        <f t="shared" si="42"/>
        <v>0</v>
      </c>
      <c r="AA386" s="245" t="str">
        <f>IF(AND(X386="Yes",NOT(ISBLANK(Z386))),VLOOKUP(Z386,Calcs!$Y$48:$Z$57,2,TRUE)," ")</f>
        <v xml:space="preserve"> </v>
      </c>
    </row>
    <row r="387" spans="1:27" x14ac:dyDescent="0.2">
      <c r="A387" s="425">
        <f t="shared" si="43"/>
        <v>413</v>
      </c>
      <c r="B387" s="425" t="str">
        <f t="shared" si="39"/>
        <v>Winter</v>
      </c>
      <c r="C387" s="247">
        <f>IF(B387="Winter",A387-('Start Character'!$K$6)-1,IF('Start Character'!$K$7&gt;6,A387-('Start Character'!$K$6)-1,A387-('Start Character'!$K$6)))</f>
        <v>412</v>
      </c>
      <c r="D387" s="247">
        <f t="shared" si="40"/>
        <v>412</v>
      </c>
      <c r="E387" s="246"/>
      <c r="F387" s="83"/>
      <c r="G387" s="83"/>
      <c r="H387" s="246"/>
      <c r="I387" s="433"/>
      <c r="J387" s="254">
        <f>IF(ISBLANK(I387),0,ROUNDUP(D387/10,0)-E387-H387-F387-G387+VLOOKUP($D$2,Calcs!$A$23:$B$27,2,FALSE)+I387)</f>
        <v>0</v>
      </c>
      <c r="K387" s="245" t="str">
        <f>IF(ISBLANK(I387)," ",VLOOKUP(J387,Calcs!$A$82:$H$106,2,TRUE))</f>
        <v xml:space="preserve"> </v>
      </c>
      <c r="L387" s="245">
        <f>IF(ISBLANK(I387),0,VLOOKUP(J387,Calcs!$A$82:$F$106,5,TRUE))</f>
        <v>0</v>
      </c>
      <c r="M387" s="208">
        <f>IF(J387=13,IF(ISNUMBER(W386),VLOOKUP(W386+1,Calcs!$O$4:$Q$24,3,TRUE)-V386,5),IF(J387&lt;10,0,IF(J387&lt;18,1,IF(J387&lt;22,2,IF(ISNUMBER(W386),VLOOKUP(W386+1,Calcs!$O$4:$Q$24,3,TRUE)-V386,5)))))</f>
        <v>0</v>
      </c>
      <c r="N387" s="245" t="str">
        <f t="shared" si="44"/>
        <v xml:space="preserve"> </v>
      </c>
      <c r="O387" s="245" t="str">
        <f t="shared" si="44"/>
        <v xml:space="preserve"> </v>
      </c>
      <c r="P387" s="245" t="str">
        <f t="shared" si="44"/>
        <v xml:space="preserve"> </v>
      </c>
      <c r="Q387" s="245" t="str">
        <f t="shared" si="44"/>
        <v xml:space="preserve"> </v>
      </c>
      <c r="R387" s="245" t="str">
        <f t="shared" si="44"/>
        <v xml:space="preserve"> </v>
      </c>
      <c r="S387" s="245" t="str">
        <f t="shared" si="44"/>
        <v xml:space="preserve"> </v>
      </c>
      <c r="T387" s="245" t="str">
        <f t="shared" si="44"/>
        <v xml:space="preserve"> </v>
      </c>
      <c r="U387" s="245" t="str">
        <f t="shared" si="44"/>
        <v xml:space="preserve"> </v>
      </c>
      <c r="V387" s="208">
        <f>SUM($N$10:$U387)</f>
        <v>0</v>
      </c>
      <c r="W387" s="208">
        <f>VLOOKUP(V387,Calcs!$Q$4:$R$24,2,TRUE)</f>
        <v>0</v>
      </c>
      <c r="X387" s="435" t="str">
        <f t="shared" si="41"/>
        <v>No</v>
      </c>
      <c r="Y387" s="436"/>
      <c r="Z387" s="435">
        <f t="shared" si="42"/>
        <v>0</v>
      </c>
      <c r="AA387" s="245" t="str">
        <f>IF(AND(X387="Yes",NOT(ISBLANK(Z387))),VLOOKUP(Z387,Calcs!$Y$48:$Z$57,2,TRUE)," ")</f>
        <v xml:space="preserve"> </v>
      </c>
    </row>
    <row r="388" spans="1:27" x14ac:dyDescent="0.2">
      <c r="A388" s="425">
        <f t="shared" si="43"/>
        <v>414</v>
      </c>
      <c r="B388" s="425" t="str">
        <f t="shared" si="39"/>
        <v>Winter</v>
      </c>
      <c r="C388" s="247">
        <f>IF(B388="Winter",A388-('Start Character'!$K$6)-1,IF('Start Character'!$K$7&gt;6,A388-('Start Character'!$K$6)-1,A388-('Start Character'!$K$6)))</f>
        <v>413</v>
      </c>
      <c r="D388" s="247">
        <f t="shared" si="40"/>
        <v>413</v>
      </c>
      <c r="E388" s="246"/>
      <c r="F388" s="83"/>
      <c r="G388" s="83"/>
      <c r="H388" s="246"/>
      <c r="I388" s="433"/>
      <c r="J388" s="254">
        <f>IF(ISBLANK(I388),0,ROUNDUP(D388/10,0)-E388-H388-F388-G388+VLOOKUP($D$2,Calcs!$A$23:$B$27,2,FALSE)+I388)</f>
        <v>0</v>
      </c>
      <c r="K388" s="245" t="str">
        <f>IF(ISBLANK(I388)," ",VLOOKUP(J388,Calcs!$A$82:$H$106,2,TRUE))</f>
        <v xml:space="preserve"> </v>
      </c>
      <c r="L388" s="245">
        <f>IF(ISBLANK(I388),0,VLOOKUP(J388,Calcs!$A$82:$F$106,5,TRUE))</f>
        <v>0</v>
      </c>
      <c r="M388" s="208">
        <f>IF(J388=13,IF(ISNUMBER(W387),VLOOKUP(W387+1,Calcs!$O$4:$Q$24,3,TRUE)-V387,5),IF(J388&lt;10,0,IF(J388&lt;18,1,IF(J388&lt;22,2,IF(ISNUMBER(W387),VLOOKUP(W387+1,Calcs!$O$4:$Q$24,3,TRUE)-V387,5)))))</f>
        <v>0</v>
      </c>
      <c r="N388" s="245" t="str">
        <f t="shared" si="44"/>
        <v xml:space="preserve"> </v>
      </c>
      <c r="O388" s="245" t="str">
        <f t="shared" si="44"/>
        <v xml:space="preserve"> </v>
      </c>
      <c r="P388" s="245" t="str">
        <f t="shared" si="44"/>
        <v xml:space="preserve"> </v>
      </c>
      <c r="Q388" s="245" t="str">
        <f t="shared" si="44"/>
        <v xml:space="preserve"> </v>
      </c>
      <c r="R388" s="245" t="str">
        <f t="shared" si="44"/>
        <v xml:space="preserve"> </v>
      </c>
      <c r="S388" s="245" t="str">
        <f t="shared" si="44"/>
        <v xml:space="preserve"> </v>
      </c>
      <c r="T388" s="245" t="str">
        <f t="shared" si="44"/>
        <v xml:space="preserve"> </v>
      </c>
      <c r="U388" s="245" t="str">
        <f t="shared" si="44"/>
        <v xml:space="preserve"> </v>
      </c>
      <c r="V388" s="208">
        <f>SUM($N$10:$U388)</f>
        <v>0</v>
      </c>
      <c r="W388" s="208">
        <f>VLOOKUP(V388,Calcs!$Q$4:$R$24,2,TRUE)</f>
        <v>0</v>
      </c>
      <c r="X388" s="435" t="str">
        <f t="shared" si="41"/>
        <v>No</v>
      </c>
      <c r="Y388" s="436"/>
      <c r="Z388" s="435">
        <f t="shared" si="42"/>
        <v>0</v>
      </c>
      <c r="AA388" s="245" t="str">
        <f>IF(AND(X388="Yes",NOT(ISBLANK(Z388))),VLOOKUP(Z388,Calcs!$Y$48:$Z$57,2,TRUE)," ")</f>
        <v xml:space="preserve"> </v>
      </c>
    </row>
    <row r="389" spans="1:27" x14ac:dyDescent="0.2">
      <c r="A389" s="425">
        <f t="shared" si="43"/>
        <v>415</v>
      </c>
      <c r="B389" s="425" t="str">
        <f t="shared" si="39"/>
        <v>Winter</v>
      </c>
      <c r="C389" s="247">
        <f>IF(B389="Winter",A389-('Start Character'!$K$6)-1,IF('Start Character'!$K$7&gt;6,A389-('Start Character'!$K$6)-1,A389-('Start Character'!$K$6)))</f>
        <v>414</v>
      </c>
      <c r="D389" s="247">
        <f t="shared" si="40"/>
        <v>414</v>
      </c>
      <c r="E389" s="246"/>
      <c r="F389" s="83"/>
      <c r="G389" s="83"/>
      <c r="H389" s="246"/>
      <c r="I389" s="433"/>
      <c r="J389" s="254">
        <f>IF(ISBLANK(I389),0,ROUNDUP(D389/10,0)-E389-H389-F389-G389+VLOOKUP($D$2,Calcs!$A$23:$B$27,2,FALSE)+I389)</f>
        <v>0</v>
      </c>
      <c r="K389" s="245" t="str">
        <f>IF(ISBLANK(I389)," ",VLOOKUP(J389,Calcs!$A$82:$H$106,2,TRUE))</f>
        <v xml:space="preserve"> </v>
      </c>
      <c r="L389" s="245">
        <f>IF(ISBLANK(I389),0,VLOOKUP(J389,Calcs!$A$82:$F$106,5,TRUE))</f>
        <v>0</v>
      </c>
      <c r="M389" s="208">
        <f>IF(J389=13,IF(ISNUMBER(W388),VLOOKUP(W388+1,Calcs!$O$4:$Q$24,3,TRUE)-V388,5),IF(J389&lt;10,0,IF(J389&lt;18,1,IF(J389&lt;22,2,IF(ISNUMBER(W388),VLOOKUP(W388+1,Calcs!$O$4:$Q$24,3,TRUE)-V388,5)))))</f>
        <v>0</v>
      </c>
      <c r="N389" s="245" t="str">
        <f t="shared" si="44"/>
        <v xml:space="preserve"> </v>
      </c>
      <c r="O389" s="245" t="str">
        <f t="shared" si="44"/>
        <v xml:space="preserve"> </v>
      </c>
      <c r="P389" s="245" t="str">
        <f t="shared" si="44"/>
        <v xml:space="preserve"> </v>
      </c>
      <c r="Q389" s="245" t="str">
        <f t="shared" si="44"/>
        <v xml:space="preserve"> </v>
      </c>
      <c r="R389" s="245" t="str">
        <f t="shared" si="44"/>
        <v xml:space="preserve"> </v>
      </c>
      <c r="S389" s="245" t="str">
        <f t="shared" si="44"/>
        <v xml:space="preserve"> </v>
      </c>
      <c r="T389" s="245" t="str">
        <f t="shared" si="44"/>
        <v xml:space="preserve"> </v>
      </c>
      <c r="U389" s="245" t="str">
        <f t="shared" si="44"/>
        <v xml:space="preserve"> </v>
      </c>
      <c r="V389" s="208">
        <f>SUM($N$10:$U389)</f>
        <v>0</v>
      </c>
      <c r="W389" s="208">
        <f>VLOOKUP(V389,Calcs!$Q$4:$R$24,2,TRUE)</f>
        <v>0</v>
      </c>
      <c r="X389" s="435" t="str">
        <f t="shared" si="41"/>
        <v>No</v>
      </c>
      <c r="Y389" s="436"/>
      <c r="Z389" s="435">
        <f t="shared" si="42"/>
        <v>0</v>
      </c>
      <c r="AA389" s="245" t="str">
        <f>IF(AND(X389="Yes",NOT(ISBLANK(Z389))),VLOOKUP(Z389,Calcs!$Y$48:$Z$57,2,TRUE)," ")</f>
        <v xml:space="preserve"> </v>
      </c>
    </row>
    <row r="390" spans="1:27" x14ac:dyDescent="0.2">
      <c r="A390" s="425">
        <f t="shared" si="43"/>
        <v>416</v>
      </c>
      <c r="B390" s="425" t="str">
        <f t="shared" si="39"/>
        <v>Winter</v>
      </c>
      <c r="C390" s="247">
        <f>IF(B390="Winter",A390-('Start Character'!$K$6)-1,IF('Start Character'!$K$7&gt;6,A390-('Start Character'!$K$6)-1,A390-('Start Character'!$K$6)))</f>
        <v>415</v>
      </c>
      <c r="D390" s="247">
        <f t="shared" si="40"/>
        <v>415</v>
      </c>
      <c r="E390" s="246"/>
      <c r="F390" s="83"/>
      <c r="G390" s="83"/>
      <c r="H390" s="246"/>
      <c r="I390" s="433"/>
      <c r="J390" s="254">
        <f>IF(ISBLANK(I390),0,ROUNDUP(D390/10,0)-E390-H390-F390-G390+VLOOKUP($D$2,Calcs!$A$23:$B$27,2,FALSE)+I390)</f>
        <v>0</v>
      </c>
      <c r="K390" s="245" t="str">
        <f>IF(ISBLANK(I390)," ",VLOOKUP(J390,Calcs!$A$82:$H$106,2,TRUE))</f>
        <v xml:space="preserve"> </v>
      </c>
      <c r="L390" s="245">
        <f>IF(ISBLANK(I390),0,VLOOKUP(J390,Calcs!$A$82:$F$106,5,TRUE))</f>
        <v>0</v>
      </c>
      <c r="M390" s="208">
        <f>IF(J390=13,IF(ISNUMBER(W389),VLOOKUP(W389+1,Calcs!$O$4:$Q$24,3,TRUE)-V389,5),IF(J390&lt;10,0,IF(J390&lt;18,1,IF(J390&lt;22,2,IF(ISNUMBER(W389),VLOOKUP(W389+1,Calcs!$O$4:$Q$24,3,TRUE)-V389,5)))))</f>
        <v>0</v>
      </c>
      <c r="N390" s="245" t="str">
        <f t="shared" si="44"/>
        <v xml:space="preserve"> </v>
      </c>
      <c r="O390" s="245" t="str">
        <f t="shared" si="44"/>
        <v xml:space="preserve"> </v>
      </c>
      <c r="P390" s="245" t="str">
        <f t="shared" si="44"/>
        <v xml:space="preserve"> </v>
      </c>
      <c r="Q390" s="245" t="str">
        <f t="shared" si="44"/>
        <v xml:space="preserve"> </v>
      </c>
      <c r="R390" s="245" t="str">
        <f t="shared" si="44"/>
        <v xml:space="preserve"> </v>
      </c>
      <c r="S390" s="245" t="str">
        <f t="shared" si="44"/>
        <v xml:space="preserve"> </v>
      </c>
      <c r="T390" s="245" t="str">
        <f t="shared" si="44"/>
        <v xml:space="preserve"> </v>
      </c>
      <c r="U390" s="245" t="str">
        <f t="shared" si="44"/>
        <v xml:space="preserve"> </v>
      </c>
      <c r="V390" s="208">
        <f>SUM($N$10:$U390)</f>
        <v>0</v>
      </c>
      <c r="W390" s="208">
        <f>VLOOKUP(V390,Calcs!$Q$4:$R$24,2,TRUE)</f>
        <v>0</v>
      </c>
      <c r="X390" s="435" t="str">
        <f t="shared" si="41"/>
        <v>No</v>
      </c>
      <c r="Y390" s="436"/>
      <c r="Z390" s="435">
        <f t="shared" si="42"/>
        <v>0</v>
      </c>
      <c r="AA390" s="245" t="str">
        <f>IF(AND(X390="Yes",NOT(ISBLANK(Z390))),VLOOKUP(Z390,Calcs!$Y$48:$Z$57,2,TRUE)," ")</f>
        <v xml:space="preserve"> </v>
      </c>
    </row>
    <row r="391" spans="1:27" x14ac:dyDescent="0.2">
      <c r="A391" s="425">
        <f t="shared" si="43"/>
        <v>417</v>
      </c>
      <c r="B391" s="425" t="str">
        <f t="shared" si="39"/>
        <v>Winter</v>
      </c>
      <c r="C391" s="247">
        <f>IF(B391="Winter",A391-('Start Character'!$K$6)-1,IF('Start Character'!$K$7&gt;6,A391-('Start Character'!$K$6)-1,A391-('Start Character'!$K$6)))</f>
        <v>416</v>
      </c>
      <c r="D391" s="247">
        <f t="shared" si="40"/>
        <v>416</v>
      </c>
      <c r="E391" s="246"/>
      <c r="F391" s="83"/>
      <c r="G391" s="83"/>
      <c r="H391" s="246"/>
      <c r="I391" s="433"/>
      <c r="J391" s="254">
        <f>IF(ISBLANK(I391),0,ROUNDUP(D391/10,0)-E391-H391-F391-G391+VLOOKUP($D$2,Calcs!$A$23:$B$27,2,FALSE)+I391)</f>
        <v>0</v>
      </c>
      <c r="K391" s="245" t="str">
        <f>IF(ISBLANK(I391)," ",VLOOKUP(J391,Calcs!$A$82:$H$106,2,TRUE))</f>
        <v xml:space="preserve"> </v>
      </c>
      <c r="L391" s="245">
        <f>IF(ISBLANK(I391),0,VLOOKUP(J391,Calcs!$A$82:$F$106,5,TRUE))</f>
        <v>0</v>
      </c>
      <c r="M391" s="208">
        <f>IF(J391=13,IF(ISNUMBER(W390),VLOOKUP(W390+1,Calcs!$O$4:$Q$24,3,TRUE)-V390,5),IF(J391&lt;10,0,IF(J391&lt;18,1,IF(J391&lt;22,2,IF(ISNUMBER(W390),VLOOKUP(W390+1,Calcs!$O$4:$Q$24,3,TRUE)-V390,5)))))</f>
        <v>0</v>
      </c>
      <c r="N391" s="245" t="str">
        <f t="shared" si="44"/>
        <v xml:space="preserve"> </v>
      </c>
      <c r="O391" s="245" t="str">
        <f t="shared" si="44"/>
        <v xml:space="preserve"> </v>
      </c>
      <c r="P391" s="245" t="str">
        <f t="shared" si="44"/>
        <v xml:space="preserve"> </v>
      </c>
      <c r="Q391" s="245" t="str">
        <f t="shared" si="44"/>
        <v xml:space="preserve"> </v>
      </c>
      <c r="R391" s="245" t="str">
        <f t="shared" si="44"/>
        <v xml:space="preserve"> </v>
      </c>
      <c r="S391" s="245" t="str">
        <f t="shared" si="44"/>
        <v xml:space="preserve"> </v>
      </c>
      <c r="T391" s="245" t="str">
        <f t="shared" si="44"/>
        <v xml:space="preserve"> </v>
      </c>
      <c r="U391" s="245" t="str">
        <f t="shared" si="44"/>
        <v xml:space="preserve"> </v>
      </c>
      <c r="V391" s="208">
        <f>SUM($N$10:$U391)</f>
        <v>0</v>
      </c>
      <c r="W391" s="208">
        <f>VLOOKUP(V391,Calcs!$Q$4:$R$24,2,TRUE)</f>
        <v>0</v>
      </c>
      <c r="X391" s="435" t="str">
        <f t="shared" si="41"/>
        <v>No</v>
      </c>
      <c r="Y391" s="436"/>
      <c r="Z391" s="435">
        <f t="shared" si="42"/>
        <v>0</v>
      </c>
      <c r="AA391" s="245" t="str">
        <f>IF(AND(X391="Yes",NOT(ISBLANK(Z391))),VLOOKUP(Z391,Calcs!$Y$48:$Z$57,2,TRUE)," ")</f>
        <v xml:space="preserve"> </v>
      </c>
    </row>
    <row r="392" spans="1:27" x14ac:dyDescent="0.2">
      <c r="A392" s="425">
        <f t="shared" si="43"/>
        <v>418</v>
      </c>
      <c r="B392" s="425" t="str">
        <f t="shared" si="39"/>
        <v>Winter</v>
      </c>
      <c r="C392" s="247">
        <f>IF(B392="Winter",A392-('Start Character'!$K$6)-1,IF('Start Character'!$K$7&gt;6,A392-('Start Character'!$K$6)-1,A392-('Start Character'!$K$6)))</f>
        <v>417</v>
      </c>
      <c r="D392" s="247">
        <f t="shared" si="40"/>
        <v>417</v>
      </c>
      <c r="E392" s="246"/>
      <c r="F392" s="83"/>
      <c r="G392" s="83"/>
      <c r="H392" s="246"/>
      <c r="I392" s="433"/>
      <c r="J392" s="254">
        <f>IF(ISBLANK(I392),0,ROUNDUP(D392/10,0)-E392-H392-F392-G392+VLOOKUP($D$2,Calcs!$A$23:$B$27,2,FALSE)+I392)</f>
        <v>0</v>
      </c>
      <c r="K392" s="245" t="str">
        <f>IF(ISBLANK(I392)," ",VLOOKUP(J392,Calcs!$A$82:$H$106,2,TRUE))</f>
        <v xml:space="preserve"> </v>
      </c>
      <c r="L392" s="245">
        <f>IF(ISBLANK(I392),0,VLOOKUP(J392,Calcs!$A$82:$F$106,5,TRUE))</f>
        <v>0</v>
      </c>
      <c r="M392" s="208">
        <f>IF(J392=13,IF(ISNUMBER(W391),VLOOKUP(W391+1,Calcs!$O$4:$Q$24,3,TRUE)-V391,5),IF(J392&lt;10,0,IF(J392&lt;18,1,IF(J392&lt;22,2,IF(ISNUMBER(W391),VLOOKUP(W391+1,Calcs!$O$4:$Q$24,3,TRUE)-V391,5)))))</f>
        <v>0</v>
      </c>
      <c r="N392" s="245" t="str">
        <f t="shared" si="44"/>
        <v xml:space="preserve"> </v>
      </c>
      <c r="O392" s="245" t="str">
        <f t="shared" si="44"/>
        <v xml:space="preserve"> </v>
      </c>
      <c r="P392" s="245" t="str">
        <f t="shared" si="44"/>
        <v xml:space="preserve"> </v>
      </c>
      <c r="Q392" s="245" t="str">
        <f t="shared" si="44"/>
        <v xml:space="preserve"> </v>
      </c>
      <c r="R392" s="245" t="str">
        <f t="shared" si="44"/>
        <v xml:space="preserve"> </v>
      </c>
      <c r="S392" s="245" t="str">
        <f t="shared" ref="N392:U424" si="45">IF(ISERROR(FIND(S$9,$K392))," ",1)</f>
        <v xml:space="preserve"> </v>
      </c>
      <c r="T392" s="245" t="str">
        <f t="shared" si="45"/>
        <v xml:space="preserve"> </v>
      </c>
      <c r="U392" s="245" t="str">
        <f t="shared" si="45"/>
        <v xml:space="preserve"> </v>
      </c>
      <c r="V392" s="208">
        <f>SUM($N$10:$U392)</f>
        <v>0</v>
      </c>
      <c r="W392" s="208">
        <f>VLOOKUP(V392,Calcs!$Q$4:$R$24,2,TRUE)</f>
        <v>0</v>
      </c>
      <c r="X392" s="435" t="str">
        <f t="shared" si="41"/>
        <v>No</v>
      </c>
      <c r="Y392" s="436"/>
      <c r="Z392" s="435">
        <f t="shared" si="42"/>
        <v>0</v>
      </c>
      <c r="AA392" s="245" t="str">
        <f>IF(AND(X392="Yes",NOT(ISBLANK(Z392))),VLOOKUP(Z392,Calcs!$Y$48:$Z$57,2,TRUE)," ")</f>
        <v xml:space="preserve"> </v>
      </c>
    </row>
    <row r="393" spans="1:27" x14ac:dyDescent="0.2">
      <c r="A393" s="425">
        <f t="shared" si="43"/>
        <v>419</v>
      </c>
      <c r="B393" s="425" t="str">
        <f t="shared" si="39"/>
        <v>Winter</v>
      </c>
      <c r="C393" s="247">
        <f>IF(B393="Winter",A393-('Start Character'!$K$6)-1,IF('Start Character'!$K$7&gt;6,A393-('Start Character'!$K$6)-1,A393-('Start Character'!$K$6)))</f>
        <v>418</v>
      </c>
      <c r="D393" s="247">
        <f t="shared" si="40"/>
        <v>418</v>
      </c>
      <c r="E393" s="246"/>
      <c r="F393" s="83"/>
      <c r="G393" s="83"/>
      <c r="H393" s="246"/>
      <c r="I393" s="433"/>
      <c r="J393" s="254">
        <f>IF(ISBLANK(I393),0,ROUNDUP(D393/10,0)-E393-H393-F393-G393+VLOOKUP($D$2,Calcs!$A$23:$B$27,2,FALSE)+I393)</f>
        <v>0</v>
      </c>
      <c r="K393" s="245" t="str">
        <f>IF(ISBLANK(I393)," ",VLOOKUP(J393,Calcs!$A$82:$H$106,2,TRUE))</f>
        <v xml:space="preserve"> </v>
      </c>
      <c r="L393" s="245">
        <f>IF(ISBLANK(I393),0,VLOOKUP(J393,Calcs!$A$82:$F$106,5,TRUE))</f>
        <v>0</v>
      </c>
      <c r="M393" s="208">
        <f>IF(J393=13,IF(ISNUMBER(W392),VLOOKUP(W392+1,Calcs!$O$4:$Q$24,3,TRUE)-V392,5),IF(J393&lt;10,0,IF(J393&lt;18,1,IF(J393&lt;22,2,IF(ISNUMBER(W392),VLOOKUP(W392+1,Calcs!$O$4:$Q$24,3,TRUE)-V392,5)))))</f>
        <v>0</v>
      </c>
      <c r="N393" s="245" t="str">
        <f t="shared" si="45"/>
        <v xml:space="preserve"> </v>
      </c>
      <c r="O393" s="245" t="str">
        <f t="shared" si="45"/>
        <v xml:space="preserve"> </v>
      </c>
      <c r="P393" s="245" t="str">
        <f t="shared" si="45"/>
        <v xml:space="preserve"> </v>
      </c>
      <c r="Q393" s="245" t="str">
        <f t="shared" si="45"/>
        <v xml:space="preserve"> </v>
      </c>
      <c r="R393" s="245" t="str">
        <f t="shared" si="45"/>
        <v xml:space="preserve"> </v>
      </c>
      <c r="S393" s="245" t="str">
        <f t="shared" si="45"/>
        <v xml:space="preserve"> </v>
      </c>
      <c r="T393" s="245" t="str">
        <f t="shared" si="45"/>
        <v xml:space="preserve"> </v>
      </c>
      <c r="U393" s="245" t="str">
        <f t="shared" si="45"/>
        <v xml:space="preserve"> </v>
      </c>
      <c r="V393" s="208">
        <f>SUM($N$10:$U393)</f>
        <v>0</v>
      </c>
      <c r="W393" s="208">
        <f>VLOOKUP(V393,Calcs!$Q$4:$R$24,2,TRUE)</f>
        <v>0</v>
      </c>
      <c r="X393" s="435" t="str">
        <f t="shared" si="41"/>
        <v>No</v>
      </c>
      <c r="Y393" s="436"/>
      <c r="Z393" s="435">
        <f t="shared" si="42"/>
        <v>0</v>
      </c>
      <c r="AA393" s="245" t="str">
        <f>IF(AND(X393="Yes",NOT(ISBLANK(Z393))),VLOOKUP(Z393,Calcs!$Y$48:$Z$57,2,TRUE)," ")</f>
        <v xml:space="preserve"> </v>
      </c>
    </row>
    <row r="394" spans="1:27" x14ac:dyDescent="0.2">
      <c r="A394" s="425">
        <f t="shared" si="43"/>
        <v>420</v>
      </c>
      <c r="B394" s="425" t="str">
        <f t="shared" si="39"/>
        <v>Winter</v>
      </c>
      <c r="C394" s="247">
        <f>IF(B394="Winter",A394-('Start Character'!$K$6)-1,IF('Start Character'!$K$7&gt;6,A394-('Start Character'!$K$6)-1,A394-('Start Character'!$K$6)))</f>
        <v>419</v>
      </c>
      <c r="D394" s="247">
        <f t="shared" si="40"/>
        <v>419</v>
      </c>
      <c r="E394" s="246"/>
      <c r="F394" s="83"/>
      <c r="G394" s="83"/>
      <c r="H394" s="246"/>
      <c r="I394" s="433"/>
      <c r="J394" s="254">
        <f>IF(ISBLANK(I394),0,ROUNDUP(D394/10,0)-E394-H394-F394-G394+VLOOKUP($D$2,Calcs!$A$23:$B$27,2,FALSE)+I394)</f>
        <v>0</v>
      </c>
      <c r="K394" s="245" t="str">
        <f>IF(ISBLANK(I394)," ",VLOOKUP(J394,Calcs!$A$82:$H$106,2,TRUE))</f>
        <v xml:space="preserve"> </v>
      </c>
      <c r="L394" s="245">
        <f>IF(ISBLANK(I394),0,VLOOKUP(J394,Calcs!$A$82:$F$106,5,TRUE))</f>
        <v>0</v>
      </c>
      <c r="M394" s="208">
        <f>IF(J394=13,IF(ISNUMBER(W393),VLOOKUP(W393+1,Calcs!$O$4:$Q$24,3,TRUE)-V393,5),IF(J394&lt;10,0,IF(J394&lt;18,1,IF(J394&lt;22,2,IF(ISNUMBER(W393),VLOOKUP(W393+1,Calcs!$O$4:$Q$24,3,TRUE)-V393,5)))))</f>
        <v>0</v>
      </c>
      <c r="N394" s="245" t="str">
        <f t="shared" si="45"/>
        <v xml:space="preserve"> </v>
      </c>
      <c r="O394" s="245" t="str">
        <f t="shared" si="45"/>
        <v xml:space="preserve"> </v>
      </c>
      <c r="P394" s="245" t="str">
        <f t="shared" si="45"/>
        <v xml:space="preserve"> </v>
      </c>
      <c r="Q394" s="245" t="str">
        <f t="shared" si="45"/>
        <v xml:space="preserve"> </v>
      </c>
      <c r="R394" s="245" t="str">
        <f t="shared" si="45"/>
        <v xml:space="preserve"> </v>
      </c>
      <c r="S394" s="245" t="str">
        <f t="shared" si="45"/>
        <v xml:space="preserve"> </v>
      </c>
      <c r="T394" s="245" t="str">
        <f t="shared" si="45"/>
        <v xml:space="preserve"> </v>
      </c>
      <c r="U394" s="245" t="str">
        <f t="shared" si="45"/>
        <v xml:space="preserve"> </v>
      </c>
      <c r="V394" s="208">
        <f>SUM($N$10:$U394)</f>
        <v>0</v>
      </c>
      <c r="W394" s="208">
        <f>VLOOKUP(V394,Calcs!$Q$4:$R$24,2,TRUE)</f>
        <v>0</v>
      </c>
      <c r="X394" s="435" t="str">
        <f t="shared" si="41"/>
        <v>No</v>
      </c>
      <c r="Y394" s="436"/>
      <c r="Z394" s="435">
        <f t="shared" si="42"/>
        <v>0</v>
      </c>
      <c r="AA394" s="245" t="str">
        <f>IF(AND(X394="Yes",NOT(ISBLANK(Z394))),VLOOKUP(Z394,Calcs!$Y$48:$Z$57,2,TRUE)," ")</f>
        <v xml:space="preserve"> </v>
      </c>
    </row>
    <row r="395" spans="1:27" x14ac:dyDescent="0.2">
      <c r="A395" s="425">
        <f t="shared" si="43"/>
        <v>421</v>
      </c>
      <c r="B395" s="425" t="str">
        <f t="shared" ref="B395:B458" si="46">IF(AND($D$2="Age Quickly",B394="Winter"),"Summer","Winter")</f>
        <v>Winter</v>
      </c>
      <c r="C395" s="247">
        <f>IF(B395="Winter",A395-('Start Character'!$K$6)-1,IF('Start Character'!$K$7&gt;6,A395-('Start Character'!$K$6)-1,A395-('Start Character'!$K$6)))</f>
        <v>420</v>
      </c>
      <c r="D395" s="247">
        <f t="shared" ref="D395:D458" si="47">IF($D$2="Age Quickly",IF(C394=C395,(C395*2)+1,C395*2),C395)</f>
        <v>420</v>
      </c>
      <c r="E395" s="246"/>
      <c r="F395" s="83"/>
      <c r="G395" s="83"/>
      <c r="H395" s="246"/>
      <c r="I395" s="433"/>
      <c r="J395" s="254">
        <f>IF(ISBLANK(I395),0,ROUNDUP(D395/10,0)-E395-H395-F395-G395+VLOOKUP($D$2,Calcs!$A$23:$B$27,2,FALSE)+I395)</f>
        <v>0</v>
      </c>
      <c r="K395" s="245" t="str">
        <f>IF(ISBLANK(I395)," ",VLOOKUP(J395,Calcs!$A$82:$H$106,2,TRUE))</f>
        <v xml:space="preserve"> </v>
      </c>
      <c r="L395" s="245">
        <f>IF(ISBLANK(I395),0,VLOOKUP(J395,Calcs!$A$82:$F$106,5,TRUE))</f>
        <v>0</v>
      </c>
      <c r="M395" s="208">
        <f>IF(J395=13,IF(ISNUMBER(W394),VLOOKUP(W394+1,Calcs!$O$4:$Q$24,3,TRUE)-V394,5),IF(J395&lt;10,0,IF(J395&lt;18,1,IF(J395&lt;22,2,IF(ISNUMBER(W394),VLOOKUP(W394+1,Calcs!$O$4:$Q$24,3,TRUE)-V394,5)))))</f>
        <v>0</v>
      </c>
      <c r="N395" s="245" t="str">
        <f t="shared" si="45"/>
        <v xml:space="preserve"> </v>
      </c>
      <c r="O395" s="245" t="str">
        <f t="shared" si="45"/>
        <v xml:space="preserve"> </v>
      </c>
      <c r="P395" s="245" t="str">
        <f t="shared" si="45"/>
        <v xml:space="preserve"> </v>
      </c>
      <c r="Q395" s="245" t="str">
        <f t="shared" si="45"/>
        <v xml:space="preserve"> </v>
      </c>
      <c r="R395" s="245" t="str">
        <f t="shared" si="45"/>
        <v xml:space="preserve"> </v>
      </c>
      <c r="S395" s="245" t="str">
        <f t="shared" si="45"/>
        <v xml:space="preserve"> </v>
      </c>
      <c r="T395" s="245" t="str">
        <f t="shared" si="45"/>
        <v xml:space="preserve"> </v>
      </c>
      <c r="U395" s="245" t="str">
        <f t="shared" si="45"/>
        <v xml:space="preserve"> </v>
      </c>
      <c r="V395" s="208">
        <f>SUM($N$10:$U395)</f>
        <v>0</v>
      </c>
      <c r="W395" s="208">
        <f>VLOOKUP(V395,Calcs!$Q$4:$R$24,2,TRUE)</f>
        <v>0</v>
      </c>
      <c r="X395" s="435" t="str">
        <f t="shared" ref="X395:X458" si="48">IF(ISERROR(FIND("Crisis",K395)),"No","Yes")</f>
        <v>No</v>
      </c>
      <c r="Y395" s="436"/>
      <c r="Z395" s="435">
        <f t="shared" ref="Z395:Z458" si="49">IF(ISBLANK(Y395),0,ROUNDUP(D395/10,0)+W395+Y395)</f>
        <v>0</v>
      </c>
      <c r="AA395" s="245" t="str">
        <f>IF(AND(X395="Yes",NOT(ISBLANK(Z395))),VLOOKUP(Z395,Calcs!$Y$48:$Z$57,2,TRUE)," ")</f>
        <v xml:space="preserve"> </v>
      </c>
    </row>
    <row r="396" spans="1:27" x14ac:dyDescent="0.2">
      <c r="A396" s="425">
        <f t="shared" ref="A396:A459" si="50">IF($D$2&lt;&gt;"Age Quickly",A395+1,IF(A395=A394,A395+1,A395))</f>
        <v>422</v>
      </c>
      <c r="B396" s="425" t="str">
        <f t="shared" si="46"/>
        <v>Winter</v>
      </c>
      <c r="C396" s="247">
        <f>IF(B396="Winter",A396-('Start Character'!$K$6)-1,IF('Start Character'!$K$7&gt;6,A396-('Start Character'!$K$6)-1,A396-('Start Character'!$K$6)))</f>
        <v>421</v>
      </c>
      <c r="D396" s="247">
        <f t="shared" si="47"/>
        <v>421</v>
      </c>
      <c r="E396" s="246"/>
      <c r="F396" s="83"/>
      <c r="G396" s="83"/>
      <c r="H396" s="246"/>
      <c r="I396" s="433"/>
      <c r="J396" s="254">
        <f>IF(ISBLANK(I396),0,ROUNDUP(D396/10,0)-E396-H396-F396-G396+VLOOKUP($D$2,Calcs!$A$23:$B$27,2,FALSE)+I396)</f>
        <v>0</v>
      </c>
      <c r="K396" s="245" t="str">
        <f>IF(ISBLANK(I396)," ",VLOOKUP(J396,Calcs!$A$82:$H$106,2,TRUE))</f>
        <v xml:space="preserve"> </v>
      </c>
      <c r="L396" s="245">
        <f>IF(ISBLANK(I396),0,VLOOKUP(J396,Calcs!$A$82:$F$106,5,TRUE))</f>
        <v>0</v>
      </c>
      <c r="M396" s="208">
        <f>IF(J396=13,IF(ISNUMBER(W395),VLOOKUP(W395+1,Calcs!$O$4:$Q$24,3,TRUE)-V395,5),IF(J396&lt;10,0,IF(J396&lt;18,1,IF(J396&lt;22,2,IF(ISNUMBER(W395),VLOOKUP(W395+1,Calcs!$O$4:$Q$24,3,TRUE)-V395,5)))))</f>
        <v>0</v>
      </c>
      <c r="N396" s="245" t="str">
        <f t="shared" si="45"/>
        <v xml:space="preserve"> </v>
      </c>
      <c r="O396" s="245" t="str">
        <f t="shared" si="45"/>
        <v xml:space="preserve"> </v>
      </c>
      <c r="P396" s="245" t="str">
        <f t="shared" si="45"/>
        <v xml:space="preserve"> </v>
      </c>
      <c r="Q396" s="245" t="str">
        <f t="shared" si="45"/>
        <v xml:space="preserve"> </v>
      </c>
      <c r="R396" s="245" t="str">
        <f t="shared" si="45"/>
        <v xml:space="preserve"> </v>
      </c>
      <c r="S396" s="245" t="str">
        <f t="shared" si="45"/>
        <v xml:space="preserve"> </v>
      </c>
      <c r="T396" s="245" t="str">
        <f t="shared" si="45"/>
        <v xml:space="preserve"> </v>
      </c>
      <c r="U396" s="245" t="str">
        <f t="shared" si="45"/>
        <v xml:space="preserve"> </v>
      </c>
      <c r="V396" s="208">
        <f>SUM($N$10:$U396)</f>
        <v>0</v>
      </c>
      <c r="W396" s="208">
        <f>VLOOKUP(V396,Calcs!$Q$4:$R$24,2,TRUE)</f>
        <v>0</v>
      </c>
      <c r="X396" s="435" t="str">
        <f t="shared" si="48"/>
        <v>No</v>
      </c>
      <c r="Y396" s="436"/>
      <c r="Z396" s="435">
        <f t="shared" si="49"/>
        <v>0</v>
      </c>
      <c r="AA396" s="245" t="str">
        <f>IF(AND(X396="Yes",NOT(ISBLANK(Z396))),VLOOKUP(Z396,Calcs!$Y$48:$Z$57,2,TRUE)," ")</f>
        <v xml:space="preserve"> </v>
      </c>
    </row>
    <row r="397" spans="1:27" x14ac:dyDescent="0.2">
      <c r="A397" s="425">
        <f t="shared" si="50"/>
        <v>423</v>
      </c>
      <c r="B397" s="425" t="str">
        <f t="shared" si="46"/>
        <v>Winter</v>
      </c>
      <c r="C397" s="247">
        <f>IF(B397="Winter",A397-('Start Character'!$K$6)-1,IF('Start Character'!$K$7&gt;6,A397-('Start Character'!$K$6)-1,A397-('Start Character'!$K$6)))</f>
        <v>422</v>
      </c>
      <c r="D397" s="247">
        <f t="shared" si="47"/>
        <v>422</v>
      </c>
      <c r="E397" s="246"/>
      <c r="F397" s="83"/>
      <c r="G397" s="83"/>
      <c r="H397" s="246"/>
      <c r="I397" s="433"/>
      <c r="J397" s="254">
        <f>IF(ISBLANK(I397),0,ROUNDUP(D397/10,0)-E397-H397-F397-G397+VLOOKUP($D$2,Calcs!$A$23:$B$27,2,FALSE)+I397)</f>
        <v>0</v>
      </c>
      <c r="K397" s="245" t="str">
        <f>IF(ISBLANK(I397)," ",VLOOKUP(J397,Calcs!$A$82:$H$106,2,TRUE))</f>
        <v xml:space="preserve"> </v>
      </c>
      <c r="L397" s="245">
        <f>IF(ISBLANK(I397),0,VLOOKUP(J397,Calcs!$A$82:$F$106,5,TRUE))</f>
        <v>0</v>
      </c>
      <c r="M397" s="208">
        <f>IF(J397=13,IF(ISNUMBER(W396),VLOOKUP(W396+1,Calcs!$O$4:$Q$24,3,TRUE)-V396,5),IF(J397&lt;10,0,IF(J397&lt;18,1,IF(J397&lt;22,2,IF(ISNUMBER(W396),VLOOKUP(W396+1,Calcs!$O$4:$Q$24,3,TRUE)-V396,5)))))</f>
        <v>0</v>
      </c>
      <c r="N397" s="245" t="str">
        <f t="shared" si="45"/>
        <v xml:space="preserve"> </v>
      </c>
      <c r="O397" s="245" t="str">
        <f t="shared" si="45"/>
        <v xml:space="preserve"> </v>
      </c>
      <c r="P397" s="245" t="str">
        <f t="shared" si="45"/>
        <v xml:space="preserve"> </v>
      </c>
      <c r="Q397" s="245" t="str">
        <f t="shared" si="45"/>
        <v xml:space="preserve"> </v>
      </c>
      <c r="R397" s="245" t="str">
        <f t="shared" si="45"/>
        <v xml:space="preserve"> </v>
      </c>
      <c r="S397" s="245" t="str">
        <f t="shared" si="45"/>
        <v xml:space="preserve"> </v>
      </c>
      <c r="T397" s="245" t="str">
        <f t="shared" si="45"/>
        <v xml:space="preserve"> </v>
      </c>
      <c r="U397" s="245" t="str">
        <f t="shared" si="45"/>
        <v xml:space="preserve"> </v>
      </c>
      <c r="V397" s="208">
        <f>SUM($N$10:$U397)</f>
        <v>0</v>
      </c>
      <c r="W397" s="208">
        <f>VLOOKUP(V397,Calcs!$Q$4:$R$24,2,TRUE)</f>
        <v>0</v>
      </c>
      <c r="X397" s="435" t="str">
        <f t="shared" si="48"/>
        <v>No</v>
      </c>
      <c r="Y397" s="436"/>
      <c r="Z397" s="435">
        <f t="shared" si="49"/>
        <v>0</v>
      </c>
      <c r="AA397" s="245" t="str">
        <f>IF(AND(X397="Yes",NOT(ISBLANK(Z397))),VLOOKUP(Z397,Calcs!$Y$48:$Z$57,2,TRUE)," ")</f>
        <v xml:space="preserve"> </v>
      </c>
    </row>
    <row r="398" spans="1:27" x14ac:dyDescent="0.2">
      <c r="A398" s="425">
        <f t="shared" si="50"/>
        <v>424</v>
      </c>
      <c r="B398" s="425" t="str">
        <f t="shared" si="46"/>
        <v>Winter</v>
      </c>
      <c r="C398" s="247">
        <f>IF(B398="Winter",A398-('Start Character'!$K$6)-1,IF('Start Character'!$K$7&gt;6,A398-('Start Character'!$K$6)-1,A398-('Start Character'!$K$6)))</f>
        <v>423</v>
      </c>
      <c r="D398" s="247">
        <f t="shared" si="47"/>
        <v>423</v>
      </c>
      <c r="E398" s="246"/>
      <c r="F398" s="83"/>
      <c r="G398" s="83"/>
      <c r="H398" s="246"/>
      <c r="I398" s="433"/>
      <c r="J398" s="254">
        <f>IF(ISBLANK(I398),0,ROUNDUP(D398/10,0)-E398-H398-F398-G398+VLOOKUP($D$2,Calcs!$A$23:$B$27,2,FALSE)+I398)</f>
        <v>0</v>
      </c>
      <c r="K398" s="245" t="str">
        <f>IF(ISBLANK(I398)," ",VLOOKUP(J398,Calcs!$A$82:$H$106,2,TRUE))</f>
        <v xml:space="preserve"> </v>
      </c>
      <c r="L398" s="245">
        <f>IF(ISBLANK(I398),0,VLOOKUP(J398,Calcs!$A$82:$F$106,5,TRUE))</f>
        <v>0</v>
      </c>
      <c r="M398" s="208">
        <f>IF(J398=13,IF(ISNUMBER(W397),VLOOKUP(W397+1,Calcs!$O$4:$Q$24,3,TRUE)-V397,5),IF(J398&lt;10,0,IF(J398&lt;18,1,IF(J398&lt;22,2,IF(ISNUMBER(W397),VLOOKUP(W397+1,Calcs!$O$4:$Q$24,3,TRUE)-V397,5)))))</f>
        <v>0</v>
      </c>
      <c r="N398" s="245" t="str">
        <f t="shared" si="45"/>
        <v xml:space="preserve"> </v>
      </c>
      <c r="O398" s="245" t="str">
        <f t="shared" si="45"/>
        <v xml:space="preserve"> </v>
      </c>
      <c r="P398" s="245" t="str">
        <f t="shared" si="45"/>
        <v xml:space="preserve"> </v>
      </c>
      <c r="Q398" s="245" t="str">
        <f t="shared" si="45"/>
        <v xml:space="preserve"> </v>
      </c>
      <c r="R398" s="245" t="str">
        <f t="shared" si="45"/>
        <v xml:space="preserve"> </v>
      </c>
      <c r="S398" s="245" t="str">
        <f t="shared" si="45"/>
        <v xml:space="preserve"> </v>
      </c>
      <c r="T398" s="245" t="str">
        <f t="shared" si="45"/>
        <v xml:space="preserve"> </v>
      </c>
      <c r="U398" s="245" t="str">
        <f t="shared" si="45"/>
        <v xml:space="preserve"> </v>
      </c>
      <c r="V398" s="208">
        <f>SUM($N$10:$U398)</f>
        <v>0</v>
      </c>
      <c r="W398" s="208">
        <f>VLOOKUP(V398,Calcs!$Q$4:$R$24,2,TRUE)</f>
        <v>0</v>
      </c>
      <c r="X398" s="435" t="str">
        <f t="shared" si="48"/>
        <v>No</v>
      </c>
      <c r="Y398" s="436"/>
      <c r="Z398" s="435">
        <f t="shared" si="49"/>
        <v>0</v>
      </c>
      <c r="AA398" s="245" t="str">
        <f>IF(AND(X398="Yes",NOT(ISBLANK(Z398))),VLOOKUP(Z398,Calcs!$Y$48:$Z$57,2,TRUE)," ")</f>
        <v xml:space="preserve"> </v>
      </c>
    </row>
    <row r="399" spans="1:27" x14ac:dyDescent="0.2">
      <c r="A399" s="425">
        <f t="shared" si="50"/>
        <v>425</v>
      </c>
      <c r="B399" s="425" t="str">
        <f t="shared" si="46"/>
        <v>Winter</v>
      </c>
      <c r="C399" s="247">
        <f>IF(B399="Winter",A399-('Start Character'!$K$6)-1,IF('Start Character'!$K$7&gt;6,A399-('Start Character'!$K$6)-1,A399-('Start Character'!$K$6)))</f>
        <v>424</v>
      </c>
      <c r="D399" s="247">
        <f t="shared" si="47"/>
        <v>424</v>
      </c>
      <c r="E399" s="246"/>
      <c r="F399" s="83"/>
      <c r="G399" s="83"/>
      <c r="H399" s="246"/>
      <c r="I399" s="433"/>
      <c r="J399" s="254">
        <f>IF(ISBLANK(I399),0,ROUNDUP(D399/10,0)-E399-H399-F399-G399+VLOOKUP($D$2,Calcs!$A$23:$B$27,2,FALSE)+I399)</f>
        <v>0</v>
      </c>
      <c r="K399" s="245" t="str">
        <f>IF(ISBLANK(I399)," ",VLOOKUP(J399,Calcs!$A$82:$H$106,2,TRUE))</f>
        <v xml:space="preserve"> </v>
      </c>
      <c r="L399" s="245">
        <f>IF(ISBLANK(I399),0,VLOOKUP(J399,Calcs!$A$82:$F$106,5,TRUE))</f>
        <v>0</v>
      </c>
      <c r="M399" s="208">
        <f>IF(J399=13,IF(ISNUMBER(W398),VLOOKUP(W398+1,Calcs!$O$4:$Q$24,3,TRUE)-V398,5),IF(J399&lt;10,0,IF(J399&lt;18,1,IF(J399&lt;22,2,IF(ISNUMBER(W398),VLOOKUP(W398+1,Calcs!$O$4:$Q$24,3,TRUE)-V398,5)))))</f>
        <v>0</v>
      </c>
      <c r="N399" s="245" t="str">
        <f t="shared" si="45"/>
        <v xml:space="preserve"> </v>
      </c>
      <c r="O399" s="245" t="str">
        <f t="shared" si="45"/>
        <v xml:space="preserve"> </v>
      </c>
      <c r="P399" s="245" t="str">
        <f t="shared" si="45"/>
        <v xml:space="preserve"> </v>
      </c>
      <c r="Q399" s="245" t="str">
        <f t="shared" si="45"/>
        <v xml:space="preserve"> </v>
      </c>
      <c r="R399" s="245" t="str">
        <f t="shared" si="45"/>
        <v xml:space="preserve"> </v>
      </c>
      <c r="S399" s="245" t="str">
        <f t="shared" si="45"/>
        <v xml:space="preserve"> </v>
      </c>
      <c r="T399" s="245" t="str">
        <f t="shared" si="45"/>
        <v xml:space="preserve"> </v>
      </c>
      <c r="U399" s="245" t="str">
        <f t="shared" si="45"/>
        <v xml:space="preserve"> </v>
      </c>
      <c r="V399" s="208">
        <f>SUM($N$10:$U399)</f>
        <v>0</v>
      </c>
      <c r="W399" s="208">
        <f>VLOOKUP(V399,Calcs!$Q$4:$R$24,2,TRUE)</f>
        <v>0</v>
      </c>
      <c r="X399" s="435" t="str">
        <f t="shared" si="48"/>
        <v>No</v>
      </c>
      <c r="Y399" s="436"/>
      <c r="Z399" s="435">
        <f t="shared" si="49"/>
        <v>0</v>
      </c>
      <c r="AA399" s="245" t="str">
        <f>IF(AND(X399="Yes",NOT(ISBLANK(Z399))),VLOOKUP(Z399,Calcs!$Y$48:$Z$57,2,TRUE)," ")</f>
        <v xml:space="preserve"> </v>
      </c>
    </row>
    <row r="400" spans="1:27" x14ac:dyDescent="0.2">
      <c r="A400" s="425">
        <f t="shared" si="50"/>
        <v>426</v>
      </c>
      <c r="B400" s="425" t="str">
        <f t="shared" si="46"/>
        <v>Winter</v>
      </c>
      <c r="C400" s="247">
        <f>IF(B400="Winter",A400-('Start Character'!$K$6)-1,IF('Start Character'!$K$7&gt;6,A400-('Start Character'!$K$6)-1,A400-('Start Character'!$K$6)))</f>
        <v>425</v>
      </c>
      <c r="D400" s="247">
        <f t="shared" si="47"/>
        <v>425</v>
      </c>
      <c r="E400" s="246"/>
      <c r="F400" s="83"/>
      <c r="G400" s="83"/>
      <c r="H400" s="246"/>
      <c r="I400" s="433"/>
      <c r="J400" s="254">
        <f>IF(ISBLANK(I400),0,ROUNDUP(D400/10,0)-E400-H400-F400-G400+VLOOKUP($D$2,Calcs!$A$23:$B$27,2,FALSE)+I400)</f>
        <v>0</v>
      </c>
      <c r="K400" s="245" t="str">
        <f>IF(ISBLANK(I400)," ",VLOOKUP(J400,Calcs!$A$82:$H$106,2,TRUE))</f>
        <v xml:space="preserve"> </v>
      </c>
      <c r="L400" s="245">
        <f>IF(ISBLANK(I400),0,VLOOKUP(J400,Calcs!$A$82:$F$106,5,TRUE))</f>
        <v>0</v>
      </c>
      <c r="M400" s="208">
        <f>IF(J400=13,IF(ISNUMBER(W399),VLOOKUP(W399+1,Calcs!$O$4:$Q$24,3,TRUE)-V399,5),IF(J400&lt;10,0,IF(J400&lt;18,1,IF(J400&lt;22,2,IF(ISNUMBER(W399),VLOOKUP(W399+1,Calcs!$O$4:$Q$24,3,TRUE)-V399,5)))))</f>
        <v>0</v>
      </c>
      <c r="N400" s="245" t="str">
        <f t="shared" si="45"/>
        <v xml:space="preserve"> </v>
      </c>
      <c r="O400" s="245" t="str">
        <f t="shared" si="45"/>
        <v xml:space="preserve"> </v>
      </c>
      <c r="P400" s="245" t="str">
        <f t="shared" si="45"/>
        <v xml:space="preserve"> </v>
      </c>
      <c r="Q400" s="245" t="str">
        <f t="shared" si="45"/>
        <v xml:space="preserve"> </v>
      </c>
      <c r="R400" s="245" t="str">
        <f t="shared" si="45"/>
        <v xml:space="preserve"> </v>
      </c>
      <c r="S400" s="245" t="str">
        <f t="shared" si="45"/>
        <v xml:space="preserve"> </v>
      </c>
      <c r="T400" s="245" t="str">
        <f t="shared" si="45"/>
        <v xml:space="preserve"> </v>
      </c>
      <c r="U400" s="245" t="str">
        <f t="shared" si="45"/>
        <v xml:space="preserve"> </v>
      </c>
      <c r="V400" s="208">
        <f>SUM($N$10:$U400)</f>
        <v>0</v>
      </c>
      <c r="W400" s="208">
        <f>VLOOKUP(V400,Calcs!$Q$4:$R$24,2,TRUE)</f>
        <v>0</v>
      </c>
      <c r="X400" s="435" t="str">
        <f t="shared" si="48"/>
        <v>No</v>
      </c>
      <c r="Y400" s="436"/>
      <c r="Z400" s="435">
        <f t="shared" si="49"/>
        <v>0</v>
      </c>
      <c r="AA400" s="245" t="str">
        <f>IF(AND(X400="Yes",NOT(ISBLANK(Z400))),VLOOKUP(Z400,Calcs!$Y$48:$Z$57,2,TRUE)," ")</f>
        <v xml:space="preserve"> </v>
      </c>
    </row>
    <row r="401" spans="1:27" x14ac:dyDescent="0.2">
      <c r="A401" s="425">
        <f t="shared" si="50"/>
        <v>427</v>
      </c>
      <c r="B401" s="425" t="str">
        <f t="shared" si="46"/>
        <v>Winter</v>
      </c>
      <c r="C401" s="247">
        <f>IF(B401="Winter",A401-('Start Character'!$K$6)-1,IF('Start Character'!$K$7&gt;6,A401-('Start Character'!$K$6)-1,A401-('Start Character'!$K$6)))</f>
        <v>426</v>
      </c>
      <c r="D401" s="247">
        <f t="shared" si="47"/>
        <v>426</v>
      </c>
      <c r="E401" s="246"/>
      <c r="F401" s="83"/>
      <c r="G401" s="83"/>
      <c r="H401" s="246"/>
      <c r="I401" s="433"/>
      <c r="J401" s="254">
        <f>IF(ISBLANK(I401),0,ROUNDUP(D401/10,0)-E401-H401-F401-G401+VLOOKUP($D$2,Calcs!$A$23:$B$27,2,FALSE)+I401)</f>
        <v>0</v>
      </c>
      <c r="K401" s="245" t="str">
        <f>IF(ISBLANK(I401)," ",VLOOKUP(J401,Calcs!$A$82:$H$106,2,TRUE))</f>
        <v xml:space="preserve"> </v>
      </c>
      <c r="L401" s="245">
        <f>IF(ISBLANK(I401),0,VLOOKUP(J401,Calcs!$A$82:$F$106,5,TRUE))</f>
        <v>0</v>
      </c>
      <c r="M401" s="208">
        <f>IF(J401=13,IF(ISNUMBER(W400),VLOOKUP(W400+1,Calcs!$O$4:$Q$24,3,TRUE)-V400,5),IF(J401&lt;10,0,IF(J401&lt;18,1,IF(J401&lt;22,2,IF(ISNUMBER(W400),VLOOKUP(W400+1,Calcs!$O$4:$Q$24,3,TRUE)-V400,5)))))</f>
        <v>0</v>
      </c>
      <c r="N401" s="245" t="str">
        <f t="shared" si="45"/>
        <v xml:space="preserve"> </v>
      </c>
      <c r="O401" s="245" t="str">
        <f t="shared" si="45"/>
        <v xml:space="preserve"> </v>
      </c>
      <c r="P401" s="245" t="str">
        <f t="shared" si="45"/>
        <v xml:space="preserve"> </v>
      </c>
      <c r="Q401" s="245" t="str">
        <f t="shared" si="45"/>
        <v xml:space="preserve"> </v>
      </c>
      <c r="R401" s="245" t="str">
        <f t="shared" si="45"/>
        <v xml:space="preserve"> </v>
      </c>
      <c r="S401" s="245" t="str">
        <f t="shared" si="45"/>
        <v xml:space="preserve"> </v>
      </c>
      <c r="T401" s="245" t="str">
        <f t="shared" si="45"/>
        <v xml:space="preserve"> </v>
      </c>
      <c r="U401" s="245" t="str">
        <f t="shared" si="45"/>
        <v xml:space="preserve"> </v>
      </c>
      <c r="V401" s="208">
        <f>SUM($N$10:$U401)</f>
        <v>0</v>
      </c>
      <c r="W401" s="208">
        <f>VLOOKUP(V401,Calcs!$Q$4:$R$24,2,TRUE)</f>
        <v>0</v>
      </c>
      <c r="X401" s="435" t="str">
        <f t="shared" si="48"/>
        <v>No</v>
      </c>
      <c r="Y401" s="436"/>
      <c r="Z401" s="435">
        <f t="shared" si="49"/>
        <v>0</v>
      </c>
      <c r="AA401" s="245" t="str">
        <f>IF(AND(X401="Yes",NOT(ISBLANK(Z401))),VLOOKUP(Z401,Calcs!$Y$48:$Z$57,2,TRUE)," ")</f>
        <v xml:space="preserve"> </v>
      </c>
    </row>
    <row r="402" spans="1:27" x14ac:dyDescent="0.2">
      <c r="A402" s="425">
        <f t="shared" si="50"/>
        <v>428</v>
      </c>
      <c r="B402" s="425" t="str">
        <f t="shared" si="46"/>
        <v>Winter</v>
      </c>
      <c r="C402" s="247">
        <f>IF(B402="Winter",A402-('Start Character'!$K$6)-1,IF('Start Character'!$K$7&gt;6,A402-('Start Character'!$K$6)-1,A402-('Start Character'!$K$6)))</f>
        <v>427</v>
      </c>
      <c r="D402" s="247">
        <f t="shared" si="47"/>
        <v>427</v>
      </c>
      <c r="E402" s="246"/>
      <c r="F402" s="83"/>
      <c r="G402" s="83"/>
      <c r="H402" s="246"/>
      <c r="I402" s="433"/>
      <c r="J402" s="254">
        <f>IF(ISBLANK(I402),0,ROUNDUP(D402/10,0)-E402-H402-F402-G402+VLOOKUP($D$2,Calcs!$A$23:$B$27,2,FALSE)+I402)</f>
        <v>0</v>
      </c>
      <c r="K402" s="245" t="str">
        <f>IF(ISBLANK(I402)," ",VLOOKUP(J402,Calcs!$A$82:$H$106,2,TRUE))</f>
        <v xml:space="preserve"> </v>
      </c>
      <c r="L402" s="245">
        <f>IF(ISBLANK(I402),0,VLOOKUP(J402,Calcs!$A$82:$F$106,5,TRUE))</f>
        <v>0</v>
      </c>
      <c r="M402" s="208">
        <f>IF(J402=13,IF(ISNUMBER(W401),VLOOKUP(W401+1,Calcs!$O$4:$Q$24,3,TRUE)-V401,5),IF(J402&lt;10,0,IF(J402&lt;18,1,IF(J402&lt;22,2,IF(ISNUMBER(W401),VLOOKUP(W401+1,Calcs!$O$4:$Q$24,3,TRUE)-V401,5)))))</f>
        <v>0</v>
      </c>
      <c r="N402" s="245" t="str">
        <f t="shared" si="45"/>
        <v xml:space="preserve"> </v>
      </c>
      <c r="O402" s="245" t="str">
        <f t="shared" si="45"/>
        <v xml:space="preserve"> </v>
      </c>
      <c r="P402" s="245" t="str">
        <f t="shared" si="45"/>
        <v xml:space="preserve"> </v>
      </c>
      <c r="Q402" s="245" t="str">
        <f t="shared" si="45"/>
        <v xml:space="preserve"> </v>
      </c>
      <c r="R402" s="245" t="str">
        <f t="shared" si="45"/>
        <v xml:space="preserve"> </v>
      </c>
      <c r="S402" s="245" t="str">
        <f t="shared" si="45"/>
        <v xml:space="preserve"> </v>
      </c>
      <c r="T402" s="245" t="str">
        <f t="shared" si="45"/>
        <v xml:space="preserve"> </v>
      </c>
      <c r="U402" s="245" t="str">
        <f t="shared" si="45"/>
        <v xml:space="preserve"> </v>
      </c>
      <c r="V402" s="208">
        <f>SUM($N$10:$U402)</f>
        <v>0</v>
      </c>
      <c r="W402" s="208">
        <f>VLOOKUP(V402,Calcs!$Q$4:$R$24,2,TRUE)</f>
        <v>0</v>
      </c>
      <c r="X402" s="435" t="str">
        <f t="shared" si="48"/>
        <v>No</v>
      </c>
      <c r="Y402" s="436"/>
      <c r="Z402" s="435">
        <f t="shared" si="49"/>
        <v>0</v>
      </c>
      <c r="AA402" s="245" t="str">
        <f>IF(AND(X402="Yes",NOT(ISBLANK(Z402))),VLOOKUP(Z402,Calcs!$Y$48:$Z$57,2,TRUE)," ")</f>
        <v xml:space="preserve"> </v>
      </c>
    </row>
    <row r="403" spans="1:27" x14ac:dyDescent="0.2">
      <c r="A403" s="425">
        <f t="shared" si="50"/>
        <v>429</v>
      </c>
      <c r="B403" s="425" t="str">
        <f t="shared" si="46"/>
        <v>Winter</v>
      </c>
      <c r="C403" s="247">
        <f>IF(B403="Winter",A403-('Start Character'!$K$6)-1,IF('Start Character'!$K$7&gt;6,A403-('Start Character'!$K$6)-1,A403-('Start Character'!$K$6)))</f>
        <v>428</v>
      </c>
      <c r="D403" s="247">
        <f t="shared" si="47"/>
        <v>428</v>
      </c>
      <c r="E403" s="246"/>
      <c r="F403" s="83"/>
      <c r="G403" s="83"/>
      <c r="H403" s="246"/>
      <c r="I403" s="433"/>
      <c r="J403" s="254">
        <f>IF(ISBLANK(I403),0,ROUNDUP(D403/10,0)-E403-H403-F403-G403+VLOOKUP($D$2,Calcs!$A$23:$B$27,2,FALSE)+I403)</f>
        <v>0</v>
      </c>
      <c r="K403" s="245" t="str">
        <f>IF(ISBLANK(I403)," ",VLOOKUP(J403,Calcs!$A$82:$H$106,2,TRUE))</f>
        <v xml:space="preserve"> </v>
      </c>
      <c r="L403" s="245">
        <f>IF(ISBLANK(I403),0,VLOOKUP(J403,Calcs!$A$82:$F$106,5,TRUE))</f>
        <v>0</v>
      </c>
      <c r="M403" s="208">
        <f>IF(J403=13,IF(ISNUMBER(W402),VLOOKUP(W402+1,Calcs!$O$4:$Q$24,3,TRUE)-V402,5),IF(J403&lt;10,0,IF(J403&lt;18,1,IF(J403&lt;22,2,IF(ISNUMBER(W402),VLOOKUP(W402+1,Calcs!$O$4:$Q$24,3,TRUE)-V402,5)))))</f>
        <v>0</v>
      </c>
      <c r="N403" s="245" t="str">
        <f t="shared" si="45"/>
        <v xml:space="preserve"> </v>
      </c>
      <c r="O403" s="245" t="str">
        <f t="shared" si="45"/>
        <v xml:space="preserve"> </v>
      </c>
      <c r="P403" s="245" t="str">
        <f t="shared" si="45"/>
        <v xml:space="preserve"> </v>
      </c>
      <c r="Q403" s="245" t="str">
        <f t="shared" si="45"/>
        <v xml:space="preserve"> </v>
      </c>
      <c r="R403" s="245" t="str">
        <f t="shared" si="45"/>
        <v xml:space="preserve"> </v>
      </c>
      <c r="S403" s="245" t="str">
        <f t="shared" si="45"/>
        <v xml:space="preserve"> </v>
      </c>
      <c r="T403" s="245" t="str">
        <f t="shared" si="45"/>
        <v xml:space="preserve"> </v>
      </c>
      <c r="U403" s="245" t="str">
        <f t="shared" si="45"/>
        <v xml:space="preserve"> </v>
      </c>
      <c r="V403" s="208">
        <f>SUM($N$10:$U403)</f>
        <v>0</v>
      </c>
      <c r="W403" s="208">
        <f>VLOOKUP(V403,Calcs!$Q$4:$R$24,2,TRUE)</f>
        <v>0</v>
      </c>
      <c r="X403" s="435" t="str">
        <f t="shared" si="48"/>
        <v>No</v>
      </c>
      <c r="Y403" s="436"/>
      <c r="Z403" s="435">
        <f t="shared" si="49"/>
        <v>0</v>
      </c>
      <c r="AA403" s="245" t="str">
        <f>IF(AND(X403="Yes",NOT(ISBLANK(Z403))),VLOOKUP(Z403,Calcs!$Y$48:$Z$57,2,TRUE)," ")</f>
        <v xml:space="preserve"> </v>
      </c>
    </row>
    <row r="404" spans="1:27" x14ac:dyDescent="0.2">
      <c r="A404" s="425">
        <f t="shared" si="50"/>
        <v>430</v>
      </c>
      <c r="B404" s="425" t="str">
        <f t="shared" si="46"/>
        <v>Winter</v>
      </c>
      <c r="C404" s="247">
        <f>IF(B404="Winter",A404-('Start Character'!$K$6)-1,IF('Start Character'!$K$7&gt;6,A404-('Start Character'!$K$6)-1,A404-('Start Character'!$K$6)))</f>
        <v>429</v>
      </c>
      <c r="D404" s="247">
        <f t="shared" si="47"/>
        <v>429</v>
      </c>
      <c r="E404" s="246"/>
      <c r="F404" s="83"/>
      <c r="G404" s="83"/>
      <c r="H404" s="246"/>
      <c r="I404" s="433"/>
      <c r="J404" s="254">
        <f>IF(ISBLANK(I404),0,ROUNDUP(D404/10,0)-E404-H404-F404-G404+VLOOKUP($D$2,Calcs!$A$23:$B$27,2,FALSE)+I404)</f>
        <v>0</v>
      </c>
      <c r="K404" s="245" t="str">
        <f>IF(ISBLANK(I404)," ",VLOOKUP(J404,Calcs!$A$82:$H$106,2,TRUE))</f>
        <v xml:space="preserve"> </v>
      </c>
      <c r="L404" s="245">
        <f>IF(ISBLANK(I404),0,VLOOKUP(J404,Calcs!$A$82:$F$106,5,TRUE))</f>
        <v>0</v>
      </c>
      <c r="M404" s="208">
        <f>IF(J404=13,IF(ISNUMBER(W403),VLOOKUP(W403+1,Calcs!$O$4:$Q$24,3,TRUE)-V403,5),IF(J404&lt;10,0,IF(J404&lt;18,1,IF(J404&lt;22,2,IF(ISNUMBER(W403),VLOOKUP(W403+1,Calcs!$O$4:$Q$24,3,TRUE)-V403,5)))))</f>
        <v>0</v>
      </c>
      <c r="N404" s="245" t="str">
        <f t="shared" si="45"/>
        <v xml:space="preserve"> </v>
      </c>
      <c r="O404" s="245" t="str">
        <f t="shared" si="45"/>
        <v xml:space="preserve"> </v>
      </c>
      <c r="P404" s="245" t="str">
        <f t="shared" si="45"/>
        <v xml:space="preserve"> </v>
      </c>
      <c r="Q404" s="245" t="str">
        <f t="shared" si="45"/>
        <v xml:space="preserve"> </v>
      </c>
      <c r="R404" s="245" t="str">
        <f t="shared" si="45"/>
        <v xml:space="preserve"> </v>
      </c>
      <c r="S404" s="245" t="str">
        <f t="shared" si="45"/>
        <v xml:space="preserve"> </v>
      </c>
      <c r="T404" s="245" t="str">
        <f t="shared" si="45"/>
        <v xml:space="preserve"> </v>
      </c>
      <c r="U404" s="245" t="str">
        <f t="shared" si="45"/>
        <v xml:space="preserve"> </v>
      </c>
      <c r="V404" s="208">
        <f>SUM($N$10:$U404)</f>
        <v>0</v>
      </c>
      <c r="W404" s="208">
        <f>VLOOKUP(V404,Calcs!$Q$4:$R$24,2,TRUE)</f>
        <v>0</v>
      </c>
      <c r="X404" s="435" t="str">
        <f t="shared" si="48"/>
        <v>No</v>
      </c>
      <c r="Y404" s="436"/>
      <c r="Z404" s="435">
        <f t="shared" si="49"/>
        <v>0</v>
      </c>
      <c r="AA404" s="245" t="str">
        <f>IF(AND(X404="Yes",NOT(ISBLANK(Z404))),VLOOKUP(Z404,Calcs!$Y$48:$Z$57,2,TRUE)," ")</f>
        <v xml:space="preserve"> </v>
      </c>
    </row>
    <row r="405" spans="1:27" x14ac:dyDescent="0.2">
      <c r="A405" s="425">
        <f t="shared" si="50"/>
        <v>431</v>
      </c>
      <c r="B405" s="425" t="str">
        <f t="shared" si="46"/>
        <v>Winter</v>
      </c>
      <c r="C405" s="247">
        <f>IF(B405="Winter",A405-('Start Character'!$K$6)-1,IF('Start Character'!$K$7&gt;6,A405-('Start Character'!$K$6)-1,A405-('Start Character'!$K$6)))</f>
        <v>430</v>
      </c>
      <c r="D405" s="247">
        <f t="shared" si="47"/>
        <v>430</v>
      </c>
      <c r="E405" s="246"/>
      <c r="F405" s="83"/>
      <c r="G405" s="83"/>
      <c r="H405" s="246"/>
      <c r="I405" s="433"/>
      <c r="J405" s="254">
        <f>IF(ISBLANK(I405),0,ROUNDUP(D405/10,0)-E405-H405-F405-G405+VLOOKUP($D$2,Calcs!$A$23:$B$27,2,FALSE)+I405)</f>
        <v>0</v>
      </c>
      <c r="K405" s="245" t="str">
        <f>IF(ISBLANK(I405)," ",VLOOKUP(J405,Calcs!$A$82:$H$106,2,TRUE))</f>
        <v xml:space="preserve"> </v>
      </c>
      <c r="L405" s="245">
        <f>IF(ISBLANK(I405),0,VLOOKUP(J405,Calcs!$A$82:$F$106,5,TRUE))</f>
        <v>0</v>
      </c>
      <c r="M405" s="208">
        <f>IF(J405=13,IF(ISNUMBER(W404),VLOOKUP(W404+1,Calcs!$O$4:$Q$24,3,TRUE)-V404,5),IF(J405&lt;10,0,IF(J405&lt;18,1,IF(J405&lt;22,2,IF(ISNUMBER(W404),VLOOKUP(W404+1,Calcs!$O$4:$Q$24,3,TRUE)-V404,5)))))</f>
        <v>0</v>
      </c>
      <c r="N405" s="245" t="str">
        <f t="shared" si="45"/>
        <v xml:space="preserve"> </v>
      </c>
      <c r="O405" s="245" t="str">
        <f t="shared" si="45"/>
        <v xml:space="preserve"> </v>
      </c>
      <c r="P405" s="245" t="str">
        <f t="shared" si="45"/>
        <v xml:space="preserve"> </v>
      </c>
      <c r="Q405" s="245" t="str">
        <f t="shared" si="45"/>
        <v xml:space="preserve"> </v>
      </c>
      <c r="R405" s="245" t="str">
        <f t="shared" si="45"/>
        <v xml:space="preserve"> </v>
      </c>
      <c r="S405" s="245" t="str">
        <f t="shared" si="45"/>
        <v xml:space="preserve"> </v>
      </c>
      <c r="T405" s="245" t="str">
        <f t="shared" si="45"/>
        <v xml:space="preserve"> </v>
      </c>
      <c r="U405" s="245" t="str">
        <f t="shared" si="45"/>
        <v xml:space="preserve"> </v>
      </c>
      <c r="V405" s="208">
        <f>SUM($N$10:$U405)</f>
        <v>0</v>
      </c>
      <c r="W405" s="208">
        <f>VLOOKUP(V405,Calcs!$Q$4:$R$24,2,TRUE)</f>
        <v>0</v>
      </c>
      <c r="X405" s="435" t="str">
        <f t="shared" si="48"/>
        <v>No</v>
      </c>
      <c r="Y405" s="436"/>
      <c r="Z405" s="435">
        <f t="shared" si="49"/>
        <v>0</v>
      </c>
      <c r="AA405" s="245" t="str">
        <f>IF(AND(X405="Yes",NOT(ISBLANK(Z405))),VLOOKUP(Z405,Calcs!$Y$48:$Z$57,2,TRUE)," ")</f>
        <v xml:space="preserve"> </v>
      </c>
    </row>
    <row r="406" spans="1:27" x14ac:dyDescent="0.2">
      <c r="A406" s="425">
        <f t="shared" si="50"/>
        <v>432</v>
      </c>
      <c r="B406" s="425" t="str">
        <f t="shared" si="46"/>
        <v>Winter</v>
      </c>
      <c r="C406" s="247">
        <f>IF(B406="Winter",A406-('Start Character'!$K$6)-1,IF('Start Character'!$K$7&gt;6,A406-('Start Character'!$K$6)-1,A406-('Start Character'!$K$6)))</f>
        <v>431</v>
      </c>
      <c r="D406" s="247">
        <f t="shared" si="47"/>
        <v>431</v>
      </c>
      <c r="E406" s="246"/>
      <c r="F406" s="83"/>
      <c r="G406" s="83"/>
      <c r="H406" s="246"/>
      <c r="I406" s="433"/>
      <c r="J406" s="254">
        <f>IF(ISBLANK(I406),0,ROUNDUP(D406/10,0)-E406-H406-F406-G406+VLOOKUP($D$2,Calcs!$A$23:$B$27,2,FALSE)+I406)</f>
        <v>0</v>
      </c>
      <c r="K406" s="245" t="str">
        <f>IF(ISBLANK(I406)," ",VLOOKUP(J406,Calcs!$A$82:$H$106,2,TRUE))</f>
        <v xml:space="preserve"> </v>
      </c>
      <c r="L406" s="245">
        <f>IF(ISBLANK(I406),0,VLOOKUP(J406,Calcs!$A$82:$F$106,5,TRUE))</f>
        <v>0</v>
      </c>
      <c r="M406" s="208">
        <f>IF(J406=13,IF(ISNUMBER(W405),VLOOKUP(W405+1,Calcs!$O$4:$Q$24,3,TRUE)-V405,5),IF(J406&lt;10,0,IF(J406&lt;18,1,IF(J406&lt;22,2,IF(ISNUMBER(W405),VLOOKUP(W405+1,Calcs!$O$4:$Q$24,3,TRUE)-V405,5)))))</f>
        <v>0</v>
      </c>
      <c r="N406" s="245" t="str">
        <f t="shared" si="45"/>
        <v xml:space="preserve"> </v>
      </c>
      <c r="O406" s="245" t="str">
        <f t="shared" si="45"/>
        <v xml:space="preserve"> </v>
      </c>
      <c r="P406" s="245" t="str">
        <f t="shared" si="45"/>
        <v xml:space="preserve"> </v>
      </c>
      <c r="Q406" s="245" t="str">
        <f t="shared" si="45"/>
        <v xml:space="preserve"> </v>
      </c>
      <c r="R406" s="245" t="str">
        <f t="shared" si="45"/>
        <v xml:space="preserve"> </v>
      </c>
      <c r="S406" s="245" t="str">
        <f t="shared" si="45"/>
        <v xml:space="preserve"> </v>
      </c>
      <c r="T406" s="245" t="str">
        <f t="shared" si="45"/>
        <v xml:space="preserve"> </v>
      </c>
      <c r="U406" s="245" t="str">
        <f t="shared" si="45"/>
        <v xml:space="preserve"> </v>
      </c>
      <c r="V406" s="208">
        <f>SUM($N$10:$U406)</f>
        <v>0</v>
      </c>
      <c r="W406" s="208">
        <f>VLOOKUP(V406,Calcs!$Q$4:$R$24,2,TRUE)</f>
        <v>0</v>
      </c>
      <c r="X406" s="435" t="str">
        <f t="shared" si="48"/>
        <v>No</v>
      </c>
      <c r="Y406" s="436"/>
      <c r="Z406" s="435">
        <f t="shared" si="49"/>
        <v>0</v>
      </c>
      <c r="AA406" s="245" t="str">
        <f>IF(AND(X406="Yes",NOT(ISBLANK(Z406))),VLOOKUP(Z406,Calcs!$Y$48:$Z$57,2,TRUE)," ")</f>
        <v xml:space="preserve"> </v>
      </c>
    </row>
    <row r="407" spans="1:27" x14ac:dyDescent="0.2">
      <c r="A407" s="425">
        <f t="shared" si="50"/>
        <v>433</v>
      </c>
      <c r="B407" s="425" t="str">
        <f t="shared" si="46"/>
        <v>Winter</v>
      </c>
      <c r="C407" s="247">
        <f>IF(B407="Winter",A407-('Start Character'!$K$6)-1,IF('Start Character'!$K$7&gt;6,A407-('Start Character'!$K$6)-1,A407-('Start Character'!$K$6)))</f>
        <v>432</v>
      </c>
      <c r="D407" s="247">
        <f t="shared" si="47"/>
        <v>432</v>
      </c>
      <c r="E407" s="246"/>
      <c r="F407" s="83"/>
      <c r="G407" s="83"/>
      <c r="H407" s="246"/>
      <c r="I407" s="433"/>
      <c r="J407" s="254">
        <f>IF(ISBLANK(I407),0,ROUNDUP(D407/10,0)-E407-H407-F407-G407+VLOOKUP($D$2,Calcs!$A$23:$B$27,2,FALSE)+I407)</f>
        <v>0</v>
      </c>
      <c r="K407" s="245" t="str">
        <f>IF(ISBLANK(I407)," ",VLOOKUP(J407,Calcs!$A$82:$H$106,2,TRUE))</f>
        <v xml:space="preserve"> </v>
      </c>
      <c r="L407" s="245">
        <f>IF(ISBLANK(I407),0,VLOOKUP(J407,Calcs!$A$82:$F$106,5,TRUE))</f>
        <v>0</v>
      </c>
      <c r="M407" s="208">
        <f>IF(J407=13,IF(ISNUMBER(W406),VLOOKUP(W406+1,Calcs!$O$4:$Q$24,3,TRUE)-V406,5),IF(J407&lt;10,0,IF(J407&lt;18,1,IF(J407&lt;22,2,IF(ISNUMBER(W406),VLOOKUP(W406+1,Calcs!$O$4:$Q$24,3,TRUE)-V406,5)))))</f>
        <v>0</v>
      </c>
      <c r="N407" s="245" t="str">
        <f t="shared" si="45"/>
        <v xml:space="preserve"> </v>
      </c>
      <c r="O407" s="245" t="str">
        <f t="shared" si="45"/>
        <v xml:space="preserve"> </v>
      </c>
      <c r="P407" s="245" t="str">
        <f t="shared" si="45"/>
        <v xml:space="preserve"> </v>
      </c>
      <c r="Q407" s="245" t="str">
        <f t="shared" si="45"/>
        <v xml:space="preserve"> </v>
      </c>
      <c r="R407" s="245" t="str">
        <f t="shared" si="45"/>
        <v xml:space="preserve"> </v>
      </c>
      <c r="S407" s="245" t="str">
        <f t="shared" si="45"/>
        <v xml:space="preserve"> </v>
      </c>
      <c r="T407" s="245" t="str">
        <f t="shared" si="45"/>
        <v xml:space="preserve"> </v>
      </c>
      <c r="U407" s="245" t="str">
        <f t="shared" si="45"/>
        <v xml:space="preserve"> </v>
      </c>
      <c r="V407" s="208">
        <f>SUM($N$10:$U407)</f>
        <v>0</v>
      </c>
      <c r="W407" s="208">
        <f>VLOOKUP(V407,Calcs!$Q$4:$R$24,2,TRUE)</f>
        <v>0</v>
      </c>
      <c r="X407" s="435" t="str">
        <f t="shared" si="48"/>
        <v>No</v>
      </c>
      <c r="Y407" s="436"/>
      <c r="Z407" s="435">
        <f t="shared" si="49"/>
        <v>0</v>
      </c>
      <c r="AA407" s="245" t="str">
        <f>IF(AND(X407="Yes",NOT(ISBLANK(Z407))),VLOOKUP(Z407,Calcs!$Y$48:$Z$57,2,TRUE)," ")</f>
        <v xml:space="preserve"> </v>
      </c>
    </row>
    <row r="408" spans="1:27" x14ac:dyDescent="0.2">
      <c r="A408" s="425">
        <f t="shared" si="50"/>
        <v>434</v>
      </c>
      <c r="B408" s="425" t="str">
        <f t="shared" si="46"/>
        <v>Winter</v>
      </c>
      <c r="C408" s="247">
        <f>IF(B408="Winter",A408-('Start Character'!$K$6)-1,IF('Start Character'!$K$7&gt;6,A408-('Start Character'!$K$6)-1,A408-('Start Character'!$K$6)))</f>
        <v>433</v>
      </c>
      <c r="D408" s="247">
        <f t="shared" si="47"/>
        <v>433</v>
      </c>
      <c r="E408" s="246"/>
      <c r="F408" s="83"/>
      <c r="G408" s="83"/>
      <c r="H408" s="246"/>
      <c r="I408" s="433"/>
      <c r="J408" s="254">
        <f>IF(ISBLANK(I408),0,ROUNDUP(D408/10,0)-E408-H408-F408-G408+VLOOKUP($D$2,Calcs!$A$23:$B$27,2,FALSE)+I408)</f>
        <v>0</v>
      </c>
      <c r="K408" s="245" t="str">
        <f>IF(ISBLANK(I408)," ",VLOOKUP(J408,Calcs!$A$82:$H$106,2,TRUE))</f>
        <v xml:space="preserve"> </v>
      </c>
      <c r="L408" s="245">
        <f>IF(ISBLANK(I408),0,VLOOKUP(J408,Calcs!$A$82:$F$106,5,TRUE))</f>
        <v>0</v>
      </c>
      <c r="M408" s="208">
        <f>IF(J408=13,IF(ISNUMBER(W407),VLOOKUP(W407+1,Calcs!$O$4:$Q$24,3,TRUE)-V407,5),IF(J408&lt;10,0,IF(J408&lt;18,1,IF(J408&lt;22,2,IF(ISNUMBER(W407),VLOOKUP(W407+1,Calcs!$O$4:$Q$24,3,TRUE)-V407,5)))))</f>
        <v>0</v>
      </c>
      <c r="N408" s="245" t="str">
        <f t="shared" si="45"/>
        <v xml:space="preserve"> </v>
      </c>
      <c r="O408" s="245" t="str">
        <f t="shared" si="45"/>
        <v xml:space="preserve"> </v>
      </c>
      <c r="P408" s="245" t="str">
        <f t="shared" si="45"/>
        <v xml:space="preserve"> </v>
      </c>
      <c r="Q408" s="245" t="str">
        <f t="shared" si="45"/>
        <v xml:space="preserve"> </v>
      </c>
      <c r="R408" s="245" t="str">
        <f t="shared" si="45"/>
        <v xml:space="preserve"> </v>
      </c>
      <c r="S408" s="245" t="str">
        <f t="shared" si="45"/>
        <v xml:space="preserve"> </v>
      </c>
      <c r="T408" s="245" t="str">
        <f t="shared" si="45"/>
        <v xml:space="preserve"> </v>
      </c>
      <c r="U408" s="245" t="str">
        <f t="shared" si="45"/>
        <v xml:space="preserve"> </v>
      </c>
      <c r="V408" s="208">
        <f>SUM($N$10:$U408)</f>
        <v>0</v>
      </c>
      <c r="W408" s="208">
        <f>VLOOKUP(V408,Calcs!$Q$4:$R$24,2,TRUE)</f>
        <v>0</v>
      </c>
      <c r="X408" s="435" t="str">
        <f t="shared" si="48"/>
        <v>No</v>
      </c>
      <c r="Y408" s="436"/>
      <c r="Z408" s="435">
        <f t="shared" si="49"/>
        <v>0</v>
      </c>
      <c r="AA408" s="245" t="str">
        <f>IF(AND(X408="Yes",NOT(ISBLANK(Z408))),VLOOKUP(Z408,Calcs!$Y$48:$Z$57,2,TRUE)," ")</f>
        <v xml:space="preserve"> </v>
      </c>
    </row>
    <row r="409" spans="1:27" x14ac:dyDescent="0.2">
      <c r="A409" s="425">
        <f t="shared" si="50"/>
        <v>435</v>
      </c>
      <c r="B409" s="425" t="str">
        <f t="shared" si="46"/>
        <v>Winter</v>
      </c>
      <c r="C409" s="247">
        <f>IF(B409="Winter",A409-('Start Character'!$K$6)-1,IF('Start Character'!$K$7&gt;6,A409-('Start Character'!$K$6)-1,A409-('Start Character'!$K$6)))</f>
        <v>434</v>
      </c>
      <c r="D409" s="247">
        <f t="shared" si="47"/>
        <v>434</v>
      </c>
      <c r="E409" s="246"/>
      <c r="F409" s="83"/>
      <c r="G409" s="83"/>
      <c r="H409" s="246"/>
      <c r="I409" s="433"/>
      <c r="J409" s="254">
        <f>IF(ISBLANK(I409),0,ROUNDUP(D409/10,0)-E409-H409-F409-G409+VLOOKUP($D$2,Calcs!$A$23:$B$27,2,FALSE)+I409)</f>
        <v>0</v>
      </c>
      <c r="K409" s="245" t="str">
        <f>IF(ISBLANK(I409)," ",VLOOKUP(J409,Calcs!$A$82:$H$106,2,TRUE))</f>
        <v xml:space="preserve"> </v>
      </c>
      <c r="L409" s="245">
        <f>IF(ISBLANK(I409),0,VLOOKUP(J409,Calcs!$A$82:$F$106,5,TRUE))</f>
        <v>0</v>
      </c>
      <c r="M409" s="208">
        <f>IF(J409=13,IF(ISNUMBER(W408),VLOOKUP(W408+1,Calcs!$O$4:$Q$24,3,TRUE)-V408,5),IF(J409&lt;10,0,IF(J409&lt;18,1,IF(J409&lt;22,2,IF(ISNUMBER(W408),VLOOKUP(W408+1,Calcs!$O$4:$Q$24,3,TRUE)-V408,5)))))</f>
        <v>0</v>
      </c>
      <c r="N409" s="245" t="str">
        <f t="shared" si="45"/>
        <v xml:space="preserve"> </v>
      </c>
      <c r="O409" s="245" t="str">
        <f t="shared" si="45"/>
        <v xml:space="preserve"> </v>
      </c>
      <c r="P409" s="245" t="str">
        <f t="shared" si="45"/>
        <v xml:space="preserve"> </v>
      </c>
      <c r="Q409" s="245" t="str">
        <f t="shared" si="45"/>
        <v xml:space="preserve"> </v>
      </c>
      <c r="R409" s="245" t="str">
        <f t="shared" si="45"/>
        <v xml:space="preserve"> </v>
      </c>
      <c r="S409" s="245" t="str">
        <f t="shared" si="45"/>
        <v xml:space="preserve"> </v>
      </c>
      <c r="T409" s="245" t="str">
        <f t="shared" si="45"/>
        <v xml:space="preserve"> </v>
      </c>
      <c r="U409" s="245" t="str">
        <f t="shared" si="45"/>
        <v xml:space="preserve"> </v>
      </c>
      <c r="V409" s="208">
        <f>SUM($N$10:$U409)</f>
        <v>0</v>
      </c>
      <c r="W409" s="208">
        <f>VLOOKUP(V409,Calcs!$Q$4:$R$24,2,TRUE)</f>
        <v>0</v>
      </c>
      <c r="X409" s="435" t="str">
        <f t="shared" si="48"/>
        <v>No</v>
      </c>
      <c r="Y409" s="436"/>
      <c r="Z409" s="435">
        <f t="shared" si="49"/>
        <v>0</v>
      </c>
      <c r="AA409" s="245" t="str">
        <f>IF(AND(X409="Yes",NOT(ISBLANK(Z409))),VLOOKUP(Z409,Calcs!$Y$48:$Z$57,2,TRUE)," ")</f>
        <v xml:space="preserve"> </v>
      </c>
    </row>
    <row r="410" spans="1:27" x14ac:dyDescent="0.2">
      <c r="A410" s="425">
        <f t="shared" si="50"/>
        <v>436</v>
      </c>
      <c r="B410" s="425" t="str">
        <f t="shared" si="46"/>
        <v>Winter</v>
      </c>
      <c r="C410" s="247">
        <f>IF(B410="Winter",A410-('Start Character'!$K$6)-1,IF('Start Character'!$K$7&gt;6,A410-('Start Character'!$K$6)-1,A410-('Start Character'!$K$6)))</f>
        <v>435</v>
      </c>
      <c r="D410" s="247">
        <f t="shared" si="47"/>
        <v>435</v>
      </c>
      <c r="E410" s="246"/>
      <c r="F410" s="83"/>
      <c r="G410" s="83"/>
      <c r="H410" s="246"/>
      <c r="I410" s="433"/>
      <c r="J410" s="254">
        <f>IF(ISBLANK(I410),0,ROUNDUP(D410/10,0)-E410-H410-F410-G410+VLOOKUP($D$2,Calcs!$A$23:$B$27,2,FALSE)+I410)</f>
        <v>0</v>
      </c>
      <c r="K410" s="245" t="str">
        <f>IF(ISBLANK(I410)," ",VLOOKUP(J410,Calcs!$A$82:$H$106,2,TRUE))</f>
        <v xml:space="preserve"> </v>
      </c>
      <c r="L410" s="245">
        <f>IF(ISBLANK(I410),0,VLOOKUP(J410,Calcs!$A$82:$F$106,5,TRUE))</f>
        <v>0</v>
      </c>
      <c r="M410" s="208">
        <f>IF(J410=13,IF(ISNUMBER(W409),VLOOKUP(W409+1,Calcs!$O$4:$Q$24,3,TRUE)-V409,5),IF(J410&lt;10,0,IF(J410&lt;18,1,IF(J410&lt;22,2,IF(ISNUMBER(W409),VLOOKUP(W409+1,Calcs!$O$4:$Q$24,3,TRUE)-V409,5)))))</f>
        <v>0</v>
      </c>
      <c r="N410" s="245" t="str">
        <f t="shared" si="45"/>
        <v xml:space="preserve"> </v>
      </c>
      <c r="O410" s="245" t="str">
        <f t="shared" si="45"/>
        <v xml:space="preserve"> </v>
      </c>
      <c r="P410" s="245" t="str">
        <f t="shared" si="45"/>
        <v xml:space="preserve"> </v>
      </c>
      <c r="Q410" s="245" t="str">
        <f t="shared" si="45"/>
        <v xml:space="preserve"> </v>
      </c>
      <c r="R410" s="245" t="str">
        <f t="shared" si="45"/>
        <v xml:space="preserve"> </v>
      </c>
      <c r="S410" s="245" t="str">
        <f t="shared" si="45"/>
        <v xml:space="preserve"> </v>
      </c>
      <c r="T410" s="245" t="str">
        <f t="shared" si="45"/>
        <v xml:space="preserve"> </v>
      </c>
      <c r="U410" s="245" t="str">
        <f t="shared" si="45"/>
        <v xml:space="preserve"> </v>
      </c>
      <c r="V410" s="208">
        <f>SUM($N$10:$U410)</f>
        <v>0</v>
      </c>
      <c r="W410" s="208">
        <f>VLOOKUP(V410,Calcs!$Q$4:$R$24,2,TRUE)</f>
        <v>0</v>
      </c>
      <c r="X410" s="435" t="str">
        <f t="shared" si="48"/>
        <v>No</v>
      </c>
      <c r="Y410" s="436"/>
      <c r="Z410" s="435">
        <f t="shared" si="49"/>
        <v>0</v>
      </c>
      <c r="AA410" s="245" t="str">
        <f>IF(AND(X410="Yes",NOT(ISBLANK(Z410))),VLOOKUP(Z410,Calcs!$Y$48:$Z$57,2,TRUE)," ")</f>
        <v xml:space="preserve"> </v>
      </c>
    </row>
    <row r="411" spans="1:27" x14ac:dyDescent="0.2">
      <c r="A411" s="425">
        <f t="shared" si="50"/>
        <v>437</v>
      </c>
      <c r="B411" s="425" t="str">
        <f t="shared" si="46"/>
        <v>Winter</v>
      </c>
      <c r="C411" s="247">
        <f>IF(B411="Winter",A411-('Start Character'!$K$6)-1,IF('Start Character'!$K$7&gt;6,A411-('Start Character'!$K$6)-1,A411-('Start Character'!$K$6)))</f>
        <v>436</v>
      </c>
      <c r="D411" s="247">
        <f t="shared" si="47"/>
        <v>436</v>
      </c>
      <c r="E411" s="246"/>
      <c r="F411" s="83"/>
      <c r="G411" s="83"/>
      <c r="H411" s="246"/>
      <c r="I411" s="433"/>
      <c r="J411" s="254">
        <f>IF(ISBLANK(I411),0,ROUNDUP(D411/10,0)-E411-H411-F411-G411+VLOOKUP($D$2,Calcs!$A$23:$B$27,2,FALSE)+I411)</f>
        <v>0</v>
      </c>
      <c r="K411" s="245" t="str">
        <f>IF(ISBLANK(I411)," ",VLOOKUP(J411,Calcs!$A$82:$H$106,2,TRUE))</f>
        <v xml:space="preserve"> </v>
      </c>
      <c r="L411" s="245">
        <f>IF(ISBLANK(I411),0,VLOOKUP(J411,Calcs!$A$82:$F$106,5,TRUE))</f>
        <v>0</v>
      </c>
      <c r="M411" s="208">
        <f>IF(J411=13,IF(ISNUMBER(W410),VLOOKUP(W410+1,Calcs!$O$4:$Q$24,3,TRUE)-V410,5),IF(J411&lt;10,0,IF(J411&lt;18,1,IF(J411&lt;22,2,IF(ISNUMBER(W410),VLOOKUP(W410+1,Calcs!$O$4:$Q$24,3,TRUE)-V410,5)))))</f>
        <v>0</v>
      </c>
      <c r="N411" s="245" t="str">
        <f t="shared" si="45"/>
        <v xml:space="preserve"> </v>
      </c>
      <c r="O411" s="245" t="str">
        <f t="shared" si="45"/>
        <v xml:space="preserve"> </v>
      </c>
      <c r="P411" s="245" t="str">
        <f t="shared" si="45"/>
        <v xml:space="preserve"> </v>
      </c>
      <c r="Q411" s="245" t="str">
        <f t="shared" si="45"/>
        <v xml:space="preserve"> </v>
      </c>
      <c r="R411" s="245" t="str">
        <f t="shared" si="45"/>
        <v xml:space="preserve"> </v>
      </c>
      <c r="S411" s="245" t="str">
        <f t="shared" si="45"/>
        <v xml:space="preserve"> </v>
      </c>
      <c r="T411" s="245" t="str">
        <f t="shared" si="45"/>
        <v xml:space="preserve"> </v>
      </c>
      <c r="U411" s="245" t="str">
        <f t="shared" si="45"/>
        <v xml:space="preserve"> </v>
      </c>
      <c r="V411" s="208">
        <f>SUM($N$10:$U411)</f>
        <v>0</v>
      </c>
      <c r="W411" s="208">
        <f>VLOOKUP(V411,Calcs!$Q$4:$R$24,2,TRUE)</f>
        <v>0</v>
      </c>
      <c r="X411" s="435" t="str">
        <f t="shared" si="48"/>
        <v>No</v>
      </c>
      <c r="Y411" s="436"/>
      <c r="Z411" s="435">
        <f t="shared" si="49"/>
        <v>0</v>
      </c>
      <c r="AA411" s="245" t="str">
        <f>IF(AND(X411="Yes",NOT(ISBLANK(Z411))),VLOOKUP(Z411,Calcs!$Y$48:$Z$57,2,TRUE)," ")</f>
        <v xml:space="preserve"> </v>
      </c>
    </row>
    <row r="412" spans="1:27" x14ac:dyDescent="0.2">
      <c r="A412" s="425">
        <f t="shared" si="50"/>
        <v>438</v>
      </c>
      <c r="B412" s="425" t="str">
        <f t="shared" si="46"/>
        <v>Winter</v>
      </c>
      <c r="C412" s="247">
        <f>IF(B412="Winter",A412-('Start Character'!$K$6)-1,IF('Start Character'!$K$7&gt;6,A412-('Start Character'!$K$6)-1,A412-('Start Character'!$K$6)))</f>
        <v>437</v>
      </c>
      <c r="D412" s="247">
        <f t="shared" si="47"/>
        <v>437</v>
      </c>
      <c r="E412" s="246"/>
      <c r="F412" s="83"/>
      <c r="G412" s="83"/>
      <c r="H412" s="246"/>
      <c r="I412" s="433"/>
      <c r="J412" s="254">
        <f>IF(ISBLANK(I412),0,ROUNDUP(D412/10,0)-E412-H412-F412-G412+VLOOKUP($D$2,Calcs!$A$23:$B$27,2,FALSE)+I412)</f>
        <v>0</v>
      </c>
      <c r="K412" s="245" t="str">
        <f>IF(ISBLANK(I412)," ",VLOOKUP(J412,Calcs!$A$82:$H$106,2,TRUE))</f>
        <v xml:space="preserve"> </v>
      </c>
      <c r="L412" s="245">
        <f>IF(ISBLANK(I412),0,VLOOKUP(J412,Calcs!$A$82:$F$106,5,TRUE))</f>
        <v>0</v>
      </c>
      <c r="M412" s="208">
        <f>IF(J412=13,IF(ISNUMBER(W411),VLOOKUP(W411+1,Calcs!$O$4:$Q$24,3,TRUE)-V411,5),IF(J412&lt;10,0,IF(J412&lt;18,1,IF(J412&lt;22,2,IF(ISNUMBER(W411),VLOOKUP(W411+1,Calcs!$O$4:$Q$24,3,TRUE)-V411,5)))))</f>
        <v>0</v>
      </c>
      <c r="N412" s="245" t="str">
        <f t="shared" si="45"/>
        <v xml:space="preserve"> </v>
      </c>
      <c r="O412" s="245" t="str">
        <f t="shared" si="45"/>
        <v xml:space="preserve"> </v>
      </c>
      <c r="P412" s="245" t="str">
        <f t="shared" si="45"/>
        <v xml:space="preserve"> </v>
      </c>
      <c r="Q412" s="245" t="str">
        <f t="shared" si="45"/>
        <v xml:space="preserve"> </v>
      </c>
      <c r="R412" s="245" t="str">
        <f t="shared" si="45"/>
        <v xml:space="preserve"> </v>
      </c>
      <c r="S412" s="245" t="str">
        <f t="shared" si="45"/>
        <v xml:space="preserve"> </v>
      </c>
      <c r="T412" s="245" t="str">
        <f t="shared" si="45"/>
        <v xml:space="preserve"> </v>
      </c>
      <c r="U412" s="245" t="str">
        <f t="shared" si="45"/>
        <v xml:space="preserve"> </v>
      </c>
      <c r="V412" s="208">
        <f>SUM($N$10:$U412)</f>
        <v>0</v>
      </c>
      <c r="W412" s="208">
        <f>VLOOKUP(V412,Calcs!$Q$4:$R$24,2,TRUE)</f>
        <v>0</v>
      </c>
      <c r="X412" s="435" t="str">
        <f t="shared" si="48"/>
        <v>No</v>
      </c>
      <c r="Y412" s="436"/>
      <c r="Z412" s="435">
        <f t="shared" si="49"/>
        <v>0</v>
      </c>
      <c r="AA412" s="245" t="str">
        <f>IF(AND(X412="Yes",NOT(ISBLANK(Z412))),VLOOKUP(Z412,Calcs!$Y$48:$Z$57,2,TRUE)," ")</f>
        <v xml:space="preserve"> </v>
      </c>
    </row>
    <row r="413" spans="1:27" x14ac:dyDescent="0.2">
      <c r="A413" s="425">
        <f t="shared" si="50"/>
        <v>439</v>
      </c>
      <c r="B413" s="425" t="str">
        <f t="shared" si="46"/>
        <v>Winter</v>
      </c>
      <c r="C413" s="247">
        <f>IF(B413="Winter",A413-('Start Character'!$K$6)-1,IF('Start Character'!$K$7&gt;6,A413-('Start Character'!$K$6)-1,A413-('Start Character'!$K$6)))</f>
        <v>438</v>
      </c>
      <c r="D413" s="247">
        <f t="shared" si="47"/>
        <v>438</v>
      </c>
      <c r="E413" s="246"/>
      <c r="F413" s="83"/>
      <c r="G413" s="83"/>
      <c r="H413" s="246"/>
      <c r="I413" s="433"/>
      <c r="J413" s="254">
        <f>IF(ISBLANK(I413),0,ROUNDUP(D413/10,0)-E413-H413-F413-G413+VLOOKUP($D$2,Calcs!$A$23:$B$27,2,FALSE)+I413)</f>
        <v>0</v>
      </c>
      <c r="K413" s="245" t="str">
        <f>IF(ISBLANK(I413)," ",VLOOKUP(J413,Calcs!$A$82:$H$106,2,TRUE))</f>
        <v xml:space="preserve"> </v>
      </c>
      <c r="L413" s="245">
        <f>IF(ISBLANK(I413),0,VLOOKUP(J413,Calcs!$A$82:$F$106,5,TRUE))</f>
        <v>0</v>
      </c>
      <c r="M413" s="208">
        <f>IF(J413=13,IF(ISNUMBER(W412),VLOOKUP(W412+1,Calcs!$O$4:$Q$24,3,TRUE)-V412,5),IF(J413&lt;10,0,IF(J413&lt;18,1,IF(J413&lt;22,2,IF(ISNUMBER(W412),VLOOKUP(W412+1,Calcs!$O$4:$Q$24,3,TRUE)-V412,5)))))</f>
        <v>0</v>
      </c>
      <c r="N413" s="245" t="str">
        <f t="shared" si="45"/>
        <v xml:space="preserve"> </v>
      </c>
      <c r="O413" s="245" t="str">
        <f t="shared" si="45"/>
        <v xml:space="preserve"> </v>
      </c>
      <c r="P413" s="245" t="str">
        <f t="shared" si="45"/>
        <v xml:space="preserve"> </v>
      </c>
      <c r="Q413" s="245" t="str">
        <f t="shared" si="45"/>
        <v xml:space="preserve"> </v>
      </c>
      <c r="R413" s="245" t="str">
        <f t="shared" si="45"/>
        <v xml:space="preserve"> </v>
      </c>
      <c r="S413" s="245" t="str">
        <f t="shared" si="45"/>
        <v xml:space="preserve"> </v>
      </c>
      <c r="T413" s="245" t="str">
        <f t="shared" si="45"/>
        <v xml:space="preserve"> </v>
      </c>
      <c r="U413" s="245" t="str">
        <f t="shared" si="45"/>
        <v xml:space="preserve"> </v>
      </c>
      <c r="V413" s="208">
        <f>SUM($N$10:$U413)</f>
        <v>0</v>
      </c>
      <c r="W413" s="208">
        <f>VLOOKUP(V413,Calcs!$Q$4:$R$24,2,TRUE)</f>
        <v>0</v>
      </c>
      <c r="X413" s="435" t="str">
        <f t="shared" si="48"/>
        <v>No</v>
      </c>
      <c r="Y413" s="436"/>
      <c r="Z413" s="435">
        <f t="shared" si="49"/>
        <v>0</v>
      </c>
      <c r="AA413" s="245" t="str">
        <f>IF(AND(X413="Yes",NOT(ISBLANK(Z413))),VLOOKUP(Z413,Calcs!$Y$48:$Z$57,2,TRUE)," ")</f>
        <v xml:space="preserve"> </v>
      </c>
    </row>
    <row r="414" spans="1:27" x14ac:dyDescent="0.2">
      <c r="A414" s="425">
        <f t="shared" si="50"/>
        <v>440</v>
      </c>
      <c r="B414" s="425" t="str">
        <f t="shared" si="46"/>
        <v>Winter</v>
      </c>
      <c r="C414" s="247">
        <f>IF(B414="Winter",A414-('Start Character'!$K$6)-1,IF('Start Character'!$K$7&gt;6,A414-('Start Character'!$K$6)-1,A414-('Start Character'!$K$6)))</f>
        <v>439</v>
      </c>
      <c r="D414" s="247">
        <f t="shared" si="47"/>
        <v>439</v>
      </c>
      <c r="E414" s="246"/>
      <c r="F414" s="83"/>
      <c r="G414" s="83"/>
      <c r="H414" s="246"/>
      <c r="I414" s="433"/>
      <c r="J414" s="254">
        <f>IF(ISBLANK(I414),0,ROUNDUP(D414/10,0)-E414-H414-F414-G414+VLOOKUP($D$2,Calcs!$A$23:$B$27,2,FALSE)+I414)</f>
        <v>0</v>
      </c>
      <c r="K414" s="245" t="str">
        <f>IF(ISBLANK(I414)," ",VLOOKUP(J414,Calcs!$A$82:$H$106,2,TRUE))</f>
        <v xml:space="preserve"> </v>
      </c>
      <c r="L414" s="245">
        <f>IF(ISBLANK(I414),0,VLOOKUP(J414,Calcs!$A$82:$F$106,5,TRUE))</f>
        <v>0</v>
      </c>
      <c r="M414" s="208">
        <f>IF(J414=13,IF(ISNUMBER(W413),VLOOKUP(W413+1,Calcs!$O$4:$Q$24,3,TRUE)-V413,5),IF(J414&lt;10,0,IF(J414&lt;18,1,IF(J414&lt;22,2,IF(ISNUMBER(W413),VLOOKUP(W413+1,Calcs!$O$4:$Q$24,3,TRUE)-V413,5)))))</f>
        <v>0</v>
      </c>
      <c r="N414" s="245" t="str">
        <f t="shared" si="45"/>
        <v xml:space="preserve"> </v>
      </c>
      <c r="O414" s="245" t="str">
        <f t="shared" si="45"/>
        <v xml:space="preserve"> </v>
      </c>
      <c r="P414" s="245" t="str">
        <f t="shared" si="45"/>
        <v xml:space="preserve"> </v>
      </c>
      <c r="Q414" s="245" t="str">
        <f t="shared" si="45"/>
        <v xml:space="preserve"> </v>
      </c>
      <c r="R414" s="245" t="str">
        <f t="shared" si="45"/>
        <v xml:space="preserve"> </v>
      </c>
      <c r="S414" s="245" t="str">
        <f t="shared" si="45"/>
        <v xml:space="preserve"> </v>
      </c>
      <c r="T414" s="245" t="str">
        <f t="shared" si="45"/>
        <v xml:space="preserve"> </v>
      </c>
      <c r="U414" s="245" t="str">
        <f t="shared" si="45"/>
        <v xml:space="preserve"> </v>
      </c>
      <c r="V414" s="208">
        <f>SUM($N$10:$U414)</f>
        <v>0</v>
      </c>
      <c r="W414" s="208">
        <f>VLOOKUP(V414,Calcs!$Q$4:$R$24,2,TRUE)</f>
        <v>0</v>
      </c>
      <c r="X414" s="435" t="str">
        <f t="shared" si="48"/>
        <v>No</v>
      </c>
      <c r="Y414" s="436"/>
      <c r="Z414" s="435">
        <f t="shared" si="49"/>
        <v>0</v>
      </c>
      <c r="AA414" s="245" t="str">
        <f>IF(AND(X414="Yes",NOT(ISBLANK(Z414))),VLOOKUP(Z414,Calcs!$Y$48:$Z$57,2,TRUE)," ")</f>
        <v xml:space="preserve"> </v>
      </c>
    </row>
    <row r="415" spans="1:27" x14ac:dyDescent="0.2">
      <c r="A415" s="425">
        <f t="shared" si="50"/>
        <v>441</v>
      </c>
      <c r="B415" s="425" t="str">
        <f t="shared" si="46"/>
        <v>Winter</v>
      </c>
      <c r="C415" s="247">
        <f>IF(B415="Winter",A415-('Start Character'!$K$6)-1,IF('Start Character'!$K$7&gt;6,A415-('Start Character'!$K$6)-1,A415-('Start Character'!$K$6)))</f>
        <v>440</v>
      </c>
      <c r="D415" s="247">
        <f t="shared" si="47"/>
        <v>440</v>
      </c>
      <c r="E415" s="246"/>
      <c r="F415" s="83"/>
      <c r="G415" s="83"/>
      <c r="H415" s="246"/>
      <c r="I415" s="433"/>
      <c r="J415" s="254">
        <f>IF(ISBLANK(I415),0,ROUNDUP(D415/10,0)-E415-H415-F415-G415+VLOOKUP($D$2,Calcs!$A$23:$B$27,2,FALSE)+I415)</f>
        <v>0</v>
      </c>
      <c r="K415" s="245" t="str">
        <f>IF(ISBLANK(I415)," ",VLOOKUP(J415,Calcs!$A$82:$H$106,2,TRUE))</f>
        <v xml:space="preserve"> </v>
      </c>
      <c r="L415" s="245">
        <f>IF(ISBLANK(I415),0,VLOOKUP(J415,Calcs!$A$82:$F$106,5,TRUE))</f>
        <v>0</v>
      </c>
      <c r="M415" s="208">
        <f>IF(J415=13,IF(ISNUMBER(W414),VLOOKUP(W414+1,Calcs!$O$4:$Q$24,3,TRUE)-V414,5),IF(J415&lt;10,0,IF(J415&lt;18,1,IF(J415&lt;22,2,IF(ISNUMBER(W414),VLOOKUP(W414+1,Calcs!$O$4:$Q$24,3,TRUE)-V414,5)))))</f>
        <v>0</v>
      </c>
      <c r="N415" s="245" t="str">
        <f t="shared" si="45"/>
        <v xml:space="preserve"> </v>
      </c>
      <c r="O415" s="245" t="str">
        <f t="shared" si="45"/>
        <v xml:space="preserve"> </v>
      </c>
      <c r="P415" s="245" t="str">
        <f t="shared" si="45"/>
        <v xml:space="preserve"> </v>
      </c>
      <c r="Q415" s="245" t="str">
        <f t="shared" si="45"/>
        <v xml:space="preserve"> </v>
      </c>
      <c r="R415" s="245" t="str">
        <f t="shared" si="45"/>
        <v xml:space="preserve"> </v>
      </c>
      <c r="S415" s="245" t="str">
        <f t="shared" si="45"/>
        <v xml:space="preserve"> </v>
      </c>
      <c r="T415" s="245" t="str">
        <f t="shared" si="45"/>
        <v xml:space="preserve"> </v>
      </c>
      <c r="U415" s="245" t="str">
        <f t="shared" si="45"/>
        <v xml:space="preserve"> </v>
      </c>
      <c r="V415" s="208">
        <f>SUM($N$10:$U415)</f>
        <v>0</v>
      </c>
      <c r="W415" s="208">
        <f>VLOOKUP(V415,Calcs!$Q$4:$R$24,2,TRUE)</f>
        <v>0</v>
      </c>
      <c r="X415" s="435" t="str">
        <f t="shared" si="48"/>
        <v>No</v>
      </c>
      <c r="Y415" s="436"/>
      <c r="Z415" s="435">
        <f t="shared" si="49"/>
        <v>0</v>
      </c>
      <c r="AA415" s="245" t="str">
        <f>IF(AND(X415="Yes",NOT(ISBLANK(Z415))),VLOOKUP(Z415,Calcs!$Y$48:$Z$57,2,TRUE)," ")</f>
        <v xml:space="preserve"> </v>
      </c>
    </row>
    <row r="416" spans="1:27" x14ac:dyDescent="0.2">
      <c r="A416" s="425">
        <f t="shared" si="50"/>
        <v>442</v>
      </c>
      <c r="B416" s="425" t="str">
        <f t="shared" si="46"/>
        <v>Winter</v>
      </c>
      <c r="C416" s="247">
        <f>IF(B416="Winter",A416-('Start Character'!$K$6)-1,IF('Start Character'!$K$7&gt;6,A416-('Start Character'!$K$6)-1,A416-('Start Character'!$K$6)))</f>
        <v>441</v>
      </c>
      <c r="D416" s="247">
        <f t="shared" si="47"/>
        <v>441</v>
      </c>
      <c r="E416" s="246"/>
      <c r="F416" s="83"/>
      <c r="G416" s="83"/>
      <c r="H416" s="246"/>
      <c r="I416" s="433"/>
      <c r="J416" s="254">
        <f>IF(ISBLANK(I416),0,ROUNDUP(D416/10,0)-E416-H416-F416-G416+VLOOKUP($D$2,Calcs!$A$23:$B$27,2,FALSE)+I416)</f>
        <v>0</v>
      </c>
      <c r="K416" s="245" t="str">
        <f>IF(ISBLANK(I416)," ",VLOOKUP(J416,Calcs!$A$82:$H$106,2,TRUE))</f>
        <v xml:space="preserve"> </v>
      </c>
      <c r="L416" s="245">
        <f>IF(ISBLANK(I416),0,VLOOKUP(J416,Calcs!$A$82:$F$106,5,TRUE))</f>
        <v>0</v>
      </c>
      <c r="M416" s="208">
        <f>IF(J416=13,IF(ISNUMBER(W415),VLOOKUP(W415+1,Calcs!$O$4:$Q$24,3,TRUE)-V415,5),IF(J416&lt;10,0,IF(J416&lt;18,1,IF(J416&lt;22,2,IF(ISNUMBER(W415),VLOOKUP(W415+1,Calcs!$O$4:$Q$24,3,TRUE)-V415,5)))))</f>
        <v>0</v>
      </c>
      <c r="N416" s="245" t="str">
        <f t="shared" si="45"/>
        <v xml:space="preserve"> </v>
      </c>
      <c r="O416" s="245" t="str">
        <f t="shared" si="45"/>
        <v xml:space="preserve"> </v>
      </c>
      <c r="P416" s="245" t="str">
        <f t="shared" si="45"/>
        <v xml:space="preserve"> </v>
      </c>
      <c r="Q416" s="245" t="str">
        <f t="shared" si="45"/>
        <v xml:space="preserve"> </v>
      </c>
      <c r="R416" s="245" t="str">
        <f t="shared" si="45"/>
        <v xml:space="preserve"> </v>
      </c>
      <c r="S416" s="245" t="str">
        <f t="shared" si="45"/>
        <v xml:space="preserve"> </v>
      </c>
      <c r="T416" s="245" t="str">
        <f t="shared" si="45"/>
        <v xml:space="preserve"> </v>
      </c>
      <c r="U416" s="245" t="str">
        <f t="shared" si="45"/>
        <v xml:space="preserve"> </v>
      </c>
      <c r="V416" s="208">
        <f>SUM($N$10:$U416)</f>
        <v>0</v>
      </c>
      <c r="W416" s="208">
        <f>VLOOKUP(V416,Calcs!$Q$4:$R$24,2,TRUE)</f>
        <v>0</v>
      </c>
      <c r="X416" s="435" t="str">
        <f t="shared" si="48"/>
        <v>No</v>
      </c>
      <c r="Y416" s="436"/>
      <c r="Z416" s="435">
        <f t="shared" si="49"/>
        <v>0</v>
      </c>
      <c r="AA416" s="245" t="str">
        <f>IF(AND(X416="Yes",NOT(ISBLANK(Z416))),VLOOKUP(Z416,Calcs!$Y$48:$Z$57,2,TRUE)," ")</f>
        <v xml:space="preserve"> </v>
      </c>
    </row>
    <row r="417" spans="1:27" x14ac:dyDescent="0.2">
      <c r="A417" s="425">
        <f t="shared" si="50"/>
        <v>443</v>
      </c>
      <c r="B417" s="425" t="str">
        <f t="shared" si="46"/>
        <v>Winter</v>
      </c>
      <c r="C417" s="247">
        <f>IF(B417="Winter",A417-('Start Character'!$K$6)-1,IF('Start Character'!$K$7&gt;6,A417-('Start Character'!$K$6)-1,A417-('Start Character'!$K$6)))</f>
        <v>442</v>
      </c>
      <c r="D417" s="247">
        <f t="shared" si="47"/>
        <v>442</v>
      </c>
      <c r="E417" s="246"/>
      <c r="F417" s="83"/>
      <c r="G417" s="83"/>
      <c r="H417" s="246"/>
      <c r="I417" s="433"/>
      <c r="J417" s="254">
        <f>IF(ISBLANK(I417),0,ROUNDUP(D417/10,0)-E417-H417-F417-G417+VLOOKUP($D$2,Calcs!$A$23:$B$27,2,FALSE)+I417)</f>
        <v>0</v>
      </c>
      <c r="K417" s="245" t="str">
        <f>IF(ISBLANK(I417)," ",VLOOKUP(J417,Calcs!$A$82:$H$106,2,TRUE))</f>
        <v xml:space="preserve"> </v>
      </c>
      <c r="L417" s="245">
        <f>IF(ISBLANK(I417),0,VLOOKUP(J417,Calcs!$A$82:$F$106,5,TRUE))</f>
        <v>0</v>
      </c>
      <c r="M417" s="208">
        <f>IF(J417=13,IF(ISNUMBER(W416),VLOOKUP(W416+1,Calcs!$O$4:$Q$24,3,TRUE)-V416,5),IF(J417&lt;10,0,IF(J417&lt;18,1,IF(J417&lt;22,2,IF(ISNUMBER(W416),VLOOKUP(W416+1,Calcs!$O$4:$Q$24,3,TRUE)-V416,5)))))</f>
        <v>0</v>
      </c>
      <c r="N417" s="245" t="str">
        <f t="shared" si="45"/>
        <v xml:space="preserve"> </v>
      </c>
      <c r="O417" s="245" t="str">
        <f t="shared" si="45"/>
        <v xml:space="preserve"> </v>
      </c>
      <c r="P417" s="245" t="str">
        <f t="shared" si="45"/>
        <v xml:space="preserve"> </v>
      </c>
      <c r="Q417" s="245" t="str">
        <f t="shared" si="45"/>
        <v xml:space="preserve"> </v>
      </c>
      <c r="R417" s="245" t="str">
        <f t="shared" si="45"/>
        <v xml:space="preserve"> </v>
      </c>
      <c r="S417" s="245" t="str">
        <f t="shared" si="45"/>
        <v xml:space="preserve"> </v>
      </c>
      <c r="T417" s="245" t="str">
        <f t="shared" si="45"/>
        <v xml:space="preserve"> </v>
      </c>
      <c r="U417" s="245" t="str">
        <f t="shared" si="45"/>
        <v xml:space="preserve"> </v>
      </c>
      <c r="V417" s="208">
        <f>SUM($N$10:$U417)</f>
        <v>0</v>
      </c>
      <c r="W417" s="208">
        <f>VLOOKUP(V417,Calcs!$Q$4:$R$24,2,TRUE)</f>
        <v>0</v>
      </c>
      <c r="X417" s="435" t="str">
        <f t="shared" si="48"/>
        <v>No</v>
      </c>
      <c r="Y417" s="436"/>
      <c r="Z417" s="435">
        <f t="shared" si="49"/>
        <v>0</v>
      </c>
      <c r="AA417" s="245" t="str">
        <f>IF(AND(X417="Yes",NOT(ISBLANK(Z417))),VLOOKUP(Z417,Calcs!$Y$48:$Z$57,2,TRUE)," ")</f>
        <v xml:space="preserve"> </v>
      </c>
    </row>
    <row r="418" spans="1:27" x14ac:dyDescent="0.2">
      <c r="A418" s="425">
        <f t="shared" si="50"/>
        <v>444</v>
      </c>
      <c r="B418" s="425" t="str">
        <f t="shared" si="46"/>
        <v>Winter</v>
      </c>
      <c r="C418" s="247">
        <f>IF(B418="Winter",A418-('Start Character'!$K$6)-1,IF('Start Character'!$K$7&gt;6,A418-('Start Character'!$K$6)-1,A418-('Start Character'!$K$6)))</f>
        <v>443</v>
      </c>
      <c r="D418" s="247">
        <f t="shared" si="47"/>
        <v>443</v>
      </c>
      <c r="E418" s="246"/>
      <c r="F418" s="83"/>
      <c r="G418" s="83"/>
      <c r="H418" s="246"/>
      <c r="I418" s="433"/>
      <c r="J418" s="254">
        <f>IF(ISBLANK(I418),0,ROUNDUP(D418/10,0)-E418-H418-F418-G418+VLOOKUP($D$2,Calcs!$A$23:$B$27,2,FALSE)+I418)</f>
        <v>0</v>
      </c>
      <c r="K418" s="245" t="str">
        <f>IF(ISBLANK(I418)," ",VLOOKUP(J418,Calcs!$A$82:$H$106,2,TRUE))</f>
        <v xml:space="preserve"> </v>
      </c>
      <c r="L418" s="245">
        <f>IF(ISBLANK(I418),0,VLOOKUP(J418,Calcs!$A$82:$F$106,5,TRUE))</f>
        <v>0</v>
      </c>
      <c r="M418" s="208">
        <f>IF(J418=13,IF(ISNUMBER(W417),VLOOKUP(W417+1,Calcs!$O$4:$Q$24,3,TRUE)-V417,5),IF(J418&lt;10,0,IF(J418&lt;18,1,IF(J418&lt;22,2,IF(ISNUMBER(W417),VLOOKUP(W417+1,Calcs!$O$4:$Q$24,3,TRUE)-V417,5)))))</f>
        <v>0</v>
      </c>
      <c r="N418" s="245" t="str">
        <f t="shared" si="45"/>
        <v xml:space="preserve"> </v>
      </c>
      <c r="O418" s="245" t="str">
        <f t="shared" si="45"/>
        <v xml:space="preserve"> </v>
      </c>
      <c r="P418" s="245" t="str">
        <f t="shared" si="45"/>
        <v xml:space="preserve"> </v>
      </c>
      <c r="Q418" s="245" t="str">
        <f t="shared" si="45"/>
        <v xml:space="preserve"> </v>
      </c>
      <c r="R418" s="245" t="str">
        <f t="shared" si="45"/>
        <v xml:space="preserve"> </v>
      </c>
      <c r="S418" s="245" t="str">
        <f t="shared" si="45"/>
        <v xml:space="preserve"> </v>
      </c>
      <c r="T418" s="245" t="str">
        <f t="shared" si="45"/>
        <v xml:space="preserve"> </v>
      </c>
      <c r="U418" s="245" t="str">
        <f t="shared" si="45"/>
        <v xml:space="preserve"> </v>
      </c>
      <c r="V418" s="208">
        <f>SUM($N$10:$U418)</f>
        <v>0</v>
      </c>
      <c r="W418" s="208">
        <f>VLOOKUP(V418,Calcs!$Q$4:$R$24,2,TRUE)</f>
        <v>0</v>
      </c>
      <c r="X418" s="435" t="str">
        <f t="shared" si="48"/>
        <v>No</v>
      </c>
      <c r="Y418" s="436"/>
      <c r="Z418" s="435">
        <f t="shared" si="49"/>
        <v>0</v>
      </c>
      <c r="AA418" s="245" t="str">
        <f>IF(AND(X418="Yes",NOT(ISBLANK(Z418))),VLOOKUP(Z418,Calcs!$Y$48:$Z$57,2,TRUE)," ")</f>
        <v xml:space="preserve"> </v>
      </c>
    </row>
    <row r="419" spans="1:27" x14ac:dyDescent="0.2">
      <c r="A419" s="425">
        <f t="shared" si="50"/>
        <v>445</v>
      </c>
      <c r="B419" s="425" t="str">
        <f t="shared" si="46"/>
        <v>Winter</v>
      </c>
      <c r="C419" s="247">
        <f>IF(B419="Winter",A419-('Start Character'!$K$6)-1,IF('Start Character'!$K$7&gt;6,A419-('Start Character'!$K$6)-1,A419-('Start Character'!$K$6)))</f>
        <v>444</v>
      </c>
      <c r="D419" s="247">
        <f t="shared" si="47"/>
        <v>444</v>
      </c>
      <c r="E419" s="246"/>
      <c r="F419" s="83"/>
      <c r="G419" s="83"/>
      <c r="H419" s="246"/>
      <c r="I419" s="433"/>
      <c r="J419" s="254">
        <f>IF(ISBLANK(I419),0,ROUNDUP(D419/10,0)-E419-H419-F419-G419+VLOOKUP($D$2,Calcs!$A$23:$B$27,2,FALSE)+I419)</f>
        <v>0</v>
      </c>
      <c r="K419" s="245" t="str">
        <f>IF(ISBLANK(I419)," ",VLOOKUP(J419,Calcs!$A$82:$H$106,2,TRUE))</f>
        <v xml:space="preserve"> </v>
      </c>
      <c r="L419" s="245">
        <f>IF(ISBLANK(I419),0,VLOOKUP(J419,Calcs!$A$82:$F$106,5,TRUE))</f>
        <v>0</v>
      </c>
      <c r="M419" s="208">
        <f>IF(J419=13,IF(ISNUMBER(W418),VLOOKUP(W418+1,Calcs!$O$4:$Q$24,3,TRUE)-V418,5),IF(J419&lt;10,0,IF(J419&lt;18,1,IF(J419&lt;22,2,IF(ISNUMBER(W418),VLOOKUP(W418+1,Calcs!$O$4:$Q$24,3,TRUE)-V418,5)))))</f>
        <v>0</v>
      </c>
      <c r="N419" s="245" t="str">
        <f t="shared" si="45"/>
        <v xml:space="preserve"> </v>
      </c>
      <c r="O419" s="245" t="str">
        <f t="shared" si="45"/>
        <v xml:space="preserve"> </v>
      </c>
      <c r="P419" s="245" t="str">
        <f t="shared" si="45"/>
        <v xml:space="preserve"> </v>
      </c>
      <c r="Q419" s="245" t="str">
        <f t="shared" si="45"/>
        <v xml:space="preserve"> </v>
      </c>
      <c r="R419" s="245" t="str">
        <f t="shared" si="45"/>
        <v xml:space="preserve"> </v>
      </c>
      <c r="S419" s="245" t="str">
        <f t="shared" si="45"/>
        <v xml:space="preserve"> </v>
      </c>
      <c r="T419" s="245" t="str">
        <f t="shared" si="45"/>
        <v xml:space="preserve"> </v>
      </c>
      <c r="U419" s="245" t="str">
        <f t="shared" si="45"/>
        <v xml:space="preserve"> </v>
      </c>
      <c r="V419" s="208">
        <f>SUM($N$10:$U419)</f>
        <v>0</v>
      </c>
      <c r="W419" s="208">
        <f>VLOOKUP(V419,Calcs!$Q$4:$R$24,2,TRUE)</f>
        <v>0</v>
      </c>
      <c r="X419" s="435" t="str">
        <f t="shared" si="48"/>
        <v>No</v>
      </c>
      <c r="Y419" s="436"/>
      <c r="Z419" s="435">
        <f t="shared" si="49"/>
        <v>0</v>
      </c>
      <c r="AA419" s="245" t="str">
        <f>IF(AND(X419="Yes",NOT(ISBLANK(Z419))),VLOOKUP(Z419,Calcs!$Y$48:$Z$57,2,TRUE)," ")</f>
        <v xml:space="preserve"> </v>
      </c>
    </row>
    <row r="420" spans="1:27" x14ac:dyDescent="0.2">
      <c r="A420" s="425">
        <f t="shared" si="50"/>
        <v>446</v>
      </c>
      <c r="B420" s="425" t="str">
        <f t="shared" si="46"/>
        <v>Winter</v>
      </c>
      <c r="C420" s="247">
        <f>IF(B420="Winter",A420-('Start Character'!$K$6)-1,IF('Start Character'!$K$7&gt;6,A420-('Start Character'!$K$6)-1,A420-('Start Character'!$K$6)))</f>
        <v>445</v>
      </c>
      <c r="D420" s="247">
        <f t="shared" si="47"/>
        <v>445</v>
      </c>
      <c r="E420" s="246"/>
      <c r="F420" s="83"/>
      <c r="G420" s="83"/>
      <c r="H420" s="246"/>
      <c r="I420" s="433"/>
      <c r="J420" s="254">
        <f>IF(ISBLANK(I420),0,ROUNDUP(D420/10,0)-E420-H420-F420-G420+VLOOKUP($D$2,Calcs!$A$23:$B$27,2,FALSE)+I420)</f>
        <v>0</v>
      </c>
      <c r="K420" s="245" t="str">
        <f>IF(ISBLANK(I420)," ",VLOOKUP(J420,Calcs!$A$82:$H$106,2,TRUE))</f>
        <v xml:space="preserve"> </v>
      </c>
      <c r="L420" s="245">
        <f>IF(ISBLANK(I420),0,VLOOKUP(J420,Calcs!$A$82:$F$106,5,TRUE))</f>
        <v>0</v>
      </c>
      <c r="M420" s="208">
        <f>IF(J420=13,IF(ISNUMBER(W419),VLOOKUP(W419+1,Calcs!$O$4:$Q$24,3,TRUE)-V419,5),IF(J420&lt;10,0,IF(J420&lt;18,1,IF(J420&lt;22,2,IF(ISNUMBER(W419),VLOOKUP(W419+1,Calcs!$O$4:$Q$24,3,TRUE)-V419,5)))))</f>
        <v>0</v>
      </c>
      <c r="N420" s="245" t="str">
        <f t="shared" si="45"/>
        <v xml:space="preserve"> </v>
      </c>
      <c r="O420" s="245" t="str">
        <f t="shared" si="45"/>
        <v xml:space="preserve"> </v>
      </c>
      <c r="P420" s="245" t="str">
        <f t="shared" si="45"/>
        <v xml:space="preserve"> </v>
      </c>
      <c r="Q420" s="245" t="str">
        <f t="shared" si="45"/>
        <v xml:space="preserve"> </v>
      </c>
      <c r="R420" s="245" t="str">
        <f t="shared" si="45"/>
        <v xml:space="preserve"> </v>
      </c>
      <c r="S420" s="245" t="str">
        <f t="shared" si="45"/>
        <v xml:space="preserve"> </v>
      </c>
      <c r="T420" s="245" t="str">
        <f t="shared" si="45"/>
        <v xml:space="preserve"> </v>
      </c>
      <c r="U420" s="245" t="str">
        <f t="shared" si="45"/>
        <v xml:space="preserve"> </v>
      </c>
      <c r="V420" s="208">
        <f>SUM($N$10:$U420)</f>
        <v>0</v>
      </c>
      <c r="W420" s="208">
        <f>VLOOKUP(V420,Calcs!$Q$4:$R$24,2,TRUE)</f>
        <v>0</v>
      </c>
      <c r="X420" s="435" t="str">
        <f t="shared" si="48"/>
        <v>No</v>
      </c>
      <c r="Y420" s="436"/>
      <c r="Z420" s="435">
        <f t="shared" si="49"/>
        <v>0</v>
      </c>
      <c r="AA420" s="245" t="str">
        <f>IF(AND(X420="Yes",NOT(ISBLANK(Z420))),VLOOKUP(Z420,Calcs!$Y$48:$Z$57,2,TRUE)," ")</f>
        <v xml:space="preserve"> </v>
      </c>
    </row>
    <row r="421" spans="1:27" x14ac:dyDescent="0.2">
      <c r="A421" s="425">
        <f t="shared" si="50"/>
        <v>447</v>
      </c>
      <c r="B421" s="425" t="str">
        <f t="shared" si="46"/>
        <v>Winter</v>
      </c>
      <c r="C421" s="247">
        <f>IF(B421="Winter",A421-('Start Character'!$K$6)-1,IF('Start Character'!$K$7&gt;6,A421-('Start Character'!$K$6)-1,A421-('Start Character'!$K$6)))</f>
        <v>446</v>
      </c>
      <c r="D421" s="247">
        <f t="shared" si="47"/>
        <v>446</v>
      </c>
      <c r="E421" s="246"/>
      <c r="F421" s="83"/>
      <c r="G421" s="83"/>
      <c r="H421" s="246"/>
      <c r="I421" s="433"/>
      <c r="J421" s="254">
        <f>IF(ISBLANK(I421),0,ROUNDUP(D421/10,0)-E421-H421-F421-G421+VLOOKUP($D$2,Calcs!$A$23:$B$27,2,FALSE)+I421)</f>
        <v>0</v>
      </c>
      <c r="K421" s="245" t="str">
        <f>IF(ISBLANK(I421)," ",VLOOKUP(J421,Calcs!$A$82:$H$106,2,TRUE))</f>
        <v xml:space="preserve"> </v>
      </c>
      <c r="L421" s="245">
        <f>IF(ISBLANK(I421),0,VLOOKUP(J421,Calcs!$A$82:$F$106,5,TRUE))</f>
        <v>0</v>
      </c>
      <c r="M421" s="208">
        <f>IF(J421=13,IF(ISNUMBER(W420),VLOOKUP(W420+1,Calcs!$O$4:$Q$24,3,TRUE)-V420,5),IF(J421&lt;10,0,IF(J421&lt;18,1,IF(J421&lt;22,2,IF(ISNUMBER(W420),VLOOKUP(W420+1,Calcs!$O$4:$Q$24,3,TRUE)-V420,5)))))</f>
        <v>0</v>
      </c>
      <c r="N421" s="245" t="str">
        <f t="shared" si="45"/>
        <v xml:space="preserve"> </v>
      </c>
      <c r="O421" s="245" t="str">
        <f t="shared" si="45"/>
        <v xml:space="preserve"> </v>
      </c>
      <c r="P421" s="245" t="str">
        <f t="shared" si="45"/>
        <v xml:space="preserve"> </v>
      </c>
      <c r="Q421" s="245" t="str">
        <f t="shared" si="45"/>
        <v xml:space="preserve"> </v>
      </c>
      <c r="R421" s="245" t="str">
        <f t="shared" si="45"/>
        <v xml:space="preserve"> </v>
      </c>
      <c r="S421" s="245" t="str">
        <f t="shared" si="45"/>
        <v xml:space="preserve"> </v>
      </c>
      <c r="T421" s="245" t="str">
        <f t="shared" si="45"/>
        <v xml:space="preserve"> </v>
      </c>
      <c r="U421" s="245" t="str">
        <f t="shared" si="45"/>
        <v xml:space="preserve"> </v>
      </c>
      <c r="V421" s="208">
        <f>SUM($N$10:$U421)</f>
        <v>0</v>
      </c>
      <c r="W421" s="208">
        <f>VLOOKUP(V421,Calcs!$Q$4:$R$24,2,TRUE)</f>
        <v>0</v>
      </c>
      <c r="X421" s="435" t="str">
        <f t="shared" si="48"/>
        <v>No</v>
      </c>
      <c r="Y421" s="436"/>
      <c r="Z421" s="435">
        <f t="shared" si="49"/>
        <v>0</v>
      </c>
      <c r="AA421" s="245" t="str">
        <f>IF(AND(X421="Yes",NOT(ISBLANK(Z421))),VLOOKUP(Z421,Calcs!$Y$48:$Z$57,2,TRUE)," ")</f>
        <v xml:space="preserve"> </v>
      </c>
    </row>
    <row r="422" spans="1:27" x14ac:dyDescent="0.2">
      <c r="A422" s="425">
        <f t="shared" si="50"/>
        <v>448</v>
      </c>
      <c r="B422" s="425" t="str">
        <f t="shared" si="46"/>
        <v>Winter</v>
      </c>
      <c r="C422" s="247">
        <f>IF(B422="Winter",A422-('Start Character'!$K$6)-1,IF('Start Character'!$K$7&gt;6,A422-('Start Character'!$K$6)-1,A422-('Start Character'!$K$6)))</f>
        <v>447</v>
      </c>
      <c r="D422" s="247">
        <f t="shared" si="47"/>
        <v>447</v>
      </c>
      <c r="E422" s="246"/>
      <c r="F422" s="83"/>
      <c r="G422" s="83"/>
      <c r="H422" s="246"/>
      <c r="I422" s="433"/>
      <c r="J422" s="254">
        <f>IF(ISBLANK(I422),0,ROUNDUP(D422/10,0)-E422-H422-F422-G422+VLOOKUP($D$2,Calcs!$A$23:$B$27,2,FALSE)+I422)</f>
        <v>0</v>
      </c>
      <c r="K422" s="245" t="str">
        <f>IF(ISBLANK(I422)," ",VLOOKUP(J422,Calcs!$A$82:$H$106,2,TRUE))</f>
        <v xml:space="preserve"> </v>
      </c>
      <c r="L422" s="245">
        <f>IF(ISBLANK(I422),0,VLOOKUP(J422,Calcs!$A$82:$F$106,5,TRUE))</f>
        <v>0</v>
      </c>
      <c r="M422" s="208">
        <f>IF(J422=13,IF(ISNUMBER(W421),VLOOKUP(W421+1,Calcs!$O$4:$Q$24,3,TRUE)-V421,5),IF(J422&lt;10,0,IF(J422&lt;18,1,IF(J422&lt;22,2,IF(ISNUMBER(W421),VLOOKUP(W421+1,Calcs!$O$4:$Q$24,3,TRUE)-V421,5)))))</f>
        <v>0</v>
      </c>
      <c r="N422" s="245" t="str">
        <f t="shared" si="45"/>
        <v xml:space="preserve"> </v>
      </c>
      <c r="O422" s="245" t="str">
        <f t="shared" si="45"/>
        <v xml:space="preserve"> </v>
      </c>
      <c r="P422" s="245" t="str">
        <f t="shared" si="45"/>
        <v xml:space="preserve"> </v>
      </c>
      <c r="Q422" s="245" t="str">
        <f t="shared" si="45"/>
        <v xml:space="preserve"> </v>
      </c>
      <c r="R422" s="245" t="str">
        <f t="shared" si="45"/>
        <v xml:space="preserve"> </v>
      </c>
      <c r="S422" s="245" t="str">
        <f t="shared" si="45"/>
        <v xml:space="preserve"> </v>
      </c>
      <c r="T422" s="245" t="str">
        <f t="shared" si="45"/>
        <v xml:space="preserve"> </v>
      </c>
      <c r="U422" s="245" t="str">
        <f t="shared" si="45"/>
        <v xml:space="preserve"> </v>
      </c>
      <c r="V422" s="208">
        <f>SUM($N$10:$U422)</f>
        <v>0</v>
      </c>
      <c r="W422" s="208">
        <f>VLOOKUP(V422,Calcs!$Q$4:$R$24,2,TRUE)</f>
        <v>0</v>
      </c>
      <c r="X422" s="435" t="str">
        <f t="shared" si="48"/>
        <v>No</v>
      </c>
      <c r="Y422" s="436"/>
      <c r="Z422" s="435">
        <f t="shared" si="49"/>
        <v>0</v>
      </c>
      <c r="AA422" s="245" t="str">
        <f>IF(AND(X422="Yes",NOT(ISBLANK(Z422))),VLOOKUP(Z422,Calcs!$Y$48:$Z$57,2,TRUE)," ")</f>
        <v xml:space="preserve"> </v>
      </c>
    </row>
    <row r="423" spans="1:27" x14ac:dyDescent="0.2">
      <c r="A423" s="425">
        <f t="shared" si="50"/>
        <v>449</v>
      </c>
      <c r="B423" s="425" t="str">
        <f t="shared" si="46"/>
        <v>Winter</v>
      </c>
      <c r="C423" s="247">
        <f>IF(B423="Winter",A423-('Start Character'!$K$6)-1,IF('Start Character'!$K$7&gt;6,A423-('Start Character'!$K$6)-1,A423-('Start Character'!$K$6)))</f>
        <v>448</v>
      </c>
      <c r="D423" s="247">
        <f t="shared" si="47"/>
        <v>448</v>
      </c>
      <c r="E423" s="246"/>
      <c r="F423" s="83"/>
      <c r="G423" s="83"/>
      <c r="H423" s="246"/>
      <c r="I423" s="433"/>
      <c r="J423" s="254">
        <f>IF(ISBLANK(I423),0,ROUNDUP(D423/10,0)-E423-H423-F423-G423+VLOOKUP($D$2,Calcs!$A$23:$B$27,2,FALSE)+I423)</f>
        <v>0</v>
      </c>
      <c r="K423" s="245" t="str">
        <f>IF(ISBLANK(I423)," ",VLOOKUP(J423,Calcs!$A$82:$H$106,2,TRUE))</f>
        <v xml:space="preserve"> </v>
      </c>
      <c r="L423" s="245">
        <f>IF(ISBLANK(I423),0,VLOOKUP(J423,Calcs!$A$82:$F$106,5,TRUE))</f>
        <v>0</v>
      </c>
      <c r="M423" s="208">
        <f>IF(J423=13,IF(ISNUMBER(W422),VLOOKUP(W422+1,Calcs!$O$4:$Q$24,3,TRUE)-V422,5),IF(J423&lt;10,0,IF(J423&lt;18,1,IF(J423&lt;22,2,IF(ISNUMBER(W422),VLOOKUP(W422+1,Calcs!$O$4:$Q$24,3,TRUE)-V422,5)))))</f>
        <v>0</v>
      </c>
      <c r="N423" s="245" t="str">
        <f t="shared" si="45"/>
        <v xml:space="preserve"> </v>
      </c>
      <c r="O423" s="245" t="str">
        <f t="shared" si="45"/>
        <v xml:space="preserve"> </v>
      </c>
      <c r="P423" s="245" t="str">
        <f t="shared" si="45"/>
        <v xml:space="preserve"> </v>
      </c>
      <c r="Q423" s="245" t="str">
        <f t="shared" si="45"/>
        <v xml:space="preserve"> </v>
      </c>
      <c r="R423" s="245" t="str">
        <f t="shared" si="45"/>
        <v xml:space="preserve"> </v>
      </c>
      <c r="S423" s="245" t="str">
        <f t="shared" si="45"/>
        <v xml:space="preserve"> </v>
      </c>
      <c r="T423" s="245" t="str">
        <f t="shared" si="45"/>
        <v xml:space="preserve"> </v>
      </c>
      <c r="U423" s="245" t="str">
        <f t="shared" si="45"/>
        <v xml:space="preserve"> </v>
      </c>
      <c r="V423" s="208">
        <f>SUM($N$10:$U423)</f>
        <v>0</v>
      </c>
      <c r="W423" s="208">
        <f>VLOOKUP(V423,Calcs!$Q$4:$R$24,2,TRUE)</f>
        <v>0</v>
      </c>
      <c r="X423" s="435" t="str">
        <f t="shared" si="48"/>
        <v>No</v>
      </c>
      <c r="Y423" s="436"/>
      <c r="Z423" s="435">
        <f t="shared" si="49"/>
        <v>0</v>
      </c>
      <c r="AA423" s="245" t="str">
        <f>IF(AND(X423="Yes",NOT(ISBLANK(Z423))),VLOOKUP(Z423,Calcs!$Y$48:$Z$57,2,TRUE)," ")</f>
        <v xml:space="preserve"> </v>
      </c>
    </row>
    <row r="424" spans="1:27" x14ac:dyDescent="0.2">
      <c r="A424" s="425">
        <f t="shared" si="50"/>
        <v>450</v>
      </c>
      <c r="B424" s="425" t="str">
        <f t="shared" si="46"/>
        <v>Winter</v>
      </c>
      <c r="C424" s="247">
        <f>IF(B424="Winter",A424-('Start Character'!$K$6)-1,IF('Start Character'!$K$7&gt;6,A424-('Start Character'!$K$6)-1,A424-('Start Character'!$K$6)))</f>
        <v>449</v>
      </c>
      <c r="D424" s="247">
        <f t="shared" si="47"/>
        <v>449</v>
      </c>
      <c r="E424" s="246"/>
      <c r="F424" s="83"/>
      <c r="G424" s="83"/>
      <c r="H424" s="246"/>
      <c r="I424" s="433"/>
      <c r="J424" s="254">
        <f>IF(ISBLANK(I424),0,ROUNDUP(D424/10,0)-E424-H424-F424-G424+VLOOKUP($D$2,Calcs!$A$23:$B$27,2,FALSE)+I424)</f>
        <v>0</v>
      </c>
      <c r="K424" s="245" t="str">
        <f>IF(ISBLANK(I424)," ",VLOOKUP(J424,Calcs!$A$82:$H$106,2,TRUE))</f>
        <v xml:space="preserve"> </v>
      </c>
      <c r="L424" s="245">
        <f>IF(ISBLANK(I424),0,VLOOKUP(J424,Calcs!$A$82:$F$106,5,TRUE))</f>
        <v>0</v>
      </c>
      <c r="M424" s="208">
        <f>IF(J424=13,IF(ISNUMBER(W423),VLOOKUP(W423+1,Calcs!$O$4:$Q$24,3,TRUE)-V423,5),IF(J424&lt;10,0,IF(J424&lt;18,1,IF(J424&lt;22,2,IF(ISNUMBER(W423),VLOOKUP(W423+1,Calcs!$O$4:$Q$24,3,TRUE)-V423,5)))))</f>
        <v>0</v>
      </c>
      <c r="N424" s="245" t="str">
        <f t="shared" si="45"/>
        <v xml:space="preserve"> </v>
      </c>
      <c r="O424" s="245" t="str">
        <f t="shared" si="45"/>
        <v xml:space="preserve"> </v>
      </c>
      <c r="P424" s="245" t="str">
        <f t="shared" si="45"/>
        <v xml:space="preserve"> </v>
      </c>
      <c r="Q424" s="245" t="str">
        <f t="shared" si="45"/>
        <v xml:space="preserve"> </v>
      </c>
      <c r="R424" s="245" t="str">
        <f t="shared" ref="N424:U456" si="51">IF(ISERROR(FIND(R$9,$K424))," ",1)</f>
        <v xml:space="preserve"> </v>
      </c>
      <c r="S424" s="245" t="str">
        <f t="shared" si="51"/>
        <v xml:space="preserve"> </v>
      </c>
      <c r="T424" s="245" t="str">
        <f t="shared" si="51"/>
        <v xml:space="preserve"> </v>
      </c>
      <c r="U424" s="245" t="str">
        <f t="shared" si="51"/>
        <v xml:space="preserve"> </v>
      </c>
      <c r="V424" s="208">
        <f>SUM($N$10:$U424)</f>
        <v>0</v>
      </c>
      <c r="W424" s="208">
        <f>VLOOKUP(V424,Calcs!$Q$4:$R$24,2,TRUE)</f>
        <v>0</v>
      </c>
      <c r="X424" s="435" t="str">
        <f t="shared" si="48"/>
        <v>No</v>
      </c>
      <c r="Y424" s="436"/>
      <c r="Z424" s="435">
        <f t="shared" si="49"/>
        <v>0</v>
      </c>
      <c r="AA424" s="245" t="str">
        <f>IF(AND(X424="Yes",NOT(ISBLANK(Z424))),VLOOKUP(Z424,Calcs!$Y$48:$Z$57,2,TRUE)," ")</f>
        <v xml:space="preserve"> </v>
      </c>
    </row>
    <row r="425" spans="1:27" x14ac:dyDescent="0.2">
      <c r="A425" s="425">
        <f t="shared" si="50"/>
        <v>451</v>
      </c>
      <c r="B425" s="425" t="str">
        <f t="shared" si="46"/>
        <v>Winter</v>
      </c>
      <c r="C425" s="247">
        <f>IF(B425="Winter",A425-('Start Character'!$K$6)-1,IF('Start Character'!$K$7&gt;6,A425-('Start Character'!$K$6)-1,A425-('Start Character'!$K$6)))</f>
        <v>450</v>
      </c>
      <c r="D425" s="247">
        <f t="shared" si="47"/>
        <v>450</v>
      </c>
      <c r="E425" s="246"/>
      <c r="F425" s="83"/>
      <c r="G425" s="83"/>
      <c r="H425" s="246"/>
      <c r="I425" s="433"/>
      <c r="J425" s="254">
        <f>IF(ISBLANK(I425),0,ROUNDUP(D425/10,0)-E425-H425-F425-G425+VLOOKUP($D$2,Calcs!$A$23:$B$27,2,FALSE)+I425)</f>
        <v>0</v>
      </c>
      <c r="K425" s="245" t="str">
        <f>IF(ISBLANK(I425)," ",VLOOKUP(J425,Calcs!$A$82:$H$106,2,TRUE))</f>
        <v xml:space="preserve"> </v>
      </c>
      <c r="L425" s="245">
        <f>IF(ISBLANK(I425),0,VLOOKUP(J425,Calcs!$A$82:$F$106,5,TRUE))</f>
        <v>0</v>
      </c>
      <c r="M425" s="208">
        <f>IF(J425=13,IF(ISNUMBER(W424),VLOOKUP(W424+1,Calcs!$O$4:$Q$24,3,TRUE)-V424,5),IF(J425&lt;10,0,IF(J425&lt;18,1,IF(J425&lt;22,2,IF(ISNUMBER(W424),VLOOKUP(W424+1,Calcs!$O$4:$Q$24,3,TRUE)-V424,5)))))</f>
        <v>0</v>
      </c>
      <c r="N425" s="245" t="str">
        <f t="shared" si="51"/>
        <v xml:space="preserve"> </v>
      </c>
      <c r="O425" s="245" t="str">
        <f t="shared" si="51"/>
        <v xml:space="preserve"> </v>
      </c>
      <c r="P425" s="245" t="str">
        <f t="shared" si="51"/>
        <v xml:space="preserve"> </v>
      </c>
      <c r="Q425" s="245" t="str">
        <f t="shared" si="51"/>
        <v xml:space="preserve"> </v>
      </c>
      <c r="R425" s="245" t="str">
        <f t="shared" si="51"/>
        <v xml:space="preserve"> </v>
      </c>
      <c r="S425" s="245" t="str">
        <f t="shared" si="51"/>
        <v xml:space="preserve"> </v>
      </c>
      <c r="T425" s="245" t="str">
        <f t="shared" si="51"/>
        <v xml:space="preserve"> </v>
      </c>
      <c r="U425" s="245" t="str">
        <f t="shared" si="51"/>
        <v xml:space="preserve"> </v>
      </c>
      <c r="V425" s="208">
        <f>SUM($N$10:$U425)</f>
        <v>0</v>
      </c>
      <c r="W425" s="208">
        <f>VLOOKUP(V425,Calcs!$Q$4:$R$24,2,TRUE)</f>
        <v>0</v>
      </c>
      <c r="X425" s="435" t="str">
        <f t="shared" si="48"/>
        <v>No</v>
      </c>
      <c r="Y425" s="436"/>
      <c r="Z425" s="435">
        <f t="shared" si="49"/>
        <v>0</v>
      </c>
      <c r="AA425" s="245" t="str">
        <f>IF(AND(X425="Yes",NOT(ISBLANK(Z425))),VLOOKUP(Z425,Calcs!$Y$48:$Z$57,2,TRUE)," ")</f>
        <v xml:space="preserve"> </v>
      </c>
    </row>
    <row r="426" spans="1:27" x14ac:dyDescent="0.2">
      <c r="A426" s="425">
        <f t="shared" si="50"/>
        <v>452</v>
      </c>
      <c r="B426" s="425" t="str">
        <f t="shared" si="46"/>
        <v>Winter</v>
      </c>
      <c r="C426" s="247">
        <f>IF(B426="Winter",A426-('Start Character'!$K$6)-1,IF('Start Character'!$K$7&gt;6,A426-('Start Character'!$K$6)-1,A426-('Start Character'!$K$6)))</f>
        <v>451</v>
      </c>
      <c r="D426" s="247">
        <f t="shared" si="47"/>
        <v>451</v>
      </c>
      <c r="E426" s="246"/>
      <c r="F426" s="83"/>
      <c r="G426" s="83"/>
      <c r="H426" s="246"/>
      <c r="I426" s="433"/>
      <c r="J426" s="254">
        <f>IF(ISBLANK(I426),0,ROUNDUP(D426/10,0)-E426-H426-F426-G426+VLOOKUP($D$2,Calcs!$A$23:$B$27,2,FALSE)+I426)</f>
        <v>0</v>
      </c>
      <c r="K426" s="245" t="str">
        <f>IF(ISBLANK(I426)," ",VLOOKUP(J426,Calcs!$A$82:$H$106,2,TRUE))</f>
        <v xml:space="preserve"> </v>
      </c>
      <c r="L426" s="245">
        <f>IF(ISBLANK(I426),0,VLOOKUP(J426,Calcs!$A$82:$F$106,5,TRUE))</f>
        <v>0</v>
      </c>
      <c r="M426" s="208">
        <f>IF(J426=13,IF(ISNUMBER(W425),VLOOKUP(W425+1,Calcs!$O$4:$Q$24,3,TRUE)-V425,5),IF(J426&lt;10,0,IF(J426&lt;18,1,IF(J426&lt;22,2,IF(ISNUMBER(W425),VLOOKUP(W425+1,Calcs!$O$4:$Q$24,3,TRUE)-V425,5)))))</f>
        <v>0</v>
      </c>
      <c r="N426" s="245" t="str">
        <f t="shared" si="51"/>
        <v xml:space="preserve"> </v>
      </c>
      <c r="O426" s="245" t="str">
        <f t="shared" si="51"/>
        <v xml:space="preserve"> </v>
      </c>
      <c r="P426" s="245" t="str">
        <f t="shared" si="51"/>
        <v xml:space="preserve"> </v>
      </c>
      <c r="Q426" s="245" t="str">
        <f t="shared" si="51"/>
        <v xml:space="preserve"> </v>
      </c>
      <c r="R426" s="245" t="str">
        <f t="shared" si="51"/>
        <v xml:space="preserve"> </v>
      </c>
      <c r="S426" s="245" t="str">
        <f t="shared" si="51"/>
        <v xml:space="preserve"> </v>
      </c>
      <c r="T426" s="245" t="str">
        <f t="shared" si="51"/>
        <v xml:space="preserve"> </v>
      </c>
      <c r="U426" s="245" t="str">
        <f t="shared" si="51"/>
        <v xml:space="preserve"> </v>
      </c>
      <c r="V426" s="208">
        <f>SUM($N$10:$U426)</f>
        <v>0</v>
      </c>
      <c r="W426" s="208">
        <f>VLOOKUP(V426,Calcs!$Q$4:$R$24,2,TRUE)</f>
        <v>0</v>
      </c>
      <c r="X426" s="435" t="str">
        <f t="shared" si="48"/>
        <v>No</v>
      </c>
      <c r="Y426" s="436"/>
      <c r="Z426" s="435">
        <f t="shared" si="49"/>
        <v>0</v>
      </c>
      <c r="AA426" s="245" t="str">
        <f>IF(AND(X426="Yes",NOT(ISBLANK(Z426))),VLOOKUP(Z426,Calcs!$Y$48:$Z$57,2,TRUE)," ")</f>
        <v xml:space="preserve"> </v>
      </c>
    </row>
    <row r="427" spans="1:27" x14ac:dyDescent="0.2">
      <c r="A427" s="425">
        <f t="shared" si="50"/>
        <v>453</v>
      </c>
      <c r="B427" s="425" t="str">
        <f t="shared" si="46"/>
        <v>Winter</v>
      </c>
      <c r="C427" s="247">
        <f>IF(B427="Winter",A427-('Start Character'!$K$6)-1,IF('Start Character'!$K$7&gt;6,A427-('Start Character'!$K$6)-1,A427-('Start Character'!$K$6)))</f>
        <v>452</v>
      </c>
      <c r="D427" s="247">
        <f t="shared" si="47"/>
        <v>452</v>
      </c>
      <c r="E427" s="246"/>
      <c r="F427" s="83"/>
      <c r="G427" s="83"/>
      <c r="H427" s="246"/>
      <c r="I427" s="433"/>
      <c r="J427" s="254">
        <f>IF(ISBLANK(I427),0,ROUNDUP(D427/10,0)-E427-H427-F427-G427+VLOOKUP($D$2,Calcs!$A$23:$B$27,2,FALSE)+I427)</f>
        <v>0</v>
      </c>
      <c r="K427" s="245" t="str">
        <f>IF(ISBLANK(I427)," ",VLOOKUP(J427,Calcs!$A$82:$H$106,2,TRUE))</f>
        <v xml:space="preserve"> </v>
      </c>
      <c r="L427" s="245">
        <f>IF(ISBLANK(I427),0,VLOOKUP(J427,Calcs!$A$82:$F$106,5,TRUE))</f>
        <v>0</v>
      </c>
      <c r="M427" s="208">
        <f>IF(J427=13,IF(ISNUMBER(W426),VLOOKUP(W426+1,Calcs!$O$4:$Q$24,3,TRUE)-V426,5),IF(J427&lt;10,0,IF(J427&lt;18,1,IF(J427&lt;22,2,IF(ISNUMBER(W426),VLOOKUP(W426+1,Calcs!$O$4:$Q$24,3,TRUE)-V426,5)))))</f>
        <v>0</v>
      </c>
      <c r="N427" s="245" t="str">
        <f t="shared" si="51"/>
        <v xml:space="preserve"> </v>
      </c>
      <c r="O427" s="245" t="str">
        <f t="shared" si="51"/>
        <v xml:space="preserve"> </v>
      </c>
      <c r="P427" s="245" t="str">
        <f t="shared" si="51"/>
        <v xml:space="preserve"> </v>
      </c>
      <c r="Q427" s="245" t="str">
        <f t="shared" si="51"/>
        <v xml:space="preserve"> </v>
      </c>
      <c r="R427" s="245" t="str">
        <f t="shared" si="51"/>
        <v xml:space="preserve"> </v>
      </c>
      <c r="S427" s="245" t="str">
        <f t="shared" si="51"/>
        <v xml:space="preserve"> </v>
      </c>
      <c r="T427" s="245" t="str">
        <f t="shared" si="51"/>
        <v xml:space="preserve"> </v>
      </c>
      <c r="U427" s="245" t="str">
        <f t="shared" si="51"/>
        <v xml:space="preserve"> </v>
      </c>
      <c r="V427" s="208">
        <f>SUM($N$10:$U427)</f>
        <v>0</v>
      </c>
      <c r="W427" s="208">
        <f>VLOOKUP(V427,Calcs!$Q$4:$R$24,2,TRUE)</f>
        <v>0</v>
      </c>
      <c r="X427" s="435" t="str">
        <f t="shared" si="48"/>
        <v>No</v>
      </c>
      <c r="Y427" s="436"/>
      <c r="Z427" s="435">
        <f t="shared" si="49"/>
        <v>0</v>
      </c>
      <c r="AA427" s="245" t="str">
        <f>IF(AND(X427="Yes",NOT(ISBLANK(Z427))),VLOOKUP(Z427,Calcs!$Y$48:$Z$57,2,TRUE)," ")</f>
        <v xml:space="preserve"> </v>
      </c>
    </row>
    <row r="428" spans="1:27" x14ac:dyDescent="0.2">
      <c r="A428" s="425">
        <f t="shared" si="50"/>
        <v>454</v>
      </c>
      <c r="B428" s="425" t="str">
        <f t="shared" si="46"/>
        <v>Winter</v>
      </c>
      <c r="C428" s="247">
        <f>IF(B428="Winter",A428-('Start Character'!$K$6)-1,IF('Start Character'!$K$7&gt;6,A428-('Start Character'!$K$6)-1,A428-('Start Character'!$K$6)))</f>
        <v>453</v>
      </c>
      <c r="D428" s="247">
        <f t="shared" si="47"/>
        <v>453</v>
      </c>
      <c r="E428" s="246"/>
      <c r="F428" s="83"/>
      <c r="G428" s="83"/>
      <c r="H428" s="246"/>
      <c r="I428" s="433"/>
      <c r="J428" s="254">
        <f>IF(ISBLANK(I428),0,ROUNDUP(D428/10,0)-E428-H428-F428-G428+VLOOKUP($D$2,Calcs!$A$23:$B$27,2,FALSE)+I428)</f>
        <v>0</v>
      </c>
      <c r="K428" s="245" t="str">
        <f>IF(ISBLANK(I428)," ",VLOOKUP(J428,Calcs!$A$82:$H$106,2,TRUE))</f>
        <v xml:space="preserve"> </v>
      </c>
      <c r="L428" s="245">
        <f>IF(ISBLANK(I428),0,VLOOKUP(J428,Calcs!$A$82:$F$106,5,TRUE))</f>
        <v>0</v>
      </c>
      <c r="M428" s="208">
        <f>IF(J428=13,IF(ISNUMBER(W427),VLOOKUP(W427+1,Calcs!$O$4:$Q$24,3,TRUE)-V427,5),IF(J428&lt;10,0,IF(J428&lt;18,1,IF(J428&lt;22,2,IF(ISNUMBER(W427),VLOOKUP(W427+1,Calcs!$O$4:$Q$24,3,TRUE)-V427,5)))))</f>
        <v>0</v>
      </c>
      <c r="N428" s="245" t="str">
        <f t="shared" si="51"/>
        <v xml:space="preserve"> </v>
      </c>
      <c r="O428" s="245" t="str">
        <f t="shared" si="51"/>
        <v xml:space="preserve"> </v>
      </c>
      <c r="P428" s="245" t="str">
        <f t="shared" si="51"/>
        <v xml:space="preserve"> </v>
      </c>
      <c r="Q428" s="245" t="str">
        <f t="shared" si="51"/>
        <v xml:space="preserve"> </v>
      </c>
      <c r="R428" s="245" t="str">
        <f t="shared" si="51"/>
        <v xml:space="preserve"> </v>
      </c>
      <c r="S428" s="245" t="str">
        <f t="shared" si="51"/>
        <v xml:space="preserve"> </v>
      </c>
      <c r="T428" s="245" t="str">
        <f t="shared" si="51"/>
        <v xml:space="preserve"> </v>
      </c>
      <c r="U428" s="245" t="str">
        <f t="shared" si="51"/>
        <v xml:space="preserve"> </v>
      </c>
      <c r="V428" s="208">
        <f>SUM($N$10:$U428)</f>
        <v>0</v>
      </c>
      <c r="W428" s="208">
        <f>VLOOKUP(V428,Calcs!$Q$4:$R$24,2,TRUE)</f>
        <v>0</v>
      </c>
      <c r="X428" s="435" t="str">
        <f t="shared" si="48"/>
        <v>No</v>
      </c>
      <c r="Y428" s="436"/>
      <c r="Z428" s="435">
        <f t="shared" si="49"/>
        <v>0</v>
      </c>
      <c r="AA428" s="245" t="str">
        <f>IF(AND(X428="Yes",NOT(ISBLANK(Z428))),VLOOKUP(Z428,Calcs!$Y$48:$Z$57,2,TRUE)," ")</f>
        <v xml:space="preserve"> </v>
      </c>
    </row>
    <row r="429" spans="1:27" x14ac:dyDescent="0.2">
      <c r="A429" s="425">
        <f t="shared" si="50"/>
        <v>455</v>
      </c>
      <c r="B429" s="425" t="str">
        <f t="shared" si="46"/>
        <v>Winter</v>
      </c>
      <c r="C429" s="247">
        <f>IF(B429="Winter",A429-('Start Character'!$K$6)-1,IF('Start Character'!$K$7&gt;6,A429-('Start Character'!$K$6)-1,A429-('Start Character'!$K$6)))</f>
        <v>454</v>
      </c>
      <c r="D429" s="247">
        <f t="shared" si="47"/>
        <v>454</v>
      </c>
      <c r="E429" s="246"/>
      <c r="F429" s="83"/>
      <c r="G429" s="83"/>
      <c r="H429" s="246"/>
      <c r="I429" s="433"/>
      <c r="J429" s="254">
        <f>IF(ISBLANK(I429),0,ROUNDUP(D429/10,0)-E429-H429-F429-G429+VLOOKUP($D$2,Calcs!$A$23:$B$27,2,FALSE)+I429)</f>
        <v>0</v>
      </c>
      <c r="K429" s="245" t="str">
        <f>IF(ISBLANK(I429)," ",VLOOKUP(J429,Calcs!$A$82:$H$106,2,TRUE))</f>
        <v xml:space="preserve"> </v>
      </c>
      <c r="L429" s="245">
        <f>IF(ISBLANK(I429),0,VLOOKUP(J429,Calcs!$A$82:$F$106,5,TRUE))</f>
        <v>0</v>
      </c>
      <c r="M429" s="208">
        <f>IF(J429=13,IF(ISNUMBER(W428),VLOOKUP(W428+1,Calcs!$O$4:$Q$24,3,TRUE)-V428,5),IF(J429&lt;10,0,IF(J429&lt;18,1,IF(J429&lt;22,2,IF(ISNUMBER(W428),VLOOKUP(W428+1,Calcs!$O$4:$Q$24,3,TRUE)-V428,5)))))</f>
        <v>0</v>
      </c>
      <c r="N429" s="245" t="str">
        <f t="shared" si="51"/>
        <v xml:space="preserve"> </v>
      </c>
      <c r="O429" s="245" t="str">
        <f t="shared" si="51"/>
        <v xml:space="preserve"> </v>
      </c>
      <c r="P429" s="245" t="str">
        <f t="shared" si="51"/>
        <v xml:space="preserve"> </v>
      </c>
      <c r="Q429" s="245" t="str">
        <f t="shared" si="51"/>
        <v xml:space="preserve"> </v>
      </c>
      <c r="R429" s="245" t="str">
        <f t="shared" si="51"/>
        <v xml:space="preserve"> </v>
      </c>
      <c r="S429" s="245" t="str">
        <f t="shared" si="51"/>
        <v xml:space="preserve"> </v>
      </c>
      <c r="T429" s="245" t="str">
        <f t="shared" si="51"/>
        <v xml:space="preserve"> </v>
      </c>
      <c r="U429" s="245" t="str">
        <f t="shared" si="51"/>
        <v xml:space="preserve"> </v>
      </c>
      <c r="V429" s="208">
        <f>SUM($N$10:$U429)</f>
        <v>0</v>
      </c>
      <c r="W429" s="208">
        <f>VLOOKUP(V429,Calcs!$Q$4:$R$24,2,TRUE)</f>
        <v>0</v>
      </c>
      <c r="X429" s="435" t="str">
        <f t="shared" si="48"/>
        <v>No</v>
      </c>
      <c r="Y429" s="436"/>
      <c r="Z429" s="435">
        <f t="shared" si="49"/>
        <v>0</v>
      </c>
      <c r="AA429" s="245" t="str">
        <f>IF(AND(X429="Yes",NOT(ISBLANK(Z429))),VLOOKUP(Z429,Calcs!$Y$48:$Z$57,2,TRUE)," ")</f>
        <v xml:space="preserve"> </v>
      </c>
    </row>
    <row r="430" spans="1:27" x14ac:dyDescent="0.2">
      <c r="A430" s="425">
        <f t="shared" si="50"/>
        <v>456</v>
      </c>
      <c r="B430" s="425" t="str">
        <f t="shared" si="46"/>
        <v>Winter</v>
      </c>
      <c r="C430" s="247">
        <f>IF(B430="Winter",A430-('Start Character'!$K$6)-1,IF('Start Character'!$K$7&gt;6,A430-('Start Character'!$K$6)-1,A430-('Start Character'!$K$6)))</f>
        <v>455</v>
      </c>
      <c r="D430" s="247">
        <f t="shared" si="47"/>
        <v>455</v>
      </c>
      <c r="E430" s="246"/>
      <c r="F430" s="83"/>
      <c r="G430" s="83"/>
      <c r="H430" s="246"/>
      <c r="I430" s="433"/>
      <c r="J430" s="254">
        <f>IF(ISBLANK(I430),0,ROUNDUP(D430/10,0)-E430-H430-F430-G430+VLOOKUP($D$2,Calcs!$A$23:$B$27,2,FALSE)+I430)</f>
        <v>0</v>
      </c>
      <c r="K430" s="245" t="str">
        <f>IF(ISBLANK(I430)," ",VLOOKUP(J430,Calcs!$A$82:$H$106,2,TRUE))</f>
        <v xml:space="preserve"> </v>
      </c>
      <c r="L430" s="245">
        <f>IF(ISBLANK(I430),0,VLOOKUP(J430,Calcs!$A$82:$F$106,5,TRUE))</f>
        <v>0</v>
      </c>
      <c r="M430" s="208">
        <f>IF(J430=13,IF(ISNUMBER(W429),VLOOKUP(W429+1,Calcs!$O$4:$Q$24,3,TRUE)-V429,5),IF(J430&lt;10,0,IF(J430&lt;18,1,IF(J430&lt;22,2,IF(ISNUMBER(W429),VLOOKUP(W429+1,Calcs!$O$4:$Q$24,3,TRUE)-V429,5)))))</f>
        <v>0</v>
      </c>
      <c r="N430" s="245" t="str">
        <f t="shared" si="51"/>
        <v xml:space="preserve"> </v>
      </c>
      <c r="O430" s="245" t="str">
        <f t="shared" si="51"/>
        <v xml:space="preserve"> </v>
      </c>
      <c r="P430" s="245" t="str">
        <f t="shared" si="51"/>
        <v xml:space="preserve"> </v>
      </c>
      <c r="Q430" s="245" t="str">
        <f t="shared" si="51"/>
        <v xml:space="preserve"> </v>
      </c>
      <c r="R430" s="245" t="str">
        <f t="shared" si="51"/>
        <v xml:space="preserve"> </v>
      </c>
      <c r="S430" s="245" t="str">
        <f t="shared" si="51"/>
        <v xml:space="preserve"> </v>
      </c>
      <c r="T430" s="245" t="str">
        <f t="shared" si="51"/>
        <v xml:space="preserve"> </v>
      </c>
      <c r="U430" s="245" t="str">
        <f t="shared" si="51"/>
        <v xml:space="preserve"> </v>
      </c>
      <c r="V430" s="208">
        <f>SUM($N$10:$U430)</f>
        <v>0</v>
      </c>
      <c r="W430" s="208">
        <f>VLOOKUP(V430,Calcs!$Q$4:$R$24,2,TRUE)</f>
        <v>0</v>
      </c>
      <c r="X430" s="435" t="str">
        <f t="shared" si="48"/>
        <v>No</v>
      </c>
      <c r="Y430" s="436"/>
      <c r="Z430" s="435">
        <f t="shared" si="49"/>
        <v>0</v>
      </c>
      <c r="AA430" s="245" t="str">
        <f>IF(AND(X430="Yes",NOT(ISBLANK(Z430))),VLOOKUP(Z430,Calcs!$Y$48:$Z$57,2,TRUE)," ")</f>
        <v xml:space="preserve"> </v>
      </c>
    </row>
    <row r="431" spans="1:27" x14ac:dyDescent="0.2">
      <c r="A431" s="425">
        <f t="shared" si="50"/>
        <v>457</v>
      </c>
      <c r="B431" s="425" t="str">
        <f t="shared" si="46"/>
        <v>Winter</v>
      </c>
      <c r="C431" s="247">
        <f>IF(B431="Winter",A431-('Start Character'!$K$6)-1,IF('Start Character'!$K$7&gt;6,A431-('Start Character'!$K$6)-1,A431-('Start Character'!$K$6)))</f>
        <v>456</v>
      </c>
      <c r="D431" s="247">
        <f t="shared" si="47"/>
        <v>456</v>
      </c>
      <c r="E431" s="246"/>
      <c r="F431" s="83"/>
      <c r="G431" s="83"/>
      <c r="H431" s="246"/>
      <c r="I431" s="433"/>
      <c r="J431" s="254">
        <f>IF(ISBLANK(I431),0,ROUNDUP(D431/10,0)-E431-H431-F431-G431+VLOOKUP($D$2,Calcs!$A$23:$B$27,2,FALSE)+I431)</f>
        <v>0</v>
      </c>
      <c r="K431" s="245" t="str">
        <f>IF(ISBLANK(I431)," ",VLOOKUP(J431,Calcs!$A$82:$H$106,2,TRUE))</f>
        <v xml:space="preserve"> </v>
      </c>
      <c r="L431" s="245">
        <f>IF(ISBLANK(I431),0,VLOOKUP(J431,Calcs!$A$82:$F$106,5,TRUE))</f>
        <v>0</v>
      </c>
      <c r="M431" s="208">
        <f>IF(J431=13,IF(ISNUMBER(W430),VLOOKUP(W430+1,Calcs!$O$4:$Q$24,3,TRUE)-V430,5),IF(J431&lt;10,0,IF(J431&lt;18,1,IF(J431&lt;22,2,IF(ISNUMBER(W430),VLOOKUP(W430+1,Calcs!$O$4:$Q$24,3,TRUE)-V430,5)))))</f>
        <v>0</v>
      </c>
      <c r="N431" s="245" t="str">
        <f t="shared" si="51"/>
        <v xml:space="preserve"> </v>
      </c>
      <c r="O431" s="245" t="str">
        <f t="shared" si="51"/>
        <v xml:space="preserve"> </v>
      </c>
      <c r="P431" s="245" t="str">
        <f t="shared" si="51"/>
        <v xml:space="preserve"> </v>
      </c>
      <c r="Q431" s="245" t="str">
        <f t="shared" si="51"/>
        <v xml:space="preserve"> </v>
      </c>
      <c r="R431" s="245" t="str">
        <f t="shared" si="51"/>
        <v xml:space="preserve"> </v>
      </c>
      <c r="S431" s="245" t="str">
        <f t="shared" si="51"/>
        <v xml:space="preserve"> </v>
      </c>
      <c r="T431" s="245" t="str">
        <f t="shared" si="51"/>
        <v xml:space="preserve"> </v>
      </c>
      <c r="U431" s="245" t="str">
        <f t="shared" si="51"/>
        <v xml:space="preserve"> </v>
      </c>
      <c r="V431" s="208">
        <f>SUM($N$10:$U431)</f>
        <v>0</v>
      </c>
      <c r="W431" s="208">
        <f>VLOOKUP(V431,Calcs!$Q$4:$R$24,2,TRUE)</f>
        <v>0</v>
      </c>
      <c r="X431" s="435" t="str">
        <f t="shared" si="48"/>
        <v>No</v>
      </c>
      <c r="Y431" s="436"/>
      <c r="Z431" s="435">
        <f t="shared" si="49"/>
        <v>0</v>
      </c>
      <c r="AA431" s="245" t="str">
        <f>IF(AND(X431="Yes",NOT(ISBLANK(Z431))),VLOOKUP(Z431,Calcs!$Y$48:$Z$57,2,TRUE)," ")</f>
        <v xml:space="preserve"> </v>
      </c>
    </row>
    <row r="432" spans="1:27" x14ac:dyDescent="0.2">
      <c r="A432" s="425">
        <f t="shared" si="50"/>
        <v>458</v>
      </c>
      <c r="B432" s="425" t="str">
        <f t="shared" si="46"/>
        <v>Winter</v>
      </c>
      <c r="C432" s="247">
        <f>IF(B432="Winter",A432-('Start Character'!$K$6)-1,IF('Start Character'!$K$7&gt;6,A432-('Start Character'!$K$6)-1,A432-('Start Character'!$K$6)))</f>
        <v>457</v>
      </c>
      <c r="D432" s="247">
        <f t="shared" si="47"/>
        <v>457</v>
      </c>
      <c r="E432" s="246"/>
      <c r="F432" s="83"/>
      <c r="G432" s="83"/>
      <c r="H432" s="246"/>
      <c r="I432" s="433"/>
      <c r="J432" s="254">
        <f>IF(ISBLANK(I432),0,ROUNDUP(D432/10,0)-E432-H432-F432-G432+VLOOKUP($D$2,Calcs!$A$23:$B$27,2,FALSE)+I432)</f>
        <v>0</v>
      </c>
      <c r="K432" s="245" t="str">
        <f>IF(ISBLANK(I432)," ",VLOOKUP(J432,Calcs!$A$82:$H$106,2,TRUE))</f>
        <v xml:space="preserve"> </v>
      </c>
      <c r="L432" s="245">
        <f>IF(ISBLANK(I432),0,VLOOKUP(J432,Calcs!$A$82:$F$106,5,TRUE))</f>
        <v>0</v>
      </c>
      <c r="M432" s="208">
        <f>IF(J432=13,IF(ISNUMBER(W431),VLOOKUP(W431+1,Calcs!$O$4:$Q$24,3,TRUE)-V431,5),IF(J432&lt;10,0,IF(J432&lt;18,1,IF(J432&lt;22,2,IF(ISNUMBER(W431),VLOOKUP(W431+1,Calcs!$O$4:$Q$24,3,TRUE)-V431,5)))))</f>
        <v>0</v>
      </c>
      <c r="N432" s="245" t="str">
        <f t="shared" si="51"/>
        <v xml:space="preserve"> </v>
      </c>
      <c r="O432" s="245" t="str">
        <f t="shared" si="51"/>
        <v xml:space="preserve"> </v>
      </c>
      <c r="P432" s="245" t="str">
        <f t="shared" si="51"/>
        <v xml:space="preserve"> </v>
      </c>
      <c r="Q432" s="245" t="str">
        <f t="shared" si="51"/>
        <v xml:space="preserve"> </v>
      </c>
      <c r="R432" s="245" t="str">
        <f t="shared" si="51"/>
        <v xml:space="preserve"> </v>
      </c>
      <c r="S432" s="245" t="str">
        <f t="shared" si="51"/>
        <v xml:space="preserve"> </v>
      </c>
      <c r="T432" s="245" t="str">
        <f t="shared" si="51"/>
        <v xml:space="preserve"> </v>
      </c>
      <c r="U432" s="245" t="str">
        <f t="shared" si="51"/>
        <v xml:space="preserve"> </v>
      </c>
      <c r="V432" s="208">
        <f>SUM($N$10:$U432)</f>
        <v>0</v>
      </c>
      <c r="W432" s="208">
        <f>VLOOKUP(V432,Calcs!$Q$4:$R$24,2,TRUE)</f>
        <v>0</v>
      </c>
      <c r="X432" s="435" t="str">
        <f t="shared" si="48"/>
        <v>No</v>
      </c>
      <c r="Y432" s="436"/>
      <c r="Z432" s="435">
        <f t="shared" si="49"/>
        <v>0</v>
      </c>
      <c r="AA432" s="245" t="str">
        <f>IF(AND(X432="Yes",NOT(ISBLANK(Z432))),VLOOKUP(Z432,Calcs!$Y$48:$Z$57,2,TRUE)," ")</f>
        <v xml:space="preserve"> </v>
      </c>
    </row>
    <row r="433" spans="1:27" x14ac:dyDescent="0.2">
      <c r="A433" s="425">
        <f t="shared" si="50"/>
        <v>459</v>
      </c>
      <c r="B433" s="425" t="str">
        <f t="shared" si="46"/>
        <v>Winter</v>
      </c>
      <c r="C433" s="247">
        <f>IF(B433="Winter",A433-('Start Character'!$K$6)-1,IF('Start Character'!$K$7&gt;6,A433-('Start Character'!$K$6)-1,A433-('Start Character'!$K$6)))</f>
        <v>458</v>
      </c>
      <c r="D433" s="247">
        <f t="shared" si="47"/>
        <v>458</v>
      </c>
      <c r="E433" s="246"/>
      <c r="F433" s="83"/>
      <c r="G433" s="83"/>
      <c r="H433" s="246"/>
      <c r="I433" s="433"/>
      <c r="J433" s="254">
        <f>IF(ISBLANK(I433),0,ROUNDUP(D433/10,0)-E433-H433-F433-G433+VLOOKUP($D$2,Calcs!$A$23:$B$27,2,FALSE)+I433)</f>
        <v>0</v>
      </c>
      <c r="K433" s="245" t="str">
        <f>IF(ISBLANK(I433)," ",VLOOKUP(J433,Calcs!$A$82:$H$106,2,TRUE))</f>
        <v xml:space="preserve"> </v>
      </c>
      <c r="L433" s="245">
        <f>IF(ISBLANK(I433),0,VLOOKUP(J433,Calcs!$A$82:$F$106,5,TRUE))</f>
        <v>0</v>
      </c>
      <c r="M433" s="208">
        <f>IF(J433=13,IF(ISNUMBER(W432),VLOOKUP(W432+1,Calcs!$O$4:$Q$24,3,TRUE)-V432,5),IF(J433&lt;10,0,IF(J433&lt;18,1,IF(J433&lt;22,2,IF(ISNUMBER(W432),VLOOKUP(W432+1,Calcs!$O$4:$Q$24,3,TRUE)-V432,5)))))</f>
        <v>0</v>
      </c>
      <c r="N433" s="245" t="str">
        <f t="shared" si="51"/>
        <v xml:space="preserve"> </v>
      </c>
      <c r="O433" s="245" t="str">
        <f t="shared" si="51"/>
        <v xml:space="preserve"> </v>
      </c>
      <c r="P433" s="245" t="str">
        <f t="shared" si="51"/>
        <v xml:space="preserve"> </v>
      </c>
      <c r="Q433" s="245" t="str">
        <f t="shared" si="51"/>
        <v xml:space="preserve"> </v>
      </c>
      <c r="R433" s="245" t="str">
        <f t="shared" si="51"/>
        <v xml:space="preserve"> </v>
      </c>
      <c r="S433" s="245" t="str">
        <f t="shared" si="51"/>
        <v xml:space="preserve"> </v>
      </c>
      <c r="T433" s="245" t="str">
        <f t="shared" si="51"/>
        <v xml:space="preserve"> </v>
      </c>
      <c r="U433" s="245" t="str">
        <f t="shared" si="51"/>
        <v xml:space="preserve"> </v>
      </c>
      <c r="V433" s="208">
        <f>SUM($N$10:$U433)</f>
        <v>0</v>
      </c>
      <c r="W433" s="208">
        <f>VLOOKUP(V433,Calcs!$Q$4:$R$24,2,TRUE)</f>
        <v>0</v>
      </c>
      <c r="X433" s="435" t="str">
        <f t="shared" si="48"/>
        <v>No</v>
      </c>
      <c r="Y433" s="436"/>
      <c r="Z433" s="435">
        <f t="shared" si="49"/>
        <v>0</v>
      </c>
      <c r="AA433" s="245" t="str">
        <f>IF(AND(X433="Yes",NOT(ISBLANK(Z433))),VLOOKUP(Z433,Calcs!$Y$48:$Z$57,2,TRUE)," ")</f>
        <v xml:space="preserve"> </v>
      </c>
    </row>
    <row r="434" spans="1:27" x14ac:dyDescent="0.2">
      <c r="A434" s="425">
        <f t="shared" si="50"/>
        <v>460</v>
      </c>
      <c r="B434" s="425" t="str">
        <f t="shared" si="46"/>
        <v>Winter</v>
      </c>
      <c r="C434" s="247">
        <f>IF(B434="Winter",A434-('Start Character'!$K$6)-1,IF('Start Character'!$K$7&gt;6,A434-('Start Character'!$K$6)-1,A434-('Start Character'!$K$6)))</f>
        <v>459</v>
      </c>
      <c r="D434" s="247">
        <f t="shared" si="47"/>
        <v>459</v>
      </c>
      <c r="E434" s="246"/>
      <c r="F434" s="83"/>
      <c r="G434" s="83"/>
      <c r="H434" s="246"/>
      <c r="I434" s="433"/>
      <c r="J434" s="254">
        <f>IF(ISBLANK(I434),0,ROUNDUP(D434/10,0)-E434-H434-F434-G434+VLOOKUP($D$2,Calcs!$A$23:$B$27,2,FALSE)+I434)</f>
        <v>0</v>
      </c>
      <c r="K434" s="245" t="str">
        <f>IF(ISBLANK(I434)," ",VLOOKUP(J434,Calcs!$A$82:$H$106,2,TRUE))</f>
        <v xml:space="preserve"> </v>
      </c>
      <c r="L434" s="245">
        <f>IF(ISBLANK(I434),0,VLOOKUP(J434,Calcs!$A$82:$F$106,5,TRUE))</f>
        <v>0</v>
      </c>
      <c r="M434" s="208">
        <f>IF(J434=13,IF(ISNUMBER(W433),VLOOKUP(W433+1,Calcs!$O$4:$Q$24,3,TRUE)-V433,5),IF(J434&lt;10,0,IF(J434&lt;18,1,IF(J434&lt;22,2,IF(ISNUMBER(W433),VLOOKUP(W433+1,Calcs!$O$4:$Q$24,3,TRUE)-V433,5)))))</f>
        <v>0</v>
      </c>
      <c r="N434" s="245" t="str">
        <f t="shared" si="51"/>
        <v xml:space="preserve"> </v>
      </c>
      <c r="O434" s="245" t="str">
        <f t="shared" si="51"/>
        <v xml:space="preserve"> </v>
      </c>
      <c r="P434" s="245" t="str">
        <f t="shared" si="51"/>
        <v xml:space="preserve"> </v>
      </c>
      <c r="Q434" s="245" t="str">
        <f t="shared" si="51"/>
        <v xml:space="preserve"> </v>
      </c>
      <c r="R434" s="245" t="str">
        <f t="shared" si="51"/>
        <v xml:space="preserve"> </v>
      </c>
      <c r="S434" s="245" t="str">
        <f t="shared" si="51"/>
        <v xml:space="preserve"> </v>
      </c>
      <c r="T434" s="245" t="str">
        <f t="shared" si="51"/>
        <v xml:space="preserve"> </v>
      </c>
      <c r="U434" s="245" t="str">
        <f t="shared" si="51"/>
        <v xml:space="preserve"> </v>
      </c>
      <c r="V434" s="208">
        <f>SUM($N$10:$U434)</f>
        <v>0</v>
      </c>
      <c r="W434" s="208">
        <f>VLOOKUP(V434,Calcs!$Q$4:$R$24,2,TRUE)</f>
        <v>0</v>
      </c>
      <c r="X434" s="435" t="str">
        <f t="shared" si="48"/>
        <v>No</v>
      </c>
      <c r="Y434" s="436"/>
      <c r="Z434" s="435">
        <f t="shared" si="49"/>
        <v>0</v>
      </c>
      <c r="AA434" s="245" t="str">
        <f>IF(AND(X434="Yes",NOT(ISBLANK(Z434))),VLOOKUP(Z434,Calcs!$Y$48:$Z$57,2,TRUE)," ")</f>
        <v xml:space="preserve"> </v>
      </c>
    </row>
    <row r="435" spans="1:27" x14ac:dyDescent="0.2">
      <c r="A435" s="425">
        <f t="shared" si="50"/>
        <v>461</v>
      </c>
      <c r="B435" s="425" t="str">
        <f t="shared" si="46"/>
        <v>Winter</v>
      </c>
      <c r="C435" s="247">
        <f>IF(B435="Winter",A435-('Start Character'!$K$6)-1,IF('Start Character'!$K$7&gt;6,A435-('Start Character'!$K$6)-1,A435-('Start Character'!$K$6)))</f>
        <v>460</v>
      </c>
      <c r="D435" s="247">
        <f t="shared" si="47"/>
        <v>460</v>
      </c>
      <c r="E435" s="246"/>
      <c r="F435" s="83"/>
      <c r="G435" s="83"/>
      <c r="H435" s="246"/>
      <c r="I435" s="433"/>
      <c r="J435" s="254">
        <f>IF(ISBLANK(I435),0,ROUNDUP(D435/10,0)-E435-H435-F435-G435+VLOOKUP($D$2,Calcs!$A$23:$B$27,2,FALSE)+I435)</f>
        <v>0</v>
      </c>
      <c r="K435" s="245" t="str">
        <f>IF(ISBLANK(I435)," ",VLOOKUP(J435,Calcs!$A$82:$H$106,2,TRUE))</f>
        <v xml:space="preserve"> </v>
      </c>
      <c r="L435" s="245">
        <f>IF(ISBLANK(I435),0,VLOOKUP(J435,Calcs!$A$82:$F$106,5,TRUE))</f>
        <v>0</v>
      </c>
      <c r="M435" s="208">
        <f>IF(J435=13,IF(ISNUMBER(W434),VLOOKUP(W434+1,Calcs!$O$4:$Q$24,3,TRUE)-V434,5),IF(J435&lt;10,0,IF(J435&lt;18,1,IF(J435&lt;22,2,IF(ISNUMBER(W434),VLOOKUP(W434+1,Calcs!$O$4:$Q$24,3,TRUE)-V434,5)))))</f>
        <v>0</v>
      </c>
      <c r="N435" s="245" t="str">
        <f t="shared" si="51"/>
        <v xml:space="preserve"> </v>
      </c>
      <c r="O435" s="245" t="str">
        <f t="shared" si="51"/>
        <v xml:space="preserve"> </v>
      </c>
      <c r="P435" s="245" t="str">
        <f t="shared" si="51"/>
        <v xml:space="preserve"> </v>
      </c>
      <c r="Q435" s="245" t="str">
        <f t="shared" si="51"/>
        <v xml:space="preserve"> </v>
      </c>
      <c r="R435" s="245" t="str">
        <f t="shared" si="51"/>
        <v xml:space="preserve"> </v>
      </c>
      <c r="S435" s="245" t="str">
        <f t="shared" si="51"/>
        <v xml:space="preserve"> </v>
      </c>
      <c r="T435" s="245" t="str">
        <f t="shared" si="51"/>
        <v xml:space="preserve"> </v>
      </c>
      <c r="U435" s="245" t="str">
        <f t="shared" si="51"/>
        <v xml:space="preserve"> </v>
      </c>
      <c r="V435" s="208">
        <f>SUM($N$10:$U435)</f>
        <v>0</v>
      </c>
      <c r="W435" s="208">
        <f>VLOOKUP(V435,Calcs!$Q$4:$R$24,2,TRUE)</f>
        <v>0</v>
      </c>
      <c r="X435" s="435" t="str">
        <f t="shared" si="48"/>
        <v>No</v>
      </c>
      <c r="Y435" s="436"/>
      <c r="Z435" s="435">
        <f t="shared" si="49"/>
        <v>0</v>
      </c>
      <c r="AA435" s="245" t="str">
        <f>IF(AND(X435="Yes",NOT(ISBLANK(Z435))),VLOOKUP(Z435,Calcs!$Y$48:$Z$57,2,TRUE)," ")</f>
        <v xml:space="preserve"> </v>
      </c>
    </row>
    <row r="436" spans="1:27" x14ac:dyDescent="0.2">
      <c r="A436" s="425">
        <f t="shared" si="50"/>
        <v>462</v>
      </c>
      <c r="B436" s="425" t="str">
        <f t="shared" si="46"/>
        <v>Winter</v>
      </c>
      <c r="C436" s="247">
        <f>IF(B436="Winter",A436-('Start Character'!$K$6)-1,IF('Start Character'!$K$7&gt;6,A436-('Start Character'!$K$6)-1,A436-('Start Character'!$K$6)))</f>
        <v>461</v>
      </c>
      <c r="D436" s="247">
        <f t="shared" si="47"/>
        <v>461</v>
      </c>
      <c r="E436" s="246"/>
      <c r="F436" s="83"/>
      <c r="G436" s="83"/>
      <c r="H436" s="246"/>
      <c r="I436" s="433"/>
      <c r="J436" s="254">
        <f>IF(ISBLANK(I436),0,ROUNDUP(D436/10,0)-E436-H436-F436-G436+VLOOKUP($D$2,Calcs!$A$23:$B$27,2,FALSE)+I436)</f>
        <v>0</v>
      </c>
      <c r="K436" s="245" t="str">
        <f>IF(ISBLANK(I436)," ",VLOOKUP(J436,Calcs!$A$82:$H$106,2,TRUE))</f>
        <v xml:space="preserve"> </v>
      </c>
      <c r="L436" s="245">
        <f>IF(ISBLANK(I436),0,VLOOKUP(J436,Calcs!$A$82:$F$106,5,TRUE))</f>
        <v>0</v>
      </c>
      <c r="M436" s="208">
        <f>IF(J436=13,IF(ISNUMBER(W435),VLOOKUP(W435+1,Calcs!$O$4:$Q$24,3,TRUE)-V435,5),IF(J436&lt;10,0,IF(J436&lt;18,1,IF(J436&lt;22,2,IF(ISNUMBER(W435),VLOOKUP(W435+1,Calcs!$O$4:$Q$24,3,TRUE)-V435,5)))))</f>
        <v>0</v>
      </c>
      <c r="N436" s="245" t="str">
        <f t="shared" si="51"/>
        <v xml:space="preserve"> </v>
      </c>
      <c r="O436" s="245" t="str">
        <f t="shared" si="51"/>
        <v xml:space="preserve"> </v>
      </c>
      <c r="P436" s="245" t="str">
        <f t="shared" si="51"/>
        <v xml:space="preserve"> </v>
      </c>
      <c r="Q436" s="245" t="str">
        <f t="shared" si="51"/>
        <v xml:space="preserve"> </v>
      </c>
      <c r="R436" s="245" t="str">
        <f t="shared" si="51"/>
        <v xml:space="preserve"> </v>
      </c>
      <c r="S436" s="245" t="str">
        <f t="shared" si="51"/>
        <v xml:space="preserve"> </v>
      </c>
      <c r="T436" s="245" t="str">
        <f t="shared" si="51"/>
        <v xml:space="preserve"> </v>
      </c>
      <c r="U436" s="245" t="str">
        <f t="shared" si="51"/>
        <v xml:space="preserve"> </v>
      </c>
      <c r="V436" s="208">
        <f>SUM($N$10:$U436)</f>
        <v>0</v>
      </c>
      <c r="W436" s="208">
        <f>VLOOKUP(V436,Calcs!$Q$4:$R$24,2,TRUE)</f>
        <v>0</v>
      </c>
      <c r="X436" s="435" t="str">
        <f t="shared" si="48"/>
        <v>No</v>
      </c>
      <c r="Y436" s="436"/>
      <c r="Z436" s="435">
        <f t="shared" si="49"/>
        <v>0</v>
      </c>
      <c r="AA436" s="245" t="str">
        <f>IF(AND(X436="Yes",NOT(ISBLANK(Z436))),VLOOKUP(Z436,Calcs!$Y$48:$Z$57,2,TRUE)," ")</f>
        <v xml:space="preserve"> </v>
      </c>
    </row>
    <row r="437" spans="1:27" x14ac:dyDescent="0.2">
      <c r="A437" s="425">
        <f t="shared" si="50"/>
        <v>463</v>
      </c>
      <c r="B437" s="425" t="str">
        <f t="shared" si="46"/>
        <v>Winter</v>
      </c>
      <c r="C437" s="247">
        <f>IF(B437="Winter",A437-('Start Character'!$K$6)-1,IF('Start Character'!$K$7&gt;6,A437-('Start Character'!$K$6)-1,A437-('Start Character'!$K$6)))</f>
        <v>462</v>
      </c>
      <c r="D437" s="247">
        <f t="shared" si="47"/>
        <v>462</v>
      </c>
      <c r="E437" s="246"/>
      <c r="F437" s="83"/>
      <c r="G437" s="83"/>
      <c r="H437" s="246"/>
      <c r="I437" s="433"/>
      <c r="J437" s="254">
        <f>IF(ISBLANK(I437),0,ROUNDUP(D437/10,0)-E437-H437-F437-G437+VLOOKUP($D$2,Calcs!$A$23:$B$27,2,FALSE)+I437)</f>
        <v>0</v>
      </c>
      <c r="K437" s="245" t="str">
        <f>IF(ISBLANK(I437)," ",VLOOKUP(J437,Calcs!$A$82:$H$106,2,TRUE))</f>
        <v xml:space="preserve"> </v>
      </c>
      <c r="L437" s="245">
        <f>IF(ISBLANK(I437),0,VLOOKUP(J437,Calcs!$A$82:$F$106,5,TRUE))</f>
        <v>0</v>
      </c>
      <c r="M437" s="208">
        <f>IF(J437=13,IF(ISNUMBER(W436),VLOOKUP(W436+1,Calcs!$O$4:$Q$24,3,TRUE)-V436,5),IF(J437&lt;10,0,IF(J437&lt;18,1,IF(J437&lt;22,2,IF(ISNUMBER(W436),VLOOKUP(W436+1,Calcs!$O$4:$Q$24,3,TRUE)-V436,5)))))</f>
        <v>0</v>
      </c>
      <c r="N437" s="245" t="str">
        <f t="shared" si="51"/>
        <v xml:space="preserve"> </v>
      </c>
      <c r="O437" s="245" t="str">
        <f t="shared" si="51"/>
        <v xml:space="preserve"> </v>
      </c>
      <c r="P437" s="245" t="str">
        <f t="shared" si="51"/>
        <v xml:space="preserve"> </v>
      </c>
      <c r="Q437" s="245" t="str">
        <f t="shared" si="51"/>
        <v xml:space="preserve"> </v>
      </c>
      <c r="R437" s="245" t="str">
        <f t="shared" si="51"/>
        <v xml:space="preserve"> </v>
      </c>
      <c r="S437" s="245" t="str">
        <f t="shared" si="51"/>
        <v xml:space="preserve"> </v>
      </c>
      <c r="T437" s="245" t="str">
        <f t="shared" si="51"/>
        <v xml:space="preserve"> </v>
      </c>
      <c r="U437" s="245" t="str">
        <f t="shared" si="51"/>
        <v xml:space="preserve"> </v>
      </c>
      <c r="V437" s="208">
        <f>SUM($N$10:$U437)</f>
        <v>0</v>
      </c>
      <c r="W437" s="208">
        <f>VLOOKUP(V437,Calcs!$Q$4:$R$24,2,TRUE)</f>
        <v>0</v>
      </c>
      <c r="X437" s="435" t="str">
        <f t="shared" si="48"/>
        <v>No</v>
      </c>
      <c r="Y437" s="436"/>
      <c r="Z437" s="435">
        <f t="shared" si="49"/>
        <v>0</v>
      </c>
      <c r="AA437" s="245" t="str">
        <f>IF(AND(X437="Yes",NOT(ISBLANK(Z437))),VLOOKUP(Z437,Calcs!$Y$48:$Z$57,2,TRUE)," ")</f>
        <v xml:space="preserve"> </v>
      </c>
    </row>
    <row r="438" spans="1:27" x14ac:dyDescent="0.2">
      <c r="A438" s="425">
        <f t="shared" si="50"/>
        <v>464</v>
      </c>
      <c r="B438" s="425" t="str">
        <f t="shared" si="46"/>
        <v>Winter</v>
      </c>
      <c r="C438" s="247">
        <f>IF(B438="Winter",A438-('Start Character'!$K$6)-1,IF('Start Character'!$K$7&gt;6,A438-('Start Character'!$K$6)-1,A438-('Start Character'!$K$6)))</f>
        <v>463</v>
      </c>
      <c r="D438" s="247">
        <f t="shared" si="47"/>
        <v>463</v>
      </c>
      <c r="E438" s="246"/>
      <c r="F438" s="83"/>
      <c r="G438" s="83"/>
      <c r="H438" s="246"/>
      <c r="I438" s="433"/>
      <c r="J438" s="254">
        <f>IF(ISBLANK(I438),0,ROUNDUP(D438/10,0)-E438-H438-F438-G438+VLOOKUP($D$2,Calcs!$A$23:$B$27,2,FALSE)+I438)</f>
        <v>0</v>
      </c>
      <c r="K438" s="245" t="str">
        <f>IF(ISBLANK(I438)," ",VLOOKUP(J438,Calcs!$A$82:$H$106,2,TRUE))</f>
        <v xml:space="preserve"> </v>
      </c>
      <c r="L438" s="245">
        <f>IF(ISBLANK(I438),0,VLOOKUP(J438,Calcs!$A$82:$F$106,5,TRUE))</f>
        <v>0</v>
      </c>
      <c r="M438" s="208">
        <f>IF(J438=13,IF(ISNUMBER(W437),VLOOKUP(W437+1,Calcs!$O$4:$Q$24,3,TRUE)-V437,5),IF(J438&lt;10,0,IF(J438&lt;18,1,IF(J438&lt;22,2,IF(ISNUMBER(W437),VLOOKUP(W437+1,Calcs!$O$4:$Q$24,3,TRUE)-V437,5)))))</f>
        <v>0</v>
      </c>
      <c r="N438" s="245" t="str">
        <f t="shared" si="51"/>
        <v xml:space="preserve"> </v>
      </c>
      <c r="O438" s="245" t="str">
        <f t="shared" si="51"/>
        <v xml:space="preserve"> </v>
      </c>
      <c r="P438" s="245" t="str">
        <f t="shared" si="51"/>
        <v xml:space="preserve"> </v>
      </c>
      <c r="Q438" s="245" t="str">
        <f t="shared" si="51"/>
        <v xml:space="preserve"> </v>
      </c>
      <c r="R438" s="245" t="str">
        <f t="shared" si="51"/>
        <v xml:space="preserve"> </v>
      </c>
      <c r="S438" s="245" t="str">
        <f t="shared" si="51"/>
        <v xml:space="preserve"> </v>
      </c>
      <c r="T438" s="245" t="str">
        <f t="shared" si="51"/>
        <v xml:space="preserve"> </v>
      </c>
      <c r="U438" s="245" t="str">
        <f t="shared" si="51"/>
        <v xml:space="preserve"> </v>
      </c>
      <c r="V438" s="208">
        <f>SUM($N$10:$U438)</f>
        <v>0</v>
      </c>
      <c r="W438" s="208">
        <f>VLOOKUP(V438,Calcs!$Q$4:$R$24,2,TRUE)</f>
        <v>0</v>
      </c>
      <c r="X438" s="435" t="str">
        <f t="shared" si="48"/>
        <v>No</v>
      </c>
      <c r="Y438" s="436"/>
      <c r="Z438" s="435">
        <f t="shared" si="49"/>
        <v>0</v>
      </c>
      <c r="AA438" s="245" t="str">
        <f>IF(AND(X438="Yes",NOT(ISBLANK(Z438))),VLOOKUP(Z438,Calcs!$Y$48:$Z$57,2,TRUE)," ")</f>
        <v xml:space="preserve"> </v>
      </c>
    </row>
    <row r="439" spans="1:27" x14ac:dyDescent="0.2">
      <c r="A439" s="425">
        <f t="shared" si="50"/>
        <v>465</v>
      </c>
      <c r="B439" s="425" t="str">
        <f t="shared" si="46"/>
        <v>Winter</v>
      </c>
      <c r="C439" s="247">
        <f>IF(B439="Winter",A439-('Start Character'!$K$6)-1,IF('Start Character'!$K$7&gt;6,A439-('Start Character'!$K$6)-1,A439-('Start Character'!$K$6)))</f>
        <v>464</v>
      </c>
      <c r="D439" s="247">
        <f t="shared" si="47"/>
        <v>464</v>
      </c>
      <c r="E439" s="246"/>
      <c r="F439" s="83"/>
      <c r="G439" s="83"/>
      <c r="H439" s="246"/>
      <c r="I439" s="433"/>
      <c r="J439" s="254">
        <f>IF(ISBLANK(I439),0,ROUNDUP(D439/10,0)-E439-H439-F439-G439+VLOOKUP($D$2,Calcs!$A$23:$B$27,2,FALSE)+I439)</f>
        <v>0</v>
      </c>
      <c r="K439" s="245" t="str">
        <f>IF(ISBLANK(I439)," ",VLOOKUP(J439,Calcs!$A$82:$H$106,2,TRUE))</f>
        <v xml:space="preserve"> </v>
      </c>
      <c r="L439" s="245">
        <f>IF(ISBLANK(I439),0,VLOOKUP(J439,Calcs!$A$82:$F$106,5,TRUE))</f>
        <v>0</v>
      </c>
      <c r="M439" s="208">
        <f>IF(J439=13,IF(ISNUMBER(W438),VLOOKUP(W438+1,Calcs!$O$4:$Q$24,3,TRUE)-V438,5),IF(J439&lt;10,0,IF(J439&lt;18,1,IF(J439&lt;22,2,IF(ISNUMBER(W438),VLOOKUP(W438+1,Calcs!$O$4:$Q$24,3,TRUE)-V438,5)))))</f>
        <v>0</v>
      </c>
      <c r="N439" s="245" t="str">
        <f t="shared" si="51"/>
        <v xml:space="preserve"> </v>
      </c>
      <c r="O439" s="245" t="str">
        <f t="shared" si="51"/>
        <v xml:space="preserve"> </v>
      </c>
      <c r="P439" s="245" t="str">
        <f t="shared" si="51"/>
        <v xml:space="preserve"> </v>
      </c>
      <c r="Q439" s="245" t="str">
        <f t="shared" si="51"/>
        <v xml:space="preserve"> </v>
      </c>
      <c r="R439" s="245" t="str">
        <f t="shared" si="51"/>
        <v xml:space="preserve"> </v>
      </c>
      <c r="S439" s="245" t="str">
        <f t="shared" si="51"/>
        <v xml:space="preserve"> </v>
      </c>
      <c r="T439" s="245" t="str">
        <f t="shared" si="51"/>
        <v xml:space="preserve"> </v>
      </c>
      <c r="U439" s="245" t="str">
        <f t="shared" si="51"/>
        <v xml:space="preserve"> </v>
      </c>
      <c r="V439" s="208">
        <f>SUM($N$10:$U439)</f>
        <v>0</v>
      </c>
      <c r="W439" s="208">
        <f>VLOOKUP(V439,Calcs!$Q$4:$R$24,2,TRUE)</f>
        <v>0</v>
      </c>
      <c r="X439" s="435" t="str">
        <f t="shared" si="48"/>
        <v>No</v>
      </c>
      <c r="Y439" s="436"/>
      <c r="Z439" s="435">
        <f t="shared" si="49"/>
        <v>0</v>
      </c>
      <c r="AA439" s="245" t="str">
        <f>IF(AND(X439="Yes",NOT(ISBLANK(Z439))),VLOOKUP(Z439,Calcs!$Y$48:$Z$57,2,TRUE)," ")</f>
        <v xml:space="preserve"> </v>
      </c>
    </row>
    <row r="440" spans="1:27" x14ac:dyDescent="0.2">
      <c r="A440" s="425">
        <f t="shared" si="50"/>
        <v>466</v>
      </c>
      <c r="B440" s="425" t="str">
        <f t="shared" si="46"/>
        <v>Winter</v>
      </c>
      <c r="C440" s="247">
        <f>IF(B440="Winter",A440-('Start Character'!$K$6)-1,IF('Start Character'!$K$7&gt;6,A440-('Start Character'!$K$6)-1,A440-('Start Character'!$K$6)))</f>
        <v>465</v>
      </c>
      <c r="D440" s="247">
        <f t="shared" si="47"/>
        <v>465</v>
      </c>
      <c r="E440" s="246"/>
      <c r="F440" s="83"/>
      <c r="G440" s="83"/>
      <c r="H440" s="246"/>
      <c r="I440" s="433"/>
      <c r="J440" s="254">
        <f>IF(ISBLANK(I440),0,ROUNDUP(D440/10,0)-E440-H440-F440-G440+VLOOKUP($D$2,Calcs!$A$23:$B$27,2,FALSE)+I440)</f>
        <v>0</v>
      </c>
      <c r="K440" s="245" t="str">
        <f>IF(ISBLANK(I440)," ",VLOOKUP(J440,Calcs!$A$82:$H$106,2,TRUE))</f>
        <v xml:space="preserve"> </v>
      </c>
      <c r="L440" s="245">
        <f>IF(ISBLANK(I440),0,VLOOKUP(J440,Calcs!$A$82:$F$106,5,TRUE))</f>
        <v>0</v>
      </c>
      <c r="M440" s="208">
        <f>IF(J440=13,IF(ISNUMBER(W439),VLOOKUP(W439+1,Calcs!$O$4:$Q$24,3,TRUE)-V439,5),IF(J440&lt;10,0,IF(J440&lt;18,1,IF(J440&lt;22,2,IF(ISNUMBER(W439),VLOOKUP(W439+1,Calcs!$O$4:$Q$24,3,TRUE)-V439,5)))))</f>
        <v>0</v>
      </c>
      <c r="N440" s="245" t="str">
        <f t="shared" si="51"/>
        <v xml:space="preserve"> </v>
      </c>
      <c r="O440" s="245" t="str">
        <f t="shared" si="51"/>
        <v xml:space="preserve"> </v>
      </c>
      <c r="P440" s="245" t="str">
        <f t="shared" si="51"/>
        <v xml:space="preserve"> </v>
      </c>
      <c r="Q440" s="245" t="str">
        <f t="shared" si="51"/>
        <v xml:space="preserve"> </v>
      </c>
      <c r="R440" s="245" t="str">
        <f t="shared" si="51"/>
        <v xml:space="preserve"> </v>
      </c>
      <c r="S440" s="245" t="str">
        <f t="shared" si="51"/>
        <v xml:space="preserve"> </v>
      </c>
      <c r="T440" s="245" t="str">
        <f t="shared" si="51"/>
        <v xml:space="preserve"> </v>
      </c>
      <c r="U440" s="245" t="str">
        <f t="shared" si="51"/>
        <v xml:space="preserve"> </v>
      </c>
      <c r="V440" s="208">
        <f>SUM($N$10:$U440)</f>
        <v>0</v>
      </c>
      <c r="W440" s="208">
        <f>VLOOKUP(V440,Calcs!$Q$4:$R$24,2,TRUE)</f>
        <v>0</v>
      </c>
      <c r="X440" s="435" t="str">
        <f t="shared" si="48"/>
        <v>No</v>
      </c>
      <c r="Y440" s="436"/>
      <c r="Z440" s="435">
        <f t="shared" si="49"/>
        <v>0</v>
      </c>
      <c r="AA440" s="245" t="str">
        <f>IF(AND(X440="Yes",NOT(ISBLANK(Z440))),VLOOKUP(Z440,Calcs!$Y$48:$Z$57,2,TRUE)," ")</f>
        <v xml:space="preserve"> </v>
      </c>
    </row>
    <row r="441" spans="1:27" x14ac:dyDescent="0.2">
      <c r="A441" s="425">
        <f t="shared" si="50"/>
        <v>467</v>
      </c>
      <c r="B441" s="425" t="str">
        <f t="shared" si="46"/>
        <v>Winter</v>
      </c>
      <c r="C441" s="247">
        <f>IF(B441="Winter",A441-('Start Character'!$K$6)-1,IF('Start Character'!$K$7&gt;6,A441-('Start Character'!$K$6)-1,A441-('Start Character'!$K$6)))</f>
        <v>466</v>
      </c>
      <c r="D441" s="247">
        <f t="shared" si="47"/>
        <v>466</v>
      </c>
      <c r="E441" s="246"/>
      <c r="F441" s="83"/>
      <c r="G441" s="83"/>
      <c r="H441" s="246"/>
      <c r="I441" s="433"/>
      <c r="J441" s="254">
        <f>IF(ISBLANK(I441),0,ROUNDUP(D441/10,0)-E441-H441-F441-G441+VLOOKUP($D$2,Calcs!$A$23:$B$27,2,FALSE)+I441)</f>
        <v>0</v>
      </c>
      <c r="K441" s="245" t="str">
        <f>IF(ISBLANK(I441)," ",VLOOKUP(J441,Calcs!$A$82:$H$106,2,TRUE))</f>
        <v xml:space="preserve"> </v>
      </c>
      <c r="L441" s="245">
        <f>IF(ISBLANK(I441),0,VLOOKUP(J441,Calcs!$A$82:$F$106,5,TRUE))</f>
        <v>0</v>
      </c>
      <c r="M441" s="208">
        <f>IF(J441=13,IF(ISNUMBER(W440),VLOOKUP(W440+1,Calcs!$O$4:$Q$24,3,TRUE)-V440,5),IF(J441&lt;10,0,IF(J441&lt;18,1,IF(J441&lt;22,2,IF(ISNUMBER(W440),VLOOKUP(W440+1,Calcs!$O$4:$Q$24,3,TRUE)-V440,5)))))</f>
        <v>0</v>
      </c>
      <c r="N441" s="245" t="str">
        <f t="shared" si="51"/>
        <v xml:space="preserve"> </v>
      </c>
      <c r="O441" s="245" t="str">
        <f t="shared" si="51"/>
        <v xml:space="preserve"> </v>
      </c>
      <c r="P441" s="245" t="str">
        <f t="shared" si="51"/>
        <v xml:space="preserve"> </v>
      </c>
      <c r="Q441" s="245" t="str">
        <f t="shared" si="51"/>
        <v xml:space="preserve"> </v>
      </c>
      <c r="R441" s="245" t="str">
        <f t="shared" si="51"/>
        <v xml:space="preserve"> </v>
      </c>
      <c r="S441" s="245" t="str">
        <f t="shared" si="51"/>
        <v xml:space="preserve"> </v>
      </c>
      <c r="T441" s="245" t="str">
        <f t="shared" si="51"/>
        <v xml:space="preserve"> </v>
      </c>
      <c r="U441" s="245" t="str">
        <f t="shared" si="51"/>
        <v xml:space="preserve"> </v>
      </c>
      <c r="V441" s="208">
        <f>SUM($N$10:$U441)</f>
        <v>0</v>
      </c>
      <c r="W441" s="208">
        <f>VLOOKUP(V441,Calcs!$Q$4:$R$24,2,TRUE)</f>
        <v>0</v>
      </c>
      <c r="X441" s="435" t="str">
        <f t="shared" si="48"/>
        <v>No</v>
      </c>
      <c r="Y441" s="436"/>
      <c r="Z441" s="435">
        <f t="shared" si="49"/>
        <v>0</v>
      </c>
      <c r="AA441" s="245" t="str">
        <f>IF(AND(X441="Yes",NOT(ISBLANK(Z441))),VLOOKUP(Z441,Calcs!$Y$48:$Z$57,2,TRUE)," ")</f>
        <v xml:space="preserve"> </v>
      </c>
    </row>
    <row r="442" spans="1:27" x14ac:dyDescent="0.2">
      <c r="A442" s="425">
        <f t="shared" si="50"/>
        <v>468</v>
      </c>
      <c r="B442" s="425" t="str">
        <f t="shared" si="46"/>
        <v>Winter</v>
      </c>
      <c r="C442" s="247">
        <f>IF(B442="Winter",A442-('Start Character'!$K$6)-1,IF('Start Character'!$K$7&gt;6,A442-('Start Character'!$K$6)-1,A442-('Start Character'!$K$6)))</f>
        <v>467</v>
      </c>
      <c r="D442" s="247">
        <f t="shared" si="47"/>
        <v>467</v>
      </c>
      <c r="E442" s="246"/>
      <c r="F442" s="83"/>
      <c r="G442" s="83"/>
      <c r="H442" s="246"/>
      <c r="I442" s="433"/>
      <c r="J442" s="254">
        <f>IF(ISBLANK(I442),0,ROUNDUP(D442/10,0)-E442-H442-F442-G442+VLOOKUP($D$2,Calcs!$A$23:$B$27,2,FALSE)+I442)</f>
        <v>0</v>
      </c>
      <c r="K442" s="245" t="str">
        <f>IF(ISBLANK(I442)," ",VLOOKUP(J442,Calcs!$A$82:$H$106,2,TRUE))</f>
        <v xml:space="preserve"> </v>
      </c>
      <c r="L442" s="245">
        <f>IF(ISBLANK(I442),0,VLOOKUP(J442,Calcs!$A$82:$F$106,5,TRUE))</f>
        <v>0</v>
      </c>
      <c r="M442" s="208">
        <f>IF(J442=13,IF(ISNUMBER(W441),VLOOKUP(W441+1,Calcs!$O$4:$Q$24,3,TRUE)-V441,5),IF(J442&lt;10,0,IF(J442&lt;18,1,IF(J442&lt;22,2,IF(ISNUMBER(W441),VLOOKUP(W441+1,Calcs!$O$4:$Q$24,3,TRUE)-V441,5)))))</f>
        <v>0</v>
      </c>
      <c r="N442" s="245" t="str">
        <f t="shared" si="51"/>
        <v xml:space="preserve"> </v>
      </c>
      <c r="O442" s="245" t="str">
        <f t="shared" si="51"/>
        <v xml:space="preserve"> </v>
      </c>
      <c r="P442" s="245" t="str">
        <f t="shared" si="51"/>
        <v xml:space="preserve"> </v>
      </c>
      <c r="Q442" s="245" t="str">
        <f t="shared" si="51"/>
        <v xml:space="preserve"> </v>
      </c>
      <c r="R442" s="245" t="str">
        <f t="shared" si="51"/>
        <v xml:space="preserve"> </v>
      </c>
      <c r="S442" s="245" t="str">
        <f t="shared" si="51"/>
        <v xml:space="preserve"> </v>
      </c>
      <c r="T442" s="245" t="str">
        <f t="shared" si="51"/>
        <v xml:space="preserve"> </v>
      </c>
      <c r="U442" s="245" t="str">
        <f t="shared" si="51"/>
        <v xml:space="preserve"> </v>
      </c>
      <c r="V442" s="208">
        <f>SUM($N$10:$U442)</f>
        <v>0</v>
      </c>
      <c r="W442" s="208">
        <f>VLOOKUP(V442,Calcs!$Q$4:$R$24,2,TRUE)</f>
        <v>0</v>
      </c>
      <c r="X442" s="435" t="str">
        <f t="shared" si="48"/>
        <v>No</v>
      </c>
      <c r="Y442" s="436"/>
      <c r="Z442" s="435">
        <f t="shared" si="49"/>
        <v>0</v>
      </c>
      <c r="AA442" s="245" t="str">
        <f>IF(AND(X442="Yes",NOT(ISBLANK(Z442))),VLOOKUP(Z442,Calcs!$Y$48:$Z$57,2,TRUE)," ")</f>
        <v xml:space="preserve"> </v>
      </c>
    </row>
    <row r="443" spans="1:27" x14ac:dyDescent="0.2">
      <c r="A443" s="425">
        <f t="shared" si="50"/>
        <v>469</v>
      </c>
      <c r="B443" s="425" t="str">
        <f t="shared" si="46"/>
        <v>Winter</v>
      </c>
      <c r="C443" s="247">
        <f>IF(B443="Winter",A443-('Start Character'!$K$6)-1,IF('Start Character'!$K$7&gt;6,A443-('Start Character'!$K$6)-1,A443-('Start Character'!$K$6)))</f>
        <v>468</v>
      </c>
      <c r="D443" s="247">
        <f t="shared" si="47"/>
        <v>468</v>
      </c>
      <c r="E443" s="246"/>
      <c r="F443" s="83"/>
      <c r="G443" s="83"/>
      <c r="H443" s="246"/>
      <c r="I443" s="433"/>
      <c r="J443" s="254">
        <f>IF(ISBLANK(I443),0,ROUNDUP(D443/10,0)-E443-H443-F443-G443+VLOOKUP($D$2,Calcs!$A$23:$B$27,2,FALSE)+I443)</f>
        <v>0</v>
      </c>
      <c r="K443" s="245" t="str">
        <f>IF(ISBLANK(I443)," ",VLOOKUP(J443,Calcs!$A$82:$H$106,2,TRUE))</f>
        <v xml:space="preserve"> </v>
      </c>
      <c r="L443" s="245">
        <f>IF(ISBLANK(I443),0,VLOOKUP(J443,Calcs!$A$82:$F$106,5,TRUE))</f>
        <v>0</v>
      </c>
      <c r="M443" s="208">
        <f>IF(J443=13,IF(ISNUMBER(W442),VLOOKUP(W442+1,Calcs!$O$4:$Q$24,3,TRUE)-V442,5),IF(J443&lt;10,0,IF(J443&lt;18,1,IF(J443&lt;22,2,IF(ISNUMBER(W442),VLOOKUP(W442+1,Calcs!$O$4:$Q$24,3,TRUE)-V442,5)))))</f>
        <v>0</v>
      </c>
      <c r="N443" s="245" t="str">
        <f t="shared" si="51"/>
        <v xml:space="preserve"> </v>
      </c>
      <c r="O443" s="245" t="str">
        <f t="shared" si="51"/>
        <v xml:space="preserve"> </v>
      </c>
      <c r="P443" s="245" t="str">
        <f t="shared" si="51"/>
        <v xml:space="preserve"> </v>
      </c>
      <c r="Q443" s="245" t="str">
        <f t="shared" si="51"/>
        <v xml:space="preserve"> </v>
      </c>
      <c r="R443" s="245" t="str">
        <f t="shared" si="51"/>
        <v xml:space="preserve"> </v>
      </c>
      <c r="S443" s="245" t="str">
        <f t="shared" si="51"/>
        <v xml:space="preserve"> </v>
      </c>
      <c r="T443" s="245" t="str">
        <f t="shared" si="51"/>
        <v xml:space="preserve"> </v>
      </c>
      <c r="U443" s="245" t="str">
        <f t="shared" si="51"/>
        <v xml:space="preserve"> </v>
      </c>
      <c r="V443" s="208">
        <f>SUM($N$10:$U443)</f>
        <v>0</v>
      </c>
      <c r="W443" s="208">
        <f>VLOOKUP(V443,Calcs!$Q$4:$R$24,2,TRUE)</f>
        <v>0</v>
      </c>
      <c r="X443" s="435" t="str">
        <f t="shared" si="48"/>
        <v>No</v>
      </c>
      <c r="Y443" s="436"/>
      <c r="Z443" s="435">
        <f t="shared" si="49"/>
        <v>0</v>
      </c>
      <c r="AA443" s="245" t="str">
        <f>IF(AND(X443="Yes",NOT(ISBLANK(Z443))),VLOOKUP(Z443,Calcs!$Y$48:$Z$57,2,TRUE)," ")</f>
        <v xml:space="preserve"> </v>
      </c>
    </row>
    <row r="444" spans="1:27" x14ac:dyDescent="0.2">
      <c r="A444" s="425">
        <f t="shared" si="50"/>
        <v>470</v>
      </c>
      <c r="B444" s="425" t="str">
        <f t="shared" si="46"/>
        <v>Winter</v>
      </c>
      <c r="C444" s="247">
        <f>IF(B444="Winter",A444-('Start Character'!$K$6)-1,IF('Start Character'!$K$7&gt;6,A444-('Start Character'!$K$6)-1,A444-('Start Character'!$K$6)))</f>
        <v>469</v>
      </c>
      <c r="D444" s="247">
        <f t="shared" si="47"/>
        <v>469</v>
      </c>
      <c r="E444" s="246"/>
      <c r="F444" s="83"/>
      <c r="G444" s="83"/>
      <c r="H444" s="246"/>
      <c r="I444" s="433"/>
      <c r="J444" s="254">
        <f>IF(ISBLANK(I444),0,ROUNDUP(D444/10,0)-E444-H444-F444-G444+VLOOKUP($D$2,Calcs!$A$23:$B$27,2,FALSE)+I444)</f>
        <v>0</v>
      </c>
      <c r="K444" s="245" t="str">
        <f>IF(ISBLANK(I444)," ",VLOOKUP(J444,Calcs!$A$82:$H$106,2,TRUE))</f>
        <v xml:space="preserve"> </v>
      </c>
      <c r="L444" s="245">
        <f>IF(ISBLANK(I444),0,VLOOKUP(J444,Calcs!$A$82:$F$106,5,TRUE))</f>
        <v>0</v>
      </c>
      <c r="M444" s="208">
        <f>IF(J444=13,IF(ISNUMBER(W443),VLOOKUP(W443+1,Calcs!$O$4:$Q$24,3,TRUE)-V443,5),IF(J444&lt;10,0,IF(J444&lt;18,1,IF(J444&lt;22,2,IF(ISNUMBER(W443),VLOOKUP(W443+1,Calcs!$O$4:$Q$24,3,TRUE)-V443,5)))))</f>
        <v>0</v>
      </c>
      <c r="N444" s="245" t="str">
        <f t="shared" si="51"/>
        <v xml:space="preserve"> </v>
      </c>
      <c r="O444" s="245" t="str">
        <f t="shared" si="51"/>
        <v xml:space="preserve"> </v>
      </c>
      <c r="P444" s="245" t="str">
        <f t="shared" si="51"/>
        <v xml:space="preserve"> </v>
      </c>
      <c r="Q444" s="245" t="str">
        <f t="shared" si="51"/>
        <v xml:space="preserve"> </v>
      </c>
      <c r="R444" s="245" t="str">
        <f t="shared" si="51"/>
        <v xml:space="preserve"> </v>
      </c>
      <c r="S444" s="245" t="str">
        <f t="shared" si="51"/>
        <v xml:space="preserve"> </v>
      </c>
      <c r="T444" s="245" t="str">
        <f t="shared" si="51"/>
        <v xml:space="preserve"> </v>
      </c>
      <c r="U444" s="245" t="str">
        <f t="shared" si="51"/>
        <v xml:space="preserve"> </v>
      </c>
      <c r="V444" s="208">
        <f>SUM($N$10:$U444)</f>
        <v>0</v>
      </c>
      <c r="W444" s="208">
        <f>VLOOKUP(V444,Calcs!$Q$4:$R$24,2,TRUE)</f>
        <v>0</v>
      </c>
      <c r="X444" s="435" t="str">
        <f t="shared" si="48"/>
        <v>No</v>
      </c>
      <c r="Y444" s="436"/>
      <c r="Z444" s="435">
        <f t="shared" si="49"/>
        <v>0</v>
      </c>
      <c r="AA444" s="245" t="str">
        <f>IF(AND(X444="Yes",NOT(ISBLANK(Z444))),VLOOKUP(Z444,Calcs!$Y$48:$Z$57,2,TRUE)," ")</f>
        <v xml:space="preserve"> </v>
      </c>
    </row>
    <row r="445" spans="1:27" x14ac:dyDescent="0.2">
      <c r="A445" s="425">
        <f t="shared" si="50"/>
        <v>471</v>
      </c>
      <c r="B445" s="425" t="str">
        <f t="shared" si="46"/>
        <v>Winter</v>
      </c>
      <c r="C445" s="247">
        <f>IF(B445="Winter",A445-('Start Character'!$K$6)-1,IF('Start Character'!$K$7&gt;6,A445-('Start Character'!$K$6)-1,A445-('Start Character'!$K$6)))</f>
        <v>470</v>
      </c>
      <c r="D445" s="247">
        <f t="shared" si="47"/>
        <v>470</v>
      </c>
      <c r="E445" s="246"/>
      <c r="F445" s="83"/>
      <c r="G445" s="83"/>
      <c r="H445" s="246"/>
      <c r="I445" s="433"/>
      <c r="J445" s="254">
        <f>IF(ISBLANK(I445),0,ROUNDUP(D445/10,0)-E445-H445-F445-G445+VLOOKUP($D$2,Calcs!$A$23:$B$27,2,FALSE)+I445)</f>
        <v>0</v>
      </c>
      <c r="K445" s="245" t="str">
        <f>IF(ISBLANK(I445)," ",VLOOKUP(J445,Calcs!$A$82:$H$106,2,TRUE))</f>
        <v xml:space="preserve"> </v>
      </c>
      <c r="L445" s="245">
        <f>IF(ISBLANK(I445),0,VLOOKUP(J445,Calcs!$A$82:$F$106,5,TRUE))</f>
        <v>0</v>
      </c>
      <c r="M445" s="208">
        <f>IF(J445=13,IF(ISNUMBER(W444),VLOOKUP(W444+1,Calcs!$O$4:$Q$24,3,TRUE)-V444,5),IF(J445&lt;10,0,IF(J445&lt;18,1,IF(J445&lt;22,2,IF(ISNUMBER(W444),VLOOKUP(W444+1,Calcs!$O$4:$Q$24,3,TRUE)-V444,5)))))</f>
        <v>0</v>
      </c>
      <c r="N445" s="245" t="str">
        <f t="shared" si="51"/>
        <v xml:space="preserve"> </v>
      </c>
      <c r="O445" s="245" t="str">
        <f t="shared" si="51"/>
        <v xml:space="preserve"> </v>
      </c>
      <c r="P445" s="245" t="str">
        <f t="shared" si="51"/>
        <v xml:space="preserve"> </v>
      </c>
      <c r="Q445" s="245" t="str">
        <f t="shared" si="51"/>
        <v xml:space="preserve"> </v>
      </c>
      <c r="R445" s="245" t="str">
        <f t="shared" si="51"/>
        <v xml:space="preserve"> </v>
      </c>
      <c r="S445" s="245" t="str">
        <f t="shared" si="51"/>
        <v xml:space="preserve"> </v>
      </c>
      <c r="T445" s="245" t="str">
        <f t="shared" si="51"/>
        <v xml:space="preserve"> </v>
      </c>
      <c r="U445" s="245" t="str">
        <f t="shared" si="51"/>
        <v xml:space="preserve"> </v>
      </c>
      <c r="V445" s="208">
        <f>SUM($N$10:$U445)</f>
        <v>0</v>
      </c>
      <c r="W445" s="208">
        <f>VLOOKUP(V445,Calcs!$Q$4:$R$24,2,TRUE)</f>
        <v>0</v>
      </c>
      <c r="X445" s="435" t="str">
        <f t="shared" si="48"/>
        <v>No</v>
      </c>
      <c r="Y445" s="436"/>
      <c r="Z445" s="435">
        <f t="shared" si="49"/>
        <v>0</v>
      </c>
      <c r="AA445" s="245" t="str">
        <f>IF(AND(X445="Yes",NOT(ISBLANK(Z445))),VLOOKUP(Z445,Calcs!$Y$48:$Z$57,2,TRUE)," ")</f>
        <v xml:space="preserve"> </v>
      </c>
    </row>
    <row r="446" spans="1:27" x14ac:dyDescent="0.2">
      <c r="A446" s="425">
        <f t="shared" si="50"/>
        <v>472</v>
      </c>
      <c r="B446" s="425" t="str">
        <f t="shared" si="46"/>
        <v>Winter</v>
      </c>
      <c r="C446" s="247">
        <f>IF(B446="Winter",A446-('Start Character'!$K$6)-1,IF('Start Character'!$K$7&gt;6,A446-('Start Character'!$K$6)-1,A446-('Start Character'!$K$6)))</f>
        <v>471</v>
      </c>
      <c r="D446" s="247">
        <f t="shared" si="47"/>
        <v>471</v>
      </c>
      <c r="E446" s="246"/>
      <c r="F446" s="83"/>
      <c r="G446" s="83"/>
      <c r="H446" s="246"/>
      <c r="I446" s="433"/>
      <c r="J446" s="254">
        <f>IF(ISBLANK(I446),0,ROUNDUP(D446/10,0)-E446-H446-F446-G446+VLOOKUP($D$2,Calcs!$A$23:$B$27,2,FALSE)+I446)</f>
        <v>0</v>
      </c>
      <c r="K446" s="245" t="str">
        <f>IF(ISBLANK(I446)," ",VLOOKUP(J446,Calcs!$A$82:$H$106,2,TRUE))</f>
        <v xml:space="preserve"> </v>
      </c>
      <c r="L446" s="245">
        <f>IF(ISBLANK(I446),0,VLOOKUP(J446,Calcs!$A$82:$F$106,5,TRUE))</f>
        <v>0</v>
      </c>
      <c r="M446" s="208">
        <f>IF(J446=13,IF(ISNUMBER(W445),VLOOKUP(W445+1,Calcs!$O$4:$Q$24,3,TRUE)-V445,5),IF(J446&lt;10,0,IF(J446&lt;18,1,IF(J446&lt;22,2,IF(ISNUMBER(W445),VLOOKUP(W445+1,Calcs!$O$4:$Q$24,3,TRUE)-V445,5)))))</f>
        <v>0</v>
      </c>
      <c r="N446" s="245" t="str">
        <f t="shared" si="51"/>
        <v xml:space="preserve"> </v>
      </c>
      <c r="O446" s="245" t="str">
        <f t="shared" si="51"/>
        <v xml:space="preserve"> </v>
      </c>
      <c r="P446" s="245" t="str">
        <f t="shared" si="51"/>
        <v xml:space="preserve"> </v>
      </c>
      <c r="Q446" s="245" t="str">
        <f t="shared" si="51"/>
        <v xml:space="preserve"> </v>
      </c>
      <c r="R446" s="245" t="str">
        <f t="shared" si="51"/>
        <v xml:space="preserve"> </v>
      </c>
      <c r="S446" s="245" t="str">
        <f t="shared" si="51"/>
        <v xml:space="preserve"> </v>
      </c>
      <c r="T446" s="245" t="str">
        <f t="shared" si="51"/>
        <v xml:space="preserve"> </v>
      </c>
      <c r="U446" s="245" t="str">
        <f t="shared" si="51"/>
        <v xml:space="preserve"> </v>
      </c>
      <c r="V446" s="208">
        <f>SUM($N$10:$U446)</f>
        <v>0</v>
      </c>
      <c r="W446" s="208">
        <f>VLOOKUP(V446,Calcs!$Q$4:$R$24,2,TRUE)</f>
        <v>0</v>
      </c>
      <c r="X446" s="435" t="str">
        <f t="shared" si="48"/>
        <v>No</v>
      </c>
      <c r="Y446" s="436"/>
      <c r="Z446" s="435">
        <f t="shared" si="49"/>
        <v>0</v>
      </c>
      <c r="AA446" s="245" t="str">
        <f>IF(AND(X446="Yes",NOT(ISBLANK(Z446))),VLOOKUP(Z446,Calcs!$Y$48:$Z$57,2,TRUE)," ")</f>
        <v xml:space="preserve"> </v>
      </c>
    </row>
    <row r="447" spans="1:27" x14ac:dyDescent="0.2">
      <c r="A447" s="425">
        <f t="shared" si="50"/>
        <v>473</v>
      </c>
      <c r="B447" s="425" t="str">
        <f t="shared" si="46"/>
        <v>Winter</v>
      </c>
      <c r="C447" s="247">
        <f>IF(B447="Winter",A447-('Start Character'!$K$6)-1,IF('Start Character'!$K$7&gt;6,A447-('Start Character'!$K$6)-1,A447-('Start Character'!$K$6)))</f>
        <v>472</v>
      </c>
      <c r="D447" s="247">
        <f t="shared" si="47"/>
        <v>472</v>
      </c>
      <c r="E447" s="246"/>
      <c r="F447" s="83"/>
      <c r="G447" s="83"/>
      <c r="H447" s="246"/>
      <c r="I447" s="433"/>
      <c r="J447" s="254">
        <f>IF(ISBLANK(I447),0,ROUNDUP(D447/10,0)-E447-H447-F447-G447+VLOOKUP($D$2,Calcs!$A$23:$B$27,2,FALSE)+I447)</f>
        <v>0</v>
      </c>
      <c r="K447" s="245" t="str">
        <f>IF(ISBLANK(I447)," ",VLOOKUP(J447,Calcs!$A$82:$H$106,2,TRUE))</f>
        <v xml:space="preserve"> </v>
      </c>
      <c r="L447" s="245">
        <f>IF(ISBLANK(I447),0,VLOOKUP(J447,Calcs!$A$82:$F$106,5,TRUE))</f>
        <v>0</v>
      </c>
      <c r="M447" s="208">
        <f>IF(J447=13,IF(ISNUMBER(W446),VLOOKUP(W446+1,Calcs!$O$4:$Q$24,3,TRUE)-V446,5),IF(J447&lt;10,0,IF(J447&lt;18,1,IF(J447&lt;22,2,IF(ISNUMBER(W446),VLOOKUP(W446+1,Calcs!$O$4:$Q$24,3,TRUE)-V446,5)))))</f>
        <v>0</v>
      </c>
      <c r="N447" s="245" t="str">
        <f t="shared" si="51"/>
        <v xml:space="preserve"> </v>
      </c>
      <c r="O447" s="245" t="str">
        <f t="shared" si="51"/>
        <v xml:space="preserve"> </v>
      </c>
      <c r="P447" s="245" t="str">
        <f t="shared" si="51"/>
        <v xml:space="preserve"> </v>
      </c>
      <c r="Q447" s="245" t="str">
        <f t="shared" si="51"/>
        <v xml:space="preserve"> </v>
      </c>
      <c r="R447" s="245" t="str">
        <f t="shared" si="51"/>
        <v xml:space="preserve"> </v>
      </c>
      <c r="S447" s="245" t="str">
        <f t="shared" si="51"/>
        <v xml:space="preserve"> </v>
      </c>
      <c r="T447" s="245" t="str">
        <f t="shared" si="51"/>
        <v xml:space="preserve"> </v>
      </c>
      <c r="U447" s="245" t="str">
        <f t="shared" si="51"/>
        <v xml:space="preserve"> </v>
      </c>
      <c r="V447" s="208">
        <f>SUM($N$10:$U447)</f>
        <v>0</v>
      </c>
      <c r="W447" s="208">
        <f>VLOOKUP(V447,Calcs!$Q$4:$R$24,2,TRUE)</f>
        <v>0</v>
      </c>
      <c r="X447" s="435" t="str">
        <f t="shared" si="48"/>
        <v>No</v>
      </c>
      <c r="Y447" s="436"/>
      <c r="Z447" s="435">
        <f t="shared" si="49"/>
        <v>0</v>
      </c>
      <c r="AA447" s="245" t="str">
        <f>IF(AND(X447="Yes",NOT(ISBLANK(Z447))),VLOOKUP(Z447,Calcs!$Y$48:$Z$57,2,TRUE)," ")</f>
        <v xml:space="preserve"> </v>
      </c>
    </row>
    <row r="448" spans="1:27" x14ac:dyDescent="0.2">
      <c r="A448" s="425">
        <f t="shared" si="50"/>
        <v>474</v>
      </c>
      <c r="B448" s="425" t="str">
        <f t="shared" si="46"/>
        <v>Winter</v>
      </c>
      <c r="C448" s="247">
        <f>IF(B448="Winter",A448-('Start Character'!$K$6)-1,IF('Start Character'!$K$7&gt;6,A448-('Start Character'!$K$6)-1,A448-('Start Character'!$K$6)))</f>
        <v>473</v>
      </c>
      <c r="D448" s="247">
        <f t="shared" si="47"/>
        <v>473</v>
      </c>
      <c r="E448" s="246"/>
      <c r="F448" s="83"/>
      <c r="G448" s="83"/>
      <c r="H448" s="246"/>
      <c r="I448" s="433"/>
      <c r="J448" s="254">
        <f>IF(ISBLANK(I448),0,ROUNDUP(D448/10,0)-E448-H448-F448-G448+VLOOKUP($D$2,Calcs!$A$23:$B$27,2,FALSE)+I448)</f>
        <v>0</v>
      </c>
      <c r="K448" s="245" t="str">
        <f>IF(ISBLANK(I448)," ",VLOOKUP(J448,Calcs!$A$82:$H$106,2,TRUE))</f>
        <v xml:space="preserve"> </v>
      </c>
      <c r="L448" s="245">
        <f>IF(ISBLANK(I448),0,VLOOKUP(J448,Calcs!$A$82:$F$106,5,TRUE))</f>
        <v>0</v>
      </c>
      <c r="M448" s="208">
        <f>IF(J448=13,IF(ISNUMBER(W447),VLOOKUP(W447+1,Calcs!$O$4:$Q$24,3,TRUE)-V447,5),IF(J448&lt;10,0,IF(J448&lt;18,1,IF(J448&lt;22,2,IF(ISNUMBER(W447),VLOOKUP(W447+1,Calcs!$O$4:$Q$24,3,TRUE)-V447,5)))))</f>
        <v>0</v>
      </c>
      <c r="N448" s="245" t="str">
        <f t="shared" si="51"/>
        <v xml:space="preserve"> </v>
      </c>
      <c r="O448" s="245" t="str">
        <f t="shared" si="51"/>
        <v xml:space="preserve"> </v>
      </c>
      <c r="P448" s="245" t="str">
        <f t="shared" si="51"/>
        <v xml:space="preserve"> </v>
      </c>
      <c r="Q448" s="245" t="str">
        <f t="shared" si="51"/>
        <v xml:space="preserve"> </v>
      </c>
      <c r="R448" s="245" t="str">
        <f t="shared" si="51"/>
        <v xml:space="preserve"> </v>
      </c>
      <c r="S448" s="245" t="str">
        <f t="shared" si="51"/>
        <v xml:space="preserve"> </v>
      </c>
      <c r="T448" s="245" t="str">
        <f t="shared" si="51"/>
        <v xml:space="preserve"> </v>
      </c>
      <c r="U448" s="245" t="str">
        <f t="shared" si="51"/>
        <v xml:space="preserve"> </v>
      </c>
      <c r="V448" s="208">
        <f>SUM($N$10:$U448)</f>
        <v>0</v>
      </c>
      <c r="W448" s="208">
        <f>VLOOKUP(V448,Calcs!$Q$4:$R$24,2,TRUE)</f>
        <v>0</v>
      </c>
      <c r="X448" s="435" t="str">
        <f t="shared" si="48"/>
        <v>No</v>
      </c>
      <c r="Y448" s="436"/>
      <c r="Z448" s="435">
        <f t="shared" si="49"/>
        <v>0</v>
      </c>
      <c r="AA448" s="245" t="str">
        <f>IF(AND(X448="Yes",NOT(ISBLANK(Z448))),VLOOKUP(Z448,Calcs!$Y$48:$Z$57,2,TRUE)," ")</f>
        <v xml:space="preserve"> </v>
      </c>
    </row>
    <row r="449" spans="1:27" x14ac:dyDescent="0.2">
      <c r="A449" s="425">
        <f t="shared" si="50"/>
        <v>475</v>
      </c>
      <c r="B449" s="425" t="str">
        <f t="shared" si="46"/>
        <v>Winter</v>
      </c>
      <c r="C449" s="247">
        <f>IF(B449="Winter",A449-('Start Character'!$K$6)-1,IF('Start Character'!$K$7&gt;6,A449-('Start Character'!$K$6)-1,A449-('Start Character'!$K$6)))</f>
        <v>474</v>
      </c>
      <c r="D449" s="247">
        <f t="shared" si="47"/>
        <v>474</v>
      </c>
      <c r="E449" s="246"/>
      <c r="F449" s="83"/>
      <c r="G449" s="83"/>
      <c r="H449" s="246"/>
      <c r="I449" s="433"/>
      <c r="J449" s="254">
        <f>IF(ISBLANK(I449),0,ROUNDUP(D449/10,0)-E449-H449-F449-G449+VLOOKUP($D$2,Calcs!$A$23:$B$27,2,FALSE)+I449)</f>
        <v>0</v>
      </c>
      <c r="K449" s="245" t="str">
        <f>IF(ISBLANK(I449)," ",VLOOKUP(J449,Calcs!$A$82:$H$106,2,TRUE))</f>
        <v xml:space="preserve"> </v>
      </c>
      <c r="L449" s="245">
        <f>IF(ISBLANK(I449),0,VLOOKUP(J449,Calcs!$A$82:$F$106,5,TRUE))</f>
        <v>0</v>
      </c>
      <c r="M449" s="208">
        <f>IF(J449=13,IF(ISNUMBER(W448),VLOOKUP(W448+1,Calcs!$O$4:$Q$24,3,TRUE)-V448,5),IF(J449&lt;10,0,IF(J449&lt;18,1,IF(J449&lt;22,2,IF(ISNUMBER(W448),VLOOKUP(W448+1,Calcs!$O$4:$Q$24,3,TRUE)-V448,5)))))</f>
        <v>0</v>
      </c>
      <c r="N449" s="245" t="str">
        <f t="shared" si="51"/>
        <v xml:space="preserve"> </v>
      </c>
      <c r="O449" s="245" t="str">
        <f t="shared" si="51"/>
        <v xml:space="preserve"> </v>
      </c>
      <c r="P449" s="245" t="str">
        <f t="shared" si="51"/>
        <v xml:space="preserve"> </v>
      </c>
      <c r="Q449" s="245" t="str">
        <f t="shared" si="51"/>
        <v xml:space="preserve"> </v>
      </c>
      <c r="R449" s="245" t="str">
        <f t="shared" si="51"/>
        <v xml:space="preserve"> </v>
      </c>
      <c r="S449" s="245" t="str">
        <f t="shared" si="51"/>
        <v xml:space="preserve"> </v>
      </c>
      <c r="T449" s="245" t="str">
        <f t="shared" si="51"/>
        <v xml:space="preserve"> </v>
      </c>
      <c r="U449" s="245" t="str">
        <f t="shared" si="51"/>
        <v xml:space="preserve"> </v>
      </c>
      <c r="V449" s="208">
        <f>SUM($N$10:$U449)</f>
        <v>0</v>
      </c>
      <c r="W449" s="208">
        <f>VLOOKUP(V449,Calcs!$Q$4:$R$24,2,TRUE)</f>
        <v>0</v>
      </c>
      <c r="X449" s="435" t="str">
        <f t="shared" si="48"/>
        <v>No</v>
      </c>
      <c r="Y449" s="436"/>
      <c r="Z449" s="435">
        <f t="shared" si="49"/>
        <v>0</v>
      </c>
      <c r="AA449" s="245" t="str">
        <f>IF(AND(X449="Yes",NOT(ISBLANK(Z449))),VLOOKUP(Z449,Calcs!$Y$48:$Z$57,2,TRUE)," ")</f>
        <v xml:space="preserve"> </v>
      </c>
    </row>
    <row r="450" spans="1:27" x14ac:dyDescent="0.2">
      <c r="A450" s="425">
        <f t="shared" si="50"/>
        <v>476</v>
      </c>
      <c r="B450" s="425" t="str">
        <f t="shared" si="46"/>
        <v>Winter</v>
      </c>
      <c r="C450" s="247">
        <f>IF(B450="Winter",A450-('Start Character'!$K$6)-1,IF('Start Character'!$K$7&gt;6,A450-('Start Character'!$K$6)-1,A450-('Start Character'!$K$6)))</f>
        <v>475</v>
      </c>
      <c r="D450" s="247">
        <f t="shared" si="47"/>
        <v>475</v>
      </c>
      <c r="E450" s="246"/>
      <c r="F450" s="83"/>
      <c r="G450" s="83"/>
      <c r="H450" s="246"/>
      <c r="I450" s="433"/>
      <c r="J450" s="254">
        <f>IF(ISBLANK(I450),0,ROUNDUP(D450/10,0)-E450-H450-F450-G450+VLOOKUP($D$2,Calcs!$A$23:$B$27,2,FALSE)+I450)</f>
        <v>0</v>
      </c>
      <c r="K450" s="245" t="str">
        <f>IF(ISBLANK(I450)," ",VLOOKUP(J450,Calcs!$A$82:$H$106,2,TRUE))</f>
        <v xml:space="preserve"> </v>
      </c>
      <c r="L450" s="245">
        <f>IF(ISBLANK(I450),0,VLOOKUP(J450,Calcs!$A$82:$F$106,5,TRUE))</f>
        <v>0</v>
      </c>
      <c r="M450" s="208">
        <f>IF(J450=13,IF(ISNUMBER(W449),VLOOKUP(W449+1,Calcs!$O$4:$Q$24,3,TRUE)-V449,5),IF(J450&lt;10,0,IF(J450&lt;18,1,IF(J450&lt;22,2,IF(ISNUMBER(W449),VLOOKUP(W449+1,Calcs!$O$4:$Q$24,3,TRUE)-V449,5)))))</f>
        <v>0</v>
      </c>
      <c r="N450" s="245" t="str">
        <f t="shared" si="51"/>
        <v xml:space="preserve"> </v>
      </c>
      <c r="O450" s="245" t="str">
        <f t="shared" si="51"/>
        <v xml:space="preserve"> </v>
      </c>
      <c r="P450" s="245" t="str">
        <f t="shared" si="51"/>
        <v xml:space="preserve"> </v>
      </c>
      <c r="Q450" s="245" t="str">
        <f t="shared" si="51"/>
        <v xml:space="preserve"> </v>
      </c>
      <c r="R450" s="245" t="str">
        <f t="shared" si="51"/>
        <v xml:space="preserve"> </v>
      </c>
      <c r="S450" s="245" t="str">
        <f t="shared" si="51"/>
        <v xml:space="preserve"> </v>
      </c>
      <c r="T450" s="245" t="str">
        <f t="shared" si="51"/>
        <v xml:space="preserve"> </v>
      </c>
      <c r="U450" s="245" t="str">
        <f t="shared" si="51"/>
        <v xml:space="preserve"> </v>
      </c>
      <c r="V450" s="208">
        <f>SUM($N$10:$U450)</f>
        <v>0</v>
      </c>
      <c r="W450" s="208">
        <f>VLOOKUP(V450,Calcs!$Q$4:$R$24,2,TRUE)</f>
        <v>0</v>
      </c>
      <c r="X450" s="435" t="str">
        <f t="shared" si="48"/>
        <v>No</v>
      </c>
      <c r="Y450" s="436"/>
      <c r="Z450" s="435">
        <f t="shared" si="49"/>
        <v>0</v>
      </c>
      <c r="AA450" s="245" t="str">
        <f>IF(AND(X450="Yes",NOT(ISBLANK(Z450))),VLOOKUP(Z450,Calcs!$Y$48:$Z$57,2,TRUE)," ")</f>
        <v xml:space="preserve"> </v>
      </c>
    </row>
    <row r="451" spans="1:27" x14ac:dyDescent="0.2">
      <c r="A451" s="425">
        <f t="shared" si="50"/>
        <v>477</v>
      </c>
      <c r="B451" s="425" t="str">
        <f t="shared" si="46"/>
        <v>Winter</v>
      </c>
      <c r="C451" s="247">
        <f>IF(B451="Winter",A451-('Start Character'!$K$6)-1,IF('Start Character'!$K$7&gt;6,A451-('Start Character'!$K$6)-1,A451-('Start Character'!$K$6)))</f>
        <v>476</v>
      </c>
      <c r="D451" s="247">
        <f t="shared" si="47"/>
        <v>476</v>
      </c>
      <c r="E451" s="246"/>
      <c r="F451" s="83"/>
      <c r="G451" s="83"/>
      <c r="H451" s="246"/>
      <c r="I451" s="433"/>
      <c r="J451" s="254">
        <f>IF(ISBLANK(I451),0,ROUNDUP(D451/10,0)-E451-H451-F451-G451+VLOOKUP($D$2,Calcs!$A$23:$B$27,2,FALSE)+I451)</f>
        <v>0</v>
      </c>
      <c r="K451" s="245" t="str">
        <f>IF(ISBLANK(I451)," ",VLOOKUP(J451,Calcs!$A$82:$H$106,2,TRUE))</f>
        <v xml:space="preserve"> </v>
      </c>
      <c r="L451" s="245">
        <f>IF(ISBLANK(I451),0,VLOOKUP(J451,Calcs!$A$82:$F$106,5,TRUE))</f>
        <v>0</v>
      </c>
      <c r="M451" s="208">
        <f>IF(J451=13,IF(ISNUMBER(W450),VLOOKUP(W450+1,Calcs!$O$4:$Q$24,3,TRUE)-V450,5),IF(J451&lt;10,0,IF(J451&lt;18,1,IF(J451&lt;22,2,IF(ISNUMBER(W450),VLOOKUP(W450+1,Calcs!$O$4:$Q$24,3,TRUE)-V450,5)))))</f>
        <v>0</v>
      </c>
      <c r="N451" s="245" t="str">
        <f t="shared" si="51"/>
        <v xml:space="preserve"> </v>
      </c>
      <c r="O451" s="245" t="str">
        <f t="shared" si="51"/>
        <v xml:space="preserve"> </v>
      </c>
      <c r="P451" s="245" t="str">
        <f t="shared" si="51"/>
        <v xml:space="preserve"> </v>
      </c>
      <c r="Q451" s="245" t="str">
        <f t="shared" si="51"/>
        <v xml:space="preserve"> </v>
      </c>
      <c r="R451" s="245" t="str">
        <f t="shared" si="51"/>
        <v xml:space="preserve"> </v>
      </c>
      <c r="S451" s="245" t="str">
        <f t="shared" si="51"/>
        <v xml:space="preserve"> </v>
      </c>
      <c r="T451" s="245" t="str">
        <f t="shared" si="51"/>
        <v xml:space="preserve"> </v>
      </c>
      <c r="U451" s="245" t="str">
        <f t="shared" si="51"/>
        <v xml:space="preserve"> </v>
      </c>
      <c r="V451" s="208">
        <f>SUM($N$10:$U451)</f>
        <v>0</v>
      </c>
      <c r="W451" s="208">
        <f>VLOOKUP(V451,Calcs!$Q$4:$R$24,2,TRUE)</f>
        <v>0</v>
      </c>
      <c r="X451" s="435" t="str">
        <f t="shared" si="48"/>
        <v>No</v>
      </c>
      <c r="Y451" s="436"/>
      <c r="Z451" s="435">
        <f t="shared" si="49"/>
        <v>0</v>
      </c>
      <c r="AA451" s="245" t="str">
        <f>IF(AND(X451="Yes",NOT(ISBLANK(Z451))),VLOOKUP(Z451,Calcs!$Y$48:$Z$57,2,TRUE)," ")</f>
        <v xml:space="preserve"> </v>
      </c>
    </row>
    <row r="452" spans="1:27" x14ac:dyDescent="0.2">
      <c r="A452" s="425">
        <f t="shared" si="50"/>
        <v>478</v>
      </c>
      <c r="B452" s="425" t="str">
        <f t="shared" si="46"/>
        <v>Winter</v>
      </c>
      <c r="C452" s="247">
        <f>IF(B452="Winter",A452-('Start Character'!$K$6)-1,IF('Start Character'!$K$7&gt;6,A452-('Start Character'!$K$6)-1,A452-('Start Character'!$K$6)))</f>
        <v>477</v>
      </c>
      <c r="D452" s="247">
        <f t="shared" si="47"/>
        <v>477</v>
      </c>
      <c r="E452" s="246"/>
      <c r="F452" s="83"/>
      <c r="G452" s="83"/>
      <c r="H452" s="246"/>
      <c r="I452" s="433"/>
      <c r="J452" s="254">
        <f>IF(ISBLANK(I452),0,ROUNDUP(D452/10,0)-E452-H452-F452-G452+VLOOKUP($D$2,Calcs!$A$23:$B$27,2,FALSE)+I452)</f>
        <v>0</v>
      </c>
      <c r="K452" s="245" t="str">
        <f>IF(ISBLANK(I452)," ",VLOOKUP(J452,Calcs!$A$82:$H$106,2,TRUE))</f>
        <v xml:space="preserve"> </v>
      </c>
      <c r="L452" s="245">
        <f>IF(ISBLANK(I452),0,VLOOKUP(J452,Calcs!$A$82:$F$106,5,TRUE))</f>
        <v>0</v>
      </c>
      <c r="M452" s="208">
        <f>IF(J452=13,IF(ISNUMBER(W451),VLOOKUP(W451+1,Calcs!$O$4:$Q$24,3,TRUE)-V451,5),IF(J452&lt;10,0,IF(J452&lt;18,1,IF(J452&lt;22,2,IF(ISNUMBER(W451),VLOOKUP(W451+1,Calcs!$O$4:$Q$24,3,TRUE)-V451,5)))))</f>
        <v>0</v>
      </c>
      <c r="N452" s="245" t="str">
        <f t="shared" si="51"/>
        <v xml:space="preserve"> </v>
      </c>
      <c r="O452" s="245" t="str">
        <f t="shared" si="51"/>
        <v xml:space="preserve"> </v>
      </c>
      <c r="P452" s="245" t="str">
        <f t="shared" si="51"/>
        <v xml:space="preserve"> </v>
      </c>
      <c r="Q452" s="245" t="str">
        <f t="shared" si="51"/>
        <v xml:space="preserve"> </v>
      </c>
      <c r="R452" s="245" t="str">
        <f t="shared" si="51"/>
        <v xml:space="preserve"> </v>
      </c>
      <c r="S452" s="245" t="str">
        <f t="shared" si="51"/>
        <v xml:space="preserve"> </v>
      </c>
      <c r="T452" s="245" t="str">
        <f t="shared" si="51"/>
        <v xml:space="preserve"> </v>
      </c>
      <c r="U452" s="245" t="str">
        <f t="shared" si="51"/>
        <v xml:space="preserve"> </v>
      </c>
      <c r="V452" s="208">
        <f>SUM($N$10:$U452)</f>
        <v>0</v>
      </c>
      <c r="W452" s="208">
        <f>VLOOKUP(V452,Calcs!$Q$4:$R$24,2,TRUE)</f>
        <v>0</v>
      </c>
      <c r="X452" s="435" t="str">
        <f t="shared" si="48"/>
        <v>No</v>
      </c>
      <c r="Y452" s="436"/>
      <c r="Z452" s="435">
        <f t="shared" si="49"/>
        <v>0</v>
      </c>
      <c r="AA452" s="245" t="str">
        <f>IF(AND(X452="Yes",NOT(ISBLANK(Z452))),VLOOKUP(Z452,Calcs!$Y$48:$Z$57,2,TRUE)," ")</f>
        <v xml:space="preserve"> </v>
      </c>
    </row>
    <row r="453" spans="1:27" x14ac:dyDescent="0.2">
      <c r="A453" s="425">
        <f t="shared" si="50"/>
        <v>479</v>
      </c>
      <c r="B453" s="425" t="str">
        <f t="shared" si="46"/>
        <v>Winter</v>
      </c>
      <c r="C453" s="247">
        <f>IF(B453="Winter",A453-('Start Character'!$K$6)-1,IF('Start Character'!$K$7&gt;6,A453-('Start Character'!$K$6)-1,A453-('Start Character'!$K$6)))</f>
        <v>478</v>
      </c>
      <c r="D453" s="247">
        <f t="shared" si="47"/>
        <v>478</v>
      </c>
      <c r="E453" s="246"/>
      <c r="F453" s="83"/>
      <c r="G453" s="83"/>
      <c r="H453" s="246"/>
      <c r="I453" s="433"/>
      <c r="J453" s="254">
        <f>IF(ISBLANK(I453),0,ROUNDUP(D453/10,0)-E453-H453-F453-G453+VLOOKUP($D$2,Calcs!$A$23:$B$27,2,FALSE)+I453)</f>
        <v>0</v>
      </c>
      <c r="K453" s="245" t="str">
        <f>IF(ISBLANK(I453)," ",VLOOKUP(J453,Calcs!$A$82:$H$106,2,TRUE))</f>
        <v xml:space="preserve"> </v>
      </c>
      <c r="L453" s="245">
        <f>IF(ISBLANK(I453),0,VLOOKUP(J453,Calcs!$A$82:$F$106,5,TRUE))</f>
        <v>0</v>
      </c>
      <c r="M453" s="208">
        <f>IF(J453=13,IF(ISNUMBER(W452),VLOOKUP(W452+1,Calcs!$O$4:$Q$24,3,TRUE)-V452,5),IF(J453&lt;10,0,IF(J453&lt;18,1,IF(J453&lt;22,2,IF(ISNUMBER(W452),VLOOKUP(W452+1,Calcs!$O$4:$Q$24,3,TRUE)-V452,5)))))</f>
        <v>0</v>
      </c>
      <c r="N453" s="245" t="str">
        <f t="shared" si="51"/>
        <v xml:space="preserve"> </v>
      </c>
      <c r="O453" s="245" t="str">
        <f t="shared" si="51"/>
        <v xml:space="preserve"> </v>
      </c>
      <c r="P453" s="245" t="str">
        <f t="shared" si="51"/>
        <v xml:space="preserve"> </v>
      </c>
      <c r="Q453" s="245" t="str">
        <f t="shared" si="51"/>
        <v xml:space="preserve"> </v>
      </c>
      <c r="R453" s="245" t="str">
        <f t="shared" si="51"/>
        <v xml:space="preserve"> </v>
      </c>
      <c r="S453" s="245" t="str">
        <f t="shared" si="51"/>
        <v xml:space="preserve"> </v>
      </c>
      <c r="T453" s="245" t="str">
        <f t="shared" si="51"/>
        <v xml:space="preserve"> </v>
      </c>
      <c r="U453" s="245" t="str">
        <f t="shared" si="51"/>
        <v xml:space="preserve"> </v>
      </c>
      <c r="V453" s="208">
        <f>SUM($N$10:$U453)</f>
        <v>0</v>
      </c>
      <c r="W453" s="208">
        <f>VLOOKUP(V453,Calcs!$Q$4:$R$24,2,TRUE)</f>
        <v>0</v>
      </c>
      <c r="X453" s="435" t="str">
        <f t="shared" si="48"/>
        <v>No</v>
      </c>
      <c r="Y453" s="436"/>
      <c r="Z453" s="435">
        <f t="shared" si="49"/>
        <v>0</v>
      </c>
      <c r="AA453" s="245" t="str">
        <f>IF(AND(X453="Yes",NOT(ISBLANK(Z453))),VLOOKUP(Z453,Calcs!$Y$48:$Z$57,2,TRUE)," ")</f>
        <v xml:space="preserve"> </v>
      </c>
    </row>
    <row r="454" spans="1:27" x14ac:dyDescent="0.2">
      <c r="A454" s="425">
        <f t="shared" si="50"/>
        <v>480</v>
      </c>
      <c r="B454" s="425" t="str">
        <f t="shared" si="46"/>
        <v>Winter</v>
      </c>
      <c r="C454" s="247">
        <f>IF(B454="Winter",A454-('Start Character'!$K$6)-1,IF('Start Character'!$K$7&gt;6,A454-('Start Character'!$K$6)-1,A454-('Start Character'!$K$6)))</f>
        <v>479</v>
      </c>
      <c r="D454" s="247">
        <f t="shared" si="47"/>
        <v>479</v>
      </c>
      <c r="E454" s="246"/>
      <c r="F454" s="83"/>
      <c r="G454" s="83"/>
      <c r="H454" s="246"/>
      <c r="I454" s="433"/>
      <c r="J454" s="254">
        <f>IF(ISBLANK(I454),0,ROUNDUP(D454/10,0)-E454-H454-F454-G454+VLOOKUP($D$2,Calcs!$A$23:$B$27,2,FALSE)+I454)</f>
        <v>0</v>
      </c>
      <c r="K454" s="245" t="str">
        <f>IF(ISBLANK(I454)," ",VLOOKUP(J454,Calcs!$A$82:$H$106,2,TRUE))</f>
        <v xml:space="preserve"> </v>
      </c>
      <c r="L454" s="245">
        <f>IF(ISBLANK(I454),0,VLOOKUP(J454,Calcs!$A$82:$F$106,5,TRUE))</f>
        <v>0</v>
      </c>
      <c r="M454" s="208">
        <f>IF(J454=13,IF(ISNUMBER(W453),VLOOKUP(W453+1,Calcs!$O$4:$Q$24,3,TRUE)-V453,5),IF(J454&lt;10,0,IF(J454&lt;18,1,IF(J454&lt;22,2,IF(ISNUMBER(W453),VLOOKUP(W453+1,Calcs!$O$4:$Q$24,3,TRUE)-V453,5)))))</f>
        <v>0</v>
      </c>
      <c r="N454" s="245" t="str">
        <f t="shared" si="51"/>
        <v xml:space="preserve"> </v>
      </c>
      <c r="O454" s="245" t="str">
        <f t="shared" si="51"/>
        <v xml:space="preserve"> </v>
      </c>
      <c r="P454" s="245" t="str">
        <f t="shared" si="51"/>
        <v xml:space="preserve"> </v>
      </c>
      <c r="Q454" s="245" t="str">
        <f t="shared" si="51"/>
        <v xml:space="preserve"> </v>
      </c>
      <c r="R454" s="245" t="str">
        <f t="shared" si="51"/>
        <v xml:space="preserve"> </v>
      </c>
      <c r="S454" s="245" t="str">
        <f t="shared" si="51"/>
        <v xml:space="preserve"> </v>
      </c>
      <c r="T454" s="245" t="str">
        <f t="shared" si="51"/>
        <v xml:space="preserve"> </v>
      </c>
      <c r="U454" s="245" t="str">
        <f t="shared" si="51"/>
        <v xml:space="preserve"> </v>
      </c>
      <c r="V454" s="208">
        <f>SUM($N$10:$U454)</f>
        <v>0</v>
      </c>
      <c r="W454" s="208">
        <f>VLOOKUP(V454,Calcs!$Q$4:$R$24,2,TRUE)</f>
        <v>0</v>
      </c>
      <c r="X454" s="435" t="str">
        <f t="shared" si="48"/>
        <v>No</v>
      </c>
      <c r="Y454" s="436"/>
      <c r="Z454" s="435">
        <f t="shared" si="49"/>
        <v>0</v>
      </c>
      <c r="AA454" s="245" t="str">
        <f>IF(AND(X454="Yes",NOT(ISBLANK(Z454))),VLOOKUP(Z454,Calcs!$Y$48:$Z$57,2,TRUE)," ")</f>
        <v xml:space="preserve"> </v>
      </c>
    </row>
    <row r="455" spans="1:27" x14ac:dyDescent="0.2">
      <c r="A455" s="425">
        <f t="shared" si="50"/>
        <v>481</v>
      </c>
      <c r="B455" s="425" t="str">
        <f t="shared" si="46"/>
        <v>Winter</v>
      </c>
      <c r="C455" s="247">
        <f>IF(B455="Winter",A455-('Start Character'!$K$6)-1,IF('Start Character'!$K$7&gt;6,A455-('Start Character'!$K$6)-1,A455-('Start Character'!$K$6)))</f>
        <v>480</v>
      </c>
      <c r="D455" s="247">
        <f t="shared" si="47"/>
        <v>480</v>
      </c>
      <c r="E455" s="246"/>
      <c r="F455" s="83"/>
      <c r="G455" s="83"/>
      <c r="H455" s="246"/>
      <c r="I455" s="433"/>
      <c r="J455" s="254">
        <f>IF(ISBLANK(I455),0,ROUNDUP(D455/10,0)-E455-H455-F455-G455+VLOOKUP($D$2,Calcs!$A$23:$B$27,2,FALSE)+I455)</f>
        <v>0</v>
      </c>
      <c r="K455" s="245" t="str">
        <f>IF(ISBLANK(I455)," ",VLOOKUP(J455,Calcs!$A$82:$H$106,2,TRUE))</f>
        <v xml:space="preserve"> </v>
      </c>
      <c r="L455" s="245">
        <f>IF(ISBLANK(I455),0,VLOOKUP(J455,Calcs!$A$82:$F$106,5,TRUE))</f>
        <v>0</v>
      </c>
      <c r="M455" s="208">
        <f>IF(J455=13,IF(ISNUMBER(W454),VLOOKUP(W454+1,Calcs!$O$4:$Q$24,3,TRUE)-V454,5),IF(J455&lt;10,0,IF(J455&lt;18,1,IF(J455&lt;22,2,IF(ISNUMBER(W454),VLOOKUP(W454+1,Calcs!$O$4:$Q$24,3,TRUE)-V454,5)))))</f>
        <v>0</v>
      </c>
      <c r="N455" s="245" t="str">
        <f t="shared" si="51"/>
        <v xml:space="preserve"> </v>
      </c>
      <c r="O455" s="245" t="str">
        <f t="shared" si="51"/>
        <v xml:space="preserve"> </v>
      </c>
      <c r="P455" s="245" t="str">
        <f t="shared" si="51"/>
        <v xml:space="preserve"> </v>
      </c>
      <c r="Q455" s="245" t="str">
        <f t="shared" si="51"/>
        <v xml:space="preserve"> </v>
      </c>
      <c r="R455" s="245" t="str">
        <f t="shared" si="51"/>
        <v xml:space="preserve"> </v>
      </c>
      <c r="S455" s="245" t="str">
        <f t="shared" si="51"/>
        <v xml:space="preserve"> </v>
      </c>
      <c r="T455" s="245" t="str">
        <f t="shared" si="51"/>
        <v xml:space="preserve"> </v>
      </c>
      <c r="U455" s="245" t="str">
        <f t="shared" si="51"/>
        <v xml:space="preserve"> </v>
      </c>
      <c r="V455" s="208">
        <f>SUM($N$10:$U455)</f>
        <v>0</v>
      </c>
      <c r="W455" s="208">
        <f>VLOOKUP(V455,Calcs!$Q$4:$R$24,2,TRUE)</f>
        <v>0</v>
      </c>
      <c r="X455" s="435" t="str">
        <f t="shared" si="48"/>
        <v>No</v>
      </c>
      <c r="Y455" s="436"/>
      <c r="Z455" s="435">
        <f t="shared" si="49"/>
        <v>0</v>
      </c>
      <c r="AA455" s="245" t="str">
        <f>IF(AND(X455="Yes",NOT(ISBLANK(Z455))),VLOOKUP(Z455,Calcs!$Y$48:$Z$57,2,TRUE)," ")</f>
        <v xml:space="preserve"> </v>
      </c>
    </row>
    <row r="456" spans="1:27" x14ac:dyDescent="0.2">
      <c r="A456" s="425">
        <f t="shared" si="50"/>
        <v>482</v>
      </c>
      <c r="B456" s="425" t="str">
        <f t="shared" si="46"/>
        <v>Winter</v>
      </c>
      <c r="C456" s="247">
        <f>IF(B456="Winter",A456-('Start Character'!$K$6)-1,IF('Start Character'!$K$7&gt;6,A456-('Start Character'!$K$6)-1,A456-('Start Character'!$K$6)))</f>
        <v>481</v>
      </c>
      <c r="D456" s="247">
        <f t="shared" si="47"/>
        <v>481</v>
      </c>
      <c r="E456" s="246"/>
      <c r="F456" s="83"/>
      <c r="G456" s="83"/>
      <c r="H456" s="246"/>
      <c r="I456" s="433"/>
      <c r="J456" s="254">
        <f>IF(ISBLANK(I456),0,ROUNDUP(D456/10,0)-E456-H456-F456-G456+VLOOKUP($D$2,Calcs!$A$23:$B$27,2,FALSE)+I456)</f>
        <v>0</v>
      </c>
      <c r="K456" s="245" t="str">
        <f>IF(ISBLANK(I456)," ",VLOOKUP(J456,Calcs!$A$82:$H$106,2,TRUE))</f>
        <v xml:space="preserve"> </v>
      </c>
      <c r="L456" s="245">
        <f>IF(ISBLANK(I456),0,VLOOKUP(J456,Calcs!$A$82:$F$106,5,TRUE))</f>
        <v>0</v>
      </c>
      <c r="M456" s="208">
        <f>IF(J456=13,IF(ISNUMBER(W455),VLOOKUP(W455+1,Calcs!$O$4:$Q$24,3,TRUE)-V455,5),IF(J456&lt;10,0,IF(J456&lt;18,1,IF(J456&lt;22,2,IF(ISNUMBER(W455),VLOOKUP(W455+1,Calcs!$O$4:$Q$24,3,TRUE)-V455,5)))))</f>
        <v>0</v>
      </c>
      <c r="N456" s="245" t="str">
        <f t="shared" si="51"/>
        <v xml:space="preserve"> </v>
      </c>
      <c r="O456" s="245" t="str">
        <f t="shared" si="51"/>
        <v xml:space="preserve"> </v>
      </c>
      <c r="P456" s="245" t="str">
        <f t="shared" si="51"/>
        <v xml:space="preserve"> </v>
      </c>
      <c r="Q456" s="245" t="str">
        <f t="shared" ref="N456:U488" si="52">IF(ISERROR(FIND(Q$9,$K456))," ",1)</f>
        <v xml:space="preserve"> </v>
      </c>
      <c r="R456" s="245" t="str">
        <f t="shared" si="52"/>
        <v xml:space="preserve"> </v>
      </c>
      <c r="S456" s="245" t="str">
        <f t="shared" si="52"/>
        <v xml:space="preserve"> </v>
      </c>
      <c r="T456" s="245" t="str">
        <f t="shared" si="52"/>
        <v xml:space="preserve"> </v>
      </c>
      <c r="U456" s="245" t="str">
        <f t="shared" si="52"/>
        <v xml:space="preserve"> </v>
      </c>
      <c r="V456" s="208">
        <f>SUM($N$10:$U456)</f>
        <v>0</v>
      </c>
      <c r="W456" s="208">
        <f>VLOOKUP(V456,Calcs!$Q$4:$R$24,2,TRUE)</f>
        <v>0</v>
      </c>
      <c r="X456" s="435" t="str">
        <f t="shared" si="48"/>
        <v>No</v>
      </c>
      <c r="Y456" s="436"/>
      <c r="Z456" s="435">
        <f t="shared" si="49"/>
        <v>0</v>
      </c>
      <c r="AA456" s="245" t="str">
        <f>IF(AND(X456="Yes",NOT(ISBLANK(Z456))),VLOOKUP(Z456,Calcs!$Y$48:$Z$57,2,TRUE)," ")</f>
        <v xml:space="preserve"> </v>
      </c>
    </row>
    <row r="457" spans="1:27" x14ac:dyDescent="0.2">
      <c r="A457" s="425">
        <f t="shared" si="50"/>
        <v>483</v>
      </c>
      <c r="B457" s="425" t="str">
        <f t="shared" si="46"/>
        <v>Winter</v>
      </c>
      <c r="C457" s="247">
        <f>IF(B457="Winter",A457-('Start Character'!$K$6)-1,IF('Start Character'!$K$7&gt;6,A457-('Start Character'!$K$6)-1,A457-('Start Character'!$K$6)))</f>
        <v>482</v>
      </c>
      <c r="D457" s="247">
        <f t="shared" si="47"/>
        <v>482</v>
      </c>
      <c r="E457" s="246"/>
      <c r="F457" s="83"/>
      <c r="G457" s="83"/>
      <c r="H457" s="246"/>
      <c r="I457" s="433"/>
      <c r="J457" s="254">
        <f>IF(ISBLANK(I457),0,ROUNDUP(D457/10,0)-E457-H457-F457-G457+VLOOKUP($D$2,Calcs!$A$23:$B$27,2,FALSE)+I457)</f>
        <v>0</v>
      </c>
      <c r="K457" s="245" t="str">
        <f>IF(ISBLANK(I457)," ",VLOOKUP(J457,Calcs!$A$82:$H$106,2,TRUE))</f>
        <v xml:space="preserve"> </v>
      </c>
      <c r="L457" s="245">
        <f>IF(ISBLANK(I457),0,VLOOKUP(J457,Calcs!$A$82:$F$106,5,TRUE))</f>
        <v>0</v>
      </c>
      <c r="M457" s="208">
        <f>IF(J457=13,IF(ISNUMBER(W456),VLOOKUP(W456+1,Calcs!$O$4:$Q$24,3,TRUE)-V456,5),IF(J457&lt;10,0,IF(J457&lt;18,1,IF(J457&lt;22,2,IF(ISNUMBER(W456),VLOOKUP(W456+1,Calcs!$O$4:$Q$24,3,TRUE)-V456,5)))))</f>
        <v>0</v>
      </c>
      <c r="N457" s="245" t="str">
        <f t="shared" si="52"/>
        <v xml:space="preserve"> </v>
      </c>
      <c r="O457" s="245" t="str">
        <f t="shared" si="52"/>
        <v xml:space="preserve"> </v>
      </c>
      <c r="P457" s="245" t="str">
        <f t="shared" si="52"/>
        <v xml:space="preserve"> </v>
      </c>
      <c r="Q457" s="245" t="str">
        <f t="shared" si="52"/>
        <v xml:space="preserve"> </v>
      </c>
      <c r="R457" s="245" t="str">
        <f t="shared" si="52"/>
        <v xml:space="preserve"> </v>
      </c>
      <c r="S457" s="245" t="str">
        <f t="shared" si="52"/>
        <v xml:space="preserve"> </v>
      </c>
      <c r="T457" s="245" t="str">
        <f t="shared" si="52"/>
        <v xml:space="preserve"> </v>
      </c>
      <c r="U457" s="245" t="str">
        <f t="shared" si="52"/>
        <v xml:space="preserve"> </v>
      </c>
      <c r="V457" s="208">
        <f>SUM($N$10:$U457)</f>
        <v>0</v>
      </c>
      <c r="W457" s="208">
        <f>VLOOKUP(V457,Calcs!$Q$4:$R$24,2,TRUE)</f>
        <v>0</v>
      </c>
      <c r="X457" s="435" t="str">
        <f t="shared" si="48"/>
        <v>No</v>
      </c>
      <c r="Y457" s="436"/>
      <c r="Z457" s="435">
        <f t="shared" si="49"/>
        <v>0</v>
      </c>
      <c r="AA457" s="245" t="str">
        <f>IF(AND(X457="Yes",NOT(ISBLANK(Z457))),VLOOKUP(Z457,Calcs!$Y$48:$Z$57,2,TRUE)," ")</f>
        <v xml:space="preserve"> </v>
      </c>
    </row>
    <row r="458" spans="1:27" x14ac:dyDescent="0.2">
      <c r="A458" s="425">
        <f t="shared" si="50"/>
        <v>484</v>
      </c>
      <c r="B458" s="425" t="str">
        <f t="shared" si="46"/>
        <v>Winter</v>
      </c>
      <c r="C458" s="247">
        <f>IF(B458="Winter",A458-('Start Character'!$K$6)-1,IF('Start Character'!$K$7&gt;6,A458-('Start Character'!$K$6)-1,A458-('Start Character'!$K$6)))</f>
        <v>483</v>
      </c>
      <c r="D458" s="247">
        <f t="shared" si="47"/>
        <v>483</v>
      </c>
      <c r="E458" s="246"/>
      <c r="F458" s="83"/>
      <c r="G458" s="83"/>
      <c r="H458" s="246"/>
      <c r="I458" s="433"/>
      <c r="J458" s="254">
        <f>IF(ISBLANK(I458),0,ROUNDUP(D458/10,0)-E458-H458-F458-G458+VLOOKUP($D$2,Calcs!$A$23:$B$27,2,FALSE)+I458)</f>
        <v>0</v>
      </c>
      <c r="K458" s="245" t="str">
        <f>IF(ISBLANK(I458)," ",VLOOKUP(J458,Calcs!$A$82:$H$106,2,TRUE))</f>
        <v xml:space="preserve"> </v>
      </c>
      <c r="L458" s="245">
        <f>IF(ISBLANK(I458),0,VLOOKUP(J458,Calcs!$A$82:$F$106,5,TRUE))</f>
        <v>0</v>
      </c>
      <c r="M458" s="208">
        <f>IF(J458=13,IF(ISNUMBER(W457),VLOOKUP(W457+1,Calcs!$O$4:$Q$24,3,TRUE)-V457,5),IF(J458&lt;10,0,IF(J458&lt;18,1,IF(J458&lt;22,2,IF(ISNUMBER(W457),VLOOKUP(W457+1,Calcs!$O$4:$Q$24,3,TRUE)-V457,5)))))</f>
        <v>0</v>
      </c>
      <c r="N458" s="245" t="str">
        <f t="shared" si="52"/>
        <v xml:space="preserve"> </v>
      </c>
      <c r="O458" s="245" t="str">
        <f t="shared" si="52"/>
        <v xml:space="preserve"> </v>
      </c>
      <c r="P458" s="245" t="str">
        <f t="shared" si="52"/>
        <v xml:space="preserve"> </v>
      </c>
      <c r="Q458" s="245" t="str">
        <f t="shared" si="52"/>
        <v xml:space="preserve"> </v>
      </c>
      <c r="R458" s="245" t="str">
        <f t="shared" si="52"/>
        <v xml:space="preserve"> </v>
      </c>
      <c r="S458" s="245" t="str">
        <f t="shared" si="52"/>
        <v xml:space="preserve"> </v>
      </c>
      <c r="T458" s="245" t="str">
        <f t="shared" si="52"/>
        <v xml:space="preserve"> </v>
      </c>
      <c r="U458" s="245" t="str">
        <f t="shared" si="52"/>
        <v xml:space="preserve"> </v>
      </c>
      <c r="V458" s="208">
        <f>SUM($N$10:$U458)</f>
        <v>0</v>
      </c>
      <c r="W458" s="208">
        <f>VLOOKUP(V458,Calcs!$Q$4:$R$24,2,TRUE)</f>
        <v>0</v>
      </c>
      <c r="X458" s="435" t="str">
        <f t="shared" si="48"/>
        <v>No</v>
      </c>
      <c r="Y458" s="436"/>
      <c r="Z458" s="435">
        <f t="shared" si="49"/>
        <v>0</v>
      </c>
      <c r="AA458" s="245" t="str">
        <f>IF(AND(X458="Yes",NOT(ISBLANK(Z458))),VLOOKUP(Z458,Calcs!$Y$48:$Z$57,2,TRUE)," ")</f>
        <v xml:space="preserve"> </v>
      </c>
    </row>
    <row r="459" spans="1:27" x14ac:dyDescent="0.2">
      <c r="A459" s="425">
        <f t="shared" si="50"/>
        <v>485</v>
      </c>
      <c r="B459" s="425" t="str">
        <f t="shared" ref="B459:B488" si="53">IF(AND($D$2="Age Quickly",B458="Winter"),"Summer","Winter")</f>
        <v>Winter</v>
      </c>
      <c r="C459" s="247">
        <f>IF(B459="Winter",A459-('Start Character'!$K$6)-1,IF('Start Character'!$K$7&gt;6,A459-('Start Character'!$K$6)-1,A459-('Start Character'!$K$6)))</f>
        <v>484</v>
      </c>
      <c r="D459" s="247">
        <f t="shared" ref="D459:D488" si="54">IF($D$2="Age Quickly",IF(C458=C459,(C459*2)+1,C459*2),C459)</f>
        <v>484</v>
      </c>
      <c r="E459" s="246"/>
      <c r="F459" s="83"/>
      <c r="G459" s="83"/>
      <c r="H459" s="246"/>
      <c r="I459" s="433"/>
      <c r="J459" s="254">
        <f>IF(ISBLANK(I459),0,ROUNDUP(D459/10,0)-E459-H459-F459-G459+VLOOKUP($D$2,Calcs!$A$23:$B$27,2,FALSE)+I459)</f>
        <v>0</v>
      </c>
      <c r="K459" s="245" t="str">
        <f>IF(ISBLANK(I459)," ",VLOOKUP(J459,Calcs!$A$82:$H$106,2,TRUE))</f>
        <v xml:space="preserve"> </v>
      </c>
      <c r="L459" s="245">
        <f>IF(ISBLANK(I459),0,VLOOKUP(J459,Calcs!$A$82:$F$106,5,TRUE))</f>
        <v>0</v>
      </c>
      <c r="M459" s="208">
        <f>IF(J459=13,IF(ISNUMBER(W458),VLOOKUP(W458+1,Calcs!$O$4:$Q$24,3,TRUE)-V458,5),IF(J459&lt;10,0,IF(J459&lt;18,1,IF(J459&lt;22,2,IF(ISNUMBER(W458),VLOOKUP(W458+1,Calcs!$O$4:$Q$24,3,TRUE)-V458,5)))))</f>
        <v>0</v>
      </c>
      <c r="N459" s="245" t="str">
        <f t="shared" si="52"/>
        <v xml:space="preserve"> </v>
      </c>
      <c r="O459" s="245" t="str">
        <f t="shared" si="52"/>
        <v xml:space="preserve"> </v>
      </c>
      <c r="P459" s="245" t="str">
        <f t="shared" si="52"/>
        <v xml:space="preserve"> </v>
      </c>
      <c r="Q459" s="245" t="str">
        <f t="shared" si="52"/>
        <v xml:space="preserve"> </v>
      </c>
      <c r="R459" s="245" t="str">
        <f t="shared" si="52"/>
        <v xml:space="preserve"> </v>
      </c>
      <c r="S459" s="245" t="str">
        <f t="shared" si="52"/>
        <v xml:space="preserve"> </v>
      </c>
      <c r="T459" s="245" t="str">
        <f t="shared" si="52"/>
        <v xml:space="preserve"> </v>
      </c>
      <c r="U459" s="245" t="str">
        <f t="shared" si="52"/>
        <v xml:space="preserve"> </v>
      </c>
      <c r="V459" s="208">
        <f>SUM($N$10:$U459)</f>
        <v>0</v>
      </c>
      <c r="W459" s="208">
        <f>VLOOKUP(V459,Calcs!$Q$4:$R$24,2,TRUE)</f>
        <v>0</v>
      </c>
      <c r="X459" s="435" t="str">
        <f t="shared" ref="X459:X488" si="55">IF(ISERROR(FIND("Crisis",K459)),"No","Yes")</f>
        <v>No</v>
      </c>
      <c r="Y459" s="436"/>
      <c r="Z459" s="435">
        <f t="shared" ref="Z459:Z488" si="56">IF(ISBLANK(Y459),0,ROUNDUP(D459/10,0)+W459+Y459)</f>
        <v>0</v>
      </c>
      <c r="AA459" s="245" t="str">
        <f>IF(AND(X459="Yes",NOT(ISBLANK(Z459))),VLOOKUP(Z459,Calcs!$Y$48:$Z$57,2,TRUE)," ")</f>
        <v xml:space="preserve"> </v>
      </c>
    </row>
    <row r="460" spans="1:27" x14ac:dyDescent="0.2">
      <c r="A460" s="425">
        <f t="shared" ref="A460:A488" si="57">IF($D$2&lt;&gt;"Age Quickly",A459+1,IF(A459=A458,A459+1,A459))</f>
        <v>486</v>
      </c>
      <c r="B460" s="425" t="str">
        <f t="shared" si="53"/>
        <v>Winter</v>
      </c>
      <c r="C460" s="247">
        <f>IF(B460="Winter",A460-('Start Character'!$K$6)-1,IF('Start Character'!$K$7&gt;6,A460-('Start Character'!$K$6)-1,A460-('Start Character'!$K$6)))</f>
        <v>485</v>
      </c>
      <c r="D460" s="247">
        <f t="shared" si="54"/>
        <v>485</v>
      </c>
      <c r="E460" s="246"/>
      <c r="F460" s="83"/>
      <c r="G460" s="83"/>
      <c r="H460" s="246"/>
      <c r="I460" s="433"/>
      <c r="J460" s="254">
        <f>IF(ISBLANK(I460),0,ROUNDUP(D460/10,0)-E460-H460-F460-G460+VLOOKUP($D$2,Calcs!$A$23:$B$27,2,FALSE)+I460)</f>
        <v>0</v>
      </c>
      <c r="K460" s="245" t="str">
        <f>IF(ISBLANK(I460)," ",VLOOKUP(J460,Calcs!$A$82:$H$106,2,TRUE))</f>
        <v xml:space="preserve"> </v>
      </c>
      <c r="L460" s="245">
        <f>IF(ISBLANK(I460),0,VLOOKUP(J460,Calcs!$A$82:$F$106,5,TRUE))</f>
        <v>0</v>
      </c>
      <c r="M460" s="208">
        <f>IF(J460=13,IF(ISNUMBER(W459),VLOOKUP(W459+1,Calcs!$O$4:$Q$24,3,TRUE)-V459,5),IF(J460&lt;10,0,IF(J460&lt;18,1,IF(J460&lt;22,2,IF(ISNUMBER(W459),VLOOKUP(W459+1,Calcs!$O$4:$Q$24,3,TRUE)-V459,5)))))</f>
        <v>0</v>
      </c>
      <c r="N460" s="245" t="str">
        <f t="shared" si="52"/>
        <v xml:space="preserve"> </v>
      </c>
      <c r="O460" s="245" t="str">
        <f t="shared" si="52"/>
        <v xml:space="preserve"> </v>
      </c>
      <c r="P460" s="245" t="str">
        <f t="shared" si="52"/>
        <v xml:space="preserve"> </v>
      </c>
      <c r="Q460" s="245" t="str">
        <f t="shared" si="52"/>
        <v xml:space="preserve"> </v>
      </c>
      <c r="R460" s="245" t="str">
        <f t="shared" si="52"/>
        <v xml:space="preserve"> </v>
      </c>
      <c r="S460" s="245" t="str">
        <f t="shared" si="52"/>
        <v xml:space="preserve"> </v>
      </c>
      <c r="T460" s="245" t="str">
        <f t="shared" si="52"/>
        <v xml:space="preserve"> </v>
      </c>
      <c r="U460" s="245" t="str">
        <f t="shared" si="52"/>
        <v xml:space="preserve"> </v>
      </c>
      <c r="V460" s="208">
        <f>SUM($N$10:$U460)</f>
        <v>0</v>
      </c>
      <c r="W460" s="208">
        <f>VLOOKUP(V460,Calcs!$Q$4:$R$24,2,TRUE)</f>
        <v>0</v>
      </c>
      <c r="X460" s="435" t="str">
        <f t="shared" si="55"/>
        <v>No</v>
      </c>
      <c r="Y460" s="436"/>
      <c r="Z460" s="435">
        <f t="shared" si="56"/>
        <v>0</v>
      </c>
      <c r="AA460" s="245" t="str">
        <f>IF(AND(X460="Yes",NOT(ISBLANK(Z460))),VLOOKUP(Z460,Calcs!$Y$48:$Z$57,2,TRUE)," ")</f>
        <v xml:space="preserve"> </v>
      </c>
    </row>
    <row r="461" spans="1:27" x14ac:dyDescent="0.2">
      <c r="A461" s="425">
        <f t="shared" si="57"/>
        <v>487</v>
      </c>
      <c r="B461" s="425" t="str">
        <f t="shared" si="53"/>
        <v>Winter</v>
      </c>
      <c r="C461" s="247">
        <f>IF(B461="Winter",A461-('Start Character'!$K$6)-1,IF('Start Character'!$K$7&gt;6,A461-('Start Character'!$K$6)-1,A461-('Start Character'!$K$6)))</f>
        <v>486</v>
      </c>
      <c r="D461" s="247">
        <f t="shared" si="54"/>
        <v>486</v>
      </c>
      <c r="E461" s="246"/>
      <c r="F461" s="83"/>
      <c r="G461" s="83"/>
      <c r="H461" s="246"/>
      <c r="I461" s="433"/>
      <c r="J461" s="254">
        <f>IF(ISBLANK(I461),0,ROUNDUP(D461/10,0)-E461-H461-F461-G461+VLOOKUP($D$2,Calcs!$A$23:$B$27,2,FALSE)+I461)</f>
        <v>0</v>
      </c>
      <c r="K461" s="245" t="str">
        <f>IF(ISBLANK(I461)," ",VLOOKUP(J461,Calcs!$A$82:$H$106,2,TRUE))</f>
        <v xml:space="preserve"> </v>
      </c>
      <c r="L461" s="245">
        <f>IF(ISBLANK(I461),0,VLOOKUP(J461,Calcs!$A$82:$F$106,5,TRUE))</f>
        <v>0</v>
      </c>
      <c r="M461" s="208">
        <f>IF(J461=13,IF(ISNUMBER(W460),VLOOKUP(W460+1,Calcs!$O$4:$Q$24,3,TRUE)-V460,5),IF(J461&lt;10,0,IF(J461&lt;18,1,IF(J461&lt;22,2,IF(ISNUMBER(W460),VLOOKUP(W460+1,Calcs!$O$4:$Q$24,3,TRUE)-V460,5)))))</f>
        <v>0</v>
      </c>
      <c r="N461" s="245" t="str">
        <f t="shared" si="52"/>
        <v xml:space="preserve"> </v>
      </c>
      <c r="O461" s="245" t="str">
        <f t="shared" si="52"/>
        <v xml:space="preserve"> </v>
      </c>
      <c r="P461" s="245" t="str">
        <f t="shared" si="52"/>
        <v xml:space="preserve"> </v>
      </c>
      <c r="Q461" s="245" t="str">
        <f t="shared" si="52"/>
        <v xml:space="preserve"> </v>
      </c>
      <c r="R461" s="245" t="str">
        <f t="shared" si="52"/>
        <v xml:space="preserve"> </v>
      </c>
      <c r="S461" s="245" t="str">
        <f t="shared" si="52"/>
        <v xml:space="preserve"> </v>
      </c>
      <c r="T461" s="245" t="str">
        <f t="shared" si="52"/>
        <v xml:space="preserve"> </v>
      </c>
      <c r="U461" s="245" t="str">
        <f t="shared" si="52"/>
        <v xml:space="preserve"> </v>
      </c>
      <c r="V461" s="208">
        <f>SUM($N$10:$U461)</f>
        <v>0</v>
      </c>
      <c r="W461" s="208">
        <f>VLOOKUP(V461,Calcs!$Q$4:$R$24,2,TRUE)</f>
        <v>0</v>
      </c>
      <c r="X461" s="435" t="str">
        <f t="shared" si="55"/>
        <v>No</v>
      </c>
      <c r="Y461" s="436"/>
      <c r="Z461" s="435">
        <f t="shared" si="56"/>
        <v>0</v>
      </c>
      <c r="AA461" s="245" t="str">
        <f>IF(AND(X461="Yes",NOT(ISBLANK(Z461))),VLOOKUP(Z461,Calcs!$Y$48:$Z$57,2,TRUE)," ")</f>
        <v xml:space="preserve"> </v>
      </c>
    </row>
    <row r="462" spans="1:27" x14ac:dyDescent="0.2">
      <c r="A462" s="425">
        <f t="shared" si="57"/>
        <v>488</v>
      </c>
      <c r="B462" s="425" t="str">
        <f t="shared" si="53"/>
        <v>Winter</v>
      </c>
      <c r="C462" s="247">
        <f>IF(B462="Winter",A462-('Start Character'!$K$6)-1,IF('Start Character'!$K$7&gt;6,A462-('Start Character'!$K$6)-1,A462-('Start Character'!$K$6)))</f>
        <v>487</v>
      </c>
      <c r="D462" s="247">
        <f t="shared" si="54"/>
        <v>487</v>
      </c>
      <c r="E462" s="246"/>
      <c r="F462" s="83"/>
      <c r="G462" s="83"/>
      <c r="H462" s="246"/>
      <c r="I462" s="433"/>
      <c r="J462" s="254">
        <f>IF(ISBLANK(I462),0,ROUNDUP(D462/10,0)-E462-H462-F462-G462+VLOOKUP($D$2,Calcs!$A$23:$B$27,2,FALSE)+I462)</f>
        <v>0</v>
      </c>
      <c r="K462" s="245" t="str">
        <f>IF(ISBLANK(I462)," ",VLOOKUP(J462,Calcs!$A$82:$H$106,2,TRUE))</f>
        <v xml:space="preserve"> </v>
      </c>
      <c r="L462" s="245">
        <f>IF(ISBLANK(I462),0,VLOOKUP(J462,Calcs!$A$82:$F$106,5,TRUE))</f>
        <v>0</v>
      </c>
      <c r="M462" s="208">
        <f>IF(J462=13,IF(ISNUMBER(W461),VLOOKUP(W461+1,Calcs!$O$4:$Q$24,3,TRUE)-V461,5),IF(J462&lt;10,0,IF(J462&lt;18,1,IF(J462&lt;22,2,IF(ISNUMBER(W461),VLOOKUP(W461+1,Calcs!$O$4:$Q$24,3,TRUE)-V461,5)))))</f>
        <v>0</v>
      </c>
      <c r="N462" s="245" t="str">
        <f t="shared" si="52"/>
        <v xml:space="preserve"> </v>
      </c>
      <c r="O462" s="245" t="str">
        <f t="shared" si="52"/>
        <v xml:space="preserve"> </v>
      </c>
      <c r="P462" s="245" t="str">
        <f t="shared" si="52"/>
        <v xml:space="preserve"> </v>
      </c>
      <c r="Q462" s="245" t="str">
        <f t="shared" si="52"/>
        <v xml:space="preserve"> </v>
      </c>
      <c r="R462" s="245" t="str">
        <f t="shared" si="52"/>
        <v xml:space="preserve"> </v>
      </c>
      <c r="S462" s="245" t="str">
        <f t="shared" si="52"/>
        <v xml:space="preserve"> </v>
      </c>
      <c r="T462" s="245" t="str">
        <f t="shared" si="52"/>
        <v xml:space="preserve"> </v>
      </c>
      <c r="U462" s="245" t="str">
        <f t="shared" si="52"/>
        <v xml:space="preserve"> </v>
      </c>
      <c r="V462" s="208">
        <f>SUM($N$10:$U462)</f>
        <v>0</v>
      </c>
      <c r="W462" s="208">
        <f>VLOOKUP(V462,Calcs!$Q$4:$R$24,2,TRUE)</f>
        <v>0</v>
      </c>
      <c r="X462" s="435" t="str">
        <f t="shared" si="55"/>
        <v>No</v>
      </c>
      <c r="Y462" s="436"/>
      <c r="Z462" s="435">
        <f t="shared" si="56"/>
        <v>0</v>
      </c>
      <c r="AA462" s="245" t="str">
        <f>IF(AND(X462="Yes",NOT(ISBLANK(Z462))),VLOOKUP(Z462,Calcs!$Y$48:$Z$57,2,TRUE)," ")</f>
        <v xml:space="preserve"> </v>
      </c>
    </row>
    <row r="463" spans="1:27" x14ac:dyDescent="0.2">
      <c r="A463" s="425">
        <f t="shared" si="57"/>
        <v>489</v>
      </c>
      <c r="B463" s="425" t="str">
        <f t="shared" si="53"/>
        <v>Winter</v>
      </c>
      <c r="C463" s="247">
        <f>IF(B463="Winter",A463-('Start Character'!$K$6)-1,IF('Start Character'!$K$7&gt;6,A463-('Start Character'!$K$6)-1,A463-('Start Character'!$K$6)))</f>
        <v>488</v>
      </c>
      <c r="D463" s="247">
        <f t="shared" si="54"/>
        <v>488</v>
      </c>
      <c r="E463" s="246"/>
      <c r="F463" s="83"/>
      <c r="G463" s="83"/>
      <c r="H463" s="246"/>
      <c r="I463" s="433"/>
      <c r="J463" s="254">
        <f>IF(ISBLANK(I463),0,ROUNDUP(D463/10,0)-E463-H463-F463-G463+VLOOKUP($D$2,Calcs!$A$23:$B$27,2,FALSE)+I463)</f>
        <v>0</v>
      </c>
      <c r="K463" s="245" t="str">
        <f>IF(ISBLANK(I463)," ",VLOOKUP(J463,Calcs!$A$82:$H$106,2,TRUE))</f>
        <v xml:space="preserve"> </v>
      </c>
      <c r="L463" s="245">
        <f>IF(ISBLANK(I463),0,VLOOKUP(J463,Calcs!$A$82:$F$106,5,TRUE))</f>
        <v>0</v>
      </c>
      <c r="M463" s="208">
        <f>IF(J463=13,IF(ISNUMBER(W462),VLOOKUP(W462+1,Calcs!$O$4:$Q$24,3,TRUE)-V462,5),IF(J463&lt;10,0,IF(J463&lt;18,1,IF(J463&lt;22,2,IF(ISNUMBER(W462),VLOOKUP(W462+1,Calcs!$O$4:$Q$24,3,TRUE)-V462,5)))))</f>
        <v>0</v>
      </c>
      <c r="N463" s="245" t="str">
        <f t="shared" si="52"/>
        <v xml:space="preserve"> </v>
      </c>
      <c r="O463" s="245" t="str">
        <f t="shared" si="52"/>
        <v xml:space="preserve"> </v>
      </c>
      <c r="P463" s="245" t="str">
        <f t="shared" si="52"/>
        <v xml:space="preserve"> </v>
      </c>
      <c r="Q463" s="245" t="str">
        <f t="shared" si="52"/>
        <v xml:space="preserve"> </v>
      </c>
      <c r="R463" s="245" t="str">
        <f t="shared" si="52"/>
        <v xml:space="preserve"> </v>
      </c>
      <c r="S463" s="245" t="str">
        <f t="shared" si="52"/>
        <v xml:space="preserve"> </v>
      </c>
      <c r="T463" s="245" t="str">
        <f t="shared" si="52"/>
        <v xml:space="preserve"> </v>
      </c>
      <c r="U463" s="245" t="str">
        <f t="shared" si="52"/>
        <v xml:space="preserve"> </v>
      </c>
      <c r="V463" s="208">
        <f>SUM($N$10:$U463)</f>
        <v>0</v>
      </c>
      <c r="W463" s="208">
        <f>VLOOKUP(V463,Calcs!$Q$4:$R$24,2,TRUE)</f>
        <v>0</v>
      </c>
      <c r="X463" s="435" t="str">
        <f t="shared" si="55"/>
        <v>No</v>
      </c>
      <c r="Y463" s="436"/>
      <c r="Z463" s="435">
        <f t="shared" si="56"/>
        <v>0</v>
      </c>
      <c r="AA463" s="245" t="str">
        <f>IF(AND(X463="Yes",NOT(ISBLANK(Z463))),VLOOKUP(Z463,Calcs!$Y$48:$Z$57,2,TRUE)," ")</f>
        <v xml:space="preserve"> </v>
      </c>
    </row>
    <row r="464" spans="1:27" x14ac:dyDescent="0.2">
      <c r="A464" s="425">
        <f t="shared" si="57"/>
        <v>490</v>
      </c>
      <c r="B464" s="425" t="str">
        <f t="shared" si="53"/>
        <v>Winter</v>
      </c>
      <c r="C464" s="247">
        <f>IF(B464="Winter",A464-('Start Character'!$K$6)-1,IF('Start Character'!$K$7&gt;6,A464-('Start Character'!$K$6)-1,A464-('Start Character'!$K$6)))</f>
        <v>489</v>
      </c>
      <c r="D464" s="247">
        <f t="shared" si="54"/>
        <v>489</v>
      </c>
      <c r="E464" s="246"/>
      <c r="F464" s="83"/>
      <c r="G464" s="83"/>
      <c r="H464" s="246"/>
      <c r="I464" s="433"/>
      <c r="J464" s="254">
        <f>IF(ISBLANK(I464),0,ROUNDUP(D464/10,0)-E464-H464-F464-G464+VLOOKUP($D$2,Calcs!$A$23:$B$27,2,FALSE)+I464)</f>
        <v>0</v>
      </c>
      <c r="K464" s="245" t="str">
        <f>IF(ISBLANK(I464)," ",VLOOKUP(J464,Calcs!$A$82:$H$106,2,TRUE))</f>
        <v xml:space="preserve"> </v>
      </c>
      <c r="L464" s="245">
        <f>IF(ISBLANK(I464),0,VLOOKUP(J464,Calcs!$A$82:$F$106,5,TRUE))</f>
        <v>0</v>
      </c>
      <c r="M464" s="208">
        <f>IF(J464=13,IF(ISNUMBER(W463),VLOOKUP(W463+1,Calcs!$O$4:$Q$24,3,TRUE)-V463,5),IF(J464&lt;10,0,IF(J464&lt;18,1,IF(J464&lt;22,2,IF(ISNUMBER(W463),VLOOKUP(W463+1,Calcs!$O$4:$Q$24,3,TRUE)-V463,5)))))</f>
        <v>0</v>
      </c>
      <c r="N464" s="245" t="str">
        <f t="shared" si="52"/>
        <v xml:space="preserve"> </v>
      </c>
      <c r="O464" s="245" t="str">
        <f t="shared" si="52"/>
        <v xml:space="preserve"> </v>
      </c>
      <c r="P464" s="245" t="str">
        <f t="shared" si="52"/>
        <v xml:space="preserve"> </v>
      </c>
      <c r="Q464" s="245" t="str">
        <f t="shared" si="52"/>
        <v xml:space="preserve"> </v>
      </c>
      <c r="R464" s="245" t="str">
        <f t="shared" si="52"/>
        <v xml:space="preserve"> </v>
      </c>
      <c r="S464" s="245" t="str">
        <f t="shared" si="52"/>
        <v xml:space="preserve"> </v>
      </c>
      <c r="T464" s="245" t="str">
        <f t="shared" si="52"/>
        <v xml:space="preserve"> </v>
      </c>
      <c r="U464" s="245" t="str">
        <f t="shared" si="52"/>
        <v xml:space="preserve"> </v>
      </c>
      <c r="V464" s="208">
        <f>SUM($N$10:$U464)</f>
        <v>0</v>
      </c>
      <c r="W464" s="208">
        <f>VLOOKUP(V464,Calcs!$Q$4:$R$24,2,TRUE)</f>
        <v>0</v>
      </c>
      <c r="X464" s="435" t="str">
        <f t="shared" si="55"/>
        <v>No</v>
      </c>
      <c r="Y464" s="436"/>
      <c r="Z464" s="435">
        <f t="shared" si="56"/>
        <v>0</v>
      </c>
      <c r="AA464" s="245" t="str">
        <f>IF(AND(X464="Yes",NOT(ISBLANK(Z464))),VLOOKUP(Z464,Calcs!$Y$48:$Z$57,2,TRUE)," ")</f>
        <v xml:space="preserve"> </v>
      </c>
    </row>
    <row r="465" spans="1:27" x14ac:dyDescent="0.2">
      <c r="A465" s="425">
        <f t="shared" si="57"/>
        <v>491</v>
      </c>
      <c r="B465" s="425" t="str">
        <f t="shared" si="53"/>
        <v>Winter</v>
      </c>
      <c r="C465" s="247">
        <f>IF(B465="Winter",A465-('Start Character'!$K$6)-1,IF('Start Character'!$K$7&gt;6,A465-('Start Character'!$K$6)-1,A465-('Start Character'!$K$6)))</f>
        <v>490</v>
      </c>
      <c r="D465" s="247">
        <f t="shared" si="54"/>
        <v>490</v>
      </c>
      <c r="E465" s="246"/>
      <c r="F465" s="83"/>
      <c r="G465" s="83"/>
      <c r="H465" s="246"/>
      <c r="I465" s="433"/>
      <c r="J465" s="254">
        <f>IF(ISBLANK(I465),0,ROUNDUP(D465/10,0)-E465-H465-F465-G465+VLOOKUP($D$2,Calcs!$A$23:$B$27,2,FALSE)+I465)</f>
        <v>0</v>
      </c>
      <c r="K465" s="245" t="str">
        <f>IF(ISBLANK(I465)," ",VLOOKUP(J465,Calcs!$A$82:$H$106,2,TRUE))</f>
        <v xml:space="preserve"> </v>
      </c>
      <c r="L465" s="245">
        <f>IF(ISBLANK(I465),0,VLOOKUP(J465,Calcs!$A$82:$F$106,5,TRUE))</f>
        <v>0</v>
      </c>
      <c r="M465" s="208">
        <f>IF(J465=13,IF(ISNUMBER(W464),VLOOKUP(W464+1,Calcs!$O$4:$Q$24,3,TRUE)-V464,5),IF(J465&lt;10,0,IF(J465&lt;18,1,IF(J465&lt;22,2,IF(ISNUMBER(W464),VLOOKUP(W464+1,Calcs!$O$4:$Q$24,3,TRUE)-V464,5)))))</f>
        <v>0</v>
      </c>
      <c r="N465" s="245" t="str">
        <f t="shared" si="52"/>
        <v xml:space="preserve"> </v>
      </c>
      <c r="O465" s="245" t="str">
        <f t="shared" si="52"/>
        <v xml:space="preserve"> </v>
      </c>
      <c r="P465" s="245" t="str">
        <f t="shared" si="52"/>
        <v xml:space="preserve"> </v>
      </c>
      <c r="Q465" s="245" t="str">
        <f t="shared" si="52"/>
        <v xml:space="preserve"> </v>
      </c>
      <c r="R465" s="245" t="str">
        <f t="shared" si="52"/>
        <v xml:space="preserve"> </v>
      </c>
      <c r="S465" s="245" t="str">
        <f t="shared" si="52"/>
        <v xml:space="preserve"> </v>
      </c>
      <c r="T465" s="245" t="str">
        <f t="shared" si="52"/>
        <v xml:space="preserve"> </v>
      </c>
      <c r="U465" s="245" t="str">
        <f t="shared" si="52"/>
        <v xml:space="preserve"> </v>
      </c>
      <c r="V465" s="208">
        <f>SUM($N$10:$U465)</f>
        <v>0</v>
      </c>
      <c r="W465" s="208">
        <f>VLOOKUP(V465,Calcs!$Q$4:$R$24,2,TRUE)</f>
        <v>0</v>
      </c>
      <c r="X465" s="435" t="str">
        <f t="shared" si="55"/>
        <v>No</v>
      </c>
      <c r="Y465" s="436"/>
      <c r="Z465" s="435">
        <f t="shared" si="56"/>
        <v>0</v>
      </c>
      <c r="AA465" s="245" t="str">
        <f>IF(AND(X465="Yes",NOT(ISBLANK(Z465))),VLOOKUP(Z465,Calcs!$Y$48:$Z$57,2,TRUE)," ")</f>
        <v xml:space="preserve"> </v>
      </c>
    </row>
    <row r="466" spans="1:27" x14ac:dyDescent="0.2">
      <c r="A466" s="425">
        <f t="shared" si="57"/>
        <v>492</v>
      </c>
      <c r="B466" s="425" t="str">
        <f t="shared" si="53"/>
        <v>Winter</v>
      </c>
      <c r="C466" s="247">
        <f>IF(B466="Winter",A466-('Start Character'!$K$6)-1,IF('Start Character'!$K$7&gt;6,A466-('Start Character'!$K$6)-1,A466-('Start Character'!$K$6)))</f>
        <v>491</v>
      </c>
      <c r="D466" s="247">
        <f t="shared" si="54"/>
        <v>491</v>
      </c>
      <c r="E466" s="246"/>
      <c r="F466" s="83"/>
      <c r="G466" s="83"/>
      <c r="H466" s="246"/>
      <c r="I466" s="433"/>
      <c r="J466" s="254">
        <f>IF(ISBLANK(I466),0,ROUNDUP(D466/10,0)-E466-H466-F466-G466+VLOOKUP($D$2,Calcs!$A$23:$B$27,2,FALSE)+I466)</f>
        <v>0</v>
      </c>
      <c r="K466" s="245" t="str">
        <f>IF(ISBLANK(I466)," ",VLOOKUP(J466,Calcs!$A$82:$H$106,2,TRUE))</f>
        <v xml:space="preserve"> </v>
      </c>
      <c r="L466" s="245">
        <f>IF(ISBLANK(I466),0,VLOOKUP(J466,Calcs!$A$82:$F$106,5,TRUE))</f>
        <v>0</v>
      </c>
      <c r="M466" s="208">
        <f>IF(J466=13,IF(ISNUMBER(W465),VLOOKUP(W465+1,Calcs!$O$4:$Q$24,3,TRUE)-V465,5),IF(J466&lt;10,0,IF(J466&lt;18,1,IF(J466&lt;22,2,IF(ISNUMBER(W465),VLOOKUP(W465+1,Calcs!$O$4:$Q$24,3,TRUE)-V465,5)))))</f>
        <v>0</v>
      </c>
      <c r="N466" s="245" t="str">
        <f t="shared" si="52"/>
        <v xml:space="preserve"> </v>
      </c>
      <c r="O466" s="245" t="str">
        <f t="shared" si="52"/>
        <v xml:space="preserve"> </v>
      </c>
      <c r="P466" s="245" t="str">
        <f t="shared" si="52"/>
        <v xml:space="preserve"> </v>
      </c>
      <c r="Q466" s="245" t="str">
        <f t="shared" si="52"/>
        <v xml:space="preserve"> </v>
      </c>
      <c r="R466" s="245" t="str">
        <f t="shared" si="52"/>
        <v xml:space="preserve"> </v>
      </c>
      <c r="S466" s="245" t="str">
        <f t="shared" si="52"/>
        <v xml:space="preserve"> </v>
      </c>
      <c r="T466" s="245" t="str">
        <f t="shared" si="52"/>
        <v xml:space="preserve"> </v>
      </c>
      <c r="U466" s="245" t="str">
        <f t="shared" si="52"/>
        <v xml:space="preserve"> </v>
      </c>
      <c r="V466" s="208">
        <f>SUM($N$10:$U466)</f>
        <v>0</v>
      </c>
      <c r="W466" s="208">
        <f>VLOOKUP(V466,Calcs!$Q$4:$R$24,2,TRUE)</f>
        <v>0</v>
      </c>
      <c r="X466" s="435" t="str">
        <f t="shared" si="55"/>
        <v>No</v>
      </c>
      <c r="Y466" s="436"/>
      <c r="Z466" s="435">
        <f t="shared" si="56"/>
        <v>0</v>
      </c>
      <c r="AA466" s="245" t="str">
        <f>IF(AND(X466="Yes",NOT(ISBLANK(Z466))),VLOOKUP(Z466,Calcs!$Y$48:$Z$57,2,TRUE)," ")</f>
        <v xml:space="preserve"> </v>
      </c>
    </row>
    <row r="467" spans="1:27" x14ac:dyDescent="0.2">
      <c r="A467" s="425">
        <f t="shared" si="57"/>
        <v>493</v>
      </c>
      <c r="B467" s="425" t="str">
        <f t="shared" si="53"/>
        <v>Winter</v>
      </c>
      <c r="C467" s="247">
        <f>IF(B467="Winter",A467-('Start Character'!$K$6)-1,IF('Start Character'!$K$7&gt;6,A467-('Start Character'!$K$6)-1,A467-('Start Character'!$K$6)))</f>
        <v>492</v>
      </c>
      <c r="D467" s="247">
        <f t="shared" si="54"/>
        <v>492</v>
      </c>
      <c r="E467" s="246"/>
      <c r="F467" s="83"/>
      <c r="G467" s="83"/>
      <c r="H467" s="246"/>
      <c r="I467" s="433"/>
      <c r="J467" s="254">
        <f>IF(ISBLANK(I467),0,ROUNDUP(D467/10,0)-E467-H467-F467-G467+VLOOKUP($D$2,Calcs!$A$23:$B$27,2,FALSE)+I467)</f>
        <v>0</v>
      </c>
      <c r="K467" s="245" t="str">
        <f>IF(ISBLANK(I467)," ",VLOOKUP(J467,Calcs!$A$82:$H$106,2,TRUE))</f>
        <v xml:space="preserve"> </v>
      </c>
      <c r="L467" s="245">
        <f>IF(ISBLANK(I467),0,VLOOKUP(J467,Calcs!$A$82:$F$106,5,TRUE))</f>
        <v>0</v>
      </c>
      <c r="M467" s="208">
        <f>IF(J467=13,IF(ISNUMBER(W466),VLOOKUP(W466+1,Calcs!$O$4:$Q$24,3,TRUE)-V466,5),IF(J467&lt;10,0,IF(J467&lt;18,1,IF(J467&lt;22,2,IF(ISNUMBER(W466),VLOOKUP(W466+1,Calcs!$O$4:$Q$24,3,TRUE)-V466,5)))))</f>
        <v>0</v>
      </c>
      <c r="N467" s="245" t="str">
        <f t="shared" si="52"/>
        <v xml:space="preserve"> </v>
      </c>
      <c r="O467" s="245" t="str">
        <f t="shared" si="52"/>
        <v xml:space="preserve"> </v>
      </c>
      <c r="P467" s="245" t="str">
        <f t="shared" si="52"/>
        <v xml:space="preserve"> </v>
      </c>
      <c r="Q467" s="245" t="str">
        <f t="shared" si="52"/>
        <v xml:space="preserve"> </v>
      </c>
      <c r="R467" s="245" t="str">
        <f t="shared" si="52"/>
        <v xml:space="preserve"> </v>
      </c>
      <c r="S467" s="245" t="str">
        <f t="shared" si="52"/>
        <v xml:space="preserve"> </v>
      </c>
      <c r="T467" s="245" t="str">
        <f t="shared" si="52"/>
        <v xml:space="preserve"> </v>
      </c>
      <c r="U467" s="245" t="str">
        <f t="shared" si="52"/>
        <v xml:space="preserve"> </v>
      </c>
      <c r="V467" s="208">
        <f>SUM($N$10:$U467)</f>
        <v>0</v>
      </c>
      <c r="W467" s="208">
        <f>VLOOKUP(V467,Calcs!$Q$4:$R$24,2,TRUE)</f>
        <v>0</v>
      </c>
      <c r="X467" s="435" t="str">
        <f t="shared" si="55"/>
        <v>No</v>
      </c>
      <c r="Y467" s="436"/>
      <c r="Z467" s="435">
        <f t="shared" si="56"/>
        <v>0</v>
      </c>
      <c r="AA467" s="245" t="str">
        <f>IF(AND(X467="Yes",NOT(ISBLANK(Z467))),VLOOKUP(Z467,Calcs!$Y$48:$Z$57,2,TRUE)," ")</f>
        <v xml:space="preserve"> </v>
      </c>
    </row>
    <row r="468" spans="1:27" x14ac:dyDescent="0.2">
      <c r="A468" s="425">
        <f t="shared" si="57"/>
        <v>494</v>
      </c>
      <c r="B468" s="425" t="str">
        <f t="shared" si="53"/>
        <v>Winter</v>
      </c>
      <c r="C468" s="247">
        <f>IF(B468="Winter",A468-('Start Character'!$K$6)-1,IF('Start Character'!$K$7&gt;6,A468-('Start Character'!$K$6)-1,A468-('Start Character'!$K$6)))</f>
        <v>493</v>
      </c>
      <c r="D468" s="247">
        <f t="shared" si="54"/>
        <v>493</v>
      </c>
      <c r="E468" s="246"/>
      <c r="F468" s="83"/>
      <c r="G468" s="83"/>
      <c r="H468" s="246"/>
      <c r="I468" s="433"/>
      <c r="J468" s="254">
        <f>IF(ISBLANK(I468),0,ROUNDUP(D468/10,0)-E468-H468-F468-G468+VLOOKUP($D$2,Calcs!$A$23:$B$27,2,FALSE)+I468)</f>
        <v>0</v>
      </c>
      <c r="K468" s="245" t="str">
        <f>IF(ISBLANK(I468)," ",VLOOKUP(J468,Calcs!$A$82:$H$106,2,TRUE))</f>
        <v xml:space="preserve"> </v>
      </c>
      <c r="L468" s="245">
        <f>IF(ISBLANK(I468),0,VLOOKUP(J468,Calcs!$A$82:$F$106,5,TRUE))</f>
        <v>0</v>
      </c>
      <c r="M468" s="208">
        <f>IF(J468=13,IF(ISNUMBER(W467),VLOOKUP(W467+1,Calcs!$O$4:$Q$24,3,TRUE)-V467,5),IF(J468&lt;10,0,IF(J468&lt;18,1,IF(J468&lt;22,2,IF(ISNUMBER(W467),VLOOKUP(W467+1,Calcs!$O$4:$Q$24,3,TRUE)-V467,5)))))</f>
        <v>0</v>
      </c>
      <c r="N468" s="245" t="str">
        <f t="shared" si="52"/>
        <v xml:space="preserve"> </v>
      </c>
      <c r="O468" s="245" t="str">
        <f t="shared" si="52"/>
        <v xml:space="preserve"> </v>
      </c>
      <c r="P468" s="245" t="str">
        <f t="shared" si="52"/>
        <v xml:space="preserve"> </v>
      </c>
      <c r="Q468" s="245" t="str">
        <f t="shared" si="52"/>
        <v xml:space="preserve"> </v>
      </c>
      <c r="R468" s="245" t="str">
        <f t="shared" si="52"/>
        <v xml:space="preserve"> </v>
      </c>
      <c r="S468" s="245" t="str">
        <f t="shared" si="52"/>
        <v xml:space="preserve"> </v>
      </c>
      <c r="T468" s="245" t="str">
        <f t="shared" si="52"/>
        <v xml:space="preserve"> </v>
      </c>
      <c r="U468" s="245" t="str">
        <f t="shared" si="52"/>
        <v xml:space="preserve"> </v>
      </c>
      <c r="V468" s="208">
        <f>SUM($N$10:$U468)</f>
        <v>0</v>
      </c>
      <c r="W468" s="208">
        <f>VLOOKUP(V468,Calcs!$Q$4:$R$24,2,TRUE)</f>
        <v>0</v>
      </c>
      <c r="X468" s="435" t="str">
        <f t="shared" si="55"/>
        <v>No</v>
      </c>
      <c r="Y468" s="436"/>
      <c r="Z468" s="435">
        <f t="shared" si="56"/>
        <v>0</v>
      </c>
      <c r="AA468" s="245" t="str">
        <f>IF(AND(X468="Yes",NOT(ISBLANK(Z468))),VLOOKUP(Z468,Calcs!$Y$48:$Z$57,2,TRUE)," ")</f>
        <v xml:space="preserve"> </v>
      </c>
    </row>
    <row r="469" spans="1:27" x14ac:dyDescent="0.2">
      <c r="A469" s="425">
        <f t="shared" si="57"/>
        <v>495</v>
      </c>
      <c r="B469" s="425" t="str">
        <f t="shared" si="53"/>
        <v>Winter</v>
      </c>
      <c r="C469" s="247">
        <f>IF(B469="Winter",A469-('Start Character'!$K$6)-1,IF('Start Character'!$K$7&gt;6,A469-('Start Character'!$K$6)-1,A469-('Start Character'!$K$6)))</f>
        <v>494</v>
      </c>
      <c r="D469" s="247">
        <f t="shared" si="54"/>
        <v>494</v>
      </c>
      <c r="E469" s="246"/>
      <c r="F469" s="83"/>
      <c r="G469" s="83"/>
      <c r="H469" s="246"/>
      <c r="I469" s="433"/>
      <c r="J469" s="254">
        <f>IF(ISBLANK(I469),0,ROUNDUP(D469/10,0)-E469-H469-F469-G469+VLOOKUP($D$2,Calcs!$A$23:$B$27,2,FALSE)+I469)</f>
        <v>0</v>
      </c>
      <c r="K469" s="245" t="str">
        <f>IF(ISBLANK(I469)," ",VLOOKUP(J469,Calcs!$A$82:$H$106,2,TRUE))</f>
        <v xml:space="preserve"> </v>
      </c>
      <c r="L469" s="245">
        <f>IF(ISBLANK(I469),0,VLOOKUP(J469,Calcs!$A$82:$F$106,5,TRUE))</f>
        <v>0</v>
      </c>
      <c r="M469" s="208">
        <f>IF(J469=13,IF(ISNUMBER(W468),VLOOKUP(W468+1,Calcs!$O$4:$Q$24,3,TRUE)-V468,5),IF(J469&lt;10,0,IF(J469&lt;18,1,IF(J469&lt;22,2,IF(ISNUMBER(W468),VLOOKUP(W468+1,Calcs!$O$4:$Q$24,3,TRUE)-V468,5)))))</f>
        <v>0</v>
      </c>
      <c r="N469" s="245" t="str">
        <f t="shared" si="52"/>
        <v xml:space="preserve"> </v>
      </c>
      <c r="O469" s="245" t="str">
        <f t="shared" si="52"/>
        <v xml:space="preserve"> </v>
      </c>
      <c r="P469" s="245" t="str">
        <f t="shared" si="52"/>
        <v xml:space="preserve"> </v>
      </c>
      <c r="Q469" s="245" t="str">
        <f t="shared" si="52"/>
        <v xml:space="preserve"> </v>
      </c>
      <c r="R469" s="245" t="str">
        <f t="shared" si="52"/>
        <v xml:space="preserve"> </v>
      </c>
      <c r="S469" s="245" t="str">
        <f t="shared" si="52"/>
        <v xml:space="preserve"> </v>
      </c>
      <c r="T469" s="245" t="str">
        <f t="shared" si="52"/>
        <v xml:space="preserve"> </v>
      </c>
      <c r="U469" s="245" t="str">
        <f t="shared" si="52"/>
        <v xml:space="preserve"> </v>
      </c>
      <c r="V469" s="208">
        <f>SUM($N$10:$U469)</f>
        <v>0</v>
      </c>
      <c r="W469" s="208">
        <f>VLOOKUP(V469,Calcs!$Q$4:$R$24,2,TRUE)</f>
        <v>0</v>
      </c>
      <c r="X469" s="435" t="str">
        <f t="shared" si="55"/>
        <v>No</v>
      </c>
      <c r="Y469" s="436"/>
      <c r="Z469" s="435">
        <f t="shared" si="56"/>
        <v>0</v>
      </c>
      <c r="AA469" s="245" t="str">
        <f>IF(AND(X469="Yes",NOT(ISBLANK(Z469))),VLOOKUP(Z469,Calcs!$Y$48:$Z$57,2,TRUE)," ")</f>
        <v xml:space="preserve"> </v>
      </c>
    </row>
    <row r="470" spans="1:27" x14ac:dyDescent="0.2">
      <c r="A470" s="425">
        <f t="shared" si="57"/>
        <v>496</v>
      </c>
      <c r="B470" s="425" t="str">
        <f t="shared" si="53"/>
        <v>Winter</v>
      </c>
      <c r="C470" s="247">
        <f>IF(B470="Winter",A470-('Start Character'!$K$6)-1,IF('Start Character'!$K$7&gt;6,A470-('Start Character'!$K$6)-1,A470-('Start Character'!$K$6)))</f>
        <v>495</v>
      </c>
      <c r="D470" s="247">
        <f t="shared" si="54"/>
        <v>495</v>
      </c>
      <c r="E470" s="246"/>
      <c r="F470" s="83"/>
      <c r="G470" s="83"/>
      <c r="H470" s="246"/>
      <c r="I470" s="433"/>
      <c r="J470" s="254">
        <f>IF(ISBLANK(I470),0,ROUNDUP(D470/10,0)-E470-H470-F470-G470+VLOOKUP($D$2,Calcs!$A$23:$B$27,2,FALSE)+I470)</f>
        <v>0</v>
      </c>
      <c r="K470" s="245" t="str">
        <f>IF(ISBLANK(I470)," ",VLOOKUP(J470,Calcs!$A$82:$H$106,2,TRUE))</f>
        <v xml:space="preserve"> </v>
      </c>
      <c r="L470" s="245">
        <f>IF(ISBLANK(I470),0,VLOOKUP(J470,Calcs!$A$82:$F$106,5,TRUE))</f>
        <v>0</v>
      </c>
      <c r="M470" s="208">
        <f>IF(J470=13,IF(ISNUMBER(W469),VLOOKUP(W469+1,Calcs!$O$4:$Q$24,3,TRUE)-V469,5),IF(J470&lt;10,0,IF(J470&lt;18,1,IF(J470&lt;22,2,IF(ISNUMBER(W469),VLOOKUP(W469+1,Calcs!$O$4:$Q$24,3,TRUE)-V469,5)))))</f>
        <v>0</v>
      </c>
      <c r="N470" s="245" t="str">
        <f t="shared" si="52"/>
        <v xml:space="preserve"> </v>
      </c>
      <c r="O470" s="245" t="str">
        <f t="shared" si="52"/>
        <v xml:space="preserve"> </v>
      </c>
      <c r="P470" s="245" t="str">
        <f t="shared" si="52"/>
        <v xml:space="preserve"> </v>
      </c>
      <c r="Q470" s="245" t="str">
        <f t="shared" si="52"/>
        <v xml:space="preserve"> </v>
      </c>
      <c r="R470" s="245" t="str">
        <f t="shared" si="52"/>
        <v xml:space="preserve"> </v>
      </c>
      <c r="S470" s="245" t="str">
        <f t="shared" si="52"/>
        <v xml:space="preserve"> </v>
      </c>
      <c r="T470" s="245" t="str">
        <f t="shared" si="52"/>
        <v xml:space="preserve"> </v>
      </c>
      <c r="U470" s="245" t="str">
        <f t="shared" si="52"/>
        <v xml:space="preserve"> </v>
      </c>
      <c r="V470" s="208">
        <f>SUM($N$10:$U470)</f>
        <v>0</v>
      </c>
      <c r="W470" s="208">
        <f>VLOOKUP(V470,Calcs!$Q$4:$R$24,2,TRUE)</f>
        <v>0</v>
      </c>
      <c r="X470" s="435" t="str">
        <f t="shared" si="55"/>
        <v>No</v>
      </c>
      <c r="Y470" s="436"/>
      <c r="Z470" s="435">
        <f t="shared" si="56"/>
        <v>0</v>
      </c>
      <c r="AA470" s="245" t="str">
        <f>IF(AND(X470="Yes",NOT(ISBLANK(Z470))),VLOOKUP(Z470,Calcs!$Y$48:$Z$57,2,TRUE)," ")</f>
        <v xml:space="preserve"> </v>
      </c>
    </row>
    <row r="471" spans="1:27" x14ac:dyDescent="0.2">
      <c r="A471" s="425">
        <f t="shared" si="57"/>
        <v>497</v>
      </c>
      <c r="B471" s="425" t="str">
        <f t="shared" si="53"/>
        <v>Winter</v>
      </c>
      <c r="C471" s="247">
        <f>IF(B471="Winter",A471-('Start Character'!$K$6)-1,IF('Start Character'!$K$7&gt;6,A471-('Start Character'!$K$6)-1,A471-('Start Character'!$K$6)))</f>
        <v>496</v>
      </c>
      <c r="D471" s="247">
        <f t="shared" si="54"/>
        <v>496</v>
      </c>
      <c r="E471" s="246"/>
      <c r="F471" s="83"/>
      <c r="G471" s="83"/>
      <c r="H471" s="246"/>
      <c r="I471" s="433"/>
      <c r="J471" s="254">
        <f>IF(ISBLANK(I471),0,ROUNDUP(D471/10,0)-E471-H471-F471-G471+VLOOKUP($D$2,Calcs!$A$23:$B$27,2,FALSE)+I471)</f>
        <v>0</v>
      </c>
      <c r="K471" s="245" t="str">
        <f>IF(ISBLANK(I471)," ",VLOOKUP(J471,Calcs!$A$82:$H$106,2,TRUE))</f>
        <v xml:space="preserve"> </v>
      </c>
      <c r="L471" s="245">
        <f>IF(ISBLANK(I471),0,VLOOKUP(J471,Calcs!$A$82:$F$106,5,TRUE))</f>
        <v>0</v>
      </c>
      <c r="M471" s="208">
        <f>IF(J471=13,IF(ISNUMBER(W470),VLOOKUP(W470+1,Calcs!$O$4:$Q$24,3,TRUE)-V470,5),IF(J471&lt;10,0,IF(J471&lt;18,1,IF(J471&lt;22,2,IF(ISNUMBER(W470),VLOOKUP(W470+1,Calcs!$O$4:$Q$24,3,TRUE)-V470,5)))))</f>
        <v>0</v>
      </c>
      <c r="N471" s="245" t="str">
        <f t="shared" si="52"/>
        <v xml:space="preserve"> </v>
      </c>
      <c r="O471" s="245" t="str">
        <f t="shared" si="52"/>
        <v xml:space="preserve"> </v>
      </c>
      <c r="P471" s="245" t="str">
        <f t="shared" si="52"/>
        <v xml:space="preserve"> </v>
      </c>
      <c r="Q471" s="245" t="str">
        <f t="shared" si="52"/>
        <v xml:space="preserve"> </v>
      </c>
      <c r="R471" s="245" t="str">
        <f t="shared" si="52"/>
        <v xml:space="preserve"> </v>
      </c>
      <c r="S471" s="245" t="str">
        <f t="shared" si="52"/>
        <v xml:space="preserve"> </v>
      </c>
      <c r="T471" s="245" t="str">
        <f t="shared" si="52"/>
        <v xml:space="preserve"> </v>
      </c>
      <c r="U471" s="245" t="str">
        <f t="shared" si="52"/>
        <v xml:space="preserve"> </v>
      </c>
      <c r="V471" s="208">
        <f>SUM($N$10:$U471)</f>
        <v>0</v>
      </c>
      <c r="W471" s="208">
        <f>VLOOKUP(V471,Calcs!$Q$4:$R$24,2,TRUE)</f>
        <v>0</v>
      </c>
      <c r="X471" s="435" t="str">
        <f t="shared" si="55"/>
        <v>No</v>
      </c>
      <c r="Y471" s="436"/>
      <c r="Z471" s="435">
        <f t="shared" si="56"/>
        <v>0</v>
      </c>
      <c r="AA471" s="245" t="str">
        <f>IF(AND(X471="Yes",NOT(ISBLANK(Z471))),VLOOKUP(Z471,Calcs!$Y$48:$Z$57,2,TRUE)," ")</f>
        <v xml:space="preserve"> </v>
      </c>
    </row>
    <row r="472" spans="1:27" x14ac:dyDescent="0.2">
      <c r="A472" s="425">
        <f t="shared" si="57"/>
        <v>498</v>
      </c>
      <c r="B472" s="425" t="str">
        <f t="shared" si="53"/>
        <v>Winter</v>
      </c>
      <c r="C472" s="247">
        <f>IF(B472="Winter",A472-('Start Character'!$K$6)-1,IF('Start Character'!$K$7&gt;6,A472-('Start Character'!$K$6)-1,A472-('Start Character'!$K$6)))</f>
        <v>497</v>
      </c>
      <c r="D472" s="247">
        <f t="shared" si="54"/>
        <v>497</v>
      </c>
      <c r="E472" s="246"/>
      <c r="F472" s="83"/>
      <c r="G472" s="83"/>
      <c r="H472" s="246"/>
      <c r="I472" s="433"/>
      <c r="J472" s="254">
        <f>IF(ISBLANK(I472),0,ROUNDUP(D472/10,0)-E472-H472-F472-G472+VLOOKUP($D$2,Calcs!$A$23:$B$27,2,FALSE)+I472)</f>
        <v>0</v>
      </c>
      <c r="K472" s="245" t="str">
        <f>IF(ISBLANK(I472)," ",VLOOKUP(J472,Calcs!$A$82:$H$106,2,TRUE))</f>
        <v xml:space="preserve"> </v>
      </c>
      <c r="L472" s="245">
        <f>IF(ISBLANK(I472),0,VLOOKUP(J472,Calcs!$A$82:$F$106,5,TRUE))</f>
        <v>0</v>
      </c>
      <c r="M472" s="208">
        <f>IF(J472=13,IF(ISNUMBER(W471),VLOOKUP(W471+1,Calcs!$O$4:$Q$24,3,TRUE)-V471,5),IF(J472&lt;10,0,IF(J472&lt;18,1,IF(J472&lt;22,2,IF(ISNUMBER(W471),VLOOKUP(W471+1,Calcs!$O$4:$Q$24,3,TRUE)-V471,5)))))</f>
        <v>0</v>
      </c>
      <c r="N472" s="245" t="str">
        <f t="shared" si="52"/>
        <v xml:space="preserve"> </v>
      </c>
      <c r="O472" s="245" t="str">
        <f t="shared" si="52"/>
        <v xml:space="preserve"> </v>
      </c>
      <c r="P472" s="245" t="str">
        <f t="shared" si="52"/>
        <v xml:space="preserve"> </v>
      </c>
      <c r="Q472" s="245" t="str">
        <f t="shared" si="52"/>
        <v xml:space="preserve"> </v>
      </c>
      <c r="R472" s="245" t="str">
        <f t="shared" si="52"/>
        <v xml:space="preserve"> </v>
      </c>
      <c r="S472" s="245" t="str">
        <f t="shared" si="52"/>
        <v xml:space="preserve"> </v>
      </c>
      <c r="T472" s="245" t="str">
        <f t="shared" si="52"/>
        <v xml:space="preserve"> </v>
      </c>
      <c r="U472" s="245" t="str">
        <f t="shared" si="52"/>
        <v xml:space="preserve"> </v>
      </c>
      <c r="V472" s="208">
        <f>SUM($N$10:$U472)</f>
        <v>0</v>
      </c>
      <c r="W472" s="208">
        <f>VLOOKUP(V472,Calcs!$Q$4:$R$24,2,TRUE)</f>
        <v>0</v>
      </c>
      <c r="X472" s="435" t="str">
        <f t="shared" si="55"/>
        <v>No</v>
      </c>
      <c r="Y472" s="436"/>
      <c r="Z472" s="435">
        <f t="shared" si="56"/>
        <v>0</v>
      </c>
      <c r="AA472" s="245" t="str">
        <f>IF(AND(X472="Yes",NOT(ISBLANK(Z472))),VLOOKUP(Z472,Calcs!$Y$48:$Z$57,2,TRUE)," ")</f>
        <v xml:space="preserve"> </v>
      </c>
    </row>
    <row r="473" spans="1:27" x14ac:dyDescent="0.2">
      <c r="A473" s="425">
        <f t="shared" si="57"/>
        <v>499</v>
      </c>
      <c r="B473" s="425" t="str">
        <f t="shared" si="53"/>
        <v>Winter</v>
      </c>
      <c r="C473" s="247">
        <f>IF(B473="Winter",A473-('Start Character'!$K$6)-1,IF('Start Character'!$K$7&gt;6,A473-('Start Character'!$K$6)-1,A473-('Start Character'!$K$6)))</f>
        <v>498</v>
      </c>
      <c r="D473" s="247">
        <f t="shared" si="54"/>
        <v>498</v>
      </c>
      <c r="E473" s="246"/>
      <c r="F473" s="83"/>
      <c r="G473" s="83"/>
      <c r="H473" s="246"/>
      <c r="I473" s="433"/>
      <c r="J473" s="254">
        <f>IF(ISBLANK(I473),0,ROUNDUP(D473/10,0)-E473-H473-F473-G473+VLOOKUP($D$2,Calcs!$A$23:$B$27,2,FALSE)+I473)</f>
        <v>0</v>
      </c>
      <c r="K473" s="245" t="str">
        <f>IF(ISBLANK(I473)," ",VLOOKUP(J473,Calcs!$A$82:$H$106,2,TRUE))</f>
        <v xml:space="preserve"> </v>
      </c>
      <c r="L473" s="245">
        <f>IF(ISBLANK(I473),0,VLOOKUP(J473,Calcs!$A$82:$F$106,5,TRUE))</f>
        <v>0</v>
      </c>
      <c r="M473" s="208">
        <f>IF(J473=13,IF(ISNUMBER(W472),VLOOKUP(W472+1,Calcs!$O$4:$Q$24,3,TRUE)-V472,5),IF(J473&lt;10,0,IF(J473&lt;18,1,IF(J473&lt;22,2,IF(ISNUMBER(W472),VLOOKUP(W472+1,Calcs!$O$4:$Q$24,3,TRUE)-V472,5)))))</f>
        <v>0</v>
      </c>
      <c r="N473" s="245" t="str">
        <f t="shared" si="52"/>
        <v xml:space="preserve"> </v>
      </c>
      <c r="O473" s="245" t="str">
        <f t="shared" si="52"/>
        <v xml:space="preserve"> </v>
      </c>
      <c r="P473" s="245" t="str">
        <f t="shared" si="52"/>
        <v xml:space="preserve"> </v>
      </c>
      <c r="Q473" s="245" t="str">
        <f t="shared" si="52"/>
        <v xml:space="preserve"> </v>
      </c>
      <c r="R473" s="245" t="str">
        <f t="shared" si="52"/>
        <v xml:space="preserve"> </v>
      </c>
      <c r="S473" s="245" t="str">
        <f t="shared" si="52"/>
        <v xml:space="preserve"> </v>
      </c>
      <c r="T473" s="245" t="str">
        <f t="shared" si="52"/>
        <v xml:space="preserve"> </v>
      </c>
      <c r="U473" s="245" t="str">
        <f t="shared" si="52"/>
        <v xml:space="preserve"> </v>
      </c>
      <c r="V473" s="208">
        <f>SUM($N$10:$U473)</f>
        <v>0</v>
      </c>
      <c r="W473" s="208">
        <f>VLOOKUP(V473,Calcs!$Q$4:$R$24,2,TRUE)</f>
        <v>0</v>
      </c>
      <c r="X473" s="435" t="str">
        <f t="shared" si="55"/>
        <v>No</v>
      </c>
      <c r="Y473" s="436"/>
      <c r="Z473" s="435">
        <f t="shared" si="56"/>
        <v>0</v>
      </c>
      <c r="AA473" s="245" t="str">
        <f>IF(AND(X473="Yes",NOT(ISBLANK(Z473))),VLOOKUP(Z473,Calcs!$Y$48:$Z$57,2,TRUE)," ")</f>
        <v xml:space="preserve"> </v>
      </c>
    </row>
    <row r="474" spans="1:27" x14ac:dyDescent="0.2">
      <c r="A474" s="425">
        <f t="shared" si="57"/>
        <v>500</v>
      </c>
      <c r="B474" s="425" t="str">
        <f t="shared" si="53"/>
        <v>Winter</v>
      </c>
      <c r="C474" s="247">
        <f>IF(B474="Winter",A474-('Start Character'!$K$6)-1,IF('Start Character'!$K$7&gt;6,A474-('Start Character'!$K$6)-1,A474-('Start Character'!$K$6)))</f>
        <v>499</v>
      </c>
      <c r="D474" s="247">
        <f t="shared" si="54"/>
        <v>499</v>
      </c>
      <c r="E474" s="246"/>
      <c r="F474" s="83"/>
      <c r="G474" s="83"/>
      <c r="H474" s="246"/>
      <c r="I474" s="433"/>
      <c r="J474" s="254">
        <f>IF(ISBLANK(I474),0,ROUNDUP(D474/10,0)-E474-H474-F474-G474+VLOOKUP($D$2,Calcs!$A$23:$B$27,2,FALSE)+I474)</f>
        <v>0</v>
      </c>
      <c r="K474" s="245" t="str">
        <f>IF(ISBLANK(I474)," ",VLOOKUP(J474,Calcs!$A$82:$H$106,2,TRUE))</f>
        <v xml:space="preserve"> </v>
      </c>
      <c r="L474" s="245">
        <f>IF(ISBLANK(I474),0,VLOOKUP(J474,Calcs!$A$82:$F$106,5,TRUE))</f>
        <v>0</v>
      </c>
      <c r="M474" s="208">
        <f>IF(J474=13,IF(ISNUMBER(W473),VLOOKUP(W473+1,Calcs!$O$4:$Q$24,3,TRUE)-V473,5),IF(J474&lt;10,0,IF(J474&lt;18,1,IF(J474&lt;22,2,IF(ISNUMBER(W473),VLOOKUP(W473+1,Calcs!$O$4:$Q$24,3,TRUE)-V473,5)))))</f>
        <v>0</v>
      </c>
      <c r="N474" s="245" t="str">
        <f t="shared" si="52"/>
        <v xml:space="preserve"> </v>
      </c>
      <c r="O474" s="245" t="str">
        <f t="shared" si="52"/>
        <v xml:space="preserve"> </v>
      </c>
      <c r="P474" s="245" t="str">
        <f t="shared" si="52"/>
        <v xml:space="preserve"> </v>
      </c>
      <c r="Q474" s="245" t="str">
        <f t="shared" si="52"/>
        <v xml:space="preserve"> </v>
      </c>
      <c r="R474" s="245" t="str">
        <f t="shared" si="52"/>
        <v xml:space="preserve"> </v>
      </c>
      <c r="S474" s="245" t="str">
        <f t="shared" si="52"/>
        <v xml:space="preserve"> </v>
      </c>
      <c r="T474" s="245" t="str">
        <f t="shared" si="52"/>
        <v xml:space="preserve"> </v>
      </c>
      <c r="U474" s="245" t="str">
        <f t="shared" si="52"/>
        <v xml:space="preserve"> </v>
      </c>
      <c r="V474" s="208">
        <f>SUM($N$10:$U474)</f>
        <v>0</v>
      </c>
      <c r="W474" s="208">
        <f>VLOOKUP(V474,Calcs!$Q$4:$R$24,2,TRUE)</f>
        <v>0</v>
      </c>
      <c r="X474" s="435" t="str">
        <f t="shared" si="55"/>
        <v>No</v>
      </c>
      <c r="Y474" s="436"/>
      <c r="Z474" s="435">
        <f t="shared" si="56"/>
        <v>0</v>
      </c>
      <c r="AA474" s="245" t="str">
        <f>IF(AND(X474="Yes",NOT(ISBLANK(Z474))),VLOOKUP(Z474,Calcs!$Y$48:$Z$57,2,TRUE)," ")</f>
        <v xml:space="preserve"> </v>
      </c>
    </row>
    <row r="475" spans="1:27" x14ac:dyDescent="0.2">
      <c r="A475" s="425">
        <f t="shared" si="57"/>
        <v>501</v>
      </c>
      <c r="B475" s="425" t="str">
        <f t="shared" si="53"/>
        <v>Winter</v>
      </c>
      <c r="C475" s="247">
        <f>IF(B475="Winter",A475-('Start Character'!$K$6)-1,IF('Start Character'!$K$7&gt;6,A475-('Start Character'!$K$6)-1,A475-('Start Character'!$K$6)))</f>
        <v>500</v>
      </c>
      <c r="D475" s="247">
        <f t="shared" si="54"/>
        <v>500</v>
      </c>
      <c r="E475" s="246"/>
      <c r="F475" s="83"/>
      <c r="G475" s="83"/>
      <c r="H475" s="246"/>
      <c r="I475" s="433"/>
      <c r="J475" s="254">
        <f>IF(ISBLANK(I475),0,ROUNDUP(D475/10,0)-E475-H475-F475-G475+VLOOKUP($D$2,Calcs!$A$23:$B$27,2,FALSE)+I475)</f>
        <v>0</v>
      </c>
      <c r="K475" s="245" t="str">
        <f>IF(ISBLANK(I475)," ",VLOOKUP(J475,Calcs!$A$82:$H$106,2,TRUE))</f>
        <v xml:space="preserve"> </v>
      </c>
      <c r="L475" s="245">
        <f>IF(ISBLANK(I475),0,VLOOKUP(J475,Calcs!$A$82:$F$106,5,TRUE))</f>
        <v>0</v>
      </c>
      <c r="M475" s="208">
        <f>IF(J475=13,IF(ISNUMBER(W474),VLOOKUP(W474+1,Calcs!$O$4:$Q$24,3,TRUE)-V474,5),IF(J475&lt;10,0,IF(J475&lt;18,1,IF(J475&lt;22,2,IF(ISNUMBER(W474),VLOOKUP(W474+1,Calcs!$O$4:$Q$24,3,TRUE)-V474,5)))))</f>
        <v>0</v>
      </c>
      <c r="N475" s="245" t="str">
        <f t="shared" si="52"/>
        <v xml:space="preserve"> </v>
      </c>
      <c r="O475" s="245" t="str">
        <f t="shared" si="52"/>
        <v xml:space="preserve"> </v>
      </c>
      <c r="P475" s="245" t="str">
        <f t="shared" si="52"/>
        <v xml:space="preserve"> </v>
      </c>
      <c r="Q475" s="245" t="str">
        <f t="shared" si="52"/>
        <v xml:space="preserve"> </v>
      </c>
      <c r="R475" s="245" t="str">
        <f t="shared" si="52"/>
        <v xml:space="preserve"> </v>
      </c>
      <c r="S475" s="245" t="str">
        <f t="shared" si="52"/>
        <v xml:space="preserve"> </v>
      </c>
      <c r="T475" s="245" t="str">
        <f t="shared" si="52"/>
        <v xml:space="preserve"> </v>
      </c>
      <c r="U475" s="245" t="str">
        <f t="shared" si="52"/>
        <v xml:space="preserve"> </v>
      </c>
      <c r="V475" s="208">
        <f>SUM($N$10:$U475)</f>
        <v>0</v>
      </c>
      <c r="W475" s="208">
        <f>VLOOKUP(V475,Calcs!$Q$4:$R$24,2,TRUE)</f>
        <v>0</v>
      </c>
      <c r="X475" s="435" t="str">
        <f t="shared" si="55"/>
        <v>No</v>
      </c>
      <c r="Y475" s="436"/>
      <c r="Z475" s="435">
        <f t="shared" si="56"/>
        <v>0</v>
      </c>
      <c r="AA475" s="245" t="str">
        <f>IF(AND(X475="Yes",NOT(ISBLANK(Z475))),VLOOKUP(Z475,Calcs!$Y$48:$Z$57,2,TRUE)," ")</f>
        <v xml:space="preserve"> </v>
      </c>
    </row>
    <row r="476" spans="1:27" x14ac:dyDescent="0.2">
      <c r="A476" s="425">
        <f t="shared" si="57"/>
        <v>502</v>
      </c>
      <c r="B476" s="425" t="str">
        <f t="shared" si="53"/>
        <v>Winter</v>
      </c>
      <c r="C476" s="247">
        <f>IF(B476="Winter",A476-('Start Character'!$K$6)-1,IF('Start Character'!$K$7&gt;6,A476-('Start Character'!$K$6)-1,A476-('Start Character'!$K$6)))</f>
        <v>501</v>
      </c>
      <c r="D476" s="247">
        <f t="shared" si="54"/>
        <v>501</v>
      </c>
      <c r="E476" s="246"/>
      <c r="F476" s="83"/>
      <c r="G476" s="83"/>
      <c r="H476" s="246"/>
      <c r="I476" s="433"/>
      <c r="J476" s="254">
        <f>IF(ISBLANK(I476),0,ROUNDUP(D476/10,0)-E476-H476-F476-G476+VLOOKUP($D$2,Calcs!$A$23:$B$27,2,FALSE)+I476)</f>
        <v>0</v>
      </c>
      <c r="K476" s="245" t="str">
        <f>IF(ISBLANK(I476)," ",VLOOKUP(J476,Calcs!$A$82:$H$106,2,TRUE))</f>
        <v xml:space="preserve"> </v>
      </c>
      <c r="L476" s="245">
        <f>IF(ISBLANK(I476),0,VLOOKUP(J476,Calcs!$A$82:$F$106,5,TRUE))</f>
        <v>0</v>
      </c>
      <c r="M476" s="208">
        <f>IF(J476=13,IF(ISNUMBER(W475),VLOOKUP(W475+1,Calcs!$O$4:$Q$24,3,TRUE)-V475,5),IF(J476&lt;10,0,IF(J476&lt;18,1,IF(J476&lt;22,2,IF(ISNUMBER(W475),VLOOKUP(W475+1,Calcs!$O$4:$Q$24,3,TRUE)-V475,5)))))</f>
        <v>0</v>
      </c>
      <c r="N476" s="245" t="str">
        <f t="shared" si="52"/>
        <v xml:space="preserve"> </v>
      </c>
      <c r="O476" s="245" t="str">
        <f t="shared" si="52"/>
        <v xml:space="preserve"> </v>
      </c>
      <c r="P476" s="245" t="str">
        <f t="shared" si="52"/>
        <v xml:space="preserve"> </v>
      </c>
      <c r="Q476" s="245" t="str">
        <f t="shared" si="52"/>
        <v xml:space="preserve"> </v>
      </c>
      <c r="R476" s="245" t="str">
        <f t="shared" si="52"/>
        <v xml:space="preserve"> </v>
      </c>
      <c r="S476" s="245" t="str">
        <f t="shared" si="52"/>
        <v xml:space="preserve"> </v>
      </c>
      <c r="T476" s="245" t="str">
        <f t="shared" si="52"/>
        <v xml:space="preserve"> </v>
      </c>
      <c r="U476" s="245" t="str">
        <f t="shared" si="52"/>
        <v xml:space="preserve"> </v>
      </c>
      <c r="V476" s="208">
        <f>SUM($N$10:$U476)</f>
        <v>0</v>
      </c>
      <c r="W476" s="208">
        <f>VLOOKUP(V476,Calcs!$Q$4:$R$24,2,TRUE)</f>
        <v>0</v>
      </c>
      <c r="X476" s="435" t="str">
        <f t="shared" si="55"/>
        <v>No</v>
      </c>
      <c r="Y476" s="436"/>
      <c r="Z476" s="435">
        <f t="shared" si="56"/>
        <v>0</v>
      </c>
      <c r="AA476" s="245" t="str">
        <f>IF(AND(X476="Yes",NOT(ISBLANK(Z476))),VLOOKUP(Z476,Calcs!$Y$48:$Z$57,2,TRUE)," ")</f>
        <v xml:space="preserve"> </v>
      </c>
    </row>
    <row r="477" spans="1:27" x14ac:dyDescent="0.2">
      <c r="A477" s="425">
        <f t="shared" si="57"/>
        <v>503</v>
      </c>
      <c r="B477" s="425" t="str">
        <f t="shared" si="53"/>
        <v>Winter</v>
      </c>
      <c r="C477" s="247">
        <f>IF(B477="Winter",A477-('Start Character'!$K$6)-1,IF('Start Character'!$K$7&gt;6,A477-('Start Character'!$K$6)-1,A477-('Start Character'!$K$6)))</f>
        <v>502</v>
      </c>
      <c r="D477" s="247">
        <f t="shared" si="54"/>
        <v>502</v>
      </c>
      <c r="E477" s="246"/>
      <c r="F477" s="83"/>
      <c r="G477" s="83"/>
      <c r="H477" s="246"/>
      <c r="I477" s="433"/>
      <c r="J477" s="254">
        <f>IF(ISBLANK(I477),0,ROUNDUP(D477/10,0)-E477-H477-F477-G477+VLOOKUP($D$2,Calcs!$A$23:$B$27,2,FALSE)+I477)</f>
        <v>0</v>
      </c>
      <c r="K477" s="245" t="str">
        <f>IF(ISBLANK(I477)," ",VLOOKUP(J477,Calcs!$A$82:$H$106,2,TRUE))</f>
        <v xml:space="preserve"> </v>
      </c>
      <c r="L477" s="245">
        <f>IF(ISBLANK(I477),0,VLOOKUP(J477,Calcs!$A$82:$F$106,5,TRUE))</f>
        <v>0</v>
      </c>
      <c r="M477" s="208">
        <f>IF(J477=13,IF(ISNUMBER(W476),VLOOKUP(W476+1,Calcs!$O$4:$Q$24,3,TRUE)-V476,5),IF(J477&lt;10,0,IF(J477&lt;18,1,IF(J477&lt;22,2,IF(ISNUMBER(W476),VLOOKUP(W476+1,Calcs!$O$4:$Q$24,3,TRUE)-V476,5)))))</f>
        <v>0</v>
      </c>
      <c r="N477" s="245" t="str">
        <f t="shared" si="52"/>
        <v xml:space="preserve"> </v>
      </c>
      <c r="O477" s="245" t="str">
        <f t="shared" si="52"/>
        <v xml:space="preserve"> </v>
      </c>
      <c r="P477" s="245" t="str">
        <f t="shared" si="52"/>
        <v xml:space="preserve"> </v>
      </c>
      <c r="Q477" s="245" t="str">
        <f t="shared" si="52"/>
        <v xml:space="preserve"> </v>
      </c>
      <c r="R477" s="245" t="str">
        <f t="shared" si="52"/>
        <v xml:space="preserve"> </v>
      </c>
      <c r="S477" s="245" t="str">
        <f t="shared" si="52"/>
        <v xml:space="preserve"> </v>
      </c>
      <c r="T477" s="245" t="str">
        <f t="shared" si="52"/>
        <v xml:space="preserve"> </v>
      </c>
      <c r="U477" s="245" t="str">
        <f t="shared" si="52"/>
        <v xml:space="preserve"> </v>
      </c>
      <c r="V477" s="208">
        <f>SUM($N$10:$U477)</f>
        <v>0</v>
      </c>
      <c r="W477" s="208">
        <f>VLOOKUP(V477,Calcs!$Q$4:$R$24,2,TRUE)</f>
        <v>0</v>
      </c>
      <c r="X477" s="435" t="str">
        <f t="shared" si="55"/>
        <v>No</v>
      </c>
      <c r="Y477" s="436"/>
      <c r="Z477" s="435">
        <f t="shared" si="56"/>
        <v>0</v>
      </c>
      <c r="AA477" s="245" t="str">
        <f>IF(AND(X477="Yes",NOT(ISBLANK(Z477))),VLOOKUP(Z477,Calcs!$Y$48:$Z$57,2,TRUE)," ")</f>
        <v xml:space="preserve"> </v>
      </c>
    </row>
    <row r="478" spans="1:27" x14ac:dyDescent="0.2">
      <c r="A478" s="425">
        <f t="shared" si="57"/>
        <v>504</v>
      </c>
      <c r="B478" s="425" t="str">
        <f t="shared" si="53"/>
        <v>Winter</v>
      </c>
      <c r="C478" s="247">
        <f>IF(B478="Winter",A478-('Start Character'!$K$6)-1,IF('Start Character'!$K$7&gt;6,A478-('Start Character'!$K$6)-1,A478-('Start Character'!$K$6)))</f>
        <v>503</v>
      </c>
      <c r="D478" s="247">
        <f t="shared" si="54"/>
        <v>503</v>
      </c>
      <c r="E478" s="246"/>
      <c r="F478" s="83"/>
      <c r="G478" s="83"/>
      <c r="H478" s="246"/>
      <c r="I478" s="433"/>
      <c r="J478" s="254">
        <f>IF(ISBLANK(I478),0,ROUNDUP(D478/10,0)-E478-H478-F478-G478+VLOOKUP($D$2,Calcs!$A$23:$B$27,2,FALSE)+I478)</f>
        <v>0</v>
      </c>
      <c r="K478" s="245" t="str">
        <f>IF(ISBLANK(I478)," ",VLOOKUP(J478,Calcs!$A$82:$H$106,2,TRUE))</f>
        <v xml:space="preserve"> </v>
      </c>
      <c r="L478" s="245">
        <f>IF(ISBLANK(I478),0,VLOOKUP(J478,Calcs!$A$82:$F$106,5,TRUE))</f>
        <v>0</v>
      </c>
      <c r="M478" s="208">
        <f>IF(J478=13,IF(ISNUMBER(W477),VLOOKUP(W477+1,Calcs!$O$4:$Q$24,3,TRUE)-V477,5),IF(J478&lt;10,0,IF(J478&lt;18,1,IF(J478&lt;22,2,IF(ISNUMBER(W477),VLOOKUP(W477+1,Calcs!$O$4:$Q$24,3,TRUE)-V477,5)))))</f>
        <v>0</v>
      </c>
      <c r="N478" s="245" t="str">
        <f t="shared" si="52"/>
        <v xml:space="preserve"> </v>
      </c>
      <c r="O478" s="245" t="str">
        <f t="shared" si="52"/>
        <v xml:space="preserve"> </v>
      </c>
      <c r="P478" s="245" t="str">
        <f t="shared" si="52"/>
        <v xml:space="preserve"> </v>
      </c>
      <c r="Q478" s="245" t="str">
        <f t="shared" si="52"/>
        <v xml:space="preserve"> </v>
      </c>
      <c r="R478" s="245" t="str">
        <f t="shared" si="52"/>
        <v xml:space="preserve"> </v>
      </c>
      <c r="S478" s="245" t="str">
        <f t="shared" si="52"/>
        <v xml:space="preserve"> </v>
      </c>
      <c r="T478" s="245" t="str">
        <f t="shared" si="52"/>
        <v xml:space="preserve"> </v>
      </c>
      <c r="U478" s="245" t="str">
        <f t="shared" si="52"/>
        <v xml:space="preserve"> </v>
      </c>
      <c r="V478" s="208">
        <f>SUM($N$10:$U478)</f>
        <v>0</v>
      </c>
      <c r="W478" s="208">
        <f>VLOOKUP(V478,Calcs!$Q$4:$R$24,2,TRUE)</f>
        <v>0</v>
      </c>
      <c r="X478" s="435" t="str">
        <f t="shared" si="55"/>
        <v>No</v>
      </c>
      <c r="Y478" s="436"/>
      <c r="Z478" s="435">
        <f t="shared" si="56"/>
        <v>0</v>
      </c>
      <c r="AA478" s="245" t="str">
        <f>IF(AND(X478="Yes",NOT(ISBLANK(Z478))),VLOOKUP(Z478,Calcs!$Y$48:$Z$57,2,TRUE)," ")</f>
        <v xml:space="preserve"> </v>
      </c>
    </row>
    <row r="479" spans="1:27" x14ac:dyDescent="0.2">
      <c r="A479" s="425">
        <f t="shared" si="57"/>
        <v>505</v>
      </c>
      <c r="B479" s="425" t="str">
        <f t="shared" si="53"/>
        <v>Winter</v>
      </c>
      <c r="C479" s="247">
        <f>IF(B479="Winter",A479-('Start Character'!$K$6)-1,IF('Start Character'!$K$7&gt;6,A479-('Start Character'!$K$6)-1,A479-('Start Character'!$K$6)))</f>
        <v>504</v>
      </c>
      <c r="D479" s="247">
        <f t="shared" si="54"/>
        <v>504</v>
      </c>
      <c r="E479" s="246"/>
      <c r="F479" s="83"/>
      <c r="G479" s="83"/>
      <c r="H479" s="246"/>
      <c r="I479" s="433"/>
      <c r="J479" s="254">
        <f>IF(ISBLANK(I479),0,ROUNDUP(D479/10,0)-E479-H479-F479-G479+VLOOKUP($D$2,Calcs!$A$23:$B$27,2,FALSE)+I479)</f>
        <v>0</v>
      </c>
      <c r="K479" s="245" t="str">
        <f>IF(ISBLANK(I479)," ",VLOOKUP(J479,Calcs!$A$82:$H$106,2,TRUE))</f>
        <v xml:space="preserve"> </v>
      </c>
      <c r="L479" s="245">
        <f>IF(ISBLANK(I479),0,VLOOKUP(J479,Calcs!$A$82:$F$106,5,TRUE))</f>
        <v>0</v>
      </c>
      <c r="M479" s="208">
        <f>IF(J479=13,IF(ISNUMBER(W478),VLOOKUP(W478+1,Calcs!$O$4:$Q$24,3,TRUE)-V478,5),IF(J479&lt;10,0,IF(J479&lt;18,1,IF(J479&lt;22,2,IF(ISNUMBER(W478),VLOOKUP(W478+1,Calcs!$O$4:$Q$24,3,TRUE)-V478,5)))))</f>
        <v>0</v>
      </c>
      <c r="N479" s="245" t="str">
        <f t="shared" si="52"/>
        <v xml:space="preserve"> </v>
      </c>
      <c r="O479" s="245" t="str">
        <f t="shared" si="52"/>
        <v xml:space="preserve"> </v>
      </c>
      <c r="P479" s="245" t="str">
        <f t="shared" si="52"/>
        <v xml:space="preserve"> </v>
      </c>
      <c r="Q479" s="245" t="str">
        <f t="shared" si="52"/>
        <v xml:space="preserve"> </v>
      </c>
      <c r="R479" s="245" t="str">
        <f t="shared" si="52"/>
        <v xml:space="preserve"> </v>
      </c>
      <c r="S479" s="245" t="str">
        <f t="shared" si="52"/>
        <v xml:space="preserve"> </v>
      </c>
      <c r="T479" s="245" t="str">
        <f t="shared" si="52"/>
        <v xml:space="preserve"> </v>
      </c>
      <c r="U479" s="245" t="str">
        <f t="shared" si="52"/>
        <v xml:space="preserve"> </v>
      </c>
      <c r="V479" s="208">
        <f>SUM($N$10:$U479)</f>
        <v>0</v>
      </c>
      <c r="W479" s="208">
        <f>VLOOKUP(V479,Calcs!$Q$4:$R$24,2,TRUE)</f>
        <v>0</v>
      </c>
      <c r="X479" s="435" t="str">
        <f t="shared" si="55"/>
        <v>No</v>
      </c>
      <c r="Y479" s="436"/>
      <c r="Z479" s="435">
        <f t="shared" si="56"/>
        <v>0</v>
      </c>
      <c r="AA479" s="245" t="str">
        <f>IF(AND(X479="Yes",NOT(ISBLANK(Z479))),VLOOKUP(Z479,Calcs!$Y$48:$Z$57,2,TRUE)," ")</f>
        <v xml:space="preserve"> </v>
      </c>
    </row>
    <row r="480" spans="1:27" x14ac:dyDescent="0.2">
      <c r="A480" s="425">
        <f t="shared" si="57"/>
        <v>506</v>
      </c>
      <c r="B480" s="425" t="str">
        <f t="shared" si="53"/>
        <v>Winter</v>
      </c>
      <c r="C480" s="247">
        <f>IF(B480="Winter",A480-('Start Character'!$K$6)-1,IF('Start Character'!$K$7&gt;6,A480-('Start Character'!$K$6)-1,A480-('Start Character'!$K$6)))</f>
        <v>505</v>
      </c>
      <c r="D480" s="247">
        <f t="shared" si="54"/>
        <v>505</v>
      </c>
      <c r="E480" s="246"/>
      <c r="F480" s="83"/>
      <c r="G480" s="83"/>
      <c r="H480" s="246"/>
      <c r="I480" s="433"/>
      <c r="J480" s="254">
        <f>IF(ISBLANK(I480),0,ROUNDUP(D480/10,0)-E480-H480-F480-G480+VLOOKUP($D$2,Calcs!$A$23:$B$27,2,FALSE)+I480)</f>
        <v>0</v>
      </c>
      <c r="K480" s="245" t="str">
        <f>IF(ISBLANK(I480)," ",VLOOKUP(J480,Calcs!$A$82:$H$106,2,TRUE))</f>
        <v xml:space="preserve"> </v>
      </c>
      <c r="L480" s="245">
        <f>IF(ISBLANK(I480),0,VLOOKUP(J480,Calcs!$A$82:$F$106,5,TRUE))</f>
        <v>0</v>
      </c>
      <c r="M480" s="208">
        <f>IF(J480=13,IF(ISNUMBER(W479),VLOOKUP(W479+1,Calcs!$O$4:$Q$24,3,TRUE)-V479,5),IF(J480&lt;10,0,IF(J480&lt;18,1,IF(J480&lt;22,2,IF(ISNUMBER(W479),VLOOKUP(W479+1,Calcs!$O$4:$Q$24,3,TRUE)-V479,5)))))</f>
        <v>0</v>
      </c>
      <c r="N480" s="245" t="str">
        <f t="shared" si="52"/>
        <v xml:space="preserve"> </v>
      </c>
      <c r="O480" s="245" t="str">
        <f t="shared" si="52"/>
        <v xml:space="preserve"> </v>
      </c>
      <c r="P480" s="245" t="str">
        <f t="shared" si="52"/>
        <v xml:space="preserve"> </v>
      </c>
      <c r="Q480" s="245" t="str">
        <f t="shared" si="52"/>
        <v xml:space="preserve"> </v>
      </c>
      <c r="R480" s="245" t="str">
        <f t="shared" si="52"/>
        <v xml:space="preserve"> </v>
      </c>
      <c r="S480" s="245" t="str">
        <f t="shared" si="52"/>
        <v xml:space="preserve"> </v>
      </c>
      <c r="T480" s="245" t="str">
        <f t="shared" si="52"/>
        <v xml:space="preserve"> </v>
      </c>
      <c r="U480" s="245" t="str">
        <f t="shared" si="52"/>
        <v xml:space="preserve"> </v>
      </c>
      <c r="V480" s="208">
        <f>SUM($N$10:$U480)</f>
        <v>0</v>
      </c>
      <c r="W480" s="208">
        <f>VLOOKUP(V480,Calcs!$Q$4:$R$24,2,TRUE)</f>
        <v>0</v>
      </c>
      <c r="X480" s="435" t="str">
        <f t="shared" si="55"/>
        <v>No</v>
      </c>
      <c r="Y480" s="436"/>
      <c r="Z480" s="435">
        <f t="shared" si="56"/>
        <v>0</v>
      </c>
      <c r="AA480" s="245" t="str">
        <f>IF(AND(X480="Yes",NOT(ISBLANK(Z480))),VLOOKUP(Z480,Calcs!$Y$48:$Z$57,2,TRUE)," ")</f>
        <v xml:space="preserve"> </v>
      </c>
    </row>
    <row r="481" spans="1:27" x14ac:dyDescent="0.2">
      <c r="A481" s="425">
        <f t="shared" si="57"/>
        <v>507</v>
      </c>
      <c r="B481" s="425" t="str">
        <f t="shared" si="53"/>
        <v>Winter</v>
      </c>
      <c r="C481" s="247">
        <f>IF(B481="Winter",A481-('Start Character'!$K$6)-1,IF('Start Character'!$K$7&gt;6,A481-('Start Character'!$K$6)-1,A481-('Start Character'!$K$6)))</f>
        <v>506</v>
      </c>
      <c r="D481" s="247">
        <f t="shared" si="54"/>
        <v>506</v>
      </c>
      <c r="E481" s="246"/>
      <c r="F481" s="83"/>
      <c r="G481" s="83"/>
      <c r="H481" s="246"/>
      <c r="I481" s="433"/>
      <c r="J481" s="254">
        <f>IF(ISBLANK(I481),0,ROUNDUP(D481/10,0)-E481-H481-F481-G481+VLOOKUP($D$2,Calcs!$A$23:$B$27,2,FALSE)+I481)</f>
        <v>0</v>
      </c>
      <c r="K481" s="245" t="str">
        <f>IF(ISBLANK(I481)," ",VLOOKUP(J481,Calcs!$A$82:$H$106,2,TRUE))</f>
        <v xml:space="preserve"> </v>
      </c>
      <c r="L481" s="245">
        <f>IF(ISBLANK(I481),0,VLOOKUP(J481,Calcs!$A$82:$F$106,5,TRUE))</f>
        <v>0</v>
      </c>
      <c r="M481" s="208">
        <f>IF(J481=13,IF(ISNUMBER(W480),VLOOKUP(W480+1,Calcs!$O$4:$Q$24,3,TRUE)-V480,5),IF(J481&lt;10,0,IF(J481&lt;18,1,IF(J481&lt;22,2,IF(ISNUMBER(W480),VLOOKUP(W480+1,Calcs!$O$4:$Q$24,3,TRUE)-V480,5)))))</f>
        <v>0</v>
      </c>
      <c r="N481" s="245" t="str">
        <f t="shared" si="52"/>
        <v xml:space="preserve"> </v>
      </c>
      <c r="O481" s="245" t="str">
        <f t="shared" si="52"/>
        <v xml:space="preserve"> </v>
      </c>
      <c r="P481" s="245" t="str">
        <f t="shared" si="52"/>
        <v xml:space="preserve"> </v>
      </c>
      <c r="Q481" s="245" t="str">
        <f t="shared" si="52"/>
        <v xml:space="preserve"> </v>
      </c>
      <c r="R481" s="245" t="str">
        <f t="shared" si="52"/>
        <v xml:space="preserve"> </v>
      </c>
      <c r="S481" s="245" t="str">
        <f t="shared" si="52"/>
        <v xml:space="preserve"> </v>
      </c>
      <c r="T481" s="245" t="str">
        <f t="shared" si="52"/>
        <v xml:space="preserve"> </v>
      </c>
      <c r="U481" s="245" t="str">
        <f t="shared" si="52"/>
        <v xml:space="preserve"> </v>
      </c>
      <c r="V481" s="208">
        <f>SUM($N$10:$U481)</f>
        <v>0</v>
      </c>
      <c r="W481" s="208">
        <f>VLOOKUP(V481,Calcs!$Q$4:$R$24,2,TRUE)</f>
        <v>0</v>
      </c>
      <c r="X481" s="435" t="str">
        <f t="shared" si="55"/>
        <v>No</v>
      </c>
      <c r="Y481" s="436"/>
      <c r="Z481" s="435">
        <f t="shared" si="56"/>
        <v>0</v>
      </c>
      <c r="AA481" s="245" t="str">
        <f>IF(AND(X481="Yes",NOT(ISBLANK(Z481))),VLOOKUP(Z481,Calcs!$Y$48:$Z$57,2,TRUE)," ")</f>
        <v xml:space="preserve"> </v>
      </c>
    </row>
    <row r="482" spans="1:27" x14ac:dyDescent="0.2">
      <c r="A482" s="425">
        <f t="shared" si="57"/>
        <v>508</v>
      </c>
      <c r="B482" s="425" t="str">
        <f t="shared" si="53"/>
        <v>Winter</v>
      </c>
      <c r="C482" s="247">
        <f>IF(B482="Winter",A482-('Start Character'!$K$6)-1,IF('Start Character'!$K$7&gt;6,A482-('Start Character'!$K$6)-1,A482-('Start Character'!$K$6)))</f>
        <v>507</v>
      </c>
      <c r="D482" s="247">
        <f t="shared" si="54"/>
        <v>507</v>
      </c>
      <c r="E482" s="246"/>
      <c r="F482" s="83"/>
      <c r="G482" s="83"/>
      <c r="H482" s="246"/>
      <c r="I482" s="433"/>
      <c r="J482" s="254">
        <f>IF(ISBLANK(I482),0,ROUNDUP(D482/10,0)-E482-H482-F482-G482+VLOOKUP($D$2,Calcs!$A$23:$B$27,2,FALSE)+I482)</f>
        <v>0</v>
      </c>
      <c r="K482" s="245" t="str">
        <f>IF(ISBLANK(I482)," ",VLOOKUP(J482,Calcs!$A$82:$H$106,2,TRUE))</f>
        <v xml:space="preserve"> </v>
      </c>
      <c r="L482" s="245">
        <f>IF(ISBLANK(I482),0,VLOOKUP(J482,Calcs!$A$82:$F$106,5,TRUE))</f>
        <v>0</v>
      </c>
      <c r="M482" s="208">
        <f>IF(J482=13,IF(ISNUMBER(W481),VLOOKUP(W481+1,Calcs!$O$4:$Q$24,3,TRUE)-V481,5),IF(J482&lt;10,0,IF(J482&lt;18,1,IF(J482&lt;22,2,IF(ISNUMBER(W481),VLOOKUP(W481+1,Calcs!$O$4:$Q$24,3,TRUE)-V481,5)))))</f>
        <v>0</v>
      </c>
      <c r="N482" s="245" t="str">
        <f t="shared" si="52"/>
        <v xml:space="preserve"> </v>
      </c>
      <c r="O482" s="245" t="str">
        <f t="shared" si="52"/>
        <v xml:space="preserve"> </v>
      </c>
      <c r="P482" s="245" t="str">
        <f t="shared" si="52"/>
        <v xml:space="preserve"> </v>
      </c>
      <c r="Q482" s="245" t="str">
        <f t="shared" si="52"/>
        <v xml:space="preserve"> </v>
      </c>
      <c r="R482" s="245" t="str">
        <f t="shared" si="52"/>
        <v xml:space="preserve"> </v>
      </c>
      <c r="S482" s="245" t="str">
        <f t="shared" si="52"/>
        <v xml:space="preserve"> </v>
      </c>
      <c r="T482" s="245" t="str">
        <f t="shared" si="52"/>
        <v xml:space="preserve"> </v>
      </c>
      <c r="U482" s="245" t="str">
        <f t="shared" si="52"/>
        <v xml:space="preserve"> </v>
      </c>
      <c r="V482" s="208">
        <f>SUM($N$10:$U482)</f>
        <v>0</v>
      </c>
      <c r="W482" s="208">
        <f>VLOOKUP(V482,Calcs!$Q$4:$R$24,2,TRUE)</f>
        <v>0</v>
      </c>
      <c r="X482" s="435" t="str">
        <f t="shared" si="55"/>
        <v>No</v>
      </c>
      <c r="Y482" s="436"/>
      <c r="Z482" s="435">
        <f t="shared" si="56"/>
        <v>0</v>
      </c>
      <c r="AA482" s="245" t="str">
        <f>IF(AND(X482="Yes",NOT(ISBLANK(Z482))),VLOOKUP(Z482,Calcs!$Y$48:$Z$57,2,TRUE)," ")</f>
        <v xml:space="preserve"> </v>
      </c>
    </row>
    <row r="483" spans="1:27" x14ac:dyDescent="0.2">
      <c r="A483" s="425">
        <f t="shared" si="57"/>
        <v>509</v>
      </c>
      <c r="B483" s="425" t="str">
        <f t="shared" si="53"/>
        <v>Winter</v>
      </c>
      <c r="C483" s="247">
        <f>IF(B483="Winter",A483-('Start Character'!$K$6)-1,IF('Start Character'!$K$7&gt;6,A483-('Start Character'!$K$6)-1,A483-('Start Character'!$K$6)))</f>
        <v>508</v>
      </c>
      <c r="D483" s="247">
        <f t="shared" si="54"/>
        <v>508</v>
      </c>
      <c r="E483" s="246"/>
      <c r="F483" s="83"/>
      <c r="G483" s="83"/>
      <c r="H483" s="246"/>
      <c r="I483" s="433"/>
      <c r="J483" s="254">
        <f>IF(ISBLANK(I483),0,ROUNDUP(D483/10,0)-E483-H483-F483-G483+VLOOKUP($D$2,Calcs!$A$23:$B$27,2,FALSE)+I483)</f>
        <v>0</v>
      </c>
      <c r="K483" s="245" t="str">
        <f>IF(ISBLANK(I483)," ",VLOOKUP(J483,Calcs!$A$82:$H$106,2,TRUE))</f>
        <v xml:space="preserve"> </v>
      </c>
      <c r="L483" s="245">
        <f>IF(ISBLANK(I483),0,VLOOKUP(J483,Calcs!$A$82:$F$106,5,TRUE))</f>
        <v>0</v>
      </c>
      <c r="M483" s="208">
        <f>IF(J483=13,IF(ISNUMBER(W482),VLOOKUP(W482+1,Calcs!$O$4:$Q$24,3,TRUE)-V482,5),IF(J483&lt;10,0,IF(J483&lt;18,1,IF(J483&lt;22,2,IF(ISNUMBER(W482),VLOOKUP(W482+1,Calcs!$O$4:$Q$24,3,TRUE)-V482,5)))))</f>
        <v>0</v>
      </c>
      <c r="N483" s="245" t="str">
        <f t="shared" si="52"/>
        <v xml:space="preserve"> </v>
      </c>
      <c r="O483" s="245" t="str">
        <f t="shared" si="52"/>
        <v xml:space="preserve"> </v>
      </c>
      <c r="P483" s="245" t="str">
        <f t="shared" si="52"/>
        <v xml:space="preserve"> </v>
      </c>
      <c r="Q483" s="245" t="str">
        <f t="shared" si="52"/>
        <v xml:space="preserve"> </v>
      </c>
      <c r="R483" s="245" t="str">
        <f t="shared" si="52"/>
        <v xml:space="preserve"> </v>
      </c>
      <c r="S483" s="245" t="str">
        <f t="shared" si="52"/>
        <v xml:space="preserve"> </v>
      </c>
      <c r="T483" s="245" t="str">
        <f t="shared" si="52"/>
        <v xml:space="preserve"> </v>
      </c>
      <c r="U483" s="245" t="str">
        <f t="shared" si="52"/>
        <v xml:space="preserve"> </v>
      </c>
      <c r="V483" s="208">
        <f>SUM($N$10:$U483)</f>
        <v>0</v>
      </c>
      <c r="W483" s="208">
        <f>VLOOKUP(V483,Calcs!$Q$4:$R$24,2,TRUE)</f>
        <v>0</v>
      </c>
      <c r="X483" s="435" t="str">
        <f t="shared" si="55"/>
        <v>No</v>
      </c>
      <c r="Y483" s="436"/>
      <c r="Z483" s="435">
        <f t="shared" si="56"/>
        <v>0</v>
      </c>
      <c r="AA483" s="245" t="str">
        <f>IF(AND(X483="Yes",NOT(ISBLANK(Z483))),VLOOKUP(Z483,Calcs!$Y$48:$Z$57,2,TRUE)," ")</f>
        <v xml:space="preserve"> </v>
      </c>
    </row>
    <row r="484" spans="1:27" x14ac:dyDescent="0.2">
      <c r="A484" s="425">
        <f t="shared" si="57"/>
        <v>510</v>
      </c>
      <c r="B484" s="425" t="str">
        <f t="shared" si="53"/>
        <v>Winter</v>
      </c>
      <c r="C484" s="247">
        <f>IF(B484="Winter",A484-('Start Character'!$K$6)-1,IF('Start Character'!$K$7&gt;6,A484-('Start Character'!$K$6)-1,A484-('Start Character'!$K$6)))</f>
        <v>509</v>
      </c>
      <c r="D484" s="247">
        <f t="shared" si="54"/>
        <v>509</v>
      </c>
      <c r="E484" s="246"/>
      <c r="F484" s="83"/>
      <c r="G484" s="83"/>
      <c r="H484" s="246"/>
      <c r="I484" s="433"/>
      <c r="J484" s="254">
        <f>IF(ISBLANK(I484),0,ROUNDUP(D484/10,0)-E484-H484-F484-G484+VLOOKUP($D$2,Calcs!$A$23:$B$27,2,FALSE)+I484)</f>
        <v>0</v>
      </c>
      <c r="K484" s="245" t="str">
        <f>IF(ISBLANK(I484)," ",VLOOKUP(J484,Calcs!$A$82:$H$106,2,TRUE))</f>
        <v xml:space="preserve"> </v>
      </c>
      <c r="L484" s="245">
        <f>IF(ISBLANK(I484),0,VLOOKUP(J484,Calcs!$A$82:$F$106,5,TRUE))</f>
        <v>0</v>
      </c>
      <c r="M484" s="208">
        <f>IF(J484=13,IF(ISNUMBER(W483),VLOOKUP(W483+1,Calcs!$O$4:$Q$24,3,TRUE)-V483,5),IF(J484&lt;10,0,IF(J484&lt;18,1,IF(J484&lt;22,2,IF(ISNUMBER(W483),VLOOKUP(W483+1,Calcs!$O$4:$Q$24,3,TRUE)-V483,5)))))</f>
        <v>0</v>
      </c>
      <c r="N484" s="245" t="str">
        <f t="shared" si="52"/>
        <v xml:space="preserve"> </v>
      </c>
      <c r="O484" s="245" t="str">
        <f t="shared" si="52"/>
        <v xml:space="preserve"> </v>
      </c>
      <c r="P484" s="245" t="str">
        <f t="shared" si="52"/>
        <v xml:space="preserve"> </v>
      </c>
      <c r="Q484" s="245" t="str">
        <f t="shared" si="52"/>
        <v xml:space="preserve"> </v>
      </c>
      <c r="R484" s="245" t="str">
        <f t="shared" si="52"/>
        <v xml:space="preserve"> </v>
      </c>
      <c r="S484" s="245" t="str">
        <f t="shared" si="52"/>
        <v xml:space="preserve"> </v>
      </c>
      <c r="T484" s="245" t="str">
        <f t="shared" si="52"/>
        <v xml:space="preserve"> </v>
      </c>
      <c r="U484" s="245" t="str">
        <f t="shared" si="52"/>
        <v xml:space="preserve"> </v>
      </c>
      <c r="V484" s="208">
        <f>SUM($N$10:$U484)</f>
        <v>0</v>
      </c>
      <c r="W484" s="208">
        <f>VLOOKUP(V484,Calcs!$Q$4:$R$24,2,TRUE)</f>
        <v>0</v>
      </c>
      <c r="X484" s="435" t="str">
        <f t="shared" si="55"/>
        <v>No</v>
      </c>
      <c r="Y484" s="436"/>
      <c r="Z484" s="435">
        <f t="shared" si="56"/>
        <v>0</v>
      </c>
      <c r="AA484" s="245" t="str">
        <f>IF(AND(X484="Yes",NOT(ISBLANK(Z484))),VLOOKUP(Z484,Calcs!$Y$48:$Z$57,2,TRUE)," ")</f>
        <v xml:space="preserve"> </v>
      </c>
    </row>
    <row r="485" spans="1:27" x14ac:dyDescent="0.2">
      <c r="A485" s="425">
        <f t="shared" si="57"/>
        <v>511</v>
      </c>
      <c r="B485" s="425" t="str">
        <f t="shared" si="53"/>
        <v>Winter</v>
      </c>
      <c r="C485" s="247">
        <f>IF(B485="Winter",A485-('Start Character'!$K$6)-1,IF('Start Character'!$K$7&gt;6,A485-('Start Character'!$K$6)-1,A485-('Start Character'!$K$6)))</f>
        <v>510</v>
      </c>
      <c r="D485" s="247">
        <f t="shared" si="54"/>
        <v>510</v>
      </c>
      <c r="E485" s="246"/>
      <c r="F485" s="83"/>
      <c r="G485" s="83"/>
      <c r="H485" s="246"/>
      <c r="I485" s="433"/>
      <c r="J485" s="254">
        <f>IF(ISBLANK(I485),0,ROUNDUP(D485/10,0)-E485-H485-F485-G485+VLOOKUP($D$2,Calcs!$A$23:$B$27,2,FALSE)+I485)</f>
        <v>0</v>
      </c>
      <c r="K485" s="245" t="str">
        <f>IF(ISBLANK(I485)," ",VLOOKUP(J485,Calcs!$A$82:$H$106,2,TRUE))</f>
        <v xml:space="preserve"> </v>
      </c>
      <c r="L485" s="245">
        <f>IF(ISBLANK(I485),0,VLOOKUP(J485,Calcs!$A$82:$F$106,5,TRUE))</f>
        <v>0</v>
      </c>
      <c r="M485" s="208">
        <f>IF(J485=13,IF(ISNUMBER(W484),VLOOKUP(W484+1,Calcs!$O$4:$Q$24,3,TRUE)-V484,5),IF(J485&lt;10,0,IF(J485&lt;18,1,IF(J485&lt;22,2,IF(ISNUMBER(W484),VLOOKUP(W484+1,Calcs!$O$4:$Q$24,3,TRUE)-V484,5)))))</f>
        <v>0</v>
      </c>
      <c r="N485" s="245" t="str">
        <f t="shared" si="52"/>
        <v xml:space="preserve"> </v>
      </c>
      <c r="O485" s="245" t="str">
        <f t="shared" si="52"/>
        <v xml:space="preserve"> </v>
      </c>
      <c r="P485" s="245" t="str">
        <f t="shared" si="52"/>
        <v xml:space="preserve"> </v>
      </c>
      <c r="Q485" s="245" t="str">
        <f t="shared" si="52"/>
        <v xml:space="preserve"> </v>
      </c>
      <c r="R485" s="245" t="str">
        <f t="shared" si="52"/>
        <v xml:space="preserve"> </v>
      </c>
      <c r="S485" s="245" t="str">
        <f t="shared" si="52"/>
        <v xml:space="preserve"> </v>
      </c>
      <c r="T485" s="245" t="str">
        <f t="shared" si="52"/>
        <v xml:space="preserve"> </v>
      </c>
      <c r="U485" s="245" t="str">
        <f t="shared" si="52"/>
        <v xml:space="preserve"> </v>
      </c>
      <c r="V485" s="208">
        <f>SUM($N$10:$U485)</f>
        <v>0</v>
      </c>
      <c r="W485" s="208">
        <f>VLOOKUP(V485,Calcs!$Q$4:$R$24,2,TRUE)</f>
        <v>0</v>
      </c>
      <c r="X485" s="435" t="str">
        <f t="shared" si="55"/>
        <v>No</v>
      </c>
      <c r="Y485" s="436"/>
      <c r="Z485" s="435">
        <f t="shared" si="56"/>
        <v>0</v>
      </c>
      <c r="AA485" s="245" t="str">
        <f>IF(AND(X485="Yes",NOT(ISBLANK(Z485))),VLOOKUP(Z485,Calcs!$Y$48:$Z$57,2,TRUE)," ")</f>
        <v xml:space="preserve"> </v>
      </c>
    </row>
    <row r="486" spans="1:27" x14ac:dyDescent="0.2">
      <c r="A486" s="425">
        <f t="shared" si="57"/>
        <v>512</v>
      </c>
      <c r="B486" s="425" t="str">
        <f t="shared" si="53"/>
        <v>Winter</v>
      </c>
      <c r="C486" s="247">
        <f>IF(B486="Winter",A486-('Start Character'!$K$6)-1,IF('Start Character'!$K$7&gt;6,A486-('Start Character'!$K$6)-1,A486-('Start Character'!$K$6)))</f>
        <v>511</v>
      </c>
      <c r="D486" s="247">
        <f t="shared" si="54"/>
        <v>511</v>
      </c>
      <c r="E486" s="246"/>
      <c r="F486" s="83"/>
      <c r="G486" s="83"/>
      <c r="H486" s="246"/>
      <c r="I486" s="433"/>
      <c r="J486" s="254">
        <f>IF(ISBLANK(I486),0,ROUNDUP(D486/10,0)-E486-H486-F486-G486+VLOOKUP($D$2,Calcs!$A$23:$B$27,2,FALSE)+I486)</f>
        <v>0</v>
      </c>
      <c r="K486" s="245" t="str">
        <f>IF(ISBLANK(I486)," ",VLOOKUP(J486,Calcs!$A$82:$H$106,2,TRUE))</f>
        <v xml:space="preserve"> </v>
      </c>
      <c r="L486" s="245">
        <f>IF(ISBLANK(I486),0,VLOOKUP(J486,Calcs!$A$82:$F$106,5,TRUE))</f>
        <v>0</v>
      </c>
      <c r="M486" s="208">
        <f>IF(J486=13,IF(ISNUMBER(W485),VLOOKUP(W485+1,Calcs!$O$4:$Q$24,3,TRUE)-V485,5),IF(J486&lt;10,0,IF(J486&lt;18,1,IF(J486&lt;22,2,IF(ISNUMBER(W485),VLOOKUP(W485+1,Calcs!$O$4:$Q$24,3,TRUE)-V485,5)))))</f>
        <v>0</v>
      </c>
      <c r="N486" s="245" t="str">
        <f t="shared" si="52"/>
        <v xml:space="preserve"> </v>
      </c>
      <c r="O486" s="245" t="str">
        <f t="shared" si="52"/>
        <v xml:space="preserve"> </v>
      </c>
      <c r="P486" s="245" t="str">
        <f t="shared" si="52"/>
        <v xml:space="preserve"> </v>
      </c>
      <c r="Q486" s="245" t="str">
        <f t="shared" si="52"/>
        <v xml:space="preserve"> </v>
      </c>
      <c r="R486" s="245" t="str">
        <f t="shared" si="52"/>
        <v xml:space="preserve"> </v>
      </c>
      <c r="S486" s="245" t="str">
        <f t="shared" si="52"/>
        <v xml:space="preserve"> </v>
      </c>
      <c r="T486" s="245" t="str">
        <f t="shared" si="52"/>
        <v xml:space="preserve"> </v>
      </c>
      <c r="U486" s="245" t="str">
        <f t="shared" si="52"/>
        <v xml:space="preserve"> </v>
      </c>
      <c r="V486" s="208">
        <f>SUM($N$10:$U486)</f>
        <v>0</v>
      </c>
      <c r="W486" s="208">
        <f>VLOOKUP(V486,Calcs!$Q$4:$R$24,2,TRUE)</f>
        <v>0</v>
      </c>
      <c r="X486" s="435" t="str">
        <f t="shared" si="55"/>
        <v>No</v>
      </c>
      <c r="Y486" s="436"/>
      <c r="Z486" s="435">
        <f t="shared" si="56"/>
        <v>0</v>
      </c>
      <c r="AA486" s="245" t="str">
        <f>IF(AND(X486="Yes",NOT(ISBLANK(Z486))),VLOOKUP(Z486,Calcs!$Y$48:$Z$57,2,TRUE)," ")</f>
        <v xml:space="preserve"> </v>
      </c>
    </row>
    <row r="487" spans="1:27" x14ac:dyDescent="0.2">
      <c r="A487" s="425">
        <f t="shared" si="57"/>
        <v>513</v>
      </c>
      <c r="B487" s="425" t="str">
        <f t="shared" si="53"/>
        <v>Winter</v>
      </c>
      <c r="C487" s="247">
        <f>IF(B487="Winter",A487-('Start Character'!$K$6)-1,IF('Start Character'!$K$7&gt;6,A487-('Start Character'!$K$6)-1,A487-('Start Character'!$K$6)))</f>
        <v>512</v>
      </c>
      <c r="D487" s="247">
        <f t="shared" si="54"/>
        <v>512</v>
      </c>
      <c r="E487" s="246"/>
      <c r="F487" s="83"/>
      <c r="G487" s="83"/>
      <c r="H487" s="246"/>
      <c r="I487" s="433"/>
      <c r="J487" s="254">
        <f>IF(ISBLANK(I487),0,ROUNDUP(D487/10,0)-E487-H487-F487-G487+VLOOKUP($D$2,Calcs!$A$23:$B$27,2,FALSE)+I487)</f>
        <v>0</v>
      </c>
      <c r="K487" s="245" t="str">
        <f>IF(ISBLANK(I487)," ",VLOOKUP(J487,Calcs!$A$82:$H$106,2,TRUE))</f>
        <v xml:space="preserve"> </v>
      </c>
      <c r="L487" s="245">
        <f>IF(ISBLANK(I487),0,VLOOKUP(J487,Calcs!$A$82:$F$106,5,TRUE))</f>
        <v>0</v>
      </c>
      <c r="M487" s="208">
        <f>IF(J487=13,IF(ISNUMBER(W486),VLOOKUP(W486+1,Calcs!$O$4:$Q$24,3,TRUE)-V486,5),IF(J487&lt;10,0,IF(J487&lt;18,1,IF(J487&lt;22,2,IF(ISNUMBER(W486),VLOOKUP(W486+1,Calcs!$O$4:$Q$24,3,TRUE)-V486,5)))))</f>
        <v>0</v>
      </c>
      <c r="N487" s="245" t="str">
        <f t="shared" si="52"/>
        <v xml:space="preserve"> </v>
      </c>
      <c r="O487" s="245" t="str">
        <f t="shared" si="52"/>
        <v xml:space="preserve"> </v>
      </c>
      <c r="P487" s="245" t="str">
        <f t="shared" si="52"/>
        <v xml:space="preserve"> </v>
      </c>
      <c r="Q487" s="245" t="str">
        <f t="shared" si="52"/>
        <v xml:space="preserve"> </v>
      </c>
      <c r="R487" s="245" t="str">
        <f t="shared" si="52"/>
        <v xml:space="preserve"> </v>
      </c>
      <c r="S487" s="245" t="str">
        <f t="shared" si="52"/>
        <v xml:space="preserve"> </v>
      </c>
      <c r="T487" s="245" t="str">
        <f t="shared" si="52"/>
        <v xml:space="preserve"> </v>
      </c>
      <c r="U487" s="245" t="str">
        <f t="shared" si="52"/>
        <v xml:space="preserve"> </v>
      </c>
      <c r="V487" s="208">
        <f>SUM($N$10:$U487)</f>
        <v>0</v>
      </c>
      <c r="W487" s="208">
        <f>VLOOKUP(V487,Calcs!$Q$4:$R$24,2,TRUE)</f>
        <v>0</v>
      </c>
      <c r="X487" s="435" t="str">
        <f t="shared" si="55"/>
        <v>No</v>
      </c>
      <c r="Y487" s="436"/>
      <c r="Z487" s="435">
        <f t="shared" si="56"/>
        <v>0</v>
      </c>
      <c r="AA487" s="245" t="str">
        <f>IF(AND(X487="Yes",NOT(ISBLANK(Z487))),VLOOKUP(Z487,Calcs!$Y$48:$Z$57,2,TRUE)," ")</f>
        <v xml:space="preserve"> </v>
      </c>
    </row>
    <row r="488" spans="1:27" x14ac:dyDescent="0.2">
      <c r="A488" s="425">
        <f t="shared" si="57"/>
        <v>514</v>
      </c>
      <c r="B488" s="425" t="str">
        <f t="shared" si="53"/>
        <v>Winter</v>
      </c>
      <c r="C488" s="247">
        <f>IF(B488="Winter",A488-('Start Character'!$K$6)-1,IF('Start Character'!$K$7&gt;6,A488-('Start Character'!$K$6)-1,A488-('Start Character'!$K$6)))</f>
        <v>513</v>
      </c>
      <c r="D488" s="247">
        <f t="shared" si="54"/>
        <v>513</v>
      </c>
      <c r="E488" s="246"/>
      <c r="F488" s="83"/>
      <c r="G488" s="83"/>
      <c r="H488" s="246"/>
      <c r="I488" s="433"/>
      <c r="J488" s="254">
        <f>IF(ISBLANK(I488),0,ROUNDUP(D488/10,0)-E488-H488-F488-G488+VLOOKUP($D$2,Calcs!$A$23:$B$27,2,FALSE)+I488)</f>
        <v>0</v>
      </c>
      <c r="K488" s="245" t="str">
        <f>IF(ISBLANK(I488)," ",VLOOKUP(J488,Calcs!$A$82:$H$106,2,TRUE))</f>
        <v xml:space="preserve"> </v>
      </c>
      <c r="L488" s="245">
        <f>IF(ISBLANK(I488),0,VLOOKUP(J488,Calcs!$A$82:$F$106,5,TRUE))</f>
        <v>0</v>
      </c>
      <c r="M488" s="208">
        <f>IF(J488=13,IF(ISNUMBER(W487),VLOOKUP(W487+1,Calcs!$O$4:$Q$24,3,TRUE)-V487,5),IF(J488&lt;10,0,IF(J488&lt;18,1,IF(J488&lt;22,2,IF(ISNUMBER(W487),VLOOKUP(W487+1,Calcs!$O$4:$Q$24,3,TRUE)-V487,5)))))</f>
        <v>0</v>
      </c>
      <c r="N488" s="245" t="str">
        <f t="shared" si="52"/>
        <v xml:space="preserve"> </v>
      </c>
      <c r="O488" s="245" t="str">
        <f t="shared" si="52"/>
        <v xml:space="preserve"> </v>
      </c>
      <c r="P488" s="245" t="str">
        <f t="shared" ref="P488:U488" si="58">IF(ISERROR(FIND(P$9,$K488))," ",1)</f>
        <v xml:space="preserve"> </v>
      </c>
      <c r="Q488" s="245" t="str">
        <f t="shared" si="58"/>
        <v xml:space="preserve"> </v>
      </c>
      <c r="R488" s="245" t="str">
        <f t="shared" si="58"/>
        <v xml:space="preserve"> </v>
      </c>
      <c r="S488" s="245" t="str">
        <f t="shared" si="58"/>
        <v xml:space="preserve"> </v>
      </c>
      <c r="T488" s="245" t="str">
        <f t="shared" si="58"/>
        <v xml:space="preserve"> </v>
      </c>
      <c r="U488" s="245" t="str">
        <f t="shared" si="58"/>
        <v xml:space="preserve"> </v>
      </c>
      <c r="V488" s="208">
        <f>SUM($N$10:$U488)</f>
        <v>0</v>
      </c>
      <c r="W488" s="208">
        <f>VLOOKUP(V488,Calcs!$Q$4:$R$24,2,TRUE)</f>
        <v>0</v>
      </c>
      <c r="X488" s="435" t="str">
        <f t="shared" si="55"/>
        <v>No</v>
      </c>
      <c r="Y488" s="436"/>
      <c r="Z488" s="435">
        <f t="shared" si="56"/>
        <v>0</v>
      </c>
      <c r="AA488" s="245" t="str">
        <f>IF(AND(X488="Yes",NOT(ISBLANK(Z488))),VLOOKUP(Z488,Calcs!$Y$48:$Z$57,2,TRUE)," ")</f>
        <v xml:space="preserve"> </v>
      </c>
    </row>
  </sheetData>
  <mergeCells count="21">
    <mergeCell ref="Y8:Y9"/>
    <mergeCell ref="Z8:Z9"/>
    <mergeCell ref="AA8:AA9"/>
    <mergeCell ref="F8:F9"/>
    <mergeCell ref="G8:G9"/>
    <mergeCell ref="I8:I9"/>
    <mergeCell ref="J8:J9"/>
    <mergeCell ref="K8:K9"/>
    <mergeCell ref="V8:V9"/>
    <mergeCell ref="W8:W9"/>
    <mergeCell ref="X8:X9"/>
    <mergeCell ref="N8:U8"/>
    <mergeCell ref="L8:L9"/>
    <mergeCell ref="M8:M9"/>
    <mergeCell ref="K1:U1"/>
    <mergeCell ref="A8:A9"/>
    <mergeCell ref="B8:B9"/>
    <mergeCell ref="C8:C9"/>
    <mergeCell ref="D8:D9"/>
    <mergeCell ref="E8:E9"/>
    <mergeCell ref="H8:H9"/>
  </mergeCells>
  <conditionalFormatting sqref="N10:U504">
    <cfRule type="expression" dxfId="9" priority="2">
      <formula>SUM($N10:$U10)&gt;$M10</formula>
    </cfRule>
    <cfRule type="expression" dxfId="8" priority="3">
      <formula>SUM($N10:$U10)&lt;$M10</formula>
    </cfRule>
  </conditionalFormatting>
  <conditionalFormatting sqref="Z10:Z503">
    <cfRule type="expression" dxfId="7" priority="1">
      <formula>$X10="Yes"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Pick one from the dropdown" error="Typing won't work!" promptTitle="Pick One">
          <x14:formula1>
            <xm:f>Calcs!$A$23:$A$27</xm:f>
          </x14:formula1>
          <xm:sqref>D2</xm:sqref>
        </x14:dataValidation>
        <x14:dataValidation type="list" showInputMessage="1" showErrorMessage="1" errorTitle="Pick one from the dropdown" error="Typing won't work!" promptTitle="Pick One">
          <x14:formula1>
            <xm:f>Calcs!$A$22:$A$23</xm:f>
          </x14:formula1>
          <xm:sqref>D3</xm:sqref>
        </x14:dataValidation>
        <x14:dataValidation type="list" showInputMessage="1" showErrorMessage="1">
          <x14:formula1>
            <xm:f>Calcs!$A$49:$A$50</xm:f>
          </x14:formula1>
          <xm:sqref>L3:U3</xm:sqref>
        </x14:dataValidation>
        <x14:dataValidation type="list" allowBlank="1" showInputMessage="1" showErrorMessage="1" errorTitle="Pick One!" error="Select a value from the dropdown">
          <x14:formula1>
            <xm:f>Calcs!$D$70:$D$72</xm:f>
          </x14:formula1>
          <xm:sqref>D4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25"/>
  <sheetViews>
    <sheetView workbookViewId="0">
      <selection activeCell="D4" sqref="D4"/>
    </sheetView>
  </sheetViews>
  <sheetFormatPr defaultRowHeight="12.75" x14ac:dyDescent="0.2"/>
  <cols>
    <col min="1" max="1" width="5.140625" bestFit="1" customWidth="1"/>
    <col min="2" max="2" width="8" bestFit="1" customWidth="1"/>
    <col min="3" max="3" width="8.85546875" customWidth="1"/>
    <col min="4" max="4" width="8.5703125" customWidth="1"/>
    <col min="7" max="7" width="10.5703125" bestFit="1" customWidth="1"/>
    <col min="12" max="12" width="30" bestFit="1" customWidth="1"/>
    <col min="13" max="13" width="11" bestFit="1" customWidth="1"/>
    <col min="17" max="17" width="10.7109375" bestFit="1" customWidth="1"/>
    <col min="18" max="18" width="9.7109375" bestFit="1" customWidth="1"/>
    <col min="19" max="19" width="11.7109375" style="442" bestFit="1" customWidth="1"/>
    <col min="20" max="20" width="10.7109375" customWidth="1"/>
    <col min="21" max="21" width="11.5703125" style="442" bestFit="1" customWidth="1"/>
    <col min="22" max="22" width="22.5703125" bestFit="1" customWidth="1"/>
    <col min="23" max="23" width="12.42578125" bestFit="1" customWidth="1"/>
    <col min="24" max="24" width="13.28515625" bestFit="1" customWidth="1"/>
    <col min="26" max="26" width="10.42578125" bestFit="1" customWidth="1"/>
    <col min="27" max="27" width="10.28515625" bestFit="1" customWidth="1"/>
    <col min="28" max="28" width="9.140625" bestFit="1" customWidth="1"/>
    <col min="29" max="29" width="7.5703125" bestFit="1" customWidth="1"/>
    <col min="30" max="30" width="14.5703125" bestFit="1" customWidth="1"/>
    <col min="31" max="31" width="29.7109375" customWidth="1"/>
    <col min="32" max="32" width="10.28515625" bestFit="1" customWidth="1"/>
    <col min="33" max="33" width="33.42578125" customWidth="1"/>
    <col min="34" max="36" width="13.140625" customWidth="1"/>
    <col min="37" max="37" width="14.140625" bestFit="1" customWidth="1"/>
  </cols>
  <sheetData>
    <row r="1" spans="1:43" x14ac:dyDescent="0.2">
      <c r="A1" s="818" t="s">
        <v>388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771"/>
      <c r="AA1" s="771"/>
      <c r="AB1" s="771"/>
      <c r="AC1" s="771"/>
      <c r="AD1" s="771"/>
      <c r="AE1" s="771"/>
      <c r="AF1" s="771"/>
      <c r="AG1" s="771"/>
      <c r="AH1" s="771"/>
      <c r="AI1" s="771"/>
      <c r="AJ1" s="771"/>
      <c r="AK1" s="771"/>
      <c r="AL1" s="771"/>
      <c r="AM1" s="771"/>
      <c r="AN1" s="771"/>
      <c r="AO1" s="771"/>
      <c r="AP1" s="771"/>
      <c r="AQ1" s="771"/>
    </row>
    <row r="2" spans="1:43" ht="13.5" thickBot="1" x14ac:dyDescent="0.25"/>
    <row r="3" spans="1:43" x14ac:dyDescent="0.2">
      <c r="A3" s="812" t="s">
        <v>138</v>
      </c>
      <c r="B3" s="813"/>
      <c r="C3" s="814"/>
      <c r="D3" s="426">
        <f>VLOOKUP(D4,Calcs!$Q$4:$R$24,2,TRUE)</f>
        <v>0</v>
      </c>
    </row>
    <row r="4" spans="1:43" ht="13.5" thickBot="1" x14ac:dyDescent="0.25">
      <c r="A4" s="815" t="s">
        <v>389</v>
      </c>
      <c r="B4" s="816"/>
      <c r="C4" s="817"/>
      <c r="D4" s="692">
        <f>SUM(C27:C1524)+SUM(E27:E1524)+SUM(G27:G1524)+SUM(I27:I1524)+SUM(P8:P1524)+'Start Character'!F15+SUM(AF8:AF1524)</f>
        <v>0</v>
      </c>
    </row>
    <row r="5" spans="1:43" ht="13.5" thickBot="1" x14ac:dyDescent="0.25">
      <c r="L5" s="783" t="s">
        <v>397</v>
      </c>
      <c r="M5" s="784"/>
      <c r="N5" s="784"/>
      <c r="O5" s="784"/>
      <c r="P5" s="784"/>
      <c r="Q5" s="784"/>
      <c r="R5" s="784"/>
      <c r="S5" s="784"/>
      <c r="T5" s="784"/>
      <c r="U5" s="784"/>
      <c r="V5" s="784"/>
      <c r="W5" s="784"/>
      <c r="X5" s="784"/>
      <c r="Y5" s="784"/>
      <c r="Z5" s="784"/>
      <c r="AA5" s="784"/>
      <c r="AB5" s="784"/>
      <c r="AC5" s="784"/>
      <c r="AD5" s="784"/>
      <c r="AE5" s="784"/>
      <c r="AF5" s="784"/>
      <c r="AG5" s="785"/>
    </row>
    <row r="6" spans="1:43" ht="13.5" thickBot="1" x14ac:dyDescent="0.25">
      <c r="A6" s="783" t="s">
        <v>390</v>
      </c>
      <c r="B6" s="784"/>
      <c r="C6" s="784"/>
      <c r="D6" s="784"/>
      <c r="E6" s="784"/>
      <c r="F6" s="784"/>
      <c r="G6" s="784"/>
      <c r="H6" s="785"/>
      <c r="L6" s="783" t="s">
        <v>430</v>
      </c>
      <c r="M6" s="784"/>
      <c r="N6" s="784"/>
      <c r="O6" s="784"/>
      <c r="P6" s="784"/>
      <c r="Q6" s="785"/>
      <c r="R6" s="783" t="s">
        <v>431</v>
      </c>
      <c r="S6" s="784"/>
      <c r="T6" s="784"/>
      <c r="U6" s="784"/>
      <c r="V6" s="785"/>
      <c r="W6" s="783" t="s">
        <v>432</v>
      </c>
      <c r="X6" s="784"/>
      <c r="Y6" s="784"/>
      <c r="Z6" s="784"/>
      <c r="AA6" s="785"/>
      <c r="AB6" s="783" t="s">
        <v>437</v>
      </c>
      <c r="AC6" s="784"/>
      <c r="AD6" s="784"/>
      <c r="AE6" s="784"/>
      <c r="AF6" s="784"/>
      <c r="AG6" s="785"/>
    </row>
    <row r="7" spans="1:43" ht="39" thickBot="1" x14ac:dyDescent="0.25">
      <c r="A7" s="823" t="s">
        <v>391</v>
      </c>
      <c r="B7" s="824"/>
      <c r="C7" s="824"/>
      <c r="D7" s="824"/>
      <c r="E7" s="824"/>
      <c r="F7" s="498" t="s">
        <v>392</v>
      </c>
      <c r="G7" s="498" t="s">
        <v>410</v>
      </c>
      <c r="H7" s="429" t="s">
        <v>393</v>
      </c>
      <c r="I7" s="430"/>
      <c r="J7" s="430"/>
      <c r="K7" s="430"/>
      <c r="L7" s="469" t="s">
        <v>398</v>
      </c>
      <c r="M7" s="470" t="s">
        <v>400</v>
      </c>
      <c r="N7" s="470" t="s">
        <v>166</v>
      </c>
      <c r="O7" s="470" t="s">
        <v>167</v>
      </c>
      <c r="P7" s="470" t="s">
        <v>396</v>
      </c>
      <c r="Q7" s="467" t="s">
        <v>60</v>
      </c>
      <c r="R7" s="465" t="s">
        <v>409</v>
      </c>
      <c r="S7" s="500" t="s">
        <v>428</v>
      </c>
      <c r="T7" s="466" t="s">
        <v>435</v>
      </c>
      <c r="U7" s="500" t="s">
        <v>411</v>
      </c>
      <c r="V7" s="467" t="s">
        <v>289</v>
      </c>
      <c r="W7" s="465" t="s">
        <v>433</v>
      </c>
      <c r="X7" s="466" t="s">
        <v>434</v>
      </c>
      <c r="Y7" s="466" t="s">
        <v>429</v>
      </c>
      <c r="Z7" s="466" t="s">
        <v>434</v>
      </c>
      <c r="AA7" s="467" t="s">
        <v>289</v>
      </c>
      <c r="AB7" s="465" t="s">
        <v>451</v>
      </c>
      <c r="AC7" s="466" t="s">
        <v>448</v>
      </c>
      <c r="AD7" s="466" t="s">
        <v>382</v>
      </c>
      <c r="AE7" s="471" t="s">
        <v>454</v>
      </c>
      <c r="AF7" s="466" t="s">
        <v>562</v>
      </c>
      <c r="AG7" s="467" t="s">
        <v>412</v>
      </c>
      <c r="AM7" s="431"/>
      <c r="AN7" s="431"/>
      <c r="AO7" s="431"/>
      <c r="AP7" s="431"/>
      <c r="AQ7" s="431"/>
    </row>
    <row r="8" spans="1:43" x14ac:dyDescent="0.2">
      <c r="A8" s="825"/>
      <c r="B8" s="826"/>
      <c r="C8" s="826"/>
      <c r="D8" s="826"/>
      <c r="E8" s="826"/>
      <c r="F8" s="499"/>
      <c r="G8" s="499"/>
      <c r="H8" s="495"/>
      <c r="L8" s="472"/>
      <c r="M8" s="468"/>
      <c r="N8" s="468"/>
      <c r="O8" s="468"/>
      <c r="P8" s="468"/>
      <c r="Q8" s="473"/>
      <c r="R8" s="477" t="str">
        <f>IF(AND(COUNTIF('Start Character'!$I$63:$M$77,"Twilight Prone")=1,NOT(ISERROR(FIND("Magical Botch",M8)))),"Yes",IF(P8&gt;1,"Yes","No"))</f>
        <v>No</v>
      </c>
      <c r="S8" s="501"/>
      <c r="T8" s="478"/>
      <c r="U8" s="501"/>
      <c r="V8" s="479" t="str">
        <f>IF(R8="No","No Twilight",IF(T8="Yes","Uncomprehended Twilight",IF((Character!$B$14+IF(Character!$B$53="Yes",0,Character!$B$53)+IF(Magic!$C$5="Yes",2,0)+ROUNDUP((Magic!$B$30+IF(Magic!$C$30="Yes",3,0))/5,0)+S8)&gt;=($D$3+P8+SUMIF(Character!$I$62:$I$66,"Enigmatic Wisdom",Character!$J$62:$J$66)+Q8+U8),"No Twilight","Twilight")))</f>
        <v>No Twilight</v>
      </c>
      <c r="W8" s="483"/>
      <c r="X8" s="478"/>
      <c r="Y8" s="484"/>
      <c r="Z8" s="478"/>
      <c r="AA8" s="485" t="str">
        <f>IF(V8="Uncomprehended Twilight","Failed",IF(OR(ISBLANK(W8),ISBLANK(Y8))," ",IF(NOT(ISBLANK(X8)),"Failed",IF((W8+Character!$B$9+SUMIF(Character!$I$62:$I$66,"Enigmatic Wisdom",Character!$J$62:$J$66))&gt;=IF(Z8="Yes",0,(Y8+D3)),"Succeeded","Failed"))))</f>
        <v xml:space="preserve"> </v>
      </c>
      <c r="AB8" s="477" t="str">
        <f>IF(AA8=" "," ",IF(NOT(ISBLANK(X8)),VLOOKUP($D$3+X8,Calcs!$A$110:$C$122,3,TRUE),IF(AA8="Failed",VLOOKUP($D$3,Calcs!$A$110:$C$122,3,TRUE),VLOOKUP($D$3-(IF((Character!$B$9+W8)&gt;($D$3+Y8),(Character!$B$9+W8)-($D$3+Y8),0)),Calcs!$A$110:$C$122,3,TRUE))))</f>
        <v xml:space="preserve"> </v>
      </c>
      <c r="AC8" s="489"/>
      <c r="AD8" s="489" t="str">
        <f>IF(IF(AA8=" "," ",IF(NOT(ISBLANK(X8)),VLOOKUP($D$3+X8,Calcs!$A$110:$B$122,2,TRUE),IF(AA8="Failed",VLOOKUP($D$3,Calcs!$A$110:$B$122,2,TRUE),VLOOKUP($D$3-(IF((Character!$B$9+W8)&gt;($D$3+Y8),(Character!$B$9+W8)-($D$3+Y8),0)),Calcs!$A$110:$B$122,2,TRUE))))=Calcs!$B$120,IF(ISBLANK(AC8)," ",CONCATENATE(AC8+7," Years")),IF(AA8=" "," ",IF(NOT(ISBLANK(X8)),VLOOKUP($D$3+X8,Calcs!$A$110:$B$122,2,TRUE),IF(AA8="Failed",VLOOKUP($D$3,Calcs!$A$110:$B$122,2,TRUE),VLOOKUP($D$3-(IF((Character!$B$9+W8)&gt;($D$3+Y8),(Character!$B$9+W8)-($D$3+Y8),0)),Calcs!$A$110:$B$122,2,TRUE)))))</f>
        <v xml:space="preserve"> </v>
      </c>
      <c r="AE8" s="490"/>
      <c r="AF8" s="879"/>
      <c r="AG8" s="491"/>
    </row>
    <row r="9" spans="1:43" x14ac:dyDescent="0.2">
      <c r="A9" s="819"/>
      <c r="B9" s="820"/>
      <c r="C9" s="820"/>
      <c r="D9" s="820"/>
      <c r="E9" s="820"/>
      <c r="F9" s="390"/>
      <c r="G9" s="390"/>
      <c r="H9" s="496"/>
      <c r="L9" s="472"/>
      <c r="M9" s="468"/>
      <c r="N9" s="468"/>
      <c r="O9" s="468"/>
      <c r="P9" s="468"/>
      <c r="Q9" s="473"/>
      <c r="R9" s="477" t="str">
        <f>IF(AND(COUNTIF('Start Character'!$I$63:$M$77,"Twilight Prone")=1,NOT(ISERROR(FIND("Magical Botch",M9)))),"Yes",IF(P9&gt;1,"Yes","No"))</f>
        <v>No</v>
      </c>
      <c r="S9" s="501"/>
      <c r="T9" s="478"/>
      <c r="U9" s="501"/>
      <c r="V9" s="479" t="str">
        <f>IF(R9="No","No Twilight",IF(T9="Yes","Uncomprehended Twilight",IF((Character!$B$14+IF(Character!$B$53="Yes",0,Character!$B$53)+IF(Magic!$C$5="Yes",2,0)+ROUNDUP((Magic!$B$30+IF(Magic!$C$30="Yes",3,0))/5,0)+S9)&gt;=($D$3+P9+SUMIF(Character!$I$62:$I$66,"Enigmatic Wisdom",Character!$J$62:$J$66)+Q9+U9),"No Twilight","Twilight")))</f>
        <v>No Twilight</v>
      </c>
      <c r="W9" s="483"/>
      <c r="X9" s="478"/>
      <c r="Y9" s="484"/>
      <c r="Z9" s="478"/>
      <c r="AA9" s="485" t="str">
        <f>IF(V9="Uncomprehended Twilight","Failed",IF(OR(ISBLANK(W9),ISBLANK(Y9))," ",IF(NOT(ISBLANK(X9)),"Failed",IF((W9+Character!$B$9+SUMIF(Character!$I$62:$I$66,"Enigmatic Wisdom",Character!$J$62:$J$66))&gt;=IF(Z9="Yes",0,(Y9+D4)),"Succeeded","Failed"))))</f>
        <v xml:space="preserve"> </v>
      </c>
      <c r="AB9" s="477" t="str">
        <f>IF(AA9=" "," ",IF(NOT(ISBLANK(X9)),VLOOKUP($D$3+X9,Calcs!$A$110:$C$122,3,TRUE),IF(AA9="Failed",VLOOKUP($D$3,Calcs!$A$110:$C$122,3,TRUE),VLOOKUP($D$3-(IF((Character!$B$9+W9)&gt;($D$3+Y9),(Character!$B$9+W9)-($D$3+Y9),0)),Calcs!$A$110:$C$122,3,TRUE))))</f>
        <v xml:space="preserve"> </v>
      </c>
      <c r="AC9" s="489"/>
      <c r="AD9" s="489" t="str">
        <f>IF(IF(AA9=" "," ",IF(NOT(ISBLANK(X9)),VLOOKUP($D$3+X9,Calcs!$A$110:$B$122,2,TRUE),IF(AA9="Failed",VLOOKUP($D$3,Calcs!$A$110:$B$122,2,TRUE),VLOOKUP($D$3-(IF((Character!$B$9+W9)&gt;($D$3+Y9),(Character!$B$9+W9)-($D$3+Y9),0)),Calcs!$A$110:$B$122,2,TRUE))))=Calcs!$B$120,IF(ISBLANK(AC9)," ",CONCATENATE(AC9+7," Years")),IF(AA9=" "," ",IF(NOT(ISBLANK(X9)),VLOOKUP($D$3+X9,Calcs!$A$110:$B$122,2,TRUE),IF(AA9="Failed",VLOOKUP($D$3,Calcs!$A$110:$B$122,2,TRUE),VLOOKUP($D$3-(IF((Character!$B$9+W9)&gt;($D$3+Y9),(Character!$B$9+W9)-($D$3+Y9),0)),Calcs!$A$110:$B$122,2,TRUE)))))</f>
        <v xml:space="preserve"> </v>
      </c>
      <c r="AE9" s="490"/>
      <c r="AF9" s="879"/>
      <c r="AG9" s="491"/>
    </row>
    <row r="10" spans="1:43" x14ac:dyDescent="0.2">
      <c r="A10" s="819"/>
      <c r="B10" s="820"/>
      <c r="C10" s="820"/>
      <c r="D10" s="820"/>
      <c r="E10" s="820"/>
      <c r="F10" s="390"/>
      <c r="G10" s="390"/>
      <c r="H10" s="496"/>
      <c r="L10" s="472"/>
      <c r="M10" s="468"/>
      <c r="N10" s="468"/>
      <c r="O10" s="468"/>
      <c r="P10" s="468"/>
      <c r="Q10" s="473"/>
      <c r="R10" s="477" t="str">
        <f>IF(AND(COUNTIF('Start Character'!$I$63:$M$77,"Twilight Prone")=1,NOT(ISERROR(FIND("Magical Botch",M10)))),"Yes",IF(P10&gt;1,"Yes","No"))</f>
        <v>No</v>
      </c>
      <c r="S10" s="501"/>
      <c r="T10" s="478"/>
      <c r="U10" s="501"/>
      <c r="V10" s="479" t="str">
        <f>IF(R10="No","No Twilight",IF(T10="Yes","Uncomprehended Twilight",IF((Character!$B$14+IF(Character!$B$53="Yes",0,Character!$B$53)+IF(Magic!$C$5="Yes",2,0)+ROUNDUP((Magic!$B$30+IF(Magic!$C$30="Yes",3,0))/5,0)+S10)&gt;=($D$3+P10+SUMIF(Character!$I$62:$I$66,"Enigmatic Wisdom",Character!$J$62:$J$66)+Q10+U10),"No Twilight","Twilight")))</f>
        <v>No Twilight</v>
      </c>
      <c r="W10" s="483"/>
      <c r="X10" s="478"/>
      <c r="Y10" s="484"/>
      <c r="Z10" s="478"/>
      <c r="AA10" s="485" t="str">
        <f>IF(V10="Uncomprehended Twilight","Failed",IF(OR(ISBLANK(W10),ISBLANK(Y10))," ",IF(NOT(ISBLANK(X10)),"Failed",IF((W10+Character!$B$9+SUMIF(Character!$I$62:$I$66,"Enigmatic Wisdom",Character!$J$62:$J$66))&gt;=IF(Z10="Yes",0,(Y10+D5)),"Succeeded","Failed"))))</f>
        <v xml:space="preserve"> </v>
      </c>
      <c r="AB10" s="477" t="str">
        <f>IF(AA10=" "," ",IF(NOT(ISBLANK(X10)),VLOOKUP($D$3+X10,Calcs!$A$110:$C$122,3,TRUE),IF(AA10="Failed",VLOOKUP($D$3,Calcs!$A$110:$C$122,3,TRUE),VLOOKUP($D$3-(IF((Character!$B$9+W10)&gt;($D$3+Y10),(Character!$B$9+W10)-($D$3+Y10),0)),Calcs!$A$110:$C$122,3,TRUE))))</f>
        <v xml:space="preserve"> </v>
      </c>
      <c r="AC10" s="489"/>
      <c r="AD10" s="489" t="str">
        <f>IF(IF(AA10=" "," ",IF(NOT(ISBLANK(X10)),VLOOKUP($D$3+X10,Calcs!$A$110:$B$122,2,TRUE),IF(AA10="Failed",VLOOKUP($D$3,Calcs!$A$110:$B$122,2,TRUE),VLOOKUP($D$3-(IF((Character!$B$9+W10)&gt;($D$3+Y10),(Character!$B$9+W10)-($D$3+Y10),0)),Calcs!$A$110:$B$122,2,TRUE))))=Calcs!$B$120,IF(ISBLANK(AC10)," ",CONCATENATE(AC10+7," Years")),IF(AA10=" "," ",IF(NOT(ISBLANK(X10)),VLOOKUP($D$3+X10,Calcs!$A$110:$B$122,2,TRUE),IF(AA10="Failed",VLOOKUP($D$3,Calcs!$A$110:$B$122,2,TRUE),VLOOKUP($D$3-(IF((Character!$B$9+W10)&gt;($D$3+Y10),(Character!$B$9+W10)-($D$3+Y10),0)),Calcs!$A$110:$B$122,2,TRUE)))))</f>
        <v xml:space="preserve"> </v>
      </c>
      <c r="AE10" s="490"/>
      <c r="AF10" s="879"/>
      <c r="AG10" s="491"/>
    </row>
    <row r="11" spans="1:43" x14ac:dyDescent="0.2">
      <c r="A11" s="819"/>
      <c r="B11" s="820"/>
      <c r="C11" s="820"/>
      <c r="D11" s="820"/>
      <c r="E11" s="820"/>
      <c r="F11" s="390"/>
      <c r="G11" s="390"/>
      <c r="H11" s="496"/>
      <c r="L11" s="472"/>
      <c r="M11" s="468"/>
      <c r="N11" s="468"/>
      <c r="O11" s="468"/>
      <c r="P11" s="468"/>
      <c r="Q11" s="473"/>
      <c r="R11" s="477" t="str">
        <f>IF(AND(COUNTIF('Start Character'!$I$63:$M$77,"Twilight Prone")=1,NOT(ISERROR(FIND("Magical Botch",M11)))),"Yes",IF(P11&gt;1,"Yes","No"))</f>
        <v>No</v>
      </c>
      <c r="S11" s="501"/>
      <c r="T11" s="478"/>
      <c r="U11" s="501"/>
      <c r="V11" s="479" t="str">
        <f>IF(R11="No","No Twilight",IF(T11="Yes","Uncomprehended Twilight",IF((Character!$B$14+IF(Character!$B$53="Yes",0,Character!$B$53)+IF(Magic!$C$5="Yes",2,0)+ROUNDUP((Magic!$B$30+IF(Magic!$C$30="Yes",3,0))/5,0)+S11)&gt;=($D$3+P11+SUMIF(Character!$I$62:$I$66,"Enigmatic Wisdom",Character!$J$62:$J$66)+Q11+U11),"No Twilight","Twilight")))</f>
        <v>No Twilight</v>
      </c>
      <c r="W11" s="483"/>
      <c r="X11" s="478"/>
      <c r="Y11" s="484"/>
      <c r="Z11" s="478"/>
      <c r="AA11" s="485" t="str">
        <f>IF(V11="Uncomprehended Twilight","Failed",IF(OR(ISBLANK(W11),ISBLANK(Y11))," ",IF(NOT(ISBLANK(X11)),"Failed",IF((W11+Character!$B$9+SUMIF(Character!$I$62:$I$66,"Enigmatic Wisdom",Character!$J$62:$J$66))&gt;=IF(Z11="Yes",0,(Y11+D6)),"Succeeded","Failed"))))</f>
        <v xml:space="preserve"> </v>
      </c>
      <c r="AB11" s="477" t="str">
        <f>IF(AA11=" "," ",IF(NOT(ISBLANK(X11)),VLOOKUP($D$3+X11,Calcs!$A$110:$C$122,3,TRUE),IF(AA11="Failed",VLOOKUP($D$3,Calcs!$A$110:$C$122,3,TRUE),VLOOKUP($D$3-(IF((Character!$B$9+W11)&gt;($D$3+Y11),(Character!$B$9+W11)-($D$3+Y11),0)),Calcs!$A$110:$C$122,3,TRUE))))</f>
        <v xml:space="preserve"> </v>
      </c>
      <c r="AC11" s="489"/>
      <c r="AD11" s="489" t="str">
        <f>IF(IF(AA11=" "," ",IF(NOT(ISBLANK(X11)),VLOOKUP($D$3+X11,Calcs!$A$110:$B$122,2,TRUE),IF(AA11="Failed",VLOOKUP($D$3,Calcs!$A$110:$B$122,2,TRUE),VLOOKUP($D$3-(IF((Character!$B$9+W11)&gt;($D$3+Y11),(Character!$B$9+W11)-($D$3+Y11),0)),Calcs!$A$110:$B$122,2,TRUE))))=Calcs!$B$120,IF(ISBLANK(AC11)," ",CONCATENATE(AC11+7," Years")),IF(AA11=" "," ",IF(NOT(ISBLANK(X11)),VLOOKUP($D$3+X11,Calcs!$A$110:$B$122,2,TRUE),IF(AA11="Failed",VLOOKUP($D$3,Calcs!$A$110:$B$122,2,TRUE),VLOOKUP($D$3-(IF((Character!$B$9+W11)&gt;($D$3+Y11),(Character!$B$9+W11)-($D$3+Y11),0)),Calcs!$A$110:$B$122,2,TRUE)))))</f>
        <v xml:space="preserve"> </v>
      </c>
      <c r="AE11" s="490"/>
      <c r="AF11" s="879"/>
      <c r="AG11" s="491"/>
    </row>
    <row r="12" spans="1:43" x14ac:dyDescent="0.2">
      <c r="A12" s="819"/>
      <c r="B12" s="820"/>
      <c r="C12" s="820"/>
      <c r="D12" s="820"/>
      <c r="E12" s="820"/>
      <c r="F12" s="390"/>
      <c r="G12" s="390"/>
      <c r="H12" s="496"/>
      <c r="L12" s="472"/>
      <c r="M12" s="468"/>
      <c r="N12" s="468"/>
      <c r="O12" s="468"/>
      <c r="P12" s="468"/>
      <c r="Q12" s="473"/>
      <c r="R12" s="477" t="str">
        <f>IF(AND(COUNTIF('Start Character'!$I$63:$M$77,"Twilight Prone")=1,NOT(ISERROR(FIND("Magical Botch",M12)))),"Yes",IF(P12&gt;1,"Yes","No"))</f>
        <v>No</v>
      </c>
      <c r="S12" s="501"/>
      <c r="T12" s="478"/>
      <c r="U12" s="501"/>
      <c r="V12" s="479" t="str">
        <f>IF(R12="No","No Twilight",IF(T12="Yes","Uncomprehended Twilight",IF((Character!$B$14+IF(Character!$B$53="Yes",0,Character!$B$53)+IF(Magic!$C$5="Yes",2,0)+ROUNDUP((Magic!$B$30+IF(Magic!$C$30="Yes",3,0))/5,0)+S12)&gt;=($D$3+P12+SUMIF(Character!$I$62:$I$66,"Enigmatic Wisdom",Character!$J$62:$J$66)+Q12+U12),"No Twilight","Twilight")))</f>
        <v>No Twilight</v>
      </c>
      <c r="W12" s="483"/>
      <c r="X12" s="478"/>
      <c r="Y12" s="484"/>
      <c r="Z12" s="478"/>
      <c r="AA12" s="485" t="str">
        <f>IF(V12="Uncomprehended Twilight","Failed",IF(OR(ISBLANK(W12),ISBLANK(Y12))," ",IF(NOT(ISBLANK(X12)),"Failed",IF((W12+Character!$B$9+SUMIF(Character!$I$62:$I$66,"Enigmatic Wisdom",Character!$J$62:$J$66))&gt;=IF(Z12="Yes",0,(Y12+D7)),"Succeeded","Failed"))))</f>
        <v xml:space="preserve"> </v>
      </c>
      <c r="AB12" s="477" t="str">
        <f>IF(AA12=" "," ",IF(NOT(ISBLANK(X12)),VLOOKUP($D$3+X12,Calcs!$A$110:$C$122,3,TRUE),IF(AA12="Failed",VLOOKUP($D$3,Calcs!$A$110:$C$122,3,TRUE),VLOOKUP($D$3-(IF((Character!$B$9+W12)&gt;($D$3+Y12),(Character!$B$9+W12)-($D$3+Y12),0)),Calcs!$A$110:$C$122,3,TRUE))))</f>
        <v xml:space="preserve"> </v>
      </c>
      <c r="AC12" s="489"/>
      <c r="AD12" s="489" t="str">
        <f>IF(IF(AA12=" "," ",IF(NOT(ISBLANK(X12)),VLOOKUP($D$3+X12,Calcs!$A$110:$B$122,2,TRUE),IF(AA12="Failed",VLOOKUP($D$3,Calcs!$A$110:$B$122,2,TRUE),VLOOKUP($D$3-(IF((Character!$B$9+W12)&gt;($D$3+Y12),(Character!$B$9+W12)-($D$3+Y12),0)),Calcs!$A$110:$B$122,2,TRUE))))=Calcs!$B$120,IF(ISBLANK(AC12)," ",CONCATENATE(AC12+7," Years")),IF(AA12=" "," ",IF(NOT(ISBLANK(X12)),VLOOKUP($D$3+X12,Calcs!$A$110:$B$122,2,TRUE),IF(AA12="Failed",VLOOKUP($D$3,Calcs!$A$110:$B$122,2,TRUE),VLOOKUP($D$3-(IF((Character!$B$9+W12)&gt;($D$3+Y12),(Character!$B$9+W12)-($D$3+Y12),0)),Calcs!$A$110:$B$122,2,TRUE)))))</f>
        <v xml:space="preserve"> </v>
      </c>
      <c r="AE12" s="490"/>
      <c r="AF12" s="879"/>
      <c r="AG12" s="491"/>
    </row>
    <row r="13" spans="1:43" x14ac:dyDescent="0.2">
      <c r="A13" s="819"/>
      <c r="B13" s="820"/>
      <c r="C13" s="820"/>
      <c r="D13" s="820"/>
      <c r="E13" s="820"/>
      <c r="F13" s="390"/>
      <c r="G13" s="390"/>
      <c r="H13" s="496"/>
      <c r="L13" s="472"/>
      <c r="M13" s="468"/>
      <c r="N13" s="468"/>
      <c r="O13" s="468"/>
      <c r="P13" s="468"/>
      <c r="Q13" s="473"/>
      <c r="R13" s="477" t="str">
        <f>IF(AND(COUNTIF('Start Character'!$I$63:$M$77,"Twilight Prone")=1,NOT(ISERROR(FIND("Magical Botch",M13)))),"Yes",IF(P13&gt;1,"Yes","No"))</f>
        <v>No</v>
      </c>
      <c r="S13" s="501"/>
      <c r="T13" s="478"/>
      <c r="U13" s="501"/>
      <c r="V13" s="479" t="str">
        <f>IF(R13="No","No Twilight",IF(T13="Yes","Uncomprehended Twilight",IF((Character!$B$14+IF(Character!$B$53="Yes",0,Character!$B$53)+IF(Magic!$C$5="Yes",2,0)+ROUNDUP((Magic!$B$30+IF(Magic!$C$30="Yes",3,0))/5,0)+S13)&gt;=($D$3+P13+SUMIF(Character!$I$62:$I$66,"Enigmatic Wisdom",Character!$J$62:$J$66)+Q13+U13),"No Twilight","Twilight")))</f>
        <v>No Twilight</v>
      </c>
      <c r="W13" s="483"/>
      <c r="X13" s="478"/>
      <c r="Y13" s="484"/>
      <c r="Z13" s="478"/>
      <c r="AA13" s="485" t="str">
        <f>IF(V13="Uncomprehended Twilight","Failed",IF(OR(ISBLANK(W13),ISBLANK(Y13))," ",IF(NOT(ISBLANK(X13)),"Failed",IF((W13+Character!$B$9+SUMIF(Character!$I$62:$I$66,"Enigmatic Wisdom",Character!$J$62:$J$66))&gt;=IF(Z13="Yes",0,(Y13+D8)),"Succeeded","Failed"))))</f>
        <v xml:space="preserve"> </v>
      </c>
      <c r="AB13" s="477" t="str">
        <f>IF(AA13=" "," ",IF(NOT(ISBLANK(X13)),VLOOKUP($D$3+X13,Calcs!$A$110:$C$122,3,TRUE),IF(AA13="Failed",VLOOKUP($D$3,Calcs!$A$110:$C$122,3,TRUE),VLOOKUP($D$3-(IF((Character!$B$9+W13)&gt;($D$3+Y13),(Character!$B$9+W13)-($D$3+Y13),0)),Calcs!$A$110:$C$122,3,TRUE))))</f>
        <v xml:space="preserve"> </v>
      </c>
      <c r="AC13" s="489"/>
      <c r="AD13" s="489" t="str">
        <f>IF(IF(AA13=" "," ",IF(NOT(ISBLANK(X13)),VLOOKUP($D$3+X13,Calcs!$A$110:$B$122,2,TRUE),IF(AA13="Failed",VLOOKUP($D$3,Calcs!$A$110:$B$122,2,TRUE),VLOOKUP($D$3-(IF((Character!$B$9+W13)&gt;($D$3+Y13),(Character!$B$9+W13)-($D$3+Y13),0)),Calcs!$A$110:$B$122,2,TRUE))))=Calcs!$B$120,IF(ISBLANK(AC13)," ",CONCATENATE(AC13+7," Years")),IF(AA13=" "," ",IF(NOT(ISBLANK(X13)),VLOOKUP($D$3+X13,Calcs!$A$110:$B$122,2,TRUE),IF(AA13="Failed",VLOOKUP($D$3,Calcs!$A$110:$B$122,2,TRUE),VLOOKUP($D$3-(IF((Character!$B$9+W13)&gt;($D$3+Y13),(Character!$B$9+W13)-($D$3+Y13),0)),Calcs!$A$110:$B$122,2,TRUE)))))</f>
        <v xml:space="preserve"> </v>
      </c>
      <c r="AE13" s="490"/>
      <c r="AF13" s="879"/>
      <c r="AG13" s="491"/>
    </row>
    <row r="14" spans="1:43" x14ac:dyDescent="0.2">
      <c r="A14" s="819"/>
      <c r="B14" s="820"/>
      <c r="C14" s="820"/>
      <c r="D14" s="820"/>
      <c r="E14" s="820"/>
      <c r="F14" s="390"/>
      <c r="G14" s="390"/>
      <c r="H14" s="496"/>
      <c r="L14" s="472"/>
      <c r="M14" s="468"/>
      <c r="N14" s="468"/>
      <c r="O14" s="468"/>
      <c r="P14" s="468"/>
      <c r="Q14" s="473"/>
      <c r="R14" s="477" t="str">
        <f>IF(AND(COUNTIF('Start Character'!$I$63:$M$77,"Twilight Prone")=1,NOT(ISERROR(FIND("Magical Botch",M14)))),"Yes",IF(P14&gt;1,"Yes","No"))</f>
        <v>No</v>
      </c>
      <c r="S14" s="501"/>
      <c r="T14" s="478"/>
      <c r="U14" s="501"/>
      <c r="V14" s="479" t="str">
        <f>IF(R14="No","No Twilight",IF(T14="Yes","Uncomprehended Twilight",IF((Character!$B$14+IF(Character!$B$53="Yes",0,Character!$B$53)+IF(Magic!$C$5="Yes",2,0)+ROUNDUP((Magic!$B$30+IF(Magic!$C$30="Yes",3,0))/5,0)+S14)&gt;=($D$3+P14+SUMIF(Character!$I$62:$I$66,"Enigmatic Wisdom",Character!$J$62:$J$66)+Q14+U14),"No Twilight","Twilight")))</f>
        <v>No Twilight</v>
      </c>
      <c r="W14" s="483"/>
      <c r="X14" s="478"/>
      <c r="Y14" s="484"/>
      <c r="Z14" s="478"/>
      <c r="AA14" s="485" t="str">
        <f>IF(V14="Uncomprehended Twilight","Failed",IF(OR(ISBLANK(W14),ISBLANK(Y14))," ",IF(NOT(ISBLANK(X14)),"Failed",IF((W14+Character!$B$9+SUMIF(Character!$I$62:$I$66,"Enigmatic Wisdom",Character!$J$62:$J$66))&gt;=IF(Z14="Yes",0,(Y14+D9)),"Succeeded","Failed"))))</f>
        <v xml:space="preserve"> </v>
      </c>
      <c r="AB14" s="477" t="str">
        <f>IF(AA14=" "," ",IF(NOT(ISBLANK(X14)),VLOOKUP($D$3+X14,Calcs!$A$110:$C$122,3,TRUE),IF(AA14="Failed",VLOOKUP($D$3,Calcs!$A$110:$C$122,3,TRUE),VLOOKUP($D$3-(IF((Character!$B$9+W14)&gt;($D$3+Y14),(Character!$B$9+W14)-($D$3+Y14),0)),Calcs!$A$110:$C$122,3,TRUE))))</f>
        <v xml:space="preserve"> </v>
      </c>
      <c r="AC14" s="489"/>
      <c r="AD14" s="489" t="str">
        <f>IF(IF(AA14=" "," ",IF(NOT(ISBLANK(X14)),VLOOKUP($D$3+X14,Calcs!$A$110:$B$122,2,TRUE),IF(AA14="Failed",VLOOKUP($D$3,Calcs!$A$110:$B$122,2,TRUE),VLOOKUP($D$3-(IF((Character!$B$9+W14)&gt;($D$3+Y14),(Character!$B$9+W14)-($D$3+Y14),0)),Calcs!$A$110:$B$122,2,TRUE))))=Calcs!$B$120,IF(ISBLANK(AC14)," ",CONCATENATE(AC14+7," Years")),IF(AA14=" "," ",IF(NOT(ISBLANK(X14)),VLOOKUP($D$3+X14,Calcs!$A$110:$B$122,2,TRUE),IF(AA14="Failed",VLOOKUP($D$3,Calcs!$A$110:$B$122,2,TRUE),VLOOKUP($D$3-(IF((Character!$B$9+W14)&gt;($D$3+Y14),(Character!$B$9+W14)-($D$3+Y14),0)),Calcs!$A$110:$B$122,2,TRUE)))))</f>
        <v xml:space="preserve"> </v>
      </c>
      <c r="AE14" s="490"/>
      <c r="AF14" s="879"/>
      <c r="AG14" s="491"/>
    </row>
    <row r="15" spans="1:43" x14ac:dyDescent="0.2">
      <c r="A15" s="819"/>
      <c r="B15" s="820"/>
      <c r="C15" s="820"/>
      <c r="D15" s="820"/>
      <c r="E15" s="820"/>
      <c r="F15" s="390"/>
      <c r="G15" s="390"/>
      <c r="H15" s="496"/>
      <c r="L15" s="472"/>
      <c r="M15" s="468"/>
      <c r="N15" s="468"/>
      <c r="O15" s="468"/>
      <c r="P15" s="468"/>
      <c r="Q15" s="473"/>
      <c r="R15" s="477" t="str">
        <f>IF(AND(COUNTIF('Start Character'!$I$63:$M$77,"Twilight Prone")=1,NOT(ISERROR(FIND("Magical Botch",M15)))),"Yes",IF(P15&gt;1,"Yes","No"))</f>
        <v>No</v>
      </c>
      <c r="S15" s="501"/>
      <c r="T15" s="478"/>
      <c r="U15" s="501"/>
      <c r="V15" s="479" t="str">
        <f>IF(R15="No","No Twilight",IF(T15="Yes","Uncomprehended Twilight",IF((Character!$B$14+IF(Character!$B$53="Yes",0,Character!$B$53)+IF(Magic!$C$5="Yes",2,0)+ROUNDUP((Magic!$B$30+IF(Magic!$C$30="Yes",3,0))/5,0)+S15)&gt;=($D$3+P15+SUMIF(Character!$I$62:$I$66,"Enigmatic Wisdom",Character!$J$62:$J$66)+Q15+U15),"No Twilight","Twilight")))</f>
        <v>No Twilight</v>
      </c>
      <c r="W15" s="483"/>
      <c r="X15" s="478"/>
      <c r="Y15" s="484"/>
      <c r="Z15" s="478"/>
      <c r="AA15" s="485" t="str">
        <f>IF(V15="Uncomprehended Twilight","Failed",IF(OR(ISBLANK(W15),ISBLANK(Y15))," ",IF(NOT(ISBLANK(X15)),"Failed",IF((W15+Character!$B$9+SUMIF(Character!$I$62:$I$66,"Enigmatic Wisdom",Character!$J$62:$J$66))&gt;=IF(Z15="Yes",0,(Y15+D10)),"Succeeded","Failed"))))</f>
        <v xml:space="preserve"> </v>
      </c>
      <c r="AB15" s="477" t="str">
        <f>IF(AA15=" "," ",IF(NOT(ISBLANK(X15)),VLOOKUP($D$3+X15,Calcs!$A$110:$C$122,3,TRUE),IF(AA15="Failed",VLOOKUP($D$3,Calcs!$A$110:$C$122,3,TRUE),VLOOKUP($D$3-(IF((Character!$B$9+W15)&gt;($D$3+Y15),(Character!$B$9+W15)-($D$3+Y15),0)),Calcs!$A$110:$C$122,3,TRUE))))</f>
        <v xml:space="preserve"> </v>
      </c>
      <c r="AC15" s="489"/>
      <c r="AD15" s="489" t="str">
        <f>IF(IF(AA15=" "," ",IF(NOT(ISBLANK(X15)),VLOOKUP($D$3+X15,Calcs!$A$110:$B$122,2,TRUE),IF(AA15="Failed",VLOOKUP($D$3,Calcs!$A$110:$B$122,2,TRUE),VLOOKUP($D$3-(IF((Character!$B$9+W15)&gt;($D$3+Y15),(Character!$B$9+W15)-($D$3+Y15),0)),Calcs!$A$110:$B$122,2,TRUE))))=Calcs!$B$120,IF(ISBLANK(AC15)," ",CONCATENATE(AC15+7," Years")),IF(AA15=" "," ",IF(NOT(ISBLANK(X15)),VLOOKUP($D$3+X15,Calcs!$A$110:$B$122,2,TRUE),IF(AA15="Failed",VLOOKUP($D$3,Calcs!$A$110:$B$122,2,TRUE),VLOOKUP($D$3-(IF((Character!$B$9+W15)&gt;($D$3+Y15),(Character!$B$9+W15)-($D$3+Y15),0)),Calcs!$A$110:$B$122,2,TRUE)))))</f>
        <v xml:space="preserve"> </v>
      </c>
      <c r="AE15" s="490"/>
      <c r="AF15" s="879"/>
      <c r="AG15" s="491"/>
    </row>
    <row r="16" spans="1:43" x14ac:dyDescent="0.2">
      <c r="A16" s="819"/>
      <c r="B16" s="820"/>
      <c r="C16" s="820"/>
      <c r="D16" s="820"/>
      <c r="E16" s="820"/>
      <c r="F16" s="390"/>
      <c r="G16" s="390"/>
      <c r="H16" s="496"/>
      <c r="L16" s="472"/>
      <c r="M16" s="468"/>
      <c r="N16" s="468"/>
      <c r="O16" s="468"/>
      <c r="P16" s="468"/>
      <c r="Q16" s="473"/>
      <c r="R16" s="477" t="str">
        <f>IF(AND(COUNTIF('Start Character'!$I$63:$M$77,"Twilight Prone")=1,NOT(ISERROR(FIND("Magical Botch",M16)))),"Yes",IF(P16&gt;1,"Yes","No"))</f>
        <v>No</v>
      </c>
      <c r="S16" s="501"/>
      <c r="T16" s="478"/>
      <c r="U16" s="501"/>
      <c r="V16" s="479" t="str">
        <f>IF(R16="No","No Twilight",IF(T16="Yes","Uncomprehended Twilight",IF((Character!$B$14+IF(Character!$B$53="Yes",0,Character!$B$53)+IF(Magic!$C$5="Yes",2,0)+ROUNDUP((Magic!$B$30+IF(Magic!$C$30="Yes",3,0))/5,0)+S16)&gt;=($D$3+P16+SUMIF(Character!$I$62:$I$66,"Enigmatic Wisdom",Character!$J$62:$J$66)+Q16+U16),"No Twilight","Twilight")))</f>
        <v>No Twilight</v>
      </c>
      <c r="W16" s="483"/>
      <c r="X16" s="478"/>
      <c r="Y16" s="484"/>
      <c r="Z16" s="478"/>
      <c r="AA16" s="485" t="str">
        <f>IF(V16="Uncomprehended Twilight","Failed",IF(OR(ISBLANK(W16),ISBLANK(Y16))," ",IF(NOT(ISBLANK(X16)),"Failed",IF((W16+Character!$B$9+SUMIF(Character!$I$62:$I$66,"Enigmatic Wisdom",Character!$J$62:$J$66))&gt;=IF(Z16="Yes",0,(Y16+D11)),"Succeeded","Failed"))))</f>
        <v xml:space="preserve"> </v>
      </c>
      <c r="AB16" s="477" t="str">
        <f>IF(AA16=" "," ",IF(NOT(ISBLANK(X16)),VLOOKUP($D$3+X16,Calcs!$A$110:$C$122,3,TRUE),IF(AA16="Failed",VLOOKUP($D$3,Calcs!$A$110:$C$122,3,TRUE),VLOOKUP($D$3-(IF((Character!$B$9+W16)&gt;($D$3+Y16),(Character!$B$9+W16)-($D$3+Y16),0)),Calcs!$A$110:$C$122,3,TRUE))))</f>
        <v xml:space="preserve"> </v>
      </c>
      <c r="AC16" s="489"/>
      <c r="AD16" s="489" t="str">
        <f>IF(IF(AA16=" "," ",IF(NOT(ISBLANK(X16)),VLOOKUP($D$3+X16,Calcs!$A$110:$B$122,2,TRUE),IF(AA16="Failed",VLOOKUP($D$3,Calcs!$A$110:$B$122,2,TRUE),VLOOKUP($D$3-(IF((Character!$B$9+W16)&gt;($D$3+Y16),(Character!$B$9+W16)-($D$3+Y16),0)),Calcs!$A$110:$B$122,2,TRUE))))=Calcs!$B$120,IF(ISBLANK(AC16)," ",CONCATENATE(AC16+7," Years")),IF(AA16=" "," ",IF(NOT(ISBLANK(X16)),VLOOKUP($D$3+X16,Calcs!$A$110:$B$122,2,TRUE),IF(AA16="Failed",VLOOKUP($D$3,Calcs!$A$110:$B$122,2,TRUE),VLOOKUP($D$3-(IF((Character!$B$9+W16)&gt;($D$3+Y16),(Character!$B$9+W16)-($D$3+Y16),0)),Calcs!$A$110:$B$122,2,TRUE)))))</f>
        <v xml:space="preserve"> </v>
      </c>
      <c r="AE16" s="490"/>
      <c r="AF16" s="879"/>
      <c r="AG16" s="491"/>
    </row>
    <row r="17" spans="1:33" x14ac:dyDescent="0.2">
      <c r="A17" s="819"/>
      <c r="B17" s="820"/>
      <c r="C17" s="820"/>
      <c r="D17" s="820"/>
      <c r="E17" s="820"/>
      <c r="F17" s="390"/>
      <c r="G17" s="390"/>
      <c r="H17" s="496"/>
      <c r="L17" s="472"/>
      <c r="M17" s="468"/>
      <c r="N17" s="468"/>
      <c r="O17" s="468"/>
      <c r="P17" s="468"/>
      <c r="Q17" s="473"/>
      <c r="R17" s="477" t="str">
        <f>IF(AND(COUNTIF('Start Character'!$I$63:$M$77,"Twilight Prone")=1,NOT(ISERROR(FIND("Magical Botch",M17)))),"Yes",IF(P17&gt;1,"Yes","No"))</f>
        <v>No</v>
      </c>
      <c r="S17" s="501"/>
      <c r="T17" s="478"/>
      <c r="U17" s="501"/>
      <c r="V17" s="479" t="str">
        <f>IF(R17="No","No Twilight",IF(T17="Yes","Uncomprehended Twilight",IF((Character!$B$14+IF(Character!$B$53="Yes",0,Character!$B$53)+IF(Magic!$C$5="Yes",2,0)+ROUNDUP((Magic!$B$30+IF(Magic!$C$30="Yes",3,0))/5,0)+S17)&gt;=($D$3+P17+SUMIF(Character!$I$62:$I$66,"Enigmatic Wisdom",Character!$J$62:$J$66)+Q17+U17),"No Twilight","Twilight")))</f>
        <v>No Twilight</v>
      </c>
      <c r="W17" s="483"/>
      <c r="X17" s="478"/>
      <c r="Y17" s="484"/>
      <c r="Z17" s="478"/>
      <c r="AA17" s="485" t="str">
        <f>IF(V17="Uncomprehended Twilight","Failed",IF(OR(ISBLANK(W17),ISBLANK(Y17))," ",IF(NOT(ISBLANK(X17)),"Failed",IF((W17+Character!$B$9+SUMIF(Character!$I$62:$I$66,"Enigmatic Wisdom",Character!$J$62:$J$66))&gt;=IF(Z17="Yes",0,(Y17+D12)),"Succeeded","Failed"))))</f>
        <v xml:space="preserve"> </v>
      </c>
      <c r="AB17" s="477" t="str">
        <f>IF(AA17=" "," ",IF(NOT(ISBLANK(X17)),VLOOKUP($D$3+X17,Calcs!$A$110:$C$122,3,TRUE),IF(AA17="Failed",VLOOKUP($D$3,Calcs!$A$110:$C$122,3,TRUE),VLOOKUP($D$3-(IF((Character!$B$9+W17)&gt;($D$3+Y17),(Character!$B$9+W17)-($D$3+Y17),0)),Calcs!$A$110:$C$122,3,TRUE))))</f>
        <v xml:space="preserve"> </v>
      </c>
      <c r="AC17" s="489"/>
      <c r="AD17" s="489" t="str">
        <f>IF(IF(AA17=" "," ",IF(NOT(ISBLANK(X17)),VLOOKUP($D$3+X17,Calcs!$A$110:$B$122,2,TRUE),IF(AA17="Failed",VLOOKUP($D$3,Calcs!$A$110:$B$122,2,TRUE),VLOOKUP($D$3-(IF((Character!$B$9+W17)&gt;($D$3+Y17),(Character!$B$9+W17)-($D$3+Y17),0)),Calcs!$A$110:$B$122,2,TRUE))))=Calcs!$B$120,IF(ISBLANK(AC17)," ",CONCATENATE(AC17+7," Years")),IF(AA17=" "," ",IF(NOT(ISBLANK(X17)),VLOOKUP($D$3+X17,Calcs!$A$110:$B$122,2,TRUE),IF(AA17="Failed",VLOOKUP($D$3,Calcs!$A$110:$B$122,2,TRUE),VLOOKUP($D$3-(IF((Character!$B$9+W17)&gt;($D$3+Y17),(Character!$B$9+W17)-($D$3+Y17),0)),Calcs!$A$110:$B$122,2,TRUE)))))</f>
        <v xml:space="preserve"> </v>
      </c>
      <c r="AE17" s="490"/>
      <c r="AF17" s="879"/>
      <c r="AG17" s="491"/>
    </row>
    <row r="18" spans="1:33" x14ac:dyDescent="0.2">
      <c r="A18" s="819"/>
      <c r="B18" s="820"/>
      <c r="C18" s="820"/>
      <c r="D18" s="820"/>
      <c r="E18" s="820"/>
      <c r="F18" s="390"/>
      <c r="G18" s="390"/>
      <c r="H18" s="496"/>
      <c r="L18" s="472"/>
      <c r="M18" s="468"/>
      <c r="N18" s="468"/>
      <c r="O18" s="468"/>
      <c r="P18" s="468"/>
      <c r="Q18" s="473"/>
      <c r="R18" s="477" t="str">
        <f>IF(AND(COUNTIF('Start Character'!$I$63:$M$77,"Twilight Prone")=1,NOT(ISERROR(FIND("Magical Botch",M18)))),"Yes",IF(P18&gt;1,"Yes","No"))</f>
        <v>No</v>
      </c>
      <c r="S18" s="501"/>
      <c r="T18" s="478"/>
      <c r="U18" s="501"/>
      <c r="V18" s="479" t="str">
        <f>IF(R18="No","No Twilight",IF(T18="Yes","Uncomprehended Twilight",IF((Character!$B$14+IF(Character!$B$53="Yes",0,Character!$B$53)+IF(Magic!$C$5="Yes",2,0)+ROUNDUP((Magic!$B$30+IF(Magic!$C$30="Yes",3,0))/5,0)+S18)&gt;=($D$3+P18+SUMIF(Character!$I$62:$I$66,"Enigmatic Wisdom",Character!$J$62:$J$66)+Q18+U18),"No Twilight","Twilight")))</f>
        <v>No Twilight</v>
      </c>
      <c r="W18" s="483"/>
      <c r="X18" s="478"/>
      <c r="Y18" s="484"/>
      <c r="Z18" s="478"/>
      <c r="AA18" s="485" t="str">
        <f>IF(V18="Uncomprehended Twilight","Failed",IF(OR(ISBLANK(W18),ISBLANK(Y18))," ",IF(NOT(ISBLANK(X18)),"Failed",IF((W18+Character!$B$9+SUMIF(Character!$I$62:$I$66,"Enigmatic Wisdom",Character!$J$62:$J$66))&gt;=IF(Z18="Yes",0,(Y18+D13)),"Succeeded","Failed"))))</f>
        <v xml:space="preserve"> </v>
      </c>
      <c r="AB18" s="477" t="str">
        <f>IF(AA18=" "," ",IF(NOT(ISBLANK(X18)),VLOOKUP($D$3+X18,Calcs!$A$110:$C$122,3,TRUE),IF(AA18="Failed",VLOOKUP($D$3,Calcs!$A$110:$C$122,3,TRUE),VLOOKUP($D$3-(IF((Character!$B$9+W18)&gt;($D$3+Y18),(Character!$B$9+W18)-($D$3+Y18),0)),Calcs!$A$110:$C$122,3,TRUE))))</f>
        <v xml:space="preserve"> </v>
      </c>
      <c r="AC18" s="489"/>
      <c r="AD18" s="489" t="str">
        <f>IF(IF(AA18=" "," ",IF(NOT(ISBLANK(X18)),VLOOKUP($D$3+X18,Calcs!$A$110:$B$122,2,TRUE),IF(AA18="Failed",VLOOKUP($D$3,Calcs!$A$110:$B$122,2,TRUE),VLOOKUP($D$3-(IF((Character!$B$9+W18)&gt;($D$3+Y18),(Character!$B$9+W18)-($D$3+Y18),0)),Calcs!$A$110:$B$122,2,TRUE))))=Calcs!$B$120,IF(ISBLANK(AC18)," ",CONCATENATE(AC18+7," Years")),IF(AA18=" "," ",IF(NOT(ISBLANK(X18)),VLOOKUP($D$3+X18,Calcs!$A$110:$B$122,2,TRUE),IF(AA18="Failed",VLOOKUP($D$3,Calcs!$A$110:$B$122,2,TRUE),VLOOKUP($D$3-(IF((Character!$B$9+W18)&gt;($D$3+Y18),(Character!$B$9+W18)-($D$3+Y18),0)),Calcs!$A$110:$B$122,2,TRUE)))))</f>
        <v xml:space="preserve"> </v>
      </c>
      <c r="AE18" s="490"/>
      <c r="AF18" s="879"/>
      <c r="AG18" s="491"/>
    </row>
    <row r="19" spans="1:33" x14ac:dyDescent="0.2">
      <c r="A19" s="819"/>
      <c r="B19" s="820"/>
      <c r="C19" s="820"/>
      <c r="D19" s="820"/>
      <c r="E19" s="820"/>
      <c r="F19" s="390"/>
      <c r="G19" s="390"/>
      <c r="H19" s="496"/>
      <c r="L19" s="472"/>
      <c r="M19" s="468"/>
      <c r="N19" s="468"/>
      <c r="O19" s="468"/>
      <c r="P19" s="468"/>
      <c r="Q19" s="473"/>
      <c r="R19" s="477" t="str">
        <f>IF(AND(COUNTIF('Start Character'!$I$63:$M$77,"Twilight Prone")=1,NOT(ISERROR(FIND("Magical Botch",M19)))),"Yes",IF(P19&gt;1,"Yes","No"))</f>
        <v>No</v>
      </c>
      <c r="S19" s="501"/>
      <c r="T19" s="478"/>
      <c r="U19" s="501"/>
      <c r="V19" s="479" t="str">
        <f>IF(R19="No","No Twilight",IF(T19="Yes","Uncomprehended Twilight",IF((Character!$B$14+IF(Character!$B$53="Yes",0,Character!$B$53)+IF(Magic!$C$5="Yes",2,0)+ROUNDUP((Magic!$B$30+IF(Magic!$C$30="Yes",3,0))/5,0)+S19)&gt;=($D$3+P19+SUMIF(Character!$I$62:$I$66,"Enigmatic Wisdom",Character!$J$62:$J$66)+Q19+U19),"No Twilight","Twilight")))</f>
        <v>No Twilight</v>
      </c>
      <c r="W19" s="483"/>
      <c r="X19" s="478"/>
      <c r="Y19" s="484"/>
      <c r="Z19" s="478"/>
      <c r="AA19" s="485" t="str">
        <f>IF(V19="Uncomprehended Twilight","Failed",IF(OR(ISBLANK(W19),ISBLANK(Y19))," ",IF(NOT(ISBLANK(X19)),"Failed",IF((W19+Character!$B$9+SUMIF(Character!$I$62:$I$66,"Enigmatic Wisdom",Character!$J$62:$J$66))&gt;=IF(Z19="Yes",0,(Y19+D14)),"Succeeded","Failed"))))</f>
        <v xml:space="preserve"> </v>
      </c>
      <c r="AB19" s="477" t="str">
        <f>IF(AA19=" "," ",IF(NOT(ISBLANK(X19)),VLOOKUP($D$3+X19,Calcs!$A$110:$C$122,3,TRUE),IF(AA19="Failed",VLOOKUP($D$3,Calcs!$A$110:$C$122,3,TRUE),VLOOKUP($D$3-(IF((Character!$B$9+W19)&gt;($D$3+Y19),(Character!$B$9+W19)-($D$3+Y19),0)),Calcs!$A$110:$C$122,3,TRUE))))</f>
        <v xml:space="preserve"> </v>
      </c>
      <c r="AC19" s="489"/>
      <c r="AD19" s="489" t="str">
        <f>IF(IF(AA19=" "," ",IF(NOT(ISBLANK(X19)),VLOOKUP($D$3+X19,Calcs!$A$110:$B$122,2,TRUE),IF(AA19="Failed",VLOOKUP($D$3,Calcs!$A$110:$B$122,2,TRUE),VLOOKUP($D$3-(IF((Character!$B$9+W19)&gt;($D$3+Y19),(Character!$B$9+W19)-($D$3+Y19),0)),Calcs!$A$110:$B$122,2,TRUE))))=Calcs!$B$120,IF(ISBLANK(AC19)," ",CONCATENATE(AC19+7," Years")),IF(AA19=" "," ",IF(NOT(ISBLANK(X19)),VLOOKUP($D$3+X19,Calcs!$A$110:$B$122,2,TRUE),IF(AA19="Failed",VLOOKUP($D$3,Calcs!$A$110:$B$122,2,TRUE),VLOOKUP($D$3-(IF((Character!$B$9+W19)&gt;($D$3+Y19),(Character!$B$9+W19)-($D$3+Y19),0)),Calcs!$A$110:$B$122,2,TRUE)))))</f>
        <v xml:space="preserve"> </v>
      </c>
      <c r="AE19" s="490"/>
      <c r="AF19" s="879"/>
      <c r="AG19" s="491"/>
    </row>
    <row r="20" spans="1:33" x14ac:dyDescent="0.2">
      <c r="A20" s="819"/>
      <c r="B20" s="820"/>
      <c r="C20" s="820"/>
      <c r="D20" s="820"/>
      <c r="E20" s="820"/>
      <c r="F20" s="390"/>
      <c r="G20" s="390"/>
      <c r="H20" s="496"/>
      <c r="L20" s="472"/>
      <c r="M20" s="468"/>
      <c r="N20" s="468"/>
      <c r="O20" s="468"/>
      <c r="P20" s="468"/>
      <c r="Q20" s="473"/>
      <c r="R20" s="477" t="str">
        <f>IF(AND(COUNTIF('Start Character'!$I$63:$M$77,"Twilight Prone")=1,NOT(ISERROR(FIND("Magical Botch",M20)))),"Yes",IF(P20&gt;1,"Yes","No"))</f>
        <v>No</v>
      </c>
      <c r="S20" s="501"/>
      <c r="T20" s="478"/>
      <c r="U20" s="501"/>
      <c r="V20" s="479" t="str">
        <f>IF(R20="No","No Twilight",IF(T20="Yes","Uncomprehended Twilight",IF((Character!$B$14+IF(Character!$B$53="Yes",0,Character!$B$53)+IF(Magic!$C$5="Yes",2,0)+ROUNDUP((Magic!$B$30+IF(Magic!$C$30="Yes",3,0))/5,0)+S20)&gt;=($D$3+P20+SUMIF(Character!$I$62:$I$66,"Enigmatic Wisdom",Character!$J$62:$J$66)+Q20+U20),"No Twilight","Twilight")))</f>
        <v>No Twilight</v>
      </c>
      <c r="W20" s="483"/>
      <c r="X20" s="478"/>
      <c r="Y20" s="484"/>
      <c r="Z20" s="478"/>
      <c r="AA20" s="485" t="str">
        <f>IF(V20="Uncomprehended Twilight","Failed",IF(OR(ISBLANK(W20),ISBLANK(Y20))," ",IF(NOT(ISBLANK(X20)),"Failed",IF((W20+Character!$B$9+SUMIF(Character!$I$62:$I$66,"Enigmatic Wisdom",Character!$J$62:$J$66))&gt;=IF(Z20="Yes",0,(Y20+D15)),"Succeeded","Failed"))))</f>
        <v xml:space="preserve"> </v>
      </c>
      <c r="AB20" s="477" t="str">
        <f>IF(AA20=" "," ",IF(NOT(ISBLANK(X20)),VLOOKUP($D$3+X20,Calcs!$A$110:$C$122,3,TRUE),IF(AA20="Failed",VLOOKUP($D$3,Calcs!$A$110:$C$122,3,TRUE),VLOOKUP($D$3-(IF((Character!$B$9+W20)&gt;($D$3+Y20),(Character!$B$9+W20)-($D$3+Y20),0)),Calcs!$A$110:$C$122,3,TRUE))))</f>
        <v xml:space="preserve"> </v>
      </c>
      <c r="AC20" s="489"/>
      <c r="AD20" s="489" t="str">
        <f>IF(IF(AA20=" "," ",IF(NOT(ISBLANK(X20)),VLOOKUP($D$3+X20,Calcs!$A$110:$B$122,2,TRUE),IF(AA20="Failed",VLOOKUP($D$3,Calcs!$A$110:$B$122,2,TRUE),VLOOKUP($D$3-(IF((Character!$B$9+W20)&gt;($D$3+Y20),(Character!$B$9+W20)-($D$3+Y20),0)),Calcs!$A$110:$B$122,2,TRUE))))=Calcs!$B$120,IF(ISBLANK(AC20)," ",CONCATENATE(AC20+7," Years")),IF(AA20=" "," ",IF(NOT(ISBLANK(X20)),VLOOKUP($D$3+X20,Calcs!$A$110:$B$122,2,TRUE),IF(AA20="Failed",VLOOKUP($D$3,Calcs!$A$110:$B$122,2,TRUE),VLOOKUP($D$3-(IF((Character!$B$9+W20)&gt;($D$3+Y20),(Character!$B$9+W20)-($D$3+Y20),0)),Calcs!$A$110:$B$122,2,TRUE)))))</f>
        <v xml:space="preserve"> </v>
      </c>
      <c r="AE20" s="490"/>
      <c r="AF20" s="879"/>
      <c r="AG20" s="491"/>
    </row>
    <row r="21" spans="1:33" x14ac:dyDescent="0.2">
      <c r="A21" s="819"/>
      <c r="B21" s="820"/>
      <c r="C21" s="820"/>
      <c r="D21" s="820"/>
      <c r="E21" s="820"/>
      <c r="F21" s="390"/>
      <c r="G21" s="390"/>
      <c r="H21" s="496"/>
      <c r="L21" s="472"/>
      <c r="M21" s="468"/>
      <c r="N21" s="468"/>
      <c r="O21" s="468"/>
      <c r="P21" s="468"/>
      <c r="Q21" s="473"/>
      <c r="R21" s="477" t="str">
        <f>IF(AND(COUNTIF('Start Character'!$I$63:$M$77,"Twilight Prone")=1,NOT(ISERROR(FIND("Magical Botch",M21)))),"Yes",IF(P21&gt;1,"Yes","No"))</f>
        <v>No</v>
      </c>
      <c r="S21" s="501"/>
      <c r="T21" s="478"/>
      <c r="U21" s="501"/>
      <c r="V21" s="479" t="str">
        <f>IF(R21="No","No Twilight",IF(T21="Yes","Uncomprehended Twilight",IF((Character!$B$14+IF(Character!$B$53="Yes",0,Character!$B$53)+IF(Magic!$C$5="Yes",2,0)+ROUNDUP((Magic!$B$30+IF(Magic!$C$30="Yes",3,0))/5,0)+S21)&gt;=($D$3+P21+SUMIF(Character!$I$62:$I$66,"Enigmatic Wisdom",Character!$J$62:$J$66)+Q21+U21),"No Twilight","Twilight")))</f>
        <v>No Twilight</v>
      </c>
      <c r="W21" s="483"/>
      <c r="X21" s="478"/>
      <c r="Y21" s="484"/>
      <c r="Z21" s="478"/>
      <c r="AA21" s="485" t="str">
        <f>IF(V21="Uncomprehended Twilight","Failed",IF(OR(ISBLANK(W21),ISBLANK(Y21))," ",IF(NOT(ISBLANK(X21)),"Failed",IF((W21+Character!$B$9+SUMIF(Character!$I$62:$I$66,"Enigmatic Wisdom",Character!$J$62:$J$66))&gt;=IF(Z21="Yes",0,(Y21+D16)),"Succeeded","Failed"))))</f>
        <v xml:space="preserve"> </v>
      </c>
      <c r="AB21" s="477" t="str">
        <f>IF(AA21=" "," ",IF(NOT(ISBLANK(X21)),VLOOKUP($D$3+X21,Calcs!$A$110:$C$122,3,TRUE),IF(AA21="Failed",VLOOKUP($D$3,Calcs!$A$110:$C$122,3,TRUE),VLOOKUP($D$3-(IF((Character!$B$9+W21)&gt;($D$3+Y21),(Character!$B$9+W21)-($D$3+Y21),0)),Calcs!$A$110:$C$122,3,TRUE))))</f>
        <v xml:space="preserve"> </v>
      </c>
      <c r="AC21" s="489"/>
      <c r="AD21" s="489" t="str">
        <f>IF(IF(AA21=" "," ",IF(NOT(ISBLANK(X21)),VLOOKUP($D$3+X21,Calcs!$A$110:$B$122,2,TRUE),IF(AA21="Failed",VLOOKUP($D$3,Calcs!$A$110:$B$122,2,TRUE),VLOOKUP($D$3-(IF((Character!$B$9+W21)&gt;($D$3+Y21),(Character!$B$9+W21)-($D$3+Y21),0)),Calcs!$A$110:$B$122,2,TRUE))))=Calcs!$B$120,IF(ISBLANK(AC21)," ",CONCATENATE(AC21+7," Years")),IF(AA21=" "," ",IF(NOT(ISBLANK(X21)),VLOOKUP($D$3+X21,Calcs!$A$110:$B$122,2,TRUE),IF(AA21="Failed",VLOOKUP($D$3,Calcs!$A$110:$B$122,2,TRUE),VLOOKUP($D$3-(IF((Character!$B$9+W21)&gt;($D$3+Y21),(Character!$B$9+W21)-($D$3+Y21),0)),Calcs!$A$110:$B$122,2,TRUE)))))</f>
        <v xml:space="preserve"> </v>
      </c>
      <c r="AE21" s="490"/>
      <c r="AF21" s="879"/>
      <c r="AG21" s="491"/>
    </row>
    <row r="22" spans="1:33" x14ac:dyDescent="0.2">
      <c r="A22" s="819"/>
      <c r="B22" s="820"/>
      <c r="C22" s="820"/>
      <c r="D22" s="820"/>
      <c r="E22" s="820"/>
      <c r="F22" s="390"/>
      <c r="G22" s="390"/>
      <c r="H22" s="496"/>
      <c r="L22" s="472"/>
      <c r="M22" s="468"/>
      <c r="N22" s="468"/>
      <c r="O22" s="468"/>
      <c r="P22" s="468"/>
      <c r="Q22" s="473"/>
      <c r="R22" s="477" t="str">
        <f>IF(AND(COUNTIF('Start Character'!$I$63:$M$77,"Twilight Prone")=1,NOT(ISERROR(FIND("Magical Botch",M22)))),"Yes",IF(P22&gt;1,"Yes","No"))</f>
        <v>No</v>
      </c>
      <c r="S22" s="501"/>
      <c r="T22" s="478"/>
      <c r="U22" s="501"/>
      <c r="V22" s="479" t="str">
        <f>IF(R22="No","No Twilight",IF(T22="Yes","Uncomprehended Twilight",IF((Character!$B$14+IF(Character!$B$53="Yes",0,Character!$B$53)+IF(Magic!$C$5="Yes",2,0)+ROUNDUP((Magic!$B$30+IF(Magic!$C$30="Yes",3,0))/5,0)+S22)&gt;=($D$3+P22+SUMIF(Character!$I$62:$I$66,"Enigmatic Wisdom",Character!$J$62:$J$66)+Q22+U22),"No Twilight","Twilight")))</f>
        <v>No Twilight</v>
      </c>
      <c r="W22" s="483"/>
      <c r="X22" s="478"/>
      <c r="Y22" s="484"/>
      <c r="Z22" s="478"/>
      <c r="AA22" s="485" t="str">
        <f>IF(V22="Uncomprehended Twilight","Failed",IF(OR(ISBLANK(W22),ISBLANK(Y22))," ",IF(NOT(ISBLANK(X22)),"Failed",IF((W22+Character!$B$9+SUMIF(Character!$I$62:$I$66,"Enigmatic Wisdom",Character!$J$62:$J$66))&gt;=IF(Z22="Yes",0,(Y22+D17)),"Succeeded","Failed"))))</f>
        <v xml:space="preserve"> </v>
      </c>
      <c r="AB22" s="477" t="str">
        <f>IF(AA22=" "," ",IF(NOT(ISBLANK(X22)),VLOOKUP($D$3+X22,Calcs!$A$110:$C$122,3,TRUE),IF(AA22="Failed",VLOOKUP($D$3,Calcs!$A$110:$C$122,3,TRUE),VLOOKUP($D$3-(IF((Character!$B$9+W22)&gt;($D$3+Y22),(Character!$B$9+W22)-($D$3+Y22),0)),Calcs!$A$110:$C$122,3,TRUE))))</f>
        <v xml:space="preserve"> </v>
      </c>
      <c r="AC22" s="489"/>
      <c r="AD22" s="489" t="str">
        <f>IF(IF(AA22=" "," ",IF(NOT(ISBLANK(X22)),VLOOKUP($D$3+X22,Calcs!$A$110:$B$122,2,TRUE),IF(AA22="Failed",VLOOKUP($D$3,Calcs!$A$110:$B$122,2,TRUE),VLOOKUP($D$3-(IF((Character!$B$9+W22)&gt;($D$3+Y22),(Character!$B$9+W22)-($D$3+Y22),0)),Calcs!$A$110:$B$122,2,TRUE))))=Calcs!$B$120,IF(ISBLANK(AC22)," ",CONCATENATE(AC22+7," Years")),IF(AA22=" "," ",IF(NOT(ISBLANK(X22)),VLOOKUP($D$3+X22,Calcs!$A$110:$B$122,2,TRUE),IF(AA22="Failed",VLOOKUP($D$3,Calcs!$A$110:$B$122,2,TRUE),VLOOKUP($D$3-(IF((Character!$B$9+W22)&gt;($D$3+Y22),(Character!$B$9+W22)-($D$3+Y22),0)),Calcs!$A$110:$B$122,2,TRUE)))))</f>
        <v xml:space="preserve"> </v>
      </c>
      <c r="AE22" s="490"/>
      <c r="AF22" s="879"/>
      <c r="AG22" s="491"/>
    </row>
    <row r="23" spans="1:33" ht="13.5" thickBot="1" x14ac:dyDescent="0.25">
      <c r="A23" s="821"/>
      <c r="B23" s="822"/>
      <c r="C23" s="822"/>
      <c r="D23" s="822"/>
      <c r="E23" s="822"/>
      <c r="F23" s="393"/>
      <c r="G23" s="393"/>
      <c r="H23" s="497"/>
      <c r="L23" s="472"/>
      <c r="M23" s="468"/>
      <c r="N23" s="468"/>
      <c r="O23" s="468"/>
      <c r="P23" s="468"/>
      <c r="Q23" s="473"/>
      <c r="R23" s="477" t="str">
        <f>IF(AND(COUNTIF('Start Character'!$I$63:$M$77,"Twilight Prone")=1,NOT(ISERROR(FIND("Magical Botch",M23)))),"Yes",IF(P23&gt;1,"Yes","No"))</f>
        <v>No</v>
      </c>
      <c r="S23" s="501"/>
      <c r="T23" s="478"/>
      <c r="U23" s="501"/>
      <c r="V23" s="479" t="str">
        <f>IF(R23="No","No Twilight",IF(T23="Yes","Uncomprehended Twilight",IF((Character!$B$14+IF(Character!$B$53="Yes",0,Character!$B$53)+IF(Magic!$C$5="Yes",2,0)+ROUNDUP((Magic!$B$30+IF(Magic!$C$30="Yes",3,0))/5,0)+S23)&gt;=($D$3+P23+SUMIF(Character!$I$62:$I$66,"Enigmatic Wisdom",Character!$J$62:$J$66)+Q23+U23),"No Twilight","Twilight")))</f>
        <v>No Twilight</v>
      </c>
      <c r="W23" s="483"/>
      <c r="X23" s="478"/>
      <c r="Y23" s="484"/>
      <c r="Z23" s="478"/>
      <c r="AA23" s="485" t="str">
        <f>IF(V23="Uncomprehended Twilight","Failed",IF(OR(ISBLANK(W23),ISBLANK(Y23))," ",IF(NOT(ISBLANK(X23)),"Failed",IF((W23+Character!$B$9+SUMIF(Character!$I$62:$I$66,"Enigmatic Wisdom",Character!$J$62:$J$66))&gt;=IF(Z23="Yes",0,(Y23+D18)),"Succeeded","Failed"))))</f>
        <v xml:space="preserve"> </v>
      </c>
      <c r="AB23" s="477" t="str">
        <f>IF(AA23=" "," ",IF(NOT(ISBLANK(X23)),VLOOKUP($D$3+X23,Calcs!$A$110:$C$122,3,TRUE),IF(AA23="Failed",VLOOKUP($D$3,Calcs!$A$110:$C$122,3,TRUE),VLOOKUP($D$3-(IF((Character!$B$9+W23)&gt;($D$3+Y23),(Character!$B$9+W23)-($D$3+Y23),0)),Calcs!$A$110:$C$122,3,TRUE))))</f>
        <v xml:space="preserve"> </v>
      </c>
      <c r="AC23" s="489"/>
      <c r="AD23" s="489" t="str">
        <f>IF(IF(AA23=" "," ",IF(NOT(ISBLANK(X23)),VLOOKUP($D$3+X23,Calcs!$A$110:$B$122,2,TRUE),IF(AA23="Failed",VLOOKUP($D$3,Calcs!$A$110:$B$122,2,TRUE),VLOOKUP($D$3-(IF((Character!$B$9+W23)&gt;($D$3+Y23),(Character!$B$9+W23)-($D$3+Y23),0)),Calcs!$A$110:$B$122,2,TRUE))))=Calcs!$B$120,IF(ISBLANK(AC23)," ",CONCATENATE(AC23+7," Years")),IF(AA23=" "," ",IF(NOT(ISBLANK(X23)),VLOOKUP($D$3+X23,Calcs!$A$110:$B$122,2,TRUE),IF(AA23="Failed",VLOOKUP($D$3,Calcs!$A$110:$B$122,2,TRUE),VLOOKUP($D$3-(IF((Character!$B$9+W23)&gt;($D$3+Y23),(Character!$B$9+W23)-($D$3+Y23),0)),Calcs!$A$110:$B$122,2,TRUE)))))</f>
        <v xml:space="preserve"> </v>
      </c>
      <c r="AE23" s="490"/>
      <c r="AF23" s="879"/>
      <c r="AG23" s="491"/>
    </row>
    <row r="24" spans="1:33" ht="13.5" thickBot="1" x14ac:dyDescent="0.25">
      <c r="A24" s="375"/>
      <c r="B24" s="374"/>
      <c r="C24" s="374"/>
      <c r="D24" s="374"/>
      <c r="E24" s="374"/>
      <c r="F24" s="3"/>
      <c r="G24" s="3"/>
      <c r="L24" s="472"/>
      <c r="M24" s="468"/>
      <c r="N24" s="468"/>
      <c r="O24" s="468"/>
      <c r="P24" s="468"/>
      <c r="Q24" s="473"/>
      <c r="R24" s="477" t="str">
        <f>IF(AND(COUNTIF('Start Character'!$I$63:$M$77,"Twilight Prone")=1,NOT(ISERROR(FIND("Magical Botch",M24)))),"Yes",IF(P24&gt;1,"Yes","No"))</f>
        <v>No</v>
      </c>
      <c r="S24" s="501"/>
      <c r="T24" s="478"/>
      <c r="U24" s="501"/>
      <c r="V24" s="479" t="str">
        <f>IF(R24="No","No Twilight",IF(T24="Yes","Uncomprehended Twilight",IF((Character!$B$14+IF(Character!$B$53="Yes",0,Character!$B$53)+IF(Magic!$C$5="Yes",2,0)+ROUNDUP((Magic!$B$30+IF(Magic!$C$30="Yes",3,0))/5,0)+S24)&gt;=($D$3+P24+SUMIF(Character!$I$62:$I$66,"Enigmatic Wisdom",Character!$J$62:$J$66)+Q24+U24),"No Twilight","Twilight")))</f>
        <v>No Twilight</v>
      </c>
      <c r="W24" s="483"/>
      <c r="X24" s="478"/>
      <c r="Y24" s="484"/>
      <c r="Z24" s="478"/>
      <c r="AA24" s="485" t="str">
        <f>IF(V24="Uncomprehended Twilight","Failed",IF(OR(ISBLANK(W24),ISBLANK(Y24))," ",IF(NOT(ISBLANK(X24)),"Failed",IF((W24+Character!$B$9+SUMIF(Character!$I$62:$I$66,"Enigmatic Wisdom",Character!$J$62:$J$66))&gt;=IF(Z24="Yes",0,(Y24+D19)),"Succeeded","Failed"))))</f>
        <v xml:space="preserve"> </v>
      </c>
      <c r="AB24" s="477" t="str">
        <f>IF(AA24=" "," ",IF(NOT(ISBLANK(X24)),VLOOKUP($D$3+X24,Calcs!$A$110:$C$122,3,TRUE),IF(AA24="Failed",VLOOKUP($D$3,Calcs!$A$110:$C$122,3,TRUE),VLOOKUP($D$3-(IF((Character!$B$9+W24)&gt;($D$3+Y24),(Character!$B$9+W24)-($D$3+Y24),0)),Calcs!$A$110:$C$122,3,TRUE))))</f>
        <v xml:space="preserve"> </v>
      </c>
      <c r="AC24" s="489"/>
      <c r="AD24" s="489" t="str">
        <f>IF(IF(AA24=" "," ",IF(NOT(ISBLANK(X24)),VLOOKUP($D$3+X24,Calcs!$A$110:$B$122,2,TRUE),IF(AA24="Failed",VLOOKUP($D$3,Calcs!$A$110:$B$122,2,TRUE),VLOOKUP($D$3-(IF((Character!$B$9+W24)&gt;($D$3+Y24),(Character!$B$9+W24)-($D$3+Y24),0)),Calcs!$A$110:$B$122,2,TRUE))))=Calcs!$B$120,IF(ISBLANK(AC24)," ",CONCATENATE(AC24+7," Years")),IF(AA24=" "," ",IF(NOT(ISBLANK(X24)),VLOOKUP($D$3+X24,Calcs!$A$110:$B$122,2,TRUE),IF(AA24="Failed",VLOOKUP($D$3,Calcs!$A$110:$B$122,2,TRUE),VLOOKUP($D$3-(IF((Character!$B$9+W24)&gt;($D$3+Y24),(Character!$B$9+W24)-($D$3+Y24),0)),Calcs!$A$110:$B$122,2,TRUE)))))</f>
        <v xml:space="preserve"> </v>
      </c>
      <c r="AE24" s="490"/>
      <c r="AF24" s="879"/>
      <c r="AG24" s="491"/>
    </row>
    <row r="25" spans="1:33" ht="13.5" thickBot="1" x14ac:dyDescent="0.25">
      <c r="A25" s="783" t="s">
        <v>394</v>
      </c>
      <c r="B25" s="784"/>
      <c r="C25" s="784"/>
      <c r="D25" s="784"/>
      <c r="E25" s="784"/>
      <c r="F25" s="784"/>
      <c r="G25" s="784"/>
      <c r="H25" s="784"/>
      <c r="I25" s="784"/>
      <c r="J25" s="785"/>
      <c r="L25" s="472"/>
      <c r="M25" s="468"/>
      <c r="N25" s="468"/>
      <c r="O25" s="468"/>
      <c r="P25" s="468"/>
      <c r="Q25" s="473"/>
      <c r="R25" s="477" t="str">
        <f>IF(AND(COUNTIF('Start Character'!$I$63:$M$77,"Twilight Prone")=1,NOT(ISERROR(FIND("Magical Botch",M25)))),"Yes",IF(P25&gt;1,"Yes","No"))</f>
        <v>No</v>
      </c>
      <c r="S25" s="501"/>
      <c r="T25" s="478"/>
      <c r="U25" s="501"/>
      <c r="V25" s="479" t="str">
        <f>IF(R25="No","No Twilight",IF(T25="Yes","Uncomprehended Twilight",IF((Character!$B$14+IF(Character!$B$53="Yes",0,Character!$B$53)+IF(Magic!$C$5="Yes",2,0)+ROUNDUP((Magic!$B$30+IF(Magic!$C$30="Yes",3,0))/5,0)+S25)&gt;=($D$3+P25+SUMIF(Character!$I$62:$I$66,"Enigmatic Wisdom",Character!$J$62:$J$66)+Q25+U25),"No Twilight","Twilight")))</f>
        <v>No Twilight</v>
      </c>
      <c r="W25" s="483"/>
      <c r="X25" s="478"/>
      <c r="Y25" s="484"/>
      <c r="Z25" s="478"/>
      <c r="AA25" s="485" t="str">
        <f>IF(V25="Uncomprehended Twilight","Failed",IF(OR(ISBLANK(W25),ISBLANK(Y25))," ",IF(NOT(ISBLANK(X25)),"Failed",IF((W25+Character!$B$9+SUMIF(Character!$I$62:$I$66,"Enigmatic Wisdom",Character!$J$62:$J$66))&gt;=IF(Z25="Yes",0,(Y25+D20)),"Succeeded","Failed"))))</f>
        <v xml:space="preserve"> </v>
      </c>
      <c r="AB25" s="477" t="str">
        <f>IF(AA25=" "," ",IF(NOT(ISBLANK(X25)),VLOOKUP($D$3+X25,Calcs!$A$110:$C$122,3,TRUE),IF(AA25="Failed",VLOOKUP($D$3,Calcs!$A$110:$C$122,3,TRUE),VLOOKUP($D$3-(IF((Character!$B$9+W25)&gt;($D$3+Y25),(Character!$B$9+W25)-($D$3+Y25),0)),Calcs!$A$110:$C$122,3,TRUE))))</f>
        <v xml:space="preserve"> </v>
      </c>
      <c r="AC25" s="489"/>
      <c r="AD25" s="489" t="str">
        <f>IF(IF(AA25=" "," ",IF(NOT(ISBLANK(X25)),VLOOKUP($D$3+X25,Calcs!$A$110:$B$122,2,TRUE),IF(AA25="Failed",VLOOKUP($D$3,Calcs!$A$110:$B$122,2,TRUE),VLOOKUP($D$3-(IF((Character!$B$9+W25)&gt;($D$3+Y25),(Character!$B$9+W25)-($D$3+Y25),0)),Calcs!$A$110:$B$122,2,TRUE))))=Calcs!$B$120,IF(ISBLANK(AC25)," ",CONCATENATE(AC25+7," Years")),IF(AA25=" "," ",IF(NOT(ISBLANK(X25)),VLOOKUP($D$3+X25,Calcs!$A$110:$B$122,2,TRUE),IF(AA25="Failed",VLOOKUP($D$3,Calcs!$A$110:$B$122,2,TRUE),VLOOKUP($D$3-(IF((Character!$B$9+W25)&gt;($D$3+Y25),(Character!$B$9+W25)-($D$3+Y25),0)),Calcs!$A$110:$B$122,2,TRUE)))))</f>
        <v xml:space="preserve"> </v>
      </c>
      <c r="AE25" s="490"/>
      <c r="AF25" s="879"/>
      <c r="AG25" s="491"/>
    </row>
    <row r="26" spans="1:33" ht="13.5" thickBot="1" x14ac:dyDescent="0.25">
      <c r="A26" s="421" t="s">
        <v>166</v>
      </c>
      <c r="B26" s="422" t="s">
        <v>167</v>
      </c>
      <c r="C26" s="423" t="s">
        <v>396</v>
      </c>
      <c r="D26" s="424" t="s">
        <v>395</v>
      </c>
      <c r="E26" s="423" t="s">
        <v>396</v>
      </c>
      <c r="F26" s="424" t="s">
        <v>395</v>
      </c>
      <c r="G26" s="423" t="s">
        <v>396</v>
      </c>
      <c r="H26" s="424" t="s">
        <v>395</v>
      </c>
      <c r="I26" s="423" t="s">
        <v>396</v>
      </c>
      <c r="J26" s="424" t="s">
        <v>395</v>
      </c>
      <c r="L26" s="472"/>
      <c r="M26" s="468"/>
      <c r="N26" s="468"/>
      <c r="O26" s="468"/>
      <c r="P26" s="468"/>
      <c r="Q26" s="473"/>
      <c r="R26" s="477" t="str">
        <f>IF(AND(COUNTIF('Start Character'!$I$63:$M$77,"Twilight Prone")=1,NOT(ISERROR(FIND("Magical Botch",M26)))),"Yes",IF(P26&gt;1,"Yes","No"))</f>
        <v>No</v>
      </c>
      <c r="S26" s="501"/>
      <c r="T26" s="478"/>
      <c r="U26" s="501"/>
      <c r="V26" s="479" t="str">
        <f>IF(R26="No","No Twilight",IF(T26="Yes","Uncomprehended Twilight",IF((Character!$B$14+IF(Character!$B$53="Yes",0,Character!$B$53)+IF(Magic!$C$5="Yes",2,0)+ROUNDUP((Magic!$B$30+IF(Magic!$C$30="Yes",3,0))/5,0)+S26)&gt;=($D$3+P26+SUMIF(Character!$I$62:$I$66,"Enigmatic Wisdom",Character!$J$62:$J$66)+Q26+U26),"No Twilight","Twilight")))</f>
        <v>No Twilight</v>
      </c>
      <c r="W26" s="483"/>
      <c r="X26" s="478"/>
      <c r="Y26" s="484"/>
      <c r="Z26" s="478"/>
      <c r="AA26" s="485" t="str">
        <f>IF(V26="Uncomprehended Twilight","Failed",IF(OR(ISBLANK(W26),ISBLANK(Y26))," ",IF(NOT(ISBLANK(X26)),"Failed",IF((W26+Character!$B$9+SUMIF(Character!$I$62:$I$66,"Enigmatic Wisdom",Character!$J$62:$J$66))&gt;=IF(Z26="Yes",0,(Y26+D21)),"Succeeded","Failed"))))</f>
        <v xml:space="preserve"> </v>
      </c>
      <c r="AB26" s="477" t="str">
        <f>IF(AA26=" "," ",IF(NOT(ISBLANK(X26)),VLOOKUP($D$3+X26,Calcs!$A$110:$C$122,3,TRUE),IF(AA26="Failed",VLOOKUP($D$3,Calcs!$A$110:$C$122,3,TRUE),VLOOKUP($D$3-(IF((Character!$B$9+W26)&gt;($D$3+Y26),(Character!$B$9+W26)-($D$3+Y26),0)),Calcs!$A$110:$C$122,3,TRUE))))</f>
        <v xml:space="preserve"> </v>
      </c>
      <c r="AC26" s="489"/>
      <c r="AD26" s="489" t="str">
        <f>IF(IF(AA26=" "," ",IF(NOT(ISBLANK(X26)),VLOOKUP($D$3+X26,Calcs!$A$110:$B$122,2,TRUE),IF(AA26="Failed",VLOOKUP($D$3,Calcs!$A$110:$B$122,2,TRUE),VLOOKUP($D$3-(IF((Character!$B$9+W26)&gt;($D$3+Y26),(Character!$B$9+W26)-($D$3+Y26),0)),Calcs!$A$110:$B$122,2,TRUE))))=Calcs!$B$120,IF(ISBLANK(AC26)," ",CONCATENATE(AC26+7," Years")),IF(AA26=" "," ",IF(NOT(ISBLANK(X26)),VLOOKUP($D$3+X26,Calcs!$A$110:$B$122,2,TRUE),IF(AA26="Failed",VLOOKUP($D$3,Calcs!$A$110:$B$122,2,TRUE),VLOOKUP($D$3-(IF((Character!$B$9+W26)&gt;($D$3+Y26),(Character!$B$9+W26)-($D$3+Y26),0)),Calcs!$A$110:$B$122,2,TRUE)))))</f>
        <v xml:space="preserve"> </v>
      </c>
      <c r="AE26" s="490"/>
      <c r="AF26" s="879"/>
      <c r="AG26" s="491"/>
    </row>
    <row r="27" spans="1:33" x14ac:dyDescent="0.2">
      <c r="A27" s="413">
        <f>'Start Character'!O6</f>
        <v>1216</v>
      </c>
      <c r="B27" s="502" t="str">
        <f>VLOOKUP('Start Character'!O7+3,Calcs!E30:F41,2,FALSE)</f>
        <v>Autumn</v>
      </c>
      <c r="C27" s="452"/>
      <c r="D27" s="503"/>
      <c r="E27" s="452"/>
      <c r="F27" s="503"/>
      <c r="G27" s="452"/>
      <c r="H27" s="503"/>
      <c r="I27" s="452"/>
      <c r="J27" s="503"/>
      <c r="L27" s="472"/>
      <c r="M27" s="468"/>
      <c r="N27" s="468"/>
      <c r="O27" s="468"/>
      <c r="P27" s="468"/>
      <c r="Q27" s="473"/>
      <c r="R27" s="477" t="str">
        <f>IF(AND(COUNTIF('Start Character'!$I$63:$M$77,"Twilight Prone")=1,NOT(ISERROR(FIND("Magical Botch",M27)))),"Yes",IF(P27&gt;1,"Yes","No"))</f>
        <v>No</v>
      </c>
      <c r="S27" s="501"/>
      <c r="T27" s="478"/>
      <c r="U27" s="501"/>
      <c r="V27" s="479" t="str">
        <f>IF(R27="No","No Twilight",IF(T27="Yes","Uncomprehended Twilight",IF((Character!$B$14+IF(Character!$B$53="Yes",0,Character!$B$53)+IF(Magic!$C$5="Yes",2,0)+ROUNDUP((Magic!$B$30+IF(Magic!$C$30="Yes",3,0))/5,0)+S27)&gt;=($D$3+P27+SUMIF(Character!$I$62:$I$66,"Enigmatic Wisdom",Character!$J$62:$J$66)+Q27+U27),"No Twilight","Twilight")))</f>
        <v>No Twilight</v>
      </c>
      <c r="W27" s="483"/>
      <c r="X27" s="478"/>
      <c r="Y27" s="484"/>
      <c r="Z27" s="478"/>
      <c r="AA27" s="485" t="str">
        <f>IF(V27="Uncomprehended Twilight","Failed",IF(OR(ISBLANK(W27),ISBLANK(Y27))," ",IF(NOT(ISBLANK(X27)),"Failed",IF((W27+Character!$B$9+SUMIF(Character!$I$62:$I$66,"Enigmatic Wisdom",Character!$J$62:$J$66))&gt;=IF(Z27="Yes",0,(Y27+D22)),"Succeeded","Failed"))))</f>
        <v xml:space="preserve"> </v>
      </c>
      <c r="AB27" s="477" t="str">
        <f>IF(AA27=" "," ",IF(NOT(ISBLANK(X27)),VLOOKUP($D$3+X27,Calcs!$A$110:$C$122,3,TRUE),IF(AA27="Failed",VLOOKUP($D$3,Calcs!$A$110:$C$122,3,TRUE),VLOOKUP($D$3-(IF((Character!$B$9+W27)&gt;($D$3+Y27),(Character!$B$9+W27)-($D$3+Y27),0)),Calcs!$A$110:$C$122,3,TRUE))))</f>
        <v xml:space="preserve"> </v>
      </c>
      <c r="AC27" s="489"/>
      <c r="AD27" s="489" t="str">
        <f>IF(IF(AA27=" "," ",IF(NOT(ISBLANK(X27)),VLOOKUP($D$3+X27,Calcs!$A$110:$B$122,2,TRUE),IF(AA27="Failed",VLOOKUP($D$3,Calcs!$A$110:$B$122,2,TRUE),VLOOKUP($D$3-(IF((Character!$B$9+W27)&gt;($D$3+Y27),(Character!$B$9+W27)-($D$3+Y27),0)),Calcs!$A$110:$B$122,2,TRUE))))=Calcs!$B$120,IF(ISBLANK(AC27)," ",CONCATENATE(AC27+7," Years")),IF(AA27=" "," ",IF(NOT(ISBLANK(X27)),VLOOKUP($D$3+X27,Calcs!$A$110:$B$122,2,TRUE),IF(AA27="Failed",VLOOKUP($D$3,Calcs!$A$110:$B$122,2,TRUE),VLOOKUP($D$3-(IF((Character!$B$9+W27)&gt;($D$3+Y27),(Character!$B$9+W27)-($D$3+Y27),0)),Calcs!$A$110:$B$122,2,TRUE)))))</f>
        <v xml:space="preserve"> </v>
      </c>
      <c r="AE27" s="490"/>
      <c r="AF27" s="879"/>
      <c r="AG27" s="491"/>
    </row>
    <row r="28" spans="1:33" x14ac:dyDescent="0.2">
      <c r="A28" s="415">
        <f>IF(B27="Autumn",A27+1,A27)</f>
        <v>1217</v>
      </c>
      <c r="B28" s="419" t="str">
        <f>IF(B27="spring","Summer",IF(B27="Summer","Autumn",IF(B27="Autumn","Winter",IF(B27="Winter","Spring"," "))))</f>
        <v>Winter</v>
      </c>
      <c r="C28" s="455"/>
      <c r="D28" s="504"/>
      <c r="E28" s="455"/>
      <c r="F28" s="504"/>
      <c r="G28" s="455"/>
      <c r="H28" s="504"/>
      <c r="I28" s="455"/>
      <c r="J28" s="504"/>
      <c r="L28" s="472"/>
      <c r="M28" s="468"/>
      <c r="N28" s="468"/>
      <c r="O28" s="468"/>
      <c r="P28" s="468"/>
      <c r="Q28" s="473"/>
      <c r="R28" s="477" t="str">
        <f>IF(AND(COUNTIF('Start Character'!$I$63:$M$77,"Twilight Prone")=1,NOT(ISERROR(FIND("Magical Botch",M28)))),"Yes",IF(P28&gt;1,"Yes","No"))</f>
        <v>No</v>
      </c>
      <c r="S28" s="501"/>
      <c r="T28" s="478"/>
      <c r="U28" s="501"/>
      <c r="V28" s="479" t="str">
        <f>IF(R28="No","No Twilight",IF(T28="Yes","Uncomprehended Twilight",IF((Character!$B$14+IF(Character!$B$53="Yes",0,Character!$B$53)+IF(Magic!$C$5="Yes",2,0)+ROUNDUP((Magic!$B$30+IF(Magic!$C$30="Yes",3,0))/5,0)+S28)&gt;=($D$3+P28+SUMIF(Character!$I$62:$I$66,"Enigmatic Wisdom",Character!$J$62:$J$66)+Q28+U28),"No Twilight","Twilight")))</f>
        <v>No Twilight</v>
      </c>
      <c r="W28" s="483"/>
      <c r="X28" s="478"/>
      <c r="Y28" s="484"/>
      <c r="Z28" s="478"/>
      <c r="AA28" s="485" t="str">
        <f>IF(V28="Uncomprehended Twilight","Failed",IF(OR(ISBLANK(W28),ISBLANK(Y28))," ",IF(NOT(ISBLANK(X28)),"Failed",IF((W28+Character!$B$9+SUMIF(Character!$I$62:$I$66,"Enigmatic Wisdom",Character!$J$62:$J$66))&gt;=IF(Z28="Yes",0,(Y28+D23)),"Succeeded","Failed"))))</f>
        <v xml:space="preserve"> </v>
      </c>
      <c r="AB28" s="477" t="str">
        <f>IF(AA28=" "," ",IF(NOT(ISBLANK(X28)),VLOOKUP($D$3+X28,Calcs!$A$110:$C$122,3,TRUE),IF(AA28="Failed",VLOOKUP($D$3,Calcs!$A$110:$C$122,3,TRUE),VLOOKUP($D$3-(IF((Character!$B$9+W28)&gt;($D$3+Y28),(Character!$B$9+W28)-($D$3+Y28),0)),Calcs!$A$110:$C$122,3,TRUE))))</f>
        <v xml:space="preserve"> </v>
      </c>
      <c r="AC28" s="489"/>
      <c r="AD28" s="489" t="str">
        <f>IF(IF(AA28=" "," ",IF(NOT(ISBLANK(X28)),VLOOKUP($D$3+X28,Calcs!$A$110:$B$122,2,TRUE),IF(AA28="Failed",VLOOKUP($D$3,Calcs!$A$110:$B$122,2,TRUE),VLOOKUP($D$3-(IF((Character!$B$9+W28)&gt;($D$3+Y28),(Character!$B$9+W28)-($D$3+Y28),0)),Calcs!$A$110:$B$122,2,TRUE))))=Calcs!$B$120,IF(ISBLANK(AC28)," ",CONCATENATE(AC28+7," Years")),IF(AA28=" "," ",IF(NOT(ISBLANK(X28)),VLOOKUP($D$3+X28,Calcs!$A$110:$B$122,2,TRUE),IF(AA28="Failed",VLOOKUP($D$3,Calcs!$A$110:$B$122,2,TRUE),VLOOKUP($D$3-(IF((Character!$B$9+W28)&gt;($D$3+Y28),(Character!$B$9+W28)-($D$3+Y28),0)),Calcs!$A$110:$B$122,2,TRUE)))))</f>
        <v xml:space="preserve"> </v>
      </c>
      <c r="AE28" s="490"/>
      <c r="AF28" s="879"/>
      <c r="AG28" s="491"/>
    </row>
    <row r="29" spans="1:33" x14ac:dyDescent="0.2">
      <c r="A29" s="415">
        <f t="shared" ref="A29:A92" si="0">IF(B28="Autumn",A28+1,A28)</f>
        <v>1217</v>
      </c>
      <c r="B29" s="419" t="str">
        <f t="shared" ref="B29:B92" si="1">IF(B28="spring","Summer",IF(B28="Summer","Autumn",IF(B28="Autumn","Winter",IF(B28="Winter","Spring"," "))))</f>
        <v>Spring</v>
      </c>
      <c r="C29" s="455"/>
      <c r="D29" s="504"/>
      <c r="E29" s="455"/>
      <c r="F29" s="504"/>
      <c r="G29" s="455"/>
      <c r="H29" s="504"/>
      <c r="I29" s="455"/>
      <c r="J29" s="504"/>
      <c r="L29" s="472"/>
      <c r="M29" s="468"/>
      <c r="N29" s="468"/>
      <c r="O29" s="468"/>
      <c r="P29" s="468"/>
      <c r="Q29" s="473"/>
      <c r="R29" s="477" t="str">
        <f>IF(AND(COUNTIF('Start Character'!$I$63:$M$77,"Twilight Prone")=1,NOT(ISERROR(FIND("Magical Botch",M29)))),"Yes",IF(P29&gt;1,"Yes","No"))</f>
        <v>No</v>
      </c>
      <c r="S29" s="501"/>
      <c r="T29" s="478"/>
      <c r="U29" s="501"/>
      <c r="V29" s="479" t="str">
        <f>IF(R29="No","No Twilight",IF(T29="Yes","Uncomprehended Twilight",IF((Character!$B$14+IF(Character!$B$53="Yes",0,Character!$B$53)+IF(Magic!$C$5="Yes",2,0)+ROUNDUP((Magic!$B$30+IF(Magic!$C$30="Yes",3,0))/5,0)+S29)&gt;=($D$3+P29+SUMIF(Character!$I$62:$I$66,"Enigmatic Wisdom",Character!$J$62:$J$66)+Q29+U29),"No Twilight","Twilight")))</f>
        <v>No Twilight</v>
      </c>
      <c r="W29" s="483"/>
      <c r="X29" s="478"/>
      <c r="Y29" s="484"/>
      <c r="Z29" s="478"/>
      <c r="AA29" s="485" t="str">
        <f>IF(V29="Uncomprehended Twilight","Failed",IF(OR(ISBLANK(W29),ISBLANK(Y29))," ",IF(NOT(ISBLANK(X29)),"Failed",IF((W29+Character!$B$9+SUMIF(Character!$I$62:$I$66,"Enigmatic Wisdom",Character!$J$62:$J$66))&gt;=IF(Z29="Yes",0,(Y29+D24)),"Succeeded","Failed"))))</f>
        <v xml:space="preserve"> </v>
      </c>
      <c r="AB29" s="477" t="str">
        <f>IF(AA29=" "," ",IF(NOT(ISBLANK(X29)),VLOOKUP($D$3+X29,Calcs!$A$110:$C$122,3,TRUE),IF(AA29="Failed",VLOOKUP($D$3,Calcs!$A$110:$C$122,3,TRUE),VLOOKUP($D$3-(IF((Character!$B$9+W29)&gt;($D$3+Y29),(Character!$B$9+W29)-($D$3+Y29),0)),Calcs!$A$110:$C$122,3,TRUE))))</f>
        <v xml:space="preserve"> </v>
      </c>
      <c r="AC29" s="489"/>
      <c r="AD29" s="489" t="str">
        <f>IF(IF(AA29=" "," ",IF(NOT(ISBLANK(X29)),VLOOKUP($D$3+X29,Calcs!$A$110:$B$122,2,TRUE),IF(AA29="Failed",VLOOKUP($D$3,Calcs!$A$110:$B$122,2,TRUE),VLOOKUP($D$3-(IF((Character!$B$9+W29)&gt;($D$3+Y29),(Character!$B$9+W29)-($D$3+Y29),0)),Calcs!$A$110:$B$122,2,TRUE))))=Calcs!$B$120,IF(ISBLANK(AC29)," ",CONCATENATE(AC29+7," Years")),IF(AA29=" "," ",IF(NOT(ISBLANK(X29)),VLOOKUP($D$3+X29,Calcs!$A$110:$B$122,2,TRUE),IF(AA29="Failed",VLOOKUP($D$3,Calcs!$A$110:$B$122,2,TRUE),VLOOKUP($D$3-(IF((Character!$B$9+W29)&gt;($D$3+Y29),(Character!$B$9+W29)-($D$3+Y29),0)),Calcs!$A$110:$B$122,2,TRUE)))))</f>
        <v xml:space="preserve"> </v>
      </c>
      <c r="AE29" s="490"/>
      <c r="AF29" s="879"/>
      <c r="AG29" s="491"/>
    </row>
    <row r="30" spans="1:33" x14ac:dyDescent="0.2">
      <c r="A30" s="415">
        <f t="shared" si="0"/>
        <v>1217</v>
      </c>
      <c r="B30" s="419" t="str">
        <f t="shared" si="1"/>
        <v>Summer</v>
      </c>
      <c r="C30" s="455"/>
      <c r="D30" s="504"/>
      <c r="E30" s="455"/>
      <c r="F30" s="504"/>
      <c r="G30" s="455"/>
      <c r="H30" s="504"/>
      <c r="I30" s="455"/>
      <c r="J30" s="504"/>
      <c r="L30" s="472"/>
      <c r="M30" s="468"/>
      <c r="N30" s="468"/>
      <c r="O30" s="468"/>
      <c r="P30" s="468"/>
      <c r="Q30" s="473"/>
      <c r="R30" s="477" t="str">
        <f>IF(AND(COUNTIF('Start Character'!$I$63:$M$77,"Twilight Prone")=1,NOT(ISERROR(FIND("Magical Botch",M30)))),"Yes",IF(P30&gt;1,"Yes","No"))</f>
        <v>No</v>
      </c>
      <c r="S30" s="501"/>
      <c r="T30" s="478"/>
      <c r="U30" s="501"/>
      <c r="V30" s="479" t="str">
        <f>IF(R30="No","No Twilight",IF(T30="Yes","Uncomprehended Twilight",IF((Character!$B$14+IF(Character!$B$53="Yes",0,Character!$B$53)+IF(Magic!$C$5="Yes",2,0)+ROUNDUP((Magic!$B$30+IF(Magic!$C$30="Yes",3,0))/5,0)+S30)&gt;=($D$3+P30+SUMIF(Character!$I$62:$I$66,"Enigmatic Wisdom",Character!$J$62:$J$66)+Q30+U30),"No Twilight","Twilight")))</f>
        <v>No Twilight</v>
      </c>
      <c r="W30" s="483"/>
      <c r="X30" s="478"/>
      <c r="Y30" s="484"/>
      <c r="Z30" s="478"/>
      <c r="AA30" s="485" t="str">
        <f>IF(V30="Uncomprehended Twilight","Failed",IF(OR(ISBLANK(W30),ISBLANK(Y30))," ",IF(NOT(ISBLANK(X30)),"Failed",IF((W30+Character!$B$9+SUMIF(Character!$I$62:$I$66,"Enigmatic Wisdom",Character!$J$62:$J$66))&gt;=IF(Z30="Yes",0,(Y30+D25)),"Succeeded","Failed"))))</f>
        <v xml:space="preserve"> </v>
      </c>
      <c r="AB30" s="477" t="str">
        <f>IF(AA30=" "," ",IF(NOT(ISBLANK(X30)),VLOOKUP($D$3+X30,Calcs!$A$110:$C$122,3,TRUE),IF(AA30="Failed",VLOOKUP($D$3,Calcs!$A$110:$C$122,3,TRUE),VLOOKUP($D$3-(IF((Character!$B$9+W30)&gt;($D$3+Y30),(Character!$B$9+W30)-($D$3+Y30),0)),Calcs!$A$110:$C$122,3,TRUE))))</f>
        <v xml:space="preserve"> </v>
      </c>
      <c r="AC30" s="489"/>
      <c r="AD30" s="489" t="str">
        <f>IF(IF(AA30=" "," ",IF(NOT(ISBLANK(X30)),VLOOKUP($D$3+X30,Calcs!$A$110:$B$122,2,TRUE),IF(AA30="Failed",VLOOKUP($D$3,Calcs!$A$110:$B$122,2,TRUE),VLOOKUP($D$3-(IF((Character!$B$9+W30)&gt;($D$3+Y30),(Character!$B$9+W30)-($D$3+Y30),0)),Calcs!$A$110:$B$122,2,TRUE))))=Calcs!$B$120,IF(ISBLANK(AC30)," ",CONCATENATE(AC30+7," Years")),IF(AA30=" "," ",IF(NOT(ISBLANK(X30)),VLOOKUP($D$3+X30,Calcs!$A$110:$B$122,2,TRUE),IF(AA30="Failed",VLOOKUP($D$3,Calcs!$A$110:$B$122,2,TRUE),VLOOKUP($D$3-(IF((Character!$B$9+W30)&gt;($D$3+Y30),(Character!$B$9+W30)-($D$3+Y30),0)),Calcs!$A$110:$B$122,2,TRUE)))))</f>
        <v xml:space="preserve"> </v>
      </c>
      <c r="AE30" s="490"/>
      <c r="AF30" s="879"/>
      <c r="AG30" s="491"/>
    </row>
    <row r="31" spans="1:33" x14ac:dyDescent="0.2">
      <c r="A31" s="415">
        <f t="shared" si="0"/>
        <v>1217</v>
      </c>
      <c r="B31" s="419" t="str">
        <f t="shared" si="1"/>
        <v>Autumn</v>
      </c>
      <c r="C31" s="455"/>
      <c r="D31" s="504"/>
      <c r="E31" s="455"/>
      <c r="F31" s="504"/>
      <c r="G31" s="455"/>
      <c r="H31" s="504"/>
      <c r="I31" s="455"/>
      <c r="J31" s="504"/>
      <c r="L31" s="472"/>
      <c r="M31" s="468"/>
      <c r="N31" s="468"/>
      <c r="O31" s="468"/>
      <c r="P31" s="468"/>
      <c r="Q31" s="473"/>
      <c r="R31" s="477" t="str">
        <f>IF(AND(COUNTIF('Start Character'!$I$63:$M$77,"Twilight Prone")=1,NOT(ISERROR(FIND("Magical Botch",M31)))),"Yes",IF(P31&gt;1,"Yes","No"))</f>
        <v>No</v>
      </c>
      <c r="S31" s="501"/>
      <c r="T31" s="478"/>
      <c r="U31" s="501"/>
      <c r="V31" s="479" t="str">
        <f>IF(R31="No","No Twilight",IF(T31="Yes","Uncomprehended Twilight",IF((Character!$B$14+IF(Character!$B$53="Yes",0,Character!$B$53)+IF(Magic!$C$5="Yes",2,0)+ROUNDUP((Magic!$B$30+IF(Magic!$C$30="Yes",3,0))/5,0)+S31)&gt;=($D$3+P31+SUMIF(Character!$I$62:$I$66,"Enigmatic Wisdom",Character!$J$62:$J$66)+Q31+U31),"No Twilight","Twilight")))</f>
        <v>No Twilight</v>
      </c>
      <c r="W31" s="483"/>
      <c r="X31" s="478"/>
      <c r="Y31" s="484"/>
      <c r="Z31" s="478"/>
      <c r="AA31" s="485" t="str">
        <f>IF(V31="Uncomprehended Twilight","Failed",IF(OR(ISBLANK(W31),ISBLANK(Y31))," ",IF(NOT(ISBLANK(X31)),"Failed",IF((W31+Character!$B$9+SUMIF(Character!$I$62:$I$66,"Enigmatic Wisdom",Character!$J$62:$J$66))&gt;=IF(Z31="Yes",0,(Y31+D26)),"Succeeded","Failed"))))</f>
        <v xml:space="preserve"> </v>
      </c>
      <c r="AB31" s="477" t="str">
        <f>IF(AA31=" "," ",IF(NOT(ISBLANK(X31)),VLOOKUP($D$3+X31,Calcs!$A$110:$C$122,3,TRUE),IF(AA31="Failed",VLOOKUP($D$3,Calcs!$A$110:$C$122,3,TRUE),VLOOKUP($D$3-(IF((Character!$B$9+W31)&gt;($D$3+Y31),(Character!$B$9+W31)-($D$3+Y31),0)),Calcs!$A$110:$C$122,3,TRUE))))</f>
        <v xml:space="preserve"> </v>
      </c>
      <c r="AC31" s="489"/>
      <c r="AD31" s="489" t="str">
        <f>IF(IF(AA31=" "," ",IF(NOT(ISBLANK(X31)),VLOOKUP($D$3+X31,Calcs!$A$110:$B$122,2,TRUE),IF(AA31="Failed",VLOOKUP($D$3,Calcs!$A$110:$B$122,2,TRUE),VLOOKUP($D$3-(IF((Character!$B$9+W31)&gt;($D$3+Y31),(Character!$B$9+W31)-($D$3+Y31),0)),Calcs!$A$110:$B$122,2,TRUE))))=Calcs!$B$120,IF(ISBLANK(AC31)," ",CONCATENATE(AC31+7," Years")),IF(AA31=" "," ",IF(NOT(ISBLANK(X31)),VLOOKUP($D$3+X31,Calcs!$A$110:$B$122,2,TRUE),IF(AA31="Failed",VLOOKUP($D$3,Calcs!$A$110:$B$122,2,TRUE),VLOOKUP($D$3-(IF((Character!$B$9+W31)&gt;($D$3+Y31),(Character!$B$9+W31)-($D$3+Y31),0)),Calcs!$A$110:$B$122,2,TRUE)))))</f>
        <v xml:space="preserve"> </v>
      </c>
      <c r="AE31" s="490"/>
      <c r="AF31" s="879"/>
      <c r="AG31" s="491"/>
    </row>
    <row r="32" spans="1:33" x14ac:dyDescent="0.2">
      <c r="A32" s="415">
        <f t="shared" si="0"/>
        <v>1218</v>
      </c>
      <c r="B32" s="419" t="str">
        <f t="shared" si="1"/>
        <v>Winter</v>
      </c>
      <c r="C32" s="455"/>
      <c r="D32" s="504"/>
      <c r="E32" s="455"/>
      <c r="F32" s="504"/>
      <c r="G32" s="455"/>
      <c r="H32" s="504"/>
      <c r="I32" s="455"/>
      <c r="J32" s="504"/>
      <c r="L32" s="472"/>
      <c r="M32" s="468"/>
      <c r="N32" s="468"/>
      <c r="O32" s="468"/>
      <c r="P32" s="468"/>
      <c r="Q32" s="473"/>
      <c r="R32" s="477" t="str">
        <f>IF(AND(COUNTIF('Start Character'!$I$63:$M$77,"Twilight Prone")=1,NOT(ISERROR(FIND("Magical Botch",M32)))),"Yes",IF(P32&gt;1,"Yes","No"))</f>
        <v>No</v>
      </c>
      <c r="S32" s="501"/>
      <c r="T32" s="478"/>
      <c r="U32" s="501"/>
      <c r="V32" s="479" t="str">
        <f>IF(R32="No","No Twilight",IF(T32="Yes","Uncomprehended Twilight",IF((Character!$B$14+IF(Character!$B$53="Yes",0,Character!$B$53)+IF(Magic!$C$5="Yes",2,0)+ROUNDUP((Magic!$B$30+IF(Magic!$C$30="Yes",3,0))/5,0)+S32)&gt;=($D$3+P32+SUMIF(Character!$I$62:$I$66,"Enigmatic Wisdom",Character!$J$62:$J$66)+Q32+U32),"No Twilight","Twilight")))</f>
        <v>No Twilight</v>
      </c>
      <c r="W32" s="483"/>
      <c r="X32" s="478"/>
      <c r="Y32" s="484"/>
      <c r="Z32" s="478"/>
      <c r="AA32" s="485" t="str">
        <f>IF(V32="Uncomprehended Twilight","Failed",IF(OR(ISBLANK(W32),ISBLANK(Y32))," ",IF(NOT(ISBLANK(X32)),"Failed",IF((W32+Character!$B$9+SUMIF(Character!$I$62:$I$66,"Enigmatic Wisdom",Character!$J$62:$J$66))&gt;=IF(Z32="Yes",0,(Y32+D27)),"Succeeded","Failed"))))</f>
        <v xml:space="preserve"> </v>
      </c>
      <c r="AB32" s="477" t="str">
        <f>IF(AA32=" "," ",IF(NOT(ISBLANK(X32)),VLOOKUP($D$3+X32,Calcs!$A$110:$C$122,3,TRUE),IF(AA32="Failed",VLOOKUP($D$3,Calcs!$A$110:$C$122,3,TRUE),VLOOKUP($D$3-(IF((Character!$B$9+W32)&gt;($D$3+Y32),(Character!$B$9+W32)-($D$3+Y32),0)),Calcs!$A$110:$C$122,3,TRUE))))</f>
        <v xml:space="preserve"> </v>
      </c>
      <c r="AC32" s="489"/>
      <c r="AD32" s="489" t="str">
        <f>IF(IF(AA32=" "," ",IF(NOT(ISBLANK(X32)),VLOOKUP($D$3+X32,Calcs!$A$110:$B$122,2,TRUE),IF(AA32="Failed",VLOOKUP($D$3,Calcs!$A$110:$B$122,2,TRUE),VLOOKUP($D$3-(IF((Character!$B$9+W32)&gt;($D$3+Y32),(Character!$B$9+W32)-($D$3+Y32),0)),Calcs!$A$110:$B$122,2,TRUE))))=Calcs!$B$120,IF(ISBLANK(AC32)," ",CONCATENATE(AC32+7," Years")),IF(AA32=" "," ",IF(NOT(ISBLANK(X32)),VLOOKUP($D$3+X32,Calcs!$A$110:$B$122,2,TRUE),IF(AA32="Failed",VLOOKUP($D$3,Calcs!$A$110:$B$122,2,TRUE),VLOOKUP($D$3-(IF((Character!$B$9+W32)&gt;($D$3+Y32),(Character!$B$9+W32)-($D$3+Y32),0)),Calcs!$A$110:$B$122,2,TRUE)))))</f>
        <v xml:space="preserve"> </v>
      </c>
      <c r="AE32" s="490"/>
      <c r="AF32" s="879"/>
      <c r="AG32" s="491"/>
    </row>
    <row r="33" spans="1:33" x14ac:dyDescent="0.2">
      <c r="A33" s="415">
        <f t="shared" si="0"/>
        <v>1218</v>
      </c>
      <c r="B33" s="419" t="str">
        <f t="shared" si="1"/>
        <v>Spring</v>
      </c>
      <c r="C33" s="455"/>
      <c r="D33" s="504"/>
      <c r="E33" s="455"/>
      <c r="F33" s="504"/>
      <c r="G33" s="455"/>
      <c r="H33" s="504"/>
      <c r="I33" s="455"/>
      <c r="J33" s="504"/>
      <c r="L33" s="472"/>
      <c r="M33" s="468"/>
      <c r="N33" s="468"/>
      <c r="O33" s="468"/>
      <c r="P33" s="468"/>
      <c r="Q33" s="473"/>
      <c r="R33" s="477" t="str">
        <f>IF(AND(COUNTIF('Start Character'!$I$63:$M$77,"Twilight Prone")=1,NOT(ISERROR(FIND("Magical Botch",M33)))),"Yes",IF(P33&gt;1,"Yes","No"))</f>
        <v>No</v>
      </c>
      <c r="S33" s="501"/>
      <c r="T33" s="478"/>
      <c r="U33" s="501"/>
      <c r="V33" s="479" t="str">
        <f>IF(R33="No","No Twilight",IF(T33="Yes","Uncomprehended Twilight",IF((Character!$B$14+IF(Character!$B$53="Yes",0,Character!$B$53)+IF(Magic!$C$5="Yes",2,0)+ROUNDUP((Magic!$B$30+IF(Magic!$C$30="Yes",3,0))/5,0)+S33)&gt;=($D$3+P33+SUMIF(Character!$I$62:$I$66,"Enigmatic Wisdom",Character!$J$62:$J$66)+Q33+U33),"No Twilight","Twilight")))</f>
        <v>No Twilight</v>
      </c>
      <c r="W33" s="483"/>
      <c r="X33" s="478"/>
      <c r="Y33" s="484"/>
      <c r="Z33" s="478"/>
      <c r="AA33" s="485" t="str">
        <f>IF(V33="Uncomprehended Twilight","Failed",IF(OR(ISBLANK(W33),ISBLANK(Y33))," ",IF(NOT(ISBLANK(X33)),"Failed",IF((W33+Character!$B$9+SUMIF(Character!$I$62:$I$66,"Enigmatic Wisdom",Character!$J$62:$J$66))&gt;=IF(Z33="Yes",0,(Y33+D28)),"Succeeded","Failed"))))</f>
        <v xml:space="preserve"> </v>
      </c>
      <c r="AB33" s="477" t="str">
        <f>IF(AA33=" "," ",IF(NOT(ISBLANK(X33)),VLOOKUP($D$3+X33,Calcs!$A$110:$C$122,3,TRUE),IF(AA33="Failed",VLOOKUP($D$3,Calcs!$A$110:$C$122,3,TRUE),VLOOKUP($D$3-(IF((Character!$B$9+W33)&gt;($D$3+Y33),(Character!$B$9+W33)-($D$3+Y33),0)),Calcs!$A$110:$C$122,3,TRUE))))</f>
        <v xml:space="preserve"> </v>
      </c>
      <c r="AC33" s="489"/>
      <c r="AD33" s="489" t="str">
        <f>IF(IF(AA33=" "," ",IF(NOT(ISBLANK(X33)),VLOOKUP($D$3+X33,Calcs!$A$110:$B$122,2,TRUE),IF(AA33="Failed",VLOOKUP($D$3,Calcs!$A$110:$B$122,2,TRUE),VLOOKUP($D$3-(IF((Character!$B$9+W33)&gt;($D$3+Y33),(Character!$B$9+W33)-($D$3+Y33),0)),Calcs!$A$110:$B$122,2,TRUE))))=Calcs!$B$120,IF(ISBLANK(AC33)," ",CONCATENATE(AC33+7," Years")),IF(AA33=" "," ",IF(NOT(ISBLANK(X33)),VLOOKUP($D$3+X33,Calcs!$A$110:$B$122,2,TRUE),IF(AA33="Failed",VLOOKUP($D$3,Calcs!$A$110:$B$122,2,TRUE),VLOOKUP($D$3-(IF((Character!$B$9+W33)&gt;($D$3+Y33),(Character!$B$9+W33)-($D$3+Y33),0)),Calcs!$A$110:$B$122,2,TRUE)))))</f>
        <v xml:space="preserve"> </v>
      </c>
      <c r="AE33" s="490"/>
      <c r="AF33" s="879"/>
      <c r="AG33" s="491"/>
    </row>
    <row r="34" spans="1:33" x14ac:dyDescent="0.2">
      <c r="A34" s="415">
        <f t="shared" si="0"/>
        <v>1218</v>
      </c>
      <c r="B34" s="419" t="str">
        <f t="shared" si="1"/>
        <v>Summer</v>
      </c>
      <c r="C34" s="455"/>
      <c r="D34" s="504"/>
      <c r="E34" s="455"/>
      <c r="F34" s="504"/>
      <c r="G34" s="455"/>
      <c r="H34" s="504"/>
      <c r="I34" s="455"/>
      <c r="J34" s="504"/>
      <c r="L34" s="472"/>
      <c r="M34" s="468"/>
      <c r="N34" s="468"/>
      <c r="O34" s="468"/>
      <c r="P34" s="468"/>
      <c r="Q34" s="473"/>
      <c r="R34" s="477" t="str">
        <f>IF(AND(COUNTIF('Start Character'!$I$63:$M$77,"Twilight Prone")=1,NOT(ISERROR(FIND("Magical Botch",M34)))),"Yes",IF(P34&gt;1,"Yes","No"))</f>
        <v>No</v>
      </c>
      <c r="S34" s="501"/>
      <c r="T34" s="478"/>
      <c r="U34" s="501"/>
      <c r="V34" s="479" t="str">
        <f>IF(R34="No","No Twilight",IF(T34="Yes","Uncomprehended Twilight",IF((Character!$B$14+IF(Character!$B$53="Yes",0,Character!$B$53)+IF(Magic!$C$5="Yes",2,0)+ROUNDUP((Magic!$B$30+IF(Magic!$C$30="Yes",3,0))/5,0)+S34)&gt;=($D$3+P34+SUMIF(Character!$I$62:$I$66,"Enigmatic Wisdom",Character!$J$62:$J$66)+Q34+U34),"No Twilight","Twilight")))</f>
        <v>No Twilight</v>
      </c>
      <c r="W34" s="483"/>
      <c r="X34" s="478"/>
      <c r="Y34" s="484"/>
      <c r="Z34" s="478"/>
      <c r="AA34" s="485" t="str">
        <f>IF(V34="Uncomprehended Twilight","Failed",IF(OR(ISBLANK(W34),ISBLANK(Y34))," ",IF(NOT(ISBLANK(X34)),"Failed",IF((W34+Character!$B$9+SUMIF(Character!$I$62:$I$66,"Enigmatic Wisdom",Character!$J$62:$J$66))&gt;=IF(Z34="Yes",0,(Y34+D29)),"Succeeded","Failed"))))</f>
        <v xml:space="preserve"> </v>
      </c>
      <c r="AB34" s="477" t="str">
        <f>IF(AA34=" "," ",IF(NOT(ISBLANK(X34)),VLOOKUP($D$3+X34,Calcs!$A$110:$C$122,3,TRUE),IF(AA34="Failed",VLOOKUP($D$3,Calcs!$A$110:$C$122,3,TRUE),VLOOKUP($D$3-(IF((Character!$B$9+W34)&gt;($D$3+Y34),(Character!$B$9+W34)-($D$3+Y34),0)),Calcs!$A$110:$C$122,3,TRUE))))</f>
        <v xml:space="preserve"> </v>
      </c>
      <c r="AC34" s="489"/>
      <c r="AD34" s="489" t="str">
        <f>IF(IF(AA34=" "," ",IF(NOT(ISBLANK(X34)),VLOOKUP($D$3+X34,Calcs!$A$110:$B$122,2,TRUE),IF(AA34="Failed",VLOOKUP($D$3,Calcs!$A$110:$B$122,2,TRUE),VLOOKUP($D$3-(IF((Character!$B$9+W34)&gt;($D$3+Y34),(Character!$B$9+W34)-($D$3+Y34),0)),Calcs!$A$110:$B$122,2,TRUE))))=Calcs!$B$120,IF(ISBLANK(AC34)," ",CONCATENATE(AC34+7," Years")),IF(AA34=" "," ",IF(NOT(ISBLANK(X34)),VLOOKUP($D$3+X34,Calcs!$A$110:$B$122,2,TRUE),IF(AA34="Failed",VLOOKUP($D$3,Calcs!$A$110:$B$122,2,TRUE),VLOOKUP($D$3-(IF((Character!$B$9+W34)&gt;($D$3+Y34),(Character!$B$9+W34)-($D$3+Y34),0)),Calcs!$A$110:$B$122,2,TRUE)))))</f>
        <v xml:space="preserve"> </v>
      </c>
      <c r="AE34" s="490"/>
      <c r="AF34" s="879"/>
      <c r="AG34" s="491"/>
    </row>
    <row r="35" spans="1:33" x14ac:dyDescent="0.2">
      <c r="A35" s="415">
        <f t="shared" si="0"/>
        <v>1218</v>
      </c>
      <c r="B35" s="419" t="str">
        <f t="shared" si="1"/>
        <v>Autumn</v>
      </c>
      <c r="C35" s="455"/>
      <c r="D35" s="504"/>
      <c r="E35" s="455"/>
      <c r="F35" s="504"/>
      <c r="G35" s="455"/>
      <c r="H35" s="504"/>
      <c r="I35" s="455"/>
      <c r="J35" s="504"/>
      <c r="L35" s="472"/>
      <c r="M35" s="468"/>
      <c r="N35" s="468"/>
      <c r="O35" s="468"/>
      <c r="P35" s="468"/>
      <c r="Q35" s="473"/>
      <c r="R35" s="477" t="str">
        <f>IF(AND(COUNTIF('Start Character'!$I$63:$M$77,"Twilight Prone")=1,NOT(ISERROR(FIND("Magical Botch",M35)))),"Yes",IF(P35&gt;1,"Yes","No"))</f>
        <v>No</v>
      </c>
      <c r="S35" s="501"/>
      <c r="T35" s="478"/>
      <c r="U35" s="501"/>
      <c r="V35" s="479" t="str">
        <f>IF(R35="No","No Twilight",IF(T35="Yes","Uncomprehended Twilight",IF((Character!$B$14+IF(Character!$B$53="Yes",0,Character!$B$53)+IF(Magic!$C$5="Yes",2,0)+ROUNDUP((Magic!$B$30+IF(Magic!$C$30="Yes",3,0))/5,0)+S35)&gt;=($D$3+P35+SUMIF(Character!$I$62:$I$66,"Enigmatic Wisdom",Character!$J$62:$J$66)+Q35+U35),"No Twilight","Twilight")))</f>
        <v>No Twilight</v>
      </c>
      <c r="W35" s="483"/>
      <c r="X35" s="478"/>
      <c r="Y35" s="484"/>
      <c r="Z35" s="478"/>
      <c r="AA35" s="485" t="str">
        <f>IF(V35="Uncomprehended Twilight","Failed",IF(OR(ISBLANK(W35),ISBLANK(Y35))," ",IF(NOT(ISBLANK(X35)),"Failed",IF((W35+Character!$B$9+SUMIF(Character!$I$62:$I$66,"Enigmatic Wisdom",Character!$J$62:$J$66))&gt;=IF(Z35="Yes",0,(Y35+D30)),"Succeeded","Failed"))))</f>
        <v xml:space="preserve"> </v>
      </c>
      <c r="AB35" s="477" t="str">
        <f>IF(AA35=" "," ",IF(NOT(ISBLANK(X35)),VLOOKUP($D$3+X35,Calcs!$A$110:$C$122,3,TRUE),IF(AA35="Failed",VLOOKUP($D$3,Calcs!$A$110:$C$122,3,TRUE),VLOOKUP($D$3-(IF((Character!$B$9+W35)&gt;($D$3+Y35),(Character!$B$9+W35)-($D$3+Y35),0)),Calcs!$A$110:$C$122,3,TRUE))))</f>
        <v xml:space="preserve"> </v>
      </c>
      <c r="AC35" s="489"/>
      <c r="AD35" s="489" t="str">
        <f>IF(IF(AA35=" "," ",IF(NOT(ISBLANK(X35)),VLOOKUP($D$3+X35,Calcs!$A$110:$B$122,2,TRUE),IF(AA35="Failed",VLOOKUP($D$3,Calcs!$A$110:$B$122,2,TRUE),VLOOKUP($D$3-(IF((Character!$B$9+W35)&gt;($D$3+Y35),(Character!$B$9+W35)-($D$3+Y35),0)),Calcs!$A$110:$B$122,2,TRUE))))=Calcs!$B$120,IF(ISBLANK(AC35)," ",CONCATENATE(AC35+7," Years")),IF(AA35=" "," ",IF(NOT(ISBLANK(X35)),VLOOKUP($D$3+X35,Calcs!$A$110:$B$122,2,TRUE),IF(AA35="Failed",VLOOKUP($D$3,Calcs!$A$110:$B$122,2,TRUE),VLOOKUP($D$3-(IF((Character!$B$9+W35)&gt;($D$3+Y35),(Character!$B$9+W35)-($D$3+Y35),0)),Calcs!$A$110:$B$122,2,TRUE)))))</f>
        <v xml:space="preserve"> </v>
      </c>
      <c r="AE35" s="490"/>
      <c r="AF35" s="879"/>
      <c r="AG35" s="491"/>
    </row>
    <row r="36" spans="1:33" x14ac:dyDescent="0.2">
      <c r="A36" s="415">
        <f t="shared" si="0"/>
        <v>1219</v>
      </c>
      <c r="B36" s="419" t="str">
        <f t="shared" si="1"/>
        <v>Winter</v>
      </c>
      <c r="C36" s="455"/>
      <c r="D36" s="504"/>
      <c r="E36" s="455"/>
      <c r="F36" s="504"/>
      <c r="G36" s="455"/>
      <c r="H36" s="504"/>
      <c r="I36" s="455"/>
      <c r="J36" s="504"/>
      <c r="L36" s="472"/>
      <c r="M36" s="468"/>
      <c r="N36" s="468"/>
      <c r="O36" s="468"/>
      <c r="P36" s="468"/>
      <c r="Q36" s="473"/>
      <c r="R36" s="477" t="str">
        <f>IF(AND(COUNTIF('Start Character'!$I$63:$M$77,"Twilight Prone")=1,NOT(ISERROR(FIND("Magical Botch",M36)))),"Yes",IF(P36&gt;1,"Yes","No"))</f>
        <v>No</v>
      </c>
      <c r="S36" s="501"/>
      <c r="T36" s="478"/>
      <c r="U36" s="501"/>
      <c r="V36" s="479" t="str">
        <f>IF(R36="No","No Twilight",IF(T36="Yes","Uncomprehended Twilight",IF((Character!$B$14+IF(Character!$B$53="Yes",0,Character!$B$53)+IF(Magic!$C$5="Yes",2,0)+ROUNDUP((Magic!$B$30+IF(Magic!$C$30="Yes",3,0))/5,0)+S36)&gt;=($D$3+P36+SUMIF(Character!$I$62:$I$66,"Enigmatic Wisdom",Character!$J$62:$J$66)+Q36+U36),"No Twilight","Twilight")))</f>
        <v>No Twilight</v>
      </c>
      <c r="W36" s="483"/>
      <c r="X36" s="478"/>
      <c r="Y36" s="484"/>
      <c r="Z36" s="478"/>
      <c r="AA36" s="485" t="str">
        <f>IF(V36="Uncomprehended Twilight","Failed",IF(OR(ISBLANK(W36),ISBLANK(Y36))," ",IF(NOT(ISBLANK(X36)),"Failed",IF((W36+Character!$B$9+SUMIF(Character!$I$62:$I$66,"Enigmatic Wisdom",Character!$J$62:$J$66))&gt;=IF(Z36="Yes",0,(Y36+D31)),"Succeeded","Failed"))))</f>
        <v xml:space="preserve"> </v>
      </c>
      <c r="AB36" s="477" t="str">
        <f>IF(AA36=" "," ",IF(NOT(ISBLANK(X36)),VLOOKUP($D$3+X36,Calcs!$A$110:$C$122,3,TRUE),IF(AA36="Failed",VLOOKUP($D$3,Calcs!$A$110:$C$122,3,TRUE),VLOOKUP($D$3-(IF((Character!$B$9+W36)&gt;($D$3+Y36),(Character!$B$9+W36)-($D$3+Y36),0)),Calcs!$A$110:$C$122,3,TRUE))))</f>
        <v xml:space="preserve"> </v>
      </c>
      <c r="AC36" s="489"/>
      <c r="AD36" s="489" t="str">
        <f>IF(IF(AA36=" "," ",IF(NOT(ISBLANK(X36)),VLOOKUP($D$3+X36,Calcs!$A$110:$B$122,2,TRUE),IF(AA36="Failed",VLOOKUP($D$3,Calcs!$A$110:$B$122,2,TRUE),VLOOKUP($D$3-(IF((Character!$B$9+W36)&gt;($D$3+Y36),(Character!$B$9+W36)-($D$3+Y36),0)),Calcs!$A$110:$B$122,2,TRUE))))=Calcs!$B$120,IF(ISBLANK(AC36)," ",CONCATENATE(AC36+7," Years")),IF(AA36=" "," ",IF(NOT(ISBLANK(X36)),VLOOKUP($D$3+X36,Calcs!$A$110:$B$122,2,TRUE),IF(AA36="Failed",VLOOKUP($D$3,Calcs!$A$110:$B$122,2,TRUE),VLOOKUP($D$3-(IF((Character!$B$9+W36)&gt;($D$3+Y36),(Character!$B$9+W36)-($D$3+Y36),0)),Calcs!$A$110:$B$122,2,TRUE)))))</f>
        <v xml:space="preserve"> </v>
      </c>
      <c r="AE36" s="490"/>
      <c r="AF36" s="879"/>
      <c r="AG36" s="491"/>
    </row>
    <row r="37" spans="1:33" x14ac:dyDescent="0.2">
      <c r="A37" s="415">
        <f t="shared" si="0"/>
        <v>1219</v>
      </c>
      <c r="B37" s="419" t="str">
        <f t="shared" si="1"/>
        <v>Spring</v>
      </c>
      <c r="C37" s="455"/>
      <c r="D37" s="504"/>
      <c r="E37" s="455"/>
      <c r="F37" s="504"/>
      <c r="G37" s="455"/>
      <c r="H37" s="504"/>
      <c r="I37" s="455"/>
      <c r="J37" s="504"/>
      <c r="L37" s="472"/>
      <c r="M37" s="468"/>
      <c r="N37" s="468"/>
      <c r="O37" s="468"/>
      <c r="P37" s="468"/>
      <c r="Q37" s="473"/>
      <c r="R37" s="477" t="str">
        <f>IF(AND(COUNTIF('Start Character'!$I$63:$M$77,"Twilight Prone")=1,NOT(ISERROR(FIND("Magical Botch",M37)))),"Yes",IF(P37&gt;1,"Yes","No"))</f>
        <v>No</v>
      </c>
      <c r="S37" s="501"/>
      <c r="T37" s="478"/>
      <c r="U37" s="501"/>
      <c r="V37" s="479" t="str">
        <f>IF(R37="No","No Twilight",IF(T37="Yes","Uncomprehended Twilight",IF((Character!$B$14+IF(Character!$B$53="Yes",0,Character!$B$53)+IF(Magic!$C$5="Yes",2,0)+ROUNDUP((Magic!$B$30+IF(Magic!$C$30="Yes",3,0))/5,0)+S37)&gt;=($D$3+P37+SUMIF(Character!$I$62:$I$66,"Enigmatic Wisdom",Character!$J$62:$J$66)+Q37+U37),"No Twilight","Twilight")))</f>
        <v>No Twilight</v>
      </c>
      <c r="W37" s="483"/>
      <c r="X37" s="478"/>
      <c r="Y37" s="484"/>
      <c r="Z37" s="478"/>
      <c r="AA37" s="485" t="str">
        <f>IF(V37="Uncomprehended Twilight","Failed",IF(OR(ISBLANK(W37),ISBLANK(Y37))," ",IF(NOT(ISBLANK(X37)),"Failed",IF((W37+Character!$B$9+SUMIF(Character!$I$62:$I$66,"Enigmatic Wisdom",Character!$J$62:$J$66))&gt;=IF(Z37="Yes",0,(Y37+D32)),"Succeeded","Failed"))))</f>
        <v xml:space="preserve"> </v>
      </c>
      <c r="AB37" s="477" t="str">
        <f>IF(AA37=" "," ",IF(NOT(ISBLANK(X37)),VLOOKUP($D$3+X37,Calcs!$A$110:$C$122,3,TRUE),IF(AA37="Failed",VLOOKUP($D$3,Calcs!$A$110:$C$122,3,TRUE),VLOOKUP($D$3-(IF((Character!$B$9+W37)&gt;($D$3+Y37),(Character!$B$9+W37)-($D$3+Y37),0)),Calcs!$A$110:$C$122,3,TRUE))))</f>
        <v xml:space="preserve"> </v>
      </c>
      <c r="AC37" s="489"/>
      <c r="AD37" s="489" t="str">
        <f>IF(IF(AA37=" "," ",IF(NOT(ISBLANK(X37)),VLOOKUP($D$3+X37,Calcs!$A$110:$B$122,2,TRUE),IF(AA37="Failed",VLOOKUP($D$3,Calcs!$A$110:$B$122,2,TRUE),VLOOKUP($D$3-(IF((Character!$B$9+W37)&gt;($D$3+Y37),(Character!$B$9+W37)-($D$3+Y37),0)),Calcs!$A$110:$B$122,2,TRUE))))=Calcs!$B$120,IF(ISBLANK(AC37)," ",CONCATENATE(AC37+7," Years")),IF(AA37=" "," ",IF(NOT(ISBLANK(X37)),VLOOKUP($D$3+X37,Calcs!$A$110:$B$122,2,TRUE),IF(AA37="Failed",VLOOKUP($D$3,Calcs!$A$110:$B$122,2,TRUE),VLOOKUP($D$3-(IF((Character!$B$9+W37)&gt;($D$3+Y37),(Character!$B$9+W37)-($D$3+Y37),0)),Calcs!$A$110:$B$122,2,TRUE)))))</f>
        <v xml:space="preserve"> </v>
      </c>
      <c r="AE37" s="490"/>
      <c r="AF37" s="879"/>
      <c r="AG37" s="491"/>
    </row>
    <row r="38" spans="1:33" x14ac:dyDescent="0.2">
      <c r="A38" s="415">
        <f t="shared" si="0"/>
        <v>1219</v>
      </c>
      <c r="B38" s="419" t="str">
        <f t="shared" si="1"/>
        <v>Summer</v>
      </c>
      <c r="C38" s="455"/>
      <c r="D38" s="504"/>
      <c r="E38" s="455"/>
      <c r="F38" s="504"/>
      <c r="G38" s="455"/>
      <c r="H38" s="504"/>
      <c r="I38" s="455"/>
      <c r="J38" s="504"/>
      <c r="L38" s="472"/>
      <c r="M38" s="468"/>
      <c r="N38" s="468"/>
      <c r="O38" s="468"/>
      <c r="P38" s="468"/>
      <c r="Q38" s="473"/>
      <c r="R38" s="477" t="str">
        <f>IF(AND(COUNTIF('Start Character'!$I$63:$M$77,"Twilight Prone")=1,NOT(ISERROR(FIND("Magical Botch",M38)))),"Yes",IF(P38&gt;1,"Yes","No"))</f>
        <v>No</v>
      </c>
      <c r="S38" s="501"/>
      <c r="T38" s="478"/>
      <c r="U38" s="501"/>
      <c r="V38" s="479" t="str">
        <f>IF(R38="No","No Twilight",IF(T38="Yes","Uncomprehended Twilight",IF((Character!$B$14+IF(Character!$B$53="Yes",0,Character!$B$53)+IF(Magic!$C$5="Yes",2,0)+ROUNDUP((Magic!$B$30+IF(Magic!$C$30="Yes",3,0))/5,0)+S38)&gt;=($D$3+P38+SUMIF(Character!$I$62:$I$66,"Enigmatic Wisdom",Character!$J$62:$J$66)+Q38+U38),"No Twilight","Twilight")))</f>
        <v>No Twilight</v>
      </c>
      <c r="W38" s="483"/>
      <c r="X38" s="478"/>
      <c r="Y38" s="484"/>
      <c r="Z38" s="478"/>
      <c r="AA38" s="485" t="str">
        <f>IF(V38="Uncomprehended Twilight","Failed",IF(OR(ISBLANK(W38),ISBLANK(Y38))," ",IF(NOT(ISBLANK(X38)),"Failed",IF((W38+Character!$B$9+SUMIF(Character!$I$62:$I$66,"Enigmatic Wisdom",Character!$J$62:$J$66))&gt;=IF(Z38="Yes",0,(Y38+D33)),"Succeeded","Failed"))))</f>
        <v xml:space="preserve"> </v>
      </c>
      <c r="AB38" s="477" t="str">
        <f>IF(AA38=" "," ",IF(NOT(ISBLANK(X38)),VLOOKUP($D$3+X38,Calcs!$A$110:$C$122,3,TRUE),IF(AA38="Failed",VLOOKUP($D$3,Calcs!$A$110:$C$122,3,TRUE),VLOOKUP($D$3-(IF((Character!$B$9+W38)&gt;($D$3+Y38),(Character!$B$9+W38)-($D$3+Y38),0)),Calcs!$A$110:$C$122,3,TRUE))))</f>
        <v xml:space="preserve"> </v>
      </c>
      <c r="AC38" s="489"/>
      <c r="AD38" s="489" t="str">
        <f>IF(IF(AA38=" "," ",IF(NOT(ISBLANK(X38)),VLOOKUP($D$3+X38,Calcs!$A$110:$B$122,2,TRUE),IF(AA38="Failed",VLOOKUP($D$3,Calcs!$A$110:$B$122,2,TRUE),VLOOKUP($D$3-(IF((Character!$B$9+W38)&gt;($D$3+Y38),(Character!$B$9+W38)-($D$3+Y38),0)),Calcs!$A$110:$B$122,2,TRUE))))=Calcs!$B$120,IF(ISBLANK(AC38)," ",CONCATENATE(AC38+7," Years")),IF(AA38=" "," ",IF(NOT(ISBLANK(X38)),VLOOKUP($D$3+X38,Calcs!$A$110:$B$122,2,TRUE),IF(AA38="Failed",VLOOKUP($D$3,Calcs!$A$110:$B$122,2,TRUE),VLOOKUP($D$3-(IF((Character!$B$9+W38)&gt;($D$3+Y38),(Character!$B$9+W38)-($D$3+Y38),0)),Calcs!$A$110:$B$122,2,TRUE)))))</f>
        <v xml:space="preserve"> </v>
      </c>
      <c r="AE38" s="490"/>
      <c r="AF38" s="879"/>
      <c r="AG38" s="491"/>
    </row>
    <row r="39" spans="1:33" x14ac:dyDescent="0.2">
      <c r="A39" s="415">
        <f t="shared" si="0"/>
        <v>1219</v>
      </c>
      <c r="B39" s="419" t="str">
        <f t="shared" si="1"/>
        <v>Autumn</v>
      </c>
      <c r="C39" s="455"/>
      <c r="D39" s="504"/>
      <c r="E39" s="455"/>
      <c r="F39" s="504"/>
      <c r="G39" s="455"/>
      <c r="H39" s="504"/>
      <c r="I39" s="455"/>
      <c r="J39" s="504"/>
      <c r="L39" s="472"/>
      <c r="M39" s="468"/>
      <c r="N39" s="468"/>
      <c r="O39" s="468"/>
      <c r="P39" s="468"/>
      <c r="Q39" s="473"/>
      <c r="R39" s="477" t="str">
        <f>IF(AND(COUNTIF('Start Character'!$I$63:$M$77,"Twilight Prone")=1,NOT(ISERROR(FIND("Magical Botch",M39)))),"Yes",IF(P39&gt;1,"Yes","No"))</f>
        <v>No</v>
      </c>
      <c r="S39" s="501"/>
      <c r="T39" s="478"/>
      <c r="U39" s="501"/>
      <c r="V39" s="479" t="str">
        <f>IF(R39="No","No Twilight",IF(T39="Yes","Uncomprehended Twilight",IF((Character!$B$14+IF(Character!$B$53="Yes",0,Character!$B$53)+IF(Magic!$C$5="Yes",2,0)+ROUNDUP((Magic!$B$30+IF(Magic!$C$30="Yes",3,0))/5,0)+S39)&gt;=($D$3+P39+SUMIF(Character!$I$62:$I$66,"Enigmatic Wisdom",Character!$J$62:$J$66)+Q39+U39),"No Twilight","Twilight")))</f>
        <v>No Twilight</v>
      </c>
      <c r="W39" s="483"/>
      <c r="X39" s="478"/>
      <c r="Y39" s="484"/>
      <c r="Z39" s="478"/>
      <c r="AA39" s="485" t="str">
        <f>IF(V39="Uncomprehended Twilight","Failed",IF(OR(ISBLANK(W39),ISBLANK(Y39))," ",IF(NOT(ISBLANK(X39)),"Failed",IF((W39+Character!$B$9+SUMIF(Character!$I$62:$I$66,"Enigmatic Wisdom",Character!$J$62:$J$66))&gt;=IF(Z39="Yes",0,(Y39+D34)),"Succeeded","Failed"))))</f>
        <v xml:space="preserve"> </v>
      </c>
      <c r="AB39" s="477" t="str">
        <f>IF(AA39=" "," ",IF(NOT(ISBLANK(X39)),VLOOKUP($D$3+X39,Calcs!$A$110:$C$122,3,TRUE),IF(AA39="Failed",VLOOKUP($D$3,Calcs!$A$110:$C$122,3,TRUE),VLOOKUP($D$3-(IF((Character!$B$9+W39)&gt;($D$3+Y39),(Character!$B$9+W39)-($D$3+Y39),0)),Calcs!$A$110:$C$122,3,TRUE))))</f>
        <v xml:space="preserve"> </v>
      </c>
      <c r="AC39" s="489"/>
      <c r="AD39" s="489" t="str">
        <f>IF(IF(AA39=" "," ",IF(NOT(ISBLANK(X39)),VLOOKUP($D$3+X39,Calcs!$A$110:$B$122,2,TRUE),IF(AA39="Failed",VLOOKUP($D$3,Calcs!$A$110:$B$122,2,TRUE),VLOOKUP($D$3-(IF((Character!$B$9+W39)&gt;($D$3+Y39),(Character!$B$9+W39)-($D$3+Y39),0)),Calcs!$A$110:$B$122,2,TRUE))))=Calcs!$B$120,IF(ISBLANK(AC39)," ",CONCATENATE(AC39+7," Years")),IF(AA39=" "," ",IF(NOT(ISBLANK(X39)),VLOOKUP($D$3+X39,Calcs!$A$110:$B$122,2,TRUE),IF(AA39="Failed",VLOOKUP($D$3,Calcs!$A$110:$B$122,2,TRUE),VLOOKUP($D$3-(IF((Character!$B$9+W39)&gt;($D$3+Y39),(Character!$B$9+W39)-($D$3+Y39),0)),Calcs!$A$110:$B$122,2,TRUE)))))</f>
        <v xml:space="preserve"> </v>
      </c>
      <c r="AE39" s="490"/>
      <c r="AF39" s="879"/>
      <c r="AG39" s="491"/>
    </row>
    <row r="40" spans="1:33" x14ac:dyDescent="0.2">
      <c r="A40" s="415">
        <f t="shared" si="0"/>
        <v>1220</v>
      </c>
      <c r="B40" s="419" t="str">
        <f t="shared" si="1"/>
        <v>Winter</v>
      </c>
      <c r="C40" s="455"/>
      <c r="D40" s="504"/>
      <c r="E40" s="455"/>
      <c r="F40" s="504"/>
      <c r="G40" s="455"/>
      <c r="H40" s="504"/>
      <c r="I40" s="455"/>
      <c r="J40" s="504"/>
      <c r="L40" s="472"/>
      <c r="M40" s="468"/>
      <c r="N40" s="468"/>
      <c r="O40" s="468"/>
      <c r="P40" s="468"/>
      <c r="Q40" s="473"/>
      <c r="R40" s="477" t="str">
        <f>IF(AND(COUNTIF('Start Character'!$I$63:$M$77,"Twilight Prone")=1,NOT(ISERROR(FIND("Magical Botch",M40)))),"Yes",IF(P40&gt;1,"Yes","No"))</f>
        <v>No</v>
      </c>
      <c r="S40" s="501"/>
      <c r="T40" s="478"/>
      <c r="U40" s="501"/>
      <c r="V40" s="479" t="str">
        <f>IF(R40="No","No Twilight",IF(T40="Yes","Uncomprehended Twilight",IF((Character!$B$14+IF(Character!$B$53="Yes",0,Character!$B$53)+IF(Magic!$C$5="Yes",2,0)+ROUNDUP((Magic!$B$30+IF(Magic!$C$30="Yes",3,0))/5,0)+S40)&gt;=($D$3+P40+SUMIF(Character!$I$62:$I$66,"Enigmatic Wisdom",Character!$J$62:$J$66)+Q40+U40),"No Twilight","Twilight")))</f>
        <v>No Twilight</v>
      </c>
      <c r="W40" s="483"/>
      <c r="X40" s="478"/>
      <c r="Y40" s="484"/>
      <c r="Z40" s="478"/>
      <c r="AA40" s="485" t="str">
        <f>IF(V40="Uncomprehended Twilight","Failed",IF(OR(ISBLANK(W40),ISBLANK(Y40))," ",IF(NOT(ISBLANK(X40)),"Failed",IF((W40+Character!$B$9+SUMIF(Character!$I$62:$I$66,"Enigmatic Wisdom",Character!$J$62:$J$66))&gt;=IF(Z40="Yes",0,(Y40+D35)),"Succeeded","Failed"))))</f>
        <v xml:space="preserve"> </v>
      </c>
      <c r="AB40" s="477" t="str">
        <f>IF(AA40=" "," ",IF(NOT(ISBLANK(X40)),VLOOKUP($D$3+X40,Calcs!$A$110:$C$122,3,TRUE),IF(AA40="Failed",VLOOKUP($D$3,Calcs!$A$110:$C$122,3,TRUE),VLOOKUP($D$3-(IF((Character!$B$9+W40)&gt;($D$3+Y40),(Character!$B$9+W40)-($D$3+Y40),0)),Calcs!$A$110:$C$122,3,TRUE))))</f>
        <v xml:space="preserve"> </v>
      </c>
      <c r="AC40" s="489"/>
      <c r="AD40" s="489" t="str">
        <f>IF(IF(AA40=" "," ",IF(NOT(ISBLANK(X40)),VLOOKUP($D$3+X40,Calcs!$A$110:$B$122,2,TRUE),IF(AA40="Failed",VLOOKUP($D$3,Calcs!$A$110:$B$122,2,TRUE),VLOOKUP($D$3-(IF((Character!$B$9+W40)&gt;($D$3+Y40),(Character!$B$9+W40)-($D$3+Y40),0)),Calcs!$A$110:$B$122,2,TRUE))))=Calcs!$B$120,IF(ISBLANK(AC40)," ",CONCATENATE(AC40+7," Years")),IF(AA40=" "," ",IF(NOT(ISBLANK(X40)),VLOOKUP($D$3+X40,Calcs!$A$110:$B$122,2,TRUE),IF(AA40="Failed",VLOOKUP($D$3,Calcs!$A$110:$B$122,2,TRUE),VLOOKUP($D$3-(IF((Character!$B$9+W40)&gt;($D$3+Y40),(Character!$B$9+W40)-($D$3+Y40),0)),Calcs!$A$110:$B$122,2,TRUE)))))</f>
        <v xml:space="preserve"> </v>
      </c>
      <c r="AE40" s="490"/>
      <c r="AF40" s="879"/>
      <c r="AG40" s="491"/>
    </row>
    <row r="41" spans="1:33" x14ac:dyDescent="0.2">
      <c r="A41" s="415">
        <f t="shared" si="0"/>
        <v>1220</v>
      </c>
      <c r="B41" s="419" t="str">
        <f t="shared" si="1"/>
        <v>Spring</v>
      </c>
      <c r="C41" s="455"/>
      <c r="D41" s="504"/>
      <c r="E41" s="455"/>
      <c r="F41" s="504"/>
      <c r="G41" s="455"/>
      <c r="H41" s="504"/>
      <c r="I41" s="455"/>
      <c r="J41" s="504"/>
      <c r="L41" s="472"/>
      <c r="M41" s="468"/>
      <c r="N41" s="468"/>
      <c r="O41" s="468"/>
      <c r="P41" s="468"/>
      <c r="Q41" s="473"/>
      <c r="R41" s="477" t="str">
        <f>IF(AND(COUNTIF('Start Character'!$I$63:$M$77,"Twilight Prone")=1,NOT(ISERROR(FIND("Magical Botch",M41)))),"Yes",IF(P41&gt;1,"Yes","No"))</f>
        <v>No</v>
      </c>
      <c r="S41" s="501"/>
      <c r="T41" s="478"/>
      <c r="U41" s="501"/>
      <c r="V41" s="479" t="str">
        <f>IF(R41="No","No Twilight",IF(T41="Yes","Uncomprehended Twilight",IF((Character!$B$14+IF(Character!$B$53="Yes",0,Character!$B$53)+IF(Magic!$C$5="Yes",2,0)+ROUNDUP((Magic!$B$30+IF(Magic!$C$30="Yes",3,0))/5,0)+S41)&gt;=($D$3+P41+SUMIF(Character!$I$62:$I$66,"Enigmatic Wisdom",Character!$J$62:$J$66)+Q41+U41),"No Twilight","Twilight")))</f>
        <v>No Twilight</v>
      </c>
      <c r="W41" s="483"/>
      <c r="X41" s="478"/>
      <c r="Y41" s="484"/>
      <c r="Z41" s="478"/>
      <c r="AA41" s="485" t="str">
        <f>IF(V41="Uncomprehended Twilight","Failed",IF(OR(ISBLANK(W41),ISBLANK(Y41))," ",IF(NOT(ISBLANK(X41)),"Failed",IF((W41+Character!$B$9+SUMIF(Character!$I$62:$I$66,"Enigmatic Wisdom",Character!$J$62:$J$66))&gt;=IF(Z41="Yes",0,(Y41+D36)),"Succeeded","Failed"))))</f>
        <v xml:space="preserve"> </v>
      </c>
      <c r="AB41" s="477" t="str">
        <f>IF(AA41=" "," ",IF(NOT(ISBLANK(X41)),VLOOKUP($D$3+X41,Calcs!$A$110:$C$122,3,TRUE),IF(AA41="Failed",VLOOKUP($D$3,Calcs!$A$110:$C$122,3,TRUE),VLOOKUP($D$3-(IF((Character!$B$9+W41)&gt;($D$3+Y41),(Character!$B$9+W41)-($D$3+Y41),0)),Calcs!$A$110:$C$122,3,TRUE))))</f>
        <v xml:space="preserve"> </v>
      </c>
      <c r="AC41" s="489"/>
      <c r="AD41" s="489" t="str">
        <f>IF(IF(AA41=" "," ",IF(NOT(ISBLANK(X41)),VLOOKUP($D$3+X41,Calcs!$A$110:$B$122,2,TRUE),IF(AA41="Failed",VLOOKUP($D$3,Calcs!$A$110:$B$122,2,TRUE),VLOOKUP($D$3-(IF((Character!$B$9+W41)&gt;($D$3+Y41),(Character!$B$9+W41)-($D$3+Y41),0)),Calcs!$A$110:$B$122,2,TRUE))))=Calcs!$B$120,IF(ISBLANK(AC41)," ",CONCATENATE(AC41+7," Years")),IF(AA41=" "," ",IF(NOT(ISBLANK(X41)),VLOOKUP($D$3+X41,Calcs!$A$110:$B$122,2,TRUE),IF(AA41="Failed",VLOOKUP($D$3,Calcs!$A$110:$B$122,2,TRUE),VLOOKUP($D$3-(IF((Character!$B$9+W41)&gt;($D$3+Y41),(Character!$B$9+W41)-($D$3+Y41),0)),Calcs!$A$110:$B$122,2,TRUE)))))</f>
        <v xml:space="preserve"> </v>
      </c>
      <c r="AE41" s="490"/>
      <c r="AF41" s="879"/>
      <c r="AG41" s="491"/>
    </row>
    <row r="42" spans="1:33" x14ac:dyDescent="0.2">
      <c r="A42" s="415">
        <f t="shared" si="0"/>
        <v>1220</v>
      </c>
      <c r="B42" s="419" t="str">
        <f t="shared" si="1"/>
        <v>Summer</v>
      </c>
      <c r="C42" s="455"/>
      <c r="D42" s="504"/>
      <c r="E42" s="455"/>
      <c r="F42" s="504"/>
      <c r="G42" s="455"/>
      <c r="H42" s="504"/>
      <c r="I42" s="455"/>
      <c r="J42" s="504"/>
      <c r="L42" s="472"/>
      <c r="M42" s="468"/>
      <c r="N42" s="468"/>
      <c r="O42" s="468"/>
      <c r="P42" s="468"/>
      <c r="Q42" s="473"/>
      <c r="R42" s="477" t="str">
        <f>IF(AND(COUNTIF('Start Character'!$I$63:$M$77,"Twilight Prone")=1,NOT(ISERROR(FIND("Magical Botch",M42)))),"Yes",IF(P42&gt;1,"Yes","No"))</f>
        <v>No</v>
      </c>
      <c r="S42" s="501"/>
      <c r="T42" s="478"/>
      <c r="U42" s="501"/>
      <c r="V42" s="479" t="str">
        <f>IF(R42="No","No Twilight",IF(T42="Yes","Uncomprehended Twilight",IF((Character!$B$14+IF(Character!$B$53="Yes",0,Character!$B$53)+IF(Magic!$C$5="Yes",2,0)+ROUNDUP((Magic!$B$30+IF(Magic!$C$30="Yes",3,0))/5,0)+S42)&gt;=($D$3+P42+SUMIF(Character!$I$62:$I$66,"Enigmatic Wisdom",Character!$J$62:$J$66)+Q42+U42),"No Twilight","Twilight")))</f>
        <v>No Twilight</v>
      </c>
      <c r="W42" s="483"/>
      <c r="X42" s="478"/>
      <c r="Y42" s="484"/>
      <c r="Z42" s="478"/>
      <c r="AA42" s="485" t="str">
        <f>IF(V42="Uncomprehended Twilight","Failed",IF(OR(ISBLANK(W42),ISBLANK(Y42))," ",IF(NOT(ISBLANK(X42)),"Failed",IF((W42+Character!$B$9+SUMIF(Character!$I$62:$I$66,"Enigmatic Wisdom",Character!$J$62:$J$66))&gt;=IF(Z42="Yes",0,(Y42+D37)),"Succeeded","Failed"))))</f>
        <v xml:space="preserve"> </v>
      </c>
      <c r="AB42" s="477" t="str">
        <f>IF(AA42=" "," ",IF(NOT(ISBLANK(X42)),VLOOKUP($D$3+X42,Calcs!$A$110:$C$122,3,TRUE),IF(AA42="Failed",VLOOKUP($D$3,Calcs!$A$110:$C$122,3,TRUE),VLOOKUP($D$3-(IF((Character!$B$9+W42)&gt;($D$3+Y42),(Character!$B$9+W42)-($D$3+Y42),0)),Calcs!$A$110:$C$122,3,TRUE))))</f>
        <v xml:space="preserve"> </v>
      </c>
      <c r="AC42" s="489"/>
      <c r="AD42" s="489" t="str">
        <f>IF(IF(AA42=" "," ",IF(NOT(ISBLANK(X42)),VLOOKUP($D$3+X42,Calcs!$A$110:$B$122,2,TRUE),IF(AA42="Failed",VLOOKUP($D$3,Calcs!$A$110:$B$122,2,TRUE),VLOOKUP($D$3-(IF((Character!$B$9+W42)&gt;($D$3+Y42),(Character!$B$9+W42)-($D$3+Y42),0)),Calcs!$A$110:$B$122,2,TRUE))))=Calcs!$B$120,IF(ISBLANK(AC42)," ",CONCATENATE(AC42+7," Years")),IF(AA42=" "," ",IF(NOT(ISBLANK(X42)),VLOOKUP($D$3+X42,Calcs!$A$110:$B$122,2,TRUE),IF(AA42="Failed",VLOOKUP($D$3,Calcs!$A$110:$B$122,2,TRUE),VLOOKUP($D$3-(IF((Character!$B$9+W42)&gt;($D$3+Y42),(Character!$B$9+W42)-($D$3+Y42),0)),Calcs!$A$110:$B$122,2,TRUE)))))</f>
        <v xml:space="preserve"> </v>
      </c>
      <c r="AE42" s="490"/>
      <c r="AF42" s="879"/>
      <c r="AG42" s="491"/>
    </row>
    <row r="43" spans="1:33" x14ac:dyDescent="0.2">
      <c r="A43" s="415">
        <f t="shared" si="0"/>
        <v>1220</v>
      </c>
      <c r="B43" s="419" t="str">
        <f t="shared" si="1"/>
        <v>Autumn</v>
      </c>
      <c r="C43" s="455"/>
      <c r="D43" s="504"/>
      <c r="E43" s="455"/>
      <c r="F43" s="504"/>
      <c r="G43" s="455"/>
      <c r="H43" s="504"/>
      <c r="I43" s="455"/>
      <c r="J43" s="504"/>
      <c r="L43" s="472"/>
      <c r="M43" s="468"/>
      <c r="N43" s="468"/>
      <c r="O43" s="468"/>
      <c r="P43" s="468"/>
      <c r="Q43" s="473"/>
      <c r="R43" s="477" t="str">
        <f>IF(AND(COUNTIF('Start Character'!$I$63:$M$77,"Twilight Prone")=1,NOT(ISERROR(FIND("Magical Botch",M43)))),"Yes",IF(P43&gt;1,"Yes","No"))</f>
        <v>No</v>
      </c>
      <c r="S43" s="501"/>
      <c r="T43" s="478"/>
      <c r="U43" s="501"/>
      <c r="V43" s="479" t="str">
        <f>IF(R43="No","No Twilight",IF(T43="Yes","Uncomprehended Twilight",IF((Character!$B$14+IF(Character!$B$53="Yes",0,Character!$B$53)+IF(Magic!$C$5="Yes",2,0)+ROUNDUP((Magic!$B$30+IF(Magic!$C$30="Yes",3,0))/5,0)+S43)&gt;=($D$3+P43+SUMIF(Character!$I$62:$I$66,"Enigmatic Wisdom",Character!$J$62:$J$66)+Q43+U43),"No Twilight","Twilight")))</f>
        <v>No Twilight</v>
      </c>
      <c r="W43" s="483"/>
      <c r="X43" s="478"/>
      <c r="Y43" s="484"/>
      <c r="Z43" s="478"/>
      <c r="AA43" s="485" t="str">
        <f>IF(V43="Uncomprehended Twilight","Failed",IF(OR(ISBLANK(W43),ISBLANK(Y43))," ",IF(NOT(ISBLANK(X43)),"Failed",IF((W43+Character!$B$9+SUMIF(Character!$I$62:$I$66,"Enigmatic Wisdom",Character!$J$62:$J$66))&gt;=IF(Z43="Yes",0,(Y43+D38)),"Succeeded","Failed"))))</f>
        <v xml:space="preserve"> </v>
      </c>
      <c r="AB43" s="477" t="str">
        <f>IF(AA43=" "," ",IF(NOT(ISBLANK(X43)),VLOOKUP($D$3+X43,Calcs!$A$110:$C$122,3,TRUE),IF(AA43="Failed",VLOOKUP($D$3,Calcs!$A$110:$C$122,3,TRUE),VLOOKUP($D$3-(IF((Character!$B$9+W43)&gt;($D$3+Y43),(Character!$B$9+W43)-($D$3+Y43),0)),Calcs!$A$110:$C$122,3,TRUE))))</f>
        <v xml:space="preserve"> </v>
      </c>
      <c r="AC43" s="489"/>
      <c r="AD43" s="489" t="str">
        <f>IF(IF(AA43=" "," ",IF(NOT(ISBLANK(X43)),VLOOKUP($D$3+X43,Calcs!$A$110:$B$122,2,TRUE),IF(AA43="Failed",VLOOKUP($D$3,Calcs!$A$110:$B$122,2,TRUE),VLOOKUP($D$3-(IF((Character!$B$9+W43)&gt;($D$3+Y43),(Character!$B$9+W43)-($D$3+Y43),0)),Calcs!$A$110:$B$122,2,TRUE))))=Calcs!$B$120,IF(ISBLANK(AC43)," ",CONCATENATE(AC43+7," Years")),IF(AA43=" "," ",IF(NOT(ISBLANK(X43)),VLOOKUP($D$3+X43,Calcs!$A$110:$B$122,2,TRUE),IF(AA43="Failed",VLOOKUP($D$3,Calcs!$A$110:$B$122,2,TRUE),VLOOKUP($D$3-(IF((Character!$B$9+W43)&gt;($D$3+Y43),(Character!$B$9+W43)-($D$3+Y43),0)),Calcs!$A$110:$B$122,2,TRUE)))))</f>
        <v xml:space="preserve"> </v>
      </c>
      <c r="AE43" s="490"/>
      <c r="AF43" s="879"/>
      <c r="AG43" s="491"/>
    </row>
    <row r="44" spans="1:33" x14ac:dyDescent="0.2">
      <c r="A44" s="415">
        <f t="shared" si="0"/>
        <v>1221</v>
      </c>
      <c r="B44" s="419" t="str">
        <f t="shared" si="1"/>
        <v>Winter</v>
      </c>
      <c r="C44" s="455"/>
      <c r="D44" s="504"/>
      <c r="E44" s="455"/>
      <c r="F44" s="504"/>
      <c r="G44" s="455"/>
      <c r="H44" s="504"/>
      <c r="I44" s="455"/>
      <c r="J44" s="504"/>
      <c r="L44" s="472"/>
      <c r="M44" s="468"/>
      <c r="N44" s="468"/>
      <c r="O44" s="468"/>
      <c r="P44" s="468"/>
      <c r="Q44" s="473"/>
      <c r="R44" s="477" t="str">
        <f>IF(AND(COUNTIF('Start Character'!$I$63:$M$77,"Twilight Prone")=1,NOT(ISERROR(FIND("Magical Botch",M44)))),"Yes",IF(P44&gt;1,"Yes","No"))</f>
        <v>No</v>
      </c>
      <c r="S44" s="501"/>
      <c r="T44" s="478"/>
      <c r="U44" s="501"/>
      <c r="V44" s="479" t="str">
        <f>IF(R44="No","No Twilight",IF(T44="Yes","Uncomprehended Twilight",IF((Character!$B$14+IF(Character!$B$53="Yes",0,Character!$B$53)+IF(Magic!$C$5="Yes",2,0)+ROUNDUP((Magic!$B$30+IF(Magic!$C$30="Yes",3,0))/5,0)+S44)&gt;=($D$3+P44+SUMIF(Character!$I$62:$I$66,"Enigmatic Wisdom",Character!$J$62:$J$66)+Q44+U44),"No Twilight","Twilight")))</f>
        <v>No Twilight</v>
      </c>
      <c r="W44" s="483"/>
      <c r="X44" s="478"/>
      <c r="Y44" s="484"/>
      <c r="Z44" s="478"/>
      <c r="AA44" s="485" t="str">
        <f>IF(V44="Uncomprehended Twilight","Failed",IF(OR(ISBLANK(W44),ISBLANK(Y44))," ",IF(NOT(ISBLANK(X44)),"Failed",IF((W44+Character!$B$9+SUMIF(Character!$I$62:$I$66,"Enigmatic Wisdom",Character!$J$62:$J$66))&gt;=IF(Z44="Yes",0,(Y44+D39)),"Succeeded","Failed"))))</f>
        <v xml:space="preserve"> </v>
      </c>
      <c r="AB44" s="477" t="str">
        <f>IF(AA44=" "," ",IF(NOT(ISBLANK(X44)),VLOOKUP($D$3+X44,Calcs!$A$110:$C$122,3,TRUE),IF(AA44="Failed",VLOOKUP($D$3,Calcs!$A$110:$C$122,3,TRUE),VLOOKUP($D$3-(IF((Character!$B$9+W44)&gt;($D$3+Y44),(Character!$B$9+W44)-($D$3+Y44),0)),Calcs!$A$110:$C$122,3,TRUE))))</f>
        <v xml:space="preserve"> </v>
      </c>
      <c r="AC44" s="489"/>
      <c r="AD44" s="489" t="str">
        <f>IF(IF(AA44=" "," ",IF(NOT(ISBLANK(X44)),VLOOKUP($D$3+X44,Calcs!$A$110:$B$122,2,TRUE),IF(AA44="Failed",VLOOKUP($D$3,Calcs!$A$110:$B$122,2,TRUE),VLOOKUP($D$3-(IF((Character!$B$9+W44)&gt;($D$3+Y44),(Character!$B$9+W44)-($D$3+Y44),0)),Calcs!$A$110:$B$122,2,TRUE))))=Calcs!$B$120,IF(ISBLANK(AC44)," ",CONCATENATE(AC44+7," Years")),IF(AA44=" "," ",IF(NOT(ISBLANK(X44)),VLOOKUP($D$3+X44,Calcs!$A$110:$B$122,2,TRUE),IF(AA44="Failed",VLOOKUP($D$3,Calcs!$A$110:$B$122,2,TRUE),VLOOKUP($D$3-(IF((Character!$B$9+W44)&gt;($D$3+Y44),(Character!$B$9+W44)-($D$3+Y44),0)),Calcs!$A$110:$B$122,2,TRUE)))))</f>
        <v xml:space="preserve"> </v>
      </c>
      <c r="AE44" s="490"/>
      <c r="AF44" s="879"/>
      <c r="AG44" s="491"/>
    </row>
    <row r="45" spans="1:33" x14ac:dyDescent="0.2">
      <c r="A45" s="415">
        <f t="shared" si="0"/>
        <v>1221</v>
      </c>
      <c r="B45" s="419" t="str">
        <f t="shared" si="1"/>
        <v>Spring</v>
      </c>
      <c r="C45" s="455"/>
      <c r="D45" s="504"/>
      <c r="E45" s="455"/>
      <c r="F45" s="504"/>
      <c r="G45" s="455"/>
      <c r="H45" s="504"/>
      <c r="I45" s="455"/>
      <c r="J45" s="504"/>
      <c r="L45" s="472"/>
      <c r="M45" s="468"/>
      <c r="N45" s="468"/>
      <c r="O45" s="468"/>
      <c r="P45" s="468"/>
      <c r="Q45" s="473"/>
      <c r="R45" s="477" t="str">
        <f>IF(AND(COUNTIF('Start Character'!$I$63:$M$77,"Twilight Prone")=1,NOT(ISERROR(FIND("Magical Botch",M45)))),"Yes",IF(P45&gt;1,"Yes","No"))</f>
        <v>No</v>
      </c>
      <c r="S45" s="501"/>
      <c r="T45" s="478"/>
      <c r="U45" s="501"/>
      <c r="V45" s="479" t="str">
        <f>IF(R45="No","No Twilight",IF(T45="Yes","Uncomprehended Twilight",IF((Character!$B$14+IF(Character!$B$53="Yes",0,Character!$B$53)+IF(Magic!$C$5="Yes",2,0)+ROUNDUP((Magic!$B$30+IF(Magic!$C$30="Yes",3,0))/5,0)+S45)&gt;=($D$3+P45+SUMIF(Character!$I$62:$I$66,"Enigmatic Wisdom",Character!$J$62:$J$66)+Q45+U45),"No Twilight","Twilight")))</f>
        <v>No Twilight</v>
      </c>
      <c r="W45" s="483"/>
      <c r="X45" s="478"/>
      <c r="Y45" s="484"/>
      <c r="Z45" s="478"/>
      <c r="AA45" s="485" t="str">
        <f>IF(V45="Uncomprehended Twilight","Failed",IF(OR(ISBLANK(W45),ISBLANK(Y45))," ",IF(NOT(ISBLANK(X45)),"Failed",IF((W45+Character!$B$9+SUMIF(Character!$I$62:$I$66,"Enigmatic Wisdom",Character!$J$62:$J$66))&gt;=IF(Z45="Yes",0,(Y45+D40)),"Succeeded","Failed"))))</f>
        <v xml:space="preserve"> </v>
      </c>
      <c r="AB45" s="477" t="str">
        <f>IF(AA45=" "," ",IF(NOT(ISBLANK(X45)),VLOOKUP($D$3+X45,Calcs!$A$110:$C$122,3,TRUE),IF(AA45="Failed",VLOOKUP($D$3,Calcs!$A$110:$C$122,3,TRUE),VLOOKUP($D$3-(IF((Character!$B$9+W45)&gt;($D$3+Y45),(Character!$B$9+W45)-($D$3+Y45),0)),Calcs!$A$110:$C$122,3,TRUE))))</f>
        <v xml:space="preserve"> </v>
      </c>
      <c r="AC45" s="489"/>
      <c r="AD45" s="489" t="str">
        <f>IF(IF(AA45=" "," ",IF(NOT(ISBLANK(X45)),VLOOKUP($D$3+X45,Calcs!$A$110:$B$122,2,TRUE),IF(AA45="Failed",VLOOKUP($D$3,Calcs!$A$110:$B$122,2,TRUE),VLOOKUP($D$3-(IF((Character!$B$9+W45)&gt;($D$3+Y45),(Character!$B$9+W45)-($D$3+Y45),0)),Calcs!$A$110:$B$122,2,TRUE))))=Calcs!$B$120,IF(ISBLANK(AC45)," ",CONCATENATE(AC45+7," Years")),IF(AA45=" "," ",IF(NOT(ISBLANK(X45)),VLOOKUP($D$3+X45,Calcs!$A$110:$B$122,2,TRUE),IF(AA45="Failed",VLOOKUP($D$3,Calcs!$A$110:$B$122,2,TRUE),VLOOKUP($D$3-(IF((Character!$B$9+W45)&gt;($D$3+Y45),(Character!$B$9+W45)-($D$3+Y45),0)),Calcs!$A$110:$B$122,2,TRUE)))))</f>
        <v xml:space="preserve"> </v>
      </c>
      <c r="AE45" s="490"/>
      <c r="AF45" s="879"/>
      <c r="AG45" s="491"/>
    </row>
    <row r="46" spans="1:33" x14ac:dyDescent="0.2">
      <c r="A46" s="415">
        <f t="shared" si="0"/>
        <v>1221</v>
      </c>
      <c r="B46" s="419" t="str">
        <f t="shared" si="1"/>
        <v>Summer</v>
      </c>
      <c r="C46" s="455"/>
      <c r="D46" s="504"/>
      <c r="E46" s="455"/>
      <c r="F46" s="504"/>
      <c r="G46" s="455"/>
      <c r="H46" s="504"/>
      <c r="I46" s="455"/>
      <c r="J46" s="504"/>
      <c r="L46" s="472"/>
      <c r="M46" s="468"/>
      <c r="N46" s="468"/>
      <c r="O46" s="468"/>
      <c r="P46" s="468"/>
      <c r="Q46" s="473"/>
      <c r="R46" s="477" t="str">
        <f>IF(AND(COUNTIF('Start Character'!$I$63:$M$77,"Twilight Prone")=1,NOT(ISERROR(FIND("Magical Botch",M46)))),"Yes",IF(P46&gt;1,"Yes","No"))</f>
        <v>No</v>
      </c>
      <c r="S46" s="501"/>
      <c r="T46" s="478"/>
      <c r="U46" s="501"/>
      <c r="V46" s="479" t="str">
        <f>IF(R46="No","No Twilight",IF(T46="Yes","Uncomprehended Twilight",IF((Character!$B$14+IF(Character!$B$53="Yes",0,Character!$B$53)+IF(Magic!$C$5="Yes",2,0)+ROUNDUP((Magic!$B$30+IF(Magic!$C$30="Yes",3,0))/5,0)+S46)&gt;=($D$3+P46+SUMIF(Character!$I$62:$I$66,"Enigmatic Wisdom",Character!$J$62:$J$66)+Q46+U46),"No Twilight","Twilight")))</f>
        <v>No Twilight</v>
      </c>
      <c r="W46" s="483"/>
      <c r="X46" s="478"/>
      <c r="Y46" s="484"/>
      <c r="Z46" s="478"/>
      <c r="AA46" s="485" t="str">
        <f>IF(V46="Uncomprehended Twilight","Failed",IF(OR(ISBLANK(W46),ISBLANK(Y46))," ",IF(NOT(ISBLANK(X46)),"Failed",IF((W46+Character!$B$9+SUMIF(Character!$I$62:$I$66,"Enigmatic Wisdom",Character!$J$62:$J$66))&gt;=IF(Z46="Yes",0,(Y46+D41)),"Succeeded","Failed"))))</f>
        <v xml:space="preserve"> </v>
      </c>
      <c r="AB46" s="477" t="str">
        <f>IF(AA46=" "," ",IF(NOT(ISBLANK(X46)),VLOOKUP($D$3+X46,Calcs!$A$110:$C$122,3,TRUE),IF(AA46="Failed",VLOOKUP($D$3,Calcs!$A$110:$C$122,3,TRUE),VLOOKUP($D$3-(IF((Character!$B$9+W46)&gt;($D$3+Y46),(Character!$B$9+W46)-($D$3+Y46),0)),Calcs!$A$110:$C$122,3,TRUE))))</f>
        <v xml:space="preserve"> </v>
      </c>
      <c r="AC46" s="489"/>
      <c r="AD46" s="489" t="str">
        <f>IF(IF(AA46=" "," ",IF(NOT(ISBLANK(X46)),VLOOKUP($D$3+X46,Calcs!$A$110:$B$122,2,TRUE),IF(AA46="Failed",VLOOKUP($D$3,Calcs!$A$110:$B$122,2,TRUE),VLOOKUP($D$3-(IF((Character!$B$9+W46)&gt;($D$3+Y46),(Character!$B$9+W46)-($D$3+Y46),0)),Calcs!$A$110:$B$122,2,TRUE))))=Calcs!$B$120,IF(ISBLANK(AC46)," ",CONCATENATE(AC46+7," Years")),IF(AA46=" "," ",IF(NOT(ISBLANK(X46)),VLOOKUP($D$3+X46,Calcs!$A$110:$B$122,2,TRUE),IF(AA46="Failed",VLOOKUP($D$3,Calcs!$A$110:$B$122,2,TRUE),VLOOKUP($D$3-(IF((Character!$B$9+W46)&gt;($D$3+Y46),(Character!$B$9+W46)-($D$3+Y46),0)),Calcs!$A$110:$B$122,2,TRUE)))))</f>
        <v xml:space="preserve"> </v>
      </c>
      <c r="AE46" s="490"/>
      <c r="AF46" s="879"/>
      <c r="AG46" s="491"/>
    </row>
    <row r="47" spans="1:33" x14ac:dyDescent="0.2">
      <c r="A47" s="415">
        <f t="shared" si="0"/>
        <v>1221</v>
      </c>
      <c r="B47" s="419" t="str">
        <f t="shared" si="1"/>
        <v>Autumn</v>
      </c>
      <c r="C47" s="455"/>
      <c r="D47" s="504"/>
      <c r="E47" s="455"/>
      <c r="F47" s="504"/>
      <c r="G47" s="455"/>
      <c r="H47" s="504"/>
      <c r="I47" s="455"/>
      <c r="J47" s="504"/>
      <c r="L47" s="472"/>
      <c r="M47" s="468"/>
      <c r="N47" s="468"/>
      <c r="O47" s="468"/>
      <c r="P47" s="468"/>
      <c r="Q47" s="473"/>
      <c r="R47" s="477" t="str">
        <f>IF(AND(COUNTIF('Start Character'!$I$63:$M$77,"Twilight Prone")=1,NOT(ISERROR(FIND("Magical Botch",M47)))),"Yes",IF(P47&gt;1,"Yes","No"))</f>
        <v>No</v>
      </c>
      <c r="S47" s="501"/>
      <c r="T47" s="478"/>
      <c r="U47" s="501"/>
      <c r="V47" s="479" t="str">
        <f>IF(R47="No","No Twilight",IF(T47="Yes","Uncomprehended Twilight",IF((Character!$B$14+IF(Character!$B$53="Yes",0,Character!$B$53)+IF(Magic!$C$5="Yes",2,0)+ROUNDUP((Magic!$B$30+IF(Magic!$C$30="Yes",3,0))/5,0)+S47)&gt;=($D$3+P47+SUMIF(Character!$I$62:$I$66,"Enigmatic Wisdom",Character!$J$62:$J$66)+Q47+U47),"No Twilight","Twilight")))</f>
        <v>No Twilight</v>
      </c>
      <c r="W47" s="483"/>
      <c r="X47" s="478"/>
      <c r="Y47" s="484"/>
      <c r="Z47" s="478"/>
      <c r="AA47" s="485" t="str">
        <f>IF(V47="Uncomprehended Twilight","Failed",IF(OR(ISBLANK(W47),ISBLANK(Y47))," ",IF(NOT(ISBLANK(X47)),"Failed",IF((W47+Character!$B$9+SUMIF(Character!$I$62:$I$66,"Enigmatic Wisdom",Character!$J$62:$J$66))&gt;=IF(Z47="Yes",0,(Y47+D42)),"Succeeded","Failed"))))</f>
        <v xml:space="preserve"> </v>
      </c>
      <c r="AB47" s="477" t="str">
        <f>IF(AA47=" "," ",IF(NOT(ISBLANK(X47)),VLOOKUP($D$3+X47,Calcs!$A$110:$C$122,3,TRUE),IF(AA47="Failed",VLOOKUP($D$3,Calcs!$A$110:$C$122,3,TRUE),VLOOKUP($D$3-(IF((Character!$B$9+W47)&gt;($D$3+Y47),(Character!$B$9+W47)-($D$3+Y47),0)),Calcs!$A$110:$C$122,3,TRUE))))</f>
        <v xml:space="preserve"> </v>
      </c>
      <c r="AC47" s="489"/>
      <c r="AD47" s="489" t="str">
        <f>IF(IF(AA47=" "," ",IF(NOT(ISBLANK(X47)),VLOOKUP($D$3+X47,Calcs!$A$110:$B$122,2,TRUE),IF(AA47="Failed",VLOOKUP($D$3,Calcs!$A$110:$B$122,2,TRUE),VLOOKUP($D$3-(IF((Character!$B$9+W47)&gt;($D$3+Y47),(Character!$B$9+W47)-($D$3+Y47),0)),Calcs!$A$110:$B$122,2,TRUE))))=Calcs!$B$120,IF(ISBLANK(AC47)," ",CONCATENATE(AC47+7," Years")),IF(AA47=" "," ",IF(NOT(ISBLANK(X47)),VLOOKUP($D$3+X47,Calcs!$A$110:$B$122,2,TRUE),IF(AA47="Failed",VLOOKUP($D$3,Calcs!$A$110:$B$122,2,TRUE),VLOOKUP($D$3-(IF((Character!$B$9+W47)&gt;($D$3+Y47),(Character!$B$9+W47)-($D$3+Y47),0)),Calcs!$A$110:$B$122,2,TRUE)))))</f>
        <v xml:space="preserve"> </v>
      </c>
      <c r="AE47" s="490"/>
      <c r="AF47" s="879"/>
      <c r="AG47" s="491"/>
    </row>
    <row r="48" spans="1:33" x14ac:dyDescent="0.2">
      <c r="A48" s="415">
        <f t="shared" si="0"/>
        <v>1222</v>
      </c>
      <c r="B48" s="419" t="str">
        <f t="shared" si="1"/>
        <v>Winter</v>
      </c>
      <c r="C48" s="455"/>
      <c r="D48" s="504"/>
      <c r="E48" s="455"/>
      <c r="F48" s="504"/>
      <c r="G48" s="455"/>
      <c r="H48" s="504"/>
      <c r="I48" s="455"/>
      <c r="J48" s="504"/>
      <c r="L48" s="472"/>
      <c r="M48" s="468"/>
      <c r="N48" s="468"/>
      <c r="O48" s="468"/>
      <c r="P48" s="468"/>
      <c r="Q48" s="473"/>
      <c r="R48" s="477" t="str">
        <f>IF(AND(COUNTIF('Start Character'!$I$63:$M$77,"Twilight Prone")=1,NOT(ISERROR(FIND("Magical Botch",M48)))),"Yes",IF(P48&gt;1,"Yes","No"))</f>
        <v>No</v>
      </c>
      <c r="S48" s="501"/>
      <c r="T48" s="478"/>
      <c r="U48" s="501"/>
      <c r="V48" s="479" t="str">
        <f>IF(R48="No","No Twilight",IF(T48="Yes","Uncomprehended Twilight",IF((Character!$B$14+IF(Character!$B$53="Yes",0,Character!$B$53)+IF(Magic!$C$5="Yes",2,0)+ROUNDUP((Magic!$B$30+IF(Magic!$C$30="Yes",3,0))/5,0)+S48)&gt;=($D$3+P48+SUMIF(Character!$I$62:$I$66,"Enigmatic Wisdom",Character!$J$62:$J$66)+Q48+U48),"No Twilight","Twilight")))</f>
        <v>No Twilight</v>
      </c>
      <c r="W48" s="483"/>
      <c r="X48" s="478"/>
      <c r="Y48" s="484"/>
      <c r="Z48" s="478"/>
      <c r="AA48" s="485" t="str">
        <f>IF(V48="Uncomprehended Twilight","Failed",IF(OR(ISBLANK(W48),ISBLANK(Y48))," ",IF(NOT(ISBLANK(X48)),"Failed",IF((W48+Character!$B$9+SUMIF(Character!$I$62:$I$66,"Enigmatic Wisdom",Character!$J$62:$J$66))&gt;=IF(Z48="Yes",0,(Y48+D43)),"Succeeded","Failed"))))</f>
        <v xml:space="preserve"> </v>
      </c>
      <c r="AB48" s="477" t="str">
        <f>IF(AA48=" "," ",IF(NOT(ISBLANK(X48)),VLOOKUP($D$3+X48,Calcs!$A$110:$C$122,3,TRUE),IF(AA48="Failed",VLOOKUP($D$3,Calcs!$A$110:$C$122,3,TRUE),VLOOKUP($D$3-(IF((Character!$B$9+W48)&gt;($D$3+Y48),(Character!$B$9+W48)-($D$3+Y48),0)),Calcs!$A$110:$C$122,3,TRUE))))</f>
        <v xml:space="preserve"> </v>
      </c>
      <c r="AC48" s="489"/>
      <c r="AD48" s="489" t="str">
        <f>IF(IF(AA48=" "," ",IF(NOT(ISBLANK(X48)),VLOOKUP($D$3+X48,Calcs!$A$110:$B$122,2,TRUE),IF(AA48="Failed",VLOOKUP($D$3,Calcs!$A$110:$B$122,2,TRUE),VLOOKUP($D$3-(IF((Character!$B$9+W48)&gt;($D$3+Y48),(Character!$B$9+W48)-($D$3+Y48),0)),Calcs!$A$110:$B$122,2,TRUE))))=Calcs!$B$120,IF(ISBLANK(AC48)," ",CONCATENATE(AC48+7," Years")),IF(AA48=" "," ",IF(NOT(ISBLANK(X48)),VLOOKUP($D$3+X48,Calcs!$A$110:$B$122,2,TRUE),IF(AA48="Failed",VLOOKUP($D$3,Calcs!$A$110:$B$122,2,TRUE),VLOOKUP($D$3-(IF((Character!$B$9+W48)&gt;($D$3+Y48),(Character!$B$9+W48)-($D$3+Y48),0)),Calcs!$A$110:$B$122,2,TRUE)))))</f>
        <v xml:space="preserve"> </v>
      </c>
      <c r="AE48" s="490"/>
      <c r="AF48" s="879"/>
      <c r="AG48" s="491"/>
    </row>
    <row r="49" spans="1:33" x14ac:dyDescent="0.2">
      <c r="A49" s="415">
        <f t="shared" si="0"/>
        <v>1222</v>
      </c>
      <c r="B49" s="419" t="str">
        <f t="shared" si="1"/>
        <v>Spring</v>
      </c>
      <c r="C49" s="455"/>
      <c r="D49" s="504"/>
      <c r="E49" s="455"/>
      <c r="F49" s="504"/>
      <c r="G49" s="455"/>
      <c r="H49" s="504"/>
      <c r="I49" s="455"/>
      <c r="J49" s="504"/>
      <c r="L49" s="472"/>
      <c r="M49" s="468"/>
      <c r="N49" s="468"/>
      <c r="O49" s="468"/>
      <c r="P49" s="468"/>
      <c r="Q49" s="473"/>
      <c r="R49" s="477" t="str">
        <f>IF(AND(COUNTIF('Start Character'!$I$63:$M$77,"Twilight Prone")=1,NOT(ISERROR(FIND("Magical Botch",M49)))),"Yes",IF(P49&gt;1,"Yes","No"))</f>
        <v>No</v>
      </c>
      <c r="S49" s="501"/>
      <c r="T49" s="478"/>
      <c r="U49" s="501"/>
      <c r="V49" s="479" t="str">
        <f>IF(R49="No","No Twilight",IF(T49="Yes","Uncomprehended Twilight",IF((Character!$B$14+IF(Character!$B$53="Yes",0,Character!$B$53)+IF(Magic!$C$5="Yes",2,0)+ROUNDUP((Magic!$B$30+IF(Magic!$C$30="Yes",3,0))/5,0)+S49)&gt;=($D$3+P49+SUMIF(Character!$I$62:$I$66,"Enigmatic Wisdom",Character!$J$62:$J$66)+Q49+U49),"No Twilight","Twilight")))</f>
        <v>No Twilight</v>
      </c>
      <c r="W49" s="483"/>
      <c r="X49" s="478"/>
      <c r="Y49" s="484"/>
      <c r="Z49" s="478"/>
      <c r="AA49" s="485" t="str">
        <f>IF(V49="Uncomprehended Twilight","Failed",IF(OR(ISBLANK(W49),ISBLANK(Y49))," ",IF(NOT(ISBLANK(X49)),"Failed",IF((W49+Character!$B$9+SUMIF(Character!$I$62:$I$66,"Enigmatic Wisdom",Character!$J$62:$J$66))&gt;=IF(Z49="Yes",0,(Y49+D44)),"Succeeded","Failed"))))</f>
        <v xml:space="preserve"> </v>
      </c>
      <c r="AB49" s="477" t="str">
        <f>IF(AA49=" "," ",IF(NOT(ISBLANK(X49)),VLOOKUP($D$3+X49,Calcs!$A$110:$C$122,3,TRUE),IF(AA49="Failed",VLOOKUP($D$3,Calcs!$A$110:$C$122,3,TRUE),VLOOKUP($D$3-(IF((Character!$B$9+W49)&gt;($D$3+Y49),(Character!$B$9+W49)-($D$3+Y49),0)),Calcs!$A$110:$C$122,3,TRUE))))</f>
        <v xml:space="preserve"> </v>
      </c>
      <c r="AC49" s="489"/>
      <c r="AD49" s="489" t="str">
        <f>IF(IF(AA49=" "," ",IF(NOT(ISBLANK(X49)),VLOOKUP($D$3+X49,Calcs!$A$110:$B$122,2,TRUE),IF(AA49="Failed",VLOOKUP($D$3,Calcs!$A$110:$B$122,2,TRUE),VLOOKUP($D$3-(IF((Character!$B$9+W49)&gt;($D$3+Y49),(Character!$B$9+W49)-($D$3+Y49),0)),Calcs!$A$110:$B$122,2,TRUE))))=Calcs!$B$120,IF(ISBLANK(AC49)," ",CONCATENATE(AC49+7," Years")),IF(AA49=" "," ",IF(NOT(ISBLANK(X49)),VLOOKUP($D$3+X49,Calcs!$A$110:$B$122,2,TRUE),IF(AA49="Failed",VLOOKUP($D$3,Calcs!$A$110:$B$122,2,TRUE),VLOOKUP($D$3-(IF((Character!$B$9+W49)&gt;($D$3+Y49),(Character!$B$9+W49)-($D$3+Y49),0)),Calcs!$A$110:$B$122,2,TRUE)))))</f>
        <v xml:space="preserve"> </v>
      </c>
      <c r="AE49" s="490"/>
      <c r="AF49" s="879"/>
      <c r="AG49" s="491"/>
    </row>
    <row r="50" spans="1:33" x14ac:dyDescent="0.2">
      <c r="A50" s="415">
        <f t="shared" si="0"/>
        <v>1222</v>
      </c>
      <c r="B50" s="419" t="str">
        <f t="shared" si="1"/>
        <v>Summer</v>
      </c>
      <c r="C50" s="455"/>
      <c r="D50" s="504"/>
      <c r="E50" s="455"/>
      <c r="F50" s="504"/>
      <c r="G50" s="455"/>
      <c r="H50" s="504"/>
      <c r="I50" s="455"/>
      <c r="J50" s="504"/>
      <c r="L50" s="472"/>
      <c r="M50" s="468"/>
      <c r="N50" s="468"/>
      <c r="O50" s="468"/>
      <c r="P50" s="468"/>
      <c r="Q50" s="473"/>
      <c r="R50" s="477" t="str">
        <f>IF(AND(COUNTIF('Start Character'!$I$63:$M$77,"Twilight Prone")=1,NOT(ISERROR(FIND("Magical Botch",M50)))),"Yes",IF(P50&gt;1,"Yes","No"))</f>
        <v>No</v>
      </c>
      <c r="S50" s="501"/>
      <c r="T50" s="478"/>
      <c r="U50" s="501"/>
      <c r="V50" s="479" t="str">
        <f>IF(R50="No","No Twilight",IF(T50="Yes","Uncomprehended Twilight",IF((Character!$B$14+IF(Character!$B$53="Yes",0,Character!$B$53)+IF(Magic!$C$5="Yes",2,0)+ROUNDUP((Magic!$B$30+IF(Magic!$C$30="Yes",3,0))/5,0)+S50)&gt;=($D$3+P50+SUMIF(Character!$I$62:$I$66,"Enigmatic Wisdom",Character!$J$62:$J$66)+Q50+U50),"No Twilight","Twilight")))</f>
        <v>No Twilight</v>
      </c>
      <c r="W50" s="483"/>
      <c r="X50" s="478"/>
      <c r="Y50" s="484"/>
      <c r="Z50" s="478"/>
      <c r="AA50" s="485" t="str">
        <f>IF(V50="Uncomprehended Twilight","Failed",IF(OR(ISBLANK(W50),ISBLANK(Y50))," ",IF(NOT(ISBLANK(X50)),"Failed",IF((W50+Character!$B$9+SUMIF(Character!$I$62:$I$66,"Enigmatic Wisdom",Character!$J$62:$J$66))&gt;=IF(Z50="Yes",0,(Y50+D45)),"Succeeded","Failed"))))</f>
        <v xml:space="preserve"> </v>
      </c>
      <c r="AB50" s="477" t="str">
        <f>IF(AA50=" "," ",IF(NOT(ISBLANK(X50)),VLOOKUP($D$3+X50,Calcs!$A$110:$C$122,3,TRUE),IF(AA50="Failed",VLOOKUP($D$3,Calcs!$A$110:$C$122,3,TRUE),VLOOKUP($D$3-(IF((Character!$B$9+W50)&gt;($D$3+Y50),(Character!$B$9+W50)-($D$3+Y50),0)),Calcs!$A$110:$C$122,3,TRUE))))</f>
        <v xml:space="preserve"> </v>
      </c>
      <c r="AC50" s="489"/>
      <c r="AD50" s="489" t="str">
        <f>IF(IF(AA50=" "," ",IF(NOT(ISBLANK(X50)),VLOOKUP($D$3+X50,Calcs!$A$110:$B$122,2,TRUE),IF(AA50="Failed",VLOOKUP($D$3,Calcs!$A$110:$B$122,2,TRUE),VLOOKUP($D$3-(IF((Character!$B$9+W50)&gt;($D$3+Y50),(Character!$B$9+W50)-($D$3+Y50),0)),Calcs!$A$110:$B$122,2,TRUE))))=Calcs!$B$120,IF(ISBLANK(AC50)," ",CONCATENATE(AC50+7," Years")),IF(AA50=" "," ",IF(NOT(ISBLANK(X50)),VLOOKUP($D$3+X50,Calcs!$A$110:$B$122,2,TRUE),IF(AA50="Failed",VLOOKUP($D$3,Calcs!$A$110:$B$122,2,TRUE),VLOOKUP($D$3-(IF((Character!$B$9+W50)&gt;($D$3+Y50),(Character!$B$9+W50)-($D$3+Y50),0)),Calcs!$A$110:$B$122,2,TRUE)))))</f>
        <v xml:space="preserve"> </v>
      </c>
      <c r="AE50" s="490"/>
      <c r="AF50" s="879"/>
      <c r="AG50" s="491"/>
    </row>
    <row r="51" spans="1:33" x14ac:dyDescent="0.2">
      <c r="A51" s="415">
        <f t="shared" si="0"/>
        <v>1222</v>
      </c>
      <c r="B51" s="419" t="str">
        <f t="shared" si="1"/>
        <v>Autumn</v>
      </c>
      <c r="C51" s="455"/>
      <c r="D51" s="504"/>
      <c r="E51" s="455"/>
      <c r="F51" s="504"/>
      <c r="G51" s="455"/>
      <c r="H51" s="504"/>
      <c r="I51" s="455"/>
      <c r="J51" s="504"/>
      <c r="L51" s="472"/>
      <c r="M51" s="468"/>
      <c r="N51" s="468"/>
      <c r="O51" s="468"/>
      <c r="P51" s="468"/>
      <c r="Q51" s="473"/>
      <c r="R51" s="477" t="str">
        <f>IF(AND(COUNTIF('Start Character'!$I$63:$M$77,"Twilight Prone")=1,NOT(ISERROR(FIND("Magical Botch",M51)))),"Yes",IF(P51&gt;1,"Yes","No"))</f>
        <v>No</v>
      </c>
      <c r="S51" s="501"/>
      <c r="T51" s="478"/>
      <c r="U51" s="501"/>
      <c r="V51" s="479" t="str">
        <f>IF(R51="No","No Twilight",IF(T51="Yes","Uncomprehended Twilight",IF((Character!$B$14+IF(Character!$B$53="Yes",0,Character!$B$53)+IF(Magic!$C$5="Yes",2,0)+ROUNDUP((Magic!$B$30+IF(Magic!$C$30="Yes",3,0))/5,0)+S51)&gt;=($D$3+P51+SUMIF(Character!$I$62:$I$66,"Enigmatic Wisdom",Character!$J$62:$J$66)+Q51+U51),"No Twilight","Twilight")))</f>
        <v>No Twilight</v>
      </c>
      <c r="W51" s="483"/>
      <c r="X51" s="478"/>
      <c r="Y51" s="484"/>
      <c r="Z51" s="478"/>
      <c r="AA51" s="485" t="str">
        <f>IF(V51="Uncomprehended Twilight","Failed",IF(OR(ISBLANK(W51),ISBLANK(Y51))," ",IF(NOT(ISBLANK(X51)),"Failed",IF((W51+Character!$B$9+SUMIF(Character!$I$62:$I$66,"Enigmatic Wisdom",Character!$J$62:$J$66))&gt;=IF(Z51="Yes",0,(Y51+D46)),"Succeeded","Failed"))))</f>
        <v xml:space="preserve"> </v>
      </c>
      <c r="AB51" s="477" t="str">
        <f>IF(AA51=" "," ",IF(NOT(ISBLANK(X51)),VLOOKUP($D$3+X51,Calcs!$A$110:$C$122,3,TRUE),IF(AA51="Failed",VLOOKUP($D$3,Calcs!$A$110:$C$122,3,TRUE),VLOOKUP($D$3-(IF((Character!$B$9+W51)&gt;($D$3+Y51),(Character!$B$9+W51)-($D$3+Y51),0)),Calcs!$A$110:$C$122,3,TRUE))))</f>
        <v xml:space="preserve"> </v>
      </c>
      <c r="AC51" s="489"/>
      <c r="AD51" s="489" t="str">
        <f>IF(IF(AA51=" "," ",IF(NOT(ISBLANK(X51)),VLOOKUP($D$3+X51,Calcs!$A$110:$B$122,2,TRUE),IF(AA51="Failed",VLOOKUP($D$3,Calcs!$A$110:$B$122,2,TRUE),VLOOKUP($D$3-(IF((Character!$B$9+W51)&gt;($D$3+Y51),(Character!$B$9+W51)-($D$3+Y51),0)),Calcs!$A$110:$B$122,2,TRUE))))=Calcs!$B$120,IF(ISBLANK(AC51)," ",CONCATENATE(AC51+7," Years")),IF(AA51=" "," ",IF(NOT(ISBLANK(X51)),VLOOKUP($D$3+X51,Calcs!$A$110:$B$122,2,TRUE),IF(AA51="Failed",VLOOKUP($D$3,Calcs!$A$110:$B$122,2,TRUE),VLOOKUP($D$3-(IF((Character!$B$9+W51)&gt;($D$3+Y51),(Character!$B$9+W51)-($D$3+Y51),0)),Calcs!$A$110:$B$122,2,TRUE)))))</f>
        <v xml:space="preserve"> </v>
      </c>
      <c r="AE51" s="490"/>
      <c r="AF51" s="879"/>
      <c r="AG51" s="491"/>
    </row>
    <row r="52" spans="1:33" x14ac:dyDescent="0.2">
      <c r="A52" s="415">
        <f t="shared" si="0"/>
        <v>1223</v>
      </c>
      <c r="B52" s="419" t="str">
        <f t="shared" si="1"/>
        <v>Winter</v>
      </c>
      <c r="C52" s="455"/>
      <c r="D52" s="504"/>
      <c r="E52" s="455"/>
      <c r="F52" s="504"/>
      <c r="G52" s="455"/>
      <c r="H52" s="504"/>
      <c r="I52" s="455"/>
      <c r="J52" s="504"/>
      <c r="L52" s="472"/>
      <c r="M52" s="468"/>
      <c r="N52" s="468"/>
      <c r="O52" s="468"/>
      <c r="P52" s="468"/>
      <c r="Q52" s="473"/>
      <c r="R52" s="477" t="str">
        <f>IF(AND(COUNTIF('Start Character'!$I$63:$M$77,"Twilight Prone")=1,NOT(ISERROR(FIND("Magical Botch",M52)))),"Yes",IF(P52&gt;1,"Yes","No"))</f>
        <v>No</v>
      </c>
      <c r="S52" s="501"/>
      <c r="T52" s="478"/>
      <c r="U52" s="501"/>
      <c r="V52" s="479" t="str">
        <f>IF(R52="No","No Twilight",IF(T52="Yes","Uncomprehended Twilight",IF((Character!$B$14+IF(Character!$B$53="Yes",0,Character!$B$53)+IF(Magic!$C$5="Yes",2,0)+ROUNDUP((Magic!$B$30+IF(Magic!$C$30="Yes",3,0))/5,0)+S52)&gt;=($D$3+P52+SUMIF(Character!$I$62:$I$66,"Enigmatic Wisdom",Character!$J$62:$J$66)+Q52+U52),"No Twilight","Twilight")))</f>
        <v>No Twilight</v>
      </c>
      <c r="W52" s="483"/>
      <c r="X52" s="478"/>
      <c r="Y52" s="484"/>
      <c r="Z52" s="478"/>
      <c r="AA52" s="485" t="str">
        <f>IF(V52="Uncomprehended Twilight","Failed",IF(OR(ISBLANK(W52),ISBLANK(Y52))," ",IF(NOT(ISBLANK(X52)),"Failed",IF((W52+Character!$B$9+SUMIF(Character!$I$62:$I$66,"Enigmatic Wisdom",Character!$J$62:$J$66))&gt;=IF(Z52="Yes",0,(Y52+D47)),"Succeeded","Failed"))))</f>
        <v xml:space="preserve"> </v>
      </c>
      <c r="AB52" s="477" t="str">
        <f>IF(AA52=" "," ",IF(NOT(ISBLANK(X52)),VLOOKUP($D$3+X52,Calcs!$A$110:$C$122,3,TRUE),IF(AA52="Failed",VLOOKUP($D$3,Calcs!$A$110:$C$122,3,TRUE),VLOOKUP($D$3-(IF((Character!$B$9+W52)&gt;($D$3+Y52),(Character!$B$9+W52)-($D$3+Y52),0)),Calcs!$A$110:$C$122,3,TRUE))))</f>
        <v xml:space="preserve"> </v>
      </c>
      <c r="AC52" s="489"/>
      <c r="AD52" s="489" t="str">
        <f>IF(IF(AA52=" "," ",IF(NOT(ISBLANK(X52)),VLOOKUP($D$3+X52,Calcs!$A$110:$B$122,2,TRUE),IF(AA52="Failed",VLOOKUP($D$3,Calcs!$A$110:$B$122,2,TRUE),VLOOKUP($D$3-(IF((Character!$B$9+W52)&gt;($D$3+Y52),(Character!$B$9+W52)-($D$3+Y52),0)),Calcs!$A$110:$B$122,2,TRUE))))=Calcs!$B$120,IF(ISBLANK(AC52)," ",CONCATENATE(AC52+7," Years")),IF(AA52=" "," ",IF(NOT(ISBLANK(X52)),VLOOKUP($D$3+X52,Calcs!$A$110:$B$122,2,TRUE),IF(AA52="Failed",VLOOKUP($D$3,Calcs!$A$110:$B$122,2,TRUE),VLOOKUP($D$3-(IF((Character!$B$9+W52)&gt;($D$3+Y52),(Character!$B$9+W52)-($D$3+Y52),0)),Calcs!$A$110:$B$122,2,TRUE)))))</f>
        <v xml:space="preserve"> </v>
      </c>
      <c r="AE52" s="490"/>
      <c r="AF52" s="879"/>
      <c r="AG52" s="491"/>
    </row>
    <row r="53" spans="1:33" x14ac:dyDescent="0.2">
      <c r="A53" s="415">
        <f t="shared" si="0"/>
        <v>1223</v>
      </c>
      <c r="B53" s="419" t="str">
        <f t="shared" si="1"/>
        <v>Spring</v>
      </c>
      <c r="C53" s="455"/>
      <c r="D53" s="504"/>
      <c r="E53" s="455"/>
      <c r="F53" s="504"/>
      <c r="G53" s="455"/>
      <c r="H53" s="504"/>
      <c r="I53" s="455"/>
      <c r="J53" s="504"/>
      <c r="L53" s="472"/>
      <c r="M53" s="468"/>
      <c r="N53" s="468"/>
      <c r="O53" s="468"/>
      <c r="P53" s="468"/>
      <c r="Q53" s="473"/>
      <c r="R53" s="477" t="str">
        <f>IF(AND(COUNTIF('Start Character'!$I$63:$M$77,"Twilight Prone")=1,NOT(ISERROR(FIND("Magical Botch",M53)))),"Yes",IF(P53&gt;1,"Yes","No"))</f>
        <v>No</v>
      </c>
      <c r="S53" s="501"/>
      <c r="T53" s="478"/>
      <c r="U53" s="501"/>
      <c r="V53" s="479" t="str">
        <f>IF(R53="No","No Twilight",IF(T53="Yes","Uncomprehended Twilight",IF((Character!$B$14+IF(Character!$B$53="Yes",0,Character!$B$53)+IF(Magic!$C$5="Yes",2,0)+ROUNDUP((Magic!$B$30+IF(Magic!$C$30="Yes",3,0))/5,0)+S53)&gt;=($D$3+P53+SUMIF(Character!$I$62:$I$66,"Enigmatic Wisdom",Character!$J$62:$J$66)+Q53+U53),"No Twilight","Twilight")))</f>
        <v>No Twilight</v>
      </c>
      <c r="W53" s="483"/>
      <c r="X53" s="478"/>
      <c r="Y53" s="484"/>
      <c r="Z53" s="478"/>
      <c r="AA53" s="485" t="str">
        <f>IF(V53="Uncomprehended Twilight","Failed",IF(OR(ISBLANK(W53),ISBLANK(Y53))," ",IF(NOT(ISBLANK(X53)),"Failed",IF((W53+Character!$B$9+SUMIF(Character!$I$62:$I$66,"Enigmatic Wisdom",Character!$J$62:$J$66))&gt;=IF(Z53="Yes",0,(Y53+D48)),"Succeeded","Failed"))))</f>
        <v xml:space="preserve"> </v>
      </c>
      <c r="AB53" s="477" t="str">
        <f>IF(AA53=" "," ",IF(NOT(ISBLANK(X53)),VLOOKUP($D$3+X53,Calcs!$A$110:$C$122,3,TRUE),IF(AA53="Failed",VLOOKUP($D$3,Calcs!$A$110:$C$122,3,TRUE),VLOOKUP($D$3-(IF((Character!$B$9+W53)&gt;($D$3+Y53),(Character!$B$9+W53)-($D$3+Y53),0)),Calcs!$A$110:$C$122,3,TRUE))))</f>
        <v xml:space="preserve"> </v>
      </c>
      <c r="AC53" s="489"/>
      <c r="AD53" s="489" t="str">
        <f>IF(IF(AA53=" "," ",IF(NOT(ISBLANK(X53)),VLOOKUP($D$3+X53,Calcs!$A$110:$B$122,2,TRUE),IF(AA53="Failed",VLOOKUP($D$3,Calcs!$A$110:$B$122,2,TRUE),VLOOKUP($D$3-(IF((Character!$B$9+W53)&gt;($D$3+Y53),(Character!$B$9+W53)-($D$3+Y53),0)),Calcs!$A$110:$B$122,2,TRUE))))=Calcs!$B$120,IF(ISBLANK(AC53)," ",CONCATENATE(AC53+7," Years")),IF(AA53=" "," ",IF(NOT(ISBLANK(X53)),VLOOKUP($D$3+X53,Calcs!$A$110:$B$122,2,TRUE),IF(AA53="Failed",VLOOKUP($D$3,Calcs!$A$110:$B$122,2,TRUE),VLOOKUP($D$3-(IF((Character!$B$9+W53)&gt;($D$3+Y53),(Character!$B$9+W53)-($D$3+Y53),0)),Calcs!$A$110:$B$122,2,TRUE)))))</f>
        <v xml:space="preserve"> </v>
      </c>
      <c r="AE53" s="490"/>
      <c r="AF53" s="879"/>
      <c r="AG53" s="491"/>
    </row>
    <row r="54" spans="1:33" x14ac:dyDescent="0.2">
      <c r="A54" s="415">
        <f t="shared" si="0"/>
        <v>1223</v>
      </c>
      <c r="B54" s="419" t="str">
        <f t="shared" si="1"/>
        <v>Summer</v>
      </c>
      <c r="C54" s="455"/>
      <c r="D54" s="504"/>
      <c r="E54" s="455"/>
      <c r="F54" s="504"/>
      <c r="G54" s="455"/>
      <c r="H54" s="504"/>
      <c r="I54" s="455"/>
      <c r="J54" s="504"/>
      <c r="L54" s="472"/>
      <c r="M54" s="468"/>
      <c r="N54" s="468"/>
      <c r="O54" s="468"/>
      <c r="P54" s="468"/>
      <c r="Q54" s="473"/>
      <c r="R54" s="477" t="str">
        <f>IF(AND(COUNTIF('Start Character'!$I$63:$M$77,"Twilight Prone")=1,NOT(ISERROR(FIND("Magical Botch",M54)))),"Yes",IF(P54&gt;1,"Yes","No"))</f>
        <v>No</v>
      </c>
      <c r="S54" s="501"/>
      <c r="T54" s="478"/>
      <c r="U54" s="501"/>
      <c r="V54" s="479" t="str">
        <f>IF(R54="No","No Twilight",IF(T54="Yes","Uncomprehended Twilight",IF((Character!$B$14+IF(Character!$B$53="Yes",0,Character!$B$53)+IF(Magic!$C$5="Yes",2,0)+ROUNDUP((Magic!$B$30+IF(Magic!$C$30="Yes",3,0))/5,0)+S54)&gt;=($D$3+P54+SUMIF(Character!$I$62:$I$66,"Enigmatic Wisdom",Character!$J$62:$J$66)+Q54+U54),"No Twilight","Twilight")))</f>
        <v>No Twilight</v>
      </c>
      <c r="W54" s="483"/>
      <c r="X54" s="478"/>
      <c r="Y54" s="484"/>
      <c r="Z54" s="478"/>
      <c r="AA54" s="485" t="str">
        <f>IF(V54="Uncomprehended Twilight","Failed",IF(OR(ISBLANK(W54),ISBLANK(Y54))," ",IF(NOT(ISBLANK(X54)),"Failed",IF((W54+Character!$B$9+SUMIF(Character!$I$62:$I$66,"Enigmatic Wisdom",Character!$J$62:$J$66))&gt;=IF(Z54="Yes",0,(Y54+D49)),"Succeeded","Failed"))))</f>
        <v xml:space="preserve"> </v>
      </c>
      <c r="AB54" s="477" t="str">
        <f>IF(AA54=" "," ",IF(NOT(ISBLANK(X54)),VLOOKUP($D$3+X54,Calcs!$A$110:$C$122,3,TRUE),IF(AA54="Failed",VLOOKUP($D$3,Calcs!$A$110:$C$122,3,TRUE),VLOOKUP($D$3-(IF((Character!$B$9+W54)&gt;($D$3+Y54),(Character!$B$9+W54)-($D$3+Y54),0)),Calcs!$A$110:$C$122,3,TRUE))))</f>
        <v xml:space="preserve"> </v>
      </c>
      <c r="AC54" s="489"/>
      <c r="AD54" s="489" t="str">
        <f>IF(IF(AA54=" "," ",IF(NOT(ISBLANK(X54)),VLOOKUP($D$3+X54,Calcs!$A$110:$B$122,2,TRUE),IF(AA54="Failed",VLOOKUP($D$3,Calcs!$A$110:$B$122,2,TRUE),VLOOKUP($D$3-(IF((Character!$B$9+W54)&gt;($D$3+Y54),(Character!$B$9+W54)-($D$3+Y54),0)),Calcs!$A$110:$B$122,2,TRUE))))=Calcs!$B$120,IF(ISBLANK(AC54)," ",CONCATENATE(AC54+7," Years")),IF(AA54=" "," ",IF(NOT(ISBLANK(X54)),VLOOKUP($D$3+X54,Calcs!$A$110:$B$122,2,TRUE),IF(AA54="Failed",VLOOKUP($D$3,Calcs!$A$110:$B$122,2,TRUE),VLOOKUP($D$3-(IF((Character!$B$9+W54)&gt;($D$3+Y54),(Character!$B$9+W54)-($D$3+Y54),0)),Calcs!$A$110:$B$122,2,TRUE)))))</f>
        <v xml:space="preserve"> </v>
      </c>
      <c r="AE54" s="490"/>
      <c r="AF54" s="879"/>
      <c r="AG54" s="491"/>
    </row>
    <row r="55" spans="1:33" x14ac:dyDescent="0.2">
      <c r="A55" s="415">
        <f t="shared" si="0"/>
        <v>1223</v>
      </c>
      <c r="B55" s="419" t="str">
        <f t="shared" si="1"/>
        <v>Autumn</v>
      </c>
      <c r="C55" s="455"/>
      <c r="D55" s="504"/>
      <c r="E55" s="455"/>
      <c r="F55" s="504"/>
      <c r="G55" s="455"/>
      <c r="H55" s="504"/>
      <c r="I55" s="455"/>
      <c r="J55" s="504"/>
      <c r="L55" s="472"/>
      <c r="M55" s="468"/>
      <c r="N55" s="468"/>
      <c r="O55" s="468"/>
      <c r="P55" s="468"/>
      <c r="Q55" s="473"/>
      <c r="R55" s="477" t="str">
        <f>IF(AND(COUNTIF('Start Character'!$I$63:$M$77,"Twilight Prone")=1,NOT(ISERROR(FIND("Magical Botch",M55)))),"Yes",IF(P55&gt;1,"Yes","No"))</f>
        <v>No</v>
      </c>
      <c r="S55" s="501"/>
      <c r="T55" s="478"/>
      <c r="U55" s="501"/>
      <c r="V55" s="479" t="str">
        <f>IF(R55="No","No Twilight",IF(T55="Yes","Uncomprehended Twilight",IF((Character!$B$14+IF(Character!$B$53="Yes",0,Character!$B$53)+IF(Magic!$C$5="Yes",2,0)+ROUNDUP((Magic!$B$30+IF(Magic!$C$30="Yes",3,0))/5,0)+S55)&gt;=($D$3+P55+SUMIF(Character!$I$62:$I$66,"Enigmatic Wisdom",Character!$J$62:$J$66)+Q55+U55),"No Twilight","Twilight")))</f>
        <v>No Twilight</v>
      </c>
      <c r="W55" s="483"/>
      <c r="X55" s="478"/>
      <c r="Y55" s="484"/>
      <c r="Z55" s="478"/>
      <c r="AA55" s="485" t="str">
        <f>IF(V55="Uncomprehended Twilight","Failed",IF(OR(ISBLANK(W55),ISBLANK(Y55))," ",IF(NOT(ISBLANK(X55)),"Failed",IF((W55+Character!$B$9+SUMIF(Character!$I$62:$I$66,"Enigmatic Wisdom",Character!$J$62:$J$66))&gt;=IF(Z55="Yes",0,(Y55+D50)),"Succeeded","Failed"))))</f>
        <v xml:space="preserve"> </v>
      </c>
      <c r="AB55" s="477" t="str">
        <f>IF(AA55=" "," ",IF(NOT(ISBLANK(X55)),VLOOKUP($D$3+X55,Calcs!$A$110:$C$122,3,TRUE),IF(AA55="Failed",VLOOKUP($D$3,Calcs!$A$110:$C$122,3,TRUE),VLOOKUP($D$3-(IF((Character!$B$9+W55)&gt;($D$3+Y55),(Character!$B$9+W55)-($D$3+Y55),0)),Calcs!$A$110:$C$122,3,TRUE))))</f>
        <v xml:space="preserve"> </v>
      </c>
      <c r="AC55" s="489"/>
      <c r="AD55" s="489" t="str">
        <f>IF(IF(AA55=" "," ",IF(NOT(ISBLANK(X55)),VLOOKUP($D$3+X55,Calcs!$A$110:$B$122,2,TRUE),IF(AA55="Failed",VLOOKUP($D$3,Calcs!$A$110:$B$122,2,TRUE),VLOOKUP($D$3-(IF((Character!$B$9+W55)&gt;($D$3+Y55),(Character!$B$9+W55)-($D$3+Y55),0)),Calcs!$A$110:$B$122,2,TRUE))))=Calcs!$B$120,IF(ISBLANK(AC55)," ",CONCATENATE(AC55+7," Years")),IF(AA55=" "," ",IF(NOT(ISBLANK(X55)),VLOOKUP($D$3+X55,Calcs!$A$110:$B$122,2,TRUE),IF(AA55="Failed",VLOOKUP($D$3,Calcs!$A$110:$B$122,2,TRUE),VLOOKUP($D$3-(IF((Character!$B$9+W55)&gt;($D$3+Y55),(Character!$B$9+W55)-($D$3+Y55),0)),Calcs!$A$110:$B$122,2,TRUE)))))</f>
        <v xml:space="preserve"> </v>
      </c>
      <c r="AE55" s="490"/>
      <c r="AF55" s="879"/>
      <c r="AG55" s="491"/>
    </row>
    <row r="56" spans="1:33" x14ac:dyDescent="0.2">
      <c r="A56" s="415">
        <f t="shared" si="0"/>
        <v>1224</v>
      </c>
      <c r="B56" s="419" t="str">
        <f t="shared" si="1"/>
        <v>Winter</v>
      </c>
      <c r="C56" s="455"/>
      <c r="D56" s="504"/>
      <c r="E56" s="455"/>
      <c r="F56" s="504"/>
      <c r="G56" s="455"/>
      <c r="H56" s="504"/>
      <c r="I56" s="455"/>
      <c r="J56" s="504"/>
      <c r="L56" s="472"/>
      <c r="M56" s="468"/>
      <c r="N56" s="468"/>
      <c r="O56" s="468"/>
      <c r="P56" s="468"/>
      <c r="Q56" s="473"/>
      <c r="R56" s="477" t="str">
        <f>IF(AND(COUNTIF('Start Character'!$I$63:$M$77,"Twilight Prone")=1,NOT(ISERROR(FIND("Magical Botch",M56)))),"Yes",IF(P56&gt;1,"Yes","No"))</f>
        <v>No</v>
      </c>
      <c r="S56" s="501"/>
      <c r="T56" s="478"/>
      <c r="U56" s="501"/>
      <c r="V56" s="479" t="str">
        <f>IF(R56="No","No Twilight",IF(T56="Yes","Uncomprehended Twilight",IF((Character!$B$14+IF(Character!$B$53="Yes",0,Character!$B$53)+IF(Magic!$C$5="Yes",2,0)+ROUNDUP((Magic!$B$30+IF(Magic!$C$30="Yes",3,0))/5,0)+S56)&gt;=($D$3+P56+SUMIF(Character!$I$62:$I$66,"Enigmatic Wisdom",Character!$J$62:$J$66)+Q56+U56),"No Twilight","Twilight")))</f>
        <v>No Twilight</v>
      </c>
      <c r="W56" s="483"/>
      <c r="X56" s="478"/>
      <c r="Y56" s="484"/>
      <c r="Z56" s="478"/>
      <c r="AA56" s="485" t="str">
        <f>IF(V56="Uncomprehended Twilight","Failed",IF(OR(ISBLANK(W56),ISBLANK(Y56))," ",IF(NOT(ISBLANK(X56)),"Failed",IF((W56+Character!$B$9+SUMIF(Character!$I$62:$I$66,"Enigmatic Wisdom",Character!$J$62:$J$66))&gt;=IF(Z56="Yes",0,(Y56+D51)),"Succeeded","Failed"))))</f>
        <v xml:space="preserve"> </v>
      </c>
      <c r="AB56" s="477" t="str">
        <f>IF(AA56=" "," ",IF(NOT(ISBLANK(X56)),VLOOKUP($D$3+X56,Calcs!$A$110:$C$122,3,TRUE),IF(AA56="Failed",VLOOKUP($D$3,Calcs!$A$110:$C$122,3,TRUE),VLOOKUP($D$3-(IF((Character!$B$9+W56)&gt;($D$3+Y56),(Character!$B$9+W56)-($D$3+Y56),0)),Calcs!$A$110:$C$122,3,TRUE))))</f>
        <v xml:space="preserve"> </v>
      </c>
      <c r="AC56" s="489"/>
      <c r="AD56" s="489" t="str">
        <f>IF(IF(AA56=" "," ",IF(NOT(ISBLANK(X56)),VLOOKUP($D$3+X56,Calcs!$A$110:$B$122,2,TRUE),IF(AA56="Failed",VLOOKUP($D$3,Calcs!$A$110:$B$122,2,TRUE),VLOOKUP($D$3-(IF((Character!$B$9+W56)&gt;($D$3+Y56),(Character!$B$9+W56)-($D$3+Y56),0)),Calcs!$A$110:$B$122,2,TRUE))))=Calcs!$B$120,IF(ISBLANK(AC56)," ",CONCATENATE(AC56+7," Years")),IF(AA56=" "," ",IF(NOT(ISBLANK(X56)),VLOOKUP($D$3+X56,Calcs!$A$110:$B$122,2,TRUE),IF(AA56="Failed",VLOOKUP($D$3,Calcs!$A$110:$B$122,2,TRUE),VLOOKUP($D$3-(IF((Character!$B$9+W56)&gt;($D$3+Y56),(Character!$B$9+W56)-($D$3+Y56),0)),Calcs!$A$110:$B$122,2,TRUE)))))</f>
        <v xml:space="preserve"> </v>
      </c>
      <c r="AE56" s="490"/>
      <c r="AF56" s="879"/>
      <c r="AG56" s="491"/>
    </row>
    <row r="57" spans="1:33" x14ac:dyDescent="0.2">
      <c r="A57" s="415">
        <f t="shared" si="0"/>
        <v>1224</v>
      </c>
      <c r="B57" s="419" t="str">
        <f t="shared" si="1"/>
        <v>Spring</v>
      </c>
      <c r="C57" s="455"/>
      <c r="D57" s="504"/>
      <c r="E57" s="455"/>
      <c r="F57" s="504"/>
      <c r="G57" s="455"/>
      <c r="H57" s="504"/>
      <c r="I57" s="455"/>
      <c r="J57" s="504"/>
      <c r="L57" s="472"/>
      <c r="M57" s="468"/>
      <c r="N57" s="468"/>
      <c r="O57" s="468"/>
      <c r="P57" s="468"/>
      <c r="Q57" s="473"/>
      <c r="R57" s="477" t="str">
        <f>IF(AND(COUNTIF('Start Character'!$I$63:$M$77,"Twilight Prone")=1,NOT(ISERROR(FIND("Magical Botch",M57)))),"Yes",IF(P57&gt;1,"Yes","No"))</f>
        <v>No</v>
      </c>
      <c r="S57" s="501"/>
      <c r="T57" s="478"/>
      <c r="U57" s="501"/>
      <c r="V57" s="479" t="str">
        <f>IF(R57="No","No Twilight",IF(T57="Yes","Uncomprehended Twilight",IF((Character!$B$14+IF(Character!$B$53="Yes",0,Character!$B$53)+IF(Magic!$C$5="Yes",2,0)+ROUNDUP((Magic!$B$30+IF(Magic!$C$30="Yes",3,0))/5,0)+S57)&gt;=($D$3+P57+SUMIF(Character!$I$62:$I$66,"Enigmatic Wisdom",Character!$J$62:$J$66)+Q57+U57),"No Twilight","Twilight")))</f>
        <v>No Twilight</v>
      </c>
      <c r="W57" s="483"/>
      <c r="X57" s="478"/>
      <c r="Y57" s="484"/>
      <c r="Z57" s="478"/>
      <c r="AA57" s="485" t="str">
        <f>IF(V57="Uncomprehended Twilight","Failed",IF(OR(ISBLANK(W57),ISBLANK(Y57))," ",IF(NOT(ISBLANK(X57)),"Failed",IF((W57+Character!$B$9+SUMIF(Character!$I$62:$I$66,"Enigmatic Wisdom",Character!$J$62:$J$66))&gt;=IF(Z57="Yes",0,(Y57+D52)),"Succeeded","Failed"))))</f>
        <v xml:space="preserve"> </v>
      </c>
      <c r="AB57" s="477" t="str">
        <f>IF(AA57=" "," ",IF(NOT(ISBLANK(X57)),VLOOKUP($D$3+X57,Calcs!$A$110:$C$122,3,TRUE),IF(AA57="Failed",VLOOKUP($D$3,Calcs!$A$110:$C$122,3,TRUE),VLOOKUP($D$3-(IF((Character!$B$9+W57)&gt;($D$3+Y57),(Character!$B$9+W57)-($D$3+Y57),0)),Calcs!$A$110:$C$122,3,TRUE))))</f>
        <v xml:space="preserve"> </v>
      </c>
      <c r="AC57" s="489"/>
      <c r="AD57" s="489" t="str">
        <f>IF(IF(AA57=" "," ",IF(NOT(ISBLANK(X57)),VLOOKUP($D$3+X57,Calcs!$A$110:$B$122,2,TRUE),IF(AA57="Failed",VLOOKUP($D$3,Calcs!$A$110:$B$122,2,TRUE),VLOOKUP($D$3-(IF((Character!$B$9+W57)&gt;($D$3+Y57),(Character!$B$9+W57)-($D$3+Y57),0)),Calcs!$A$110:$B$122,2,TRUE))))=Calcs!$B$120,IF(ISBLANK(AC57)," ",CONCATENATE(AC57+7," Years")),IF(AA57=" "," ",IF(NOT(ISBLANK(X57)),VLOOKUP($D$3+X57,Calcs!$A$110:$B$122,2,TRUE),IF(AA57="Failed",VLOOKUP($D$3,Calcs!$A$110:$B$122,2,TRUE),VLOOKUP($D$3-(IF((Character!$B$9+W57)&gt;($D$3+Y57),(Character!$B$9+W57)-($D$3+Y57),0)),Calcs!$A$110:$B$122,2,TRUE)))))</f>
        <v xml:space="preserve"> </v>
      </c>
      <c r="AE57" s="490"/>
      <c r="AF57" s="879"/>
      <c r="AG57" s="491"/>
    </row>
    <row r="58" spans="1:33" x14ac:dyDescent="0.2">
      <c r="A58" s="415">
        <f t="shared" si="0"/>
        <v>1224</v>
      </c>
      <c r="B58" s="419" t="str">
        <f t="shared" si="1"/>
        <v>Summer</v>
      </c>
      <c r="C58" s="455"/>
      <c r="D58" s="504"/>
      <c r="E58" s="455"/>
      <c r="F58" s="504"/>
      <c r="G58" s="455"/>
      <c r="H58" s="504"/>
      <c r="I58" s="455"/>
      <c r="J58" s="504"/>
      <c r="L58" s="472"/>
      <c r="M58" s="468"/>
      <c r="N58" s="468"/>
      <c r="O58" s="468"/>
      <c r="P58" s="468"/>
      <c r="Q58" s="473"/>
      <c r="R58" s="477" t="str">
        <f>IF(AND(COUNTIF('Start Character'!$I$63:$M$77,"Twilight Prone")=1,NOT(ISERROR(FIND("Magical Botch",M58)))),"Yes",IF(P58&gt;1,"Yes","No"))</f>
        <v>No</v>
      </c>
      <c r="S58" s="501"/>
      <c r="T58" s="478"/>
      <c r="U58" s="501"/>
      <c r="V58" s="479" t="str">
        <f>IF(R58="No","No Twilight",IF(T58="Yes","Uncomprehended Twilight",IF((Character!$B$14+IF(Character!$B$53="Yes",0,Character!$B$53)+IF(Magic!$C$5="Yes",2,0)+ROUNDUP((Magic!$B$30+IF(Magic!$C$30="Yes",3,0))/5,0)+S58)&gt;=($D$3+P58+SUMIF(Character!$I$62:$I$66,"Enigmatic Wisdom",Character!$J$62:$J$66)+Q58+U58),"No Twilight","Twilight")))</f>
        <v>No Twilight</v>
      </c>
      <c r="W58" s="483"/>
      <c r="X58" s="478"/>
      <c r="Y58" s="484"/>
      <c r="Z58" s="478"/>
      <c r="AA58" s="485" t="str">
        <f>IF(V58="Uncomprehended Twilight","Failed",IF(OR(ISBLANK(W58),ISBLANK(Y58))," ",IF(NOT(ISBLANK(X58)),"Failed",IF((W58+Character!$B$9+SUMIF(Character!$I$62:$I$66,"Enigmatic Wisdom",Character!$J$62:$J$66))&gt;=IF(Z58="Yes",0,(Y58+D53)),"Succeeded","Failed"))))</f>
        <v xml:space="preserve"> </v>
      </c>
      <c r="AB58" s="477" t="str">
        <f>IF(AA58=" "," ",IF(NOT(ISBLANK(X58)),VLOOKUP($D$3+X58,Calcs!$A$110:$C$122,3,TRUE),IF(AA58="Failed",VLOOKUP($D$3,Calcs!$A$110:$C$122,3,TRUE),VLOOKUP($D$3-(IF((Character!$B$9+W58)&gt;($D$3+Y58),(Character!$B$9+W58)-($D$3+Y58),0)),Calcs!$A$110:$C$122,3,TRUE))))</f>
        <v xml:space="preserve"> </v>
      </c>
      <c r="AC58" s="489"/>
      <c r="AD58" s="489" t="str">
        <f>IF(IF(AA58=" "," ",IF(NOT(ISBLANK(X58)),VLOOKUP($D$3+X58,Calcs!$A$110:$B$122,2,TRUE),IF(AA58="Failed",VLOOKUP($D$3,Calcs!$A$110:$B$122,2,TRUE),VLOOKUP($D$3-(IF((Character!$B$9+W58)&gt;($D$3+Y58),(Character!$B$9+W58)-($D$3+Y58),0)),Calcs!$A$110:$B$122,2,TRUE))))=Calcs!$B$120,IF(ISBLANK(AC58)," ",CONCATENATE(AC58+7," Years")),IF(AA58=" "," ",IF(NOT(ISBLANK(X58)),VLOOKUP($D$3+X58,Calcs!$A$110:$B$122,2,TRUE),IF(AA58="Failed",VLOOKUP($D$3,Calcs!$A$110:$B$122,2,TRUE),VLOOKUP($D$3-(IF((Character!$B$9+W58)&gt;($D$3+Y58),(Character!$B$9+W58)-($D$3+Y58),0)),Calcs!$A$110:$B$122,2,TRUE)))))</f>
        <v xml:space="preserve"> </v>
      </c>
      <c r="AE58" s="490"/>
      <c r="AF58" s="879"/>
      <c r="AG58" s="491"/>
    </row>
    <row r="59" spans="1:33" x14ac:dyDescent="0.2">
      <c r="A59" s="415">
        <f t="shared" si="0"/>
        <v>1224</v>
      </c>
      <c r="B59" s="419" t="str">
        <f t="shared" si="1"/>
        <v>Autumn</v>
      </c>
      <c r="C59" s="455"/>
      <c r="D59" s="504"/>
      <c r="E59" s="455"/>
      <c r="F59" s="504"/>
      <c r="G59" s="455"/>
      <c r="H59" s="504"/>
      <c r="I59" s="455"/>
      <c r="J59" s="504"/>
      <c r="L59" s="472"/>
      <c r="M59" s="468"/>
      <c r="N59" s="468"/>
      <c r="O59" s="468"/>
      <c r="P59" s="468"/>
      <c r="Q59" s="473"/>
      <c r="R59" s="477" t="str">
        <f>IF(AND(COUNTIF('Start Character'!$I$63:$M$77,"Twilight Prone")=1,NOT(ISERROR(FIND("Magical Botch",M59)))),"Yes",IF(P59&gt;1,"Yes","No"))</f>
        <v>No</v>
      </c>
      <c r="S59" s="501"/>
      <c r="T59" s="478"/>
      <c r="U59" s="501"/>
      <c r="V59" s="479" t="str">
        <f>IF(R59="No","No Twilight",IF(T59="Yes","Uncomprehended Twilight",IF((Character!$B$14+IF(Character!$B$53="Yes",0,Character!$B$53)+IF(Magic!$C$5="Yes",2,0)+ROUNDUP((Magic!$B$30+IF(Magic!$C$30="Yes",3,0))/5,0)+S59)&gt;=($D$3+P59+SUMIF(Character!$I$62:$I$66,"Enigmatic Wisdom",Character!$J$62:$J$66)+Q59+U59),"No Twilight","Twilight")))</f>
        <v>No Twilight</v>
      </c>
      <c r="W59" s="483"/>
      <c r="X59" s="478"/>
      <c r="Y59" s="484"/>
      <c r="Z59" s="478"/>
      <c r="AA59" s="485" t="str">
        <f>IF(V59="Uncomprehended Twilight","Failed",IF(OR(ISBLANK(W59),ISBLANK(Y59))," ",IF(NOT(ISBLANK(X59)),"Failed",IF((W59+Character!$B$9+SUMIF(Character!$I$62:$I$66,"Enigmatic Wisdom",Character!$J$62:$J$66))&gt;=IF(Z59="Yes",0,(Y59+D54)),"Succeeded","Failed"))))</f>
        <v xml:space="preserve"> </v>
      </c>
      <c r="AB59" s="477" t="str">
        <f>IF(AA59=" "," ",IF(NOT(ISBLANK(X59)),VLOOKUP($D$3+X59,Calcs!$A$110:$C$122,3,TRUE),IF(AA59="Failed",VLOOKUP($D$3,Calcs!$A$110:$C$122,3,TRUE),VLOOKUP($D$3-(IF((Character!$B$9+W59)&gt;($D$3+Y59),(Character!$B$9+W59)-($D$3+Y59),0)),Calcs!$A$110:$C$122,3,TRUE))))</f>
        <v xml:space="preserve"> </v>
      </c>
      <c r="AC59" s="489"/>
      <c r="AD59" s="489" t="str">
        <f>IF(IF(AA59=" "," ",IF(NOT(ISBLANK(X59)),VLOOKUP($D$3+X59,Calcs!$A$110:$B$122,2,TRUE),IF(AA59="Failed",VLOOKUP($D$3,Calcs!$A$110:$B$122,2,TRUE),VLOOKUP($D$3-(IF((Character!$B$9+W59)&gt;($D$3+Y59),(Character!$B$9+W59)-($D$3+Y59),0)),Calcs!$A$110:$B$122,2,TRUE))))=Calcs!$B$120,IF(ISBLANK(AC59)," ",CONCATENATE(AC59+7," Years")),IF(AA59=" "," ",IF(NOT(ISBLANK(X59)),VLOOKUP($D$3+X59,Calcs!$A$110:$B$122,2,TRUE),IF(AA59="Failed",VLOOKUP($D$3,Calcs!$A$110:$B$122,2,TRUE),VLOOKUP($D$3-(IF((Character!$B$9+W59)&gt;($D$3+Y59),(Character!$B$9+W59)-($D$3+Y59),0)),Calcs!$A$110:$B$122,2,TRUE)))))</f>
        <v xml:space="preserve"> </v>
      </c>
      <c r="AE59" s="490"/>
      <c r="AF59" s="879"/>
      <c r="AG59" s="491"/>
    </row>
    <row r="60" spans="1:33" x14ac:dyDescent="0.2">
      <c r="A60" s="415">
        <f t="shared" si="0"/>
        <v>1225</v>
      </c>
      <c r="B60" s="419" t="str">
        <f t="shared" si="1"/>
        <v>Winter</v>
      </c>
      <c r="C60" s="455"/>
      <c r="D60" s="504"/>
      <c r="E60" s="455"/>
      <c r="F60" s="504"/>
      <c r="G60" s="455"/>
      <c r="H60" s="504"/>
      <c r="I60" s="455"/>
      <c r="J60" s="504"/>
      <c r="L60" s="472"/>
      <c r="M60" s="468"/>
      <c r="N60" s="468"/>
      <c r="O60" s="468"/>
      <c r="P60" s="468"/>
      <c r="Q60" s="473"/>
      <c r="R60" s="477" t="str">
        <f>IF(AND(COUNTIF('Start Character'!$I$63:$M$77,"Twilight Prone")=1,NOT(ISERROR(FIND("Magical Botch",M60)))),"Yes",IF(P60&gt;1,"Yes","No"))</f>
        <v>No</v>
      </c>
      <c r="S60" s="501"/>
      <c r="T60" s="478"/>
      <c r="U60" s="501"/>
      <c r="V60" s="479" t="str">
        <f>IF(R60="No","No Twilight",IF(T60="Yes","Uncomprehended Twilight",IF((Character!$B$14+IF(Character!$B$53="Yes",0,Character!$B$53)+IF(Magic!$C$5="Yes",2,0)+ROUNDUP((Magic!$B$30+IF(Magic!$C$30="Yes",3,0))/5,0)+S60)&gt;=($D$3+P60+SUMIF(Character!$I$62:$I$66,"Enigmatic Wisdom",Character!$J$62:$J$66)+Q60+U60),"No Twilight","Twilight")))</f>
        <v>No Twilight</v>
      </c>
      <c r="W60" s="483"/>
      <c r="X60" s="478"/>
      <c r="Y60" s="484"/>
      <c r="Z60" s="478"/>
      <c r="AA60" s="485" t="str">
        <f>IF(V60="Uncomprehended Twilight","Failed",IF(OR(ISBLANK(W60),ISBLANK(Y60))," ",IF(NOT(ISBLANK(X60)),"Failed",IF((W60+Character!$B$9+SUMIF(Character!$I$62:$I$66,"Enigmatic Wisdom",Character!$J$62:$J$66))&gt;=IF(Z60="Yes",0,(Y60+D55)),"Succeeded","Failed"))))</f>
        <v xml:space="preserve"> </v>
      </c>
      <c r="AB60" s="477" t="str">
        <f>IF(AA60=" "," ",IF(NOT(ISBLANK(X60)),VLOOKUP($D$3+X60,Calcs!$A$110:$C$122,3,TRUE),IF(AA60="Failed",VLOOKUP($D$3,Calcs!$A$110:$C$122,3,TRUE),VLOOKUP($D$3-(IF((Character!$B$9+W60)&gt;($D$3+Y60),(Character!$B$9+W60)-($D$3+Y60),0)),Calcs!$A$110:$C$122,3,TRUE))))</f>
        <v xml:space="preserve"> </v>
      </c>
      <c r="AC60" s="489"/>
      <c r="AD60" s="489" t="str">
        <f>IF(IF(AA60=" "," ",IF(NOT(ISBLANK(X60)),VLOOKUP($D$3+X60,Calcs!$A$110:$B$122,2,TRUE),IF(AA60="Failed",VLOOKUP($D$3,Calcs!$A$110:$B$122,2,TRUE),VLOOKUP($D$3-(IF((Character!$B$9+W60)&gt;($D$3+Y60),(Character!$B$9+W60)-($D$3+Y60),0)),Calcs!$A$110:$B$122,2,TRUE))))=Calcs!$B$120,IF(ISBLANK(AC60)," ",CONCATENATE(AC60+7," Years")),IF(AA60=" "," ",IF(NOT(ISBLANK(X60)),VLOOKUP($D$3+X60,Calcs!$A$110:$B$122,2,TRUE),IF(AA60="Failed",VLOOKUP($D$3,Calcs!$A$110:$B$122,2,TRUE),VLOOKUP($D$3-(IF((Character!$B$9+W60)&gt;($D$3+Y60),(Character!$B$9+W60)-($D$3+Y60),0)),Calcs!$A$110:$B$122,2,TRUE)))))</f>
        <v xml:space="preserve"> </v>
      </c>
      <c r="AE60" s="490"/>
      <c r="AF60" s="879"/>
      <c r="AG60" s="491"/>
    </row>
    <row r="61" spans="1:33" x14ac:dyDescent="0.2">
      <c r="A61" s="415">
        <f t="shared" si="0"/>
        <v>1225</v>
      </c>
      <c r="B61" s="419" t="str">
        <f t="shared" si="1"/>
        <v>Spring</v>
      </c>
      <c r="C61" s="455"/>
      <c r="D61" s="504"/>
      <c r="E61" s="455"/>
      <c r="F61" s="504"/>
      <c r="G61" s="455"/>
      <c r="H61" s="504"/>
      <c r="I61" s="455"/>
      <c r="J61" s="504"/>
      <c r="L61" s="472"/>
      <c r="M61" s="468"/>
      <c r="N61" s="468"/>
      <c r="O61" s="468"/>
      <c r="P61" s="468"/>
      <c r="Q61" s="473"/>
      <c r="R61" s="477" t="str">
        <f>IF(AND(COUNTIF('Start Character'!$I$63:$M$77,"Twilight Prone")=1,NOT(ISERROR(FIND("Magical Botch",M61)))),"Yes",IF(P61&gt;1,"Yes","No"))</f>
        <v>No</v>
      </c>
      <c r="S61" s="501"/>
      <c r="T61" s="478"/>
      <c r="U61" s="501"/>
      <c r="V61" s="479" t="str">
        <f>IF(R61="No","No Twilight",IF(T61="Yes","Uncomprehended Twilight",IF((Character!$B$14+IF(Character!$B$53="Yes",0,Character!$B$53)+IF(Magic!$C$5="Yes",2,0)+ROUNDUP((Magic!$B$30+IF(Magic!$C$30="Yes",3,0))/5,0)+S61)&gt;=($D$3+P61+SUMIF(Character!$I$62:$I$66,"Enigmatic Wisdom",Character!$J$62:$J$66)+Q61+U61),"No Twilight","Twilight")))</f>
        <v>No Twilight</v>
      </c>
      <c r="W61" s="483"/>
      <c r="X61" s="478"/>
      <c r="Y61" s="484"/>
      <c r="Z61" s="478"/>
      <c r="AA61" s="485" t="str">
        <f>IF(V61="Uncomprehended Twilight","Failed",IF(OR(ISBLANK(W61),ISBLANK(Y61))," ",IF(NOT(ISBLANK(X61)),"Failed",IF((W61+Character!$B$9+SUMIF(Character!$I$62:$I$66,"Enigmatic Wisdom",Character!$J$62:$J$66))&gt;=IF(Z61="Yes",0,(Y61+D56)),"Succeeded","Failed"))))</f>
        <v xml:space="preserve"> </v>
      </c>
      <c r="AB61" s="477" t="str">
        <f>IF(AA61=" "," ",IF(NOT(ISBLANK(X61)),VLOOKUP($D$3+X61,Calcs!$A$110:$C$122,3,TRUE),IF(AA61="Failed",VLOOKUP($D$3,Calcs!$A$110:$C$122,3,TRUE),VLOOKUP($D$3-(IF((Character!$B$9+W61)&gt;($D$3+Y61),(Character!$B$9+W61)-($D$3+Y61),0)),Calcs!$A$110:$C$122,3,TRUE))))</f>
        <v xml:space="preserve"> </v>
      </c>
      <c r="AC61" s="489"/>
      <c r="AD61" s="489" t="str">
        <f>IF(IF(AA61=" "," ",IF(NOT(ISBLANK(X61)),VLOOKUP($D$3+X61,Calcs!$A$110:$B$122,2,TRUE),IF(AA61="Failed",VLOOKUP($D$3,Calcs!$A$110:$B$122,2,TRUE),VLOOKUP($D$3-(IF((Character!$B$9+W61)&gt;($D$3+Y61),(Character!$B$9+W61)-($D$3+Y61),0)),Calcs!$A$110:$B$122,2,TRUE))))=Calcs!$B$120,IF(ISBLANK(AC61)," ",CONCATENATE(AC61+7," Years")),IF(AA61=" "," ",IF(NOT(ISBLANK(X61)),VLOOKUP($D$3+X61,Calcs!$A$110:$B$122,2,TRUE),IF(AA61="Failed",VLOOKUP($D$3,Calcs!$A$110:$B$122,2,TRUE),VLOOKUP($D$3-(IF((Character!$B$9+W61)&gt;($D$3+Y61),(Character!$B$9+W61)-($D$3+Y61),0)),Calcs!$A$110:$B$122,2,TRUE)))))</f>
        <v xml:space="preserve"> </v>
      </c>
      <c r="AE61" s="490"/>
      <c r="AF61" s="879"/>
      <c r="AG61" s="491"/>
    </row>
    <row r="62" spans="1:33" x14ac:dyDescent="0.2">
      <c r="A62" s="415">
        <f t="shared" si="0"/>
        <v>1225</v>
      </c>
      <c r="B62" s="419" t="str">
        <f t="shared" si="1"/>
        <v>Summer</v>
      </c>
      <c r="C62" s="455"/>
      <c r="D62" s="504"/>
      <c r="E62" s="455"/>
      <c r="F62" s="504"/>
      <c r="G62" s="455"/>
      <c r="H62" s="504"/>
      <c r="I62" s="455"/>
      <c r="J62" s="504"/>
      <c r="L62" s="472"/>
      <c r="M62" s="468"/>
      <c r="N62" s="468"/>
      <c r="O62" s="468"/>
      <c r="P62" s="468"/>
      <c r="Q62" s="473"/>
      <c r="R62" s="477" t="str">
        <f>IF(AND(COUNTIF('Start Character'!$I$63:$M$77,"Twilight Prone")=1,NOT(ISERROR(FIND("Magical Botch",M62)))),"Yes",IF(P62&gt;1,"Yes","No"))</f>
        <v>No</v>
      </c>
      <c r="S62" s="501"/>
      <c r="T62" s="478"/>
      <c r="U62" s="501"/>
      <c r="V62" s="479" t="str">
        <f>IF(R62="No","No Twilight",IF(T62="Yes","Uncomprehended Twilight",IF((Character!$B$14+IF(Character!$B$53="Yes",0,Character!$B$53)+IF(Magic!$C$5="Yes",2,0)+ROUNDUP((Magic!$B$30+IF(Magic!$C$30="Yes",3,0))/5,0)+S62)&gt;=($D$3+P62+SUMIF(Character!$I$62:$I$66,"Enigmatic Wisdom",Character!$J$62:$J$66)+Q62+U62),"No Twilight","Twilight")))</f>
        <v>No Twilight</v>
      </c>
      <c r="W62" s="483"/>
      <c r="X62" s="478"/>
      <c r="Y62" s="484"/>
      <c r="Z62" s="478"/>
      <c r="AA62" s="485" t="str">
        <f>IF(V62="Uncomprehended Twilight","Failed",IF(OR(ISBLANK(W62),ISBLANK(Y62))," ",IF(NOT(ISBLANK(X62)),"Failed",IF((W62+Character!$B$9+SUMIF(Character!$I$62:$I$66,"Enigmatic Wisdom",Character!$J$62:$J$66))&gt;=IF(Z62="Yes",0,(Y62+D57)),"Succeeded","Failed"))))</f>
        <v xml:space="preserve"> </v>
      </c>
      <c r="AB62" s="477" t="str">
        <f>IF(AA62=" "," ",IF(NOT(ISBLANK(X62)),VLOOKUP($D$3+X62,Calcs!$A$110:$C$122,3,TRUE),IF(AA62="Failed",VLOOKUP($D$3,Calcs!$A$110:$C$122,3,TRUE),VLOOKUP($D$3-(IF((Character!$B$9+W62)&gt;($D$3+Y62),(Character!$B$9+W62)-($D$3+Y62),0)),Calcs!$A$110:$C$122,3,TRUE))))</f>
        <v xml:space="preserve"> </v>
      </c>
      <c r="AC62" s="489"/>
      <c r="AD62" s="489" t="str">
        <f>IF(IF(AA62=" "," ",IF(NOT(ISBLANK(X62)),VLOOKUP($D$3+X62,Calcs!$A$110:$B$122,2,TRUE),IF(AA62="Failed",VLOOKUP($D$3,Calcs!$A$110:$B$122,2,TRUE),VLOOKUP($D$3-(IF((Character!$B$9+W62)&gt;($D$3+Y62),(Character!$B$9+W62)-($D$3+Y62),0)),Calcs!$A$110:$B$122,2,TRUE))))=Calcs!$B$120,IF(ISBLANK(AC62)," ",CONCATENATE(AC62+7," Years")),IF(AA62=" "," ",IF(NOT(ISBLANK(X62)),VLOOKUP($D$3+X62,Calcs!$A$110:$B$122,2,TRUE),IF(AA62="Failed",VLOOKUP($D$3,Calcs!$A$110:$B$122,2,TRUE),VLOOKUP($D$3-(IF((Character!$B$9+W62)&gt;($D$3+Y62),(Character!$B$9+W62)-($D$3+Y62),0)),Calcs!$A$110:$B$122,2,TRUE)))))</f>
        <v xml:space="preserve"> </v>
      </c>
      <c r="AE62" s="490"/>
      <c r="AF62" s="879"/>
      <c r="AG62" s="491"/>
    </row>
    <row r="63" spans="1:33" x14ac:dyDescent="0.2">
      <c r="A63" s="415">
        <f t="shared" si="0"/>
        <v>1225</v>
      </c>
      <c r="B63" s="419" t="str">
        <f t="shared" si="1"/>
        <v>Autumn</v>
      </c>
      <c r="C63" s="455"/>
      <c r="D63" s="504"/>
      <c r="E63" s="455"/>
      <c r="F63" s="504"/>
      <c r="G63" s="455"/>
      <c r="H63" s="504"/>
      <c r="I63" s="455"/>
      <c r="J63" s="504"/>
      <c r="L63" s="472"/>
      <c r="M63" s="468"/>
      <c r="N63" s="468"/>
      <c r="O63" s="468"/>
      <c r="P63" s="468"/>
      <c r="Q63" s="473"/>
      <c r="R63" s="477" t="str">
        <f>IF(AND(COUNTIF('Start Character'!$I$63:$M$77,"Twilight Prone")=1,NOT(ISERROR(FIND("Magical Botch",M63)))),"Yes",IF(P63&gt;1,"Yes","No"))</f>
        <v>No</v>
      </c>
      <c r="S63" s="501"/>
      <c r="T63" s="478"/>
      <c r="U63" s="501"/>
      <c r="V63" s="479" t="str">
        <f>IF(R63="No","No Twilight",IF(T63="Yes","Uncomprehended Twilight",IF((Character!$B$14+IF(Character!$B$53="Yes",0,Character!$B$53)+IF(Magic!$C$5="Yes",2,0)+ROUNDUP((Magic!$B$30+IF(Magic!$C$30="Yes",3,0))/5,0)+S63)&gt;=($D$3+P63+SUMIF(Character!$I$62:$I$66,"Enigmatic Wisdom",Character!$J$62:$J$66)+Q63+U63),"No Twilight","Twilight")))</f>
        <v>No Twilight</v>
      </c>
      <c r="W63" s="483"/>
      <c r="X63" s="478"/>
      <c r="Y63" s="484"/>
      <c r="Z63" s="478"/>
      <c r="AA63" s="485" t="str">
        <f>IF(V63="Uncomprehended Twilight","Failed",IF(OR(ISBLANK(W63),ISBLANK(Y63))," ",IF(NOT(ISBLANK(X63)),"Failed",IF((W63+Character!$B$9+SUMIF(Character!$I$62:$I$66,"Enigmatic Wisdom",Character!$J$62:$J$66))&gt;=IF(Z63="Yes",0,(Y63+D58)),"Succeeded","Failed"))))</f>
        <v xml:space="preserve"> </v>
      </c>
      <c r="AB63" s="477" t="str">
        <f>IF(AA63=" "," ",IF(NOT(ISBLANK(X63)),VLOOKUP($D$3+X63,Calcs!$A$110:$C$122,3,TRUE),IF(AA63="Failed",VLOOKUP($D$3,Calcs!$A$110:$C$122,3,TRUE),VLOOKUP($D$3-(IF((Character!$B$9+W63)&gt;($D$3+Y63),(Character!$B$9+W63)-($D$3+Y63),0)),Calcs!$A$110:$C$122,3,TRUE))))</f>
        <v xml:space="preserve"> </v>
      </c>
      <c r="AC63" s="489"/>
      <c r="AD63" s="489" t="str">
        <f>IF(IF(AA63=" "," ",IF(NOT(ISBLANK(X63)),VLOOKUP($D$3+X63,Calcs!$A$110:$B$122,2,TRUE),IF(AA63="Failed",VLOOKUP($D$3,Calcs!$A$110:$B$122,2,TRUE),VLOOKUP($D$3-(IF((Character!$B$9+W63)&gt;($D$3+Y63),(Character!$B$9+W63)-($D$3+Y63),0)),Calcs!$A$110:$B$122,2,TRUE))))=Calcs!$B$120,IF(ISBLANK(AC63)," ",CONCATENATE(AC63+7," Years")),IF(AA63=" "," ",IF(NOT(ISBLANK(X63)),VLOOKUP($D$3+X63,Calcs!$A$110:$B$122,2,TRUE),IF(AA63="Failed",VLOOKUP($D$3,Calcs!$A$110:$B$122,2,TRUE),VLOOKUP($D$3-(IF((Character!$B$9+W63)&gt;($D$3+Y63),(Character!$B$9+W63)-($D$3+Y63),0)),Calcs!$A$110:$B$122,2,TRUE)))))</f>
        <v xml:space="preserve"> </v>
      </c>
      <c r="AE63" s="490"/>
      <c r="AF63" s="879"/>
      <c r="AG63" s="491"/>
    </row>
    <row r="64" spans="1:33" x14ac:dyDescent="0.2">
      <c r="A64" s="415">
        <f t="shared" si="0"/>
        <v>1226</v>
      </c>
      <c r="B64" s="419" t="str">
        <f t="shared" si="1"/>
        <v>Winter</v>
      </c>
      <c r="C64" s="455"/>
      <c r="D64" s="504"/>
      <c r="E64" s="455"/>
      <c r="F64" s="504"/>
      <c r="G64" s="455"/>
      <c r="H64" s="504"/>
      <c r="I64" s="455"/>
      <c r="J64" s="504"/>
      <c r="L64" s="472"/>
      <c r="M64" s="468"/>
      <c r="N64" s="468"/>
      <c r="O64" s="468"/>
      <c r="P64" s="468"/>
      <c r="Q64" s="473"/>
      <c r="R64" s="477" t="str">
        <f>IF(AND(COUNTIF('Start Character'!$I$63:$M$77,"Twilight Prone")=1,NOT(ISERROR(FIND("Magical Botch",M64)))),"Yes",IF(P64&gt;1,"Yes","No"))</f>
        <v>No</v>
      </c>
      <c r="S64" s="501"/>
      <c r="T64" s="478"/>
      <c r="U64" s="501"/>
      <c r="V64" s="479" t="str">
        <f>IF(R64="No","No Twilight",IF(T64="Yes","Uncomprehended Twilight",IF((Character!$B$14+IF(Character!$B$53="Yes",0,Character!$B$53)+IF(Magic!$C$5="Yes",2,0)+ROUNDUP((Magic!$B$30+IF(Magic!$C$30="Yes",3,0))/5,0)+S64)&gt;=($D$3+P64+SUMIF(Character!$I$62:$I$66,"Enigmatic Wisdom",Character!$J$62:$J$66)+Q64+U64),"No Twilight","Twilight")))</f>
        <v>No Twilight</v>
      </c>
      <c r="W64" s="483"/>
      <c r="X64" s="478"/>
      <c r="Y64" s="484"/>
      <c r="Z64" s="478"/>
      <c r="AA64" s="485" t="str">
        <f>IF(V64="Uncomprehended Twilight","Failed",IF(OR(ISBLANK(W64),ISBLANK(Y64))," ",IF(NOT(ISBLANK(X64)),"Failed",IF((W64+Character!$B$9+SUMIF(Character!$I$62:$I$66,"Enigmatic Wisdom",Character!$J$62:$J$66))&gt;=IF(Z64="Yes",0,(Y64+D59)),"Succeeded","Failed"))))</f>
        <v xml:space="preserve"> </v>
      </c>
      <c r="AB64" s="477" t="str">
        <f>IF(AA64=" "," ",IF(NOT(ISBLANK(X64)),VLOOKUP($D$3+X64,Calcs!$A$110:$C$122,3,TRUE),IF(AA64="Failed",VLOOKUP($D$3,Calcs!$A$110:$C$122,3,TRUE),VLOOKUP($D$3-(IF((Character!$B$9+W64)&gt;($D$3+Y64),(Character!$B$9+W64)-($D$3+Y64),0)),Calcs!$A$110:$C$122,3,TRUE))))</f>
        <v xml:space="preserve"> </v>
      </c>
      <c r="AC64" s="489"/>
      <c r="AD64" s="489" t="str">
        <f>IF(IF(AA64=" "," ",IF(NOT(ISBLANK(X64)),VLOOKUP($D$3+X64,Calcs!$A$110:$B$122,2,TRUE),IF(AA64="Failed",VLOOKUP($D$3,Calcs!$A$110:$B$122,2,TRUE),VLOOKUP($D$3-(IF((Character!$B$9+W64)&gt;($D$3+Y64),(Character!$B$9+W64)-($D$3+Y64),0)),Calcs!$A$110:$B$122,2,TRUE))))=Calcs!$B$120,IF(ISBLANK(AC64)," ",CONCATENATE(AC64+7," Years")),IF(AA64=" "," ",IF(NOT(ISBLANK(X64)),VLOOKUP($D$3+X64,Calcs!$A$110:$B$122,2,TRUE),IF(AA64="Failed",VLOOKUP($D$3,Calcs!$A$110:$B$122,2,TRUE),VLOOKUP($D$3-(IF((Character!$B$9+W64)&gt;($D$3+Y64),(Character!$B$9+W64)-($D$3+Y64),0)),Calcs!$A$110:$B$122,2,TRUE)))))</f>
        <v xml:space="preserve"> </v>
      </c>
      <c r="AE64" s="490"/>
      <c r="AF64" s="879"/>
      <c r="AG64" s="491"/>
    </row>
    <row r="65" spans="1:33" x14ac:dyDescent="0.2">
      <c r="A65" s="415">
        <f t="shared" si="0"/>
        <v>1226</v>
      </c>
      <c r="B65" s="419" t="str">
        <f t="shared" si="1"/>
        <v>Spring</v>
      </c>
      <c r="C65" s="455"/>
      <c r="D65" s="504"/>
      <c r="E65" s="455"/>
      <c r="F65" s="504"/>
      <c r="G65" s="455"/>
      <c r="H65" s="504"/>
      <c r="I65" s="455"/>
      <c r="J65" s="504"/>
      <c r="L65" s="472"/>
      <c r="M65" s="468"/>
      <c r="N65" s="468"/>
      <c r="O65" s="468"/>
      <c r="P65" s="468"/>
      <c r="Q65" s="473"/>
      <c r="R65" s="477" t="str">
        <f>IF(AND(COUNTIF('Start Character'!$I$63:$M$77,"Twilight Prone")=1,NOT(ISERROR(FIND("Magical Botch",M65)))),"Yes",IF(P65&gt;1,"Yes","No"))</f>
        <v>No</v>
      </c>
      <c r="S65" s="501"/>
      <c r="T65" s="478"/>
      <c r="U65" s="501"/>
      <c r="V65" s="479" t="str">
        <f>IF(R65="No","No Twilight",IF(T65="Yes","Uncomprehended Twilight",IF((Character!$B$14+IF(Character!$B$53="Yes",0,Character!$B$53)+IF(Magic!$C$5="Yes",2,0)+ROUNDUP((Magic!$B$30+IF(Magic!$C$30="Yes",3,0))/5,0)+S65)&gt;=($D$3+P65+SUMIF(Character!$I$62:$I$66,"Enigmatic Wisdom",Character!$J$62:$J$66)+Q65+U65),"No Twilight","Twilight")))</f>
        <v>No Twilight</v>
      </c>
      <c r="W65" s="483"/>
      <c r="X65" s="478"/>
      <c r="Y65" s="484"/>
      <c r="Z65" s="478"/>
      <c r="AA65" s="485" t="str">
        <f>IF(V65="Uncomprehended Twilight","Failed",IF(OR(ISBLANK(W65),ISBLANK(Y65))," ",IF(NOT(ISBLANK(X65)),"Failed",IF((W65+Character!$B$9+SUMIF(Character!$I$62:$I$66,"Enigmatic Wisdom",Character!$J$62:$J$66))&gt;=IF(Z65="Yes",0,(Y65+D60)),"Succeeded","Failed"))))</f>
        <v xml:space="preserve"> </v>
      </c>
      <c r="AB65" s="477" t="str">
        <f>IF(AA65=" "," ",IF(NOT(ISBLANK(X65)),VLOOKUP($D$3+X65,Calcs!$A$110:$C$122,3,TRUE),IF(AA65="Failed",VLOOKUP($D$3,Calcs!$A$110:$C$122,3,TRUE),VLOOKUP($D$3-(IF((Character!$B$9+W65)&gt;($D$3+Y65),(Character!$B$9+W65)-($D$3+Y65),0)),Calcs!$A$110:$C$122,3,TRUE))))</f>
        <v xml:space="preserve"> </v>
      </c>
      <c r="AC65" s="489"/>
      <c r="AD65" s="489" t="str">
        <f>IF(IF(AA65=" "," ",IF(NOT(ISBLANK(X65)),VLOOKUP($D$3+X65,Calcs!$A$110:$B$122,2,TRUE),IF(AA65="Failed",VLOOKUP($D$3,Calcs!$A$110:$B$122,2,TRUE),VLOOKUP($D$3-(IF((Character!$B$9+W65)&gt;($D$3+Y65),(Character!$B$9+W65)-($D$3+Y65),0)),Calcs!$A$110:$B$122,2,TRUE))))=Calcs!$B$120,IF(ISBLANK(AC65)," ",CONCATENATE(AC65+7," Years")),IF(AA65=" "," ",IF(NOT(ISBLANK(X65)),VLOOKUP($D$3+X65,Calcs!$A$110:$B$122,2,TRUE),IF(AA65="Failed",VLOOKUP($D$3,Calcs!$A$110:$B$122,2,TRUE),VLOOKUP($D$3-(IF((Character!$B$9+W65)&gt;($D$3+Y65),(Character!$B$9+W65)-($D$3+Y65),0)),Calcs!$A$110:$B$122,2,TRUE)))))</f>
        <v xml:space="preserve"> </v>
      </c>
      <c r="AE65" s="490"/>
      <c r="AF65" s="879"/>
      <c r="AG65" s="491"/>
    </row>
    <row r="66" spans="1:33" x14ac:dyDescent="0.2">
      <c r="A66" s="415">
        <f t="shared" si="0"/>
        <v>1226</v>
      </c>
      <c r="B66" s="419" t="str">
        <f t="shared" si="1"/>
        <v>Summer</v>
      </c>
      <c r="C66" s="455"/>
      <c r="D66" s="504"/>
      <c r="E66" s="455"/>
      <c r="F66" s="504"/>
      <c r="G66" s="455"/>
      <c r="H66" s="504"/>
      <c r="I66" s="455"/>
      <c r="J66" s="504"/>
      <c r="L66" s="472"/>
      <c r="M66" s="468"/>
      <c r="N66" s="468"/>
      <c r="O66" s="468"/>
      <c r="P66" s="468"/>
      <c r="Q66" s="473"/>
      <c r="R66" s="477" t="str">
        <f>IF(AND(COUNTIF('Start Character'!$I$63:$M$77,"Twilight Prone")=1,NOT(ISERROR(FIND("Magical Botch",M66)))),"Yes",IF(P66&gt;1,"Yes","No"))</f>
        <v>No</v>
      </c>
      <c r="S66" s="501"/>
      <c r="T66" s="478"/>
      <c r="U66" s="501"/>
      <c r="V66" s="479" t="str">
        <f>IF(R66="No","No Twilight",IF(T66="Yes","Uncomprehended Twilight",IF((Character!$B$14+IF(Character!$B$53="Yes",0,Character!$B$53)+IF(Magic!$C$5="Yes",2,0)+ROUNDUP((Magic!$B$30+IF(Magic!$C$30="Yes",3,0))/5,0)+S66)&gt;=($D$3+P66+SUMIF(Character!$I$62:$I$66,"Enigmatic Wisdom",Character!$J$62:$J$66)+Q66+U66),"No Twilight","Twilight")))</f>
        <v>No Twilight</v>
      </c>
      <c r="W66" s="483"/>
      <c r="X66" s="478"/>
      <c r="Y66" s="484"/>
      <c r="Z66" s="478"/>
      <c r="AA66" s="485" t="str">
        <f>IF(V66="Uncomprehended Twilight","Failed",IF(OR(ISBLANK(W66),ISBLANK(Y66))," ",IF(NOT(ISBLANK(X66)),"Failed",IF((W66+Character!$B$9+SUMIF(Character!$I$62:$I$66,"Enigmatic Wisdom",Character!$J$62:$J$66))&gt;=IF(Z66="Yes",0,(Y66+D61)),"Succeeded","Failed"))))</f>
        <v xml:space="preserve"> </v>
      </c>
      <c r="AB66" s="477" t="str">
        <f>IF(AA66=" "," ",IF(NOT(ISBLANK(X66)),VLOOKUP($D$3+X66,Calcs!$A$110:$C$122,3,TRUE),IF(AA66="Failed",VLOOKUP($D$3,Calcs!$A$110:$C$122,3,TRUE),VLOOKUP($D$3-(IF((Character!$B$9+W66)&gt;($D$3+Y66),(Character!$B$9+W66)-($D$3+Y66),0)),Calcs!$A$110:$C$122,3,TRUE))))</f>
        <v xml:space="preserve"> </v>
      </c>
      <c r="AC66" s="489"/>
      <c r="AD66" s="489" t="str">
        <f>IF(IF(AA66=" "," ",IF(NOT(ISBLANK(X66)),VLOOKUP($D$3+X66,Calcs!$A$110:$B$122,2,TRUE),IF(AA66="Failed",VLOOKUP($D$3,Calcs!$A$110:$B$122,2,TRUE),VLOOKUP($D$3-(IF((Character!$B$9+W66)&gt;($D$3+Y66),(Character!$B$9+W66)-($D$3+Y66),0)),Calcs!$A$110:$B$122,2,TRUE))))=Calcs!$B$120,IF(ISBLANK(AC66)," ",CONCATENATE(AC66+7," Years")),IF(AA66=" "," ",IF(NOT(ISBLANK(X66)),VLOOKUP($D$3+X66,Calcs!$A$110:$B$122,2,TRUE),IF(AA66="Failed",VLOOKUP($D$3,Calcs!$A$110:$B$122,2,TRUE),VLOOKUP($D$3-(IF((Character!$B$9+W66)&gt;($D$3+Y66),(Character!$B$9+W66)-($D$3+Y66),0)),Calcs!$A$110:$B$122,2,TRUE)))))</f>
        <v xml:space="preserve"> </v>
      </c>
      <c r="AE66" s="490"/>
      <c r="AF66" s="879"/>
      <c r="AG66" s="491"/>
    </row>
    <row r="67" spans="1:33" x14ac:dyDescent="0.2">
      <c r="A67" s="415">
        <f t="shared" si="0"/>
        <v>1226</v>
      </c>
      <c r="B67" s="419" t="str">
        <f t="shared" si="1"/>
        <v>Autumn</v>
      </c>
      <c r="C67" s="455"/>
      <c r="D67" s="504"/>
      <c r="E67" s="455"/>
      <c r="F67" s="504"/>
      <c r="G67" s="455"/>
      <c r="H67" s="504"/>
      <c r="I67" s="455"/>
      <c r="J67" s="504"/>
      <c r="L67" s="472"/>
      <c r="M67" s="468"/>
      <c r="N67" s="468"/>
      <c r="O67" s="468"/>
      <c r="P67" s="468"/>
      <c r="Q67" s="473"/>
      <c r="R67" s="477" t="str">
        <f>IF(AND(COUNTIF('Start Character'!$I$63:$M$77,"Twilight Prone")=1,NOT(ISERROR(FIND("Magical Botch",M67)))),"Yes",IF(P67&gt;1,"Yes","No"))</f>
        <v>No</v>
      </c>
      <c r="S67" s="501"/>
      <c r="T67" s="478"/>
      <c r="U67" s="501"/>
      <c r="V67" s="479" t="str">
        <f>IF(R67="No","No Twilight",IF(T67="Yes","Uncomprehended Twilight",IF((Character!$B$14+IF(Character!$B$53="Yes",0,Character!$B$53)+IF(Magic!$C$5="Yes",2,0)+ROUNDUP((Magic!$B$30+IF(Magic!$C$30="Yes",3,0))/5,0)+S67)&gt;=($D$3+P67+SUMIF(Character!$I$62:$I$66,"Enigmatic Wisdom",Character!$J$62:$J$66)+Q67+U67),"No Twilight","Twilight")))</f>
        <v>No Twilight</v>
      </c>
      <c r="W67" s="483"/>
      <c r="X67" s="478"/>
      <c r="Y67" s="484"/>
      <c r="Z67" s="478"/>
      <c r="AA67" s="485" t="str">
        <f>IF(V67="Uncomprehended Twilight","Failed",IF(OR(ISBLANK(W67),ISBLANK(Y67))," ",IF(NOT(ISBLANK(X67)),"Failed",IF((W67+Character!$B$9+SUMIF(Character!$I$62:$I$66,"Enigmatic Wisdom",Character!$J$62:$J$66))&gt;=IF(Z67="Yes",0,(Y67+D62)),"Succeeded","Failed"))))</f>
        <v xml:space="preserve"> </v>
      </c>
      <c r="AB67" s="477" t="str">
        <f>IF(AA67=" "," ",IF(NOT(ISBLANK(X67)),VLOOKUP($D$3+X67,Calcs!$A$110:$C$122,3,TRUE),IF(AA67="Failed",VLOOKUP($D$3,Calcs!$A$110:$C$122,3,TRUE),VLOOKUP($D$3-(IF((Character!$B$9+W67)&gt;($D$3+Y67),(Character!$B$9+W67)-($D$3+Y67),0)),Calcs!$A$110:$C$122,3,TRUE))))</f>
        <v xml:space="preserve"> </v>
      </c>
      <c r="AC67" s="489"/>
      <c r="AD67" s="489" t="str">
        <f>IF(IF(AA67=" "," ",IF(NOT(ISBLANK(X67)),VLOOKUP($D$3+X67,Calcs!$A$110:$B$122,2,TRUE),IF(AA67="Failed",VLOOKUP($D$3,Calcs!$A$110:$B$122,2,TRUE),VLOOKUP($D$3-(IF((Character!$B$9+W67)&gt;($D$3+Y67),(Character!$B$9+W67)-($D$3+Y67),0)),Calcs!$A$110:$B$122,2,TRUE))))=Calcs!$B$120,IF(ISBLANK(AC67)," ",CONCATENATE(AC67+7," Years")),IF(AA67=" "," ",IF(NOT(ISBLANK(X67)),VLOOKUP($D$3+X67,Calcs!$A$110:$B$122,2,TRUE),IF(AA67="Failed",VLOOKUP($D$3,Calcs!$A$110:$B$122,2,TRUE),VLOOKUP($D$3-(IF((Character!$B$9+W67)&gt;($D$3+Y67),(Character!$B$9+W67)-($D$3+Y67),0)),Calcs!$A$110:$B$122,2,TRUE)))))</f>
        <v xml:space="preserve"> </v>
      </c>
      <c r="AE67" s="490"/>
      <c r="AF67" s="879"/>
      <c r="AG67" s="491"/>
    </row>
    <row r="68" spans="1:33" x14ac:dyDescent="0.2">
      <c r="A68" s="415">
        <f t="shared" si="0"/>
        <v>1227</v>
      </c>
      <c r="B68" s="419" t="str">
        <f t="shared" si="1"/>
        <v>Winter</v>
      </c>
      <c r="C68" s="455"/>
      <c r="D68" s="504"/>
      <c r="E68" s="455"/>
      <c r="F68" s="504"/>
      <c r="G68" s="455"/>
      <c r="H68" s="504"/>
      <c r="I68" s="455"/>
      <c r="J68" s="504"/>
      <c r="L68" s="472"/>
      <c r="M68" s="468"/>
      <c r="N68" s="468"/>
      <c r="O68" s="468"/>
      <c r="P68" s="468"/>
      <c r="Q68" s="473"/>
      <c r="R68" s="477" t="str">
        <f>IF(AND(COUNTIF('Start Character'!$I$63:$M$77,"Twilight Prone")=1,NOT(ISERROR(FIND("Magical Botch",M68)))),"Yes",IF(P68&gt;1,"Yes","No"))</f>
        <v>No</v>
      </c>
      <c r="S68" s="501"/>
      <c r="T68" s="478"/>
      <c r="U68" s="501"/>
      <c r="V68" s="479" t="str">
        <f>IF(R68="No","No Twilight",IF(T68="Yes","Uncomprehended Twilight",IF((Character!$B$14+IF(Character!$B$53="Yes",0,Character!$B$53)+IF(Magic!$C$5="Yes",2,0)+ROUNDUP((Magic!$B$30+IF(Magic!$C$30="Yes",3,0))/5,0)+S68)&gt;=($D$3+P68+SUMIF(Character!$I$62:$I$66,"Enigmatic Wisdom",Character!$J$62:$J$66)+Q68+U68),"No Twilight","Twilight")))</f>
        <v>No Twilight</v>
      </c>
      <c r="W68" s="483"/>
      <c r="X68" s="478"/>
      <c r="Y68" s="484"/>
      <c r="Z68" s="478"/>
      <c r="AA68" s="485" t="str">
        <f>IF(V68="Uncomprehended Twilight","Failed",IF(OR(ISBLANK(W68),ISBLANK(Y68))," ",IF(NOT(ISBLANK(X68)),"Failed",IF((W68+Character!$B$9+SUMIF(Character!$I$62:$I$66,"Enigmatic Wisdom",Character!$J$62:$J$66))&gt;=IF(Z68="Yes",0,(Y68+D63)),"Succeeded","Failed"))))</f>
        <v xml:space="preserve"> </v>
      </c>
      <c r="AB68" s="477" t="str">
        <f>IF(AA68=" "," ",IF(NOT(ISBLANK(X68)),VLOOKUP($D$3+X68,Calcs!$A$110:$C$122,3,TRUE),IF(AA68="Failed",VLOOKUP($D$3,Calcs!$A$110:$C$122,3,TRUE),VLOOKUP($D$3-(IF((Character!$B$9+W68)&gt;($D$3+Y68),(Character!$B$9+W68)-($D$3+Y68),0)),Calcs!$A$110:$C$122,3,TRUE))))</f>
        <v xml:space="preserve"> </v>
      </c>
      <c r="AC68" s="489"/>
      <c r="AD68" s="489" t="str">
        <f>IF(IF(AA68=" "," ",IF(NOT(ISBLANK(X68)),VLOOKUP($D$3+X68,Calcs!$A$110:$B$122,2,TRUE),IF(AA68="Failed",VLOOKUP($D$3,Calcs!$A$110:$B$122,2,TRUE),VLOOKUP($D$3-(IF((Character!$B$9+W68)&gt;($D$3+Y68),(Character!$B$9+W68)-($D$3+Y68),0)),Calcs!$A$110:$B$122,2,TRUE))))=Calcs!$B$120,IF(ISBLANK(AC68)," ",CONCATENATE(AC68+7," Years")),IF(AA68=" "," ",IF(NOT(ISBLANK(X68)),VLOOKUP($D$3+X68,Calcs!$A$110:$B$122,2,TRUE),IF(AA68="Failed",VLOOKUP($D$3,Calcs!$A$110:$B$122,2,TRUE),VLOOKUP($D$3-(IF((Character!$B$9+W68)&gt;($D$3+Y68),(Character!$B$9+W68)-($D$3+Y68),0)),Calcs!$A$110:$B$122,2,TRUE)))))</f>
        <v xml:space="preserve"> </v>
      </c>
      <c r="AE68" s="490"/>
      <c r="AF68" s="879"/>
      <c r="AG68" s="491"/>
    </row>
    <row r="69" spans="1:33" x14ac:dyDescent="0.2">
      <c r="A69" s="415">
        <f t="shared" si="0"/>
        <v>1227</v>
      </c>
      <c r="B69" s="419" t="str">
        <f t="shared" si="1"/>
        <v>Spring</v>
      </c>
      <c r="C69" s="455"/>
      <c r="D69" s="504"/>
      <c r="E69" s="455"/>
      <c r="F69" s="504"/>
      <c r="G69" s="455"/>
      <c r="H69" s="504"/>
      <c r="I69" s="455"/>
      <c r="J69" s="504"/>
      <c r="L69" s="472"/>
      <c r="M69" s="468"/>
      <c r="N69" s="468"/>
      <c r="O69" s="468"/>
      <c r="P69" s="468"/>
      <c r="Q69" s="473"/>
      <c r="R69" s="477" t="str">
        <f>IF(AND(COUNTIF('Start Character'!$I$63:$M$77,"Twilight Prone")=1,NOT(ISERROR(FIND("Magical Botch",M69)))),"Yes",IF(P69&gt;1,"Yes","No"))</f>
        <v>No</v>
      </c>
      <c r="S69" s="501"/>
      <c r="T69" s="478"/>
      <c r="U69" s="501"/>
      <c r="V69" s="479" t="str">
        <f>IF(R69="No","No Twilight",IF(T69="Yes","Uncomprehended Twilight",IF((Character!$B$14+IF(Character!$B$53="Yes",0,Character!$B$53)+IF(Magic!$C$5="Yes",2,0)+ROUNDUP((Magic!$B$30+IF(Magic!$C$30="Yes",3,0))/5,0)+S69)&gt;=($D$3+P69+SUMIF(Character!$I$62:$I$66,"Enigmatic Wisdom",Character!$J$62:$J$66)+Q69+U69),"No Twilight","Twilight")))</f>
        <v>No Twilight</v>
      </c>
      <c r="W69" s="483"/>
      <c r="X69" s="478"/>
      <c r="Y69" s="484"/>
      <c r="Z69" s="478"/>
      <c r="AA69" s="485" t="str">
        <f>IF(V69="Uncomprehended Twilight","Failed",IF(OR(ISBLANK(W69),ISBLANK(Y69))," ",IF(NOT(ISBLANK(X69)),"Failed",IF((W69+Character!$B$9+SUMIF(Character!$I$62:$I$66,"Enigmatic Wisdom",Character!$J$62:$J$66))&gt;=IF(Z69="Yes",0,(Y69+D64)),"Succeeded","Failed"))))</f>
        <v xml:space="preserve"> </v>
      </c>
      <c r="AB69" s="477" t="str">
        <f>IF(AA69=" "," ",IF(NOT(ISBLANK(X69)),VLOOKUP($D$3+X69,Calcs!$A$110:$C$122,3,TRUE),IF(AA69="Failed",VLOOKUP($D$3,Calcs!$A$110:$C$122,3,TRUE),VLOOKUP($D$3-(IF((Character!$B$9+W69)&gt;($D$3+Y69),(Character!$B$9+W69)-($D$3+Y69),0)),Calcs!$A$110:$C$122,3,TRUE))))</f>
        <v xml:space="preserve"> </v>
      </c>
      <c r="AC69" s="489"/>
      <c r="AD69" s="489" t="str">
        <f>IF(IF(AA69=" "," ",IF(NOT(ISBLANK(X69)),VLOOKUP($D$3+X69,Calcs!$A$110:$B$122,2,TRUE),IF(AA69="Failed",VLOOKUP($D$3,Calcs!$A$110:$B$122,2,TRUE),VLOOKUP($D$3-(IF((Character!$B$9+W69)&gt;($D$3+Y69),(Character!$B$9+W69)-($D$3+Y69),0)),Calcs!$A$110:$B$122,2,TRUE))))=Calcs!$B$120,IF(ISBLANK(AC69)," ",CONCATENATE(AC69+7," Years")),IF(AA69=" "," ",IF(NOT(ISBLANK(X69)),VLOOKUP($D$3+X69,Calcs!$A$110:$B$122,2,TRUE),IF(AA69="Failed",VLOOKUP($D$3,Calcs!$A$110:$B$122,2,TRUE),VLOOKUP($D$3-(IF((Character!$B$9+W69)&gt;($D$3+Y69),(Character!$B$9+W69)-($D$3+Y69),0)),Calcs!$A$110:$B$122,2,TRUE)))))</f>
        <v xml:space="preserve"> </v>
      </c>
      <c r="AE69" s="490"/>
      <c r="AF69" s="879"/>
      <c r="AG69" s="491"/>
    </row>
    <row r="70" spans="1:33" x14ac:dyDescent="0.2">
      <c r="A70" s="415">
        <f t="shared" si="0"/>
        <v>1227</v>
      </c>
      <c r="B70" s="419" t="str">
        <f t="shared" si="1"/>
        <v>Summer</v>
      </c>
      <c r="C70" s="455"/>
      <c r="D70" s="504"/>
      <c r="E70" s="455"/>
      <c r="F70" s="504"/>
      <c r="G70" s="455"/>
      <c r="H70" s="504"/>
      <c r="I70" s="455"/>
      <c r="J70" s="504"/>
      <c r="L70" s="472"/>
      <c r="M70" s="468"/>
      <c r="N70" s="468"/>
      <c r="O70" s="468"/>
      <c r="P70" s="468"/>
      <c r="Q70" s="473"/>
      <c r="R70" s="477" t="str">
        <f>IF(AND(COUNTIF('Start Character'!$I$63:$M$77,"Twilight Prone")=1,NOT(ISERROR(FIND("Magical Botch",M70)))),"Yes",IF(P70&gt;1,"Yes","No"))</f>
        <v>No</v>
      </c>
      <c r="S70" s="501"/>
      <c r="T70" s="478"/>
      <c r="U70" s="501"/>
      <c r="V70" s="479" t="str">
        <f>IF(R70="No","No Twilight",IF(T70="Yes","Uncomprehended Twilight",IF((Character!$B$14+IF(Character!$B$53="Yes",0,Character!$B$53)+IF(Magic!$C$5="Yes",2,0)+ROUNDUP((Magic!$B$30+IF(Magic!$C$30="Yes",3,0))/5,0)+S70)&gt;=($D$3+P70+SUMIF(Character!$I$62:$I$66,"Enigmatic Wisdom",Character!$J$62:$J$66)+Q70+U70),"No Twilight","Twilight")))</f>
        <v>No Twilight</v>
      </c>
      <c r="W70" s="483"/>
      <c r="X70" s="478"/>
      <c r="Y70" s="484"/>
      <c r="Z70" s="478"/>
      <c r="AA70" s="485" t="str">
        <f>IF(V70="Uncomprehended Twilight","Failed",IF(OR(ISBLANK(W70),ISBLANK(Y70))," ",IF(NOT(ISBLANK(X70)),"Failed",IF((W70+Character!$B$9+SUMIF(Character!$I$62:$I$66,"Enigmatic Wisdom",Character!$J$62:$J$66))&gt;=IF(Z70="Yes",0,(Y70+D65)),"Succeeded","Failed"))))</f>
        <v xml:space="preserve"> </v>
      </c>
      <c r="AB70" s="477" t="str">
        <f>IF(AA70=" "," ",IF(NOT(ISBLANK(X70)),VLOOKUP($D$3+X70,Calcs!$A$110:$C$122,3,TRUE),IF(AA70="Failed",VLOOKUP($D$3,Calcs!$A$110:$C$122,3,TRUE),VLOOKUP($D$3-(IF((Character!$B$9+W70)&gt;($D$3+Y70),(Character!$B$9+W70)-($D$3+Y70),0)),Calcs!$A$110:$C$122,3,TRUE))))</f>
        <v xml:space="preserve"> </v>
      </c>
      <c r="AC70" s="489"/>
      <c r="AD70" s="489" t="str">
        <f>IF(IF(AA70=" "," ",IF(NOT(ISBLANK(X70)),VLOOKUP($D$3+X70,Calcs!$A$110:$B$122,2,TRUE),IF(AA70="Failed",VLOOKUP($D$3,Calcs!$A$110:$B$122,2,TRUE),VLOOKUP($D$3-(IF((Character!$B$9+W70)&gt;($D$3+Y70),(Character!$B$9+W70)-($D$3+Y70),0)),Calcs!$A$110:$B$122,2,TRUE))))=Calcs!$B$120,IF(ISBLANK(AC70)," ",CONCATENATE(AC70+7," Years")),IF(AA70=" "," ",IF(NOT(ISBLANK(X70)),VLOOKUP($D$3+X70,Calcs!$A$110:$B$122,2,TRUE),IF(AA70="Failed",VLOOKUP($D$3,Calcs!$A$110:$B$122,2,TRUE),VLOOKUP($D$3-(IF((Character!$B$9+W70)&gt;($D$3+Y70),(Character!$B$9+W70)-($D$3+Y70),0)),Calcs!$A$110:$B$122,2,TRUE)))))</f>
        <v xml:space="preserve"> </v>
      </c>
      <c r="AE70" s="490"/>
      <c r="AF70" s="879"/>
      <c r="AG70" s="491"/>
    </row>
    <row r="71" spans="1:33" x14ac:dyDescent="0.2">
      <c r="A71" s="415">
        <f t="shared" si="0"/>
        <v>1227</v>
      </c>
      <c r="B71" s="419" t="str">
        <f t="shared" si="1"/>
        <v>Autumn</v>
      </c>
      <c r="C71" s="455"/>
      <c r="D71" s="504"/>
      <c r="E71" s="455"/>
      <c r="F71" s="504"/>
      <c r="G71" s="455"/>
      <c r="H71" s="504"/>
      <c r="I71" s="455"/>
      <c r="J71" s="504"/>
      <c r="L71" s="472"/>
      <c r="M71" s="468"/>
      <c r="N71" s="468"/>
      <c r="O71" s="468"/>
      <c r="P71" s="468"/>
      <c r="Q71" s="473"/>
      <c r="R71" s="477" t="str">
        <f>IF(AND(COUNTIF('Start Character'!$I$63:$M$77,"Twilight Prone")=1,NOT(ISERROR(FIND("Magical Botch",M71)))),"Yes",IF(P71&gt;1,"Yes","No"))</f>
        <v>No</v>
      </c>
      <c r="S71" s="501"/>
      <c r="T71" s="478"/>
      <c r="U71" s="501"/>
      <c r="V71" s="479" t="str">
        <f>IF(R71="No","No Twilight",IF(T71="Yes","Uncomprehended Twilight",IF((Character!$B$14+IF(Character!$B$53="Yes",0,Character!$B$53)+IF(Magic!$C$5="Yes",2,0)+ROUNDUP((Magic!$B$30+IF(Magic!$C$30="Yes",3,0))/5,0)+S71)&gt;=($D$3+P71+SUMIF(Character!$I$62:$I$66,"Enigmatic Wisdom",Character!$J$62:$J$66)+Q71+U71),"No Twilight","Twilight")))</f>
        <v>No Twilight</v>
      </c>
      <c r="W71" s="483"/>
      <c r="X71" s="478"/>
      <c r="Y71" s="484"/>
      <c r="Z71" s="478"/>
      <c r="AA71" s="485" t="str">
        <f>IF(V71="Uncomprehended Twilight","Failed",IF(OR(ISBLANK(W71),ISBLANK(Y71))," ",IF(NOT(ISBLANK(X71)),"Failed",IF((W71+Character!$B$9+SUMIF(Character!$I$62:$I$66,"Enigmatic Wisdom",Character!$J$62:$J$66))&gt;=IF(Z71="Yes",0,(Y71+D66)),"Succeeded","Failed"))))</f>
        <v xml:space="preserve"> </v>
      </c>
      <c r="AB71" s="477" t="str">
        <f>IF(AA71=" "," ",IF(NOT(ISBLANK(X71)),VLOOKUP($D$3+X71,Calcs!$A$110:$C$122,3,TRUE),IF(AA71="Failed",VLOOKUP($D$3,Calcs!$A$110:$C$122,3,TRUE),VLOOKUP($D$3-(IF((Character!$B$9+W71)&gt;($D$3+Y71),(Character!$B$9+W71)-($D$3+Y71),0)),Calcs!$A$110:$C$122,3,TRUE))))</f>
        <v xml:space="preserve"> </v>
      </c>
      <c r="AC71" s="489"/>
      <c r="AD71" s="489" t="str">
        <f>IF(IF(AA71=" "," ",IF(NOT(ISBLANK(X71)),VLOOKUP($D$3+X71,Calcs!$A$110:$B$122,2,TRUE),IF(AA71="Failed",VLOOKUP($D$3,Calcs!$A$110:$B$122,2,TRUE),VLOOKUP($D$3-(IF((Character!$B$9+W71)&gt;($D$3+Y71),(Character!$B$9+W71)-($D$3+Y71),0)),Calcs!$A$110:$B$122,2,TRUE))))=Calcs!$B$120,IF(ISBLANK(AC71)," ",CONCATENATE(AC71+7," Years")),IF(AA71=" "," ",IF(NOT(ISBLANK(X71)),VLOOKUP($D$3+X71,Calcs!$A$110:$B$122,2,TRUE),IF(AA71="Failed",VLOOKUP($D$3,Calcs!$A$110:$B$122,2,TRUE),VLOOKUP($D$3-(IF((Character!$B$9+W71)&gt;($D$3+Y71),(Character!$B$9+W71)-($D$3+Y71),0)),Calcs!$A$110:$B$122,2,TRUE)))))</f>
        <v xml:space="preserve"> </v>
      </c>
      <c r="AE71" s="490"/>
      <c r="AF71" s="879"/>
      <c r="AG71" s="491"/>
    </row>
    <row r="72" spans="1:33" x14ac:dyDescent="0.2">
      <c r="A72" s="415">
        <f t="shared" si="0"/>
        <v>1228</v>
      </c>
      <c r="B72" s="419" t="str">
        <f t="shared" si="1"/>
        <v>Winter</v>
      </c>
      <c r="C72" s="455"/>
      <c r="D72" s="504"/>
      <c r="E72" s="455"/>
      <c r="F72" s="504"/>
      <c r="G72" s="455"/>
      <c r="H72" s="504"/>
      <c r="I72" s="455"/>
      <c r="J72" s="504"/>
      <c r="L72" s="472"/>
      <c r="M72" s="468"/>
      <c r="N72" s="468"/>
      <c r="O72" s="468"/>
      <c r="P72" s="468"/>
      <c r="Q72" s="473"/>
      <c r="R72" s="477" t="str">
        <f>IF(AND(COUNTIF('Start Character'!$I$63:$M$77,"Twilight Prone")=1,NOT(ISERROR(FIND("Magical Botch",M72)))),"Yes",IF(P72&gt;1,"Yes","No"))</f>
        <v>No</v>
      </c>
      <c r="S72" s="501"/>
      <c r="T72" s="478"/>
      <c r="U72" s="501"/>
      <c r="V72" s="479" t="str">
        <f>IF(R72="No","No Twilight",IF(T72="Yes","Uncomprehended Twilight",IF((Character!$B$14+IF(Character!$B$53="Yes",0,Character!$B$53)+IF(Magic!$C$5="Yes",2,0)+ROUNDUP((Magic!$B$30+IF(Magic!$C$30="Yes",3,0))/5,0)+S72)&gt;=($D$3+P72+SUMIF(Character!$I$62:$I$66,"Enigmatic Wisdom",Character!$J$62:$J$66)+Q72+U72),"No Twilight","Twilight")))</f>
        <v>No Twilight</v>
      </c>
      <c r="W72" s="483"/>
      <c r="X72" s="478"/>
      <c r="Y72" s="484"/>
      <c r="Z72" s="478"/>
      <c r="AA72" s="485" t="str">
        <f>IF(V72="Uncomprehended Twilight","Failed",IF(OR(ISBLANK(W72),ISBLANK(Y72))," ",IF(NOT(ISBLANK(X72)),"Failed",IF((W72+Character!$B$9+SUMIF(Character!$I$62:$I$66,"Enigmatic Wisdom",Character!$J$62:$J$66))&gt;=IF(Z72="Yes",0,(Y72+D67)),"Succeeded","Failed"))))</f>
        <v xml:space="preserve"> </v>
      </c>
      <c r="AB72" s="477" t="str">
        <f>IF(AA72=" "," ",IF(NOT(ISBLANK(X72)),VLOOKUP($D$3+X72,Calcs!$A$110:$C$122,3,TRUE),IF(AA72="Failed",VLOOKUP($D$3,Calcs!$A$110:$C$122,3,TRUE),VLOOKUP($D$3-(IF((Character!$B$9+W72)&gt;($D$3+Y72),(Character!$B$9+W72)-($D$3+Y72),0)),Calcs!$A$110:$C$122,3,TRUE))))</f>
        <v xml:space="preserve"> </v>
      </c>
      <c r="AC72" s="489"/>
      <c r="AD72" s="489" t="str">
        <f>IF(IF(AA72=" "," ",IF(NOT(ISBLANK(X72)),VLOOKUP($D$3+X72,Calcs!$A$110:$B$122,2,TRUE),IF(AA72="Failed",VLOOKUP($D$3,Calcs!$A$110:$B$122,2,TRUE),VLOOKUP($D$3-(IF((Character!$B$9+W72)&gt;($D$3+Y72),(Character!$B$9+W72)-($D$3+Y72),0)),Calcs!$A$110:$B$122,2,TRUE))))=Calcs!$B$120,IF(ISBLANK(AC72)," ",CONCATENATE(AC72+7," Years")),IF(AA72=" "," ",IF(NOT(ISBLANK(X72)),VLOOKUP($D$3+X72,Calcs!$A$110:$B$122,2,TRUE),IF(AA72="Failed",VLOOKUP($D$3,Calcs!$A$110:$B$122,2,TRUE),VLOOKUP($D$3-(IF((Character!$B$9+W72)&gt;($D$3+Y72),(Character!$B$9+W72)-($D$3+Y72),0)),Calcs!$A$110:$B$122,2,TRUE)))))</f>
        <v xml:space="preserve"> </v>
      </c>
      <c r="AE72" s="490"/>
      <c r="AF72" s="879"/>
      <c r="AG72" s="491"/>
    </row>
    <row r="73" spans="1:33" x14ac:dyDescent="0.2">
      <c r="A73" s="415">
        <f t="shared" si="0"/>
        <v>1228</v>
      </c>
      <c r="B73" s="419" t="str">
        <f t="shared" si="1"/>
        <v>Spring</v>
      </c>
      <c r="C73" s="455"/>
      <c r="D73" s="504"/>
      <c r="E73" s="455"/>
      <c r="F73" s="504"/>
      <c r="G73" s="455"/>
      <c r="H73" s="504"/>
      <c r="I73" s="455"/>
      <c r="J73" s="504"/>
      <c r="L73" s="472"/>
      <c r="M73" s="468"/>
      <c r="N73" s="468"/>
      <c r="O73" s="468"/>
      <c r="P73" s="468"/>
      <c r="Q73" s="473"/>
      <c r="R73" s="477" t="str">
        <f>IF(AND(COUNTIF('Start Character'!$I$63:$M$77,"Twilight Prone")=1,NOT(ISERROR(FIND("Magical Botch",M73)))),"Yes",IF(P73&gt;1,"Yes","No"))</f>
        <v>No</v>
      </c>
      <c r="S73" s="501"/>
      <c r="T73" s="478"/>
      <c r="U73" s="501"/>
      <c r="V73" s="479" t="str">
        <f>IF(R73="No","No Twilight",IF(T73="Yes","Uncomprehended Twilight",IF((Character!$B$14+IF(Character!$B$53="Yes",0,Character!$B$53)+IF(Magic!$C$5="Yes",2,0)+ROUNDUP((Magic!$B$30+IF(Magic!$C$30="Yes",3,0))/5,0)+S73)&gt;=($D$3+P73+SUMIF(Character!$I$62:$I$66,"Enigmatic Wisdom",Character!$J$62:$J$66)+Q73+U73),"No Twilight","Twilight")))</f>
        <v>No Twilight</v>
      </c>
      <c r="W73" s="483"/>
      <c r="X73" s="478"/>
      <c r="Y73" s="484"/>
      <c r="Z73" s="478"/>
      <c r="AA73" s="485" t="str">
        <f>IF(V73="Uncomprehended Twilight","Failed",IF(OR(ISBLANK(W73),ISBLANK(Y73))," ",IF(NOT(ISBLANK(X73)),"Failed",IF((W73+Character!$B$9+SUMIF(Character!$I$62:$I$66,"Enigmatic Wisdom",Character!$J$62:$J$66))&gt;=IF(Z73="Yes",0,(Y73+D68)),"Succeeded","Failed"))))</f>
        <v xml:space="preserve"> </v>
      </c>
      <c r="AB73" s="477" t="str">
        <f>IF(AA73=" "," ",IF(NOT(ISBLANK(X73)),VLOOKUP($D$3+X73,Calcs!$A$110:$C$122,3,TRUE),IF(AA73="Failed",VLOOKUP($D$3,Calcs!$A$110:$C$122,3,TRUE),VLOOKUP($D$3-(IF((Character!$B$9+W73)&gt;($D$3+Y73),(Character!$B$9+W73)-($D$3+Y73),0)),Calcs!$A$110:$C$122,3,TRUE))))</f>
        <v xml:space="preserve"> </v>
      </c>
      <c r="AC73" s="489"/>
      <c r="AD73" s="489" t="str">
        <f>IF(IF(AA73=" "," ",IF(NOT(ISBLANK(X73)),VLOOKUP($D$3+X73,Calcs!$A$110:$B$122,2,TRUE),IF(AA73="Failed",VLOOKUP($D$3,Calcs!$A$110:$B$122,2,TRUE),VLOOKUP($D$3-(IF((Character!$B$9+W73)&gt;($D$3+Y73),(Character!$B$9+W73)-($D$3+Y73),0)),Calcs!$A$110:$B$122,2,TRUE))))=Calcs!$B$120,IF(ISBLANK(AC73)," ",CONCATENATE(AC73+7," Years")),IF(AA73=" "," ",IF(NOT(ISBLANK(X73)),VLOOKUP($D$3+X73,Calcs!$A$110:$B$122,2,TRUE),IF(AA73="Failed",VLOOKUP($D$3,Calcs!$A$110:$B$122,2,TRUE),VLOOKUP($D$3-(IF((Character!$B$9+W73)&gt;($D$3+Y73),(Character!$B$9+W73)-($D$3+Y73),0)),Calcs!$A$110:$B$122,2,TRUE)))))</f>
        <v xml:space="preserve"> </v>
      </c>
      <c r="AE73" s="490"/>
      <c r="AF73" s="879"/>
      <c r="AG73" s="491"/>
    </row>
    <row r="74" spans="1:33" x14ac:dyDescent="0.2">
      <c r="A74" s="415">
        <f t="shared" si="0"/>
        <v>1228</v>
      </c>
      <c r="B74" s="419" t="str">
        <f t="shared" si="1"/>
        <v>Summer</v>
      </c>
      <c r="C74" s="455"/>
      <c r="D74" s="504"/>
      <c r="E74" s="455"/>
      <c r="F74" s="504"/>
      <c r="G74" s="455"/>
      <c r="H74" s="504"/>
      <c r="I74" s="455"/>
      <c r="J74" s="504"/>
      <c r="L74" s="472"/>
      <c r="M74" s="468"/>
      <c r="N74" s="468"/>
      <c r="O74" s="468"/>
      <c r="P74" s="468"/>
      <c r="Q74" s="473"/>
      <c r="R74" s="477" t="str">
        <f>IF(AND(COUNTIF('Start Character'!$I$63:$M$77,"Twilight Prone")=1,NOT(ISERROR(FIND("Magical Botch",M74)))),"Yes",IF(P74&gt;1,"Yes","No"))</f>
        <v>No</v>
      </c>
      <c r="S74" s="501"/>
      <c r="T74" s="478"/>
      <c r="U74" s="501"/>
      <c r="V74" s="479" t="str">
        <f>IF(R74="No","No Twilight",IF(T74="Yes","Uncomprehended Twilight",IF((Character!$B$14+IF(Character!$B$53="Yes",0,Character!$B$53)+IF(Magic!$C$5="Yes",2,0)+ROUNDUP((Magic!$B$30+IF(Magic!$C$30="Yes",3,0))/5,0)+S74)&gt;=($D$3+P74+SUMIF(Character!$I$62:$I$66,"Enigmatic Wisdom",Character!$J$62:$J$66)+Q74+U74),"No Twilight","Twilight")))</f>
        <v>No Twilight</v>
      </c>
      <c r="W74" s="483"/>
      <c r="X74" s="478"/>
      <c r="Y74" s="484"/>
      <c r="Z74" s="478"/>
      <c r="AA74" s="485" t="str">
        <f>IF(V74="Uncomprehended Twilight","Failed",IF(OR(ISBLANK(W74),ISBLANK(Y74))," ",IF(NOT(ISBLANK(X74)),"Failed",IF((W74+Character!$B$9+SUMIF(Character!$I$62:$I$66,"Enigmatic Wisdom",Character!$J$62:$J$66))&gt;=IF(Z74="Yes",0,(Y74+D69)),"Succeeded","Failed"))))</f>
        <v xml:space="preserve"> </v>
      </c>
      <c r="AB74" s="477" t="str">
        <f>IF(AA74=" "," ",IF(NOT(ISBLANK(X74)),VLOOKUP($D$3+X74,Calcs!$A$110:$C$122,3,TRUE),IF(AA74="Failed",VLOOKUP($D$3,Calcs!$A$110:$C$122,3,TRUE),VLOOKUP($D$3-(IF((Character!$B$9+W74)&gt;($D$3+Y74),(Character!$B$9+W74)-($D$3+Y74),0)),Calcs!$A$110:$C$122,3,TRUE))))</f>
        <v xml:space="preserve"> </v>
      </c>
      <c r="AC74" s="489"/>
      <c r="AD74" s="489" t="str">
        <f>IF(IF(AA74=" "," ",IF(NOT(ISBLANK(X74)),VLOOKUP($D$3+X74,Calcs!$A$110:$B$122,2,TRUE),IF(AA74="Failed",VLOOKUP($D$3,Calcs!$A$110:$B$122,2,TRUE),VLOOKUP($D$3-(IF((Character!$B$9+W74)&gt;($D$3+Y74),(Character!$B$9+W74)-($D$3+Y74),0)),Calcs!$A$110:$B$122,2,TRUE))))=Calcs!$B$120,IF(ISBLANK(AC74)," ",CONCATENATE(AC74+7," Years")),IF(AA74=" "," ",IF(NOT(ISBLANK(X74)),VLOOKUP($D$3+X74,Calcs!$A$110:$B$122,2,TRUE),IF(AA74="Failed",VLOOKUP($D$3,Calcs!$A$110:$B$122,2,TRUE),VLOOKUP($D$3-(IF((Character!$B$9+W74)&gt;($D$3+Y74),(Character!$B$9+W74)-($D$3+Y74),0)),Calcs!$A$110:$B$122,2,TRUE)))))</f>
        <v xml:space="preserve"> </v>
      </c>
      <c r="AE74" s="490"/>
      <c r="AF74" s="879"/>
      <c r="AG74" s="491"/>
    </row>
    <row r="75" spans="1:33" x14ac:dyDescent="0.2">
      <c r="A75" s="415">
        <f t="shared" si="0"/>
        <v>1228</v>
      </c>
      <c r="B75" s="419" t="str">
        <f t="shared" si="1"/>
        <v>Autumn</v>
      </c>
      <c r="C75" s="455"/>
      <c r="D75" s="504"/>
      <c r="E75" s="455"/>
      <c r="F75" s="504"/>
      <c r="G75" s="455"/>
      <c r="H75" s="504"/>
      <c r="I75" s="455"/>
      <c r="J75" s="504"/>
      <c r="L75" s="472"/>
      <c r="M75" s="468"/>
      <c r="N75" s="468"/>
      <c r="O75" s="468"/>
      <c r="P75" s="468"/>
      <c r="Q75" s="473"/>
      <c r="R75" s="477" t="str">
        <f>IF(AND(COUNTIF('Start Character'!$I$63:$M$77,"Twilight Prone")=1,NOT(ISERROR(FIND("Magical Botch",M75)))),"Yes",IF(P75&gt;1,"Yes","No"))</f>
        <v>No</v>
      </c>
      <c r="S75" s="501"/>
      <c r="T75" s="478"/>
      <c r="U75" s="501"/>
      <c r="V75" s="479" t="str">
        <f>IF(R75="No","No Twilight",IF(T75="Yes","Uncomprehended Twilight",IF((Character!$B$14+IF(Character!$B$53="Yes",0,Character!$B$53)+IF(Magic!$C$5="Yes",2,0)+ROUNDUP((Magic!$B$30+IF(Magic!$C$30="Yes",3,0))/5,0)+S75)&gt;=($D$3+P75+SUMIF(Character!$I$62:$I$66,"Enigmatic Wisdom",Character!$J$62:$J$66)+Q75+U75),"No Twilight","Twilight")))</f>
        <v>No Twilight</v>
      </c>
      <c r="W75" s="483"/>
      <c r="X75" s="478"/>
      <c r="Y75" s="484"/>
      <c r="Z75" s="478"/>
      <c r="AA75" s="485" t="str">
        <f>IF(V75="Uncomprehended Twilight","Failed",IF(OR(ISBLANK(W75),ISBLANK(Y75))," ",IF(NOT(ISBLANK(X75)),"Failed",IF((W75+Character!$B$9+SUMIF(Character!$I$62:$I$66,"Enigmatic Wisdom",Character!$J$62:$J$66))&gt;=IF(Z75="Yes",0,(Y75+D70)),"Succeeded","Failed"))))</f>
        <v xml:space="preserve"> </v>
      </c>
      <c r="AB75" s="477" t="str">
        <f>IF(AA75=" "," ",IF(NOT(ISBLANK(X75)),VLOOKUP($D$3+X75,Calcs!$A$110:$C$122,3,TRUE),IF(AA75="Failed",VLOOKUP($D$3,Calcs!$A$110:$C$122,3,TRUE),VLOOKUP($D$3-(IF((Character!$B$9+W75)&gt;($D$3+Y75),(Character!$B$9+W75)-($D$3+Y75),0)),Calcs!$A$110:$C$122,3,TRUE))))</f>
        <v xml:space="preserve"> </v>
      </c>
      <c r="AC75" s="489"/>
      <c r="AD75" s="489" t="str">
        <f>IF(IF(AA75=" "," ",IF(NOT(ISBLANK(X75)),VLOOKUP($D$3+X75,Calcs!$A$110:$B$122,2,TRUE),IF(AA75="Failed",VLOOKUP($D$3,Calcs!$A$110:$B$122,2,TRUE),VLOOKUP($D$3-(IF((Character!$B$9+W75)&gt;($D$3+Y75),(Character!$B$9+W75)-($D$3+Y75),0)),Calcs!$A$110:$B$122,2,TRUE))))=Calcs!$B$120,IF(ISBLANK(AC75)," ",CONCATENATE(AC75+7," Years")),IF(AA75=" "," ",IF(NOT(ISBLANK(X75)),VLOOKUP($D$3+X75,Calcs!$A$110:$B$122,2,TRUE),IF(AA75="Failed",VLOOKUP($D$3,Calcs!$A$110:$B$122,2,TRUE),VLOOKUP($D$3-(IF((Character!$B$9+W75)&gt;($D$3+Y75),(Character!$B$9+W75)-($D$3+Y75),0)),Calcs!$A$110:$B$122,2,TRUE)))))</f>
        <v xml:space="preserve"> </v>
      </c>
      <c r="AE75" s="490"/>
      <c r="AF75" s="879"/>
      <c r="AG75" s="491"/>
    </row>
    <row r="76" spans="1:33" x14ac:dyDescent="0.2">
      <c r="A76" s="415">
        <f t="shared" si="0"/>
        <v>1229</v>
      </c>
      <c r="B76" s="419" t="str">
        <f t="shared" si="1"/>
        <v>Winter</v>
      </c>
      <c r="C76" s="455"/>
      <c r="D76" s="504"/>
      <c r="E76" s="455"/>
      <c r="F76" s="504"/>
      <c r="G76" s="455"/>
      <c r="H76" s="504"/>
      <c r="I76" s="455"/>
      <c r="J76" s="504"/>
      <c r="L76" s="472"/>
      <c r="M76" s="468"/>
      <c r="N76" s="468"/>
      <c r="O76" s="468"/>
      <c r="P76" s="468"/>
      <c r="Q76" s="473"/>
      <c r="R76" s="477" t="str">
        <f>IF(AND(COUNTIF('Start Character'!$I$63:$M$77,"Twilight Prone")=1,NOT(ISERROR(FIND("Magical Botch",M76)))),"Yes",IF(P76&gt;1,"Yes","No"))</f>
        <v>No</v>
      </c>
      <c r="S76" s="501"/>
      <c r="T76" s="478"/>
      <c r="U76" s="501"/>
      <c r="V76" s="479" t="str">
        <f>IF(R76="No","No Twilight",IF(T76="Yes","Uncomprehended Twilight",IF((Character!$B$14+IF(Character!$B$53="Yes",0,Character!$B$53)+IF(Magic!$C$5="Yes",2,0)+ROUNDUP((Magic!$B$30+IF(Magic!$C$30="Yes",3,0))/5,0)+S76)&gt;=($D$3+P76+SUMIF(Character!$I$62:$I$66,"Enigmatic Wisdom",Character!$J$62:$J$66)+Q76+U76),"No Twilight","Twilight")))</f>
        <v>No Twilight</v>
      </c>
      <c r="W76" s="483"/>
      <c r="X76" s="478"/>
      <c r="Y76" s="484"/>
      <c r="Z76" s="478"/>
      <c r="AA76" s="485" t="str">
        <f>IF(V76="Uncomprehended Twilight","Failed",IF(OR(ISBLANK(W76),ISBLANK(Y76))," ",IF(NOT(ISBLANK(X76)),"Failed",IF((W76+Character!$B$9+SUMIF(Character!$I$62:$I$66,"Enigmatic Wisdom",Character!$J$62:$J$66))&gt;=IF(Z76="Yes",0,(Y76+D71)),"Succeeded","Failed"))))</f>
        <v xml:space="preserve"> </v>
      </c>
      <c r="AB76" s="477" t="str">
        <f>IF(AA76=" "," ",IF(NOT(ISBLANK(X76)),VLOOKUP($D$3+X76,Calcs!$A$110:$C$122,3,TRUE),IF(AA76="Failed",VLOOKUP($D$3,Calcs!$A$110:$C$122,3,TRUE),VLOOKUP($D$3-(IF((Character!$B$9+W76)&gt;($D$3+Y76),(Character!$B$9+W76)-($D$3+Y76),0)),Calcs!$A$110:$C$122,3,TRUE))))</f>
        <v xml:space="preserve"> </v>
      </c>
      <c r="AC76" s="489"/>
      <c r="AD76" s="489" t="str">
        <f>IF(IF(AA76=" "," ",IF(NOT(ISBLANK(X76)),VLOOKUP($D$3+X76,Calcs!$A$110:$B$122,2,TRUE),IF(AA76="Failed",VLOOKUP($D$3,Calcs!$A$110:$B$122,2,TRUE),VLOOKUP($D$3-(IF((Character!$B$9+W76)&gt;($D$3+Y76),(Character!$B$9+W76)-($D$3+Y76),0)),Calcs!$A$110:$B$122,2,TRUE))))=Calcs!$B$120,IF(ISBLANK(AC76)," ",CONCATENATE(AC76+7," Years")),IF(AA76=" "," ",IF(NOT(ISBLANK(X76)),VLOOKUP($D$3+X76,Calcs!$A$110:$B$122,2,TRUE),IF(AA76="Failed",VLOOKUP($D$3,Calcs!$A$110:$B$122,2,TRUE),VLOOKUP($D$3-(IF((Character!$B$9+W76)&gt;($D$3+Y76),(Character!$B$9+W76)-($D$3+Y76),0)),Calcs!$A$110:$B$122,2,TRUE)))))</f>
        <v xml:space="preserve"> </v>
      </c>
      <c r="AE76" s="490"/>
      <c r="AF76" s="879"/>
      <c r="AG76" s="491"/>
    </row>
    <row r="77" spans="1:33" x14ac:dyDescent="0.2">
      <c r="A77" s="415">
        <f t="shared" si="0"/>
        <v>1229</v>
      </c>
      <c r="B77" s="419" t="str">
        <f t="shared" si="1"/>
        <v>Spring</v>
      </c>
      <c r="C77" s="455"/>
      <c r="D77" s="504"/>
      <c r="E77" s="455"/>
      <c r="F77" s="504"/>
      <c r="G77" s="455"/>
      <c r="H77" s="504"/>
      <c r="I77" s="455"/>
      <c r="J77" s="504"/>
      <c r="L77" s="472"/>
      <c r="M77" s="468"/>
      <c r="N77" s="468"/>
      <c r="O77" s="468"/>
      <c r="P77" s="468"/>
      <c r="Q77" s="473"/>
      <c r="R77" s="477" t="str">
        <f>IF(AND(COUNTIF('Start Character'!$I$63:$M$77,"Twilight Prone")=1,NOT(ISERROR(FIND("Magical Botch",M77)))),"Yes",IF(P77&gt;1,"Yes","No"))</f>
        <v>No</v>
      </c>
      <c r="S77" s="501"/>
      <c r="T77" s="478"/>
      <c r="U77" s="501"/>
      <c r="V77" s="479" t="str">
        <f>IF(R77="No","No Twilight",IF(T77="Yes","Uncomprehended Twilight",IF((Character!$B$14+IF(Character!$B$53="Yes",0,Character!$B$53)+IF(Magic!$C$5="Yes",2,0)+ROUNDUP((Magic!$B$30+IF(Magic!$C$30="Yes",3,0))/5,0)+S77)&gt;=($D$3+P77+SUMIF(Character!$I$62:$I$66,"Enigmatic Wisdom",Character!$J$62:$J$66)+Q77+U77),"No Twilight","Twilight")))</f>
        <v>No Twilight</v>
      </c>
      <c r="W77" s="483"/>
      <c r="X77" s="478"/>
      <c r="Y77" s="484"/>
      <c r="Z77" s="478"/>
      <c r="AA77" s="485" t="str">
        <f>IF(V77="Uncomprehended Twilight","Failed",IF(OR(ISBLANK(W77),ISBLANK(Y77))," ",IF(NOT(ISBLANK(X77)),"Failed",IF((W77+Character!$B$9+SUMIF(Character!$I$62:$I$66,"Enigmatic Wisdom",Character!$J$62:$J$66))&gt;=IF(Z77="Yes",0,(Y77+D72)),"Succeeded","Failed"))))</f>
        <v xml:space="preserve"> </v>
      </c>
      <c r="AB77" s="477" t="str">
        <f>IF(AA77=" "," ",IF(NOT(ISBLANK(X77)),VLOOKUP($D$3+X77,Calcs!$A$110:$C$122,3,TRUE),IF(AA77="Failed",VLOOKUP($D$3,Calcs!$A$110:$C$122,3,TRUE),VLOOKUP($D$3-(IF((Character!$B$9+W77)&gt;($D$3+Y77),(Character!$B$9+W77)-($D$3+Y77),0)),Calcs!$A$110:$C$122,3,TRUE))))</f>
        <v xml:space="preserve"> </v>
      </c>
      <c r="AC77" s="489"/>
      <c r="AD77" s="489" t="str">
        <f>IF(IF(AA77=" "," ",IF(NOT(ISBLANK(X77)),VLOOKUP($D$3+X77,Calcs!$A$110:$B$122,2,TRUE),IF(AA77="Failed",VLOOKUP($D$3,Calcs!$A$110:$B$122,2,TRUE),VLOOKUP($D$3-(IF((Character!$B$9+W77)&gt;($D$3+Y77),(Character!$B$9+W77)-($D$3+Y77),0)),Calcs!$A$110:$B$122,2,TRUE))))=Calcs!$B$120,IF(ISBLANK(AC77)," ",CONCATENATE(AC77+7," Years")),IF(AA77=" "," ",IF(NOT(ISBLANK(X77)),VLOOKUP($D$3+X77,Calcs!$A$110:$B$122,2,TRUE),IF(AA77="Failed",VLOOKUP($D$3,Calcs!$A$110:$B$122,2,TRUE),VLOOKUP($D$3-(IF((Character!$B$9+W77)&gt;($D$3+Y77),(Character!$B$9+W77)-($D$3+Y77),0)),Calcs!$A$110:$B$122,2,TRUE)))))</f>
        <v xml:space="preserve"> </v>
      </c>
      <c r="AE77" s="490"/>
      <c r="AF77" s="879"/>
      <c r="AG77" s="491"/>
    </row>
    <row r="78" spans="1:33" x14ac:dyDescent="0.2">
      <c r="A78" s="415">
        <f t="shared" si="0"/>
        <v>1229</v>
      </c>
      <c r="B78" s="419" t="str">
        <f t="shared" si="1"/>
        <v>Summer</v>
      </c>
      <c r="C78" s="455"/>
      <c r="D78" s="504"/>
      <c r="E78" s="455"/>
      <c r="F78" s="504"/>
      <c r="G78" s="455"/>
      <c r="H78" s="504"/>
      <c r="I78" s="455"/>
      <c r="J78" s="504"/>
      <c r="L78" s="472"/>
      <c r="M78" s="468"/>
      <c r="N78" s="468"/>
      <c r="O78" s="468"/>
      <c r="P78" s="468"/>
      <c r="Q78" s="473"/>
      <c r="R78" s="477" t="str">
        <f>IF(AND(COUNTIF('Start Character'!$I$63:$M$77,"Twilight Prone")=1,NOT(ISERROR(FIND("Magical Botch",M78)))),"Yes",IF(P78&gt;1,"Yes","No"))</f>
        <v>No</v>
      </c>
      <c r="S78" s="501"/>
      <c r="T78" s="478"/>
      <c r="U78" s="501"/>
      <c r="V78" s="479" t="str">
        <f>IF(R78="No","No Twilight",IF(T78="Yes","Uncomprehended Twilight",IF((Character!$B$14+IF(Character!$B$53="Yes",0,Character!$B$53)+IF(Magic!$C$5="Yes",2,0)+ROUNDUP((Magic!$B$30+IF(Magic!$C$30="Yes",3,0))/5,0)+S78)&gt;=($D$3+P78+SUMIF(Character!$I$62:$I$66,"Enigmatic Wisdom",Character!$J$62:$J$66)+Q78+U78),"No Twilight","Twilight")))</f>
        <v>No Twilight</v>
      </c>
      <c r="W78" s="483"/>
      <c r="X78" s="478"/>
      <c r="Y78" s="484"/>
      <c r="Z78" s="478"/>
      <c r="AA78" s="485" t="str">
        <f>IF(V78="Uncomprehended Twilight","Failed",IF(OR(ISBLANK(W78),ISBLANK(Y78))," ",IF(NOT(ISBLANK(X78)),"Failed",IF((W78+Character!$B$9+SUMIF(Character!$I$62:$I$66,"Enigmatic Wisdom",Character!$J$62:$J$66))&gt;=IF(Z78="Yes",0,(Y78+D73)),"Succeeded","Failed"))))</f>
        <v xml:space="preserve"> </v>
      </c>
      <c r="AB78" s="477" t="str">
        <f>IF(AA78=" "," ",IF(NOT(ISBLANK(X78)),VLOOKUP($D$3+X78,Calcs!$A$110:$C$122,3,TRUE),IF(AA78="Failed",VLOOKUP($D$3,Calcs!$A$110:$C$122,3,TRUE),VLOOKUP($D$3-(IF((Character!$B$9+W78)&gt;($D$3+Y78),(Character!$B$9+W78)-($D$3+Y78),0)),Calcs!$A$110:$C$122,3,TRUE))))</f>
        <v xml:space="preserve"> </v>
      </c>
      <c r="AC78" s="489"/>
      <c r="AD78" s="489" t="str">
        <f>IF(IF(AA78=" "," ",IF(NOT(ISBLANK(X78)),VLOOKUP($D$3+X78,Calcs!$A$110:$B$122,2,TRUE),IF(AA78="Failed",VLOOKUP($D$3,Calcs!$A$110:$B$122,2,TRUE),VLOOKUP($D$3-(IF((Character!$B$9+W78)&gt;($D$3+Y78),(Character!$B$9+W78)-($D$3+Y78),0)),Calcs!$A$110:$B$122,2,TRUE))))=Calcs!$B$120,IF(ISBLANK(AC78)," ",CONCATENATE(AC78+7," Years")),IF(AA78=" "," ",IF(NOT(ISBLANK(X78)),VLOOKUP($D$3+X78,Calcs!$A$110:$B$122,2,TRUE),IF(AA78="Failed",VLOOKUP($D$3,Calcs!$A$110:$B$122,2,TRUE),VLOOKUP($D$3-(IF((Character!$B$9+W78)&gt;($D$3+Y78),(Character!$B$9+W78)-($D$3+Y78),0)),Calcs!$A$110:$B$122,2,TRUE)))))</f>
        <v xml:space="preserve"> </v>
      </c>
      <c r="AE78" s="490"/>
      <c r="AF78" s="879"/>
      <c r="AG78" s="491"/>
    </row>
    <row r="79" spans="1:33" x14ac:dyDescent="0.2">
      <c r="A79" s="415">
        <f t="shared" si="0"/>
        <v>1229</v>
      </c>
      <c r="B79" s="419" t="str">
        <f t="shared" si="1"/>
        <v>Autumn</v>
      </c>
      <c r="C79" s="455"/>
      <c r="D79" s="504"/>
      <c r="E79" s="455"/>
      <c r="F79" s="504"/>
      <c r="G79" s="455"/>
      <c r="H79" s="504"/>
      <c r="I79" s="455"/>
      <c r="J79" s="504"/>
      <c r="L79" s="472"/>
      <c r="M79" s="468"/>
      <c r="N79" s="468"/>
      <c r="O79" s="468"/>
      <c r="P79" s="468"/>
      <c r="Q79" s="473"/>
      <c r="R79" s="477" t="str">
        <f>IF(AND(COUNTIF('Start Character'!$I$63:$M$77,"Twilight Prone")=1,NOT(ISERROR(FIND("Magical Botch",M79)))),"Yes",IF(P79&gt;1,"Yes","No"))</f>
        <v>No</v>
      </c>
      <c r="S79" s="501"/>
      <c r="T79" s="478"/>
      <c r="U79" s="501"/>
      <c r="V79" s="479" t="str">
        <f>IF(R79="No","No Twilight",IF(T79="Yes","Uncomprehended Twilight",IF((Character!$B$14+IF(Character!$B$53="Yes",0,Character!$B$53)+IF(Magic!$C$5="Yes",2,0)+ROUNDUP((Magic!$B$30+IF(Magic!$C$30="Yes",3,0))/5,0)+S79)&gt;=($D$3+P79+SUMIF(Character!$I$62:$I$66,"Enigmatic Wisdom",Character!$J$62:$J$66)+Q79+U79),"No Twilight","Twilight")))</f>
        <v>No Twilight</v>
      </c>
      <c r="W79" s="483"/>
      <c r="X79" s="478"/>
      <c r="Y79" s="484"/>
      <c r="Z79" s="478"/>
      <c r="AA79" s="485" t="str">
        <f>IF(V79="Uncomprehended Twilight","Failed",IF(OR(ISBLANK(W79),ISBLANK(Y79))," ",IF(NOT(ISBLANK(X79)),"Failed",IF((W79+Character!$B$9+SUMIF(Character!$I$62:$I$66,"Enigmatic Wisdom",Character!$J$62:$J$66))&gt;=IF(Z79="Yes",0,(Y79+D74)),"Succeeded","Failed"))))</f>
        <v xml:space="preserve"> </v>
      </c>
      <c r="AB79" s="477" t="str">
        <f>IF(AA79=" "," ",IF(NOT(ISBLANK(X79)),VLOOKUP($D$3+X79,Calcs!$A$110:$C$122,3,TRUE),IF(AA79="Failed",VLOOKUP($D$3,Calcs!$A$110:$C$122,3,TRUE),VLOOKUP($D$3-(IF((Character!$B$9+W79)&gt;($D$3+Y79),(Character!$B$9+W79)-($D$3+Y79),0)),Calcs!$A$110:$C$122,3,TRUE))))</f>
        <v xml:space="preserve"> </v>
      </c>
      <c r="AC79" s="489"/>
      <c r="AD79" s="489" t="str">
        <f>IF(IF(AA79=" "," ",IF(NOT(ISBLANK(X79)),VLOOKUP($D$3+X79,Calcs!$A$110:$B$122,2,TRUE),IF(AA79="Failed",VLOOKUP($D$3,Calcs!$A$110:$B$122,2,TRUE),VLOOKUP($D$3-(IF((Character!$B$9+W79)&gt;($D$3+Y79),(Character!$B$9+W79)-($D$3+Y79),0)),Calcs!$A$110:$B$122,2,TRUE))))=Calcs!$B$120,IF(ISBLANK(AC79)," ",CONCATENATE(AC79+7," Years")),IF(AA79=" "," ",IF(NOT(ISBLANK(X79)),VLOOKUP($D$3+X79,Calcs!$A$110:$B$122,2,TRUE),IF(AA79="Failed",VLOOKUP($D$3,Calcs!$A$110:$B$122,2,TRUE),VLOOKUP($D$3-(IF((Character!$B$9+W79)&gt;($D$3+Y79),(Character!$B$9+W79)-($D$3+Y79),0)),Calcs!$A$110:$B$122,2,TRUE)))))</f>
        <v xml:space="preserve"> </v>
      </c>
      <c r="AE79" s="490"/>
      <c r="AF79" s="879"/>
      <c r="AG79" s="491"/>
    </row>
    <row r="80" spans="1:33" x14ac:dyDescent="0.2">
      <c r="A80" s="415">
        <f t="shared" si="0"/>
        <v>1230</v>
      </c>
      <c r="B80" s="419" t="str">
        <f t="shared" si="1"/>
        <v>Winter</v>
      </c>
      <c r="C80" s="455"/>
      <c r="D80" s="504"/>
      <c r="E80" s="455"/>
      <c r="F80" s="504"/>
      <c r="G80" s="455"/>
      <c r="H80" s="504"/>
      <c r="I80" s="455"/>
      <c r="J80" s="504"/>
      <c r="L80" s="472"/>
      <c r="M80" s="468"/>
      <c r="N80" s="468"/>
      <c r="O80" s="468"/>
      <c r="P80" s="468"/>
      <c r="Q80" s="473"/>
      <c r="R80" s="477" t="str">
        <f>IF(AND(COUNTIF('Start Character'!$I$63:$M$77,"Twilight Prone")=1,NOT(ISERROR(FIND("Magical Botch",M80)))),"Yes",IF(P80&gt;1,"Yes","No"))</f>
        <v>No</v>
      </c>
      <c r="S80" s="501"/>
      <c r="T80" s="478"/>
      <c r="U80" s="501"/>
      <c r="V80" s="479" t="str">
        <f>IF(R80="No","No Twilight",IF(T80="Yes","Uncomprehended Twilight",IF((Character!$B$14+IF(Character!$B$53="Yes",0,Character!$B$53)+IF(Magic!$C$5="Yes",2,0)+ROUNDUP((Magic!$B$30+IF(Magic!$C$30="Yes",3,0))/5,0)+S80)&gt;=($D$3+P80+SUMIF(Character!$I$62:$I$66,"Enigmatic Wisdom",Character!$J$62:$J$66)+Q80+U80),"No Twilight","Twilight")))</f>
        <v>No Twilight</v>
      </c>
      <c r="W80" s="483"/>
      <c r="X80" s="478"/>
      <c r="Y80" s="484"/>
      <c r="Z80" s="478"/>
      <c r="AA80" s="485" t="str">
        <f>IF(V80="Uncomprehended Twilight","Failed",IF(OR(ISBLANK(W80),ISBLANK(Y80))," ",IF(NOT(ISBLANK(X80)),"Failed",IF((W80+Character!$B$9+SUMIF(Character!$I$62:$I$66,"Enigmatic Wisdom",Character!$J$62:$J$66))&gt;=IF(Z80="Yes",0,(Y80+D75)),"Succeeded","Failed"))))</f>
        <v xml:space="preserve"> </v>
      </c>
      <c r="AB80" s="477" t="str">
        <f>IF(AA80=" "," ",IF(NOT(ISBLANK(X80)),VLOOKUP($D$3+X80,Calcs!$A$110:$C$122,3,TRUE),IF(AA80="Failed",VLOOKUP($D$3,Calcs!$A$110:$C$122,3,TRUE),VLOOKUP($D$3-(IF((Character!$B$9+W80)&gt;($D$3+Y80),(Character!$B$9+W80)-($D$3+Y80),0)),Calcs!$A$110:$C$122,3,TRUE))))</f>
        <v xml:space="preserve"> </v>
      </c>
      <c r="AC80" s="489"/>
      <c r="AD80" s="489" t="str">
        <f>IF(IF(AA80=" "," ",IF(NOT(ISBLANK(X80)),VLOOKUP($D$3+X80,Calcs!$A$110:$B$122,2,TRUE),IF(AA80="Failed",VLOOKUP($D$3,Calcs!$A$110:$B$122,2,TRUE),VLOOKUP($D$3-(IF((Character!$B$9+W80)&gt;($D$3+Y80),(Character!$B$9+W80)-($D$3+Y80),0)),Calcs!$A$110:$B$122,2,TRUE))))=Calcs!$B$120,IF(ISBLANK(AC80)," ",CONCATENATE(AC80+7," Years")),IF(AA80=" "," ",IF(NOT(ISBLANK(X80)),VLOOKUP($D$3+X80,Calcs!$A$110:$B$122,2,TRUE),IF(AA80="Failed",VLOOKUP($D$3,Calcs!$A$110:$B$122,2,TRUE),VLOOKUP($D$3-(IF((Character!$B$9+W80)&gt;($D$3+Y80),(Character!$B$9+W80)-($D$3+Y80),0)),Calcs!$A$110:$B$122,2,TRUE)))))</f>
        <v xml:space="preserve"> </v>
      </c>
      <c r="AE80" s="490"/>
      <c r="AF80" s="879"/>
      <c r="AG80" s="491"/>
    </row>
    <row r="81" spans="1:33" x14ac:dyDescent="0.2">
      <c r="A81" s="415">
        <f t="shared" si="0"/>
        <v>1230</v>
      </c>
      <c r="B81" s="419" t="str">
        <f t="shared" si="1"/>
        <v>Spring</v>
      </c>
      <c r="C81" s="455"/>
      <c r="D81" s="504"/>
      <c r="E81" s="455"/>
      <c r="F81" s="504"/>
      <c r="G81" s="455"/>
      <c r="H81" s="504"/>
      <c r="I81" s="455"/>
      <c r="J81" s="504"/>
      <c r="L81" s="472"/>
      <c r="M81" s="468"/>
      <c r="N81" s="468"/>
      <c r="O81" s="468"/>
      <c r="P81" s="468"/>
      <c r="Q81" s="473"/>
      <c r="R81" s="477" t="str">
        <f>IF(AND(COUNTIF('Start Character'!$I$63:$M$77,"Twilight Prone")=1,NOT(ISERROR(FIND("Magical Botch",M81)))),"Yes",IF(P81&gt;1,"Yes","No"))</f>
        <v>No</v>
      </c>
      <c r="S81" s="501"/>
      <c r="T81" s="478"/>
      <c r="U81" s="501"/>
      <c r="V81" s="479" t="str">
        <f>IF(R81="No","No Twilight",IF(T81="Yes","Uncomprehended Twilight",IF((Character!$B$14+IF(Character!$B$53="Yes",0,Character!$B$53)+IF(Magic!$C$5="Yes",2,0)+ROUNDUP((Magic!$B$30+IF(Magic!$C$30="Yes",3,0))/5,0)+S81)&gt;=($D$3+P81+SUMIF(Character!$I$62:$I$66,"Enigmatic Wisdom",Character!$J$62:$J$66)+Q81+U81),"No Twilight","Twilight")))</f>
        <v>No Twilight</v>
      </c>
      <c r="W81" s="483"/>
      <c r="X81" s="478"/>
      <c r="Y81" s="484"/>
      <c r="Z81" s="478"/>
      <c r="AA81" s="485" t="str">
        <f>IF(V81="Uncomprehended Twilight","Failed",IF(OR(ISBLANK(W81),ISBLANK(Y81))," ",IF(NOT(ISBLANK(X81)),"Failed",IF((W81+Character!$B$9+SUMIF(Character!$I$62:$I$66,"Enigmatic Wisdom",Character!$J$62:$J$66))&gt;=IF(Z81="Yes",0,(Y81+D76)),"Succeeded","Failed"))))</f>
        <v xml:space="preserve"> </v>
      </c>
      <c r="AB81" s="477" t="str">
        <f>IF(AA81=" "," ",IF(NOT(ISBLANK(X81)),VLOOKUP($D$3+X81,Calcs!$A$110:$C$122,3,TRUE),IF(AA81="Failed",VLOOKUP($D$3,Calcs!$A$110:$C$122,3,TRUE),VLOOKUP($D$3-(IF((Character!$B$9+W81)&gt;($D$3+Y81),(Character!$B$9+W81)-($D$3+Y81),0)),Calcs!$A$110:$C$122,3,TRUE))))</f>
        <v xml:space="preserve"> </v>
      </c>
      <c r="AC81" s="489"/>
      <c r="AD81" s="489" t="str">
        <f>IF(IF(AA81=" "," ",IF(NOT(ISBLANK(X81)),VLOOKUP($D$3+X81,Calcs!$A$110:$B$122,2,TRUE),IF(AA81="Failed",VLOOKUP($D$3,Calcs!$A$110:$B$122,2,TRUE),VLOOKUP($D$3-(IF((Character!$B$9+W81)&gt;($D$3+Y81),(Character!$B$9+W81)-($D$3+Y81),0)),Calcs!$A$110:$B$122,2,TRUE))))=Calcs!$B$120,IF(ISBLANK(AC81)," ",CONCATENATE(AC81+7," Years")),IF(AA81=" "," ",IF(NOT(ISBLANK(X81)),VLOOKUP($D$3+X81,Calcs!$A$110:$B$122,2,TRUE),IF(AA81="Failed",VLOOKUP($D$3,Calcs!$A$110:$B$122,2,TRUE),VLOOKUP($D$3-(IF((Character!$B$9+W81)&gt;($D$3+Y81),(Character!$B$9+W81)-($D$3+Y81),0)),Calcs!$A$110:$B$122,2,TRUE)))))</f>
        <v xml:space="preserve"> </v>
      </c>
      <c r="AE81" s="490"/>
      <c r="AF81" s="879"/>
      <c r="AG81" s="491"/>
    </row>
    <row r="82" spans="1:33" x14ac:dyDescent="0.2">
      <c r="A82" s="415">
        <f t="shared" si="0"/>
        <v>1230</v>
      </c>
      <c r="B82" s="419" t="str">
        <f t="shared" si="1"/>
        <v>Summer</v>
      </c>
      <c r="C82" s="455"/>
      <c r="D82" s="504"/>
      <c r="E82" s="455"/>
      <c r="F82" s="504"/>
      <c r="G82" s="455"/>
      <c r="H82" s="504"/>
      <c r="I82" s="455"/>
      <c r="J82" s="504"/>
      <c r="L82" s="472"/>
      <c r="M82" s="468"/>
      <c r="N82" s="468"/>
      <c r="O82" s="468"/>
      <c r="P82" s="468"/>
      <c r="Q82" s="473"/>
      <c r="R82" s="477" t="str">
        <f>IF(AND(COUNTIF('Start Character'!$I$63:$M$77,"Twilight Prone")=1,NOT(ISERROR(FIND("Magical Botch",M82)))),"Yes",IF(P82&gt;1,"Yes","No"))</f>
        <v>No</v>
      </c>
      <c r="S82" s="501"/>
      <c r="T82" s="478"/>
      <c r="U82" s="501"/>
      <c r="V82" s="479" t="str">
        <f>IF(R82="No","No Twilight",IF(T82="Yes","Uncomprehended Twilight",IF((Character!$B$14+IF(Character!$B$53="Yes",0,Character!$B$53)+IF(Magic!$C$5="Yes",2,0)+ROUNDUP((Magic!$B$30+IF(Magic!$C$30="Yes",3,0))/5,0)+S82)&gt;=($D$3+P82+SUMIF(Character!$I$62:$I$66,"Enigmatic Wisdom",Character!$J$62:$J$66)+Q82+U82),"No Twilight","Twilight")))</f>
        <v>No Twilight</v>
      </c>
      <c r="W82" s="483"/>
      <c r="X82" s="478"/>
      <c r="Y82" s="484"/>
      <c r="Z82" s="478"/>
      <c r="AA82" s="485" t="str">
        <f>IF(V82="Uncomprehended Twilight","Failed",IF(OR(ISBLANK(W82),ISBLANK(Y82))," ",IF(NOT(ISBLANK(X82)),"Failed",IF((W82+Character!$B$9+SUMIF(Character!$I$62:$I$66,"Enigmatic Wisdom",Character!$J$62:$J$66))&gt;=IF(Z82="Yes",0,(Y82+D77)),"Succeeded","Failed"))))</f>
        <v xml:space="preserve"> </v>
      </c>
      <c r="AB82" s="477" t="str">
        <f>IF(AA82=" "," ",IF(NOT(ISBLANK(X82)),VLOOKUP($D$3+X82,Calcs!$A$110:$C$122,3,TRUE),IF(AA82="Failed",VLOOKUP($D$3,Calcs!$A$110:$C$122,3,TRUE),VLOOKUP($D$3-(IF((Character!$B$9+W82)&gt;($D$3+Y82),(Character!$B$9+W82)-($D$3+Y82),0)),Calcs!$A$110:$C$122,3,TRUE))))</f>
        <v xml:space="preserve"> </v>
      </c>
      <c r="AC82" s="489"/>
      <c r="AD82" s="489" t="str">
        <f>IF(IF(AA82=" "," ",IF(NOT(ISBLANK(X82)),VLOOKUP($D$3+X82,Calcs!$A$110:$B$122,2,TRUE),IF(AA82="Failed",VLOOKUP($D$3,Calcs!$A$110:$B$122,2,TRUE),VLOOKUP($D$3-(IF((Character!$B$9+W82)&gt;($D$3+Y82),(Character!$B$9+W82)-($D$3+Y82),0)),Calcs!$A$110:$B$122,2,TRUE))))=Calcs!$B$120,IF(ISBLANK(AC82)," ",CONCATENATE(AC82+7," Years")),IF(AA82=" "," ",IF(NOT(ISBLANK(X82)),VLOOKUP($D$3+X82,Calcs!$A$110:$B$122,2,TRUE),IF(AA82="Failed",VLOOKUP($D$3,Calcs!$A$110:$B$122,2,TRUE),VLOOKUP($D$3-(IF((Character!$B$9+W82)&gt;($D$3+Y82),(Character!$B$9+W82)-($D$3+Y82),0)),Calcs!$A$110:$B$122,2,TRUE)))))</f>
        <v xml:space="preserve"> </v>
      </c>
      <c r="AE82" s="490"/>
      <c r="AF82" s="879"/>
      <c r="AG82" s="491"/>
    </row>
    <row r="83" spans="1:33" x14ac:dyDescent="0.2">
      <c r="A83" s="415">
        <f t="shared" si="0"/>
        <v>1230</v>
      </c>
      <c r="B83" s="419" t="str">
        <f t="shared" si="1"/>
        <v>Autumn</v>
      </c>
      <c r="C83" s="455"/>
      <c r="D83" s="504"/>
      <c r="E83" s="455"/>
      <c r="F83" s="504"/>
      <c r="G83" s="455"/>
      <c r="H83" s="504"/>
      <c r="I83" s="455"/>
      <c r="J83" s="504"/>
      <c r="L83" s="472"/>
      <c r="M83" s="468"/>
      <c r="N83" s="468"/>
      <c r="O83" s="468"/>
      <c r="P83" s="468"/>
      <c r="Q83" s="473"/>
      <c r="R83" s="477" t="str">
        <f>IF(AND(COUNTIF('Start Character'!$I$63:$M$77,"Twilight Prone")=1,NOT(ISERROR(FIND("Magical Botch",M83)))),"Yes",IF(P83&gt;1,"Yes","No"))</f>
        <v>No</v>
      </c>
      <c r="S83" s="501"/>
      <c r="T83" s="478"/>
      <c r="U83" s="501"/>
      <c r="V83" s="479" t="str">
        <f>IF(R83="No","No Twilight",IF(T83="Yes","Uncomprehended Twilight",IF((Character!$B$14+IF(Character!$B$53="Yes",0,Character!$B$53)+IF(Magic!$C$5="Yes",2,0)+ROUNDUP((Magic!$B$30+IF(Magic!$C$30="Yes",3,0))/5,0)+S83)&gt;=($D$3+P83+SUMIF(Character!$I$62:$I$66,"Enigmatic Wisdom",Character!$J$62:$J$66)+Q83+U83),"No Twilight","Twilight")))</f>
        <v>No Twilight</v>
      </c>
      <c r="W83" s="483"/>
      <c r="X83" s="478"/>
      <c r="Y83" s="484"/>
      <c r="Z83" s="478"/>
      <c r="AA83" s="485" t="str">
        <f>IF(V83="Uncomprehended Twilight","Failed",IF(OR(ISBLANK(W83),ISBLANK(Y83))," ",IF(NOT(ISBLANK(X83)),"Failed",IF((W83+Character!$B$9+SUMIF(Character!$I$62:$I$66,"Enigmatic Wisdom",Character!$J$62:$J$66))&gt;=IF(Z83="Yes",0,(Y83+D78)),"Succeeded","Failed"))))</f>
        <v xml:space="preserve"> </v>
      </c>
      <c r="AB83" s="477" t="str">
        <f>IF(AA83=" "," ",IF(NOT(ISBLANK(X83)),VLOOKUP($D$3+X83,Calcs!$A$110:$C$122,3,TRUE),IF(AA83="Failed",VLOOKUP($D$3,Calcs!$A$110:$C$122,3,TRUE),VLOOKUP($D$3-(IF((Character!$B$9+W83)&gt;($D$3+Y83),(Character!$B$9+W83)-($D$3+Y83),0)),Calcs!$A$110:$C$122,3,TRUE))))</f>
        <v xml:space="preserve"> </v>
      </c>
      <c r="AC83" s="489"/>
      <c r="AD83" s="489" t="str">
        <f>IF(IF(AA83=" "," ",IF(NOT(ISBLANK(X83)),VLOOKUP($D$3+X83,Calcs!$A$110:$B$122,2,TRUE),IF(AA83="Failed",VLOOKUP($D$3,Calcs!$A$110:$B$122,2,TRUE),VLOOKUP($D$3-(IF((Character!$B$9+W83)&gt;($D$3+Y83),(Character!$B$9+W83)-($D$3+Y83),0)),Calcs!$A$110:$B$122,2,TRUE))))=Calcs!$B$120,IF(ISBLANK(AC83)," ",CONCATENATE(AC83+7," Years")),IF(AA83=" "," ",IF(NOT(ISBLANK(X83)),VLOOKUP($D$3+X83,Calcs!$A$110:$B$122,2,TRUE),IF(AA83="Failed",VLOOKUP($D$3,Calcs!$A$110:$B$122,2,TRUE),VLOOKUP($D$3-(IF((Character!$B$9+W83)&gt;($D$3+Y83),(Character!$B$9+W83)-($D$3+Y83),0)),Calcs!$A$110:$B$122,2,TRUE)))))</f>
        <v xml:space="preserve"> </v>
      </c>
      <c r="AE83" s="490"/>
      <c r="AF83" s="879"/>
      <c r="AG83" s="491"/>
    </row>
    <row r="84" spans="1:33" x14ac:dyDescent="0.2">
      <c r="A84" s="415">
        <f t="shared" si="0"/>
        <v>1231</v>
      </c>
      <c r="B84" s="419" t="str">
        <f t="shared" si="1"/>
        <v>Winter</v>
      </c>
      <c r="C84" s="455"/>
      <c r="D84" s="504"/>
      <c r="E84" s="455"/>
      <c r="F84" s="504"/>
      <c r="G84" s="455"/>
      <c r="H84" s="504"/>
      <c r="I84" s="455"/>
      <c r="J84" s="504"/>
      <c r="L84" s="472"/>
      <c r="M84" s="468"/>
      <c r="N84" s="468"/>
      <c r="O84" s="468"/>
      <c r="P84" s="468"/>
      <c r="Q84" s="473"/>
      <c r="R84" s="477" t="str">
        <f>IF(AND(COUNTIF('Start Character'!$I$63:$M$77,"Twilight Prone")=1,NOT(ISERROR(FIND("Magical Botch",M84)))),"Yes",IF(P84&gt;1,"Yes","No"))</f>
        <v>No</v>
      </c>
      <c r="S84" s="501"/>
      <c r="T84" s="478"/>
      <c r="U84" s="501"/>
      <c r="V84" s="479" t="str">
        <f>IF(R84="No","No Twilight",IF(T84="Yes","Uncomprehended Twilight",IF((Character!$B$14+IF(Character!$B$53="Yes",0,Character!$B$53)+IF(Magic!$C$5="Yes",2,0)+ROUNDUP((Magic!$B$30+IF(Magic!$C$30="Yes",3,0))/5,0)+S84)&gt;=($D$3+P84+SUMIF(Character!$I$62:$I$66,"Enigmatic Wisdom",Character!$J$62:$J$66)+Q84+U84),"No Twilight","Twilight")))</f>
        <v>No Twilight</v>
      </c>
      <c r="W84" s="483"/>
      <c r="X84" s="478"/>
      <c r="Y84" s="484"/>
      <c r="Z84" s="478"/>
      <c r="AA84" s="485" t="str">
        <f>IF(V84="Uncomprehended Twilight","Failed",IF(OR(ISBLANK(W84),ISBLANK(Y84))," ",IF(NOT(ISBLANK(X84)),"Failed",IF((W84+Character!$B$9+SUMIF(Character!$I$62:$I$66,"Enigmatic Wisdom",Character!$J$62:$J$66))&gt;=IF(Z84="Yes",0,(Y84+D79)),"Succeeded","Failed"))))</f>
        <v xml:space="preserve"> </v>
      </c>
      <c r="AB84" s="477" t="str">
        <f>IF(AA84=" "," ",IF(NOT(ISBLANK(X84)),VLOOKUP($D$3+X84,Calcs!$A$110:$C$122,3,TRUE),IF(AA84="Failed",VLOOKUP($D$3,Calcs!$A$110:$C$122,3,TRUE),VLOOKUP($D$3-(IF((Character!$B$9+W84)&gt;($D$3+Y84),(Character!$B$9+W84)-($D$3+Y84),0)),Calcs!$A$110:$C$122,3,TRUE))))</f>
        <v xml:space="preserve"> </v>
      </c>
      <c r="AC84" s="489"/>
      <c r="AD84" s="489" t="str">
        <f>IF(IF(AA84=" "," ",IF(NOT(ISBLANK(X84)),VLOOKUP($D$3+X84,Calcs!$A$110:$B$122,2,TRUE),IF(AA84="Failed",VLOOKUP($D$3,Calcs!$A$110:$B$122,2,TRUE),VLOOKUP($D$3-(IF((Character!$B$9+W84)&gt;($D$3+Y84),(Character!$B$9+W84)-($D$3+Y84),0)),Calcs!$A$110:$B$122,2,TRUE))))=Calcs!$B$120,IF(ISBLANK(AC84)," ",CONCATENATE(AC84+7," Years")),IF(AA84=" "," ",IF(NOT(ISBLANK(X84)),VLOOKUP($D$3+X84,Calcs!$A$110:$B$122,2,TRUE),IF(AA84="Failed",VLOOKUP($D$3,Calcs!$A$110:$B$122,2,TRUE),VLOOKUP($D$3-(IF((Character!$B$9+W84)&gt;($D$3+Y84),(Character!$B$9+W84)-($D$3+Y84),0)),Calcs!$A$110:$B$122,2,TRUE)))))</f>
        <v xml:space="preserve"> </v>
      </c>
      <c r="AE84" s="490"/>
      <c r="AF84" s="879"/>
      <c r="AG84" s="491"/>
    </row>
    <row r="85" spans="1:33" x14ac:dyDescent="0.2">
      <c r="A85" s="415">
        <f t="shared" si="0"/>
        <v>1231</v>
      </c>
      <c r="B85" s="419" t="str">
        <f t="shared" si="1"/>
        <v>Spring</v>
      </c>
      <c r="C85" s="455"/>
      <c r="D85" s="504"/>
      <c r="E85" s="455"/>
      <c r="F85" s="504"/>
      <c r="G85" s="455"/>
      <c r="H85" s="504"/>
      <c r="I85" s="455"/>
      <c r="J85" s="504"/>
      <c r="L85" s="472"/>
      <c r="M85" s="468"/>
      <c r="N85" s="468"/>
      <c r="O85" s="468"/>
      <c r="P85" s="468"/>
      <c r="Q85" s="473"/>
      <c r="R85" s="477" t="str">
        <f>IF(AND(COUNTIF('Start Character'!$I$63:$M$77,"Twilight Prone")=1,NOT(ISERROR(FIND("Magical Botch",M85)))),"Yes",IF(P85&gt;1,"Yes","No"))</f>
        <v>No</v>
      </c>
      <c r="S85" s="501"/>
      <c r="T85" s="478"/>
      <c r="U85" s="501"/>
      <c r="V85" s="479" t="str">
        <f>IF(R85="No","No Twilight",IF(T85="Yes","Uncomprehended Twilight",IF((Character!$B$14+IF(Character!$B$53="Yes",0,Character!$B$53)+IF(Magic!$C$5="Yes",2,0)+ROUNDUP((Magic!$B$30+IF(Magic!$C$30="Yes",3,0))/5,0)+S85)&gt;=($D$3+P85+SUMIF(Character!$I$62:$I$66,"Enigmatic Wisdom",Character!$J$62:$J$66)+Q85+U85),"No Twilight","Twilight")))</f>
        <v>No Twilight</v>
      </c>
      <c r="W85" s="483"/>
      <c r="X85" s="478"/>
      <c r="Y85" s="484"/>
      <c r="Z85" s="478"/>
      <c r="AA85" s="485" t="str">
        <f>IF(V85="Uncomprehended Twilight","Failed",IF(OR(ISBLANK(W85),ISBLANK(Y85))," ",IF(NOT(ISBLANK(X85)),"Failed",IF((W85+Character!$B$9+SUMIF(Character!$I$62:$I$66,"Enigmatic Wisdom",Character!$J$62:$J$66))&gt;=IF(Z85="Yes",0,(Y85+D80)),"Succeeded","Failed"))))</f>
        <v xml:space="preserve"> </v>
      </c>
      <c r="AB85" s="477" t="str">
        <f>IF(AA85=" "," ",IF(NOT(ISBLANK(X85)),VLOOKUP($D$3+X85,Calcs!$A$110:$C$122,3,TRUE),IF(AA85="Failed",VLOOKUP($D$3,Calcs!$A$110:$C$122,3,TRUE),VLOOKUP($D$3-(IF((Character!$B$9+W85)&gt;($D$3+Y85),(Character!$B$9+W85)-($D$3+Y85),0)),Calcs!$A$110:$C$122,3,TRUE))))</f>
        <v xml:space="preserve"> </v>
      </c>
      <c r="AC85" s="489"/>
      <c r="AD85" s="489" t="str">
        <f>IF(IF(AA85=" "," ",IF(NOT(ISBLANK(X85)),VLOOKUP($D$3+X85,Calcs!$A$110:$B$122,2,TRUE),IF(AA85="Failed",VLOOKUP($D$3,Calcs!$A$110:$B$122,2,TRUE),VLOOKUP($D$3-(IF((Character!$B$9+W85)&gt;($D$3+Y85),(Character!$B$9+W85)-($D$3+Y85),0)),Calcs!$A$110:$B$122,2,TRUE))))=Calcs!$B$120,IF(ISBLANK(AC85)," ",CONCATENATE(AC85+7," Years")),IF(AA85=" "," ",IF(NOT(ISBLANK(X85)),VLOOKUP($D$3+X85,Calcs!$A$110:$B$122,2,TRUE),IF(AA85="Failed",VLOOKUP($D$3,Calcs!$A$110:$B$122,2,TRUE),VLOOKUP($D$3-(IF((Character!$B$9+W85)&gt;($D$3+Y85),(Character!$B$9+W85)-($D$3+Y85),0)),Calcs!$A$110:$B$122,2,TRUE)))))</f>
        <v xml:space="preserve"> </v>
      </c>
      <c r="AE85" s="490"/>
      <c r="AF85" s="879"/>
      <c r="AG85" s="491"/>
    </row>
    <row r="86" spans="1:33" x14ac:dyDescent="0.2">
      <c r="A86" s="415">
        <f t="shared" si="0"/>
        <v>1231</v>
      </c>
      <c r="B86" s="419" t="str">
        <f t="shared" si="1"/>
        <v>Summer</v>
      </c>
      <c r="C86" s="455"/>
      <c r="D86" s="504"/>
      <c r="E86" s="455"/>
      <c r="F86" s="504"/>
      <c r="G86" s="455"/>
      <c r="H86" s="504"/>
      <c r="I86" s="455"/>
      <c r="J86" s="504"/>
      <c r="L86" s="472"/>
      <c r="M86" s="468"/>
      <c r="N86" s="468"/>
      <c r="O86" s="468"/>
      <c r="P86" s="468"/>
      <c r="Q86" s="473"/>
      <c r="R86" s="477" t="str">
        <f>IF(AND(COUNTIF('Start Character'!$I$63:$M$77,"Twilight Prone")=1,NOT(ISERROR(FIND("Magical Botch",M86)))),"Yes",IF(P86&gt;1,"Yes","No"))</f>
        <v>No</v>
      </c>
      <c r="S86" s="501"/>
      <c r="T86" s="478"/>
      <c r="U86" s="501"/>
      <c r="V86" s="479" t="str">
        <f>IF(R86="No","No Twilight",IF(T86="Yes","Uncomprehended Twilight",IF((Character!$B$14+IF(Character!$B$53="Yes",0,Character!$B$53)+IF(Magic!$C$5="Yes",2,0)+ROUNDUP((Magic!$B$30+IF(Magic!$C$30="Yes",3,0))/5,0)+S86)&gt;=($D$3+P86+SUMIF(Character!$I$62:$I$66,"Enigmatic Wisdom",Character!$J$62:$J$66)+Q86+U86),"No Twilight","Twilight")))</f>
        <v>No Twilight</v>
      </c>
      <c r="W86" s="483"/>
      <c r="X86" s="478"/>
      <c r="Y86" s="484"/>
      <c r="Z86" s="478"/>
      <c r="AA86" s="485" t="str">
        <f>IF(V86="Uncomprehended Twilight","Failed",IF(OR(ISBLANK(W86),ISBLANK(Y86))," ",IF(NOT(ISBLANK(X86)),"Failed",IF((W86+Character!$B$9+SUMIF(Character!$I$62:$I$66,"Enigmatic Wisdom",Character!$J$62:$J$66))&gt;=IF(Z86="Yes",0,(Y86+D81)),"Succeeded","Failed"))))</f>
        <v xml:space="preserve"> </v>
      </c>
      <c r="AB86" s="477" t="str">
        <f>IF(AA86=" "," ",IF(NOT(ISBLANK(X86)),VLOOKUP($D$3+X86,Calcs!$A$110:$C$122,3,TRUE),IF(AA86="Failed",VLOOKUP($D$3,Calcs!$A$110:$C$122,3,TRUE),VLOOKUP($D$3-(IF((Character!$B$9+W86)&gt;($D$3+Y86),(Character!$B$9+W86)-($D$3+Y86),0)),Calcs!$A$110:$C$122,3,TRUE))))</f>
        <v xml:space="preserve"> </v>
      </c>
      <c r="AC86" s="489"/>
      <c r="AD86" s="489" t="str">
        <f>IF(IF(AA86=" "," ",IF(NOT(ISBLANK(X86)),VLOOKUP($D$3+X86,Calcs!$A$110:$B$122,2,TRUE),IF(AA86="Failed",VLOOKUP($D$3,Calcs!$A$110:$B$122,2,TRUE),VLOOKUP($D$3-(IF((Character!$B$9+W86)&gt;($D$3+Y86),(Character!$B$9+W86)-($D$3+Y86),0)),Calcs!$A$110:$B$122,2,TRUE))))=Calcs!$B$120,IF(ISBLANK(AC86)," ",CONCATENATE(AC86+7," Years")),IF(AA86=" "," ",IF(NOT(ISBLANK(X86)),VLOOKUP($D$3+X86,Calcs!$A$110:$B$122,2,TRUE),IF(AA86="Failed",VLOOKUP($D$3,Calcs!$A$110:$B$122,2,TRUE),VLOOKUP($D$3-(IF((Character!$B$9+W86)&gt;($D$3+Y86),(Character!$B$9+W86)-($D$3+Y86),0)),Calcs!$A$110:$B$122,2,TRUE)))))</f>
        <v xml:space="preserve"> </v>
      </c>
      <c r="AE86" s="490"/>
      <c r="AF86" s="879"/>
      <c r="AG86" s="491"/>
    </row>
    <row r="87" spans="1:33" x14ac:dyDescent="0.2">
      <c r="A87" s="415">
        <f t="shared" si="0"/>
        <v>1231</v>
      </c>
      <c r="B87" s="419" t="str">
        <f t="shared" si="1"/>
        <v>Autumn</v>
      </c>
      <c r="C87" s="455"/>
      <c r="D87" s="504"/>
      <c r="E87" s="455"/>
      <c r="F87" s="504"/>
      <c r="G87" s="455"/>
      <c r="H87" s="504"/>
      <c r="I87" s="455"/>
      <c r="J87" s="504"/>
      <c r="L87" s="472"/>
      <c r="M87" s="468"/>
      <c r="N87" s="468"/>
      <c r="O87" s="468"/>
      <c r="P87" s="468"/>
      <c r="Q87" s="473"/>
      <c r="R87" s="477" t="str">
        <f>IF(AND(COUNTIF('Start Character'!$I$63:$M$77,"Twilight Prone")=1,NOT(ISERROR(FIND("Magical Botch",M87)))),"Yes",IF(P87&gt;1,"Yes","No"))</f>
        <v>No</v>
      </c>
      <c r="S87" s="501"/>
      <c r="T87" s="478"/>
      <c r="U87" s="501"/>
      <c r="V87" s="479" t="str">
        <f>IF(R87="No","No Twilight",IF(T87="Yes","Uncomprehended Twilight",IF((Character!$B$14+IF(Character!$B$53="Yes",0,Character!$B$53)+IF(Magic!$C$5="Yes",2,0)+ROUNDUP((Magic!$B$30+IF(Magic!$C$30="Yes",3,0))/5,0)+S87)&gt;=($D$3+P87+SUMIF(Character!$I$62:$I$66,"Enigmatic Wisdom",Character!$J$62:$J$66)+Q87+U87),"No Twilight","Twilight")))</f>
        <v>No Twilight</v>
      </c>
      <c r="W87" s="483"/>
      <c r="X87" s="478"/>
      <c r="Y87" s="484"/>
      <c r="Z87" s="478"/>
      <c r="AA87" s="485" t="str">
        <f>IF(V87="Uncomprehended Twilight","Failed",IF(OR(ISBLANK(W87),ISBLANK(Y87))," ",IF(NOT(ISBLANK(X87)),"Failed",IF((W87+Character!$B$9+SUMIF(Character!$I$62:$I$66,"Enigmatic Wisdom",Character!$J$62:$J$66))&gt;=IF(Z87="Yes",0,(Y87+D82)),"Succeeded","Failed"))))</f>
        <v xml:space="preserve"> </v>
      </c>
      <c r="AB87" s="477" t="str">
        <f>IF(AA87=" "," ",IF(NOT(ISBLANK(X87)),VLOOKUP($D$3+X87,Calcs!$A$110:$C$122,3,TRUE),IF(AA87="Failed",VLOOKUP($D$3,Calcs!$A$110:$C$122,3,TRUE),VLOOKUP($D$3-(IF((Character!$B$9+W87)&gt;($D$3+Y87),(Character!$B$9+W87)-($D$3+Y87),0)),Calcs!$A$110:$C$122,3,TRUE))))</f>
        <v xml:space="preserve"> </v>
      </c>
      <c r="AC87" s="489"/>
      <c r="AD87" s="489" t="str">
        <f>IF(IF(AA87=" "," ",IF(NOT(ISBLANK(X87)),VLOOKUP($D$3+X87,Calcs!$A$110:$B$122,2,TRUE),IF(AA87="Failed",VLOOKUP($D$3,Calcs!$A$110:$B$122,2,TRUE),VLOOKUP($D$3-(IF((Character!$B$9+W87)&gt;($D$3+Y87),(Character!$B$9+W87)-($D$3+Y87),0)),Calcs!$A$110:$B$122,2,TRUE))))=Calcs!$B$120,IF(ISBLANK(AC87)," ",CONCATENATE(AC87+7," Years")),IF(AA87=" "," ",IF(NOT(ISBLANK(X87)),VLOOKUP($D$3+X87,Calcs!$A$110:$B$122,2,TRUE),IF(AA87="Failed",VLOOKUP($D$3,Calcs!$A$110:$B$122,2,TRUE),VLOOKUP($D$3-(IF((Character!$B$9+W87)&gt;($D$3+Y87),(Character!$B$9+W87)-($D$3+Y87),0)),Calcs!$A$110:$B$122,2,TRUE)))))</f>
        <v xml:space="preserve"> </v>
      </c>
      <c r="AE87" s="490"/>
      <c r="AF87" s="879"/>
      <c r="AG87" s="491"/>
    </row>
    <row r="88" spans="1:33" x14ac:dyDescent="0.2">
      <c r="A88" s="415">
        <f t="shared" si="0"/>
        <v>1232</v>
      </c>
      <c r="B88" s="419" t="str">
        <f t="shared" si="1"/>
        <v>Winter</v>
      </c>
      <c r="C88" s="455"/>
      <c r="D88" s="504"/>
      <c r="E88" s="455"/>
      <c r="F88" s="504"/>
      <c r="G88" s="455"/>
      <c r="H88" s="504"/>
      <c r="I88" s="455"/>
      <c r="J88" s="504"/>
      <c r="L88" s="472"/>
      <c r="M88" s="468"/>
      <c r="N88" s="468"/>
      <c r="O88" s="468"/>
      <c r="P88" s="468"/>
      <c r="Q88" s="473"/>
      <c r="R88" s="477" t="str">
        <f>IF(AND(COUNTIF('Start Character'!$I$63:$M$77,"Twilight Prone")=1,NOT(ISERROR(FIND("Magical Botch",M88)))),"Yes",IF(P88&gt;1,"Yes","No"))</f>
        <v>No</v>
      </c>
      <c r="S88" s="501"/>
      <c r="T88" s="478"/>
      <c r="U88" s="501"/>
      <c r="V88" s="479" t="str">
        <f>IF(R88="No","No Twilight",IF(T88="Yes","Uncomprehended Twilight",IF((Character!$B$14+IF(Character!$B$53="Yes",0,Character!$B$53)+IF(Magic!$C$5="Yes",2,0)+ROUNDUP((Magic!$B$30+IF(Magic!$C$30="Yes",3,0))/5,0)+S88)&gt;=($D$3+P88+SUMIF(Character!$I$62:$I$66,"Enigmatic Wisdom",Character!$J$62:$J$66)+Q88+U88),"No Twilight","Twilight")))</f>
        <v>No Twilight</v>
      </c>
      <c r="W88" s="483"/>
      <c r="X88" s="478"/>
      <c r="Y88" s="484"/>
      <c r="Z88" s="478"/>
      <c r="AA88" s="485" t="str">
        <f>IF(V88="Uncomprehended Twilight","Failed",IF(OR(ISBLANK(W88),ISBLANK(Y88))," ",IF(NOT(ISBLANK(X88)),"Failed",IF((W88+Character!$B$9+SUMIF(Character!$I$62:$I$66,"Enigmatic Wisdom",Character!$J$62:$J$66))&gt;=IF(Z88="Yes",0,(Y88+D83)),"Succeeded","Failed"))))</f>
        <v xml:space="preserve"> </v>
      </c>
      <c r="AB88" s="477" t="str">
        <f>IF(AA88=" "," ",IF(NOT(ISBLANK(X88)),VLOOKUP($D$3+X88,Calcs!$A$110:$C$122,3,TRUE),IF(AA88="Failed",VLOOKUP($D$3,Calcs!$A$110:$C$122,3,TRUE),VLOOKUP($D$3-(IF((Character!$B$9+W88)&gt;($D$3+Y88),(Character!$B$9+W88)-($D$3+Y88),0)),Calcs!$A$110:$C$122,3,TRUE))))</f>
        <v xml:space="preserve"> </v>
      </c>
      <c r="AC88" s="489"/>
      <c r="AD88" s="489" t="str">
        <f>IF(IF(AA88=" "," ",IF(NOT(ISBLANK(X88)),VLOOKUP($D$3+X88,Calcs!$A$110:$B$122,2,TRUE),IF(AA88="Failed",VLOOKUP($D$3,Calcs!$A$110:$B$122,2,TRUE),VLOOKUP($D$3-(IF((Character!$B$9+W88)&gt;($D$3+Y88),(Character!$B$9+W88)-($D$3+Y88),0)),Calcs!$A$110:$B$122,2,TRUE))))=Calcs!$B$120,IF(ISBLANK(AC88)," ",CONCATENATE(AC88+7," Years")),IF(AA88=" "," ",IF(NOT(ISBLANK(X88)),VLOOKUP($D$3+X88,Calcs!$A$110:$B$122,2,TRUE),IF(AA88="Failed",VLOOKUP($D$3,Calcs!$A$110:$B$122,2,TRUE),VLOOKUP($D$3-(IF((Character!$B$9+W88)&gt;($D$3+Y88),(Character!$B$9+W88)-($D$3+Y88),0)),Calcs!$A$110:$B$122,2,TRUE)))))</f>
        <v xml:space="preserve"> </v>
      </c>
      <c r="AE88" s="490"/>
      <c r="AF88" s="879"/>
      <c r="AG88" s="491"/>
    </row>
    <row r="89" spans="1:33" x14ac:dyDescent="0.2">
      <c r="A89" s="415">
        <f t="shared" si="0"/>
        <v>1232</v>
      </c>
      <c r="B89" s="419" t="str">
        <f t="shared" si="1"/>
        <v>Spring</v>
      </c>
      <c r="C89" s="455"/>
      <c r="D89" s="504"/>
      <c r="E89" s="455"/>
      <c r="F89" s="504"/>
      <c r="G89" s="455"/>
      <c r="H89" s="504"/>
      <c r="I89" s="455"/>
      <c r="J89" s="504"/>
      <c r="L89" s="472"/>
      <c r="M89" s="468"/>
      <c r="N89" s="468"/>
      <c r="O89" s="468"/>
      <c r="P89" s="468"/>
      <c r="Q89" s="473"/>
      <c r="R89" s="477" t="str">
        <f>IF(AND(COUNTIF('Start Character'!$I$63:$M$77,"Twilight Prone")=1,NOT(ISERROR(FIND("Magical Botch",M89)))),"Yes",IF(P89&gt;1,"Yes","No"))</f>
        <v>No</v>
      </c>
      <c r="S89" s="501"/>
      <c r="T89" s="478"/>
      <c r="U89" s="501"/>
      <c r="V89" s="479" t="str">
        <f>IF(R89="No","No Twilight",IF(T89="Yes","Uncomprehended Twilight",IF((Character!$B$14+IF(Character!$B$53="Yes",0,Character!$B$53)+IF(Magic!$C$5="Yes",2,0)+ROUNDUP((Magic!$B$30+IF(Magic!$C$30="Yes",3,0))/5,0)+S89)&gt;=($D$3+P89+SUMIF(Character!$I$62:$I$66,"Enigmatic Wisdom",Character!$J$62:$J$66)+Q89+U89),"No Twilight","Twilight")))</f>
        <v>No Twilight</v>
      </c>
      <c r="W89" s="483"/>
      <c r="X89" s="478"/>
      <c r="Y89" s="484"/>
      <c r="Z89" s="478"/>
      <c r="AA89" s="485" t="str">
        <f>IF(V89="Uncomprehended Twilight","Failed",IF(OR(ISBLANK(W89),ISBLANK(Y89))," ",IF(NOT(ISBLANK(X89)),"Failed",IF((W89+Character!$B$9+SUMIF(Character!$I$62:$I$66,"Enigmatic Wisdom",Character!$J$62:$J$66))&gt;=IF(Z89="Yes",0,(Y89+D84)),"Succeeded","Failed"))))</f>
        <v xml:space="preserve"> </v>
      </c>
      <c r="AB89" s="477" t="str">
        <f>IF(AA89=" "," ",IF(NOT(ISBLANK(X89)),VLOOKUP($D$3+X89,Calcs!$A$110:$C$122,3,TRUE),IF(AA89="Failed",VLOOKUP($D$3,Calcs!$A$110:$C$122,3,TRUE),VLOOKUP($D$3-(IF((Character!$B$9+W89)&gt;($D$3+Y89),(Character!$B$9+W89)-($D$3+Y89),0)),Calcs!$A$110:$C$122,3,TRUE))))</f>
        <v xml:space="preserve"> </v>
      </c>
      <c r="AC89" s="489"/>
      <c r="AD89" s="489" t="str">
        <f>IF(IF(AA89=" "," ",IF(NOT(ISBLANK(X89)),VLOOKUP($D$3+X89,Calcs!$A$110:$B$122,2,TRUE),IF(AA89="Failed",VLOOKUP($D$3,Calcs!$A$110:$B$122,2,TRUE),VLOOKUP($D$3-(IF((Character!$B$9+W89)&gt;($D$3+Y89),(Character!$B$9+W89)-($D$3+Y89),0)),Calcs!$A$110:$B$122,2,TRUE))))=Calcs!$B$120,IF(ISBLANK(AC89)," ",CONCATENATE(AC89+7," Years")),IF(AA89=" "," ",IF(NOT(ISBLANK(X89)),VLOOKUP($D$3+X89,Calcs!$A$110:$B$122,2,TRUE),IF(AA89="Failed",VLOOKUP($D$3,Calcs!$A$110:$B$122,2,TRUE),VLOOKUP($D$3-(IF((Character!$B$9+W89)&gt;($D$3+Y89),(Character!$B$9+W89)-($D$3+Y89),0)),Calcs!$A$110:$B$122,2,TRUE)))))</f>
        <v xml:space="preserve"> </v>
      </c>
      <c r="AE89" s="490"/>
      <c r="AF89" s="879"/>
      <c r="AG89" s="491"/>
    </row>
    <row r="90" spans="1:33" x14ac:dyDescent="0.2">
      <c r="A90" s="415">
        <f t="shared" si="0"/>
        <v>1232</v>
      </c>
      <c r="B90" s="419" t="str">
        <f t="shared" si="1"/>
        <v>Summer</v>
      </c>
      <c r="C90" s="455"/>
      <c r="D90" s="504"/>
      <c r="E90" s="455"/>
      <c r="F90" s="504"/>
      <c r="G90" s="455"/>
      <c r="H90" s="504"/>
      <c r="I90" s="455"/>
      <c r="J90" s="504"/>
      <c r="L90" s="472"/>
      <c r="M90" s="468"/>
      <c r="N90" s="468"/>
      <c r="O90" s="468"/>
      <c r="P90" s="468"/>
      <c r="Q90" s="473"/>
      <c r="R90" s="477" t="str">
        <f>IF(AND(COUNTIF('Start Character'!$I$63:$M$77,"Twilight Prone")=1,NOT(ISERROR(FIND("Magical Botch",M90)))),"Yes",IF(P90&gt;1,"Yes","No"))</f>
        <v>No</v>
      </c>
      <c r="S90" s="501"/>
      <c r="T90" s="478"/>
      <c r="U90" s="501"/>
      <c r="V90" s="479" t="str">
        <f>IF(R90="No","No Twilight",IF(T90="Yes","Uncomprehended Twilight",IF((Character!$B$14+IF(Character!$B$53="Yes",0,Character!$B$53)+IF(Magic!$C$5="Yes",2,0)+ROUNDUP((Magic!$B$30+IF(Magic!$C$30="Yes",3,0))/5,0)+S90)&gt;=($D$3+P90+SUMIF(Character!$I$62:$I$66,"Enigmatic Wisdom",Character!$J$62:$J$66)+Q90+U90),"No Twilight","Twilight")))</f>
        <v>No Twilight</v>
      </c>
      <c r="W90" s="483"/>
      <c r="X90" s="478"/>
      <c r="Y90" s="484"/>
      <c r="Z90" s="478"/>
      <c r="AA90" s="485" t="str">
        <f>IF(V90="Uncomprehended Twilight","Failed",IF(OR(ISBLANK(W90),ISBLANK(Y90))," ",IF(NOT(ISBLANK(X90)),"Failed",IF((W90+Character!$B$9+SUMIF(Character!$I$62:$I$66,"Enigmatic Wisdom",Character!$J$62:$J$66))&gt;=IF(Z90="Yes",0,(Y90+D85)),"Succeeded","Failed"))))</f>
        <v xml:space="preserve"> </v>
      </c>
      <c r="AB90" s="477" t="str">
        <f>IF(AA90=" "," ",IF(NOT(ISBLANK(X90)),VLOOKUP($D$3+X90,Calcs!$A$110:$C$122,3,TRUE),IF(AA90="Failed",VLOOKUP($D$3,Calcs!$A$110:$C$122,3,TRUE),VLOOKUP($D$3-(IF((Character!$B$9+W90)&gt;($D$3+Y90),(Character!$B$9+W90)-($D$3+Y90),0)),Calcs!$A$110:$C$122,3,TRUE))))</f>
        <v xml:space="preserve"> </v>
      </c>
      <c r="AC90" s="489"/>
      <c r="AD90" s="489" t="str">
        <f>IF(IF(AA90=" "," ",IF(NOT(ISBLANK(X90)),VLOOKUP($D$3+X90,Calcs!$A$110:$B$122,2,TRUE),IF(AA90="Failed",VLOOKUP($D$3,Calcs!$A$110:$B$122,2,TRUE),VLOOKUP($D$3-(IF((Character!$B$9+W90)&gt;($D$3+Y90),(Character!$B$9+W90)-($D$3+Y90),0)),Calcs!$A$110:$B$122,2,TRUE))))=Calcs!$B$120,IF(ISBLANK(AC90)," ",CONCATENATE(AC90+7," Years")),IF(AA90=" "," ",IF(NOT(ISBLANK(X90)),VLOOKUP($D$3+X90,Calcs!$A$110:$B$122,2,TRUE),IF(AA90="Failed",VLOOKUP($D$3,Calcs!$A$110:$B$122,2,TRUE),VLOOKUP($D$3-(IF((Character!$B$9+W90)&gt;($D$3+Y90),(Character!$B$9+W90)-($D$3+Y90),0)),Calcs!$A$110:$B$122,2,TRUE)))))</f>
        <v xml:space="preserve"> </v>
      </c>
      <c r="AE90" s="490"/>
      <c r="AF90" s="879"/>
      <c r="AG90" s="491"/>
    </row>
    <row r="91" spans="1:33" x14ac:dyDescent="0.2">
      <c r="A91" s="415">
        <f t="shared" si="0"/>
        <v>1232</v>
      </c>
      <c r="B91" s="419" t="str">
        <f t="shared" si="1"/>
        <v>Autumn</v>
      </c>
      <c r="C91" s="455"/>
      <c r="D91" s="504"/>
      <c r="E91" s="455"/>
      <c r="F91" s="504"/>
      <c r="G91" s="455"/>
      <c r="H91" s="504"/>
      <c r="I91" s="455"/>
      <c r="J91" s="504"/>
      <c r="L91" s="472"/>
      <c r="M91" s="468"/>
      <c r="N91" s="468"/>
      <c r="O91" s="468"/>
      <c r="P91" s="468"/>
      <c r="Q91" s="473"/>
      <c r="R91" s="477" t="str">
        <f>IF(AND(COUNTIF('Start Character'!$I$63:$M$77,"Twilight Prone")=1,NOT(ISERROR(FIND("Magical Botch",M91)))),"Yes",IF(P91&gt;1,"Yes","No"))</f>
        <v>No</v>
      </c>
      <c r="S91" s="501"/>
      <c r="T91" s="478"/>
      <c r="U91" s="501"/>
      <c r="V91" s="479" t="str">
        <f>IF(R91="No","No Twilight",IF(T91="Yes","Uncomprehended Twilight",IF((Character!$B$14+IF(Character!$B$53="Yes",0,Character!$B$53)+IF(Magic!$C$5="Yes",2,0)+ROUNDUP((Magic!$B$30+IF(Magic!$C$30="Yes",3,0))/5,0)+S91)&gt;=($D$3+P91+SUMIF(Character!$I$62:$I$66,"Enigmatic Wisdom",Character!$J$62:$J$66)+Q91+U91),"No Twilight","Twilight")))</f>
        <v>No Twilight</v>
      </c>
      <c r="W91" s="483"/>
      <c r="X91" s="478"/>
      <c r="Y91" s="484"/>
      <c r="Z91" s="478"/>
      <c r="AA91" s="485" t="str">
        <f>IF(V91="Uncomprehended Twilight","Failed",IF(OR(ISBLANK(W91),ISBLANK(Y91))," ",IF(NOT(ISBLANK(X91)),"Failed",IF((W91+Character!$B$9+SUMIF(Character!$I$62:$I$66,"Enigmatic Wisdom",Character!$J$62:$J$66))&gt;=IF(Z91="Yes",0,(Y91+D86)),"Succeeded","Failed"))))</f>
        <v xml:space="preserve"> </v>
      </c>
      <c r="AB91" s="477" t="str">
        <f>IF(AA91=" "," ",IF(NOT(ISBLANK(X91)),VLOOKUP($D$3+X91,Calcs!$A$110:$C$122,3,TRUE),IF(AA91="Failed",VLOOKUP($D$3,Calcs!$A$110:$C$122,3,TRUE),VLOOKUP($D$3-(IF((Character!$B$9+W91)&gt;($D$3+Y91),(Character!$B$9+W91)-($D$3+Y91),0)),Calcs!$A$110:$C$122,3,TRUE))))</f>
        <v xml:space="preserve"> </v>
      </c>
      <c r="AC91" s="489"/>
      <c r="AD91" s="489" t="str">
        <f>IF(IF(AA91=" "," ",IF(NOT(ISBLANK(X91)),VLOOKUP($D$3+X91,Calcs!$A$110:$B$122,2,TRUE),IF(AA91="Failed",VLOOKUP($D$3,Calcs!$A$110:$B$122,2,TRUE),VLOOKUP($D$3-(IF((Character!$B$9+W91)&gt;($D$3+Y91),(Character!$B$9+W91)-($D$3+Y91),0)),Calcs!$A$110:$B$122,2,TRUE))))=Calcs!$B$120,IF(ISBLANK(AC91)," ",CONCATENATE(AC91+7," Years")),IF(AA91=" "," ",IF(NOT(ISBLANK(X91)),VLOOKUP($D$3+X91,Calcs!$A$110:$B$122,2,TRUE),IF(AA91="Failed",VLOOKUP($D$3,Calcs!$A$110:$B$122,2,TRUE),VLOOKUP($D$3-(IF((Character!$B$9+W91)&gt;($D$3+Y91),(Character!$B$9+W91)-($D$3+Y91),0)),Calcs!$A$110:$B$122,2,TRUE)))))</f>
        <v xml:space="preserve"> </v>
      </c>
      <c r="AE91" s="490"/>
      <c r="AF91" s="879"/>
      <c r="AG91" s="491"/>
    </row>
    <row r="92" spans="1:33" x14ac:dyDescent="0.2">
      <c r="A92" s="415">
        <f t="shared" si="0"/>
        <v>1233</v>
      </c>
      <c r="B92" s="419" t="str">
        <f t="shared" si="1"/>
        <v>Winter</v>
      </c>
      <c r="C92" s="455"/>
      <c r="D92" s="504"/>
      <c r="E92" s="455"/>
      <c r="F92" s="504"/>
      <c r="G92" s="455"/>
      <c r="H92" s="504"/>
      <c r="I92" s="455"/>
      <c r="J92" s="504"/>
      <c r="L92" s="472"/>
      <c r="M92" s="468"/>
      <c r="N92" s="468"/>
      <c r="O92" s="468"/>
      <c r="P92" s="468"/>
      <c r="Q92" s="473"/>
      <c r="R92" s="477" t="str">
        <f>IF(AND(COUNTIF('Start Character'!$I$63:$M$77,"Twilight Prone")=1,NOT(ISERROR(FIND("Magical Botch",M92)))),"Yes",IF(P92&gt;1,"Yes","No"))</f>
        <v>No</v>
      </c>
      <c r="S92" s="501"/>
      <c r="T92" s="478"/>
      <c r="U92" s="501"/>
      <c r="V92" s="479" t="str">
        <f>IF(R92="No","No Twilight",IF(T92="Yes","Uncomprehended Twilight",IF((Character!$B$14+IF(Character!$B$53="Yes",0,Character!$B$53)+IF(Magic!$C$5="Yes",2,0)+ROUNDUP((Magic!$B$30+IF(Magic!$C$30="Yes",3,0))/5,0)+S92)&gt;=($D$3+P92+SUMIF(Character!$I$62:$I$66,"Enigmatic Wisdom",Character!$J$62:$J$66)+Q92+U92),"No Twilight","Twilight")))</f>
        <v>No Twilight</v>
      </c>
      <c r="W92" s="483"/>
      <c r="X92" s="478"/>
      <c r="Y92" s="484"/>
      <c r="Z92" s="478"/>
      <c r="AA92" s="485" t="str">
        <f>IF(V92="Uncomprehended Twilight","Failed",IF(OR(ISBLANK(W92),ISBLANK(Y92))," ",IF(NOT(ISBLANK(X92)),"Failed",IF((W92+Character!$B$9+SUMIF(Character!$I$62:$I$66,"Enigmatic Wisdom",Character!$J$62:$J$66))&gt;=IF(Z92="Yes",0,(Y92+D87)),"Succeeded","Failed"))))</f>
        <v xml:space="preserve"> </v>
      </c>
      <c r="AB92" s="477" t="str">
        <f>IF(AA92=" "," ",IF(NOT(ISBLANK(X92)),VLOOKUP($D$3+X92,Calcs!$A$110:$C$122,3,TRUE),IF(AA92="Failed",VLOOKUP($D$3,Calcs!$A$110:$C$122,3,TRUE),VLOOKUP($D$3-(IF((Character!$B$9+W92)&gt;($D$3+Y92),(Character!$B$9+W92)-($D$3+Y92),0)),Calcs!$A$110:$C$122,3,TRUE))))</f>
        <v xml:space="preserve"> </v>
      </c>
      <c r="AC92" s="489"/>
      <c r="AD92" s="489" t="str">
        <f>IF(IF(AA92=" "," ",IF(NOT(ISBLANK(X92)),VLOOKUP($D$3+X92,Calcs!$A$110:$B$122,2,TRUE),IF(AA92="Failed",VLOOKUP($D$3,Calcs!$A$110:$B$122,2,TRUE),VLOOKUP($D$3-(IF((Character!$B$9+W92)&gt;($D$3+Y92),(Character!$B$9+W92)-($D$3+Y92),0)),Calcs!$A$110:$B$122,2,TRUE))))=Calcs!$B$120,IF(ISBLANK(AC92)," ",CONCATENATE(AC92+7," Years")),IF(AA92=" "," ",IF(NOT(ISBLANK(X92)),VLOOKUP($D$3+X92,Calcs!$A$110:$B$122,2,TRUE),IF(AA92="Failed",VLOOKUP($D$3,Calcs!$A$110:$B$122,2,TRUE),VLOOKUP($D$3-(IF((Character!$B$9+W92)&gt;($D$3+Y92),(Character!$B$9+W92)-($D$3+Y92),0)),Calcs!$A$110:$B$122,2,TRUE)))))</f>
        <v xml:space="preserve"> </v>
      </c>
      <c r="AE92" s="490"/>
      <c r="AF92" s="879"/>
      <c r="AG92" s="491"/>
    </row>
    <row r="93" spans="1:33" x14ac:dyDescent="0.2">
      <c r="A93" s="415">
        <f t="shared" ref="A93:A156" si="2">IF(B92="Autumn",A92+1,A92)</f>
        <v>1233</v>
      </c>
      <c r="B93" s="419" t="str">
        <f t="shared" ref="B93:B156" si="3">IF(B92="spring","Summer",IF(B92="Summer","Autumn",IF(B92="Autumn","Winter",IF(B92="Winter","Spring"," "))))</f>
        <v>Spring</v>
      </c>
      <c r="C93" s="455"/>
      <c r="D93" s="504"/>
      <c r="E93" s="455"/>
      <c r="F93" s="504"/>
      <c r="G93" s="455"/>
      <c r="H93" s="504"/>
      <c r="I93" s="455"/>
      <c r="J93" s="504"/>
      <c r="L93" s="472"/>
      <c r="M93" s="468"/>
      <c r="N93" s="468"/>
      <c r="O93" s="468"/>
      <c r="P93" s="468"/>
      <c r="Q93" s="473"/>
      <c r="R93" s="477" t="str">
        <f>IF(AND(COUNTIF('Start Character'!$I$63:$M$77,"Twilight Prone")=1,NOT(ISERROR(FIND("Magical Botch",M93)))),"Yes",IF(P93&gt;1,"Yes","No"))</f>
        <v>No</v>
      </c>
      <c r="S93" s="501"/>
      <c r="T93" s="478"/>
      <c r="U93" s="501"/>
      <c r="V93" s="479" t="str">
        <f>IF(R93="No","No Twilight",IF(T93="Yes","Uncomprehended Twilight",IF((Character!$B$14+IF(Character!$B$53="Yes",0,Character!$B$53)+IF(Magic!$C$5="Yes",2,0)+ROUNDUP((Magic!$B$30+IF(Magic!$C$30="Yes",3,0))/5,0)+S93)&gt;=($D$3+P93+SUMIF(Character!$I$62:$I$66,"Enigmatic Wisdom",Character!$J$62:$J$66)+Q93+U93),"No Twilight","Twilight")))</f>
        <v>No Twilight</v>
      </c>
      <c r="W93" s="483"/>
      <c r="X93" s="478"/>
      <c r="Y93" s="484"/>
      <c r="Z93" s="478"/>
      <c r="AA93" s="485" t="str">
        <f>IF(V93="Uncomprehended Twilight","Failed",IF(OR(ISBLANK(W93),ISBLANK(Y93))," ",IF(NOT(ISBLANK(X93)),"Failed",IF((W93+Character!$B$9+SUMIF(Character!$I$62:$I$66,"Enigmatic Wisdom",Character!$J$62:$J$66))&gt;=IF(Z93="Yes",0,(Y93+D88)),"Succeeded","Failed"))))</f>
        <v xml:space="preserve"> </v>
      </c>
      <c r="AB93" s="477" t="str">
        <f>IF(AA93=" "," ",IF(NOT(ISBLANK(X93)),VLOOKUP($D$3+X93,Calcs!$A$110:$C$122,3,TRUE),IF(AA93="Failed",VLOOKUP($D$3,Calcs!$A$110:$C$122,3,TRUE),VLOOKUP($D$3-(IF((Character!$B$9+W93)&gt;($D$3+Y93),(Character!$B$9+W93)-($D$3+Y93),0)),Calcs!$A$110:$C$122,3,TRUE))))</f>
        <v xml:space="preserve"> </v>
      </c>
      <c r="AC93" s="489"/>
      <c r="AD93" s="489" t="str">
        <f>IF(IF(AA93=" "," ",IF(NOT(ISBLANK(X93)),VLOOKUP($D$3+X93,Calcs!$A$110:$B$122,2,TRUE),IF(AA93="Failed",VLOOKUP($D$3,Calcs!$A$110:$B$122,2,TRUE),VLOOKUP($D$3-(IF((Character!$B$9+W93)&gt;($D$3+Y93),(Character!$B$9+W93)-($D$3+Y93),0)),Calcs!$A$110:$B$122,2,TRUE))))=Calcs!$B$120,IF(ISBLANK(AC93)," ",CONCATENATE(AC93+7," Years")),IF(AA93=" "," ",IF(NOT(ISBLANK(X93)),VLOOKUP($D$3+X93,Calcs!$A$110:$B$122,2,TRUE),IF(AA93="Failed",VLOOKUP($D$3,Calcs!$A$110:$B$122,2,TRUE),VLOOKUP($D$3-(IF((Character!$B$9+W93)&gt;($D$3+Y93),(Character!$B$9+W93)-($D$3+Y93),0)),Calcs!$A$110:$B$122,2,TRUE)))))</f>
        <v xml:space="preserve"> </v>
      </c>
      <c r="AE93" s="490"/>
      <c r="AF93" s="879"/>
      <c r="AG93" s="491"/>
    </row>
    <row r="94" spans="1:33" x14ac:dyDescent="0.2">
      <c r="A94" s="415">
        <f t="shared" si="2"/>
        <v>1233</v>
      </c>
      <c r="B94" s="419" t="str">
        <f t="shared" si="3"/>
        <v>Summer</v>
      </c>
      <c r="C94" s="455"/>
      <c r="D94" s="504"/>
      <c r="E94" s="455"/>
      <c r="F94" s="504"/>
      <c r="G94" s="455"/>
      <c r="H94" s="504"/>
      <c r="I94" s="455"/>
      <c r="J94" s="504"/>
      <c r="L94" s="472"/>
      <c r="M94" s="468"/>
      <c r="N94" s="468"/>
      <c r="O94" s="468"/>
      <c r="P94" s="468"/>
      <c r="Q94" s="473"/>
      <c r="R94" s="477" t="str">
        <f>IF(AND(COUNTIF('Start Character'!$I$63:$M$77,"Twilight Prone")=1,NOT(ISERROR(FIND("Magical Botch",M94)))),"Yes",IF(P94&gt;1,"Yes","No"))</f>
        <v>No</v>
      </c>
      <c r="S94" s="501"/>
      <c r="T94" s="478"/>
      <c r="U94" s="501"/>
      <c r="V94" s="479" t="str">
        <f>IF(R94="No","No Twilight",IF(T94="Yes","Uncomprehended Twilight",IF((Character!$B$14+IF(Character!$B$53="Yes",0,Character!$B$53)+IF(Magic!$C$5="Yes",2,0)+ROUNDUP((Magic!$B$30+IF(Magic!$C$30="Yes",3,0))/5,0)+S94)&gt;=($D$3+P94+SUMIF(Character!$I$62:$I$66,"Enigmatic Wisdom",Character!$J$62:$J$66)+Q94+U94),"No Twilight","Twilight")))</f>
        <v>No Twilight</v>
      </c>
      <c r="W94" s="483"/>
      <c r="X94" s="478"/>
      <c r="Y94" s="484"/>
      <c r="Z94" s="478"/>
      <c r="AA94" s="485" t="str">
        <f>IF(V94="Uncomprehended Twilight","Failed",IF(OR(ISBLANK(W94),ISBLANK(Y94))," ",IF(NOT(ISBLANK(X94)),"Failed",IF((W94+Character!$B$9+SUMIF(Character!$I$62:$I$66,"Enigmatic Wisdom",Character!$J$62:$J$66))&gt;=IF(Z94="Yes",0,(Y94+D89)),"Succeeded","Failed"))))</f>
        <v xml:space="preserve"> </v>
      </c>
      <c r="AB94" s="477" t="str">
        <f>IF(AA94=" "," ",IF(NOT(ISBLANK(X94)),VLOOKUP($D$3+X94,Calcs!$A$110:$C$122,3,TRUE),IF(AA94="Failed",VLOOKUP($D$3,Calcs!$A$110:$C$122,3,TRUE),VLOOKUP($D$3-(IF((Character!$B$9+W94)&gt;($D$3+Y94),(Character!$B$9+W94)-($D$3+Y94),0)),Calcs!$A$110:$C$122,3,TRUE))))</f>
        <v xml:space="preserve"> </v>
      </c>
      <c r="AC94" s="489"/>
      <c r="AD94" s="489" t="str">
        <f>IF(IF(AA94=" "," ",IF(NOT(ISBLANK(X94)),VLOOKUP($D$3+X94,Calcs!$A$110:$B$122,2,TRUE),IF(AA94="Failed",VLOOKUP($D$3,Calcs!$A$110:$B$122,2,TRUE),VLOOKUP($D$3-(IF((Character!$B$9+W94)&gt;($D$3+Y94),(Character!$B$9+W94)-($D$3+Y94),0)),Calcs!$A$110:$B$122,2,TRUE))))=Calcs!$B$120,IF(ISBLANK(AC94)," ",CONCATENATE(AC94+7," Years")),IF(AA94=" "," ",IF(NOT(ISBLANK(X94)),VLOOKUP($D$3+X94,Calcs!$A$110:$B$122,2,TRUE),IF(AA94="Failed",VLOOKUP($D$3,Calcs!$A$110:$B$122,2,TRUE),VLOOKUP($D$3-(IF((Character!$B$9+W94)&gt;($D$3+Y94),(Character!$B$9+W94)-($D$3+Y94),0)),Calcs!$A$110:$B$122,2,TRUE)))))</f>
        <v xml:space="preserve"> </v>
      </c>
      <c r="AE94" s="490"/>
      <c r="AF94" s="879"/>
      <c r="AG94" s="491"/>
    </row>
    <row r="95" spans="1:33" x14ac:dyDescent="0.2">
      <c r="A95" s="415">
        <f t="shared" si="2"/>
        <v>1233</v>
      </c>
      <c r="B95" s="419" t="str">
        <f t="shared" si="3"/>
        <v>Autumn</v>
      </c>
      <c r="C95" s="455"/>
      <c r="D95" s="504"/>
      <c r="E95" s="455"/>
      <c r="F95" s="504"/>
      <c r="G95" s="455"/>
      <c r="H95" s="504"/>
      <c r="I95" s="455"/>
      <c r="J95" s="504"/>
      <c r="L95" s="472"/>
      <c r="M95" s="468"/>
      <c r="N95" s="468"/>
      <c r="O95" s="468"/>
      <c r="P95" s="468"/>
      <c r="Q95" s="473"/>
      <c r="R95" s="477" t="str">
        <f>IF(AND(COUNTIF('Start Character'!$I$63:$M$77,"Twilight Prone")=1,NOT(ISERROR(FIND("Magical Botch",M95)))),"Yes",IF(P95&gt;1,"Yes","No"))</f>
        <v>No</v>
      </c>
      <c r="S95" s="501"/>
      <c r="T95" s="478"/>
      <c r="U95" s="501"/>
      <c r="V95" s="479" t="str">
        <f>IF(R95="No","No Twilight",IF(T95="Yes","Uncomprehended Twilight",IF((Character!$B$14+IF(Character!$B$53="Yes",0,Character!$B$53)+IF(Magic!$C$5="Yes",2,0)+ROUNDUP((Magic!$B$30+IF(Magic!$C$30="Yes",3,0))/5,0)+S95)&gt;=($D$3+P95+SUMIF(Character!$I$62:$I$66,"Enigmatic Wisdom",Character!$J$62:$J$66)+Q95+U95),"No Twilight","Twilight")))</f>
        <v>No Twilight</v>
      </c>
      <c r="W95" s="483"/>
      <c r="X95" s="478"/>
      <c r="Y95" s="484"/>
      <c r="Z95" s="478"/>
      <c r="AA95" s="485" t="str">
        <f>IF(V95="Uncomprehended Twilight","Failed",IF(OR(ISBLANK(W95),ISBLANK(Y95))," ",IF(NOT(ISBLANK(X95)),"Failed",IF((W95+Character!$B$9+SUMIF(Character!$I$62:$I$66,"Enigmatic Wisdom",Character!$J$62:$J$66))&gt;=IF(Z95="Yes",0,(Y95+D90)),"Succeeded","Failed"))))</f>
        <v xml:space="preserve"> </v>
      </c>
      <c r="AB95" s="477" t="str">
        <f>IF(AA95=" "," ",IF(NOT(ISBLANK(X95)),VLOOKUP($D$3+X95,Calcs!$A$110:$C$122,3,TRUE),IF(AA95="Failed",VLOOKUP($D$3,Calcs!$A$110:$C$122,3,TRUE),VLOOKUP($D$3-(IF((Character!$B$9+W95)&gt;($D$3+Y95),(Character!$B$9+W95)-($D$3+Y95),0)),Calcs!$A$110:$C$122,3,TRUE))))</f>
        <v xml:space="preserve"> </v>
      </c>
      <c r="AC95" s="489"/>
      <c r="AD95" s="489" t="str">
        <f>IF(IF(AA95=" "," ",IF(NOT(ISBLANK(X95)),VLOOKUP($D$3+X95,Calcs!$A$110:$B$122,2,TRUE),IF(AA95="Failed",VLOOKUP($D$3,Calcs!$A$110:$B$122,2,TRUE),VLOOKUP($D$3-(IF((Character!$B$9+W95)&gt;($D$3+Y95),(Character!$B$9+W95)-($D$3+Y95),0)),Calcs!$A$110:$B$122,2,TRUE))))=Calcs!$B$120,IF(ISBLANK(AC95)," ",CONCATENATE(AC95+7," Years")),IF(AA95=" "," ",IF(NOT(ISBLANK(X95)),VLOOKUP($D$3+X95,Calcs!$A$110:$B$122,2,TRUE),IF(AA95="Failed",VLOOKUP($D$3,Calcs!$A$110:$B$122,2,TRUE),VLOOKUP($D$3-(IF((Character!$B$9+W95)&gt;($D$3+Y95),(Character!$B$9+W95)-($D$3+Y95),0)),Calcs!$A$110:$B$122,2,TRUE)))))</f>
        <v xml:space="preserve"> </v>
      </c>
      <c r="AE95" s="490"/>
      <c r="AF95" s="879"/>
      <c r="AG95" s="491"/>
    </row>
    <row r="96" spans="1:33" x14ac:dyDescent="0.2">
      <c r="A96" s="415">
        <f t="shared" si="2"/>
        <v>1234</v>
      </c>
      <c r="B96" s="419" t="str">
        <f t="shared" si="3"/>
        <v>Winter</v>
      </c>
      <c r="C96" s="455"/>
      <c r="D96" s="504"/>
      <c r="E96" s="455"/>
      <c r="F96" s="504"/>
      <c r="G96" s="455"/>
      <c r="H96" s="504"/>
      <c r="I96" s="455"/>
      <c r="J96" s="504"/>
      <c r="L96" s="472"/>
      <c r="M96" s="468"/>
      <c r="N96" s="468"/>
      <c r="O96" s="468"/>
      <c r="P96" s="468"/>
      <c r="Q96" s="473"/>
      <c r="R96" s="477" t="str">
        <f>IF(AND(COUNTIF('Start Character'!$I$63:$M$77,"Twilight Prone")=1,NOT(ISERROR(FIND("Magical Botch",M96)))),"Yes",IF(P96&gt;1,"Yes","No"))</f>
        <v>No</v>
      </c>
      <c r="S96" s="501"/>
      <c r="T96" s="478"/>
      <c r="U96" s="501"/>
      <c r="V96" s="479" t="str">
        <f>IF(R96="No","No Twilight",IF(T96="Yes","Uncomprehended Twilight",IF((Character!$B$14+IF(Character!$B$53="Yes",0,Character!$B$53)+IF(Magic!$C$5="Yes",2,0)+ROUNDUP((Magic!$B$30+IF(Magic!$C$30="Yes",3,0))/5,0)+S96)&gt;=($D$3+P96+SUMIF(Character!$I$62:$I$66,"Enigmatic Wisdom",Character!$J$62:$J$66)+Q96+U96),"No Twilight","Twilight")))</f>
        <v>No Twilight</v>
      </c>
      <c r="W96" s="483"/>
      <c r="X96" s="478"/>
      <c r="Y96" s="484"/>
      <c r="Z96" s="478"/>
      <c r="AA96" s="485" t="str">
        <f>IF(V96="Uncomprehended Twilight","Failed",IF(OR(ISBLANK(W96),ISBLANK(Y96))," ",IF(NOT(ISBLANK(X96)),"Failed",IF((W96+Character!$B$9+SUMIF(Character!$I$62:$I$66,"Enigmatic Wisdom",Character!$J$62:$J$66))&gt;=IF(Z96="Yes",0,(Y96+D91)),"Succeeded","Failed"))))</f>
        <v xml:space="preserve"> </v>
      </c>
      <c r="AB96" s="477" t="str">
        <f>IF(AA96=" "," ",IF(NOT(ISBLANK(X96)),VLOOKUP($D$3+X96,Calcs!$A$110:$C$122,3,TRUE),IF(AA96="Failed",VLOOKUP($D$3,Calcs!$A$110:$C$122,3,TRUE),VLOOKUP($D$3-(IF((Character!$B$9+W96)&gt;($D$3+Y96),(Character!$B$9+W96)-($D$3+Y96),0)),Calcs!$A$110:$C$122,3,TRUE))))</f>
        <v xml:space="preserve"> </v>
      </c>
      <c r="AC96" s="489"/>
      <c r="AD96" s="489" t="str">
        <f>IF(IF(AA96=" "," ",IF(NOT(ISBLANK(X96)),VLOOKUP($D$3+X96,Calcs!$A$110:$B$122,2,TRUE),IF(AA96="Failed",VLOOKUP($D$3,Calcs!$A$110:$B$122,2,TRUE),VLOOKUP($D$3-(IF((Character!$B$9+W96)&gt;($D$3+Y96),(Character!$B$9+W96)-($D$3+Y96),0)),Calcs!$A$110:$B$122,2,TRUE))))=Calcs!$B$120,IF(ISBLANK(AC96)," ",CONCATENATE(AC96+7," Years")),IF(AA96=" "," ",IF(NOT(ISBLANK(X96)),VLOOKUP($D$3+X96,Calcs!$A$110:$B$122,2,TRUE),IF(AA96="Failed",VLOOKUP($D$3,Calcs!$A$110:$B$122,2,TRUE),VLOOKUP($D$3-(IF((Character!$B$9+W96)&gt;($D$3+Y96),(Character!$B$9+W96)-($D$3+Y96),0)),Calcs!$A$110:$B$122,2,TRUE)))))</f>
        <v xml:space="preserve"> </v>
      </c>
      <c r="AE96" s="490"/>
      <c r="AF96" s="879"/>
      <c r="AG96" s="491"/>
    </row>
    <row r="97" spans="1:33" x14ac:dyDescent="0.2">
      <c r="A97" s="415">
        <f t="shared" si="2"/>
        <v>1234</v>
      </c>
      <c r="B97" s="419" t="str">
        <f t="shared" si="3"/>
        <v>Spring</v>
      </c>
      <c r="C97" s="455"/>
      <c r="D97" s="504"/>
      <c r="E97" s="455"/>
      <c r="F97" s="504"/>
      <c r="G97" s="455"/>
      <c r="H97" s="504"/>
      <c r="I97" s="455"/>
      <c r="J97" s="504"/>
      <c r="L97" s="472"/>
      <c r="M97" s="468"/>
      <c r="N97" s="468"/>
      <c r="O97" s="468"/>
      <c r="P97" s="468"/>
      <c r="Q97" s="473"/>
      <c r="R97" s="477" t="str">
        <f>IF(AND(COUNTIF('Start Character'!$I$63:$M$77,"Twilight Prone")=1,NOT(ISERROR(FIND("Magical Botch",M97)))),"Yes",IF(P97&gt;1,"Yes","No"))</f>
        <v>No</v>
      </c>
      <c r="S97" s="501"/>
      <c r="T97" s="478"/>
      <c r="U97" s="501"/>
      <c r="V97" s="479" t="str">
        <f>IF(R97="No","No Twilight",IF(T97="Yes","Uncomprehended Twilight",IF((Character!$B$14+IF(Character!$B$53="Yes",0,Character!$B$53)+IF(Magic!$C$5="Yes",2,0)+ROUNDUP((Magic!$B$30+IF(Magic!$C$30="Yes",3,0))/5,0)+S97)&gt;=($D$3+P97+SUMIF(Character!$I$62:$I$66,"Enigmatic Wisdom",Character!$J$62:$J$66)+Q97+U97),"No Twilight","Twilight")))</f>
        <v>No Twilight</v>
      </c>
      <c r="W97" s="483"/>
      <c r="X97" s="478"/>
      <c r="Y97" s="484"/>
      <c r="Z97" s="478"/>
      <c r="AA97" s="485" t="str">
        <f>IF(V97="Uncomprehended Twilight","Failed",IF(OR(ISBLANK(W97),ISBLANK(Y97))," ",IF(NOT(ISBLANK(X97)),"Failed",IF((W97+Character!$B$9+SUMIF(Character!$I$62:$I$66,"Enigmatic Wisdom",Character!$J$62:$J$66))&gt;=IF(Z97="Yes",0,(Y97+D92)),"Succeeded","Failed"))))</f>
        <v xml:space="preserve"> </v>
      </c>
      <c r="AB97" s="477" t="str">
        <f>IF(AA97=" "," ",IF(NOT(ISBLANK(X97)),VLOOKUP($D$3+X97,Calcs!$A$110:$C$122,3,TRUE),IF(AA97="Failed",VLOOKUP($D$3,Calcs!$A$110:$C$122,3,TRUE),VLOOKUP($D$3-(IF((Character!$B$9+W97)&gt;($D$3+Y97),(Character!$B$9+W97)-($D$3+Y97),0)),Calcs!$A$110:$C$122,3,TRUE))))</f>
        <v xml:space="preserve"> </v>
      </c>
      <c r="AC97" s="489"/>
      <c r="AD97" s="489" t="str">
        <f>IF(IF(AA97=" "," ",IF(NOT(ISBLANK(X97)),VLOOKUP($D$3+X97,Calcs!$A$110:$B$122,2,TRUE),IF(AA97="Failed",VLOOKUP($D$3,Calcs!$A$110:$B$122,2,TRUE),VLOOKUP($D$3-(IF((Character!$B$9+W97)&gt;($D$3+Y97),(Character!$B$9+W97)-($D$3+Y97),0)),Calcs!$A$110:$B$122,2,TRUE))))=Calcs!$B$120,IF(ISBLANK(AC97)," ",CONCATENATE(AC97+7," Years")),IF(AA97=" "," ",IF(NOT(ISBLANK(X97)),VLOOKUP($D$3+X97,Calcs!$A$110:$B$122,2,TRUE),IF(AA97="Failed",VLOOKUP($D$3,Calcs!$A$110:$B$122,2,TRUE),VLOOKUP($D$3-(IF((Character!$B$9+W97)&gt;($D$3+Y97),(Character!$B$9+W97)-($D$3+Y97),0)),Calcs!$A$110:$B$122,2,TRUE)))))</f>
        <v xml:space="preserve"> </v>
      </c>
      <c r="AE97" s="490"/>
      <c r="AF97" s="879"/>
      <c r="AG97" s="491"/>
    </row>
    <row r="98" spans="1:33" x14ac:dyDescent="0.2">
      <c r="A98" s="415">
        <f t="shared" si="2"/>
        <v>1234</v>
      </c>
      <c r="B98" s="419" t="str">
        <f t="shared" si="3"/>
        <v>Summer</v>
      </c>
      <c r="C98" s="455"/>
      <c r="D98" s="504"/>
      <c r="E98" s="455"/>
      <c r="F98" s="504"/>
      <c r="G98" s="455"/>
      <c r="H98" s="504"/>
      <c r="I98" s="455"/>
      <c r="J98" s="504"/>
      <c r="L98" s="472"/>
      <c r="M98" s="468"/>
      <c r="N98" s="468"/>
      <c r="O98" s="468"/>
      <c r="P98" s="468"/>
      <c r="Q98" s="473"/>
      <c r="R98" s="477" t="str">
        <f>IF(AND(COUNTIF('Start Character'!$I$63:$M$77,"Twilight Prone")=1,NOT(ISERROR(FIND("Magical Botch",M98)))),"Yes",IF(P98&gt;1,"Yes","No"))</f>
        <v>No</v>
      </c>
      <c r="S98" s="501"/>
      <c r="T98" s="478"/>
      <c r="U98" s="501"/>
      <c r="V98" s="479" t="str">
        <f>IF(R98="No","No Twilight",IF(T98="Yes","Uncomprehended Twilight",IF((Character!$B$14+IF(Character!$B$53="Yes",0,Character!$B$53)+IF(Magic!$C$5="Yes",2,0)+ROUNDUP((Magic!$B$30+IF(Magic!$C$30="Yes",3,0))/5,0)+S98)&gt;=($D$3+P98+SUMIF(Character!$I$62:$I$66,"Enigmatic Wisdom",Character!$J$62:$J$66)+Q98+U98),"No Twilight","Twilight")))</f>
        <v>No Twilight</v>
      </c>
      <c r="W98" s="483"/>
      <c r="X98" s="478"/>
      <c r="Y98" s="484"/>
      <c r="Z98" s="478"/>
      <c r="AA98" s="485" t="str">
        <f>IF(V98="Uncomprehended Twilight","Failed",IF(OR(ISBLANK(W98),ISBLANK(Y98))," ",IF(NOT(ISBLANK(X98)),"Failed",IF((W98+Character!$B$9+SUMIF(Character!$I$62:$I$66,"Enigmatic Wisdom",Character!$J$62:$J$66))&gt;=IF(Z98="Yes",0,(Y98+D93)),"Succeeded","Failed"))))</f>
        <v xml:space="preserve"> </v>
      </c>
      <c r="AB98" s="477" t="str">
        <f>IF(AA98=" "," ",IF(NOT(ISBLANK(X98)),VLOOKUP($D$3+X98,Calcs!$A$110:$C$122,3,TRUE),IF(AA98="Failed",VLOOKUP($D$3,Calcs!$A$110:$C$122,3,TRUE),VLOOKUP($D$3-(IF((Character!$B$9+W98)&gt;($D$3+Y98),(Character!$B$9+W98)-($D$3+Y98),0)),Calcs!$A$110:$C$122,3,TRUE))))</f>
        <v xml:space="preserve"> </v>
      </c>
      <c r="AC98" s="489"/>
      <c r="AD98" s="489" t="str">
        <f>IF(IF(AA98=" "," ",IF(NOT(ISBLANK(X98)),VLOOKUP($D$3+X98,Calcs!$A$110:$B$122,2,TRUE),IF(AA98="Failed",VLOOKUP($D$3,Calcs!$A$110:$B$122,2,TRUE),VLOOKUP($D$3-(IF((Character!$B$9+W98)&gt;($D$3+Y98),(Character!$B$9+W98)-($D$3+Y98),0)),Calcs!$A$110:$B$122,2,TRUE))))=Calcs!$B$120,IF(ISBLANK(AC98)," ",CONCATENATE(AC98+7," Years")),IF(AA98=" "," ",IF(NOT(ISBLANK(X98)),VLOOKUP($D$3+X98,Calcs!$A$110:$B$122,2,TRUE),IF(AA98="Failed",VLOOKUP($D$3,Calcs!$A$110:$B$122,2,TRUE),VLOOKUP($D$3-(IF((Character!$B$9+W98)&gt;($D$3+Y98),(Character!$B$9+W98)-($D$3+Y98),0)),Calcs!$A$110:$B$122,2,TRUE)))))</f>
        <v xml:space="preserve"> </v>
      </c>
      <c r="AE98" s="490"/>
      <c r="AF98" s="879"/>
      <c r="AG98" s="491"/>
    </row>
    <row r="99" spans="1:33" x14ac:dyDescent="0.2">
      <c r="A99" s="415">
        <f t="shared" si="2"/>
        <v>1234</v>
      </c>
      <c r="B99" s="419" t="str">
        <f t="shared" si="3"/>
        <v>Autumn</v>
      </c>
      <c r="C99" s="455"/>
      <c r="D99" s="504"/>
      <c r="E99" s="455"/>
      <c r="F99" s="504"/>
      <c r="G99" s="455"/>
      <c r="H99" s="504"/>
      <c r="I99" s="455"/>
      <c r="J99" s="504"/>
      <c r="L99" s="472"/>
      <c r="M99" s="468"/>
      <c r="N99" s="468"/>
      <c r="O99" s="468"/>
      <c r="P99" s="468"/>
      <c r="Q99" s="473"/>
      <c r="R99" s="477" t="str">
        <f>IF(AND(COUNTIF('Start Character'!$I$63:$M$77,"Twilight Prone")=1,NOT(ISERROR(FIND("Magical Botch",M99)))),"Yes",IF(P99&gt;1,"Yes","No"))</f>
        <v>No</v>
      </c>
      <c r="S99" s="501"/>
      <c r="T99" s="478"/>
      <c r="U99" s="501"/>
      <c r="V99" s="479" t="str">
        <f>IF(R99="No","No Twilight",IF(T99="Yes","Uncomprehended Twilight",IF((Character!$B$14+IF(Character!$B$53="Yes",0,Character!$B$53)+IF(Magic!$C$5="Yes",2,0)+ROUNDUP((Magic!$B$30+IF(Magic!$C$30="Yes",3,0))/5,0)+S99)&gt;=($D$3+P99+SUMIF(Character!$I$62:$I$66,"Enigmatic Wisdom",Character!$J$62:$J$66)+Q99+U99),"No Twilight","Twilight")))</f>
        <v>No Twilight</v>
      </c>
      <c r="W99" s="483"/>
      <c r="X99" s="478"/>
      <c r="Y99" s="484"/>
      <c r="Z99" s="478"/>
      <c r="AA99" s="485" t="str">
        <f>IF(V99="Uncomprehended Twilight","Failed",IF(OR(ISBLANK(W99),ISBLANK(Y99))," ",IF(NOT(ISBLANK(X99)),"Failed",IF((W99+Character!$B$9+SUMIF(Character!$I$62:$I$66,"Enigmatic Wisdom",Character!$J$62:$J$66))&gt;=IF(Z99="Yes",0,(Y99+D94)),"Succeeded","Failed"))))</f>
        <v xml:space="preserve"> </v>
      </c>
      <c r="AB99" s="477" t="str">
        <f>IF(AA99=" "," ",IF(NOT(ISBLANK(X99)),VLOOKUP($D$3+X99,Calcs!$A$110:$C$122,3,TRUE),IF(AA99="Failed",VLOOKUP($D$3,Calcs!$A$110:$C$122,3,TRUE),VLOOKUP($D$3-(IF((Character!$B$9+W99)&gt;($D$3+Y99),(Character!$B$9+W99)-($D$3+Y99),0)),Calcs!$A$110:$C$122,3,TRUE))))</f>
        <v xml:space="preserve"> </v>
      </c>
      <c r="AC99" s="489"/>
      <c r="AD99" s="489" t="str">
        <f>IF(IF(AA99=" "," ",IF(NOT(ISBLANK(X99)),VLOOKUP($D$3+X99,Calcs!$A$110:$B$122,2,TRUE),IF(AA99="Failed",VLOOKUP($D$3,Calcs!$A$110:$B$122,2,TRUE),VLOOKUP($D$3-(IF((Character!$B$9+W99)&gt;($D$3+Y99),(Character!$B$9+W99)-($D$3+Y99),0)),Calcs!$A$110:$B$122,2,TRUE))))=Calcs!$B$120,IF(ISBLANK(AC99)," ",CONCATENATE(AC99+7," Years")),IF(AA99=" "," ",IF(NOT(ISBLANK(X99)),VLOOKUP($D$3+X99,Calcs!$A$110:$B$122,2,TRUE),IF(AA99="Failed",VLOOKUP($D$3,Calcs!$A$110:$B$122,2,TRUE),VLOOKUP($D$3-(IF((Character!$B$9+W99)&gt;($D$3+Y99),(Character!$B$9+W99)-($D$3+Y99),0)),Calcs!$A$110:$B$122,2,TRUE)))))</f>
        <v xml:space="preserve"> </v>
      </c>
      <c r="AE99" s="490"/>
      <c r="AF99" s="879"/>
      <c r="AG99" s="491"/>
    </row>
    <row r="100" spans="1:33" x14ac:dyDescent="0.2">
      <c r="A100" s="415">
        <f t="shared" si="2"/>
        <v>1235</v>
      </c>
      <c r="B100" s="419" t="str">
        <f t="shared" si="3"/>
        <v>Winter</v>
      </c>
      <c r="C100" s="455"/>
      <c r="D100" s="504"/>
      <c r="E100" s="455"/>
      <c r="F100" s="504"/>
      <c r="G100" s="455"/>
      <c r="H100" s="504"/>
      <c r="I100" s="455"/>
      <c r="J100" s="504"/>
      <c r="L100" s="472"/>
      <c r="M100" s="468"/>
      <c r="N100" s="468"/>
      <c r="O100" s="468"/>
      <c r="P100" s="468"/>
      <c r="Q100" s="473"/>
      <c r="R100" s="477" t="str">
        <f>IF(AND(COUNTIF('Start Character'!$I$63:$M$77,"Twilight Prone")=1,NOT(ISERROR(FIND("Magical Botch",M100)))),"Yes",IF(P100&gt;1,"Yes","No"))</f>
        <v>No</v>
      </c>
      <c r="S100" s="501"/>
      <c r="T100" s="478"/>
      <c r="U100" s="501"/>
      <c r="V100" s="479" t="str">
        <f>IF(R100="No","No Twilight",IF(T100="Yes","Uncomprehended Twilight",IF((Character!$B$14+IF(Character!$B$53="Yes",0,Character!$B$53)+IF(Magic!$C$5="Yes",2,0)+ROUNDUP((Magic!$B$30+IF(Magic!$C$30="Yes",3,0))/5,0)+S100)&gt;=($D$3+P100+SUMIF(Character!$I$62:$I$66,"Enigmatic Wisdom",Character!$J$62:$J$66)+Q100+U100),"No Twilight","Twilight")))</f>
        <v>No Twilight</v>
      </c>
      <c r="W100" s="483"/>
      <c r="X100" s="478"/>
      <c r="Y100" s="484"/>
      <c r="Z100" s="478"/>
      <c r="AA100" s="485" t="str">
        <f>IF(V100="Uncomprehended Twilight","Failed",IF(OR(ISBLANK(W100),ISBLANK(Y100))," ",IF(NOT(ISBLANK(X100)),"Failed",IF((W100+Character!$B$9+SUMIF(Character!$I$62:$I$66,"Enigmatic Wisdom",Character!$J$62:$J$66))&gt;=IF(Z100="Yes",0,(Y100+D95)),"Succeeded","Failed"))))</f>
        <v xml:space="preserve"> </v>
      </c>
      <c r="AB100" s="477" t="str">
        <f>IF(AA100=" "," ",IF(NOT(ISBLANK(X100)),VLOOKUP($D$3+X100,Calcs!$A$110:$C$122,3,TRUE),IF(AA100="Failed",VLOOKUP($D$3,Calcs!$A$110:$C$122,3,TRUE),VLOOKUP($D$3-(IF((Character!$B$9+W100)&gt;($D$3+Y100),(Character!$B$9+W100)-($D$3+Y100),0)),Calcs!$A$110:$C$122,3,TRUE))))</f>
        <v xml:space="preserve"> </v>
      </c>
      <c r="AC100" s="489"/>
      <c r="AD100" s="489" t="str">
        <f>IF(IF(AA100=" "," ",IF(NOT(ISBLANK(X100)),VLOOKUP($D$3+X100,Calcs!$A$110:$B$122,2,TRUE),IF(AA100="Failed",VLOOKUP($D$3,Calcs!$A$110:$B$122,2,TRUE),VLOOKUP($D$3-(IF((Character!$B$9+W100)&gt;($D$3+Y100),(Character!$B$9+W100)-($D$3+Y100),0)),Calcs!$A$110:$B$122,2,TRUE))))=Calcs!$B$120,IF(ISBLANK(AC100)," ",CONCATENATE(AC100+7," Years")),IF(AA100=" "," ",IF(NOT(ISBLANK(X100)),VLOOKUP($D$3+X100,Calcs!$A$110:$B$122,2,TRUE),IF(AA100="Failed",VLOOKUP($D$3,Calcs!$A$110:$B$122,2,TRUE),VLOOKUP($D$3-(IF((Character!$B$9+W100)&gt;($D$3+Y100),(Character!$B$9+W100)-($D$3+Y100),0)),Calcs!$A$110:$B$122,2,TRUE)))))</f>
        <v xml:space="preserve"> </v>
      </c>
      <c r="AE100" s="490"/>
      <c r="AF100" s="879"/>
      <c r="AG100" s="491"/>
    </row>
    <row r="101" spans="1:33" x14ac:dyDescent="0.2">
      <c r="A101" s="415">
        <f t="shared" si="2"/>
        <v>1235</v>
      </c>
      <c r="B101" s="419" t="str">
        <f t="shared" si="3"/>
        <v>Spring</v>
      </c>
      <c r="C101" s="455"/>
      <c r="D101" s="504"/>
      <c r="E101" s="455"/>
      <c r="F101" s="504"/>
      <c r="G101" s="455"/>
      <c r="H101" s="504"/>
      <c r="I101" s="455"/>
      <c r="J101" s="504"/>
      <c r="L101" s="472"/>
      <c r="M101" s="468"/>
      <c r="N101" s="468"/>
      <c r="O101" s="468"/>
      <c r="P101" s="468"/>
      <c r="Q101" s="473"/>
      <c r="R101" s="477" t="str">
        <f>IF(AND(COUNTIF('Start Character'!$I$63:$M$77,"Twilight Prone")=1,NOT(ISERROR(FIND("Magical Botch",M101)))),"Yes",IF(P101&gt;1,"Yes","No"))</f>
        <v>No</v>
      </c>
      <c r="S101" s="501"/>
      <c r="T101" s="478"/>
      <c r="U101" s="501"/>
      <c r="V101" s="479" t="str">
        <f>IF(R101="No","No Twilight",IF(T101="Yes","Uncomprehended Twilight",IF((Character!$B$14+IF(Character!$B$53="Yes",0,Character!$B$53)+IF(Magic!$C$5="Yes",2,0)+ROUNDUP((Magic!$B$30+IF(Magic!$C$30="Yes",3,0))/5,0)+S101)&gt;=($D$3+P101+SUMIF(Character!$I$62:$I$66,"Enigmatic Wisdom",Character!$J$62:$J$66)+Q101+U101),"No Twilight","Twilight")))</f>
        <v>No Twilight</v>
      </c>
      <c r="W101" s="483"/>
      <c r="X101" s="478"/>
      <c r="Y101" s="484"/>
      <c r="Z101" s="478"/>
      <c r="AA101" s="485" t="str">
        <f>IF(V101="Uncomprehended Twilight","Failed",IF(OR(ISBLANK(W101),ISBLANK(Y101))," ",IF(NOT(ISBLANK(X101)),"Failed",IF((W101+Character!$B$9+SUMIF(Character!$I$62:$I$66,"Enigmatic Wisdom",Character!$J$62:$J$66))&gt;=IF(Z101="Yes",0,(Y101+D96)),"Succeeded","Failed"))))</f>
        <v xml:space="preserve"> </v>
      </c>
      <c r="AB101" s="477" t="str">
        <f>IF(AA101=" "," ",IF(NOT(ISBLANK(X101)),VLOOKUP($D$3+X101,Calcs!$A$110:$C$122,3,TRUE),IF(AA101="Failed",VLOOKUP($D$3,Calcs!$A$110:$C$122,3,TRUE),VLOOKUP($D$3-(IF((Character!$B$9+W101)&gt;($D$3+Y101),(Character!$B$9+W101)-($D$3+Y101),0)),Calcs!$A$110:$C$122,3,TRUE))))</f>
        <v xml:space="preserve"> </v>
      </c>
      <c r="AC101" s="489"/>
      <c r="AD101" s="489" t="str">
        <f>IF(IF(AA101=" "," ",IF(NOT(ISBLANK(X101)),VLOOKUP($D$3+X101,Calcs!$A$110:$B$122,2,TRUE),IF(AA101="Failed",VLOOKUP($D$3,Calcs!$A$110:$B$122,2,TRUE),VLOOKUP($D$3-(IF((Character!$B$9+W101)&gt;($D$3+Y101),(Character!$B$9+W101)-($D$3+Y101),0)),Calcs!$A$110:$B$122,2,TRUE))))=Calcs!$B$120,IF(ISBLANK(AC101)," ",CONCATENATE(AC101+7," Years")),IF(AA101=" "," ",IF(NOT(ISBLANK(X101)),VLOOKUP($D$3+X101,Calcs!$A$110:$B$122,2,TRUE),IF(AA101="Failed",VLOOKUP($D$3,Calcs!$A$110:$B$122,2,TRUE),VLOOKUP($D$3-(IF((Character!$B$9+W101)&gt;($D$3+Y101),(Character!$B$9+W101)-($D$3+Y101),0)),Calcs!$A$110:$B$122,2,TRUE)))))</f>
        <v xml:space="preserve"> </v>
      </c>
      <c r="AE101" s="490"/>
      <c r="AF101" s="879"/>
      <c r="AG101" s="491"/>
    </row>
    <row r="102" spans="1:33" x14ac:dyDescent="0.2">
      <c r="A102" s="415">
        <f t="shared" si="2"/>
        <v>1235</v>
      </c>
      <c r="B102" s="419" t="str">
        <f t="shared" si="3"/>
        <v>Summer</v>
      </c>
      <c r="C102" s="455"/>
      <c r="D102" s="504"/>
      <c r="E102" s="455"/>
      <c r="F102" s="504"/>
      <c r="G102" s="455"/>
      <c r="H102" s="504"/>
      <c r="I102" s="455"/>
      <c r="J102" s="504"/>
      <c r="L102" s="472"/>
      <c r="M102" s="468"/>
      <c r="N102" s="468"/>
      <c r="O102" s="468"/>
      <c r="P102" s="468"/>
      <c r="Q102" s="473"/>
      <c r="R102" s="477" t="str">
        <f>IF(AND(COUNTIF('Start Character'!$I$63:$M$77,"Twilight Prone")=1,NOT(ISERROR(FIND("Magical Botch",M102)))),"Yes",IF(P102&gt;1,"Yes","No"))</f>
        <v>No</v>
      </c>
      <c r="S102" s="501"/>
      <c r="T102" s="478"/>
      <c r="U102" s="501"/>
      <c r="V102" s="479" t="str">
        <f>IF(R102="No","No Twilight",IF(T102="Yes","Uncomprehended Twilight",IF((Character!$B$14+IF(Character!$B$53="Yes",0,Character!$B$53)+IF(Magic!$C$5="Yes",2,0)+ROUNDUP((Magic!$B$30+IF(Magic!$C$30="Yes",3,0))/5,0)+S102)&gt;=($D$3+P102+SUMIF(Character!$I$62:$I$66,"Enigmatic Wisdom",Character!$J$62:$J$66)+Q102+U102),"No Twilight","Twilight")))</f>
        <v>No Twilight</v>
      </c>
      <c r="W102" s="483"/>
      <c r="X102" s="478"/>
      <c r="Y102" s="484"/>
      <c r="Z102" s="478"/>
      <c r="AA102" s="485" t="str">
        <f>IF(V102="Uncomprehended Twilight","Failed",IF(OR(ISBLANK(W102),ISBLANK(Y102))," ",IF(NOT(ISBLANK(X102)),"Failed",IF((W102+Character!$B$9+SUMIF(Character!$I$62:$I$66,"Enigmatic Wisdom",Character!$J$62:$J$66))&gt;=IF(Z102="Yes",0,(Y102+D97)),"Succeeded","Failed"))))</f>
        <v xml:space="preserve"> </v>
      </c>
      <c r="AB102" s="477" t="str">
        <f>IF(AA102=" "," ",IF(NOT(ISBLANK(X102)),VLOOKUP($D$3+X102,Calcs!$A$110:$C$122,3,TRUE),IF(AA102="Failed",VLOOKUP($D$3,Calcs!$A$110:$C$122,3,TRUE),VLOOKUP($D$3-(IF((Character!$B$9+W102)&gt;($D$3+Y102),(Character!$B$9+W102)-($D$3+Y102),0)),Calcs!$A$110:$C$122,3,TRUE))))</f>
        <v xml:space="preserve"> </v>
      </c>
      <c r="AC102" s="489"/>
      <c r="AD102" s="489" t="str">
        <f>IF(IF(AA102=" "," ",IF(NOT(ISBLANK(X102)),VLOOKUP($D$3+X102,Calcs!$A$110:$B$122,2,TRUE),IF(AA102="Failed",VLOOKUP($D$3,Calcs!$A$110:$B$122,2,TRUE),VLOOKUP($D$3-(IF((Character!$B$9+W102)&gt;($D$3+Y102),(Character!$B$9+W102)-($D$3+Y102),0)),Calcs!$A$110:$B$122,2,TRUE))))=Calcs!$B$120,IF(ISBLANK(AC102)," ",CONCATENATE(AC102+7," Years")),IF(AA102=" "," ",IF(NOT(ISBLANK(X102)),VLOOKUP($D$3+X102,Calcs!$A$110:$B$122,2,TRUE),IF(AA102="Failed",VLOOKUP($D$3,Calcs!$A$110:$B$122,2,TRUE),VLOOKUP($D$3-(IF((Character!$B$9+W102)&gt;($D$3+Y102),(Character!$B$9+W102)-($D$3+Y102),0)),Calcs!$A$110:$B$122,2,TRUE)))))</f>
        <v xml:space="preserve"> </v>
      </c>
      <c r="AE102" s="490"/>
      <c r="AF102" s="879"/>
      <c r="AG102" s="491"/>
    </row>
    <row r="103" spans="1:33" x14ac:dyDescent="0.2">
      <c r="A103" s="415">
        <f t="shared" si="2"/>
        <v>1235</v>
      </c>
      <c r="B103" s="419" t="str">
        <f t="shared" si="3"/>
        <v>Autumn</v>
      </c>
      <c r="C103" s="455"/>
      <c r="D103" s="504"/>
      <c r="E103" s="455"/>
      <c r="F103" s="504"/>
      <c r="G103" s="455"/>
      <c r="H103" s="504"/>
      <c r="I103" s="455"/>
      <c r="J103" s="504"/>
      <c r="L103" s="472"/>
      <c r="M103" s="468"/>
      <c r="N103" s="468"/>
      <c r="O103" s="468"/>
      <c r="P103" s="468"/>
      <c r="Q103" s="473"/>
      <c r="R103" s="477" t="str">
        <f>IF(AND(COUNTIF('Start Character'!$I$63:$M$77,"Twilight Prone")=1,NOT(ISERROR(FIND("Magical Botch",M103)))),"Yes",IF(P103&gt;1,"Yes","No"))</f>
        <v>No</v>
      </c>
      <c r="S103" s="501"/>
      <c r="T103" s="478"/>
      <c r="U103" s="501"/>
      <c r="V103" s="479" t="str">
        <f>IF(R103="No","No Twilight",IF(T103="Yes","Uncomprehended Twilight",IF((Character!$B$14+IF(Character!$B$53="Yes",0,Character!$B$53)+IF(Magic!$C$5="Yes",2,0)+ROUNDUP((Magic!$B$30+IF(Magic!$C$30="Yes",3,0))/5,0)+S103)&gt;=($D$3+P103+SUMIF(Character!$I$62:$I$66,"Enigmatic Wisdom",Character!$J$62:$J$66)+Q103+U103),"No Twilight","Twilight")))</f>
        <v>No Twilight</v>
      </c>
      <c r="W103" s="483"/>
      <c r="X103" s="478"/>
      <c r="Y103" s="484"/>
      <c r="Z103" s="478"/>
      <c r="AA103" s="485" t="str">
        <f>IF(V103="Uncomprehended Twilight","Failed",IF(OR(ISBLANK(W103),ISBLANK(Y103))," ",IF(NOT(ISBLANK(X103)),"Failed",IF((W103+Character!$B$9+SUMIF(Character!$I$62:$I$66,"Enigmatic Wisdom",Character!$J$62:$J$66))&gt;=IF(Z103="Yes",0,(Y103+D98)),"Succeeded","Failed"))))</f>
        <v xml:space="preserve"> </v>
      </c>
      <c r="AB103" s="477" t="str">
        <f>IF(AA103=" "," ",IF(NOT(ISBLANK(X103)),VLOOKUP($D$3+X103,Calcs!$A$110:$C$122,3,TRUE),IF(AA103="Failed",VLOOKUP($D$3,Calcs!$A$110:$C$122,3,TRUE),VLOOKUP($D$3-(IF((Character!$B$9+W103)&gt;($D$3+Y103),(Character!$B$9+W103)-($D$3+Y103),0)),Calcs!$A$110:$C$122,3,TRUE))))</f>
        <v xml:space="preserve"> </v>
      </c>
      <c r="AC103" s="489"/>
      <c r="AD103" s="489" t="str">
        <f>IF(IF(AA103=" "," ",IF(NOT(ISBLANK(X103)),VLOOKUP($D$3+X103,Calcs!$A$110:$B$122,2,TRUE),IF(AA103="Failed",VLOOKUP($D$3,Calcs!$A$110:$B$122,2,TRUE),VLOOKUP($D$3-(IF((Character!$B$9+W103)&gt;($D$3+Y103),(Character!$B$9+W103)-($D$3+Y103),0)),Calcs!$A$110:$B$122,2,TRUE))))=Calcs!$B$120,IF(ISBLANK(AC103)," ",CONCATENATE(AC103+7," Years")),IF(AA103=" "," ",IF(NOT(ISBLANK(X103)),VLOOKUP($D$3+X103,Calcs!$A$110:$B$122,2,TRUE),IF(AA103="Failed",VLOOKUP($D$3,Calcs!$A$110:$B$122,2,TRUE),VLOOKUP($D$3-(IF((Character!$B$9+W103)&gt;($D$3+Y103),(Character!$B$9+W103)-($D$3+Y103),0)),Calcs!$A$110:$B$122,2,TRUE)))))</f>
        <v xml:space="preserve"> </v>
      </c>
      <c r="AE103" s="490"/>
      <c r="AF103" s="879"/>
      <c r="AG103" s="491"/>
    </row>
    <row r="104" spans="1:33" x14ac:dyDescent="0.2">
      <c r="A104" s="415">
        <f t="shared" si="2"/>
        <v>1236</v>
      </c>
      <c r="B104" s="419" t="str">
        <f t="shared" si="3"/>
        <v>Winter</v>
      </c>
      <c r="C104" s="455"/>
      <c r="D104" s="504"/>
      <c r="E104" s="455"/>
      <c r="F104" s="504"/>
      <c r="G104" s="455"/>
      <c r="H104" s="504"/>
      <c r="I104" s="455"/>
      <c r="J104" s="504"/>
      <c r="L104" s="472"/>
      <c r="M104" s="468"/>
      <c r="N104" s="468"/>
      <c r="O104" s="468"/>
      <c r="P104" s="468"/>
      <c r="Q104" s="473"/>
      <c r="R104" s="477" t="str">
        <f>IF(AND(COUNTIF('Start Character'!$I$63:$M$77,"Twilight Prone")=1,NOT(ISERROR(FIND("Magical Botch",M104)))),"Yes",IF(P104&gt;1,"Yes","No"))</f>
        <v>No</v>
      </c>
      <c r="S104" s="501"/>
      <c r="T104" s="478"/>
      <c r="U104" s="501"/>
      <c r="V104" s="479" t="str">
        <f>IF(R104="No","No Twilight",IF(T104="Yes","Uncomprehended Twilight",IF((Character!$B$14+IF(Character!$B$53="Yes",0,Character!$B$53)+IF(Magic!$C$5="Yes",2,0)+ROUNDUP((Magic!$B$30+IF(Magic!$C$30="Yes",3,0))/5,0)+S104)&gt;=($D$3+P104+SUMIF(Character!$I$62:$I$66,"Enigmatic Wisdom",Character!$J$62:$J$66)+Q104+U104),"No Twilight","Twilight")))</f>
        <v>No Twilight</v>
      </c>
      <c r="W104" s="483"/>
      <c r="X104" s="478"/>
      <c r="Y104" s="484"/>
      <c r="Z104" s="478"/>
      <c r="AA104" s="485" t="str">
        <f>IF(V104="Uncomprehended Twilight","Failed",IF(OR(ISBLANK(W104),ISBLANK(Y104))," ",IF(NOT(ISBLANK(X104)),"Failed",IF((W104+Character!$B$9+SUMIF(Character!$I$62:$I$66,"Enigmatic Wisdom",Character!$J$62:$J$66))&gt;=IF(Z104="Yes",0,(Y104+D99)),"Succeeded","Failed"))))</f>
        <v xml:space="preserve"> </v>
      </c>
      <c r="AB104" s="477" t="str">
        <f>IF(AA104=" "," ",IF(NOT(ISBLANK(X104)),VLOOKUP($D$3+X104,Calcs!$A$110:$C$122,3,TRUE),IF(AA104="Failed",VLOOKUP($D$3,Calcs!$A$110:$C$122,3,TRUE),VLOOKUP($D$3-(IF((Character!$B$9+W104)&gt;($D$3+Y104),(Character!$B$9+W104)-($D$3+Y104),0)),Calcs!$A$110:$C$122,3,TRUE))))</f>
        <v xml:space="preserve"> </v>
      </c>
      <c r="AC104" s="489"/>
      <c r="AD104" s="489" t="str">
        <f>IF(IF(AA104=" "," ",IF(NOT(ISBLANK(X104)),VLOOKUP($D$3+X104,Calcs!$A$110:$B$122,2,TRUE),IF(AA104="Failed",VLOOKUP($D$3,Calcs!$A$110:$B$122,2,TRUE),VLOOKUP($D$3-(IF((Character!$B$9+W104)&gt;($D$3+Y104),(Character!$B$9+W104)-($D$3+Y104),0)),Calcs!$A$110:$B$122,2,TRUE))))=Calcs!$B$120,IF(ISBLANK(AC104)," ",CONCATENATE(AC104+7," Years")),IF(AA104=" "," ",IF(NOT(ISBLANK(X104)),VLOOKUP($D$3+X104,Calcs!$A$110:$B$122,2,TRUE),IF(AA104="Failed",VLOOKUP($D$3,Calcs!$A$110:$B$122,2,TRUE),VLOOKUP($D$3-(IF((Character!$B$9+W104)&gt;($D$3+Y104),(Character!$B$9+W104)-($D$3+Y104),0)),Calcs!$A$110:$B$122,2,TRUE)))))</f>
        <v xml:space="preserve"> </v>
      </c>
      <c r="AE104" s="490"/>
      <c r="AF104" s="879"/>
      <c r="AG104" s="491"/>
    </row>
    <row r="105" spans="1:33" x14ac:dyDescent="0.2">
      <c r="A105" s="415">
        <f t="shared" si="2"/>
        <v>1236</v>
      </c>
      <c r="B105" s="419" t="str">
        <f t="shared" si="3"/>
        <v>Spring</v>
      </c>
      <c r="C105" s="455"/>
      <c r="D105" s="504"/>
      <c r="E105" s="455"/>
      <c r="F105" s="504"/>
      <c r="G105" s="455"/>
      <c r="H105" s="504"/>
      <c r="I105" s="455"/>
      <c r="J105" s="504"/>
      <c r="L105" s="472"/>
      <c r="M105" s="468"/>
      <c r="N105" s="468"/>
      <c r="O105" s="468"/>
      <c r="P105" s="468"/>
      <c r="Q105" s="473"/>
      <c r="R105" s="477" t="str">
        <f>IF(AND(COUNTIF('Start Character'!$I$63:$M$77,"Twilight Prone")=1,NOT(ISERROR(FIND("Magical Botch",M105)))),"Yes",IF(P105&gt;1,"Yes","No"))</f>
        <v>No</v>
      </c>
      <c r="S105" s="501"/>
      <c r="T105" s="478"/>
      <c r="U105" s="501"/>
      <c r="V105" s="479" t="str">
        <f>IF(R105="No","No Twilight",IF(T105="Yes","Uncomprehended Twilight",IF((Character!$B$14+IF(Character!$B$53="Yes",0,Character!$B$53)+IF(Magic!$C$5="Yes",2,0)+ROUNDUP((Magic!$B$30+IF(Magic!$C$30="Yes",3,0))/5,0)+S105)&gt;=($D$3+P105+SUMIF(Character!$I$62:$I$66,"Enigmatic Wisdom",Character!$J$62:$J$66)+Q105+U105),"No Twilight","Twilight")))</f>
        <v>No Twilight</v>
      </c>
      <c r="W105" s="483"/>
      <c r="X105" s="478"/>
      <c r="Y105" s="484"/>
      <c r="Z105" s="478"/>
      <c r="AA105" s="485" t="str">
        <f>IF(V105="Uncomprehended Twilight","Failed",IF(OR(ISBLANK(W105),ISBLANK(Y105))," ",IF(NOT(ISBLANK(X105)),"Failed",IF((W105+Character!$B$9+SUMIF(Character!$I$62:$I$66,"Enigmatic Wisdom",Character!$J$62:$J$66))&gt;=IF(Z105="Yes",0,(Y105+D100)),"Succeeded","Failed"))))</f>
        <v xml:space="preserve"> </v>
      </c>
      <c r="AB105" s="477" t="str">
        <f>IF(AA105=" "," ",IF(NOT(ISBLANK(X105)),VLOOKUP($D$3+X105,Calcs!$A$110:$C$122,3,TRUE),IF(AA105="Failed",VLOOKUP($D$3,Calcs!$A$110:$C$122,3,TRUE),VLOOKUP($D$3-(IF((Character!$B$9+W105)&gt;($D$3+Y105),(Character!$B$9+W105)-($D$3+Y105),0)),Calcs!$A$110:$C$122,3,TRUE))))</f>
        <v xml:space="preserve"> </v>
      </c>
      <c r="AC105" s="489"/>
      <c r="AD105" s="489" t="str">
        <f>IF(IF(AA105=" "," ",IF(NOT(ISBLANK(X105)),VLOOKUP($D$3+X105,Calcs!$A$110:$B$122,2,TRUE),IF(AA105="Failed",VLOOKUP($D$3,Calcs!$A$110:$B$122,2,TRUE),VLOOKUP($D$3-(IF((Character!$B$9+W105)&gt;($D$3+Y105),(Character!$B$9+W105)-($D$3+Y105),0)),Calcs!$A$110:$B$122,2,TRUE))))=Calcs!$B$120,IF(ISBLANK(AC105)," ",CONCATENATE(AC105+7," Years")),IF(AA105=" "," ",IF(NOT(ISBLANK(X105)),VLOOKUP($D$3+X105,Calcs!$A$110:$B$122,2,TRUE),IF(AA105="Failed",VLOOKUP($D$3,Calcs!$A$110:$B$122,2,TRUE),VLOOKUP($D$3-(IF((Character!$B$9+W105)&gt;($D$3+Y105),(Character!$B$9+W105)-($D$3+Y105),0)),Calcs!$A$110:$B$122,2,TRUE)))))</f>
        <v xml:space="preserve"> </v>
      </c>
      <c r="AE105" s="490"/>
      <c r="AF105" s="879"/>
      <c r="AG105" s="491"/>
    </row>
    <row r="106" spans="1:33" x14ac:dyDescent="0.2">
      <c r="A106" s="415">
        <f t="shared" si="2"/>
        <v>1236</v>
      </c>
      <c r="B106" s="419" t="str">
        <f t="shared" si="3"/>
        <v>Summer</v>
      </c>
      <c r="C106" s="455"/>
      <c r="D106" s="504"/>
      <c r="E106" s="455"/>
      <c r="F106" s="504"/>
      <c r="G106" s="455"/>
      <c r="H106" s="504"/>
      <c r="I106" s="455"/>
      <c r="J106" s="504"/>
      <c r="L106" s="472"/>
      <c r="M106" s="468"/>
      <c r="N106" s="468"/>
      <c r="O106" s="468"/>
      <c r="P106" s="468"/>
      <c r="Q106" s="473"/>
      <c r="R106" s="477" t="str">
        <f>IF(AND(COUNTIF('Start Character'!$I$63:$M$77,"Twilight Prone")=1,NOT(ISERROR(FIND("Magical Botch",M106)))),"Yes",IF(P106&gt;1,"Yes","No"))</f>
        <v>No</v>
      </c>
      <c r="S106" s="501"/>
      <c r="T106" s="478"/>
      <c r="U106" s="501"/>
      <c r="V106" s="479" t="str">
        <f>IF(R106="No","No Twilight",IF(T106="Yes","Uncomprehended Twilight",IF((Character!$B$14+IF(Character!$B$53="Yes",0,Character!$B$53)+IF(Magic!$C$5="Yes",2,0)+ROUNDUP((Magic!$B$30+IF(Magic!$C$30="Yes",3,0))/5,0)+S106)&gt;=($D$3+P106+SUMIF(Character!$I$62:$I$66,"Enigmatic Wisdom",Character!$J$62:$J$66)+Q106+U106),"No Twilight","Twilight")))</f>
        <v>No Twilight</v>
      </c>
      <c r="W106" s="483"/>
      <c r="X106" s="478"/>
      <c r="Y106" s="484"/>
      <c r="Z106" s="478"/>
      <c r="AA106" s="485" t="str">
        <f>IF(V106="Uncomprehended Twilight","Failed",IF(OR(ISBLANK(W106),ISBLANK(Y106))," ",IF(NOT(ISBLANK(X106)),"Failed",IF((W106+Character!$B$9+SUMIF(Character!$I$62:$I$66,"Enigmatic Wisdom",Character!$J$62:$J$66))&gt;=IF(Z106="Yes",0,(Y106+D101)),"Succeeded","Failed"))))</f>
        <v xml:space="preserve"> </v>
      </c>
      <c r="AB106" s="477" t="str">
        <f>IF(AA106=" "," ",IF(NOT(ISBLANK(X106)),VLOOKUP($D$3+X106,Calcs!$A$110:$C$122,3,TRUE),IF(AA106="Failed",VLOOKUP($D$3,Calcs!$A$110:$C$122,3,TRUE),VLOOKUP($D$3-(IF((Character!$B$9+W106)&gt;($D$3+Y106),(Character!$B$9+W106)-($D$3+Y106),0)),Calcs!$A$110:$C$122,3,TRUE))))</f>
        <v xml:space="preserve"> </v>
      </c>
      <c r="AC106" s="489"/>
      <c r="AD106" s="489" t="str">
        <f>IF(IF(AA106=" "," ",IF(NOT(ISBLANK(X106)),VLOOKUP($D$3+X106,Calcs!$A$110:$B$122,2,TRUE),IF(AA106="Failed",VLOOKUP($D$3,Calcs!$A$110:$B$122,2,TRUE),VLOOKUP($D$3-(IF((Character!$B$9+W106)&gt;($D$3+Y106),(Character!$B$9+W106)-($D$3+Y106),0)),Calcs!$A$110:$B$122,2,TRUE))))=Calcs!$B$120,IF(ISBLANK(AC106)," ",CONCATENATE(AC106+7," Years")),IF(AA106=" "," ",IF(NOT(ISBLANK(X106)),VLOOKUP($D$3+X106,Calcs!$A$110:$B$122,2,TRUE),IF(AA106="Failed",VLOOKUP($D$3,Calcs!$A$110:$B$122,2,TRUE),VLOOKUP($D$3-(IF((Character!$B$9+W106)&gt;($D$3+Y106),(Character!$B$9+W106)-($D$3+Y106),0)),Calcs!$A$110:$B$122,2,TRUE)))))</f>
        <v xml:space="preserve"> </v>
      </c>
      <c r="AE106" s="490"/>
      <c r="AF106" s="879"/>
      <c r="AG106" s="491"/>
    </row>
    <row r="107" spans="1:33" x14ac:dyDescent="0.2">
      <c r="A107" s="415">
        <f t="shared" si="2"/>
        <v>1236</v>
      </c>
      <c r="B107" s="419" t="str">
        <f t="shared" si="3"/>
        <v>Autumn</v>
      </c>
      <c r="C107" s="455"/>
      <c r="D107" s="504"/>
      <c r="E107" s="455"/>
      <c r="F107" s="504"/>
      <c r="G107" s="455"/>
      <c r="H107" s="504"/>
      <c r="I107" s="455"/>
      <c r="J107" s="504"/>
      <c r="L107" s="472"/>
      <c r="M107" s="468"/>
      <c r="N107" s="468"/>
      <c r="O107" s="468"/>
      <c r="P107" s="468"/>
      <c r="Q107" s="473"/>
      <c r="R107" s="477" t="str">
        <f>IF(AND(COUNTIF('Start Character'!$I$63:$M$77,"Twilight Prone")=1,NOT(ISERROR(FIND("Magical Botch",M107)))),"Yes",IF(P107&gt;1,"Yes","No"))</f>
        <v>No</v>
      </c>
      <c r="S107" s="501"/>
      <c r="T107" s="478"/>
      <c r="U107" s="501"/>
      <c r="V107" s="479" t="str">
        <f>IF(R107="No","No Twilight",IF(T107="Yes","Uncomprehended Twilight",IF((Character!$B$14+IF(Character!$B$53="Yes",0,Character!$B$53)+IF(Magic!$C$5="Yes",2,0)+ROUNDUP((Magic!$B$30+IF(Magic!$C$30="Yes",3,0))/5,0)+S107)&gt;=($D$3+P107+SUMIF(Character!$I$62:$I$66,"Enigmatic Wisdom",Character!$J$62:$J$66)+Q107+U107),"No Twilight","Twilight")))</f>
        <v>No Twilight</v>
      </c>
      <c r="W107" s="483"/>
      <c r="X107" s="478"/>
      <c r="Y107" s="484"/>
      <c r="Z107" s="478"/>
      <c r="AA107" s="485" t="str">
        <f>IF(V107="Uncomprehended Twilight","Failed",IF(OR(ISBLANK(W107),ISBLANK(Y107))," ",IF(NOT(ISBLANK(X107)),"Failed",IF((W107+Character!$B$9+SUMIF(Character!$I$62:$I$66,"Enigmatic Wisdom",Character!$J$62:$J$66))&gt;=IF(Z107="Yes",0,(Y107+D102)),"Succeeded","Failed"))))</f>
        <v xml:space="preserve"> </v>
      </c>
      <c r="AB107" s="477" t="str">
        <f>IF(AA107=" "," ",IF(NOT(ISBLANK(X107)),VLOOKUP($D$3+X107,Calcs!$A$110:$C$122,3,TRUE),IF(AA107="Failed",VLOOKUP($D$3,Calcs!$A$110:$C$122,3,TRUE),VLOOKUP($D$3-(IF((Character!$B$9+W107)&gt;($D$3+Y107),(Character!$B$9+W107)-($D$3+Y107),0)),Calcs!$A$110:$C$122,3,TRUE))))</f>
        <v xml:space="preserve"> </v>
      </c>
      <c r="AC107" s="489"/>
      <c r="AD107" s="489" t="str">
        <f>IF(IF(AA107=" "," ",IF(NOT(ISBLANK(X107)),VLOOKUP($D$3+X107,Calcs!$A$110:$B$122,2,TRUE),IF(AA107="Failed",VLOOKUP($D$3,Calcs!$A$110:$B$122,2,TRUE),VLOOKUP($D$3-(IF((Character!$B$9+W107)&gt;($D$3+Y107),(Character!$B$9+W107)-($D$3+Y107),0)),Calcs!$A$110:$B$122,2,TRUE))))=Calcs!$B$120,IF(ISBLANK(AC107)," ",CONCATENATE(AC107+7," Years")),IF(AA107=" "," ",IF(NOT(ISBLANK(X107)),VLOOKUP($D$3+X107,Calcs!$A$110:$B$122,2,TRUE),IF(AA107="Failed",VLOOKUP($D$3,Calcs!$A$110:$B$122,2,TRUE),VLOOKUP($D$3-(IF((Character!$B$9+W107)&gt;($D$3+Y107),(Character!$B$9+W107)-($D$3+Y107),0)),Calcs!$A$110:$B$122,2,TRUE)))))</f>
        <v xml:space="preserve"> </v>
      </c>
      <c r="AE107" s="490"/>
      <c r="AF107" s="879"/>
      <c r="AG107" s="491"/>
    </row>
    <row r="108" spans="1:33" x14ac:dyDescent="0.2">
      <c r="A108" s="415">
        <f t="shared" si="2"/>
        <v>1237</v>
      </c>
      <c r="B108" s="419" t="str">
        <f t="shared" si="3"/>
        <v>Winter</v>
      </c>
      <c r="C108" s="455"/>
      <c r="D108" s="504"/>
      <c r="E108" s="455"/>
      <c r="F108" s="504"/>
      <c r="G108" s="455"/>
      <c r="H108" s="504"/>
      <c r="I108" s="455"/>
      <c r="J108" s="504"/>
      <c r="L108" s="472"/>
      <c r="M108" s="468"/>
      <c r="N108" s="468"/>
      <c r="O108" s="468"/>
      <c r="P108" s="468"/>
      <c r="Q108" s="473"/>
      <c r="R108" s="477" t="str">
        <f>IF(AND(COUNTIF('Start Character'!$I$63:$M$77,"Twilight Prone")=1,NOT(ISERROR(FIND("Magical Botch",M108)))),"Yes",IF(P108&gt;1,"Yes","No"))</f>
        <v>No</v>
      </c>
      <c r="S108" s="501"/>
      <c r="T108" s="478"/>
      <c r="U108" s="501"/>
      <c r="V108" s="479" t="str">
        <f>IF(R108="No","No Twilight",IF(T108="Yes","Uncomprehended Twilight",IF((Character!$B$14+IF(Character!$B$53="Yes",0,Character!$B$53)+IF(Magic!$C$5="Yes",2,0)+ROUNDUP((Magic!$B$30+IF(Magic!$C$30="Yes",3,0))/5,0)+S108)&gt;=($D$3+P108+SUMIF(Character!$I$62:$I$66,"Enigmatic Wisdom",Character!$J$62:$J$66)+Q108+U108),"No Twilight","Twilight")))</f>
        <v>No Twilight</v>
      </c>
      <c r="W108" s="483"/>
      <c r="X108" s="478"/>
      <c r="Y108" s="484"/>
      <c r="Z108" s="478"/>
      <c r="AA108" s="485" t="str">
        <f>IF(V108="Uncomprehended Twilight","Failed",IF(OR(ISBLANK(W108),ISBLANK(Y108))," ",IF(NOT(ISBLANK(X108)),"Failed",IF((W108+Character!$B$9+SUMIF(Character!$I$62:$I$66,"Enigmatic Wisdom",Character!$J$62:$J$66))&gt;=IF(Z108="Yes",0,(Y108+D103)),"Succeeded","Failed"))))</f>
        <v xml:space="preserve"> </v>
      </c>
      <c r="AB108" s="477" t="str">
        <f>IF(AA108=" "," ",IF(NOT(ISBLANK(X108)),VLOOKUP($D$3+X108,Calcs!$A$110:$C$122,3,TRUE),IF(AA108="Failed",VLOOKUP($D$3,Calcs!$A$110:$C$122,3,TRUE),VLOOKUP($D$3-(IF((Character!$B$9+W108)&gt;($D$3+Y108),(Character!$B$9+W108)-($D$3+Y108),0)),Calcs!$A$110:$C$122,3,TRUE))))</f>
        <v xml:space="preserve"> </v>
      </c>
      <c r="AC108" s="489"/>
      <c r="AD108" s="489" t="str">
        <f>IF(IF(AA108=" "," ",IF(NOT(ISBLANK(X108)),VLOOKUP($D$3+X108,Calcs!$A$110:$B$122,2,TRUE),IF(AA108="Failed",VLOOKUP($D$3,Calcs!$A$110:$B$122,2,TRUE),VLOOKUP($D$3-(IF((Character!$B$9+W108)&gt;($D$3+Y108),(Character!$B$9+W108)-($D$3+Y108),0)),Calcs!$A$110:$B$122,2,TRUE))))=Calcs!$B$120,IF(ISBLANK(AC108)," ",CONCATENATE(AC108+7," Years")),IF(AA108=" "," ",IF(NOT(ISBLANK(X108)),VLOOKUP($D$3+X108,Calcs!$A$110:$B$122,2,TRUE),IF(AA108="Failed",VLOOKUP($D$3,Calcs!$A$110:$B$122,2,TRUE),VLOOKUP($D$3-(IF((Character!$B$9+W108)&gt;($D$3+Y108),(Character!$B$9+W108)-($D$3+Y108),0)),Calcs!$A$110:$B$122,2,TRUE)))))</f>
        <v xml:space="preserve"> </v>
      </c>
      <c r="AE108" s="490"/>
      <c r="AF108" s="879"/>
      <c r="AG108" s="491"/>
    </row>
    <row r="109" spans="1:33" x14ac:dyDescent="0.2">
      <c r="A109" s="415">
        <f t="shared" si="2"/>
        <v>1237</v>
      </c>
      <c r="B109" s="419" t="str">
        <f t="shared" si="3"/>
        <v>Spring</v>
      </c>
      <c r="C109" s="455"/>
      <c r="D109" s="504"/>
      <c r="E109" s="455"/>
      <c r="F109" s="504"/>
      <c r="G109" s="455"/>
      <c r="H109" s="504"/>
      <c r="I109" s="455"/>
      <c r="J109" s="504"/>
      <c r="L109" s="472"/>
      <c r="M109" s="468"/>
      <c r="N109" s="468"/>
      <c r="O109" s="468"/>
      <c r="P109" s="468"/>
      <c r="Q109" s="473"/>
      <c r="R109" s="477" t="str">
        <f>IF(AND(COUNTIF('Start Character'!$I$63:$M$77,"Twilight Prone")=1,NOT(ISERROR(FIND("Magical Botch",M109)))),"Yes",IF(P109&gt;1,"Yes","No"))</f>
        <v>No</v>
      </c>
      <c r="S109" s="501"/>
      <c r="T109" s="478"/>
      <c r="U109" s="501"/>
      <c r="V109" s="479" t="str">
        <f>IF(R109="No","No Twilight",IF(T109="Yes","Uncomprehended Twilight",IF((Character!$B$14+IF(Character!$B$53="Yes",0,Character!$B$53)+IF(Magic!$C$5="Yes",2,0)+ROUNDUP((Magic!$B$30+IF(Magic!$C$30="Yes",3,0))/5,0)+S109)&gt;=($D$3+P109+SUMIF(Character!$I$62:$I$66,"Enigmatic Wisdom",Character!$J$62:$J$66)+Q109+U109),"No Twilight","Twilight")))</f>
        <v>No Twilight</v>
      </c>
      <c r="W109" s="483"/>
      <c r="X109" s="478"/>
      <c r="Y109" s="484"/>
      <c r="Z109" s="478"/>
      <c r="AA109" s="485" t="str">
        <f>IF(V109="Uncomprehended Twilight","Failed",IF(OR(ISBLANK(W109),ISBLANK(Y109))," ",IF(NOT(ISBLANK(X109)),"Failed",IF((W109+Character!$B$9+SUMIF(Character!$I$62:$I$66,"Enigmatic Wisdom",Character!$J$62:$J$66))&gt;=IF(Z109="Yes",0,(Y109+D104)),"Succeeded","Failed"))))</f>
        <v xml:space="preserve"> </v>
      </c>
      <c r="AB109" s="477" t="str">
        <f>IF(AA109=" "," ",IF(NOT(ISBLANK(X109)),VLOOKUP($D$3+X109,Calcs!$A$110:$C$122,3,TRUE),IF(AA109="Failed",VLOOKUP($D$3,Calcs!$A$110:$C$122,3,TRUE),VLOOKUP($D$3-(IF((Character!$B$9+W109)&gt;($D$3+Y109),(Character!$B$9+W109)-($D$3+Y109),0)),Calcs!$A$110:$C$122,3,TRUE))))</f>
        <v xml:space="preserve"> </v>
      </c>
      <c r="AC109" s="489"/>
      <c r="AD109" s="489" t="str">
        <f>IF(IF(AA109=" "," ",IF(NOT(ISBLANK(X109)),VLOOKUP($D$3+X109,Calcs!$A$110:$B$122,2,TRUE),IF(AA109="Failed",VLOOKUP($D$3,Calcs!$A$110:$B$122,2,TRUE),VLOOKUP($D$3-(IF((Character!$B$9+W109)&gt;($D$3+Y109),(Character!$B$9+W109)-($D$3+Y109),0)),Calcs!$A$110:$B$122,2,TRUE))))=Calcs!$B$120,IF(ISBLANK(AC109)," ",CONCATENATE(AC109+7," Years")),IF(AA109=" "," ",IF(NOT(ISBLANK(X109)),VLOOKUP($D$3+X109,Calcs!$A$110:$B$122,2,TRUE),IF(AA109="Failed",VLOOKUP($D$3,Calcs!$A$110:$B$122,2,TRUE),VLOOKUP($D$3-(IF((Character!$B$9+W109)&gt;($D$3+Y109),(Character!$B$9+W109)-($D$3+Y109),0)),Calcs!$A$110:$B$122,2,TRUE)))))</f>
        <v xml:space="preserve"> </v>
      </c>
      <c r="AE109" s="490"/>
      <c r="AF109" s="879"/>
      <c r="AG109" s="491"/>
    </row>
    <row r="110" spans="1:33" x14ac:dyDescent="0.2">
      <c r="A110" s="415">
        <f t="shared" si="2"/>
        <v>1237</v>
      </c>
      <c r="B110" s="419" t="str">
        <f t="shared" si="3"/>
        <v>Summer</v>
      </c>
      <c r="C110" s="455"/>
      <c r="D110" s="504"/>
      <c r="E110" s="455"/>
      <c r="F110" s="504"/>
      <c r="G110" s="455"/>
      <c r="H110" s="504"/>
      <c r="I110" s="455"/>
      <c r="J110" s="504"/>
      <c r="L110" s="472"/>
      <c r="M110" s="468"/>
      <c r="N110" s="468"/>
      <c r="O110" s="468"/>
      <c r="P110" s="468"/>
      <c r="Q110" s="473"/>
      <c r="R110" s="477" t="str">
        <f>IF(AND(COUNTIF('Start Character'!$I$63:$M$77,"Twilight Prone")=1,NOT(ISERROR(FIND("Magical Botch",M110)))),"Yes",IF(P110&gt;1,"Yes","No"))</f>
        <v>No</v>
      </c>
      <c r="S110" s="501"/>
      <c r="T110" s="478"/>
      <c r="U110" s="501"/>
      <c r="V110" s="479" t="str">
        <f>IF(R110="No","No Twilight",IF(T110="Yes","Uncomprehended Twilight",IF((Character!$B$14+IF(Character!$B$53="Yes",0,Character!$B$53)+IF(Magic!$C$5="Yes",2,0)+ROUNDUP((Magic!$B$30+IF(Magic!$C$30="Yes",3,0))/5,0)+S110)&gt;=($D$3+P110+SUMIF(Character!$I$62:$I$66,"Enigmatic Wisdom",Character!$J$62:$J$66)+Q110+U110),"No Twilight","Twilight")))</f>
        <v>No Twilight</v>
      </c>
      <c r="W110" s="483"/>
      <c r="X110" s="478"/>
      <c r="Y110" s="484"/>
      <c r="Z110" s="478"/>
      <c r="AA110" s="485" t="str">
        <f>IF(V110="Uncomprehended Twilight","Failed",IF(OR(ISBLANK(W110),ISBLANK(Y110))," ",IF(NOT(ISBLANK(X110)),"Failed",IF((W110+Character!$B$9+SUMIF(Character!$I$62:$I$66,"Enigmatic Wisdom",Character!$J$62:$J$66))&gt;=IF(Z110="Yes",0,(Y110+D105)),"Succeeded","Failed"))))</f>
        <v xml:space="preserve"> </v>
      </c>
      <c r="AB110" s="477" t="str">
        <f>IF(AA110=" "," ",IF(NOT(ISBLANK(X110)),VLOOKUP($D$3+X110,Calcs!$A$110:$C$122,3,TRUE),IF(AA110="Failed",VLOOKUP($D$3,Calcs!$A$110:$C$122,3,TRUE),VLOOKUP($D$3-(IF((Character!$B$9+W110)&gt;($D$3+Y110),(Character!$B$9+W110)-($D$3+Y110),0)),Calcs!$A$110:$C$122,3,TRUE))))</f>
        <v xml:space="preserve"> </v>
      </c>
      <c r="AC110" s="489"/>
      <c r="AD110" s="489" t="str">
        <f>IF(IF(AA110=" "," ",IF(NOT(ISBLANK(X110)),VLOOKUP($D$3+X110,Calcs!$A$110:$B$122,2,TRUE),IF(AA110="Failed",VLOOKUP($D$3,Calcs!$A$110:$B$122,2,TRUE),VLOOKUP($D$3-(IF((Character!$B$9+W110)&gt;($D$3+Y110),(Character!$B$9+W110)-($D$3+Y110),0)),Calcs!$A$110:$B$122,2,TRUE))))=Calcs!$B$120,IF(ISBLANK(AC110)," ",CONCATENATE(AC110+7," Years")),IF(AA110=" "," ",IF(NOT(ISBLANK(X110)),VLOOKUP($D$3+X110,Calcs!$A$110:$B$122,2,TRUE),IF(AA110="Failed",VLOOKUP($D$3,Calcs!$A$110:$B$122,2,TRUE),VLOOKUP($D$3-(IF((Character!$B$9+W110)&gt;($D$3+Y110),(Character!$B$9+W110)-($D$3+Y110),0)),Calcs!$A$110:$B$122,2,TRUE)))))</f>
        <v xml:space="preserve"> </v>
      </c>
      <c r="AE110" s="490"/>
      <c r="AF110" s="879"/>
      <c r="AG110" s="491"/>
    </row>
    <row r="111" spans="1:33" x14ac:dyDescent="0.2">
      <c r="A111" s="415">
        <f t="shared" si="2"/>
        <v>1237</v>
      </c>
      <c r="B111" s="419" t="str">
        <f t="shared" si="3"/>
        <v>Autumn</v>
      </c>
      <c r="C111" s="455"/>
      <c r="D111" s="504"/>
      <c r="E111" s="455"/>
      <c r="F111" s="504"/>
      <c r="G111" s="455"/>
      <c r="H111" s="504"/>
      <c r="I111" s="455"/>
      <c r="J111" s="504"/>
      <c r="L111" s="472"/>
      <c r="M111" s="468"/>
      <c r="N111" s="468"/>
      <c r="O111" s="468"/>
      <c r="P111" s="468"/>
      <c r="Q111" s="473"/>
      <c r="R111" s="477" t="str">
        <f>IF(AND(COUNTIF('Start Character'!$I$63:$M$77,"Twilight Prone")=1,NOT(ISERROR(FIND("Magical Botch",M111)))),"Yes",IF(P111&gt;1,"Yes","No"))</f>
        <v>No</v>
      </c>
      <c r="S111" s="501"/>
      <c r="T111" s="478"/>
      <c r="U111" s="501"/>
      <c r="V111" s="479" t="str">
        <f>IF(R111="No","No Twilight",IF(T111="Yes","Uncomprehended Twilight",IF((Character!$B$14+IF(Character!$B$53="Yes",0,Character!$B$53)+IF(Magic!$C$5="Yes",2,0)+ROUNDUP((Magic!$B$30+IF(Magic!$C$30="Yes",3,0))/5,0)+S111)&gt;=($D$3+P111+SUMIF(Character!$I$62:$I$66,"Enigmatic Wisdom",Character!$J$62:$J$66)+Q111+U111),"No Twilight","Twilight")))</f>
        <v>No Twilight</v>
      </c>
      <c r="W111" s="483"/>
      <c r="X111" s="478"/>
      <c r="Y111" s="484"/>
      <c r="Z111" s="478"/>
      <c r="AA111" s="485" t="str">
        <f>IF(V111="Uncomprehended Twilight","Failed",IF(OR(ISBLANK(W111),ISBLANK(Y111))," ",IF(NOT(ISBLANK(X111)),"Failed",IF((W111+Character!$B$9+SUMIF(Character!$I$62:$I$66,"Enigmatic Wisdom",Character!$J$62:$J$66))&gt;=IF(Z111="Yes",0,(Y111+D106)),"Succeeded","Failed"))))</f>
        <v xml:space="preserve"> </v>
      </c>
      <c r="AB111" s="477" t="str">
        <f>IF(AA111=" "," ",IF(NOT(ISBLANK(X111)),VLOOKUP($D$3+X111,Calcs!$A$110:$C$122,3,TRUE),IF(AA111="Failed",VLOOKUP($D$3,Calcs!$A$110:$C$122,3,TRUE),VLOOKUP($D$3-(IF((Character!$B$9+W111)&gt;($D$3+Y111),(Character!$B$9+W111)-($D$3+Y111),0)),Calcs!$A$110:$C$122,3,TRUE))))</f>
        <v xml:space="preserve"> </v>
      </c>
      <c r="AC111" s="489"/>
      <c r="AD111" s="489" t="str">
        <f>IF(IF(AA111=" "," ",IF(NOT(ISBLANK(X111)),VLOOKUP($D$3+X111,Calcs!$A$110:$B$122,2,TRUE),IF(AA111="Failed",VLOOKUP($D$3,Calcs!$A$110:$B$122,2,TRUE),VLOOKUP($D$3-(IF((Character!$B$9+W111)&gt;($D$3+Y111),(Character!$B$9+W111)-($D$3+Y111),0)),Calcs!$A$110:$B$122,2,TRUE))))=Calcs!$B$120,IF(ISBLANK(AC111)," ",CONCATENATE(AC111+7," Years")),IF(AA111=" "," ",IF(NOT(ISBLANK(X111)),VLOOKUP($D$3+X111,Calcs!$A$110:$B$122,2,TRUE),IF(AA111="Failed",VLOOKUP($D$3,Calcs!$A$110:$B$122,2,TRUE),VLOOKUP($D$3-(IF((Character!$B$9+W111)&gt;($D$3+Y111),(Character!$B$9+W111)-($D$3+Y111),0)),Calcs!$A$110:$B$122,2,TRUE)))))</f>
        <v xml:space="preserve"> </v>
      </c>
      <c r="AE111" s="490"/>
      <c r="AF111" s="879"/>
      <c r="AG111" s="491"/>
    </row>
    <row r="112" spans="1:33" x14ac:dyDescent="0.2">
      <c r="A112" s="415">
        <f t="shared" si="2"/>
        <v>1238</v>
      </c>
      <c r="B112" s="419" t="str">
        <f t="shared" si="3"/>
        <v>Winter</v>
      </c>
      <c r="C112" s="455"/>
      <c r="D112" s="504"/>
      <c r="E112" s="455"/>
      <c r="F112" s="504"/>
      <c r="G112" s="455"/>
      <c r="H112" s="504"/>
      <c r="I112" s="455"/>
      <c r="J112" s="504"/>
      <c r="L112" s="472"/>
      <c r="M112" s="468"/>
      <c r="N112" s="468"/>
      <c r="O112" s="468"/>
      <c r="P112" s="468"/>
      <c r="Q112" s="473"/>
      <c r="R112" s="477" t="str">
        <f>IF(AND(COUNTIF('Start Character'!$I$63:$M$77,"Twilight Prone")=1,NOT(ISERROR(FIND("Magical Botch",M112)))),"Yes",IF(P112&gt;1,"Yes","No"))</f>
        <v>No</v>
      </c>
      <c r="S112" s="501"/>
      <c r="T112" s="478"/>
      <c r="U112" s="501"/>
      <c r="V112" s="479" t="str">
        <f>IF(R112="No","No Twilight",IF(T112="Yes","Uncomprehended Twilight",IF((Character!$B$14+IF(Character!$B$53="Yes",0,Character!$B$53)+IF(Magic!$C$5="Yes",2,0)+ROUNDUP((Magic!$B$30+IF(Magic!$C$30="Yes",3,0))/5,0)+S112)&gt;=($D$3+P112+SUMIF(Character!$I$62:$I$66,"Enigmatic Wisdom",Character!$J$62:$J$66)+Q112+U112),"No Twilight","Twilight")))</f>
        <v>No Twilight</v>
      </c>
      <c r="W112" s="483"/>
      <c r="X112" s="478"/>
      <c r="Y112" s="484"/>
      <c r="Z112" s="478"/>
      <c r="AA112" s="485" t="str">
        <f>IF(V112="Uncomprehended Twilight","Failed",IF(OR(ISBLANK(W112),ISBLANK(Y112))," ",IF(NOT(ISBLANK(X112)),"Failed",IF((W112+Character!$B$9+SUMIF(Character!$I$62:$I$66,"Enigmatic Wisdom",Character!$J$62:$J$66))&gt;=IF(Z112="Yes",0,(Y112+D107)),"Succeeded","Failed"))))</f>
        <v xml:space="preserve"> </v>
      </c>
      <c r="AB112" s="477" t="str">
        <f>IF(AA112=" "," ",IF(NOT(ISBLANK(X112)),VLOOKUP($D$3+X112,Calcs!$A$110:$C$122,3,TRUE),IF(AA112="Failed",VLOOKUP($D$3,Calcs!$A$110:$C$122,3,TRUE),VLOOKUP($D$3-(IF((Character!$B$9+W112)&gt;($D$3+Y112),(Character!$B$9+W112)-($D$3+Y112),0)),Calcs!$A$110:$C$122,3,TRUE))))</f>
        <v xml:space="preserve"> </v>
      </c>
      <c r="AC112" s="489"/>
      <c r="AD112" s="489" t="str">
        <f>IF(IF(AA112=" "," ",IF(NOT(ISBLANK(X112)),VLOOKUP($D$3+X112,Calcs!$A$110:$B$122,2,TRUE),IF(AA112="Failed",VLOOKUP($D$3,Calcs!$A$110:$B$122,2,TRUE),VLOOKUP($D$3-(IF((Character!$B$9+W112)&gt;($D$3+Y112),(Character!$B$9+W112)-($D$3+Y112),0)),Calcs!$A$110:$B$122,2,TRUE))))=Calcs!$B$120,IF(ISBLANK(AC112)," ",CONCATENATE(AC112+7," Years")),IF(AA112=" "," ",IF(NOT(ISBLANK(X112)),VLOOKUP($D$3+X112,Calcs!$A$110:$B$122,2,TRUE),IF(AA112="Failed",VLOOKUP($D$3,Calcs!$A$110:$B$122,2,TRUE),VLOOKUP($D$3-(IF((Character!$B$9+W112)&gt;($D$3+Y112),(Character!$B$9+W112)-($D$3+Y112),0)),Calcs!$A$110:$B$122,2,TRUE)))))</f>
        <v xml:space="preserve"> </v>
      </c>
      <c r="AE112" s="490"/>
      <c r="AF112" s="879"/>
      <c r="AG112" s="491"/>
    </row>
    <row r="113" spans="1:33" x14ac:dyDescent="0.2">
      <c r="A113" s="415">
        <f t="shared" si="2"/>
        <v>1238</v>
      </c>
      <c r="B113" s="419" t="str">
        <f t="shared" si="3"/>
        <v>Spring</v>
      </c>
      <c r="C113" s="455"/>
      <c r="D113" s="504"/>
      <c r="E113" s="455"/>
      <c r="F113" s="504"/>
      <c r="G113" s="455"/>
      <c r="H113" s="504"/>
      <c r="I113" s="455"/>
      <c r="J113" s="504"/>
      <c r="L113" s="472"/>
      <c r="M113" s="468"/>
      <c r="N113" s="468"/>
      <c r="O113" s="468"/>
      <c r="P113" s="468"/>
      <c r="Q113" s="473"/>
      <c r="R113" s="477" t="str">
        <f>IF(AND(COUNTIF('Start Character'!$I$63:$M$77,"Twilight Prone")=1,NOT(ISERROR(FIND("Magical Botch",M113)))),"Yes",IF(P113&gt;1,"Yes","No"))</f>
        <v>No</v>
      </c>
      <c r="S113" s="501"/>
      <c r="T113" s="478"/>
      <c r="U113" s="501"/>
      <c r="V113" s="479" t="str">
        <f>IF(R113="No","No Twilight",IF(T113="Yes","Uncomprehended Twilight",IF((Character!$B$14+IF(Character!$B$53="Yes",0,Character!$B$53)+IF(Magic!$C$5="Yes",2,0)+ROUNDUP((Magic!$B$30+IF(Magic!$C$30="Yes",3,0))/5,0)+S113)&gt;=($D$3+P113+SUMIF(Character!$I$62:$I$66,"Enigmatic Wisdom",Character!$J$62:$J$66)+Q113+U113),"No Twilight","Twilight")))</f>
        <v>No Twilight</v>
      </c>
      <c r="W113" s="483"/>
      <c r="X113" s="478"/>
      <c r="Y113" s="484"/>
      <c r="Z113" s="478"/>
      <c r="AA113" s="485" t="str">
        <f>IF(V113="Uncomprehended Twilight","Failed",IF(OR(ISBLANK(W113),ISBLANK(Y113))," ",IF(NOT(ISBLANK(X113)),"Failed",IF((W113+Character!$B$9+SUMIF(Character!$I$62:$I$66,"Enigmatic Wisdom",Character!$J$62:$J$66))&gt;=IF(Z113="Yes",0,(Y113+D108)),"Succeeded","Failed"))))</f>
        <v xml:space="preserve"> </v>
      </c>
      <c r="AB113" s="477" t="str">
        <f>IF(AA113=" "," ",IF(NOT(ISBLANK(X113)),VLOOKUP($D$3+X113,Calcs!$A$110:$C$122,3,TRUE),IF(AA113="Failed",VLOOKUP($D$3,Calcs!$A$110:$C$122,3,TRUE),VLOOKUP($D$3-(IF((Character!$B$9+W113)&gt;($D$3+Y113),(Character!$B$9+W113)-($D$3+Y113),0)),Calcs!$A$110:$C$122,3,TRUE))))</f>
        <v xml:space="preserve"> </v>
      </c>
      <c r="AC113" s="489"/>
      <c r="AD113" s="489" t="str">
        <f>IF(IF(AA113=" "," ",IF(NOT(ISBLANK(X113)),VLOOKUP($D$3+X113,Calcs!$A$110:$B$122,2,TRUE),IF(AA113="Failed",VLOOKUP($D$3,Calcs!$A$110:$B$122,2,TRUE),VLOOKUP($D$3-(IF((Character!$B$9+W113)&gt;($D$3+Y113),(Character!$B$9+W113)-($D$3+Y113),0)),Calcs!$A$110:$B$122,2,TRUE))))=Calcs!$B$120,IF(ISBLANK(AC113)," ",CONCATENATE(AC113+7," Years")),IF(AA113=" "," ",IF(NOT(ISBLANK(X113)),VLOOKUP($D$3+X113,Calcs!$A$110:$B$122,2,TRUE),IF(AA113="Failed",VLOOKUP($D$3,Calcs!$A$110:$B$122,2,TRUE),VLOOKUP($D$3-(IF((Character!$B$9+W113)&gt;($D$3+Y113),(Character!$B$9+W113)-($D$3+Y113),0)),Calcs!$A$110:$B$122,2,TRUE)))))</f>
        <v xml:space="preserve"> </v>
      </c>
      <c r="AE113" s="490"/>
      <c r="AF113" s="879"/>
      <c r="AG113" s="491"/>
    </row>
    <row r="114" spans="1:33" x14ac:dyDescent="0.2">
      <c r="A114" s="415">
        <f t="shared" si="2"/>
        <v>1238</v>
      </c>
      <c r="B114" s="419" t="str">
        <f t="shared" si="3"/>
        <v>Summer</v>
      </c>
      <c r="C114" s="455"/>
      <c r="D114" s="504"/>
      <c r="E114" s="455"/>
      <c r="F114" s="504"/>
      <c r="G114" s="455"/>
      <c r="H114" s="504"/>
      <c r="I114" s="455"/>
      <c r="J114" s="504"/>
      <c r="L114" s="472"/>
      <c r="M114" s="468"/>
      <c r="N114" s="468"/>
      <c r="O114" s="468"/>
      <c r="P114" s="468"/>
      <c r="Q114" s="473"/>
      <c r="R114" s="477" t="str">
        <f>IF(AND(COUNTIF('Start Character'!$I$63:$M$77,"Twilight Prone")=1,NOT(ISERROR(FIND("Magical Botch",M114)))),"Yes",IF(P114&gt;1,"Yes","No"))</f>
        <v>No</v>
      </c>
      <c r="S114" s="501"/>
      <c r="T114" s="478"/>
      <c r="U114" s="501"/>
      <c r="V114" s="479" t="str">
        <f>IF(R114="No","No Twilight",IF(T114="Yes","Uncomprehended Twilight",IF((Character!$B$14+IF(Character!$B$53="Yes",0,Character!$B$53)+IF(Magic!$C$5="Yes",2,0)+ROUNDUP((Magic!$B$30+IF(Magic!$C$30="Yes",3,0))/5,0)+S114)&gt;=($D$3+P114+SUMIF(Character!$I$62:$I$66,"Enigmatic Wisdom",Character!$J$62:$J$66)+Q114+U114),"No Twilight","Twilight")))</f>
        <v>No Twilight</v>
      </c>
      <c r="W114" s="483"/>
      <c r="X114" s="478"/>
      <c r="Y114" s="484"/>
      <c r="Z114" s="478"/>
      <c r="AA114" s="485" t="str">
        <f>IF(V114="Uncomprehended Twilight","Failed",IF(OR(ISBLANK(W114),ISBLANK(Y114))," ",IF(NOT(ISBLANK(X114)),"Failed",IF((W114+Character!$B$9+SUMIF(Character!$I$62:$I$66,"Enigmatic Wisdom",Character!$J$62:$J$66))&gt;=IF(Z114="Yes",0,(Y114+D109)),"Succeeded","Failed"))))</f>
        <v xml:space="preserve"> </v>
      </c>
      <c r="AB114" s="477" t="str">
        <f>IF(AA114=" "," ",IF(NOT(ISBLANK(X114)),VLOOKUP($D$3+X114,Calcs!$A$110:$C$122,3,TRUE),IF(AA114="Failed",VLOOKUP($D$3,Calcs!$A$110:$C$122,3,TRUE),VLOOKUP($D$3-(IF((Character!$B$9+W114)&gt;($D$3+Y114),(Character!$B$9+W114)-($D$3+Y114),0)),Calcs!$A$110:$C$122,3,TRUE))))</f>
        <v xml:space="preserve"> </v>
      </c>
      <c r="AC114" s="489"/>
      <c r="AD114" s="489" t="str">
        <f>IF(IF(AA114=" "," ",IF(NOT(ISBLANK(X114)),VLOOKUP($D$3+X114,Calcs!$A$110:$B$122,2,TRUE),IF(AA114="Failed",VLOOKUP($D$3,Calcs!$A$110:$B$122,2,TRUE),VLOOKUP($D$3-(IF((Character!$B$9+W114)&gt;($D$3+Y114),(Character!$B$9+W114)-($D$3+Y114),0)),Calcs!$A$110:$B$122,2,TRUE))))=Calcs!$B$120,IF(ISBLANK(AC114)," ",CONCATENATE(AC114+7," Years")),IF(AA114=" "," ",IF(NOT(ISBLANK(X114)),VLOOKUP($D$3+X114,Calcs!$A$110:$B$122,2,TRUE),IF(AA114="Failed",VLOOKUP($D$3,Calcs!$A$110:$B$122,2,TRUE),VLOOKUP($D$3-(IF((Character!$B$9+W114)&gt;($D$3+Y114),(Character!$B$9+W114)-($D$3+Y114),0)),Calcs!$A$110:$B$122,2,TRUE)))))</f>
        <v xml:space="preserve"> </v>
      </c>
      <c r="AE114" s="490"/>
      <c r="AF114" s="879"/>
      <c r="AG114" s="491"/>
    </row>
    <row r="115" spans="1:33" x14ac:dyDescent="0.2">
      <c r="A115" s="415">
        <f t="shared" si="2"/>
        <v>1238</v>
      </c>
      <c r="B115" s="419" t="str">
        <f t="shared" si="3"/>
        <v>Autumn</v>
      </c>
      <c r="C115" s="455"/>
      <c r="D115" s="504"/>
      <c r="E115" s="455"/>
      <c r="F115" s="504"/>
      <c r="G115" s="455"/>
      <c r="H115" s="504"/>
      <c r="I115" s="455"/>
      <c r="J115" s="504"/>
      <c r="L115" s="472"/>
      <c r="M115" s="468"/>
      <c r="N115" s="468"/>
      <c r="O115" s="468"/>
      <c r="P115" s="468"/>
      <c r="Q115" s="473"/>
      <c r="R115" s="477" t="str">
        <f>IF(AND(COUNTIF('Start Character'!$I$63:$M$77,"Twilight Prone")=1,NOT(ISERROR(FIND("Magical Botch",M115)))),"Yes",IF(P115&gt;1,"Yes","No"))</f>
        <v>No</v>
      </c>
      <c r="S115" s="501"/>
      <c r="T115" s="478"/>
      <c r="U115" s="501"/>
      <c r="V115" s="479" t="str">
        <f>IF(R115="No","No Twilight",IF(T115="Yes","Uncomprehended Twilight",IF((Character!$B$14+IF(Character!$B$53="Yes",0,Character!$B$53)+IF(Magic!$C$5="Yes",2,0)+ROUNDUP((Magic!$B$30+IF(Magic!$C$30="Yes",3,0))/5,0)+S115)&gt;=($D$3+P115+SUMIF(Character!$I$62:$I$66,"Enigmatic Wisdom",Character!$J$62:$J$66)+Q115+U115),"No Twilight","Twilight")))</f>
        <v>No Twilight</v>
      </c>
      <c r="W115" s="483"/>
      <c r="X115" s="478"/>
      <c r="Y115" s="484"/>
      <c r="Z115" s="478"/>
      <c r="AA115" s="485" t="str">
        <f>IF(V115="Uncomprehended Twilight","Failed",IF(OR(ISBLANK(W115),ISBLANK(Y115))," ",IF(NOT(ISBLANK(X115)),"Failed",IF((W115+Character!$B$9+SUMIF(Character!$I$62:$I$66,"Enigmatic Wisdom",Character!$J$62:$J$66))&gt;=IF(Z115="Yes",0,(Y115+D110)),"Succeeded","Failed"))))</f>
        <v xml:space="preserve"> </v>
      </c>
      <c r="AB115" s="477" t="str">
        <f>IF(AA115=" "," ",IF(NOT(ISBLANK(X115)),VLOOKUP($D$3+X115,Calcs!$A$110:$C$122,3,TRUE),IF(AA115="Failed",VLOOKUP($D$3,Calcs!$A$110:$C$122,3,TRUE),VLOOKUP($D$3-(IF((Character!$B$9+W115)&gt;($D$3+Y115),(Character!$B$9+W115)-($D$3+Y115),0)),Calcs!$A$110:$C$122,3,TRUE))))</f>
        <v xml:space="preserve"> </v>
      </c>
      <c r="AC115" s="489"/>
      <c r="AD115" s="489" t="str">
        <f>IF(IF(AA115=" "," ",IF(NOT(ISBLANK(X115)),VLOOKUP($D$3+X115,Calcs!$A$110:$B$122,2,TRUE),IF(AA115="Failed",VLOOKUP($D$3,Calcs!$A$110:$B$122,2,TRUE),VLOOKUP($D$3-(IF((Character!$B$9+W115)&gt;($D$3+Y115),(Character!$B$9+W115)-($D$3+Y115),0)),Calcs!$A$110:$B$122,2,TRUE))))=Calcs!$B$120,IF(ISBLANK(AC115)," ",CONCATENATE(AC115+7," Years")),IF(AA115=" "," ",IF(NOT(ISBLANK(X115)),VLOOKUP($D$3+X115,Calcs!$A$110:$B$122,2,TRUE),IF(AA115="Failed",VLOOKUP($D$3,Calcs!$A$110:$B$122,2,TRUE),VLOOKUP($D$3-(IF((Character!$B$9+W115)&gt;($D$3+Y115),(Character!$B$9+W115)-($D$3+Y115),0)),Calcs!$A$110:$B$122,2,TRUE)))))</f>
        <v xml:space="preserve"> </v>
      </c>
      <c r="AE115" s="490"/>
      <c r="AF115" s="879"/>
      <c r="AG115" s="491"/>
    </row>
    <row r="116" spans="1:33" x14ac:dyDescent="0.2">
      <c r="A116" s="415">
        <f t="shared" si="2"/>
        <v>1239</v>
      </c>
      <c r="B116" s="419" t="str">
        <f t="shared" si="3"/>
        <v>Winter</v>
      </c>
      <c r="C116" s="455"/>
      <c r="D116" s="504"/>
      <c r="E116" s="455"/>
      <c r="F116" s="504"/>
      <c r="G116" s="455"/>
      <c r="H116" s="504"/>
      <c r="I116" s="455"/>
      <c r="J116" s="504"/>
      <c r="L116" s="472"/>
      <c r="M116" s="468"/>
      <c r="N116" s="468"/>
      <c r="O116" s="468"/>
      <c r="P116" s="468"/>
      <c r="Q116" s="473"/>
      <c r="R116" s="477" t="str">
        <f>IF(AND(COUNTIF('Start Character'!$I$63:$M$77,"Twilight Prone")=1,NOT(ISERROR(FIND("Magical Botch",M116)))),"Yes",IF(P116&gt;1,"Yes","No"))</f>
        <v>No</v>
      </c>
      <c r="S116" s="501"/>
      <c r="T116" s="478"/>
      <c r="U116" s="501"/>
      <c r="V116" s="479" t="str">
        <f>IF(R116="No","No Twilight",IF(T116="Yes","Uncomprehended Twilight",IF((Character!$B$14+IF(Character!$B$53="Yes",0,Character!$B$53)+IF(Magic!$C$5="Yes",2,0)+ROUNDUP((Magic!$B$30+IF(Magic!$C$30="Yes",3,0))/5,0)+S116)&gt;=($D$3+P116+SUMIF(Character!$I$62:$I$66,"Enigmatic Wisdom",Character!$J$62:$J$66)+Q116+U116),"No Twilight","Twilight")))</f>
        <v>No Twilight</v>
      </c>
      <c r="W116" s="483"/>
      <c r="X116" s="478"/>
      <c r="Y116" s="484"/>
      <c r="Z116" s="478"/>
      <c r="AA116" s="485" t="str">
        <f>IF(V116="Uncomprehended Twilight","Failed",IF(OR(ISBLANK(W116),ISBLANK(Y116))," ",IF(NOT(ISBLANK(X116)),"Failed",IF((W116+Character!$B$9+SUMIF(Character!$I$62:$I$66,"Enigmatic Wisdom",Character!$J$62:$J$66))&gt;=IF(Z116="Yes",0,(Y116+D111)),"Succeeded","Failed"))))</f>
        <v xml:space="preserve"> </v>
      </c>
      <c r="AB116" s="477" t="str">
        <f>IF(AA116=" "," ",IF(NOT(ISBLANK(X116)),VLOOKUP($D$3+X116,Calcs!$A$110:$C$122,3,TRUE),IF(AA116="Failed",VLOOKUP($D$3,Calcs!$A$110:$C$122,3,TRUE),VLOOKUP($D$3-(IF((Character!$B$9+W116)&gt;($D$3+Y116),(Character!$B$9+W116)-($D$3+Y116),0)),Calcs!$A$110:$C$122,3,TRUE))))</f>
        <v xml:space="preserve"> </v>
      </c>
      <c r="AC116" s="489"/>
      <c r="AD116" s="489" t="str">
        <f>IF(IF(AA116=" "," ",IF(NOT(ISBLANK(X116)),VLOOKUP($D$3+X116,Calcs!$A$110:$B$122,2,TRUE),IF(AA116="Failed",VLOOKUP($D$3,Calcs!$A$110:$B$122,2,TRUE),VLOOKUP($D$3-(IF((Character!$B$9+W116)&gt;($D$3+Y116),(Character!$B$9+W116)-($D$3+Y116),0)),Calcs!$A$110:$B$122,2,TRUE))))=Calcs!$B$120,IF(ISBLANK(AC116)," ",CONCATENATE(AC116+7," Years")),IF(AA116=" "," ",IF(NOT(ISBLANK(X116)),VLOOKUP($D$3+X116,Calcs!$A$110:$B$122,2,TRUE),IF(AA116="Failed",VLOOKUP($D$3,Calcs!$A$110:$B$122,2,TRUE),VLOOKUP($D$3-(IF((Character!$B$9+W116)&gt;($D$3+Y116),(Character!$B$9+W116)-($D$3+Y116),0)),Calcs!$A$110:$B$122,2,TRUE)))))</f>
        <v xml:space="preserve"> </v>
      </c>
      <c r="AE116" s="490"/>
      <c r="AF116" s="879"/>
      <c r="AG116" s="491"/>
    </row>
    <row r="117" spans="1:33" x14ac:dyDescent="0.2">
      <c r="A117" s="415">
        <f t="shared" si="2"/>
        <v>1239</v>
      </c>
      <c r="B117" s="419" t="str">
        <f t="shared" si="3"/>
        <v>Spring</v>
      </c>
      <c r="C117" s="455"/>
      <c r="D117" s="504"/>
      <c r="E117" s="455"/>
      <c r="F117" s="504"/>
      <c r="G117" s="455"/>
      <c r="H117" s="504"/>
      <c r="I117" s="455"/>
      <c r="J117" s="504"/>
      <c r="L117" s="472"/>
      <c r="M117" s="468"/>
      <c r="N117" s="468"/>
      <c r="O117" s="468"/>
      <c r="P117" s="468"/>
      <c r="Q117" s="473"/>
      <c r="R117" s="477" t="str">
        <f>IF(AND(COUNTIF('Start Character'!$I$63:$M$77,"Twilight Prone")=1,NOT(ISERROR(FIND("Magical Botch",M117)))),"Yes",IF(P117&gt;1,"Yes","No"))</f>
        <v>No</v>
      </c>
      <c r="S117" s="501"/>
      <c r="T117" s="478"/>
      <c r="U117" s="501"/>
      <c r="V117" s="479" t="str">
        <f>IF(R117="No","No Twilight",IF(T117="Yes","Uncomprehended Twilight",IF((Character!$B$14+IF(Character!$B$53="Yes",0,Character!$B$53)+IF(Magic!$C$5="Yes",2,0)+ROUNDUP((Magic!$B$30+IF(Magic!$C$30="Yes",3,0))/5,0)+S117)&gt;=($D$3+P117+SUMIF(Character!$I$62:$I$66,"Enigmatic Wisdom",Character!$J$62:$J$66)+Q117+U117),"No Twilight","Twilight")))</f>
        <v>No Twilight</v>
      </c>
      <c r="W117" s="483"/>
      <c r="X117" s="478"/>
      <c r="Y117" s="484"/>
      <c r="Z117" s="478"/>
      <c r="AA117" s="485" t="str">
        <f>IF(V117="Uncomprehended Twilight","Failed",IF(OR(ISBLANK(W117),ISBLANK(Y117))," ",IF(NOT(ISBLANK(X117)),"Failed",IF((W117+Character!$B$9+SUMIF(Character!$I$62:$I$66,"Enigmatic Wisdom",Character!$J$62:$J$66))&gt;=IF(Z117="Yes",0,(Y117+D112)),"Succeeded","Failed"))))</f>
        <v xml:space="preserve"> </v>
      </c>
      <c r="AB117" s="477" t="str">
        <f>IF(AA117=" "," ",IF(NOT(ISBLANK(X117)),VLOOKUP($D$3+X117,Calcs!$A$110:$C$122,3,TRUE),IF(AA117="Failed",VLOOKUP($D$3,Calcs!$A$110:$C$122,3,TRUE),VLOOKUP($D$3-(IF((Character!$B$9+W117)&gt;($D$3+Y117),(Character!$B$9+W117)-($D$3+Y117),0)),Calcs!$A$110:$C$122,3,TRUE))))</f>
        <v xml:space="preserve"> </v>
      </c>
      <c r="AC117" s="489"/>
      <c r="AD117" s="489" t="str">
        <f>IF(IF(AA117=" "," ",IF(NOT(ISBLANK(X117)),VLOOKUP($D$3+X117,Calcs!$A$110:$B$122,2,TRUE),IF(AA117="Failed",VLOOKUP($D$3,Calcs!$A$110:$B$122,2,TRUE),VLOOKUP($D$3-(IF((Character!$B$9+W117)&gt;($D$3+Y117),(Character!$B$9+W117)-($D$3+Y117),0)),Calcs!$A$110:$B$122,2,TRUE))))=Calcs!$B$120,IF(ISBLANK(AC117)," ",CONCATENATE(AC117+7," Years")),IF(AA117=" "," ",IF(NOT(ISBLANK(X117)),VLOOKUP($D$3+X117,Calcs!$A$110:$B$122,2,TRUE),IF(AA117="Failed",VLOOKUP($D$3,Calcs!$A$110:$B$122,2,TRUE),VLOOKUP($D$3-(IF((Character!$B$9+W117)&gt;($D$3+Y117),(Character!$B$9+W117)-($D$3+Y117),0)),Calcs!$A$110:$B$122,2,TRUE)))))</f>
        <v xml:space="preserve"> </v>
      </c>
      <c r="AE117" s="490"/>
      <c r="AF117" s="879"/>
      <c r="AG117" s="491"/>
    </row>
    <row r="118" spans="1:33" x14ac:dyDescent="0.2">
      <c r="A118" s="415">
        <f t="shared" si="2"/>
        <v>1239</v>
      </c>
      <c r="B118" s="419" t="str">
        <f t="shared" si="3"/>
        <v>Summer</v>
      </c>
      <c r="C118" s="455"/>
      <c r="D118" s="504"/>
      <c r="E118" s="455"/>
      <c r="F118" s="504"/>
      <c r="G118" s="455"/>
      <c r="H118" s="504"/>
      <c r="I118" s="455"/>
      <c r="J118" s="504"/>
      <c r="L118" s="472"/>
      <c r="M118" s="468"/>
      <c r="N118" s="468"/>
      <c r="O118" s="468"/>
      <c r="P118" s="468"/>
      <c r="Q118" s="473"/>
      <c r="R118" s="477" t="str">
        <f>IF(AND(COUNTIF('Start Character'!$I$63:$M$77,"Twilight Prone")=1,NOT(ISERROR(FIND("Magical Botch",M118)))),"Yes",IF(P118&gt;1,"Yes","No"))</f>
        <v>No</v>
      </c>
      <c r="S118" s="501"/>
      <c r="T118" s="478"/>
      <c r="U118" s="501"/>
      <c r="V118" s="479" t="str">
        <f>IF(R118="No","No Twilight",IF(T118="Yes","Uncomprehended Twilight",IF((Character!$B$14+IF(Character!$B$53="Yes",0,Character!$B$53)+IF(Magic!$C$5="Yes",2,0)+ROUNDUP((Magic!$B$30+IF(Magic!$C$30="Yes",3,0))/5,0)+S118)&gt;=($D$3+P118+SUMIF(Character!$I$62:$I$66,"Enigmatic Wisdom",Character!$J$62:$J$66)+Q118+U118),"No Twilight","Twilight")))</f>
        <v>No Twilight</v>
      </c>
      <c r="W118" s="483"/>
      <c r="X118" s="478"/>
      <c r="Y118" s="484"/>
      <c r="Z118" s="478"/>
      <c r="AA118" s="485" t="str">
        <f>IF(V118="Uncomprehended Twilight","Failed",IF(OR(ISBLANK(W118),ISBLANK(Y118))," ",IF(NOT(ISBLANK(X118)),"Failed",IF((W118+Character!$B$9+SUMIF(Character!$I$62:$I$66,"Enigmatic Wisdom",Character!$J$62:$J$66))&gt;=IF(Z118="Yes",0,(Y118+D113)),"Succeeded","Failed"))))</f>
        <v xml:space="preserve"> </v>
      </c>
      <c r="AB118" s="477" t="str">
        <f>IF(AA118=" "," ",IF(NOT(ISBLANK(X118)),VLOOKUP($D$3+X118,Calcs!$A$110:$C$122,3,TRUE),IF(AA118="Failed",VLOOKUP($D$3,Calcs!$A$110:$C$122,3,TRUE),VLOOKUP($D$3-(IF((Character!$B$9+W118)&gt;($D$3+Y118),(Character!$B$9+W118)-($D$3+Y118),0)),Calcs!$A$110:$C$122,3,TRUE))))</f>
        <v xml:space="preserve"> </v>
      </c>
      <c r="AC118" s="489"/>
      <c r="AD118" s="489" t="str">
        <f>IF(IF(AA118=" "," ",IF(NOT(ISBLANK(X118)),VLOOKUP($D$3+X118,Calcs!$A$110:$B$122,2,TRUE),IF(AA118="Failed",VLOOKUP($D$3,Calcs!$A$110:$B$122,2,TRUE),VLOOKUP($D$3-(IF((Character!$B$9+W118)&gt;($D$3+Y118),(Character!$B$9+W118)-($D$3+Y118),0)),Calcs!$A$110:$B$122,2,TRUE))))=Calcs!$B$120,IF(ISBLANK(AC118)," ",CONCATENATE(AC118+7," Years")),IF(AA118=" "," ",IF(NOT(ISBLANK(X118)),VLOOKUP($D$3+X118,Calcs!$A$110:$B$122,2,TRUE),IF(AA118="Failed",VLOOKUP($D$3,Calcs!$A$110:$B$122,2,TRUE),VLOOKUP($D$3-(IF((Character!$B$9+W118)&gt;($D$3+Y118),(Character!$B$9+W118)-($D$3+Y118),0)),Calcs!$A$110:$B$122,2,TRUE)))))</f>
        <v xml:space="preserve"> </v>
      </c>
      <c r="AE118" s="490"/>
      <c r="AF118" s="879"/>
      <c r="AG118" s="491"/>
    </row>
    <row r="119" spans="1:33" x14ac:dyDescent="0.2">
      <c r="A119" s="415">
        <f t="shared" si="2"/>
        <v>1239</v>
      </c>
      <c r="B119" s="419" t="str">
        <f t="shared" si="3"/>
        <v>Autumn</v>
      </c>
      <c r="C119" s="455"/>
      <c r="D119" s="504"/>
      <c r="E119" s="455"/>
      <c r="F119" s="504"/>
      <c r="G119" s="455"/>
      <c r="H119" s="504"/>
      <c r="I119" s="455"/>
      <c r="J119" s="504"/>
      <c r="L119" s="472"/>
      <c r="M119" s="468"/>
      <c r="N119" s="468"/>
      <c r="O119" s="468"/>
      <c r="P119" s="468"/>
      <c r="Q119" s="473"/>
      <c r="R119" s="477" t="str">
        <f>IF(AND(COUNTIF('Start Character'!$I$63:$M$77,"Twilight Prone")=1,NOT(ISERROR(FIND("Magical Botch",M119)))),"Yes",IF(P119&gt;1,"Yes","No"))</f>
        <v>No</v>
      </c>
      <c r="S119" s="501"/>
      <c r="T119" s="478"/>
      <c r="U119" s="501"/>
      <c r="V119" s="479" t="str">
        <f>IF(R119="No","No Twilight",IF(T119="Yes","Uncomprehended Twilight",IF((Character!$B$14+IF(Character!$B$53="Yes",0,Character!$B$53)+IF(Magic!$C$5="Yes",2,0)+ROUNDUP((Magic!$B$30+IF(Magic!$C$30="Yes",3,0))/5,0)+S119)&gt;=($D$3+P119+SUMIF(Character!$I$62:$I$66,"Enigmatic Wisdom",Character!$J$62:$J$66)+Q119+U119),"No Twilight","Twilight")))</f>
        <v>No Twilight</v>
      </c>
      <c r="W119" s="483"/>
      <c r="X119" s="478"/>
      <c r="Y119" s="484"/>
      <c r="Z119" s="478"/>
      <c r="AA119" s="485" t="str">
        <f>IF(V119="Uncomprehended Twilight","Failed",IF(OR(ISBLANK(W119),ISBLANK(Y119))," ",IF(NOT(ISBLANK(X119)),"Failed",IF((W119+Character!$B$9+SUMIF(Character!$I$62:$I$66,"Enigmatic Wisdom",Character!$J$62:$J$66))&gt;=IF(Z119="Yes",0,(Y119+D114)),"Succeeded","Failed"))))</f>
        <v xml:space="preserve"> </v>
      </c>
      <c r="AB119" s="477" t="str">
        <f>IF(AA119=" "," ",IF(NOT(ISBLANK(X119)),VLOOKUP($D$3+X119,Calcs!$A$110:$C$122,3,TRUE),IF(AA119="Failed",VLOOKUP($D$3,Calcs!$A$110:$C$122,3,TRUE),VLOOKUP($D$3-(IF((Character!$B$9+W119)&gt;($D$3+Y119),(Character!$B$9+W119)-($D$3+Y119),0)),Calcs!$A$110:$C$122,3,TRUE))))</f>
        <v xml:space="preserve"> </v>
      </c>
      <c r="AC119" s="489"/>
      <c r="AD119" s="489" t="str">
        <f>IF(IF(AA119=" "," ",IF(NOT(ISBLANK(X119)),VLOOKUP($D$3+X119,Calcs!$A$110:$B$122,2,TRUE),IF(AA119="Failed",VLOOKUP($D$3,Calcs!$A$110:$B$122,2,TRUE),VLOOKUP($D$3-(IF((Character!$B$9+W119)&gt;($D$3+Y119),(Character!$B$9+W119)-($D$3+Y119),0)),Calcs!$A$110:$B$122,2,TRUE))))=Calcs!$B$120,IF(ISBLANK(AC119)," ",CONCATENATE(AC119+7," Years")),IF(AA119=" "," ",IF(NOT(ISBLANK(X119)),VLOOKUP($D$3+X119,Calcs!$A$110:$B$122,2,TRUE),IF(AA119="Failed",VLOOKUP($D$3,Calcs!$A$110:$B$122,2,TRUE),VLOOKUP($D$3-(IF((Character!$B$9+W119)&gt;($D$3+Y119),(Character!$B$9+W119)-($D$3+Y119),0)),Calcs!$A$110:$B$122,2,TRUE)))))</f>
        <v xml:space="preserve"> </v>
      </c>
      <c r="AE119" s="490"/>
      <c r="AF119" s="879"/>
      <c r="AG119" s="491"/>
    </row>
    <row r="120" spans="1:33" x14ac:dyDescent="0.2">
      <c r="A120" s="415">
        <f t="shared" si="2"/>
        <v>1240</v>
      </c>
      <c r="B120" s="419" t="str">
        <f t="shared" si="3"/>
        <v>Winter</v>
      </c>
      <c r="C120" s="455"/>
      <c r="D120" s="504"/>
      <c r="E120" s="455"/>
      <c r="F120" s="504"/>
      <c r="G120" s="455"/>
      <c r="H120" s="504"/>
      <c r="I120" s="455"/>
      <c r="J120" s="504"/>
      <c r="L120" s="472"/>
      <c r="M120" s="468"/>
      <c r="N120" s="468"/>
      <c r="O120" s="468"/>
      <c r="P120" s="468"/>
      <c r="Q120" s="473"/>
      <c r="R120" s="477" t="str">
        <f>IF(AND(COUNTIF('Start Character'!$I$63:$M$77,"Twilight Prone")=1,NOT(ISERROR(FIND("Magical Botch",M120)))),"Yes",IF(P120&gt;1,"Yes","No"))</f>
        <v>No</v>
      </c>
      <c r="S120" s="501"/>
      <c r="T120" s="478"/>
      <c r="U120" s="501"/>
      <c r="V120" s="479" t="str">
        <f>IF(R120="No","No Twilight",IF(T120="Yes","Uncomprehended Twilight",IF((Character!$B$14+IF(Character!$B$53="Yes",0,Character!$B$53)+IF(Magic!$C$5="Yes",2,0)+ROUNDUP((Magic!$B$30+IF(Magic!$C$30="Yes",3,0))/5,0)+S120)&gt;=($D$3+P120+SUMIF(Character!$I$62:$I$66,"Enigmatic Wisdom",Character!$J$62:$J$66)+Q120+U120),"No Twilight","Twilight")))</f>
        <v>No Twilight</v>
      </c>
      <c r="W120" s="483"/>
      <c r="X120" s="478"/>
      <c r="Y120" s="484"/>
      <c r="Z120" s="478"/>
      <c r="AA120" s="485" t="str">
        <f>IF(V120="Uncomprehended Twilight","Failed",IF(OR(ISBLANK(W120),ISBLANK(Y120))," ",IF(NOT(ISBLANK(X120)),"Failed",IF((W120+Character!$B$9+SUMIF(Character!$I$62:$I$66,"Enigmatic Wisdom",Character!$J$62:$J$66))&gt;=IF(Z120="Yes",0,(Y120+D115)),"Succeeded","Failed"))))</f>
        <v xml:space="preserve"> </v>
      </c>
      <c r="AB120" s="477" t="str">
        <f>IF(AA120=" "," ",IF(NOT(ISBLANK(X120)),VLOOKUP($D$3+X120,Calcs!$A$110:$C$122,3,TRUE),IF(AA120="Failed",VLOOKUP($D$3,Calcs!$A$110:$C$122,3,TRUE),VLOOKUP($D$3-(IF((Character!$B$9+W120)&gt;($D$3+Y120),(Character!$B$9+W120)-($D$3+Y120),0)),Calcs!$A$110:$C$122,3,TRUE))))</f>
        <v xml:space="preserve"> </v>
      </c>
      <c r="AC120" s="489"/>
      <c r="AD120" s="489" t="str">
        <f>IF(IF(AA120=" "," ",IF(NOT(ISBLANK(X120)),VLOOKUP($D$3+X120,Calcs!$A$110:$B$122,2,TRUE),IF(AA120="Failed",VLOOKUP($D$3,Calcs!$A$110:$B$122,2,TRUE),VLOOKUP($D$3-(IF((Character!$B$9+W120)&gt;($D$3+Y120),(Character!$B$9+W120)-($D$3+Y120),0)),Calcs!$A$110:$B$122,2,TRUE))))=Calcs!$B$120,IF(ISBLANK(AC120)," ",CONCATENATE(AC120+7," Years")),IF(AA120=" "," ",IF(NOT(ISBLANK(X120)),VLOOKUP($D$3+X120,Calcs!$A$110:$B$122,2,TRUE),IF(AA120="Failed",VLOOKUP($D$3,Calcs!$A$110:$B$122,2,TRUE),VLOOKUP($D$3-(IF((Character!$B$9+W120)&gt;($D$3+Y120),(Character!$B$9+W120)-($D$3+Y120),0)),Calcs!$A$110:$B$122,2,TRUE)))))</f>
        <v xml:space="preserve"> </v>
      </c>
      <c r="AE120" s="490"/>
      <c r="AF120" s="879"/>
      <c r="AG120" s="491"/>
    </row>
    <row r="121" spans="1:33" x14ac:dyDescent="0.2">
      <c r="A121" s="415">
        <f t="shared" si="2"/>
        <v>1240</v>
      </c>
      <c r="B121" s="419" t="str">
        <f t="shared" si="3"/>
        <v>Spring</v>
      </c>
      <c r="C121" s="455"/>
      <c r="D121" s="504"/>
      <c r="E121" s="455"/>
      <c r="F121" s="504"/>
      <c r="G121" s="455"/>
      <c r="H121" s="504"/>
      <c r="I121" s="455"/>
      <c r="J121" s="504"/>
      <c r="L121" s="472"/>
      <c r="M121" s="468"/>
      <c r="N121" s="468"/>
      <c r="O121" s="468"/>
      <c r="P121" s="468"/>
      <c r="Q121" s="473"/>
      <c r="R121" s="477" t="str">
        <f>IF(AND(COUNTIF('Start Character'!$I$63:$M$77,"Twilight Prone")=1,NOT(ISERROR(FIND("Magical Botch",M121)))),"Yes",IF(P121&gt;1,"Yes","No"))</f>
        <v>No</v>
      </c>
      <c r="S121" s="501"/>
      <c r="T121" s="478"/>
      <c r="U121" s="501"/>
      <c r="V121" s="479" t="str">
        <f>IF(R121="No","No Twilight",IF(T121="Yes","Uncomprehended Twilight",IF((Character!$B$14+IF(Character!$B$53="Yes",0,Character!$B$53)+IF(Magic!$C$5="Yes",2,0)+ROUNDUP((Magic!$B$30+IF(Magic!$C$30="Yes",3,0))/5,0)+S121)&gt;=($D$3+P121+SUMIF(Character!$I$62:$I$66,"Enigmatic Wisdom",Character!$J$62:$J$66)+Q121+U121),"No Twilight","Twilight")))</f>
        <v>No Twilight</v>
      </c>
      <c r="W121" s="483"/>
      <c r="X121" s="478"/>
      <c r="Y121" s="484"/>
      <c r="Z121" s="478"/>
      <c r="AA121" s="485" t="str">
        <f>IF(V121="Uncomprehended Twilight","Failed",IF(OR(ISBLANK(W121),ISBLANK(Y121))," ",IF(NOT(ISBLANK(X121)),"Failed",IF((W121+Character!$B$9+SUMIF(Character!$I$62:$I$66,"Enigmatic Wisdom",Character!$J$62:$J$66))&gt;=IF(Z121="Yes",0,(Y121+D116)),"Succeeded","Failed"))))</f>
        <v xml:space="preserve"> </v>
      </c>
      <c r="AB121" s="477" t="str">
        <f>IF(AA121=" "," ",IF(NOT(ISBLANK(X121)),VLOOKUP($D$3+X121,Calcs!$A$110:$C$122,3,TRUE),IF(AA121="Failed",VLOOKUP($D$3,Calcs!$A$110:$C$122,3,TRUE),VLOOKUP($D$3-(IF((Character!$B$9+W121)&gt;($D$3+Y121),(Character!$B$9+W121)-($D$3+Y121),0)),Calcs!$A$110:$C$122,3,TRUE))))</f>
        <v xml:space="preserve"> </v>
      </c>
      <c r="AC121" s="489"/>
      <c r="AD121" s="489" t="str">
        <f>IF(IF(AA121=" "," ",IF(NOT(ISBLANK(X121)),VLOOKUP($D$3+X121,Calcs!$A$110:$B$122,2,TRUE),IF(AA121="Failed",VLOOKUP($D$3,Calcs!$A$110:$B$122,2,TRUE),VLOOKUP($D$3-(IF((Character!$B$9+W121)&gt;($D$3+Y121),(Character!$B$9+W121)-($D$3+Y121),0)),Calcs!$A$110:$B$122,2,TRUE))))=Calcs!$B$120,IF(ISBLANK(AC121)," ",CONCATENATE(AC121+7," Years")),IF(AA121=" "," ",IF(NOT(ISBLANK(X121)),VLOOKUP($D$3+X121,Calcs!$A$110:$B$122,2,TRUE),IF(AA121="Failed",VLOOKUP($D$3,Calcs!$A$110:$B$122,2,TRUE),VLOOKUP($D$3-(IF((Character!$B$9+W121)&gt;($D$3+Y121),(Character!$B$9+W121)-($D$3+Y121),0)),Calcs!$A$110:$B$122,2,TRUE)))))</f>
        <v xml:space="preserve"> </v>
      </c>
      <c r="AE121" s="490"/>
      <c r="AF121" s="879"/>
      <c r="AG121" s="491"/>
    </row>
    <row r="122" spans="1:33" x14ac:dyDescent="0.2">
      <c r="A122" s="415">
        <f t="shared" si="2"/>
        <v>1240</v>
      </c>
      <c r="B122" s="419" t="str">
        <f t="shared" si="3"/>
        <v>Summer</v>
      </c>
      <c r="C122" s="455"/>
      <c r="D122" s="504"/>
      <c r="E122" s="455"/>
      <c r="F122" s="504"/>
      <c r="G122" s="455"/>
      <c r="H122" s="504"/>
      <c r="I122" s="455"/>
      <c r="J122" s="504"/>
      <c r="L122" s="472"/>
      <c r="M122" s="468"/>
      <c r="N122" s="468"/>
      <c r="O122" s="468"/>
      <c r="P122" s="468"/>
      <c r="Q122" s="473"/>
      <c r="R122" s="477" t="str">
        <f>IF(AND(COUNTIF('Start Character'!$I$63:$M$77,"Twilight Prone")=1,NOT(ISERROR(FIND("Magical Botch",M122)))),"Yes",IF(P122&gt;1,"Yes","No"))</f>
        <v>No</v>
      </c>
      <c r="S122" s="501"/>
      <c r="T122" s="478"/>
      <c r="U122" s="501"/>
      <c r="V122" s="479" t="str">
        <f>IF(R122="No","No Twilight",IF(T122="Yes","Uncomprehended Twilight",IF((Character!$B$14+IF(Character!$B$53="Yes",0,Character!$B$53)+IF(Magic!$C$5="Yes",2,0)+ROUNDUP((Magic!$B$30+IF(Magic!$C$30="Yes",3,0))/5,0)+S122)&gt;=($D$3+P122+SUMIF(Character!$I$62:$I$66,"Enigmatic Wisdom",Character!$J$62:$J$66)+Q122+U122),"No Twilight","Twilight")))</f>
        <v>No Twilight</v>
      </c>
      <c r="W122" s="483"/>
      <c r="X122" s="478"/>
      <c r="Y122" s="484"/>
      <c r="Z122" s="478"/>
      <c r="AA122" s="485" t="str">
        <f>IF(V122="Uncomprehended Twilight","Failed",IF(OR(ISBLANK(W122),ISBLANK(Y122))," ",IF(NOT(ISBLANK(X122)),"Failed",IF((W122+Character!$B$9+SUMIF(Character!$I$62:$I$66,"Enigmatic Wisdom",Character!$J$62:$J$66))&gt;=IF(Z122="Yes",0,(Y122+D117)),"Succeeded","Failed"))))</f>
        <v xml:space="preserve"> </v>
      </c>
      <c r="AB122" s="477" t="str">
        <f>IF(AA122=" "," ",IF(NOT(ISBLANK(X122)),VLOOKUP($D$3+X122,Calcs!$A$110:$C$122,3,TRUE),IF(AA122="Failed",VLOOKUP($D$3,Calcs!$A$110:$C$122,3,TRUE),VLOOKUP($D$3-(IF((Character!$B$9+W122)&gt;($D$3+Y122),(Character!$B$9+W122)-($D$3+Y122),0)),Calcs!$A$110:$C$122,3,TRUE))))</f>
        <v xml:space="preserve"> </v>
      </c>
      <c r="AC122" s="489"/>
      <c r="AD122" s="489" t="str">
        <f>IF(IF(AA122=" "," ",IF(NOT(ISBLANK(X122)),VLOOKUP($D$3+X122,Calcs!$A$110:$B$122,2,TRUE),IF(AA122="Failed",VLOOKUP($D$3,Calcs!$A$110:$B$122,2,TRUE),VLOOKUP($D$3-(IF((Character!$B$9+W122)&gt;($D$3+Y122),(Character!$B$9+W122)-($D$3+Y122),0)),Calcs!$A$110:$B$122,2,TRUE))))=Calcs!$B$120,IF(ISBLANK(AC122)," ",CONCATENATE(AC122+7," Years")),IF(AA122=" "," ",IF(NOT(ISBLANK(X122)),VLOOKUP($D$3+X122,Calcs!$A$110:$B$122,2,TRUE),IF(AA122="Failed",VLOOKUP($D$3,Calcs!$A$110:$B$122,2,TRUE),VLOOKUP($D$3-(IF((Character!$B$9+W122)&gt;($D$3+Y122),(Character!$B$9+W122)-($D$3+Y122),0)),Calcs!$A$110:$B$122,2,TRUE)))))</f>
        <v xml:space="preserve"> </v>
      </c>
      <c r="AE122" s="490"/>
      <c r="AF122" s="879"/>
      <c r="AG122" s="491"/>
    </row>
    <row r="123" spans="1:33" x14ac:dyDescent="0.2">
      <c r="A123" s="415">
        <f t="shared" si="2"/>
        <v>1240</v>
      </c>
      <c r="B123" s="419" t="str">
        <f t="shared" si="3"/>
        <v>Autumn</v>
      </c>
      <c r="C123" s="455"/>
      <c r="D123" s="504"/>
      <c r="E123" s="455"/>
      <c r="F123" s="504"/>
      <c r="G123" s="455"/>
      <c r="H123" s="504"/>
      <c r="I123" s="455"/>
      <c r="J123" s="504"/>
      <c r="L123" s="472"/>
      <c r="M123" s="468"/>
      <c r="N123" s="468"/>
      <c r="O123" s="468"/>
      <c r="P123" s="468"/>
      <c r="Q123" s="473"/>
      <c r="R123" s="477" t="str">
        <f>IF(AND(COUNTIF('Start Character'!$I$63:$M$77,"Twilight Prone")=1,NOT(ISERROR(FIND("Magical Botch",M123)))),"Yes",IF(P123&gt;1,"Yes","No"))</f>
        <v>No</v>
      </c>
      <c r="S123" s="501"/>
      <c r="T123" s="478"/>
      <c r="U123" s="501"/>
      <c r="V123" s="479" t="str">
        <f>IF(R123="No","No Twilight",IF(T123="Yes","Uncomprehended Twilight",IF((Character!$B$14+IF(Character!$B$53="Yes",0,Character!$B$53)+IF(Magic!$C$5="Yes",2,0)+ROUNDUP((Magic!$B$30+IF(Magic!$C$30="Yes",3,0))/5,0)+S123)&gt;=($D$3+P123+SUMIF(Character!$I$62:$I$66,"Enigmatic Wisdom",Character!$J$62:$J$66)+Q123+U123),"No Twilight","Twilight")))</f>
        <v>No Twilight</v>
      </c>
      <c r="W123" s="483"/>
      <c r="X123" s="478"/>
      <c r="Y123" s="484"/>
      <c r="Z123" s="478"/>
      <c r="AA123" s="485" t="str">
        <f>IF(V123="Uncomprehended Twilight","Failed",IF(OR(ISBLANK(W123),ISBLANK(Y123))," ",IF(NOT(ISBLANK(X123)),"Failed",IF((W123+Character!$B$9+SUMIF(Character!$I$62:$I$66,"Enigmatic Wisdom",Character!$J$62:$J$66))&gt;=IF(Z123="Yes",0,(Y123+D118)),"Succeeded","Failed"))))</f>
        <v xml:space="preserve"> </v>
      </c>
      <c r="AB123" s="477" t="str">
        <f>IF(AA123=" "," ",IF(NOT(ISBLANK(X123)),VLOOKUP($D$3+X123,Calcs!$A$110:$C$122,3,TRUE),IF(AA123="Failed",VLOOKUP($D$3,Calcs!$A$110:$C$122,3,TRUE),VLOOKUP($D$3-(IF((Character!$B$9+W123)&gt;($D$3+Y123),(Character!$B$9+W123)-($D$3+Y123),0)),Calcs!$A$110:$C$122,3,TRUE))))</f>
        <v xml:space="preserve"> </v>
      </c>
      <c r="AC123" s="489"/>
      <c r="AD123" s="489" t="str">
        <f>IF(IF(AA123=" "," ",IF(NOT(ISBLANK(X123)),VLOOKUP($D$3+X123,Calcs!$A$110:$B$122,2,TRUE),IF(AA123="Failed",VLOOKUP($D$3,Calcs!$A$110:$B$122,2,TRUE),VLOOKUP($D$3-(IF((Character!$B$9+W123)&gt;($D$3+Y123),(Character!$B$9+W123)-($D$3+Y123),0)),Calcs!$A$110:$B$122,2,TRUE))))=Calcs!$B$120,IF(ISBLANK(AC123)," ",CONCATENATE(AC123+7," Years")),IF(AA123=" "," ",IF(NOT(ISBLANK(X123)),VLOOKUP($D$3+X123,Calcs!$A$110:$B$122,2,TRUE),IF(AA123="Failed",VLOOKUP($D$3,Calcs!$A$110:$B$122,2,TRUE),VLOOKUP($D$3-(IF((Character!$B$9+W123)&gt;($D$3+Y123),(Character!$B$9+W123)-($D$3+Y123),0)),Calcs!$A$110:$B$122,2,TRUE)))))</f>
        <v xml:space="preserve"> </v>
      </c>
      <c r="AE123" s="490"/>
      <c r="AF123" s="879"/>
      <c r="AG123" s="491"/>
    </row>
    <row r="124" spans="1:33" x14ac:dyDescent="0.2">
      <c r="A124" s="415">
        <f t="shared" si="2"/>
        <v>1241</v>
      </c>
      <c r="B124" s="419" t="str">
        <f t="shared" si="3"/>
        <v>Winter</v>
      </c>
      <c r="C124" s="455"/>
      <c r="D124" s="504"/>
      <c r="E124" s="455"/>
      <c r="F124" s="504"/>
      <c r="G124" s="455"/>
      <c r="H124" s="504"/>
      <c r="I124" s="455"/>
      <c r="J124" s="504"/>
      <c r="L124" s="472"/>
      <c r="M124" s="468"/>
      <c r="N124" s="468"/>
      <c r="O124" s="468"/>
      <c r="P124" s="468"/>
      <c r="Q124" s="473"/>
      <c r="R124" s="477" t="str">
        <f>IF(AND(COUNTIF('Start Character'!$I$63:$M$77,"Twilight Prone")=1,NOT(ISERROR(FIND("Magical Botch",M124)))),"Yes",IF(P124&gt;1,"Yes","No"))</f>
        <v>No</v>
      </c>
      <c r="S124" s="501"/>
      <c r="T124" s="478"/>
      <c r="U124" s="501"/>
      <c r="V124" s="479" t="str">
        <f>IF(R124="No","No Twilight",IF(T124="Yes","Uncomprehended Twilight",IF((Character!$B$14+IF(Character!$B$53="Yes",0,Character!$B$53)+IF(Magic!$C$5="Yes",2,0)+ROUNDUP((Magic!$B$30+IF(Magic!$C$30="Yes",3,0))/5,0)+S124)&gt;=($D$3+P124+SUMIF(Character!$I$62:$I$66,"Enigmatic Wisdom",Character!$J$62:$J$66)+Q124+U124),"No Twilight","Twilight")))</f>
        <v>No Twilight</v>
      </c>
      <c r="W124" s="483"/>
      <c r="X124" s="478"/>
      <c r="Y124" s="484"/>
      <c r="Z124" s="478"/>
      <c r="AA124" s="485" t="str">
        <f>IF(V124="Uncomprehended Twilight","Failed",IF(OR(ISBLANK(W124),ISBLANK(Y124))," ",IF(NOT(ISBLANK(X124)),"Failed",IF((W124+Character!$B$9+SUMIF(Character!$I$62:$I$66,"Enigmatic Wisdom",Character!$J$62:$J$66))&gt;=IF(Z124="Yes",0,(Y124+D119)),"Succeeded","Failed"))))</f>
        <v xml:space="preserve"> </v>
      </c>
      <c r="AB124" s="477" t="str">
        <f>IF(AA124=" "," ",IF(NOT(ISBLANK(X124)),VLOOKUP($D$3+X124,Calcs!$A$110:$C$122,3,TRUE),IF(AA124="Failed",VLOOKUP($D$3,Calcs!$A$110:$C$122,3,TRUE),VLOOKUP($D$3-(IF((Character!$B$9+W124)&gt;($D$3+Y124),(Character!$B$9+W124)-($D$3+Y124),0)),Calcs!$A$110:$C$122,3,TRUE))))</f>
        <v xml:space="preserve"> </v>
      </c>
      <c r="AC124" s="489"/>
      <c r="AD124" s="489" t="str">
        <f>IF(IF(AA124=" "," ",IF(NOT(ISBLANK(X124)),VLOOKUP($D$3+X124,Calcs!$A$110:$B$122,2,TRUE),IF(AA124="Failed",VLOOKUP($D$3,Calcs!$A$110:$B$122,2,TRUE),VLOOKUP($D$3-(IF((Character!$B$9+W124)&gt;($D$3+Y124),(Character!$B$9+W124)-($D$3+Y124),0)),Calcs!$A$110:$B$122,2,TRUE))))=Calcs!$B$120,IF(ISBLANK(AC124)," ",CONCATENATE(AC124+7," Years")),IF(AA124=" "," ",IF(NOT(ISBLANK(X124)),VLOOKUP($D$3+X124,Calcs!$A$110:$B$122,2,TRUE),IF(AA124="Failed",VLOOKUP($D$3,Calcs!$A$110:$B$122,2,TRUE),VLOOKUP($D$3-(IF((Character!$B$9+W124)&gt;($D$3+Y124),(Character!$B$9+W124)-($D$3+Y124),0)),Calcs!$A$110:$B$122,2,TRUE)))))</f>
        <v xml:space="preserve"> </v>
      </c>
      <c r="AE124" s="490"/>
      <c r="AF124" s="879"/>
      <c r="AG124" s="491"/>
    </row>
    <row r="125" spans="1:33" x14ac:dyDescent="0.2">
      <c r="A125" s="415">
        <f t="shared" si="2"/>
        <v>1241</v>
      </c>
      <c r="B125" s="419" t="str">
        <f t="shared" si="3"/>
        <v>Spring</v>
      </c>
      <c r="C125" s="455"/>
      <c r="D125" s="504"/>
      <c r="E125" s="455"/>
      <c r="F125" s="504"/>
      <c r="G125" s="455"/>
      <c r="H125" s="504"/>
      <c r="I125" s="455"/>
      <c r="J125" s="504"/>
      <c r="L125" s="472"/>
      <c r="M125" s="468"/>
      <c r="N125" s="468"/>
      <c r="O125" s="468"/>
      <c r="P125" s="468"/>
      <c r="Q125" s="473"/>
      <c r="R125" s="477" t="str">
        <f>IF(AND(COUNTIF('Start Character'!$I$63:$M$77,"Twilight Prone")=1,NOT(ISERROR(FIND("Magical Botch",M125)))),"Yes",IF(P125&gt;1,"Yes","No"))</f>
        <v>No</v>
      </c>
      <c r="S125" s="501"/>
      <c r="T125" s="478"/>
      <c r="U125" s="501"/>
      <c r="V125" s="479" t="str">
        <f>IF(R125="No","No Twilight",IF(T125="Yes","Uncomprehended Twilight",IF((Character!$B$14+IF(Character!$B$53="Yes",0,Character!$B$53)+IF(Magic!$C$5="Yes",2,0)+ROUNDUP((Magic!$B$30+IF(Magic!$C$30="Yes",3,0))/5,0)+S125)&gt;=($D$3+P125+SUMIF(Character!$I$62:$I$66,"Enigmatic Wisdom",Character!$J$62:$J$66)+Q125+U125),"No Twilight","Twilight")))</f>
        <v>No Twilight</v>
      </c>
      <c r="W125" s="483"/>
      <c r="X125" s="478"/>
      <c r="Y125" s="484"/>
      <c r="Z125" s="478"/>
      <c r="AA125" s="485" t="str">
        <f>IF(V125="Uncomprehended Twilight","Failed",IF(OR(ISBLANK(W125),ISBLANK(Y125))," ",IF(NOT(ISBLANK(X125)),"Failed",IF((W125+Character!$B$9+SUMIF(Character!$I$62:$I$66,"Enigmatic Wisdom",Character!$J$62:$J$66))&gt;=IF(Z125="Yes",0,(Y125+D120)),"Succeeded","Failed"))))</f>
        <v xml:space="preserve"> </v>
      </c>
      <c r="AB125" s="477" t="str">
        <f>IF(AA125=" "," ",IF(NOT(ISBLANK(X125)),VLOOKUP($D$3+X125,Calcs!$A$110:$C$122,3,TRUE),IF(AA125="Failed",VLOOKUP($D$3,Calcs!$A$110:$C$122,3,TRUE),VLOOKUP($D$3-(IF((Character!$B$9+W125)&gt;($D$3+Y125),(Character!$B$9+W125)-($D$3+Y125),0)),Calcs!$A$110:$C$122,3,TRUE))))</f>
        <v xml:space="preserve"> </v>
      </c>
      <c r="AC125" s="489"/>
      <c r="AD125" s="489" t="str">
        <f>IF(IF(AA125=" "," ",IF(NOT(ISBLANK(X125)),VLOOKUP($D$3+X125,Calcs!$A$110:$B$122,2,TRUE),IF(AA125="Failed",VLOOKUP($D$3,Calcs!$A$110:$B$122,2,TRUE),VLOOKUP($D$3-(IF((Character!$B$9+W125)&gt;($D$3+Y125),(Character!$B$9+W125)-($D$3+Y125),0)),Calcs!$A$110:$B$122,2,TRUE))))=Calcs!$B$120,IF(ISBLANK(AC125)," ",CONCATENATE(AC125+7," Years")),IF(AA125=" "," ",IF(NOT(ISBLANK(X125)),VLOOKUP($D$3+X125,Calcs!$A$110:$B$122,2,TRUE),IF(AA125="Failed",VLOOKUP($D$3,Calcs!$A$110:$B$122,2,TRUE),VLOOKUP($D$3-(IF((Character!$B$9+W125)&gt;($D$3+Y125),(Character!$B$9+W125)-($D$3+Y125),0)),Calcs!$A$110:$B$122,2,TRUE)))))</f>
        <v xml:space="preserve"> </v>
      </c>
      <c r="AE125" s="490"/>
      <c r="AF125" s="879"/>
      <c r="AG125" s="491"/>
    </row>
    <row r="126" spans="1:33" x14ac:dyDescent="0.2">
      <c r="A126" s="415">
        <f t="shared" si="2"/>
        <v>1241</v>
      </c>
      <c r="B126" s="419" t="str">
        <f t="shared" si="3"/>
        <v>Summer</v>
      </c>
      <c r="C126" s="455"/>
      <c r="D126" s="504"/>
      <c r="E126" s="455"/>
      <c r="F126" s="504"/>
      <c r="G126" s="455"/>
      <c r="H126" s="504"/>
      <c r="I126" s="455"/>
      <c r="J126" s="504"/>
      <c r="L126" s="472"/>
      <c r="M126" s="468"/>
      <c r="N126" s="468"/>
      <c r="O126" s="468"/>
      <c r="P126" s="468"/>
      <c r="Q126" s="473"/>
      <c r="R126" s="477" t="str">
        <f>IF(AND(COUNTIF('Start Character'!$I$63:$M$77,"Twilight Prone")=1,NOT(ISERROR(FIND("Magical Botch",M126)))),"Yes",IF(P126&gt;1,"Yes","No"))</f>
        <v>No</v>
      </c>
      <c r="S126" s="501"/>
      <c r="T126" s="478"/>
      <c r="U126" s="501"/>
      <c r="V126" s="479" t="str">
        <f>IF(R126="No","No Twilight",IF(T126="Yes","Uncomprehended Twilight",IF((Character!$B$14+IF(Character!$B$53="Yes",0,Character!$B$53)+IF(Magic!$C$5="Yes",2,0)+ROUNDUP((Magic!$B$30+IF(Magic!$C$30="Yes",3,0))/5,0)+S126)&gt;=($D$3+P126+SUMIF(Character!$I$62:$I$66,"Enigmatic Wisdom",Character!$J$62:$J$66)+Q126+U126),"No Twilight","Twilight")))</f>
        <v>No Twilight</v>
      </c>
      <c r="W126" s="483"/>
      <c r="X126" s="478"/>
      <c r="Y126" s="484"/>
      <c r="Z126" s="478"/>
      <c r="AA126" s="485" t="str">
        <f>IF(V126="Uncomprehended Twilight","Failed",IF(OR(ISBLANK(W126),ISBLANK(Y126))," ",IF(NOT(ISBLANK(X126)),"Failed",IF((W126+Character!$B$9+SUMIF(Character!$I$62:$I$66,"Enigmatic Wisdom",Character!$J$62:$J$66))&gt;=IF(Z126="Yes",0,(Y126+D121)),"Succeeded","Failed"))))</f>
        <v xml:space="preserve"> </v>
      </c>
      <c r="AB126" s="477" t="str">
        <f>IF(AA126=" "," ",IF(NOT(ISBLANK(X126)),VLOOKUP($D$3+X126,Calcs!$A$110:$C$122,3,TRUE),IF(AA126="Failed",VLOOKUP($D$3,Calcs!$A$110:$C$122,3,TRUE),VLOOKUP($D$3-(IF((Character!$B$9+W126)&gt;($D$3+Y126),(Character!$B$9+W126)-($D$3+Y126),0)),Calcs!$A$110:$C$122,3,TRUE))))</f>
        <v xml:space="preserve"> </v>
      </c>
      <c r="AC126" s="489"/>
      <c r="AD126" s="489" t="str">
        <f>IF(IF(AA126=" "," ",IF(NOT(ISBLANK(X126)),VLOOKUP($D$3+X126,Calcs!$A$110:$B$122,2,TRUE),IF(AA126="Failed",VLOOKUP($D$3,Calcs!$A$110:$B$122,2,TRUE),VLOOKUP($D$3-(IF((Character!$B$9+W126)&gt;($D$3+Y126),(Character!$B$9+W126)-($D$3+Y126),0)),Calcs!$A$110:$B$122,2,TRUE))))=Calcs!$B$120,IF(ISBLANK(AC126)," ",CONCATENATE(AC126+7," Years")),IF(AA126=" "," ",IF(NOT(ISBLANK(X126)),VLOOKUP($D$3+X126,Calcs!$A$110:$B$122,2,TRUE),IF(AA126="Failed",VLOOKUP($D$3,Calcs!$A$110:$B$122,2,TRUE),VLOOKUP($D$3-(IF((Character!$B$9+W126)&gt;($D$3+Y126),(Character!$B$9+W126)-($D$3+Y126),0)),Calcs!$A$110:$B$122,2,TRUE)))))</f>
        <v xml:space="preserve"> </v>
      </c>
      <c r="AE126" s="490"/>
      <c r="AF126" s="879"/>
      <c r="AG126" s="491"/>
    </row>
    <row r="127" spans="1:33" x14ac:dyDescent="0.2">
      <c r="A127" s="415">
        <f t="shared" si="2"/>
        <v>1241</v>
      </c>
      <c r="B127" s="419" t="str">
        <f t="shared" si="3"/>
        <v>Autumn</v>
      </c>
      <c r="C127" s="455"/>
      <c r="D127" s="504"/>
      <c r="E127" s="455"/>
      <c r="F127" s="504"/>
      <c r="G127" s="455"/>
      <c r="H127" s="504"/>
      <c r="I127" s="455"/>
      <c r="J127" s="504"/>
      <c r="L127" s="472"/>
      <c r="M127" s="468"/>
      <c r="N127" s="468"/>
      <c r="O127" s="468"/>
      <c r="P127" s="468"/>
      <c r="Q127" s="473"/>
      <c r="R127" s="477" t="str">
        <f>IF(AND(COUNTIF('Start Character'!$I$63:$M$77,"Twilight Prone")=1,NOT(ISERROR(FIND("Magical Botch",M127)))),"Yes",IF(P127&gt;1,"Yes","No"))</f>
        <v>No</v>
      </c>
      <c r="S127" s="501"/>
      <c r="T127" s="478"/>
      <c r="U127" s="501"/>
      <c r="V127" s="479" t="str">
        <f>IF(R127="No","No Twilight",IF(T127="Yes","Uncomprehended Twilight",IF((Character!$B$14+IF(Character!$B$53="Yes",0,Character!$B$53)+IF(Magic!$C$5="Yes",2,0)+ROUNDUP((Magic!$B$30+IF(Magic!$C$30="Yes",3,0))/5,0)+S127)&gt;=($D$3+P127+SUMIF(Character!$I$62:$I$66,"Enigmatic Wisdom",Character!$J$62:$J$66)+Q127+U127),"No Twilight","Twilight")))</f>
        <v>No Twilight</v>
      </c>
      <c r="W127" s="483"/>
      <c r="X127" s="478"/>
      <c r="Y127" s="484"/>
      <c r="Z127" s="478"/>
      <c r="AA127" s="485" t="str">
        <f>IF(V127="Uncomprehended Twilight","Failed",IF(OR(ISBLANK(W127),ISBLANK(Y127))," ",IF(NOT(ISBLANK(X127)),"Failed",IF((W127+Character!$B$9+SUMIF(Character!$I$62:$I$66,"Enigmatic Wisdom",Character!$J$62:$J$66))&gt;=IF(Z127="Yes",0,(Y127+D122)),"Succeeded","Failed"))))</f>
        <v xml:space="preserve"> </v>
      </c>
      <c r="AB127" s="477" t="str">
        <f>IF(AA127=" "," ",IF(NOT(ISBLANK(X127)),VLOOKUP($D$3+X127,Calcs!$A$110:$C$122,3,TRUE),IF(AA127="Failed",VLOOKUP($D$3,Calcs!$A$110:$C$122,3,TRUE),VLOOKUP($D$3-(IF((Character!$B$9+W127)&gt;($D$3+Y127),(Character!$B$9+W127)-($D$3+Y127),0)),Calcs!$A$110:$C$122,3,TRUE))))</f>
        <v xml:space="preserve"> </v>
      </c>
      <c r="AC127" s="489"/>
      <c r="AD127" s="489" t="str">
        <f>IF(IF(AA127=" "," ",IF(NOT(ISBLANK(X127)),VLOOKUP($D$3+X127,Calcs!$A$110:$B$122,2,TRUE),IF(AA127="Failed",VLOOKUP($D$3,Calcs!$A$110:$B$122,2,TRUE),VLOOKUP($D$3-(IF((Character!$B$9+W127)&gt;($D$3+Y127),(Character!$B$9+W127)-($D$3+Y127),0)),Calcs!$A$110:$B$122,2,TRUE))))=Calcs!$B$120,IF(ISBLANK(AC127)," ",CONCATENATE(AC127+7," Years")),IF(AA127=" "," ",IF(NOT(ISBLANK(X127)),VLOOKUP($D$3+X127,Calcs!$A$110:$B$122,2,TRUE),IF(AA127="Failed",VLOOKUP($D$3,Calcs!$A$110:$B$122,2,TRUE),VLOOKUP($D$3-(IF((Character!$B$9+W127)&gt;($D$3+Y127),(Character!$B$9+W127)-($D$3+Y127),0)),Calcs!$A$110:$B$122,2,TRUE)))))</f>
        <v xml:space="preserve"> </v>
      </c>
      <c r="AE127" s="490"/>
      <c r="AF127" s="879"/>
      <c r="AG127" s="491"/>
    </row>
    <row r="128" spans="1:33" x14ac:dyDescent="0.2">
      <c r="A128" s="415">
        <f t="shared" si="2"/>
        <v>1242</v>
      </c>
      <c r="B128" s="419" t="str">
        <f t="shared" si="3"/>
        <v>Winter</v>
      </c>
      <c r="C128" s="455"/>
      <c r="D128" s="504"/>
      <c r="E128" s="455"/>
      <c r="F128" s="504"/>
      <c r="G128" s="455"/>
      <c r="H128" s="504"/>
      <c r="I128" s="455"/>
      <c r="J128" s="504"/>
      <c r="L128" s="472"/>
      <c r="M128" s="468"/>
      <c r="N128" s="468"/>
      <c r="O128" s="468"/>
      <c r="P128" s="468"/>
      <c r="Q128" s="473"/>
      <c r="R128" s="477" t="str">
        <f>IF(AND(COUNTIF('Start Character'!$I$63:$M$77,"Twilight Prone")=1,NOT(ISERROR(FIND("Magical Botch",M128)))),"Yes",IF(P128&gt;1,"Yes","No"))</f>
        <v>No</v>
      </c>
      <c r="S128" s="501"/>
      <c r="T128" s="478"/>
      <c r="U128" s="501"/>
      <c r="V128" s="479" t="str">
        <f>IF(R128="No","No Twilight",IF(T128="Yes","Uncomprehended Twilight",IF((Character!$B$14+IF(Character!$B$53="Yes",0,Character!$B$53)+IF(Magic!$C$5="Yes",2,0)+ROUNDUP((Magic!$B$30+IF(Magic!$C$30="Yes",3,0))/5,0)+S128)&gt;=($D$3+P128+SUMIF(Character!$I$62:$I$66,"Enigmatic Wisdom",Character!$J$62:$J$66)+Q128+U128),"No Twilight","Twilight")))</f>
        <v>No Twilight</v>
      </c>
      <c r="W128" s="483"/>
      <c r="X128" s="478"/>
      <c r="Y128" s="484"/>
      <c r="Z128" s="478"/>
      <c r="AA128" s="485" t="str">
        <f>IF(V128="Uncomprehended Twilight","Failed",IF(OR(ISBLANK(W128),ISBLANK(Y128))," ",IF(NOT(ISBLANK(X128)),"Failed",IF((W128+Character!$B$9+SUMIF(Character!$I$62:$I$66,"Enigmatic Wisdom",Character!$J$62:$J$66))&gt;=IF(Z128="Yes",0,(Y128+D123)),"Succeeded","Failed"))))</f>
        <v xml:space="preserve"> </v>
      </c>
      <c r="AB128" s="477" t="str">
        <f>IF(AA128=" "," ",IF(NOT(ISBLANK(X128)),VLOOKUP($D$3+X128,Calcs!$A$110:$C$122,3,TRUE),IF(AA128="Failed",VLOOKUP($D$3,Calcs!$A$110:$C$122,3,TRUE),VLOOKUP($D$3-(IF((Character!$B$9+W128)&gt;($D$3+Y128),(Character!$B$9+W128)-($D$3+Y128),0)),Calcs!$A$110:$C$122,3,TRUE))))</f>
        <v xml:space="preserve"> </v>
      </c>
      <c r="AC128" s="489"/>
      <c r="AD128" s="489" t="str">
        <f>IF(IF(AA128=" "," ",IF(NOT(ISBLANK(X128)),VLOOKUP($D$3+X128,Calcs!$A$110:$B$122,2,TRUE),IF(AA128="Failed",VLOOKUP($D$3,Calcs!$A$110:$B$122,2,TRUE),VLOOKUP($D$3-(IF((Character!$B$9+W128)&gt;($D$3+Y128),(Character!$B$9+W128)-($D$3+Y128),0)),Calcs!$A$110:$B$122,2,TRUE))))=Calcs!$B$120,IF(ISBLANK(AC128)," ",CONCATENATE(AC128+7," Years")),IF(AA128=" "," ",IF(NOT(ISBLANK(X128)),VLOOKUP($D$3+X128,Calcs!$A$110:$B$122,2,TRUE),IF(AA128="Failed",VLOOKUP($D$3,Calcs!$A$110:$B$122,2,TRUE),VLOOKUP($D$3-(IF((Character!$B$9+W128)&gt;($D$3+Y128),(Character!$B$9+W128)-($D$3+Y128),0)),Calcs!$A$110:$B$122,2,TRUE)))))</f>
        <v xml:space="preserve"> </v>
      </c>
      <c r="AE128" s="490"/>
      <c r="AF128" s="879"/>
      <c r="AG128" s="491"/>
    </row>
    <row r="129" spans="1:33" x14ac:dyDescent="0.2">
      <c r="A129" s="415">
        <f t="shared" si="2"/>
        <v>1242</v>
      </c>
      <c r="B129" s="419" t="str">
        <f t="shared" si="3"/>
        <v>Spring</v>
      </c>
      <c r="C129" s="455"/>
      <c r="D129" s="504"/>
      <c r="E129" s="455"/>
      <c r="F129" s="504"/>
      <c r="G129" s="455"/>
      <c r="H129" s="504"/>
      <c r="I129" s="455"/>
      <c r="J129" s="504"/>
      <c r="L129" s="472"/>
      <c r="M129" s="468"/>
      <c r="N129" s="468"/>
      <c r="O129" s="468"/>
      <c r="P129" s="468"/>
      <c r="Q129" s="473"/>
      <c r="R129" s="477" t="str">
        <f>IF(AND(COUNTIF('Start Character'!$I$63:$M$77,"Twilight Prone")=1,NOT(ISERROR(FIND("Magical Botch",M129)))),"Yes",IF(P129&gt;1,"Yes","No"))</f>
        <v>No</v>
      </c>
      <c r="S129" s="501"/>
      <c r="T129" s="478"/>
      <c r="U129" s="501"/>
      <c r="V129" s="479" t="str">
        <f>IF(R129="No","No Twilight",IF(T129="Yes","Uncomprehended Twilight",IF((Character!$B$14+IF(Character!$B$53="Yes",0,Character!$B$53)+IF(Magic!$C$5="Yes",2,0)+ROUNDUP((Magic!$B$30+IF(Magic!$C$30="Yes",3,0))/5,0)+S129)&gt;=($D$3+P129+SUMIF(Character!$I$62:$I$66,"Enigmatic Wisdom",Character!$J$62:$J$66)+Q129+U129),"No Twilight","Twilight")))</f>
        <v>No Twilight</v>
      </c>
      <c r="W129" s="483"/>
      <c r="X129" s="478"/>
      <c r="Y129" s="484"/>
      <c r="Z129" s="478"/>
      <c r="AA129" s="485" t="str">
        <f>IF(V129="Uncomprehended Twilight","Failed",IF(OR(ISBLANK(W129),ISBLANK(Y129))," ",IF(NOT(ISBLANK(X129)),"Failed",IF((W129+Character!$B$9+SUMIF(Character!$I$62:$I$66,"Enigmatic Wisdom",Character!$J$62:$J$66))&gt;=IF(Z129="Yes",0,(Y129+D124)),"Succeeded","Failed"))))</f>
        <v xml:space="preserve"> </v>
      </c>
      <c r="AB129" s="477" t="str">
        <f>IF(AA129=" "," ",IF(NOT(ISBLANK(X129)),VLOOKUP($D$3+X129,Calcs!$A$110:$C$122,3,TRUE),IF(AA129="Failed",VLOOKUP($D$3,Calcs!$A$110:$C$122,3,TRUE),VLOOKUP($D$3-(IF((Character!$B$9+W129)&gt;($D$3+Y129),(Character!$B$9+W129)-($D$3+Y129),0)),Calcs!$A$110:$C$122,3,TRUE))))</f>
        <v xml:space="preserve"> </v>
      </c>
      <c r="AC129" s="489"/>
      <c r="AD129" s="489" t="str">
        <f>IF(IF(AA129=" "," ",IF(NOT(ISBLANK(X129)),VLOOKUP($D$3+X129,Calcs!$A$110:$B$122,2,TRUE),IF(AA129="Failed",VLOOKUP($D$3,Calcs!$A$110:$B$122,2,TRUE),VLOOKUP($D$3-(IF((Character!$B$9+W129)&gt;($D$3+Y129),(Character!$B$9+W129)-($D$3+Y129),0)),Calcs!$A$110:$B$122,2,TRUE))))=Calcs!$B$120,IF(ISBLANK(AC129)," ",CONCATENATE(AC129+7," Years")),IF(AA129=" "," ",IF(NOT(ISBLANK(X129)),VLOOKUP($D$3+X129,Calcs!$A$110:$B$122,2,TRUE),IF(AA129="Failed",VLOOKUP($D$3,Calcs!$A$110:$B$122,2,TRUE),VLOOKUP($D$3-(IF((Character!$B$9+W129)&gt;($D$3+Y129),(Character!$B$9+W129)-($D$3+Y129),0)),Calcs!$A$110:$B$122,2,TRUE)))))</f>
        <v xml:space="preserve"> </v>
      </c>
      <c r="AE129" s="490"/>
      <c r="AF129" s="879"/>
      <c r="AG129" s="491"/>
    </row>
    <row r="130" spans="1:33" x14ac:dyDescent="0.2">
      <c r="A130" s="415">
        <f t="shared" si="2"/>
        <v>1242</v>
      </c>
      <c r="B130" s="419" t="str">
        <f t="shared" si="3"/>
        <v>Summer</v>
      </c>
      <c r="C130" s="455"/>
      <c r="D130" s="504"/>
      <c r="E130" s="455"/>
      <c r="F130" s="504"/>
      <c r="G130" s="455"/>
      <c r="H130" s="504"/>
      <c r="I130" s="455"/>
      <c r="J130" s="504"/>
      <c r="L130" s="472"/>
      <c r="M130" s="468"/>
      <c r="N130" s="468"/>
      <c r="O130" s="468"/>
      <c r="P130" s="468"/>
      <c r="Q130" s="473"/>
      <c r="R130" s="477" t="str">
        <f>IF(AND(COUNTIF('Start Character'!$I$63:$M$77,"Twilight Prone")=1,NOT(ISERROR(FIND("Magical Botch",M130)))),"Yes",IF(P130&gt;1,"Yes","No"))</f>
        <v>No</v>
      </c>
      <c r="S130" s="501"/>
      <c r="T130" s="478"/>
      <c r="U130" s="501"/>
      <c r="V130" s="479" t="str">
        <f>IF(R130="No","No Twilight",IF(T130="Yes","Uncomprehended Twilight",IF((Character!$B$14+IF(Character!$B$53="Yes",0,Character!$B$53)+IF(Magic!$C$5="Yes",2,0)+ROUNDUP((Magic!$B$30+IF(Magic!$C$30="Yes",3,0))/5,0)+S130)&gt;=($D$3+P130+SUMIF(Character!$I$62:$I$66,"Enigmatic Wisdom",Character!$J$62:$J$66)+Q130+U130),"No Twilight","Twilight")))</f>
        <v>No Twilight</v>
      </c>
      <c r="W130" s="483"/>
      <c r="X130" s="478"/>
      <c r="Y130" s="484"/>
      <c r="Z130" s="478"/>
      <c r="AA130" s="485" t="str">
        <f>IF(V130="Uncomprehended Twilight","Failed",IF(OR(ISBLANK(W130),ISBLANK(Y130))," ",IF(NOT(ISBLANK(X130)),"Failed",IF((W130+Character!$B$9+SUMIF(Character!$I$62:$I$66,"Enigmatic Wisdom",Character!$J$62:$J$66))&gt;=IF(Z130="Yes",0,(Y130+D125)),"Succeeded","Failed"))))</f>
        <v xml:space="preserve"> </v>
      </c>
      <c r="AB130" s="477" t="str">
        <f>IF(AA130=" "," ",IF(NOT(ISBLANK(X130)),VLOOKUP($D$3+X130,Calcs!$A$110:$C$122,3,TRUE),IF(AA130="Failed",VLOOKUP($D$3,Calcs!$A$110:$C$122,3,TRUE),VLOOKUP($D$3-(IF((Character!$B$9+W130)&gt;($D$3+Y130),(Character!$B$9+W130)-($D$3+Y130),0)),Calcs!$A$110:$C$122,3,TRUE))))</f>
        <v xml:space="preserve"> </v>
      </c>
      <c r="AC130" s="489"/>
      <c r="AD130" s="489" t="str">
        <f>IF(IF(AA130=" "," ",IF(NOT(ISBLANK(X130)),VLOOKUP($D$3+X130,Calcs!$A$110:$B$122,2,TRUE),IF(AA130="Failed",VLOOKUP($D$3,Calcs!$A$110:$B$122,2,TRUE),VLOOKUP($D$3-(IF((Character!$B$9+W130)&gt;($D$3+Y130),(Character!$B$9+W130)-($D$3+Y130),0)),Calcs!$A$110:$B$122,2,TRUE))))=Calcs!$B$120,IF(ISBLANK(AC130)," ",CONCATENATE(AC130+7," Years")),IF(AA130=" "," ",IF(NOT(ISBLANK(X130)),VLOOKUP($D$3+X130,Calcs!$A$110:$B$122,2,TRUE),IF(AA130="Failed",VLOOKUP($D$3,Calcs!$A$110:$B$122,2,TRUE),VLOOKUP($D$3-(IF((Character!$B$9+W130)&gt;($D$3+Y130),(Character!$B$9+W130)-($D$3+Y130),0)),Calcs!$A$110:$B$122,2,TRUE)))))</f>
        <v xml:space="preserve"> </v>
      </c>
      <c r="AE130" s="490"/>
      <c r="AF130" s="879"/>
      <c r="AG130" s="491"/>
    </row>
    <row r="131" spans="1:33" x14ac:dyDescent="0.2">
      <c r="A131" s="415">
        <f t="shared" si="2"/>
        <v>1242</v>
      </c>
      <c r="B131" s="419" t="str">
        <f t="shared" si="3"/>
        <v>Autumn</v>
      </c>
      <c r="C131" s="455"/>
      <c r="D131" s="504"/>
      <c r="E131" s="455"/>
      <c r="F131" s="504"/>
      <c r="G131" s="455"/>
      <c r="H131" s="504"/>
      <c r="I131" s="455"/>
      <c r="J131" s="504"/>
      <c r="L131" s="472"/>
      <c r="M131" s="468"/>
      <c r="N131" s="468"/>
      <c r="O131" s="468"/>
      <c r="P131" s="468"/>
      <c r="Q131" s="473"/>
      <c r="R131" s="477" t="str">
        <f>IF(AND(COUNTIF('Start Character'!$I$63:$M$77,"Twilight Prone")=1,NOT(ISERROR(FIND("Magical Botch",M131)))),"Yes",IF(P131&gt;1,"Yes","No"))</f>
        <v>No</v>
      </c>
      <c r="S131" s="501"/>
      <c r="T131" s="478"/>
      <c r="U131" s="501"/>
      <c r="V131" s="479" t="str">
        <f>IF(R131="No","No Twilight",IF(T131="Yes","Uncomprehended Twilight",IF((Character!$B$14+IF(Character!$B$53="Yes",0,Character!$B$53)+IF(Magic!$C$5="Yes",2,0)+ROUNDUP((Magic!$B$30+IF(Magic!$C$30="Yes",3,0))/5,0)+S131)&gt;=($D$3+P131+SUMIF(Character!$I$62:$I$66,"Enigmatic Wisdom",Character!$J$62:$J$66)+Q131+U131),"No Twilight","Twilight")))</f>
        <v>No Twilight</v>
      </c>
      <c r="W131" s="483"/>
      <c r="X131" s="478"/>
      <c r="Y131" s="484"/>
      <c r="Z131" s="478"/>
      <c r="AA131" s="485" t="str">
        <f>IF(V131="Uncomprehended Twilight","Failed",IF(OR(ISBLANK(W131),ISBLANK(Y131))," ",IF(NOT(ISBLANK(X131)),"Failed",IF((W131+Character!$B$9+SUMIF(Character!$I$62:$I$66,"Enigmatic Wisdom",Character!$J$62:$J$66))&gt;=IF(Z131="Yes",0,(Y131+D126)),"Succeeded","Failed"))))</f>
        <v xml:space="preserve"> </v>
      </c>
      <c r="AB131" s="477" t="str">
        <f>IF(AA131=" "," ",IF(NOT(ISBLANK(X131)),VLOOKUP($D$3+X131,Calcs!$A$110:$C$122,3,TRUE),IF(AA131="Failed",VLOOKUP($D$3,Calcs!$A$110:$C$122,3,TRUE),VLOOKUP($D$3-(IF((Character!$B$9+W131)&gt;($D$3+Y131),(Character!$B$9+W131)-($D$3+Y131),0)),Calcs!$A$110:$C$122,3,TRUE))))</f>
        <v xml:space="preserve"> </v>
      </c>
      <c r="AC131" s="489"/>
      <c r="AD131" s="489" t="str">
        <f>IF(IF(AA131=" "," ",IF(NOT(ISBLANK(X131)),VLOOKUP($D$3+X131,Calcs!$A$110:$B$122,2,TRUE),IF(AA131="Failed",VLOOKUP($D$3,Calcs!$A$110:$B$122,2,TRUE),VLOOKUP($D$3-(IF((Character!$B$9+W131)&gt;($D$3+Y131),(Character!$B$9+W131)-($D$3+Y131),0)),Calcs!$A$110:$B$122,2,TRUE))))=Calcs!$B$120,IF(ISBLANK(AC131)," ",CONCATENATE(AC131+7," Years")),IF(AA131=" "," ",IF(NOT(ISBLANK(X131)),VLOOKUP($D$3+X131,Calcs!$A$110:$B$122,2,TRUE),IF(AA131="Failed",VLOOKUP($D$3,Calcs!$A$110:$B$122,2,TRUE),VLOOKUP($D$3-(IF((Character!$B$9+W131)&gt;($D$3+Y131),(Character!$B$9+W131)-($D$3+Y131),0)),Calcs!$A$110:$B$122,2,TRUE)))))</f>
        <v xml:space="preserve"> </v>
      </c>
      <c r="AE131" s="490"/>
      <c r="AF131" s="879"/>
      <c r="AG131" s="491"/>
    </row>
    <row r="132" spans="1:33" x14ac:dyDescent="0.2">
      <c r="A132" s="415">
        <f t="shared" si="2"/>
        <v>1243</v>
      </c>
      <c r="B132" s="419" t="str">
        <f t="shared" si="3"/>
        <v>Winter</v>
      </c>
      <c r="C132" s="455"/>
      <c r="D132" s="504"/>
      <c r="E132" s="455"/>
      <c r="F132" s="504"/>
      <c r="G132" s="455"/>
      <c r="H132" s="504"/>
      <c r="I132" s="455"/>
      <c r="J132" s="504"/>
      <c r="L132" s="472"/>
      <c r="M132" s="468"/>
      <c r="N132" s="468"/>
      <c r="O132" s="468"/>
      <c r="P132" s="468"/>
      <c r="Q132" s="473"/>
      <c r="R132" s="477" t="str">
        <f>IF(AND(COUNTIF('Start Character'!$I$63:$M$77,"Twilight Prone")=1,NOT(ISERROR(FIND("Magical Botch",M132)))),"Yes",IF(P132&gt;1,"Yes","No"))</f>
        <v>No</v>
      </c>
      <c r="S132" s="501"/>
      <c r="T132" s="478"/>
      <c r="U132" s="501"/>
      <c r="V132" s="479" t="str">
        <f>IF(R132="No","No Twilight",IF(T132="Yes","Uncomprehended Twilight",IF((Character!$B$14+IF(Character!$B$53="Yes",0,Character!$B$53)+IF(Magic!$C$5="Yes",2,0)+ROUNDUP((Magic!$B$30+IF(Magic!$C$30="Yes",3,0))/5,0)+S132)&gt;=($D$3+P132+SUMIF(Character!$I$62:$I$66,"Enigmatic Wisdom",Character!$J$62:$J$66)+Q132+U132),"No Twilight","Twilight")))</f>
        <v>No Twilight</v>
      </c>
      <c r="W132" s="483"/>
      <c r="X132" s="478"/>
      <c r="Y132" s="484"/>
      <c r="Z132" s="478"/>
      <c r="AA132" s="485" t="str">
        <f>IF(V132="Uncomprehended Twilight","Failed",IF(OR(ISBLANK(W132),ISBLANK(Y132))," ",IF(NOT(ISBLANK(X132)),"Failed",IF((W132+Character!$B$9+SUMIF(Character!$I$62:$I$66,"Enigmatic Wisdom",Character!$J$62:$J$66))&gt;=IF(Z132="Yes",0,(Y132+D127)),"Succeeded","Failed"))))</f>
        <v xml:space="preserve"> </v>
      </c>
      <c r="AB132" s="477" t="str">
        <f>IF(AA132=" "," ",IF(NOT(ISBLANK(X132)),VLOOKUP($D$3+X132,Calcs!$A$110:$C$122,3,TRUE),IF(AA132="Failed",VLOOKUP($D$3,Calcs!$A$110:$C$122,3,TRUE),VLOOKUP($D$3-(IF((Character!$B$9+W132)&gt;($D$3+Y132),(Character!$B$9+W132)-($D$3+Y132),0)),Calcs!$A$110:$C$122,3,TRUE))))</f>
        <v xml:space="preserve"> </v>
      </c>
      <c r="AC132" s="489"/>
      <c r="AD132" s="489" t="str">
        <f>IF(IF(AA132=" "," ",IF(NOT(ISBLANK(X132)),VLOOKUP($D$3+X132,Calcs!$A$110:$B$122,2,TRUE),IF(AA132="Failed",VLOOKUP($D$3,Calcs!$A$110:$B$122,2,TRUE),VLOOKUP($D$3-(IF((Character!$B$9+W132)&gt;($D$3+Y132),(Character!$B$9+W132)-($D$3+Y132),0)),Calcs!$A$110:$B$122,2,TRUE))))=Calcs!$B$120,IF(ISBLANK(AC132)," ",CONCATENATE(AC132+7," Years")),IF(AA132=" "," ",IF(NOT(ISBLANK(X132)),VLOOKUP($D$3+X132,Calcs!$A$110:$B$122,2,TRUE),IF(AA132="Failed",VLOOKUP($D$3,Calcs!$A$110:$B$122,2,TRUE),VLOOKUP($D$3-(IF((Character!$B$9+W132)&gt;($D$3+Y132),(Character!$B$9+W132)-($D$3+Y132),0)),Calcs!$A$110:$B$122,2,TRUE)))))</f>
        <v xml:space="preserve"> </v>
      </c>
      <c r="AE132" s="490"/>
      <c r="AF132" s="879"/>
      <c r="AG132" s="491"/>
    </row>
    <row r="133" spans="1:33" x14ac:dyDescent="0.2">
      <c r="A133" s="415">
        <f t="shared" si="2"/>
        <v>1243</v>
      </c>
      <c r="B133" s="419" t="str">
        <f t="shared" si="3"/>
        <v>Spring</v>
      </c>
      <c r="C133" s="455"/>
      <c r="D133" s="504"/>
      <c r="E133" s="455"/>
      <c r="F133" s="504"/>
      <c r="G133" s="455"/>
      <c r="H133" s="504"/>
      <c r="I133" s="455"/>
      <c r="J133" s="504"/>
      <c r="L133" s="472"/>
      <c r="M133" s="468"/>
      <c r="N133" s="468"/>
      <c r="O133" s="468"/>
      <c r="P133" s="468"/>
      <c r="Q133" s="473"/>
      <c r="R133" s="477" t="str">
        <f>IF(AND(COUNTIF('Start Character'!$I$63:$M$77,"Twilight Prone")=1,NOT(ISERROR(FIND("Magical Botch",M133)))),"Yes",IF(P133&gt;1,"Yes","No"))</f>
        <v>No</v>
      </c>
      <c r="S133" s="501"/>
      <c r="T133" s="478"/>
      <c r="U133" s="501"/>
      <c r="V133" s="479" t="str">
        <f>IF(R133="No","No Twilight",IF(T133="Yes","Uncomprehended Twilight",IF((Character!$B$14+IF(Character!$B$53="Yes",0,Character!$B$53)+IF(Magic!$C$5="Yes",2,0)+ROUNDUP((Magic!$B$30+IF(Magic!$C$30="Yes",3,0))/5,0)+S133)&gt;=($D$3+P133+SUMIF(Character!$I$62:$I$66,"Enigmatic Wisdom",Character!$J$62:$J$66)+Q133+U133),"No Twilight","Twilight")))</f>
        <v>No Twilight</v>
      </c>
      <c r="W133" s="483"/>
      <c r="X133" s="478"/>
      <c r="Y133" s="484"/>
      <c r="Z133" s="478"/>
      <c r="AA133" s="485" t="str">
        <f>IF(V133="Uncomprehended Twilight","Failed",IF(OR(ISBLANK(W133),ISBLANK(Y133))," ",IF(NOT(ISBLANK(X133)),"Failed",IF((W133+Character!$B$9+SUMIF(Character!$I$62:$I$66,"Enigmatic Wisdom",Character!$J$62:$J$66))&gt;=IF(Z133="Yes",0,(Y133+D128)),"Succeeded","Failed"))))</f>
        <v xml:space="preserve"> </v>
      </c>
      <c r="AB133" s="477" t="str">
        <f>IF(AA133=" "," ",IF(NOT(ISBLANK(X133)),VLOOKUP($D$3+X133,Calcs!$A$110:$C$122,3,TRUE),IF(AA133="Failed",VLOOKUP($D$3,Calcs!$A$110:$C$122,3,TRUE),VLOOKUP($D$3-(IF((Character!$B$9+W133)&gt;($D$3+Y133),(Character!$B$9+W133)-($D$3+Y133),0)),Calcs!$A$110:$C$122,3,TRUE))))</f>
        <v xml:space="preserve"> </v>
      </c>
      <c r="AC133" s="489"/>
      <c r="AD133" s="489" t="str">
        <f>IF(IF(AA133=" "," ",IF(NOT(ISBLANK(X133)),VLOOKUP($D$3+X133,Calcs!$A$110:$B$122,2,TRUE),IF(AA133="Failed",VLOOKUP($D$3,Calcs!$A$110:$B$122,2,TRUE),VLOOKUP($D$3-(IF((Character!$B$9+W133)&gt;($D$3+Y133),(Character!$B$9+W133)-($D$3+Y133),0)),Calcs!$A$110:$B$122,2,TRUE))))=Calcs!$B$120,IF(ISBLANK(AC133)," ",CONCATENATE(AC133+7," Years")),IF(AA133=" "," ",IF(NOT(ISBLANK(X133)),VLOOKUP($D$3+X133,Calcs!$A$110:$B$122,2,TRUE),IF(AA133="Failed",VLOOKUP($D$3,Calcs!$A$110:$B$122,2,TRUE),VLOOKUP($D$3-(IF((Character!$B$9+W133)&gt;($D$3+Y133),(Character!$B$9+W133)-($D$3+Y133),0)),Calcs!$A$110:$B$122,2,TRUE)))))</f>
        <v xml:space="preserve"> </v>
      </c>
      <c r="AE133" s="490"/>
      <c r="AF133" s="879"/>
      <c r="AG133" s="491"/>
    </row>
    <row r="134" spans="1:33" x14ac:dyDescent="0.2">
      <c r="A134" s="415">
        <f t="shared" si="2"/>
        <v>1243</v>
      </c>
      <c r="B134" s="419" t="str">
        <f t="shared" si="3"/>
        <v>Summer</v>
      </c>
      <c r="C134" s="455"/>
      <c r="D134" s="504"/>
      <c r="E134" s="455"/>
      <c r="F134" s="504"/>
      <c r="G134" s="455"/>
      <c r="H134" s="504"/>
      <c r="I134" s="455"/>
      <c r="J134" s="504"/>
      <c r="L134" s="472"/>
      <c r="M134" s="468"/>
      <c r="N134" s="468"/>
      <c r="O134" s="468"/>
      <c r="P134" s="468"/>
      <c r="Q134" s="473"/>
      <c r="R134" s="477" t="str">
        <f>IF(AND(COUNTIF('Start Character'!$I$63:$M$77,"Twilight Prone")=1,NOT(ISERROR(FIND("Magical Botch",M134)))),"Yes",IF(P134&gt;1,"Yes","No"))</f>
        <v>No</v>
      </c>
      <c r="S134" s="501"/>
      <c r="T134" s="478"/>
      <c r="U134" s="501"/>
      <c r="V134" s="479" t="str">
        <f>IF(R134="No","No Twilight",IF(T134="Yes","Uncomprehended Twilight",IF((Character!$B$14+IF(Character!$B$53="Yes",0,Character!$B$53)+IF(Magic!$C$5="Yes",2,0)+ROUNDUP((Magic!$B$30+IF(Magic!$C$30="Yes",3,0))/5,0)+S134)&gt;=($D$3+P134+SUMIF(Character!$I$62:$I$66,"Enigmatic Wisdom",Character!$J$62:$J$66)+Q134+U134),"No Twilight","Twilight")))</f>
        <v>No Twilight</v>
      </c>
      <c r="W134" s="483"/>
      <c r="X134" s="478"/>
      <c r="Y134" s="484"/>
      <c r="Z134" s="478"/>
      <c r="AA134" s="485" t="str">
        <f>IF(V134="Uncomprehended Twilight","Failed",IF(OR(ISBLANK(W134),ISBLANK(Y134))," ",IF(NOT(ISBLANK(X134)),"Failed",IF((W134+Character!$B$9+SUMIF(Character!$I$62:$I$66,"Enigmatic Wisdom",Character!$J$62:$J$66))&gt;=IF(Z134="Yes",0,(Y134+D129)),"Succeeded","Failed"))))</f>
        <v xml:space="preserve"> </v>
      </c>
      <c r="AB134" s="477" t="str">
        <f>IF(AA134=" "," ",IF(NOT(ISBLANK(X134)),VLOOKUP($D$3+X134,Calcs!$A$110:$C$122,3,TRUE),IF(AA134="Failed",VLOOKUP($D$3,Calcs!$A$110:$C$122,3,TRUE),VLOOKUP($D$3-(IF((Character!$B$9+W134)&gt;($D$3+Y134),(Character!$B$9+W134)-($D$3+Y134),0)),Calcs!$A$110:$C$122,3,TRUE))))</f>
        <v xml:space="preserve"> </v>
      </c>
      <c r="AC134" s="489"/>
      <c r="AD134" s="489" t="str">
        <f>IF(IF(AA134=" "," ",IF(NOT(ISBLANK(X134)),VLOOKUP($D$3+X134,Calcs!$A$110:$B$122,2,TRUE),IF(AA134="Failed",VLOOKUP($D$3,Calcs!$A$110:$B$122,2,TRUE),VLOOKUP($D$3-(IF((Character!$B$9+W134)&gt;($D$3+Y134),(Character!$B$9+W134)-($D$3+Y134),0)),Calcs!$A$110:$B$122,2,TRUE))))=Calcs!$B$120,IF(ISBLANK(AC134)," ",CONCATENATE(AC134+7," Years")),IF(AA134=" "," ",IF(NOT(ISBLANK(X134)),VLOOKUP($D$3+X134,Calcs!$A$110:$B$122,2,TRUE),IF(AA134="Failed",VLOOKUP($D$3,Calcs!$A$110:$B$122,2,TRUE),VLOOKUP($D$3-(IF((Character!$B$9+W134)&gt;($D$3+Y134),(Character!$B$9+W134)-($D$3+Y134),0)),Calcs!$A$110:$B$122,2,TRUE)))))</f>
        <v xml:space="preserve"> </v>
      </c>
      <c r="AE134" s="490"/>
      <c r="AF134" s="879"/>
      <c r="AG134" s="491"/>
    </row>
    <row r="135" spans="1:33" x14ac:dyDescent="0.2">
      <c r="A135" s="415">
        <f t="shared" si="2"/>
        <v>1243</v>
      </c>
      <c r="B135" s="419" t="str">
        <f t="shared" si="3"/>
        <v>Autumn</v>
      </c>
      <c r="C135" s="455"/>
      <c r="D135" s="504"/>
      <c r="E135" s="455"/>
      <c r="F135" s="504"/>
      <c r="G135" s="455"/>
      <c r="H135" s="504"/>
      <c r="I135" s="455"/>
      <c r="J135" s="504"/>
      <c r="L135" s="472"/>
      <c r="M135" s="468"/>
      <c r="N135" s="468"/>
      <c r="O135" s="468"/>
      <c r="P135" s="468"/>
      <c r="Q135" s="473"/>
      <c r="R135" s="477" t="str">
        <f>IF(AND(COUNTIF('Start Character'!$I$63:$M$77,"Twilight Prone")=1,NOT(ISERROR(FIND("Magical Botch",M135)))),"Yes",IF(P135&gt;1,"Yes","No"))</f>
        <v>No</v>
      </c>
      <c r="S135" s="501"/>
      <c r="T135" s="478"/>
      <c r="U135" s="501"/>
      <c r="V135" s="479" t="str">
        <f>IF(R135="No","No Twilight",IF(T135="Yes","Uncomprehended Twilight",IF((Character!$B$14+IF(Character!$B$53="Yes",0,Character!$B$53)+IF(Magic!$C$5="Yes",2,0)+ROUNDUP((Magic!$B$30+IF(Magic!$C$30="Yes",3,0))/5,0)+S135)&gt;=($D$3+P135+SUMIF(Character!$I$62:$I$66,"Enigmatic Wisdom",Character!$J$62:$J$66)+Q135+U135),"No Twilight","Twilight")))</f>
        <v>No Twilight</v>
      </c>
      <c r="W135" s="483"/>
      <c r="X135" s="478"/>
      <c r="Y135" s="484"/>
      <c r="Z135" s="478"/>
      <c r="AA135" s="485" t="str">
        <f>IF(V135="Uncomprehended Twilight","Failed",IF(OR(ISBLANK(W135),ISBLANK(Y135))," ",IF(NOT(ISBLANK(X135)),"Failed",IF((W135+Character!$B$9+SUMIF(Character!$I$62:$I$66,"Enigmatic Wisdom",Character!$J$62:$J$66))&gt;=IF(Z135="Yes",0,(Y135+D130)),"Succeeded","Failed"))))</f>
        <v xml:space="preserve"> </v>
      </c>
      <c r="AB135" s="477" t="str">
        <f>IF(AA135=" "," ",IF(NOT(ISBLANK(X135)),VLOOKUP($D$3+X135,Calcs!$A$110:$C$122,3,TRUE),IF(AA135="Failed",VLOOKUP($D$3,Calcs!$A$110:$C$122,3,TRUE),VLOOKUP($D$3-(IF((Character!$B$9+W135)&gt;($D$3+Y135),(Character!$B$9+W135)-($D$3+Y135),0)),Calcs!$A$110:$C$122,3,TRUE))))</f>
        <v xml:space="preserve"> </v>
      </c>
      <c r="AC135" s="489"/>
      <c r="AD135" s="489" t="str">
        <f>IF(IF(AA135=" "," ",IF(NOT(ISBLANK(X135)),VLOOKUP($D$3+X135,Calcs!$A$110:$B$122,2,TRUE),IF(AA135="Failed",VLOOKUP($D$3,Calcs!$A$110:$B$122,2,TRUE),VLOOKUP($D$3-(IF((Character!$B$9+W135)&gt;($D$3+Y135),(Character!$B$9+W135)-($D$3+Y135),0)),Calcs!$A$110:$B$122,2,TRUE))))=Calcs!$B$120,IF(ISBLANK(AC135)," ",CONCATENATE(AC135+7," Years")),IF(AA135=" "," ",IF(NOT(ISBLANK(X135)),VLOOKUP($D$3+X135,Calcs!$A$110:$B$122,2,TRUE),IF(AA135="Failed",VLOOKUP($D$3,Calcs!$A$110:$B$122,2,TRUE),VLOOKUP($D$3-(IF((Character!$B$9+W135)&gt;($D$3+Y135),(Character!$B$9+W135)-($D$3+Y135),0)),Calcs!$A$110:$B$122,2,TRUE)))))</f>
        <v xml:space="preserve"> </v>
      </c>
      <c r="AE135" s="490"/>
      <c r="AF135" s="879"/>
      <c r="AG135" s="491"/>
    </row>
    <row r="136" spans="1:33" x14ac:dyDescent="0.2">
      <c r="A136" s="415">
        <f t="shared" si="2"/>
        <v>1244</v>
      </c>
      <c r="B136" s="419" t="str">
        <f t="shared" si="3"/>
        <v>Winter</v>
      </c>
      <c r="C136" s="455"/>
      <c r="D136" s="504"/>
      <c r="E136" s="455"/>
      <c r="F136" s="504"/>
      <c r="G136" s="455"/>
      <c r="H136" s="504"/>
      <c r="I136" s="455"/>
      <c r="J136" s="504"/>
      <c r="L136" s="472"/>
      <c r="M136" s="468"/>
      <c r="N136" s="468"/>
      <c r="O136" s="468"/>
      <c r="P136" s="468"/>
      <c r="Q136" s="473"/>
      <c r="R136" s="477" t="str">
        <f>IF(AND(COUNTIF('Start Character'!$I$63:$M$77,"Twilight Prone")=1,NOT(ISERROR(FIND("Magical Botch",M136)))),"Yes",IF(P136&gt;1,"Yes","No"))</f>
        <v>No</v>
      </c>
      <c r="S136" s="501"/>
      <c r="T136" s="478"/>
      <c r="U136" s="501"/>
      <c r="V136" s="479" t="str">
        <f>IF(R136="No","No Twilight",IF(T136="Yes","Uncomprehended Twilight",IF((Character!$B$14+IF(Character!$B$53="Yes",0,Character!$B$53)+IF(Magic!$C$5="Yes",2,0)+ROUNDUP((Magic!$B$30+IF(Magic!$C$30="Yes",3,0))/5,0)+S136)&gt;=($D$3+P136+SUMIF(Character!$I$62:$I$66,"Enigmatic Wisdom",Character!$J$62:$J$66)+Q136+U136),"No Twilight","Twilight")))</f>
        <v>No Twilight</v>
      </c>
      <c r="W136" s="483"/>
      <c r="X136" s="478"/>
      <c r="Y136" s="484"/>
      <c r="Z136" s="478"/>
      <c r="AA136" s="485" t="str">
        <f>IF(V136="Uncomprehended Twilight","Failed",IF(OR(ISBLANK(W136),ISBLANK(Y136))," ",IF(NOT(ISBLANK(X136)),"Failed",IF((W136+Character!$B$9+SUMIF(Character!$I$62:$I$66,"Enigmatic Wisdom",Character!$J$62:$J$66))&gt;=IF(Z136="Yes",0,(Y136+D131)),"Succeeded","Failed"))))</f>
        <v xml:space="preserve"> </v>
      </c>
      <c r="AB136" s="477" t="str">
        <f>IF(AA136=" "," ",IF(NOT(ISBLANK(X136)),VLOOKUP($D$3+X136,Calcs!$A$110:$C$122,3,TRUE),IF(AA136="Failed",VLOOKUP($D$3,Calcs!$A$110:$C$122,3,TRUE),VLOOKUP($D$3-(IF((Character!$B$9+W136)&gt;($D$3+Y136),(Character!$B$9+W136)-($D$3+Y136),0)),Calcs!$A$110:$C$122,3,TRUE))))</f>
        <v xml:space="preserve"> </v>
      </c>
      <c r="AC136" s="489"/>
      <c r="AD136" s="489" t="str">
        <f>IF(IF(AA136=" "," ",IF(NOT(ISBLANK(X136)),VLOOKUP($D$3+X136,Calcs!$A$110:$B$122,2,TRUE),IF(AA136="Failed",VLOOKUP($D$3,Calcs!$A$110:$B$122,2,TRUE),VLOOKUP($D$3-(IF((Character!$B$9+W136)&gt;($D$3+Y136),(Character!$B$9+W136)-($D$3+Y136),0)),Calcs!$A$110:$B$122,2,TRUE))))=Calcs!$B$120,IF(ISBLANK(AC136)," ",CONCATENATE(AC136+7," Years")),IF(AA136=" "," ",IF(NOT(ISBLANK(X136)),VLOOKUP($D$3+X136,Calcs!$A$110:$B$122,2,TRUE),IF(AA136="Failed",VLOOKUP($D$3,Calcs!$A$110:$B$122,2,TRUE),VLOOKUP($D$3-(IF((Character!$B$9+W136)&gt;($D$3+Y136),(Character!$B$9+W136)-($D$3+Y136),0)),Calcs!$A$110:$B$122,2,TRUE)))))</f>
        <v xml:space="preserve"> </v>
      </c>
      <c r="AE136" s="490"/>
      <c r="AF136" s="879"/>
      <c r="AG136" s="491"/>
    </row>
    <row r="137" spans="1:33" x14ac:dyDescent="0.2">
      <c r="A137" s="415">
        <f t="shared" si="2"/>
        <v>1244</v>
      </c>
      <c r="B137" s="419" t="str">
        <f t="shared" si="3"/>
        <v>Spring</v>
      </c>
      <c r="C137" s="455"/>
      <c r="D137" s="504"/>
      <c r="E137" s="455"/>
      <c r="F137" s="504"/>
      <c r="G137" s="455"/>
      <c r="H137" s="504"/>
      <c r="I137" s="455"/>
      <c r="J137" s="504"/>
      <c r="L137" s="472"/>
      <c r="M137" s="468"/>
      <c r="N137" s="468"/>
      <c r="O137" s="468"/>
      <c r="P137" s="468"/>
      <c r="Q137" s="473"/>
      <c r="R137" s="477" t="str">
        <f>IF(AND(COUNTIF('Start Character'!$I$63:$M$77,"Twilight Prone")=1,NOT(ISERROR(FIND("Magical Botch",M137)))),"Yes",IF(P137&gt;1,"Yes","No"))</f>
        <v>No</v>
      </c>
      <c r="S137" s="501"/>
      <c r="T137" s="478"/>
      <c r="U137" s="501"/>
      <c r="V137" s="479" t="str">
        <f>IF(R137="No","No Twilight",IF(T137="Yes","Uncomprehended Twilight",IF((Character!$B$14+IF(Character!$B$53="Yes",0,Character!$B$53)+IF(Magic!$C$5="Yes",2,0)+ROUNDUP((Magic!$B$30+IF(Magic!$C$30="Yes",3,0))/5,0)+S137)&gt;=($D$3+P137+SUMIF(Character!$I$62:$I$66,"Enigmatic Wisdom",Character!$J$62:$J$66)+Q137+U137),"No Twilight","Twilight")))</f>
        <v>No Twilight</v>
      </c>
      <c r="W137" s="483"/>
      <c r="X137" s="478"/>
      <c r="Y137" s="484"/>
      <c r="Z137" s="478"/>
      <c r="AA137" s="485" t="str">
        <f>IF(V137="Uncomprehended Twilight","Failed",IF(OR(ISBLANK(W137),ISBLANK(Y137))," ",IF(NOT(ISBLANK(X137)),"Failed",IF((W137+Character!$B$9+SUMIF(Character!$I$62:$I$66,"Enigmatic Wisdom",Character!$J$62:$J$66))&gt;=IF(Z137="Yes",0,(Y137+D132)),"Succeeded","Failed"))))</f>
        <v xml:space="preserve"> </v>
      </c>
      <c r="AB137" s="477" t="str">
        <f>IF(AA137=" "," ",IF(NOT(ISBLANK(X137)),VLOOKUP($D$3+X137,Calcs!$A$110:$C$122,3,TRUE),IF(AA137="Failed",VLOOKUP($D$3,Calcs!$A$110:$C$122,3,TRUE),VLOOKUP($D$3-(IF((Character!$B$9+W137)&gt;($D$3+Y137),(Character!$B$9+W137)-($D$3+Y137),0)),Calcs!$A$110:$C$122,3,TRUE))))</f>
        <v xml:space="preserve"> </v>
      </c>
      <c r="AC137" s="489"/>
      <c r="AD137" s="489" t="str">
        <f>IF(IF(AA137=" "," ",IF(NOT(ISBLANK(X137)),VLOOKUP($D$3+X137,Calcs!$A$110:$B$122,2,TRUE),IF(AA137="Failed",VLOOKUP($D$3,Calcs!$A$110:$B$122,2,TRUE),VLOOKUP($D$3-(IF((Character!$B$9+W137)&gt;($D$3+Y137),(Character!$B$9+W137)-($D$3+Y137),0)),Calcs!$A$110:$B$122,2,TRUE))))=Calcs!$B$120,IF(ISBLANK(AC137)," ",CONCATENATE(AC137+7," Years")),IF(AA137=" "," ",IF(NOT(ISBLANK(X137)),VLOOKUP($D$3+X137,Calcs!$A$110:$B$122,2,TRUE),IF(AA137="Failed",VLOOKUP($D$3,Calcs!$A$110:$B$122,2,TRUE),VLOOKUP($D$3-(IF((Character!$B$9+W137)&gt;($D$3+Y137),(Character!$B$9+W137)-($D$3+Y137),0)),Calcs!$A$110:$B$122,2,TRUE)))))</f>
        <v xml:space="preserve"> </v>
      </c>
      <c r="AE137" s="490"/>
      <c r="AF137" s="879"/>
      <c r="AG137" s="491"/>
    </row>
    <row r="138" spans="1:33" x14ac:dyDescent="0.2">
      <c r="A138" s="415">
        <f t="shared" si="2"/>
        <v>1244</v>
      </c>
      <c r="B138" s="419" t="str">
        <f t="shared" si="3"/>
        <v>Summer</v>
      </c>
      <c r="C138" s="455"/>
      <c r="D138" s="504"/>
      <c r="E138" s="455"/>
      <c r="F138" s="504"/>
      <c r="G138" s="455"/>
      <c r="H138" s="504"/>
      <c r="I138" s="455"/>
      <c r="J138" s="504"/>
      <c r="L138" s="472"/>
      <c r="M138" s="468"/>
      <c r="N138" s="468"/>
      <c r="O138" s="468"/>
      <c r="P138" s="468"/>
      <c r="Q138" s="473"/>
      <c r="R138" s="477" t="str">
        <f>IF(AND(COUNTIF('Start Character'!$I$63:$M$77,"Twilight Prone")=1,NOT(ISERROR(FIND("Magical Botch",M138)))),"Yes",IF(P138&gt;1,"Yes","No"))</f>
        <v>No</v>
      </c>
      <c r="S138" s="501"/>
      <c r="T138" s="478"/>
      <c r="U138" s="501"/>
      <c r="V138" s="479" t="str">
        <f>IF(R138="No","No Twilight",IF(T138="Yes","Uncomprehended Twilight",IF((Character!$B$14+IF(Character!$B$53="Yes",0,Character!$B$53)+IF(Magic!$C$5="Yes",2,0)+ROUNDUP((Magic!$B$30+IF(Magic!$C$30="Yes",3,0))/5,0)+S138)&gt;=($D$3+P138+SUMIF(Character!$I$62:$I$66,"Enigmatic Wisdom",Character!$J$62:$J$66)+Q138+U138),"No Twilight","Twilight")))</f>
        <v>No Twilight</v>
      </c>
      <c r="W138" s="483"/>
      <c r="X138" s="478"/>
      <c r="Y138" s="484"/>
      <c r="Z138" s="478"/>
      <c r="AA138" s="485" t="str">
        <f>IF(V138="Uncomprehended Twilight","Failed",IF(OR(ISBLANK(W138),ISBLANK(Y138))," ",IF(NOT(ISBLANK(X138)),"Failed",IF((W138+Character!$B$9+SUMIF(Character!$I$62:$I$66,"Enigmatic Wisdom",Character!$J$62:$J$66))&gt;=IF(Z138="Yes",0,(Y138+D133)),"Succeeded","Failed"))))</f>
        <v xml:space="preserve"> </v>
      </c>
      <c r="AB138" s="477" t="str">
        <f>IF(AA138=" "," ",IF(NOT(ISBLANK(X138)),VLOOKUP($D$3+X138,Calcs!$A$110:$C$122,3,TRUE),IF(AA138="Failed",VLOOKUP($D$3,Calcs!$A$110:$C$122,3,TRUE),VLOOKUP($D$3-(IF((Character!$B$9+W138)&gt;($D$3+Y138),(Character!$B$9+W138)-($D$3+Y138),0)),Calcs!$A$110:$C$122,3,TRUE))))</f>
        <v xml:space="preserve"> </v>
      </c>
      <c r="AC138" s="489"/>
      <c r="AD138" s="489" t="str">
        <f>IF(IF(AA138=" "," ",IF(NOT(ISBLANK(X138)),VLOOKUP($D$3+X138,Calcs!$A$110:$B$122,2,TRUE),IF(AA138="Failed",VLOOKUP($D$3,Calcs!$A$110:$B$122,2,TRUE),VLOOKUP($D$3-(IF((Character!$B$9+W138)&gt;($D$3+Y138),(Character!$B$9+W138)-($D$3+Y138),0)),Calcs!$A$110:$B$122,2,TRUE))))=Calcs!$B$120,IF(ISBLANK(AC138)," ",CONCATENATE(AC138+7," Years")),IF(AA138=" "," ",IF(NOT(ISBLANK(X138)),VLOOKUP($D$3+X138,Calcs!$A$110:$B$122,2,TRUE),IF(AA138="Failed",VLOOKUP($D$3,Calcs!$A$110:$B$122,2,TRUE),VLOOKUP($D$3-(IF((Character!$B$9+W138)&gt;($D$3+Y138),(Character!$B$9+W138)-($D$3+Y138),0)),Calcs!$A$110:$B$122,2,TRUE)))))</f>
        <v xml:space="preserve"> </v>
      </c>
      <c r="AE138" s="490"/>
      <c r="AF138" s="879"/>
      <c r="AG138" s="491"/>
    </row>
    <row r="139" spans="1:33" x14ac:dyDescent="0.2">
      <c r="A139" s="415">
        <f t="shared" si="2"/>
        <v>1244</v>
      </c>
      <c r="B139" s="419" t="str">
        <f t="shared" si="3"/>
        <v>Autumn</v>
      </c>
      <c r="C139" s="455"/>
      <c r="D139" s="504"/>
      <c r="E139" s="455"/>
      <c r="F139" s="504"/>
      <c r="G139" s="455"/>
      <c r="H139" s="504"/>
      <c r="I139" s="455"/>
      <c r="J139" s="504"/>
      <c r="L139" s="472"/>
      <c r="M139" s="468"/>
      <c r="N139" s="468"/>
      <c r="O139" s="468"/>
      <c r="P139" s="468"/>
      <c r="Q139" s="473"/>
      <c r="R139" s="477" t="str">
        <f>IF(AND(COUNTIF('Start Character'!$I$63:$M$77,"Twilight Prone")=1,NOT(ISERROR(FIND("Magical Botch",M139)))),"Yes",IF(P139&gt;1,"Yes","No"))</f>
        <v>No</v>
      </c>
      <c r="S139" s="501"/>
      <c r="T139" s="478"/>
      <c r="U139" s="501"/>
      <c r="V139" s="479" t="str">
        <f>IF(R139="No","No Twilight",IF(T139="Yes","Uncomprehended Twilight",IF((Character!$B$14+IF(Character!$B$53="Yes",0,Character!$B$53)+IF(Magic!$C$5="Yes",2,0)+ROUNDUP((Magic!$B$30+IF(Magic!$C$30="Yes",3,0))/5,0)+S139)&gt;=($D$3+P139+SUMIF(Character!$I$62:$I$66,"Enigmatic Wisdom",Character!$J$62:$J$66)+Q139+U139),"No Twilight","Twilight")))</f>
        <v>No Twilight</v>
      </c>
      <c r="W139" s="483"/>
      <c r="X139" s="478"/>
      <c r="Y139" s="484"/>
      <c r="Z139" s="478"/>
      <c r="AA139" s="485" t="str">
        <f>IF(V139="Uncomprehended Twilight","Failed",IF(OR(ISBLANK(W139),ISBLANK(Y139))," ",IF(NOT(ISBLANK(X139)),"Failed",IF((W139+Character!$B$9+SUMIF(Character!$I$62:$I$66,"Enigmatic Wisdom",Character!$J$62:$J$66))&gt;=IF(Z139="Yes",0,(Y139+D134)),"Succeeded","Failed"))))</f>
        <v xml:space="preserve"> </v>
      </c>
      <c r="AB139" s="477" t="str">
        <f>IF(AA139=" "," ",IF(NOT(ISBLANK(X139)),VLOOKUP($D$3+X139,Calcs!$A$110:$C$122,3,TRUE),IF(AA139="Failed",VLOOKUP($D$3,Calcs!$A$110:$C$122,3,TRUE),VLOOKUP($D$3-(IF((Character!$B$9+W139)&gt;($D$3+Y139),(Character!$B$9+W139)-($D$3+Y139),0)),Calcs!$A$110:$C$122,3,TRUE))))</f>
        <v xml:space="preserve"> </v>
      </c>
      <c r="AC139" s="489"/>
      <c r="AD139" s="489" t="str">
        <f>IF(IF(AA139=" "," ",IF(NOT(ISBLANK(X139)),VLOOKUP($D$3+X139,Calcs!$A$110:$B$122,2,TRUE),IF(AA139="Failed",VLOOKUP($D$3,Calcs!$A$110:$B$122,2,TRUE),VLOOKUP($D$3-(IF((Character!$B$9+W139)&gt;($D$3+Y139),(Character!$B$9+W139)-($D$3+Y139),0)),Calcs!$A$110:$B$122,2,TRUE))))=Calcs!$B$120,IF(ISBLANK(AC139)," ",CONCATENATE(AC139+7," Years")),IF(AA139=" "," ",IF(NOT(ISBLANK(X139)),VLOOKUP($D$3+X139,Calcs!$A$110:$B$122,2,TRUE),IF(AA139="Failed",VLOOKUP($D$3,Calcs!$A$110:$B$122,2,TRUE),VLOOKUP($D$3-(IF((Character!$B$9+W139)&gt;($D$3+Y139),(Character!$B$9+W139)-($D$3+Y139),0)),Calcs!$A$110:$B$122,2,TRUE)))))</f>
        <v xml:space="preserve"> </v>
      </c>
      <c r="AE139" s="490"/>
      <c r="AF139" s="879"/>
      <c r="AG139" s="491"/>
    </row>
    <row r="140" spans="1:33" x14ac:dyDescent="0.2">
      <c r="A140" s="415">
        <f t="shared" si="2"/>
        <v>1245</v>
      </c>
      <c r="B140" s="419" t="str">
        <f t="shared" si="3"/>
        <v>Winter</v>
      </c>
      <c r="C140" s="455"/>
      <c r="D140" s="504"/>
      <c r="E140" s="455"/>
      <c r="F140" s="504"/>
      <c r="G140" s="455"/>
      <c r="H140" s="504"/>
      <c r="I140" s="455"/>
      <c r="J140" s="504"/>
      <c r="L140" s="472"/>
      <c r="M140" s="468"/>
      <c r="N140" s="468"/>
      <c r="O140" s="468"/>
      <c r="P140" s="468"/>
      <c r="Q140" s="473"/>
      <c r="R140" s="477" t="str">
        <f>IF(AND(COUNTIF('Start Character'!$I$63:$M$77,"Twilight Prone")=1,NOT(ISERROR(FIND("Magical Botch",M140)))),"Yes",IF(P140&gt;1,"Yes","No"))</f>
        <v>No</v>
      </c>
      <c r="S140" s="501"/>
      <c r="T140" s="478"/>
      <c r="U140" s="501"/>
      <c r="V140" s="479" t="str">
        <f>IF(R140="No","No Twilight",IF(T140="Yes","Uncomprehended Twilight",IF((Character!$B$14+IF(Character!$B$53="Yes",0,Character!$B$53)+IF(Magic!$C$5="Yes",2,0)+ROUNDUP((Magic!$B$30+IF(Magic!$C$30="Yes",3,0))/5,0)+S140)&gt;=($D$3+P140+SUMIF(Character!$I$62:$I$66,"Enigmatic Wisdom",Character!$J$62:$J$66)+Q140+U140),"No Twilight","Twilight")))</f>
        <v>No Twilight</v>
      </c>
      <c r="W140" s="483"/>
      <c r="X140" s="478"/>
      <c r="Y140" s="484"/>
      <c r="Z140" s="478"/>
      <c r="AA140" s="485" t="str">
        <f>IF(V140="Uncomprehended Twilight","Failed",IF(OR(ISBLANK(W140),ISBLANK(Y140))," ",IF(NOT(ISBLANK(X140)),"Failed",IF((W140+Character!$B$9+SUMIF(Character!$I$62:$I$66,"Enigmatic Wisdom",Character!$J$62:$J$66))&gt;=IF(Z140="Yes",0,(Y140+D135)),"Succeeded","Failed"))))</f>
        <v xml:space="preserve"> </v>
      </c>
      <c r="AB140" s="477" t="str">
        <f>IF(AA140=" "," ",IF(NOT(ISBLANK(X140)),VLOOKUP($D$3+X140,Calcs!$A$110:$C$122,3,TRUE),IF(AA140="Failed",VLOOKUP($D$3,Calcs!$A$110:$C$122,3,TRUE),VLOOKUP($D$3-(IF((Character!$B$9+W140)&gt;($D$3+Y140),(Character!$B$9+W140)-($D$3+Y140),0)),Calcs!$A$110:$C$122,3,TRUE))))</f>
        <v xml:space="preserve"> </v>
      </c>
      <c r="AC140" s="489"/>
      <c r="AD140" s="489" t="str">
        <f>IF(IF(AA140=" "," ",IF(NOT(ISBLANK(X140)),VLOOKUP($D$3+X140,Calcs!$A$110:$B$122,2,TRUE),IF(AA140="Failed",VLOOKUP($D$3,Calcs!$A$110:$B$122,2,TRUE),VLOOKUP($D$3-(IF((Character!$B$9+W140)&gt;($D$3+Y140),(Character!$B$9+W140)-($D$3+Y140),0)),Calcs!$A$110:$B$122,2,TRUE))))=Calcs!$B$120,IF(ISBLANK(AC140)," ",CONCATENATE(AC140+7," Years")),IF(AA140=" "," ",IF(NOT(ISBLANK(X140)),VLOOKUP($D$3+X140,Calcs!$A$110:$B$122,2,TRUE),IF(AA140="Failed",VLOOKUP($D$3,Calcs!$A$110:$B$122,2,TRUE),VLOOKUP($D$3-(IF((Character!$B$9+W140)&gt;($D$3+Y140),(Character!$B$9+W140)-($D$3+Y140),0)),Calcs!$A$110:$B$122,2,TRUE)))))</f>
        <v xml:space="preserve"> </v>
      </c>
      <c r="AE140" s="490"/>
      <c r="AF140" s="879"/>
      <c r="AG140" s="491"/>
    </row>
    <row r="141" spans="1:33" x14ac:dyDescent="0.2">
      <c r="A141" s="415">
        <f t="shared" si="2"/>
        <v>1245</v>
      </c>
      <c r="B141" s="419" t="str">
        <f t="shared" si="3"/>
        <v>Spring</v>
      </c>
      <c r="C141" s="455"/>
      <c r="D141" s="504"/>
      <c r="E141" s="455"/>
      <c r="F141" s="504"/>
      <c r="G141" s="455"/>
      <c r="H141" s="504"/>
      <c r="I141" s="455"/>
      <c r="J141" s="504"/>
      <c r="L141" s="472"/>
      <c r="M141" s="468"/>
      <c r="N141" s="468"/>
      <c r="O141" s="468"/>
      <c r="P141" s="468"/>
      <c r="Q141" s="473"/>
      <c r="R141" s="477" t="str">
        <f>IF(AND(COUNTIF('Start Character'!$I$63:$M$77,"Twilight Prone")=1,NOT(ISERROR(FIND("Magical Botch",M141)))),"Yes",IF(P141&gt;1,"Yes","No"))</f>
        <v>No</v>
      </c>
      <c r="S141" s="501"/>
      <c r="T141" s="478"/>
      <c r="U141" s="501"/>
      <c r="V141" s="479" t="str">
        <f>IF(R141="No","No Twilight",IF(T141="Yes","Uncomprehended Twilight",IF((Character!$B$14+IF(Character!$B$53="Yes",0,Character!$B$53)+IF(Magic!$C$5="Yes",2,0)+ROUNDUP((Magic!$B$30+IF(Magic!$C$30="Yes",3,0))/5,0)+S141)&gt;=($D$3+P141+SUMIF(Character!$I$62:$I$66,"Enigmatic Wisdom",Character!$J$62:$J$66)+Q141+U141),"No Twilight","Twilight")))</f>
        <v>No Twilight</v>
      </c>
      <c r="W141" s="483"/>
      <c r="X141" s="478"/>
      <c r="Y141" s="484"/>
      <c r="Z141" s="478"/>
      <c r="AA141" s="485" t="str">
        <f>IF(V141="Uncomprehended Twilight","Failed",IF(OR(ISBLANK(W141),ISBLANK(Y141))," ",IF(NOT(ISBLANK(X141)),"Failed",IF((W141+Character!$B$9+SUMIF(Character!$I$62:$I$66,"Enigmatic Wisdom",Character!$J$62:$J$66))&gt;=IF(Z141="Yes",0,(Y141+D136)),"Succeeded","Failed"))))</f>
        <v xml:space="preserve"> </v>
      </c>
      <c r="AB141" s="477" t="str">
        <f>IF(AA141=" "," ",IF(NOT(ISBLANK(X141)),VLOOKUP($D$3+X141,Calcs!$A$110:$C$122,3,TRUE),IF(AA141="Failed",VLOOKUP($D$3,Calcs!$A$110:$C$122,3,TRUE),VLOOKUP($D$3-(IF((Character!$B$9+W141)&gt;($D$3+Y141),(Character!$B$9+W141)-($D$3+Y141),0)),Calcs!$A$110:$C$122,3,TRUE))))</f>
        <v xml:space="preserve"> </v>
      </c>
      <c r="AC141" s="489"/>
      <c r="AD141" s="489" t="str">
        <f>IF(IF(AA141=" "," ",IF(NOT(ISBLANK(X141)),VLOOKUP($D$3+X141,Calcs!$A$110:$B$122,2,TRUE),IF(AA141="Failed",VLOOKUP($D$3,Calcs!$A$110:$B$122,2,TRUE),VLOOKUP($D$3-(IF((Character!$B$9+W141)&gt;($D$3+Y141),(Character!$B$9+W141)-($D$3+Y141),0)),Calcs!$A$110:$B$122,2,TRUE))))=Calcs!$B$120,IF(ISBLANK(AC141)," ",CONCATENATE(AC141+7," Years")),IF(AA141=" "," ",IF(NOT(ISBLANK(X141)),VLOOKUP($D$3+X141,Calcs!$A$110:$B$122,2,TRUE),IF(AA141="Failed",VLOOKUP($D$3,Calcs!$A$110:$B$122,2,TRUE),VLOOKUP($D$3-(IF((Character!$B$9+W141)&gt;($D$3+Y141),(Character!$B$9+W141)-($D$3+Y141),0)),Calcs!$A$110:$B$122,2,TRUE)))))</f>
        <v xml:space="preserve"> </v>
      </c>
      <c r="AE141" s="490"/>
      <c r="AF141" s="879"/>
      <c r="AG141" s="491"/>
    </row>
    <row r="142" spans="1:33" x14ac:dyDescent="0.2">
      <c r="A142" s="415">
        <f t="shared" si="2"/>
        <v>1245</v>
      </c>
      <c r="B142" s="419" t="str">
        <f t="shared" si="3"/>
        <v>Summer</v>
      </c>
      <c r="C142" s="455"/>
      <c r="D142" s="504"/>
      <c r="E142" s="455"/>
      <c r="F142" s="504"/>
      <c r="G142" s="455"/>
      <c r="H142" s="504"/>
      <c r="I142" s="455"/>
      <c r="J142" s="504"/>
      <c r="L142" s="472"/>
      <c r="M142" s="468"/>
      <c r="N142" s="468"/>
      <c r="O142" s="468"/>
      <c r="P142" s="468"/>
      <c r="Q142" s="473"/>
      <c r="R142" s="477" t="str">
        <f>IF(AND(COUNTIF('Start Character'!$I$63:$M$77,"Twilight Prone")=1,NOT(ISERROR(FIND("Magical Botch",M142)))),"Yes",IF(P142&gt;1,"Yes","No"))</f>
        <v>No</v>
      </c>
      <c r="S142" s="501"/>
      <c r="T142" s="478"/>
      <c r="U142" s="501"/>
      <c r="V142" s="479" t="str">
        <f>IF(R142="No","No Twilight",IF(T142="Yes","Uncomprehended Twilight",IF((Character!$B$14+IF(Character!$B$53="Yes",0,Character!$B$53)+IF(Magic!$C$5="Yes",2,0)+ROUNDUP((Magic!$B$30+IF(Magic!$C$30="Yes",3,0))/5,0)+S142)&gt;=($D$3+P142+SUMIF(Character!$I$62:$I$66,"Enigmatic Wisdom",Character!$J$62:$J$66)+Q142+U142),"No Twilight","Twilight")))</f>
        <v>No Twilight</v>
      </c>
      <c r="W142" s="483"/>
      <c r="X142" s="478"/>
      <c r="Y142" s="484"/>
      <c r="Z142" s="478"/>
      <c r="AA142" s="485" t="str">
        <f>IF(V142="Uncomprehended Twilight","Failed",IF(OR(ISBLANK(W142),ISBLANK(Y142))," ",IF(NOT(ISBLANK(X142)),"Failed",IF((W142+Character!$B$9+SUMIF(Character!$I$62:$I$66,"Enigmatic Wisdom",Character!$J$62:$J$66))&gt;=IF(Z142="Yes",0,(Y142+D137)),"Succeeded","Failed"))))</f>
        <v xml:space="preserve"> </v>
      </c>
      <c r="AB142" s="477" t="str">
        <f>IF(AA142=" "," ",IF(NOT(ISBLANK(X142)),VLOOKUP($D$3+X142,Calcs!$A$110:$C$122,3,TRUE),IF(AA142="Failed",VLOOKUP($D$3,Calcs!$A$110:$C$122,3,TRUE),VLOOKUP($D$3-(IF((Character!$B$9+W142)&gt;($D$3+Y142),(Character!$B$9+W142)-($D$3+Y142),0)),Calcs!$A$110:$C$122,3,TRUE))))</f>
        <v xml:space="preserve"> </v>
      </c>
      <c r="AC142" s="489"/>
      <c r="AD142" s="489" t="str">
        <f>IF(IF(AA142=" "," ",IF(NOT(ISBLANK(X142)),VLOOKUP($D$3+X142,Calcs!$A$110:$B$122,2,TRUE),IF(AA142="Failed",VLOOKUP($D$3,Calcs!$A$110:$B$122,2,TRUE),VLOOKUP($D$3-(IF((Character!$B$9+W142)&gt;($D$3+Y142),(Character!$B$9+W142)-($D$3+Y142),0)),Calcs!$A$110:$B$122,2,TRUE))))=Calcs!$B$120,IF(ISBLANK(AC142)," ",CONCATENATE(AC142+7," Years")),IF(AA142=" "," ",IF(NOT(ISBLANK(X142)),VLOOKUP($D$3+X142,Calcs!$A$110:$B$122,2,TRUE),IF(AA142="Failed",VLOOKUP($D$3,Calcs!$A$110:$B$122,2,TRUE),VLOOKUP($D$3-(IF((Character!$B$9+W142)&gt;($D$3+Y142),(Character!$B$9+W142)-($D$3+Y142),0)),Calcs!$A$110:$B$122,2,TRUE)))))</f>
        <v xml:space="preserve"> </v>
      </c>
      <c r="AE142" s="490"/>
      <c r="AF142" s="879"/>
      <c r="AG142" s="491"/>
    </row>
    <row r="143" spans="1:33" x14ac:dyDescent="0.2">
      <c r="A143" s="415">
        <f t="shared" si="2"/>
        <v>1245</v>
      </c>
      <c r="B143" s="419" t="str">
        <f t="shared" si="3"/>
        <v>Autumn</v>
      </c>
      <c r="C143" s="455"/>
      <c r="D143" s="504"/>
      <c r="E143" s="455"/>
      <c r="F143" s="504"/>
      <c r="G143" s="455"/>
      <c r="H143" s="504"/>
      <c r="I143" s="455"/>
      <c r="J143" s="504"/>
      <c r="L143" s="472"/>
      <c r="M143" s="468"/>
      <c r="N143" s="468"/>
      <c r="O143" s="468"/>
      <c r="P143" s="468"/>
      <c r="Q143" s="473"/>
      <c r="R143" s="477" t="str">
        <f>IF(AND(COUNTIF('Start Character'!$I$63:$M$77,"Twilight Prone")=1,NOT(ISERROR(FIND("Magical Botch",M143)))),"Yes",IF(P143&gt;1,"Yes","No"))</f>
        <v>No</v>
      </c>
      <c r="S143" s="501"/>
      <c r="T143" s="478"/>
      <c r="U143" s="501"/>
      <c r="V143" s="479" t="str">
        <f>IF(R143="No","No Twilight",IF(T143="Yes","Uncomprehended Twilight",IF((Character!$B$14+IF(Character!$B$53="Yes",0,Character!$B$53)+IF(Magic!$C$5="Yes",2,0)+ROUNDUP((Magic!$B$30+IF(Magic!$C$30="Yes",3,0))/5,0)+S143)&gt;=($D$3+P143+SUMIF(Character!$I$62:$I$66,"Enigmatic Wisdom",Character!$J$62:$J$66)+Q143+U143),"No Twilight","Twilight")))</f>
        <v>No Twilight</v>
      </c>
      <c r="W143" s="483"/>
      <c r="X143" s="478"/>
      <c r="Y143" s="484"/>
      <c r="Z143" s="478"/>
      <c r="AA143" s="485" t="str">
        <f>IF(V143="Uncomprehended Twilight","Failed",IF(OR(ISBLANK(W143),ISBLANK(Y143))," ",IF(NOT(ISBLANK(X143)),"Failed",IF((W143+Character!$B$9+SUMIF(Character!$I$62:$I$66,"Enigmatic Wisdom",Character!$J$62:$J$66))&gt;=IF(Z143="Yes",0,(Y143+D138)),"Succeeded","Failed"))))</f>
        <v xml:space="preserve"> </v>
      </c>
      <c r="AB143" s="477" t="str">
        <f>IF(AA143=" "," ",IF(NOT(ISBLANK(X143)),VLOOKUP($D$3+X143,Calcs!$A$110:$C$122,3,TRUE),IF(AA143="Failed",VLOOKUP($D$3,Calcs!$A$110:$C$122,3,TRUE),VLOOKUP($D$3-(IF((Character!$B$9+W143)&gt;($D$3+Y143),(Character!$B$9+W143)-($D$3+Y143),0)),Calcs!$A$110:$C$122,3,TRUE))))</f>
        <v xml:space="preserve"> </v>
      </c>
      <c r="AC143" s="489"/>
      <c r="AD143" s="489" t="str">
        <f>IF(IF(AA143=" "," ",IF(NOT(ISBLANK(X143)),VLOOKUP($D$3+X143,Calcs!$A$110:$B$122,2,TRUE),IF(AA143="Failed",VLOOKUP($D$3,Calcs!$A$110:$B$122,2,TRUE),VLOOKUP($D$3-(IF((Character!$B$9+W143)&gt;($D$3+Y143),(Character!$B$9+W143)-($D$3+Y143),0)),Calcs!$A$110:$B$122,2,TRUE))))=Calcs!$B$120,IF(ISBLANK(AC143)," ",CONCATENATE(AC143+7," Years")),IF(AA143=" "," ",IF(NOT(ISBLANK(X143)),VLOOKUP($D$3+X143,Calcs!$A$110:$B$122,2,TRUE),IF(AA143="Failed",VLOOKUP($D$3,Calcs!$A$110:$B$122,2,TRUE),VLOOKUP($D$3-(IF((Character!$B$9+W143)&gt;($D$3+Y143),(Character!$B$9+W143)-($D$3+Y143),0)),Calcs!$A$110:$B$122,2,TRUE)))))</f>
        <v xml:space="preserve"> </v>
      </c>
      <c r="AE143" s="490"/>
      <c r="AF143" s="879"/>
      <c r="AG143" s="491"/>
    </row>
    <row r="144" spans="1:33" x14ac:dyDescent="0.2">
      <c r="A144" s="415">
        <f t="shared" si="2"/>
        <v>1246</v>
      </c>
      <c r="B144" s="419" t="str">
        <f t="shared" si="3"/>
        <v>Winter</v>
      </c>
      <c r="C144" s="455"/>
      <c r="D144" s="504"/>
      <c r="E144" s="455"/>
      <c r="F144" s="504"/>
      <c r="G144" s="455"/>
      <c r="H144" s="504"/>
      <c r="I144" s="455"/>
      <c r="J144" s="504"/>
      <c r="L144" s="472"/>
      <c r="M144" s="468"/>
      <c r="N144" s="468"/>
      <c r="O144" s="468"/>
      <c r="P144" s="468"/>
      <c r="Q144" s="473"/>
      <c r="R144" s="477" t="str">
        <f>IF(AND(COUNTIF('Start Character'!$I$63:$M$77,"Twilight Prone")=1,NOT(ISERROR(FIND("Magical Botch",M144)))),"Yes",IF(P144&gt;1,"Yes","No"))</f>
        <v>No</v>
      </c>
      <c r="S144" s="501"/>
      <c r="T144" s="478"/>
      <c r="U144" s="501"/>
      <c r="V144" s="479" t="str">
        <f>IF(R144="No","No Twilight",IF(T144="Yes","Uncomprehended Twilight",IF((Character!$B$14+IF(Character!$B$53="Yes",0,Character!$B$53)+IF(Magic!$C$5="Yes",2,0)+ROUNDUP((Magic!$B$30+IF(Magic!$C$30="Yes",3,0))/5,0)+S144)&gt;=($D$3+P144+SUMIF(Character!$I$62:$I$66,"Enigmatic Wisdom",Character!$J$62:$J$66)+Q144+U144),"No Twilight","Twilight")))</f>
        <v>No Twilight</v>
      </c>
      <c r="W144" s="483"/>
      <c r="X144" s="478"/>
      <c r="Y144" s="484"/>
      <c r="Z144" s="478"/>
      <c r="AA144" s="485" t="str">
        <f>IF(V144="Uncomprehended Twilight","Failed",IF(OR(ISBLANK(W144),ISBLANK(Y144))," ",IF(NOT(ISBLANK(X144)),"Failed",IF((W144+Character!$B$9+SUMIF(Character!$I$62:$I$66,"Enigmatic Wisdom",Character!$J$62:$J$66))&gt;=IF(Z144="Yes",0,(Y144+D139)),"Succeeded","Failed"))))</f>
        <v xml:space="preserve"> </v>
      </c>
      <c r="AB144" s="477" t="str">
        <f>IF(AA144=" "," ",IF(NOT(ISBLANK(X144)),VLOOKUP($D$3+X144,Calcs!$A$110:$C$122,3,TRUE),IF(AA144="Failed",VLOOKUP($D$3,Calcs!$A$110:$C$122,3,TRUE),VLOOKUP($D$3-(IF((Character!$B$9+W144)&gt;($D$3+Y144),(Character!$B$9+W144)-($D$3+Y144),0)),Calcs!$A$110:$C$122,3,TRUE))))</f>
        <v xml:space="preserve"> </v>
      </c>
      <c r="AC144" s="489"/>
      <c r="AD144" s="489" t="str">
        <f>IF(IF(AA144=" "," ",IF(NOT(ISBLANK(X144)),VLOOKUP($D$3+X144,Calcs!$A$110:$B$122,2,TRUE),IF(AA144="Failed",VLOOKUP($D$3,Calcs!$A$110:$B$122,2,TRUE),VLOOKUP($D$3-(IF((Character!$B$9+W144)&gt;($D$3+Y144),(Character!$B$9+W144)-($D$3+Y144),0)),Calcs!$A$110:$B$122,2,TRUE))))=Calcs!$B$120,IF(ISBLANK(AC144)," ",CONCATENATE(AC144+7," Years")),IF(AA144=" "," ",IF(NOT(ISBLANK(X144)),VLOOKUP($D$3+X144,Calcs!$A$110:$B$122,2,TRUE),IF(AA144="Failed",VLOOKUP($D$3,Calcs!$A$110:$B$122,2,TRUE),VLOOKUP($D$3-(IF((Character!$B$9+W144)&gt;($D$3+Y144),(Character!$B$9+W144)-($D$3+Y144),0)),Calcs!$A$110:$B$122,2,TRUE)))))</f>
        <v xml:space="preserve"> </v>
      </c>
      <c r="AE144" s="490"/>
      <c r="AF144" s="879"/>
      <c r="AG144" s="491"/>
    </row>
    <row r="145" spans="1:33" x14ac:dyDescent="0.2">
      <c r="A145" s="415">
        <f t="shared" si="2"/>
        <v>1246</v>
      </c>
      <c r="B145" s="419" t="str">
        <f t="shared" si="3"/>
        <v>Spring</v>
      </c>
      <c r="C145" s="455"/>
      <c r="D145" s="504"/>
      <c r="E145" s="455"/>
      <c r="F145" s="504"/>
      <c r="G145" s="455"/>
      <c r="H145" s="504"/>
      <c r="I145" s="455"/>
      <c r="J145" s="504"/>
      <c r="L145" s="472"/>
      <c r="M145" s="468"/>
      <c r="N145" s="468"/>
      <c r="O145" s="468"/>
      <c r="P145" s="468"/>
      <c r="Q145" s="473"/>
      <c r="R145" s="477" t="str">
        <f>IF(AND(COUNTIF('Start Character'!$I$63:$M$77,"Twilight Prone")=1,NOT(ISERROR(FIND("Magical Botch",M145)))),"Yes",IF(P145&gt;1,"Yes","No"))</f>
        <v>No</v>
      </c>
      <c r="S145" s="501"/>
      <c r="T145" s="478"/>
      <c r="U145" s="501"/>
      <c r="V145" s="479" t="str">
        <f>IF(R145="No","No Twilight",IF(T145="Yes","Uncomprehended Twilight",IF((Character!$B$14+IF(Character!$B$53="Yes",0,Character!$B$53)+IF(Magic!$C$5="Yes",2,0)+ROUNDUP((Magic!$B$30+IF(Magic!$C$30="Yes",3,0))/5,0)+S145)&gt;=($D$3+P145+SUMIF(Character!$I$62:$I$66,"Enigmatic Wisdom",Character!$J$62:$J$66)+Q145+U145),"No Twilight","Twilight")))</f>
        <v>No Twilight</v>
      </c>
      <c r="W145" s="483"/>
      <c r="X145" s="478"/>
      <c r="Y145" s="484"/>
      <c r="Z145" s="478"/>
      <c r="AA145" s="485" t="str">
        <f>IF(V145="Uncomprehended Twilight","Failed",IF(OR(ISBLANK(W145),ISBLANK(Y145))," ",IF(NOT(ISBLANK(X145)),"Failed",IF((W145+Character!$B$9+SUMIF(Character!$I$62:$I$66,"Enigmatic Wisdom",Character!$J$62:$J$66))&gt;=IF(Z145="Yes",0,(Y145+D140)),"Succeeded","Failed"))))</f>
        <v xml:space="preserve"> </v>
      </c>
      <c r="AB145" s="477" t="str">
        <f>IF(AA145=" "," ",IF(NOT(ISBLANK(X145)),VLOOKUP($D$3+X145,Calcs!$A$110:$C$122,3,TRUE),IF(AA145="Failed",VLOOKUP($D$3,Calcs!$A$110:$C$122,3,TRUE),VLOOKUP($D$3-(IF((Character!$B$9+W145)&gt;($D$3+Y145),(Character!$B$9+W145)-($D$3+Y145),0)),Calcs!$A$110:$C$122,3,TRUE))))</f>
        <v xml:space="preserve"> </v>
      </c>
      <c r="AC145" s="489"/>
      <c r="AD145" s="489" t="str">
        <f>IF(IF(AA145=" "," ",IF(NOT(ISBLANK(X145)),VLOOKUP($D$3+X145,Calcs!$A$110:$B$122,2,TRUE),IF(AA145="Failed",VLOOKUP($D$3,Calcs!$A$110:$B$122,2,TRUE),VLOOKUP($D$3-(IF((Character!$B$9+W145)&gt;($D$3+Y145),(Character!$B$9+W145)-($D$3+Y145),0)),Calcs!$A$110:$B$122,2,TRUE))))=Calcs!$B$120,IF(ISBLANK(AC145)," ",CONCATENATE(AC145+7," Years")),IF(AA145=" "," ",IF(NOT(ISBLANK(X145)),VLOOKUP($D$3+X145,Calcs!$A$110:$B$122,2,TRUE),IF(AA145="Failed",VLOOKUP($D$3,Calcs!$A$110:$B$122,2,TRUE),VLOOKUP($D$3-(IF((Character!$B$9+W145)&gt;($D$3+Y145),(Character!$B$9+W145)-($D$3+Y145),0)),Calcs!$A$110:$B$122,2,TRUE)))))</f>
        <v xml:space="preserve"> </v>
      </c>
      <c r="AE145" s="490"/>
      <c r="AF145" s="879"/>
      <c r="AG145" s="491"/>
    </row>
    <row r="146" spans="1:33" x14ac:dyDescent="0.2">
      <c r="A146" s="415">
        <f t="shared" si="2"/>
        <v>1246</v>
      </c>
      <c r="B146" s="419" t="str">
        <f t="shared" si="3"/>
        <v>Summer</v>
      </c>
      <c r="C146" s="455"/>
      <c r="D146" s="504"/>
      <c r="E146" s="455"/>
      <c r="F146" s="504"/>
      <c r="G146" s="455"/>
      <c r="H146" s="504"/>
      <c r="I146" s="455"/>
      <c r="J146" s="504"/>
      <c r="L146" s="472"/>
      <c r="M146" s="468"/>
      <c r="N146" s="468"/>
      <c r="O146" s="468"/>
      <c r="P146" s="468"/>
      <c r="Q146" s="473"/>
      <c r="R146" s="477" t="str">
        <f>IF(AND(COUNTIF('Start Character'!$I$63:$M$77,"Twilight Prone")=1,NOT(ISERROR(FIND("Magical Botch",M146)))),"Yes",IF(P146&gt;1,"Yes","No"))</f>
        <v>No</v>
      </c>
      <c r="S146" s="501"/>
      <c r="T146" s="478"/>
      <c r="U146" s="501"/>
      <c r="V146" s="479" t="str">
        <f>IF(R146="No","No Twilight",IF(T146="Yes","Uncomprehended Twilight",IF((Character!$B$14+IF(Character!$B$53="Yes",0,Character!$B$53)+IF(Magic!$C$5="Yes",2,0)+ROUNDUP((Magic!$B$30+IF(Magic!$C$30="Yes",3,0))/5,0)+S146)&gt;=($D$3+P146+SUMIF(Character!$I$62:$I$66,"Enigmatic Wisdom",Character!$J$62:$J$66)+Q146+U146),"No Twilight","Twilight")))</f>
        <v>No Twilight</v>
      </c>
      <c r="W146" s="483"/>
      <c r="X146" s="478"/>
      <c r="Y146" s="484"/>
      <c r="Z146" s="478"/>
      <c r="AA146" s="485" t="str">
        <f>IF(V146="Uncomprehended Twilight","Failed",IF(OR(ISBLANK(W146),ISBLANK(Y146))," ",IF(NOT(ISBLANK(X146)),"Failed",IF((W146+Character!$B$9+SUMIF(Character!$I$62:$I$66,"Enigmatic Wisdom",Character!$J$62:$J$66))&gt;=IF(Z146="Yes",0,(Y146+D141)),"Succeeded","Failed"))))</f>
        <v xml:space="preserve"> </v>
      </c>
      <c r="AB146" s="477" t="str">
        <f>IF(AA146=" "," ",IF(NOT(ISBLANK(X146)),VLOOKUP($D$3+X146,Calcs!$A$110:$C$122,3,TRUE),IF(AA146="Failed",VLOOKUP($D$3,Calcs!$A$110:$C$122,3,TRUE),VLOOKUP($D$3-(IF((Character!$B$9+W146)&gt;($D$3+Y146),(Character!$B$9+W146)-($D$3+Y146),0)),Calcs!$A$110:$C$122,3,TRUE))))</f>
        <v xml:space="preserve"> </v>
      </c>
      <c r="AC146" s="489"/>
      <c r="AD146" s="489" t="str">
        <f>IF(IF(AA146=" "," ",IF(NOT(ISBLANK(X146)),VLOOKUP($D$3+X146,Calcs!$A$110:$B$122,2,TRUE),IF(AA146="Failed",VLOOKUP($D$3,Calcs!$A$110:$B$122,2,TRUE),VLOOKUP($D$3-(IF((Character!$B$9+W146)&gt;($D$3+Y146),(Character!$B$9+W146)-($D$3+Y146),0)),Calcs!$A$110:$B$122,2,TRUE))))=Calcs!$B$120,IF(ISBLANK(AC146)," ",CONCATENATE(AC146+7," Years")),IF(AA146=" "," ",IF(NOT(ISBLANK(X146)),VLOOKUP($D$3+X146,Calcs!$A$110:$B$122,2,TRUE),IF(AA146="Failed",VLOOKUP($D$3,Calcs!$A$110:$B$122,2,TRUE),VLOOKUP($D$3-(IF((Character!$B$9+W146)&gt;($D$3+Y146),(Character!$B$9+W146)-($D$3+Y146),0)),Calcs!$A$110:$B$122,2,TRUE)))))</f>
        <v xml:space="preserve"> </v>
      </c>
      <c r="AE146" s="490"/>
      <c r="AF146" s="879"/>
      <c r="AG146" s="491"/>
    </row>
    <row r="147" spans="1:33" x14ac:dyDescent="0.2">
      <c r="A147" s="415">
        <f t="shared" si="2"/>
        <v>1246</v>
      </c>
      <c r="B147" s="419" t="str">
        <f t="shared" si="3"/>
        <v>Autumn</v>
      </c>
      <c r="C147" s="455"/>
      <c r="D147" s="504"/>
      <c r="E147" s="455"/>
      <c r="F147" s="504"/>
      <c r="G147" s="455"/>
      <c r="H147" s="504"/>
      <c r="I147" s="455"/>
      <c r="J147" s="504"/>
      <c r="L147" s="472"/>
      <c r="M147" s="468"/>
      <c r="N147" s="468"/>
      <c r="O147" s="468"/>
      <c r="P147" s="468"/>
      <c r="Q147" s="473"/>
      <c r="R147" s="477" t="str">
        <f>IF(AND(COUNTIF('Start Character'!$I$63:$M$77,"Twilight Prone")=1,NOT(ISERROR(FIND("Magical Botch",M147)))),"Yes",IF(P147&gt;1,"Yes","No"))</f>
        <v>No</v>
      </c>
      <c r="S147" s="501"/>
      <c r="T147" s="478"/>
      <c r="U147" s="501"/>
      <c r="V147" s="479" t="str">
        <f>IF(R147="No","No Twilight",IF(T147="Yes","Uncomprehended Twilight",IF((Character!$B$14+IF(Character!$B$53="Yes",0,Character!$B$53)+IF(Magic!$C$5="Yes",2,0)+ROUNDUP((Magic!$B$30+IF(Magic!$C$30="Yes",3,0))/5,0)+S147)&gt;=($D$3+P147+SUMIF(Character!$I$62:$I$66,"Enigmatic Wisdom",Character!$J$62:$J$66)+Q147+U147),"No Twilight","Twilight")))</f>
        <v>No Twilight</v>
      </c>
      <c r="W147" s="483"/>
      <c r="X147" s="478"/>
      <c r="Y147" s="484"/>
      <c r="Z147" s="478"/>
      <c r="AA147" s="485" t="str">
        <f>IF(V147="Uncomprehended Twilight","Failed",IF(OR(ISBLANK(W147),ISBLANK(Y147))," ",IF(NOT(ISBLANK(X147)),"Failed",IF((W147+Character!$B$9+SUMIF(Character!$I$62:$I$66,"Enigmatic Wisdom",Character!$J$62:$J$66))&gt;=IF(Z147="Yes",0,(Y147+D142)),"Succeeded","Failed"))))</f>
        <v xml:space="preserve"> </v>
      </c>
      <c r="AB147" s="477" t="str">
        <f>IF(AA147=" "," ",IF(NOT(ISBLANK(X147)),VLOOKUP($D$3+X147,Calcs!$A$110:$C$122,3,TRUE),IF(AA147="Failed",VLOOKUP($D$3,Calcs!$A$110:$C$122,3,TRUE),VLOOKUP($D$3-(IF((Character!$B$9+W147)&gt;($D$3+Y147),(Character!$B$9+W147)-($D$3+Y147),0)),Calcs!$A$110:$C$122,3,TRUE))))</f>
        <v xml:space="preserve"> </v>
      </c>
      <c r="AC147" s="489"/>
      <c r="AD147" s="489" t="str">
        <f>IF(IF(AA147=" "," ",IF(NOT(ISBLANK(X147)),VLOOKUP($D$3+X147,Calcs!$A$110:$B$122,2,TRUE),IF(AA147="Failed",VLOOKUP($D$3,Calcs!$A$110:$B$122,2,TRUE),VLOOKUP($D$3-(IF((Character!$B$9+W147)&gt;($D$3+Y147),(Character!$B$9+W147)-($D$3+Y147),0)),Calcs!$A$110:$B$122,2,TRUE))))=Calcs!$B$120,IF(ISBLANK(AC147)," ",CONCATENATE(AC147+7," Years")),IF(AA147=" "," ",IF(NOT(ISBLANK(X147)),VLOOKUP($D$3+X147,Calcs!$A$110:$B$122,2,TRUE),IF(AA147="Failed",VLOOKUP($D$3,Calcs!$A$110:$B$122,2,TRUE),VLOOKUP($D$3-(IF((Character!$B$9+W147)&gt;($D$3+Y147),(Character!$B$9+W147)-($D$3+Y147),0)),Calcs!$A$110:$B$122,2,TRUE)))))</f>
        <v xml:space="preserve"> </v>
      </c>
      <c r="AE147" s="490"/>
      <c r="AF147" s="879"/>
      <c r="AG147" s="491"/>
    </row>
    <row r="148" spans="1:33" x14ac:dyDescent="0.2">
      <c r="A148" s="415">
        <f t="shared" si="2"/>
        <v>1247</v>
      </c>
      <c r="B148" s="419" t="str">
        <f t="shared" si="3"/>
        <v>Winter</v>
      </c>
      <c r="C148" s="455"/>
      <c r="D148" s="504"/>
      <c r="E148" s="455"/>
      <c r="F148" s="504"/>
      <c r="G148" s="455"/>
      <c r="H148" s="504"/>
      <c r="I148" s="455"/>
      <c r="J148" s="504"/>
      <c r="L148" s="472"/>
      <c r="M148" s="468"/>
      <c r="N148" s="468"/>
      <c r="O148" s="468"/>
      <c r="P148" s="468"/>
      <c r="Q148" s="473"/>
      <c r="R148" s="477" t="str">
        <f>IF(AND(COUNTIF('Start Character'!$I$63:$M$77,"Twilight Prone")=1,NOT(ISERROR(FIND("Magical Botch",M148)))),"Yes",IF(P148&gt;1,"Yes","No"))</f>
        <v>No</v>
      </c>
      <c r="S148" s="501"/>
      <c r="T148" s="478"/>
      <c r="U148" s="501"/>
      <c r="V148" s="479" t="str">
        <f>IF(R148="No","No Twilight",IF(T148="Yes","Uncomprehended Twilight",IF((Character!$B$14+IF(Character!$B$53="Yes",0,Character!$B$53)+IF(Magic!$C$5="Yes",2,0)+ROUNDUP((Magic!$B$30+IF(Magic!$C$30="Yes",3,0))/5,0)+S148)&gt;=($D$3+P148+SUMIF(Character!$I$62:$I$66,"Enigmatic Wisdom",Character!$J$62:$J$66)+Q148+U148),"No Twilight","Twilight")))</f>
        <v>No Twilight</v>
      </c>
      <c r="W148" s="483"/>
      <c r="X148" s="478"/>
      <c r="Y148" s="484"/>
      <c r="Z148" s="478"/>
      <c r="AA148" s="485" t="str">
        <f>IF(V148="Uncomprehended Twilight","Failed",IF(OR(ISBLANK(W148),ISBLANK(Y148))," ",IF(NOT(ISBLANK(X148)),"Failed",IF((W148+Character!$B$9+SUMIF(Character!$I$62:$I$66,"Enigmatic Wisdom",Character!$J$62:$J$66))&gt;=IF(Z148="Yes",0,(Y148+D143)),"Succeeded","Failed"))))</f>
        <v xml:space="preserve"> </v>
      </c>
      <c r="AB148" s="477" t="str">
        <f>IF(AA148=" "," ",IF(NOT(ISBLANK(X148)),VLOOKUP($D$3+X148,Calcs!$A$110:$C$122,3,TRUE),IF(AA148="Failed",VLOOKUP($D$3,Calcs!$A$110:$C$122,3,TRUE),VLOOKUP($D$3-(IF((Character!$B$9+W148)&gt;($D$3+Y148),(Character!$B$9+W148)-($D$3+Y148),0)),Calcs!$A$110:$C$122,3,TRUE))))</f>
        <v xml:space="preserve"> </v>
      </c>
      <c r="AC148" s="489"/>
      <c r="AD148" s="489" t="str">
        <f>IF(IF(AA148=" "," ",IF(NOT(ISBLANK(X148)),VLOOKUP($D$3+X148,Calcs!$A$110:$B$122,2,TRUE),IF(AA148="Failed",VLOOKUP($D$3,Calcs!$A$110:$B$122,2,TRUE),VLOOKUP($D$3-(IF((Character!$B$9+W148)&gt;($D$3+Y148),(Character!$B$9+W148)-($D$3+Y148),0)),Calcs!$A$110:$B$122,2,TRUE))))=Calcs!$B$120,IF(ISBLANK(AC148)," ",CONCATENATE(AC148+7," Years")),IF(AA148=" "," ",IF(NOT(ISBLANK(X148)),VLOOKUP($D$3+X148,Calcs!$A$110:$B$122,2,TRUE),IF(AA148="Failed",VLOOKUP($D$3,Calcs!$A$110:$B$122,2,TRUE),VLOOKUP($D$3-(IF((Character!$B$9+W148)&gt;($D$3+Y148),(Character!$B$9+W148)-($D$3+Y148),0)),Calcs!$A$110:$B$122,2,TRUE)))))</f>
        <v xml:space="preserve"> </v>
      </c>
      <c r="AE148" s="490"/>
      <c r="AF148" s="879"/>
      <c r="AG148" s="491"/>
    </row>
    <row r="149" spans="1:33" x14ac:dyDescent="0.2">
      <c r="A149" s="415">
        <f t="shared" si="2"/>
        <v>1247</v>
      </c>
      <c r="B149" s="419" t="str">
        <f t="shared" si="3"/>
        <v>Spring</v>
      </c>
      <c r="C149" s="455"/>
      <c r="D149" s="504"/>
      <c r="E149" s="455"/>
      <c r="F149" s="504"/>
      <c r="G149" s="455"/>
      <c r="H149" s="504"/>
      <c r="I149" s="455"/>
      <c r="J149" s="504"/>
      <c r="L149" s="472"/>
      <c r="M149" s="468"/>
      <c r="N149" s="468"/>
      <c r="O149" s="468"/>
      <c r="P149" s="468"/>
      <c r="Q149" s="473"/>
      <c r="R149" s="477" t="str">
        <f>IF(AND(COUNTIF('Start Character'!$I$63:$M$77,"Twilight Prone")=1,NOT(ISERROR(FIND("Magical Botch",M149)))),"Yes",IF(P149&gt;1,"Yes","No"))</f>
        <v>No</v>
      </c>
      <c r="S149" s="501"/>
      <c r="T149" s="478"/>
      <c r="U149" s="501"/>
      <c r="V149" s="479" t="str">
        <f>IF(R149="No","No Twilight",IF(T149="Yes","Uncomprehended Twilight",IF((Character!$B$14+IF(Character!$B$53="Yes",0,Character!$B$53)+IF(Magic!$C$5="Yes",2,0)+ROUNDUP((Magic!$B$30+IF(Magic!$C$30="Yes",3,0))/5,0)+S149)&gt;=($D$3+P149+SUMIF(Character!$I$62:$I$66,"Enigmatic Wisdom",Character!$J$62:$J$66)+Q149+U149),"No Twilight","Twilight")))</f>
        <v>No Twilight</v>
      </c>
      <c r="W149" s="483"/>
      <c r="X149" s="478"/>
      <c r="Y149" s="484"/>
      <c r="Z149" s="478"/>
      <c r="AA149" s="485" t="str">
        <f>IF(V149="Uncomprehended Twilight","Failed",IF(OR(ISBLANK(W149),ISBLANK(Y149))," ",IF(NOT(ISBLANK(X149)),"Failed",IF((W149+Character!$B$9+SUMIF(Character!$I$62:$I$66,"Enigmatic Wisdom",Character!$J$62:$J$66))&gt;=IF(Z149="Yes",0,(Y149+D144)),"Succeeded","Failed"))))</f>
        <v xml:space="preserve"> </v>
      </c>
      <c r="AB149" s="477" t="str">
        <f>IF(AA149=" "," ",IF(NOT(ISBLANK(X149)),VLOOKUP($D$3+X149,Calcs!$A$110:$C$122,3,TRUE),IF(AA149="Failed",VLOOKUP($D$3,Calcs!$A$110:$C$122,3,TRUE),VLOOKUP($D$3-(IF((Character!$B$9+W149)&gt;($D$3+Y149),(Character!$B$9+W149)-($D$3+Y149),0)),Calcs!$A$110:$C$122,3,TRUE))))</f>
        <v xml:space="preserve"> </v>
      </c>
      <c r="AC149" s="489"/>
      <c r="AD149" s="489" t="str">
        <f>IF(IF(AA149=" "," ",IF(NOT(ISBLANK(X149)),VLOOKUP($D$3+X149,Calcs!$A$110:$B$122,2,TRUE),IF(AA149="Failed",VLOOKUP($D$3,Calcs!$A$110:$B$122,2,TRUE),VLOOKUP($D$3-(IF((Character!$B$9+W149)&gt;($D$3+Y149),(Character!$B$9+W149)-($D$3+Y149),0)),Calcs!$A$110:$B$122,2,TRUE))))=Calcs!$B$120,IF(ISBLANK(AC149)," ",CONCATENATE(AC149+7," Years")),IF(AA149=" "," ",IF(NOT(ISBLANK(X149)),VLOOKUP($D$3+X149,Calcs!$A$110:$B$122,2,TRUE),IF(AA149="Failed",VLOOKUP($D$3,Calcs!$A$110:$B$122,2,TRUE),VLOOKUP($D$3-(IF((Character!$B$9+W149)&gt;($D$3+Y149),(Character!$B$9+W149)-($D$3+Y149),0)),Calcs!$A$110:$B$122,2,TRUE)))))</f>
        <v xml:space="preserve"> </v>
      </c>
      <c r="AE149" s="490"/>
      <c r="AF149" s="879"/>
      <c r="AG149" s="491"/>
    </row>
    <row r="150" spans="1:33" x14ac:dyDescent="0.2">
      <c r="A150" s="415">
        <f t="shared" si="2"/>
        <v>1247</v>
      </c>
      <c r="B150" s="419" t="str">
        <f t="shared" si="3"/>
        <v>Summer</v>
      </c>
      <c r="C150" s="455"/>
      <c r="D150" s="504"/>
      <c r="E150" s="455"/>
      <c r="F150" s="504"/>
      <c r="G150" s="455"/>
      <c r="H150" s="504"/>
      <c r="I150" s="455"/>
      <c r="J150" s="504"/>
      <c r="L150" s="472"/>
      <c r="M150" s="468"/>
      <c r="N150" s="468"/>
      <c r="O150" s="468"/>
      <c r="P150" s="468"/>
      <c r="Q150" s="473"/>
      <c r="R150" s="477" t="str">
        <f>IF(AND(COUNTIF('Start Character'!$I$63:$M$77,"Twilight Prone")=1,NOT(ISERROR(FIND("Magical Botch",M150)))),"Yes",IF(P150&gt;1,"Yes","No"))</f>
        <v>No</v>
      </c>
      <c r="S150" s="501"/>
      <c r="T150" s="478"/>
      <c r="U150" s="501"/>
      <c r="V150" s="479" t="str">
        <f>IF(R150="No","No Twilight",IF(T150="Yes","Uncomprehended Twilight",IF((Character!$B$14+IF(Character!$B$53="Yes",0,Character!$B$53)+IF(Magic!$C$5="Yes",2,0)+ROUNDUP((Magic!$B$30+IF(Magic!$C$30="Yes",3,0))/5,0)+S150)&gt;=($D$3+P150+SUMIF(Character!$I$62:$I$66,"Enigmatic Wisdom",Character!$J$62:$J$66)+Q150+U150),"No Twilight","Twilight")))</f>
        <v>No Twilight</v>
      </c>
      <c r="W150" s="483"/>
      <c r="X150" s="478"/>
      <c r="Y150" s="484"/>
      <c r="Z150" s="478"/>
      <c r="AA150" s="485" t="str">
        <f>IF(V150="Uncomprehended Twilight","Failed",IF(OR(ISBLANK(W150),ISBLANK(Y150))," ",IF(NOT(ISBLANK(X150)),"Failed",IF((W150+Character!$B$9+SUMIF(Character!$I$62:$I$66,"Enigmatic Wisdom",Character!$J$62:$J$66))&gt;=IF(Z150="Yes",0,(Y150+D145)),"Succeeded","Failed"))))</f>
        <v xml:space="preserve"> </v>
      </c>
      <c r="AB150" s="477" t="str">
        <f>IF(AA150=" "," ",IF(NOT(ISBLANK(X150)),VLOOKUP($D$3+X150,Calcs!$A$110:$C$122,3,TRUE),IF(AA150="Failed",VLOOKUP($D$3,Calcs!$A$110:$C$122,3,TRUE),VLOOKUP($D$3-(IF((Character!$B$9+W150)&gt;($D$3+Y150),(Character!$B$9+W150)-($D$3+Y150),0)),Calcs!$A$110:$C$122,3,TRUE))))</f>
        <v xml:space="preserve"> </v>
      </c>
      <c r="AC150" s="489"/>
      <c r="AD150" s="489" t="str">
        <f>IF(IF(AA150=" "," ",IF(NOT(ISBLANK(X150)),VLOOKUP($D$3+X150,Calcs!$A$110:$B$122,2,TRUE),IF(AA150="Failed",VLOOKUP($D$3,Calcs!$A$110:$B$122,2,TRUE),VLOOKUP($D$3-(IF((Character!$B$9+W150)&gt;($D$3+Y150),(Character!$B$9+W150)-($D$3+Y150),0)),Calcs!$A$110:$B$122,2,TRUE))))=Calcs!$B$120,IF(ISBLANK(AC150)," ",CONCATENATE(AC150+7," Years")),IF(AA150=" "," ",IF(NOT(ISBLANK(X150)),VLOOKUP($D$3+X150,Calcs!$A$110:$B$122,2,TRUE),IF(AA150="Failed",VLOOKUP($D$3,Calcs!$A$110:$B$122,2,TRUE),VLOOKUP($D$3-(IF((Character!$B$9+W150)&gt;($D$3+Y150),(Character!$B$9+W150)-($D$3+Y150),0)),Calcs!$A$110:$B$122,2,TRUE)))))</f>
        <v xml:space="preserve"> </v>
      </c>
      <c r="AE150" s="490"/>
      <c r="AF150" s="879"/>
      <c r="AG150" s="491"/>
    </row>
    <row r="151" spans="1:33" x14ac:dyDescent="0.2">
      <c r="A151" s="415">
        <f t="shared" si="2"/>
        <v>1247</v>
      </c>
      <c r="B151" s="419" t="str">
        <f t="shared" si="3"/>
        <v>Autumn</v>
      </c>
      <c r="C151" s="455"/>
      <c r="D151" s="504"/>
      <c r="E151" s="455"/>
      <c r="F151" s="504"/>
      <c r="G151" s="455"/>
      <c r="H151" s="504"/>
      <c r="I151" s="455"/>
      <c r="J151" s="504"/>
      <c r="L151" s="472"/>
      <c r="M151" s="468"/>
      <c r="N151" s="468"/>
      <c r="O151" s="468"/>
      <c r="P151" s="468"/>
      <c r="Q151" s="473"/>
      <c r="R151" s="477" t="str">
        <f>IF(AND(COUNTIF('Start Character'!$I$63:$M$77,"Twilight Prone")=1,NOT(ISERROR(FIND("Magical Botch",M151)))),"Yes",IF(P151&gt;1,"Yes","No"))</f>
        <v>No</v>
      </c>
      <c r="S151" s="501"/>
      <c r="T151" s="478"/>
      <c r="U151" s="501"/>
      <c r="V151" s="479" t="str">
        <f>IF(R151="No","No Twilight",IF(T151="Yes","Uncomprehended Twilight",IF((Character!$B$14+IF(Character!$B$53="Yes",0,Character!$B$53)+IF(Magic!$C$5="Yes",2,0)+ROUNDUP((Magic!$B$30+IF(Magic!$C$30="Yes",3,0))/5,0)+S151)&gt;=($D$3+P151+SUMIF(Character!$I$62:$I$66,"Enigmatic Wisdom",Character!$J$62:$J$66)+Q151+U151),"No Twilight","Twilight")))</f>
        <v>No Twilight</v>
      </c>
      <c r="W151" s="483"/>
      <c r="X151" s="478"/>
      <c r="Y151" s="484"/>
      <c r="Z151" s="478"/>
      <c r="AA151" s="485" t="str">
        <f>IF(V151="Uncomprehended Twilight","Failed",IF(OR(ISBLANK(W151),ISBLANK(Y151))," ",IF(NOT(ISBLANK(X151)),"Failed",IF((W151+Character!$B$9+SUMIF(Character!$I$62:$I$66,"Enigmatic Wisdom",Character!$J$62:$J$66))&gt;=IF(Z151="Yes",0,(Y151+D146)),"Succeeded","Failed"))))</f>
        <v xml:space="preserve"> </v>
      </c>
      <c r="AB151" s="477" t="str">
        <f>IF(AA151=" "," ",IF(NOT(ISBLANK(X151)),VLOOKUP($D$3+X151,Calcs!$A$110:$C$122,3,TRUE),IF(AA151="Failed",VLOOKUP($D$3,Calcs!$A$110:$C$122,3,TRUE),VLOOKUP($D$3-(IF((Character!$B$9+W151)&gt;($D$3+Y151),(Character!$B$9+W151)-($D$3+Y151),0)),Calcs!$A$110:$C$122,3,TRUE))))</f>
        <v xml:space="preserve"> </v>
      </c>
      <c r="AC151" s="489"/>
      <c r="AD151" s="489" t="str">
        <f>IF(IF(AA151=" "," ",IF(NOT(ISBLANK(X151)),VLOOKUP($D$3+X151,Calcs!$A$110:$B$122,2,TRUE),IF(AA151="Failed",VLOOKUP($D$3,Calcs!$A$110:$B$122,2,TRUE),VLOOKUP($D$3-(IF((Character!$B$9+W151)&gt;($D$3+Y151),(Character!$B$9+W151)-($D$3+Y151),0)),Calcs!$A$110:$B$122,2,TRUE))))=Calcs!$B$120,IF(ISBLANK(AC151)," ",CONCATENATE(AC151+7," Years")),IF(AA151=" "," ",IF(NOT(ISBLANK(X151)),VLOOKUP($D$3+X151,Calcs!$A$110:$B$122,2,TRUE),IF(AA151="Failed",VLOOKUP($D$3,Calcs!$A$110:$B$122,2,TRUE),VLOOKUP($D$3-(IF((Character!$B$9+W151)&gt;($D$3+Y151),(Character!$B$9+W151)-($D$3+Y151),0)),Calcs!$A$110:$B$122,2,TRUE)))))</f>
        <v xml:space="preserve"> </v>
      </c>
      <c r="AE151" s="490"/>
      <c r="AF151" s="879"/>
      <c r="AG151" s="491"/>
    </row>
    <row r="152" spans="1:33" x14ac:dyDescent="0.2">
      <c r="A152" s="415">
        <f t="shared" si="2"/>
        <v>1248</v>
      </c>
      <c r="B152" s="419" t="str">
        <f t="shared" si="3"/>
        <v>Winter</v>
      </c>
      <c r="C152" s="455"/>
      <c r="D152" s="504"/>
      <c r="E152" s="455"/>
      <c r="F152" s="504"/>
      <c r="G152" s="455"/>
      <c r="H152" s="504"/>
      <c r="I152" s="455"/>
      <c r="J152" s="504"/>
      <c r="L152" s="472"/>
      <c r="M152" s="468"/>
      <c r="N152" s="468"/>
      <c r="O152" s="468"/>
      <c r="P152" s="468"/>
      <c r="Q152" s="473"/>
      <c r="R152" s="477" t="str">
        <f>IF(AND(COUNTIF('Start Character'!$I$63:$M$77,"Twilight Prone")=1,NOT(ISERROR(FIND("Magical Botch",M152)))),"Yes",IF(P152&gt;1,"Yes","No"))</f>
        <v>No</v>
      </c>
      <c r="S152" s="501"/>
      <c r="T152" s="478"/>
      <c r="U152" s="501"/>
      <c r="V152" s="479" t="str">
        <f>IF(R152="No","No Twilight",IF(T152="Yes","Uncomprehended Twilight",IF((Character!$B$14+IF(Character!$B$53="Yes",0,Character!$B$53)+IF(Magic!$C$5="Yes",2,0)+ROUNDUP((Magic!$B$30+IF(Magic!$C$30="Yes",3,0))/5,0)+S152)&gt;=($D$3+P152+SUMIF(Character!$I$62:$I$66,"Enigmatic Wisdom",Character!$J$62:$J$66)+Q152+U152),"No Twilight","Twilight")))</f>
        <v>No Twilight</v>
      </c>
      <c r="W152" s="483"/>
      <c r="X152" s="478"/>
      <c r="Y152" s="484"/>
      <c r="Z152" s="478"/>
      <c r="AA152" s="485" t="str">
        <f>IF(V152="Uncomprehended Twilight","Failed",IF(OR(ISBLANK(W152),ISBLANK(Y152))," ",IF(NOT(ISBLANK(X152)),"Failed",IF((W152+Character!$B$9+SUMIF(Character!$I$62:$I$66,"Enigmatic Wisdom",Character!$J$62:$J$66))&gt;=IF(Z152="Yes",0,(Y152+D147)),"Succeeded","Failed"))))</f>
        <v xml:space="preserve"> </v>
      </c>
      <c r="AB152" s="477" t="str">
        <f>IF(AA152=" "," ",IF(NOT(ISBLANK(X152)),VLOOKUP($D$3+X152,Calcs!$A$110:$C$122,3,TRUE),IF(AA152="Failed",VLOOKUP($D$3,Calcs!$A$110:$C$122,3,TRUE),VLOOKUP($D$3-(IF((Character!$B$9+W152)&gt;($D$3+Y152),(Character!$B$9+W152)-($D$3+Y152),0)),Calcs!$A$110:$C$122,3,TRUE))))</f>
        <v xml:space="preserve"> </v>
      </c>
      <c r="AC152" s="489"/>
      <c r="AD152" s="489" t="str">
        <f>IF(IF(AA152=" "," ",IF(NOT(ISBLANK(X152)),VLOOKUP($D$3+X152,Calcs!$A$110:$B$122,2,TRUE),IF(AA152="Failed",VLOOKUP($D$3,Calcs!$A$110:$B$122,2,TRUE),VLOOKUP($D$3-(IF((Character!$B$9+W152)&gt;($D$3+Y152),(Character!$B$9+W152)-($D$3+Y152),0)),Calcs!$A$110:$B$122,2,TRUE))))=Calcs!$B$120,IF(ISBLANK(AC152)," ",CONCATENATE(AC152+7," Years")),IF(AA152=" "," ",IF(NOT(ISBLANK(X152)),VLOOKUP($D$3+X152,Calcs!$A$110:$B$122,2,TRUE),IF(AA152="Failed",VLOOKUP($D$3,Calcs!$A$110:$B$122,2,TRUE),VLOOKUP($D$3-(IF((Character!$B$9+W152)&gt;($D$3+Y152),(Character!$B$9+W152)-($D$3+Y152),0)),Calcs!$A$110:$B$122,2,TRUE)))))</f>
        <v xml:space="preserve"> </v>
      </c>
      <c r="AE152" s="490"/>
      <c r="AF152" s="879"/>
      <c r="AG152" s="491"/>
    </row>
    <row r="153" spans="1:33" x14ac:dyDescent="0.2">
      <c r="A153" s="415">
        <f t="shared" si="2"/>
        <v>1248</v>
      </c>
      <c r="B153" s="419" t="str">
        <f t="shared" si="3"/>
        <v>Spring</v>
      </c>
      <c r="C153" s="455"/>
      <c r="D153" s="504"/>
      <c r="E153" s="455"/>
      <c r="F153" s="504"/>
      <c r="G153" s="455"/>
      <c r="H153" s="504"/>
      <c r="I153" s="455"/>
      <c r="J153" s="504"/>
      <c r="L153" s="472"/>
      <c r="M153" s="468"/>
      <c r="N153" s="468"/>
      <c r="O153" s="468"/>
      <c r="P153" s="468"/>
      <c r="Q153" s="473"/>
      <c r="R153" s="477" t="str">
        <f>IF(AND(COUNTIF('Start Character'!$I$63:$M$77,"Twilight Prone")=1,NOT(ISERROR(FIND("Magical Botch",M153)))),"Yes",IF(P153&gt;1,"Yes","No"))</f>
        <v>No</v>
      </c>
      <c r="S153" s="501"/>
      <c r="T153" s="478"/>
      <c r="U153" s="501"/>
      <c r="V153" s="479" t="str">
        <f>IF(R153="No","No Twilight",IF(T153="Yes","Uncomprehended Twilight",IF((Character!$B$14+IF(Character!$B$53="Yes",0,Character!$B$53)+IF(Magic!$C$5="Yes",2,0)+ROUNDUP((Magic!$B$30+IF(Magic!$C$30="Yes",3,0))/5,0)+S153)&gt;=($D$3+P153+SUMIF(Character!$I$62:$I$66,"Enigmatic Wisdom",Character!$J$62:$J$66)+Q153+U153),"No Twilight","Twilight")))</f>
        <v>No Twilight</v>
      </c>
      <c r="W153" s="483"/>
      <c r="X153" s="478"/>
      <c r="Y153" s="484"/>
      <c r="Z153" s="478"/>
      <c r="AA153" s="485" t="str">
        <f>IF(V153="Uncomprehended Twilight","Failed",IF(OR(ISBLANK(W153),ISBLANK(Y153))," ",IF(NOT(ISBLANK(X153)),"Failed",IF((W153+Character!$B$9+SUMIF(Character!$I$62:$I$66,"Enigmatic Wisdom",Character!$J$62:$J$66))&gt;=IF(Z153="Yes",0,(Y153+D148)),"Succeeded","Failed"))))</f>
        <v xml:space="preserve"> </v>
      </c>
      <c r="AB153" s="477" t="str">
        <f>IF(AA153=" "," ",IF(NOT(ISBLANK(X153)),VLOOKUP($D$3+X153,Calcs!$A$110:$C$122,3,TRUE),IF(AA153="Failed",VLOOKUP($D$3,Calcs!$A$110:$C$122,3,TRUE),VLOOKUP($D$3-(IF((Character!$B$9+W153)&gt;($D$3+Y153),(Character!$B$9+W153)-($D$3+Y153),0)),Calcs!$A$110:$C$122,3,TRUE))))</f>
        <v xml:space="preserve"> </v>
      </c>
      <c r="AC153" s="489"/>
      <c r="AD153" s="489" t="str">
        <f>IF(IF(AA153=" "," ",IF(NOT(ISBLANK(X153)),VLOOKUP($D$3+X153,Calcs!$A$110:$B$122,2,TRUE),IF(AA153="Failed",VLOOKUP($D$3,Calcs!$A$110:$B$122,2,TRUE),VLOOKUP($D$3-(IF((Character!$B$9+W153)&gt;($D$3+Y153),(Character!$B$9+W153)-($D$3+Y153),0)),Calcs!$A$110:$B$122,2,TRUE))))=Calcs!$B$120,IF(ISBLANK(AC153)," ",CONCATENATE(AC153+7," Years")),IF(AA153=" "," ",IF(NOT(ISBLANK(X153)),VLOOKUP($D$3+X153,Calcs!$A$110:$B$122,2,TRUE),IF(AA153="Failed",VLOOKUP($D$3,Calcs!$A$110:$B$122,2,TRUE),VLOOKUP($D$3-(IF((Character!$B$9+W153)&gt;($D$3+Y153),(Character!$B$9+W153)-($D$3+Y153),0)),Calcs!$A$110:$B$122,2,TRUE)))))</f>
        <v xml:space="preserve"> </v>
      </c>
      <c r="AE153" s="490"/>
      <c r="AF153" s="879"/>
      <c r="AG153" s="491"/>
    </row>
    <row r="154" spans="1:33" x14ac:dyDescent="0.2">
      <c r="A154" s="415">
        <f t="shared" si="2"/>
        <v>1248</v>
      </c>
      <c r="B154" s="419" t="str">
        <f t="shared" si="3"/>
        <v>Summer</v>
      </c>
      <c r="C154" s="455"/>
      <c r="D154" s="504"/>
      <c r="E154" s="455"/>
      <c r="F154" s="504"/>
      <c r="G154" s="455"/>
      <c r="H154" s="504"/>
      <c r="I154" s="455"/>
      <c r="J154" s="504"/>
      <c r="L154" s="472"/>
      <c r="M154" s="468"/>
      <c r="N154" s="468"/>
      <c r="O154" s="468"/>
      <c r="P154" s="468"/>
      <c r="Q154" s="473"/>
      <c r="R154" s="477" t="str">
        <f>IF(AND(COUNTIF('Start Character'!$I$63:$M$77,"Twilight Prone")=1,NOT(ISERROR(FIND("Magical Botch",M154)))),"Yes",IF(P154&gt;1,"Yes","No"))</f>
        <v>No</v>
      </c>
      <c r="S154" s="501"/>
      <c r="T154" s="478"/>
      <c r="U154" s="501"/>
      <c r="V154" s="479" t="str">
        <f>IF(R154="No","No Twilight",IF(T154="Yes","Uncomprehended Twilight",IF((Character!$B$14+IF(Character!$B$53="Yes",0,Character!$B$53)+IF(Magic!$C$5="Yes",2,0)+ROUNDUP((Magic!$B$30+IF(Magic!$C$30="Yes",3,0))/5,0)+S154)&gt;=($D$3+P154+SUMIF(Character!$I$62:$I$66,"Enigmatic Wisdom",Character!$J$62:$J$66)+Q154+U154),"No Twilight","Twilight")))</f>
        <v>No Twilight</v>
      </c>
      <c r="W154" s="483"/>
      <c r="X154" s="478"/>
      <c r="Y154" s="484"/>
      <c r="Z154" s="478"/>
      <c r="AA154" s="485" t="str">
        <f>IF(V154="Uncomprehended Twilight","Failed",IF(OR(ISBLANK(W154),ISBLANK(Y154))," ",IF(NOT(ISBLANK(X154)),"Failed",IF((W154+Character!$B$9+SUMIF(Character!$I$62:$I$66,"Enigmatic Wisdom",Character!$J$62:$J$66))&gt;=IF(Z154="Yes",0,(Y154+D149)),"Succeeded","Failed"))))</f>
        <v xml:space="preserve"> </v>
      </c>
      <c r="AB154" s="477" t="str">
        <f>IF(AA154=" "," ",IF(NOT(ISBLANK(X154)),VLOOKUP($D$3+X154,Calcs!$A$110:$C$122,3,TRUE),IF(AA154="Failed",VLOOKUP($D$3,Calcs!$A$110:$C$122,3,TRUE),VLOOKUP($D$3-(IF((Character!$B$9+W154)&gt;($D$3+Y154),(Character!$B$9+W154)-($D$3+Y154),0)),Calcs!$A$110:$C$122,3,TRUE))))</f>
        <v xml:space="preserve"> </v>
      </c>
      <c r="AC154" s="489"/>
      <c r="AD154" s="489" t="str">
        <f>IF(IF(AA154=" "," ",IF(NOT(ISBLANK(X154)),VLOOKUP($D$3+X154,Calcs!$A$110:$B$122,2,TRUE),IF(AA154="Failed",VLOOKUP($D$3,Calcs!$A$110:$B$122,2,TRUE),VLOOKUP($D$3-(IF((Character!$B$9+W154)&gt;($D$3+Y154),(Character!$B$9+W154)-($D$3+Y154),0)),Calcs!$A$110:$B$122,2,TRUE))))=Calcs!$B$120,IF(ISBLANK(AC154)," ",CONCATENATE(AC154+7," Years")),IF(AA154=" "," ",IF(NOT(ISBLANK(X154)),VLOOKUP($D$3+X154,Calcs!$A$110:$B$122,2,TRUE),IF(AA154="Failed",VLOOKUP($D$3,Calcs!$A$110:$B$122,2,TRUE),VLOOKUP($D$3-(IF((Character!$B$9+W154)&gt;($D$3+Y154),(Character!$B$9+W154)-($D$3+Y154),0)),Calcs!$A$110:$B$122,2,TRUE)))))</f>
        <v xml:space="preserve"> </v>
      </c>
      <c r="AE154" s="490"/>
      <c r="AF154" s="879"/>
      <c r="AG154" s="491"/>
    </row>
    <row r="155" spans="1:33" x14ac:dyDescent="0.2">
      <c r="A155" s="415">
        <f t="shared" si="2"/>
        <v>1248</v>
      </c>
      <c r="B155" s="419" t="str">
        <f t="shared" si="3"/>
        <v>Autumn</v>
      </c>
      <c r="C155" s="455"/>
      <c r="D155" s="504"/>
      <c r="E155" s="455"/>
      <c r="F155" s="504"/>
      <c r="G155" s="455"/>
      <c r="H155" s="504"/>
      <c r="I155" s="455"/>
      <c r="J155" s="504"/>
      <c r="L155" s="472"/>
      <c r="M155" s="468"/>
      <c r="N155" s="468"/>
      <c r="O155" s="468"/>
      <c r="P155" s="468"/>
      <c r="Q155" s="473"/>
      <c r="R155" s="477" t="str">
        <f>IF(AND(COUNTIF('Start Character'!$I$63:$M$77,"Twilight Prone")=1,NOT(ISERROR(FIND("Magical Botch",M155)))),"Yes",IF(P155&gt;1,"Yes","No"))</f>
        <v>No</v>
      </c>
      <c r="S155" s="501"/>
      <c r="T155" s="478"/>
      <c r="U155" s="501"/>
      <c r="V155" s="479" t="str">
        <f>IF(R155="No","No Twilight",IF(T155="Yes","Uncomprehended Twilight",IF((Character!$B$14+IF(Character!$B$53="Yes",0,Character!$B$53)+IF(Magic!$C$5="Yes",2,0)+ROUNDUP((Magic!$B$30+IF(Magic!$C$30="Yes",3,0))/5,0)+S155)&gt;=($D$3+P155+SUMIF(Character!$I$62:$I$66,"Enigmatic Wisdom",Character!$J$62:$J$66)+Q155+U155),"No Twilight","Twilight")))</f>
        <v>No Twilight</v>
      </c>
      <c r="W155" s="483"/>
      <c r="X155" s="478"/>
      <c r="Y155" s="484"/>
      <c r="Z155" s="478"/>
      <c r="AA155" s="485" t="str">
        <f>IF(V155="Uncomprehended Twilight","Failed",IF(OR(ISBLANK(W155),ISBLANK(Y155))," ",IF(NOT(ISBLANK(X155)),"Failed",IF((W155+Character!$B$9+SUMIF(Character!$I$62:$I$66,"Enigmatic Wisdom",Character!$J$62:$J$66))&gt;=IF(Z155="Yes",0,(Y155+D150)),"Succeeded","Failed"))))</f>
        <v xml:space="preserve"> </v>
      </c>
      <c r="AB155" s="477" t="str">
        <f>IF(AA155=" "," ",IF(NOT(ISBLANK(X155)),VLOOKUP($D$3+X155,Calcs!$A$110:$C$122,3,TRUE),IF(AA155="Failed",VLOOKUP($D$3,Calcs!$A$110:$C$122,3,TRUE),VLOOKUP($D$3-(IF((Character!$B$9+W155)&gt;($D$3+Y155),(Character!$B$9+W155)-($D$3+Y155),0)),Calcs!$A$110:$C$122,3,TRUE))))</f>
        <v xml:space="preserve"> </v>
      </c>
      <c r="AC155" s="489"/>
      <c r="AD155" s="489" t="str">
        <f>IF(IF(AA155=" "," ",IF(NOT(ISBLANK(X155)),VLOOKUP($D$3+X155,Calcs!$A$110:$B$122,2,TRUE),IF(AA155="Failed",VLOOKUP($D$3,Calcs!$A$110:$B$122,2,TRUE),VLOOKUP($D$3-(IF((Character!$B$9+W155)&gt;($D$3+Y155),(Character!$B$9+W155)-($D$3+Y155),0)),Calcs!$A$110:$B$122,2,TRUE))))=Calcs!$B$120,IF(ISBLANK(AC155)," ",CONCATENATE(AC155+7," Years")),IF(AA155=" "," ",IF(NOT(ISBLANK(X155)),VLOOKUP($D$3+X155,Calcs!$A$110:$B$122,2,TRUE),IF(AA155="Failed",VLOOKUP($D$3,Calcs!$A$110:$B$122,2,TRUE),VLOOKUP($D$3-(IF((Character!$B$9+W155)&gt;($D$3+Y155),(Character!$B$9+W155)-($D$3+Y155),0)),Calcs!$A$110:$B$122,2,TRUE)))))</f>
        <v xml:space="preserve"> </v>
      </c>
      <c r="AE155" s="490"/>
      <c r="AF155" s="879"/>
      <c r="AG155" s="491"/>
    </row>
    <row r="156" spans="1:33" x14ac:dyDescent="0.2">
      <c r="A156" s="415">
        <f t="shared" si="2"/>
        <v>1249</v>
      </c>
      <c r="B156" s="419" t="str">
        <f t="shared" si="3"/>
        <v>Winter</v>
      </c>
      <c r="C156" s="455"/>
      <c r="D156" s="504"/>
      <c r="E156" s="455"/>
      <c r="F156" s="504"/>
      <c r="G156" s="455"/>
      <c r="H156" s="504"/>
      <c r="I156" s="455"/>
      <c r="J156" s="504"/>
      <c r="L156" s="472"/>
      <c r="M156" s="468"/>
      <c r="N156" s="468"/>
      <c r="O156" s="468"/>
      <c r="P156" s="468"/>
      <c r="Q156" s="473"/>
      <c r="R156" s="477" t="str">
        <f>IF(AND(COUNTIF('Start Character'!$I$63:$M$77,"Twilight Prone")=1,NOT(ISERROR(FIND("Magical Botch",M156)))),"Yes",IF(P156&gt;1,"Yes","No"))</f>
        <v>No</v>
      </c>
      <c r="S156" s="501"/>
      <c r="T156" s="478"/>
      <c r="U156" s="501"/>
      <c r="V156" s="479" t="str">
        <f>IF(R156="No","No Twilight",IF(T156="Yes","Uncomprehended Twilight",IF((Character!$B$14+IF(Character!$B$53="Yes",0,Character!$B$53)+IF(Magic!$C$5="Yes",2,0)+ROUNDUP((Magic!$B$30+IF(Magic!$C$30="Yes",3,0))/5,0)+S156)&gt;=($D$3+P156+SUMIF(Character!$I$62:$I$66,"Enigmatic Wisdom",Character!$J$62:$J$66)+Q156+U156),"No Twilight","Twilight")))</f>
        <v>No Twilight</v>
      </c>
      <c r="W156" s="483"/>
      <c r="X156" s="478"/>
      <c r="Y156" s="484"/>
      <c r="Z156" s="478"/>
      <c r="AA156" s="485" t="str">
        <f>IF(V156="Uncomprehended Twilight","Failed",IF(OR(ISBLANK(W156),ISBLANK(Y156))," ",IF(NOT(ISBLANK(X156)),"Failed",IF((W156+Character!$B$9+SUMIF(Character!$I$62:$I$66,"Enigmatic Wisdom",Character!$J$62:$J$66))&gt;=IF(Z156="Yes",0,(Y156+D151)),"Succeeded","Failed"))))</f>
        <v xml:space="preserve"> </v>
      </c>
      <c r="AB156" s="477" t="str">
        <f>IF(AA156=" "," ",IF(NOT(ISBLANK(X156)),VLOOKUP($D$3+X156,Calcs!$A$110:$C$122,3,TRUE),IF(AA156="Failed",VLOOKUP($D$3,Calcs!$A$110:$C$122,3,TRUE),VLOOKUP($D$3-(IF((Character!$B$9+W156)&gt;($D$3+Y156),(Character!$B$9+W156)-($D$3+Y156),0)),Calcs!$A$110:$C$122,3,TRUE))))</f>
        <v xml:space="preserve"> </v>
      </c>
      <c r="AC156" s="489"/>
      <c r="AD156" s="489" t="str">
        <f>IF(IF(AA156=" "," ",IF(NOT(ISBLANK(X156)),VLOOKUP($D$3+X156,Calcs!$A$110:$B$122,2,TRUE),IF(AA156="Failed",VLOOKUP($D$3,Calcs!$A$110:$B$122,2,TRUE),VLOOKUP($D$3-(IF((Character!$B$9+W156)&gt;($D$3+Y156),(Character!$B$9+W156)-($D$3+Y156),0)),Calcs!$A$110:$B$122,2,TRUE))))=Calcs!$B$120,IF(ISBLANK(AC156)," ",CONCATENATE(AC156+7," Years")),IF(AA156=" "," ",IF(NOT(ISBLANK(X156)),VLOOKUP($D$3+X156,Calcs!$A$110:$B$122,2,TRUE),IF(AA156="Failed",VLOOKUP($D$3,Calcs!$A$110:$B$122,2,TRUE),VLOOKUP($D$3-(IF((Character!$B$9+W156)&gt;($D$3+Y156),(Character!$B$9+W156)-($D$3+Y156),0)),Calcs!$A$110:$B$122,2,TRUE)))))</f>
        <v xml:space="preserve"> </v>
      </c>
      <c r="AE156" s="490"/>
      <c r="AF156" s="879"/>
      <c r="AG156" s="491"/>
    </row>
    <row r="157" spans="1:33" x14ac:dyDescent="0.2">
      <c r="A157" s="415">
        <f t="shared" ref="A157:A220" si="4">IF(B156="Autumn",A156+1,A156)</f>
        <v>1249</v>
      </c>
      <c r="B157" s="419" t="str">
        <f t="shared" ref="B157:B220" si="5">IF(B156="spring","Summer",IF(B156="Summer","Autumn",IF(B156="Autumn","Winter",IF(B156="Winter","Spring"," "))))</f>
        <v>Spring</v>
      </c>
      <c r="C157" s="455"/>
      <c r="D157" s="504"/>
      <c r="E157" s="455"/>
      <c r="F157" s="504"/>
      <c r="G157" s="455"/>
      <c r="H157" s="504"/>
      <c r="I157" s="455"/>
      <c r="J157" s="504"/>
      <c r="L157" s="472"/>
      <c r="M157" s="468"/>
      <c r="N157" s="468"/>
      <c r="O157" s="468"/>
      <c r="P157" s="468"/>
      <c r="Q157" s="473"/>
      <c r="R157" s="477" t="str">
        <f>IF(AND(COUNTIF('Start Character'!$I$63:$M$77,"Twilight Prone")=1,NOT(ISERROR(FIND("Magical Botch",M157)))),"Yes",IF(P157&gt;1,"Yes","No"))</f>
        <v>No</v>
      </c>
      <c r="S157" s="501"/>
      <c r="T157" s="478"/>
      <c r="U157" s="501"/>
      <c r="V157" s="479" t="str">
        <f>IF(R157="No","No Twilight",IF(T157="Yes","Uncomprehended Twilight",IF((Character!$B$14+IF(Character!$B$53="Yes",0,Character!$B$53)+IF(Magic!$C$5="Yes",2,0)+ROUNDUP((Magic!$B$30+IF(Magic!$C$30="Yes",3,0))/5,0)+S157)&gt;=($D$3+P157+SUMIF(Character!$I$62:$I$66,"Enigmatic Wisdom",Character!$J$62:$J$66)+Q157+U157),"No Twilight","Twilight")))</f>
        <v>No Twilight</v>
      </c>
      <c r="W157" s="483"/>
      <c r="X157" s="478"/>
      <c r="Y157" s="484"/>
      <c r="Z157" s="478"/>
      <c r="AA157" s="485" t="str">
        <f>IF(V157="Uncomprehended Twilight","Failed",IF(OR(ISBLANK(W157),ISBLANK(Y157))," ",IF(NOT(ISBLANK(X157)),"Failed",IF((W157+Character!$B$9+SUMIF(Character!$I$62:$I$66,"Enigmatic Wisdom",Character!$J$62:$J$66))&gt;=IF(Z157="Yes",0,(Y157+D152)),"Succeeded","Failed"))))</f>
        <v xml:space="preserve"> </v>
      </c>
      <c r="AB157" s="477" t="str">
        <f>IF(AA157=" "," ",IF(NOT(ISBLANK(X157)),VLOOKUP($D$3+X157,Calcs!$A$110:$C$122,3,TRUE),IF(AA157="Failed",VLOOKUP($D$3,Calcs!$A$110:$C$122,3,TRUE),VLOOKUP($D$3-(IF((Character!$B$9+W157)&gt;($D$3+Y157),(Character!$B$9+W157)-($D$3+Y157),0)),Calcs!$A$110:$C$122,3,TRUE))))</f>
        <v xml:space="preserve"> </v>
      </c>
      <c r="AC157" s="489"/>
      <c r="AD157" s="489" t="str">
        <f>IF(IF(AA157=" "," ",IF(NOT(ISBLANK(X157)),VLOOKUP($D$3+X157,Calcs!$A$110:$B$122,2,TRUE),IF(AA157="Failed",VLOOKUP($D$3,Calcs!$A$110:$B$122,2,TRUE),VLOOKUP($D$3-(IF((Character!$B$9+W157)&gt;($D$3+Y157),(Character!$B$9+W157)-($D$3+Y157),0)),Calcs!$A$110:$B$122,2,TRUE))))=Calcs!$B$120,IF(ISBLANK(AC157)," ",CONCATENATE(AC157+7," Years")),IF(AA157=" "," ",IF(NOT(ISBLANK(X157)),VLOOKUP($D$3+X157,Calcs!$A$110:$B$122,2,TRUE),IF(AA157="Failed",VLOOKUP($D$3,Calcs!$A$110:$B$122,2,TRUE),VLOOKUP($D$3-(IF((Character!$B$9+W157)&gt;($D$3+Y157),(Character!$B$9+W157)-($D$3+Y157),0)),Calcs!$A$110:$B$122,2,TRUE)))))</f>
        <v xml:space="preserve"> </v>
      </c>
      <c r="AE157" s="490"/>
      <c r="AF157" s="879"/>
      <c r="AG157" s="491"/>
    </row>
    <row r="158" spans="1:33" x14ac:dyDescent="0.2">
      <c r="A158" s="415">
        <f t="shared" si="4"/>
        <v>1249</v>
      </c>
      <c r="B158" s="419" t="str">
        <f t="shared" si="5"/>
        <v>Summer</v>
      </c>
      <c r="C158" s="455"/>
      <c r="D158" s="504"/>
      <c r="E158" s="455"/>
      <c r="F158" s="504"/>
      <c r="G158" s="455"/>
      <c r="H158" s="504"/>
      <c r="I158" s="455"/>
      <c r="J158" s="504"/>
      <c r="L158" s="472"/>
      <c r="M158" s="468"/>
      <c r="N158" s="468"/>
      <c r="O158" s="468"/>
      <c r="P158" s="468"/>
      <c r="Q158" s="473"/>
      <c r="R158" s="477" t="str">
        <f>IF(AND(COUNTIF('Start Character'!$I$63:$M$77,"Twilight Prone")=1,NOT(ISERROR(FIND("Magical Botch",M158)))),"Yes",IF(P158&gt;1,"Yes","No"))</f>
        <v>No</v>
      </c>
      <c r="S158" s="501"/>
      <c r="T158" s="478"/>
      <c r="U158" s="501"/>
      <c r="V158" s="479" t="str">
        <f>IF(R158="No","No Twilight",IF(T158="Yes","Uncomprehended Twilight",IF((Character!$B$14+IF(Character!$B$53="Yes",0,Character!$B$53)+IF(Magic!$C$5="Yes",2,0)+ROUNDUP((Magic!$B$30+IF(Magic!$C$30="Yes",3,0))/5,0)+S158)&gt;=($D$3+P158+SUMIF(Character!$I$62:$I$66,"Enigmatic Wisdom",Character!$J$62:$J$66)+Q158+U158),"No Twilight","Twilight")))</f>
        <v>No Twilight</v>
      </c>
      <c r="W158" s="483"/>
      <c r="X158" s="478"/>
      <c r="Y158" s="484"/>
      <c r="Z158" s="478"/>
      <c r="AA158" s="485" t="str">
        <f>IF(V158="Uncomprehended Twilight","Failed",IF(OR(ISBLANK(W158),ISBLANK(Y158))," ",IF(NOT(ISBLANK(X158)),"Failed",IF((W158+Character!$B$9+SUMIF(Character!$I$62:$I$66,"Enigmatic Wisdom",Character!$J$62:$J$66))&gt;=IF(Z158="Yes",0,(Y158+D153)),"Succeeded","Failed"))))</f>
        <v xml:space="preserve"> </v>
      </c>
      <c r="AB158" s="477" t="str">
        <f>IF(AA158=" "," ",IF(NOT(ISBLANK(X158)),VLOOKUP($D$3+X158,Calcs!$A$110:$C$122,3,TRUE),IF(AA158="Failed",VLOOKUP($D$3,Calcs!$A$110:$C$122,3,TRUE),VLOOKUP($D$3-(IF((Character!$B$9+W158)&gt;($D$3+Y158),(Character!$B$9+W158)-($D$3+Y158),0)),Calcs!$A$110:$C$122,3,TRUE))))</f>
        <v xml:space="preserve"> </v>
      </c>
      <c r="AC158" s="489"/>
      <c r="AD158" s="489" t="str">
        <f>IF(IF(AA158=" "," ",IF(NOT(ISBLANK(X158)),VLOOKUP($D$3+X158,Calcs!$A$110:$B$122,2,TRUE),IF(AA158="Failed",VLOOKUP($D$3,Calcs!$A$110:$B$122,2,TRUE),VLOOKUP($D$3-(IF((Character!$B$9+W158)&gt;($D$3+Y158),(Character!$B$9+W158)-($D$3+Y158),0)),Calcs!$A$110:$B$122,2,TRUE))))=Calcs!$B$120,IF(ISBLANK(AC158)," ",CONCATENATE(AC158+7," Years")),IF(AA158=" "," ",IF(NOT(ISBLANK(X158)),VLOOKUP($D$3+X158,Calcs!$A$110:$B$122,2,TRUE),IF(AA158="Failed",VLOOKUP($D$3,Calcs!$A$110:$B$122,2,TRUE),VLOOKUP($D$3-(IF((Character!$B$9+W158)&gt;($D$3+Y158),(Character!$B$9+W158)-($D$3+Y158),0)),Calcs!$A$110:$B$122,2,TRUE)))))</f>
        <v xml:space="preserve"> </v>
      </c>
      <c r="AE158" s="490"/>
      <c r="AF158" s="879"/>
      <c r="AG158" s="491"/>
    </row>
    <row r="159" spans="1:33" x14ac:dyDescent="0.2">
      <c r="A159" s="415">
        <f t="shared" si="4"/>
        <v>1249</v>
      </c>
      <c r="B159" s="419" t="str">
        <f t="shared" si="5"/>
        <v>Autumn</v>
      </c>
      <c r="C159" s="455"/>
      <c r="D159" s="504"/>
      <c r="E159" s="455"/>
      <c r="F159" s="504"/>
      <c r="G159" s="455"/>
      <c r="H159" s="504"/>
      <c r="I159" s="455"/>
      <c r="J159" s="504"/>
      <c r="L159" s="472"/>
      <c r="M159" s="468"/>
      <c r="N159" s="468"/>
      <c r="O159" s="468"/>
      <c r="P159" s="468"/>
      <c r="Q159" s="473"/>
      <c r="R159" s="477" t="str">
        <f>IF(AND(COUNTIF('Start Character'!$I$63:$M$77,"Twilight Prone")=1,NOT(ISERROR(FIND("Magical Botch",M159)))),"Yes",IF(P159&gt;1,"Yes","No"))</f>
        <v>No</v>
      </c>
      <c r="S159" s="501"/>
      <c r="T159" s="478"/>
      <c r="U159" s="501"/>
      <c r="V159" s="479" t="str">
        <f>IF(R159="No","No Twilight",IF(T159="Yes","Uncomprehended Twilight",IF((Character!$B$14+IF(Character!$B$53="Yes",0,Character!$B$53)+IF(Magic!$C$5="Yes",2,0)+ROUNDUP((Magic!$B$30+IF(Magic!$C$30="Yes",3,0))/5,0)+S159)&gt;=($D$3+P159+SUMIF(Character!$I$62:$I$66,"Enigmatic Wisdom",Character!$J$62:$J$66)+Q159+U159),"No Twilight","Twilight")))</f>
        <v>No Twilight</v>
      </c>
      <c r="W159" s="483"/>
      <c r="X159" s="478"/>
      <c r="Y159" s="484"/>
      <c r="Z159" s="478"/>
      <c r="AA159" s="485" t="str">
        <f>IF(V159="Uncomprehended Twilight","Failed",IF(OR(ISBLANK(W159),ISBLANK(Y159))," ",IF(NOT(ISBLANK(X159)),"Failed",IF((W159+Character!$B$9+SUMIF(Character!$I$62:$I$66,"Enigmatic Wisdom",Character!$J$62:$J$66))&gt;=IF(Z159="Yes",0,(Y159+D154)),"Succeeded","Failed"))))</f>
        <v xml:space="preserve"> </v>
      </c>
      <c r="AB159" s="477" t="str">
        <f>IF(AA159=" "," ",IF(NOT(ISBLANK(X159)),VLOOKUP($D$3+X159,Calcs!$A$110:$C$122,3,TRUE),IF(AA159="Failed",VLOOKUP($D$3,Calcs!$A$110:$C$122,3,TRUE),VLOOKUP($D$3-(IF((Character!$B$9+W159)&gt;($D$3+Y159),(Character!$B$9+W159)-($D$3+Y159),0)),Calcs!$A$110:$C$122,3,TRUE))))</f>
        <v xml:space="preserve"> </v>
      </c>
      <c r="AC159" s="489"/>
      <c r="AD159" s="489" t="str">
        <f>IF(IF(AA159=" "," ",IF(NOT(ISBLANK(X159)),VLOOKUP($D$3+X159,Calcs!$A$110:$B$122,2,TRUE),IF(AA159="Failed",VLOOKUP($D$3,Calcs!$A$110:$B$122,2,TRUE),VLOOKUP($D$3-(IF((Character!$B$9+W159)&gt;($D$3+Y159),(Character!$B$9+W159)-($D$3+Y159),0)),Calcs!$A$110:$B$122,2,TRUE))))=Calcs!$B$120,IF(ISBLANK(AC159)," ",CONCATENATE(AC159+7," Years")),IF(AA159=" "," ",IF(NOT(ISBLANK(X159)),VLOOKUP($D$3+X159,Calcs!$A$110:$B$122,2,TRUE),IF(AA159="Failed",VLOOKUP($D$3,Calcs!$A$110:$B$122,2,TRUE),VLOOKUP($D$3-(IF((Character!$B$9+W159)&gt;($D$3+Y159),(Character!$B$9+W159)-($D$3+Y159),0)),Calcs!$A$110:$B$122,2,TRUE)))))</f>
        <v xml:space="preserve"> </v>
      </c>
      <c r="AE159" s="490"/>
      <c r="AF159" s="879"/>
      <c r="AG159" s="491"/>
    </row>
    <row r="160" spans="1:33" x14ac:dyDescent="0.2">
      <c r="A160" s="415">
        <f t="shared" si="4"/>
        <v>1250</v>
      </c>
      <c r="B160" s="419" t="str">
        <f t="shared" si="5"/>
        <v>Winter</v>
      </c>
      <c r="C160" s="455"/>
      <c r="D160" s="504"/>
      <c r="E160" s="455"/>
      <c r="F160" s="504"/>
      <c r="G160" s="455"/>
      <c r="H160" s="504"/>
      <c r="I160" s="455"/>
      <c r="J160" s="504"/>
      <c r="L160" s="472"/>
      <c r="M160" s="468"/>
      <c r="N160" s="468"/>
      <c r="O160" s="468"/>
      <c r="P160" s="468"/>
      <c r="Q160" s="473"/>
      <c r="R160" s="477" t="str">
        <f>IF(AND(COUNTIF('Start Character'!$I$63:$M$77,"Twilight Prone")=1,NOT(ISERROR(FIND("Magical Botch",M160)))),"Yes",IF(P160&gt;1,"Yes","No"))</f>
        <v>No</v>
      </c>
      <c r="S160" s="501"/>
      <c r="T160" s="478"/>
      <c r="U160" s="501"/>
      <c r="V160" s="479" t="str">
        <f>IF(R160="No","No Twilight",IF(T160="Yes","Uncomprehended Twilight",IF((Character!$B$14+IF(Character!$B$53="Yes",0,Character!$B$53)+IF(Magic!$C$5="Yes",2,0)+ROUNDUP((Magic!$B$30+IF(Magic!$C$30="Yes",3,0))/5,0)+S160)&gt;=($D$3+P160+SUMIF(Character!$I$62:$I$66,"Enigmatic Wisdom",Character!$J$62:$J$66)+Q160+U160),"No Twilight","Twilight")))</f>
        <v>No Twilight</v>
      </c>
      <c r="W160" s="483"/>
      <c r="X160" s="478"/>
      <c r="Y160" s="484"/>
      <c r="Z160" s="478"/>
      <c r="AA160" s="485" t="str">
        <f>IF(V160="Uncomprehended Twilight","Failed",IF(OR(ISBLANK(W160),ISBLANK(Y160))," ",IF(NOT(ISBLANK(X160)),"Failed",IF((W160+Character!$B$9+SUMIF(Character!$I$62:$I$66,"Enigmatic Wisdom",Character!$J$62:$J$66))&gt;=IF(Z160="Yes",0,(Y160+D155)),"Succeeded","Failed"))))</f>
        <v xml:space="preserve"> </v>
      </c>
      <c r="AB160" s="477" t="str">
        <f>IF(AA160=" "," ",IF(NOT(ISBLANK(X160)),VLOOKUP($D$3+X160,Calcs!$A$110:$C$122,3,TRUE),IF(AA160="Failed",VLOOKUP($D$3,Calcs!$A$110:$C$122,3,TRUE),VLOOKUP($D$3-(IF((Character!$B$9+W160)&gt;($D$3+Y160),(Character!$B$9+W160)-($D$3+Y160),0)),Calcs!$A$110:$C$122,3,TRUE))))</f>
        <v xml:space="preserve"> </v>
      </c>
      <c r="AC160" s="489"/>
      <c r="AD160" s="489" t="str">
        <f>IF(IF(AA160=" "," ",IF(NOT(ISBLANK(X160)),VLOOKUP($D$3+X160,Calcs!$A$110:$B$122,2,TRUE),IF(AA160="Failed",VLOOKUP($D$3,Calcs!$A$110:$B$122,2,TRUE),VLOOKUP($D$3-(IF((Character!$B$9+W160)&gt;($D$3+Y160),(Character!$B$9+W160)-($D$3+Y160),0)),Calcs!$A$110:$B$122,2,TRUE))))=Calcs!$B$120,IF(ISBLANK(AC160)," ",CONCATENATE(AC160+7," Years")),IF(AA160=" "," ",IF(NOT(ISBLANK(X160)),VLOOKUP($D$3+X160,Calcs!$A$110:$B$122,2,TRUE),IF(AA160="Failed",VLOOKUP($D$3,Calcs!$A$110:$B$122,2,TRUE),VLOOKUP($D$3-(IF((Character!$B$9+W160)&gt;($D$3+Y160),(Character!$B$9+W160)-($D$3+Y160),0)),Calcs!$A$110:$B$122,2,TRUE)))))</f>
        <v xml:space="preserve"> </v>
      </c>
      <c r="AE160" s="490"/>
      <c r="AF160" s="879"/>
      <c r="AG160" s="491"/>
    </row>
    <row r="161" spans="1:33" x14ac:dyDescent="0.2">
      <c r="A161" s="415">
        <f t="shared" si="4"/>
        <v>1250</v>
      </c>
      <c r="B161" s="419" t="str">
        <f t="shared" si="5"/>
        <v>Spring</v>
      </c>
      <c r="C161" s="455"/>
      <c r="D161" s="504"/>
      <c r="E161" s="455"/>
      <c r="F161" s="504"/>
      <c r="G161" s="455"/>
      <c r="H161" s="504"/>
      <c r="I161" s="455"/>
      <c r="J161" s="504"/>
      <c r="L161" s="472"/>
      <c r="M161" s="468"/>
      <c r="N161" s="468"/>
      <c r="O161" s="468"/>
      <c r="P161" s="468"/>
      <c r="Q161" s="473"/>
      <c r="R161" s="477" t="str">
        <f>IF(AND(COUNTIF('Start Character'!$I$63:$M$77,"Twilight Prone")=1,NOT(ISERROR(FIND("Magical Botch",M161)))),"Yes",IF(P161&gt;1,"Yes","No"))</f>
        <v>No</v>
      </c>
      <c r="S161" s="501"/>
      <c r="T161" s="478"/>
      <c r="U161" s="501"/>
      <c r="V161" s="479" t="str">
        <f>IF(R161="No","No Twilight",IF(T161="Yes","Uncomprehended Twilight",IF((Character!$B$14+IF(Character!$B$53="Yes",0,Character!$B$53)+IF(Magic!$C$5="Yes",2,0)+ROUNDUP((Magic!$B$30+IF(Magic!$C$30="Yes",3,0))/5,0)+S161)&gt;=($D$3+P161+SUMIF(Character!$I$62:$I$66,"Enigmatic Wisdom",Character!$J$62:$J$66)+Q161+U161),"No Twilight","Twilight")))</f>
        <v>No Twilight</v>
      </c>
      <c r="W161" s="483"/>
      <c r="X161" s="478"/>
      <c r="Y161" s="484"/>
      <c r="Z161" s="478"/>
      <c r="AA161" s="485" t="str">
        <f>IF(V161="Uncomprehended Twilight","Failed",IF(OR(ISBLANK(W161),ISBLANK(Y161))," ",IF(NOT(ISBLANK(X161)),"Failed",IF((W161+Character!$B$9+SUMIF(Character!$I$62:$I$66,"Enigmatic Wisdom",Character!$J$62:$J$66))&gt;=IF(Z161="Yes",0,(Y161+D156)),"Succeeded","Failed"))))</f>
        <v xml:space="preserve"> </v>
      </c>
      <c r="AB161" s="477" t="str">
        <f>IF(AA161=" "," ",IF(NOT(ISBLANK(X161)),VLOOKUP($D$3+X161,Calcs!$A$110:$C$122,3,TRUE),IF(AA161="Failed",VLOOKUP($D$3,Calcs!$A$110:$C$122,3,TRUE),VLOOKUP($D$3-(IF((Character!$B$9+W161)&gt;($D$3+Y161),(Character!$B$9+W161)-($D$3+Y161),0)),Calcs!$A$110:$C$122,3,TRUE))))</f>
        <v xml:space="preserve"> </v>
      </c>
      <c r="AC161" s="489"/>
      <c r="AD161" s="489" t="str">
        <f>IF(IF(AA161=" "," ",IF(NOT(ISBLANK(X161)),VLOOKUP($D$3+X161,Calcs!$A$110:$B$122,2,TRUE),IF(AA161="Failed",VLOOKUP($D$3,Calcs!$A$110:$B$122,2,TRUE),VLOOKUP($D$3-(IF((Character!$B$9+W161)&gt;($D$3+Y161),(Character!$B$9+W161)-($D$3+Y161),0)),Calcs!$A$110:$B$122,2,TRUE))))=Calcs!$B$120,IF(ISBLANK(AC161)," ",CONCATENATE(AC161+7," Years")),IF(AA161=" "," ",IF(NOT(ISBLANK(X161)),VLOOKUP($D$3+X161,Calcs!$A$110:$B$122,2,TRUE),IF(AA161="Failed",VLOOKUP($D$3,Calcs!$A$110:$B$122,2,TRUE),VLOOKUP($D$3-(IF((Character!$B$9+W161)&gt;($D$3+Y161),(Character!$B$9+W161)-($D$3+Y161),0)),Calcs!$A$110:$B$122,2,TRUE)))))</f>
        <v xml:space="preserve"> </v>
      </c>
      <c r="AE161" s="490"/>
      <c r="AF161" s="879"/>
      <c r="AG161" s="491"/>
    </row>
    <row r="162" spans="1:33" x14ac:dyDescent="0.2">
      <c r="A162" s="415">
        <f t="shared" si="4"/>
        <v>1250</v>
      </c>
      <c r="B162" s="419" t="str">
        <f t="shared" si="5"/>
        <v>Summer</v>
      </c>
      <c r="C162" s="455"/>
      <c r="D162" s="504"/>
      <c r="E162" s="455"/>
      <c r="F162" s="504"/>
      <c r="G162" s="455"/>
      <c r="H162" s="504"/>
      <c r="I162" s="455"/>
      <c r="J162" s="504"/>
      <c r="L162" s="472"/>
      <c r="M162" s="468"/>
      <c r="N162" s="468"/>
      <c r="O162" s="468"/>
      <c r="P162" s="468"/>
      <c r="Q162" s="473"/>
      <c r="R162" s="477" t="str">
        <f>IF(AND(COUNTIF('Start Character'!$I$63:$M$77,"Twilight Prone")=1,NOT(ISERROR(FIND("Magical Botch",M162)))),"Yes",IF(P162&gt;1,"Yes","No"))</f>
        <v>No</v>
      </c>
      <c r="S162" s="501"/>
      <c r="T162" s="478"/>
      <c r="U162" s="501"/>
      <c r="V162" s="479" t="str">
        <f>IF(R162="No","No Twilight",IF(T162="Yes","Uncomprehended Twilight",IF((Character!$B$14+IF(Character!$B$53="Yes",0,Character!$B$53)+IF(Magic!$C$5="Yes",2,0)+ROUNDUP((Magic!$B$30+IF(Magic!$C$30="Yes",3,0))/5,0)+S162)&gt;=($D$3+P162+SUMIF(Character!$I$62:$I$66,"Enigmatic Wisdom",Character!$J$62:$J$66)+Q162+U162),"No Twilight","Twilight")))</f>
        <v>No Twilight</v>
      </c>
      <c r="W162" s="483"/>
      <c r="X162" s="478"/>
      <c r="Y162" s="484"/>
      <c r="Z162" s="478"/>
      <c r="AA162" s="485" t="str">
        <f>IF(V162="Uncomprehended Twilight","Failed",IF(OR(ISBLANK(W162),ISBLANK(Y162))," ",IF(NOT(ISBLANK(X162)),"Failed",IF((W162+Character!$B$9+SUMIF(Character!$I$62:$I$66,"Enigmatic Wisdom",Character!$J$62:$J$66))&gt;=IF(Z162="Yes",0,(Y162+D157)),"Succeeded","Failed"))))</f>
        <v xml:space="preserve"> </v>
      </c>
      <c r="AB162" s="477" t="str">
        <f>IF(AA162=" "," ",IF(NOT(ISBLANK(X162)),VLOOKUP($D$3+X162,Calcs!$A$110:$C$122,3,TRUE),IF(AA162="Failed",VLOOKUP($D$3,Calcs!$A$110:$C$122,3,TRUE),VLOOKUP($D$3-(IF((Character!$B$9+W162)&gt;($D$3+Y162),(Character!$B$9+W162)-($D$3+Y162),0)),Calcs!$A$110:$C$122,3,TRUE))))</f>
        <v xml:space="preserve"> </v>
      </c>
      <c r="AC162" s="489"/>
      <c r="AD162" s="489" t="str">
        <f>IF(IF(AA162=" "," ",IF(NOT(ISBLANK(X162)),VLOOKUP($D$3+X162,Calcs!$A$110:$B$122,2,TRUE),IF(AA162="Failed",VLOOKUP($D$3,Calcs!$A$110:$B$122,2,TRUE),VLOOKUP($D$3-(IF((Character!$B$9+W162)&gt;($D$3+Y162),(Character!$B$9+W162)-($D$3+Y162),0)),Calcs!$A$110:$B$122,2,TRUE))))=Calcs!$B$120,IF(ISBLANK(AC162)," ",CONCATENATE(AC162+7," Years")),IF(AA162=" "," ",IF(NOT(ISBLANK(X162)),VLOOKUP($D$3+X162,Calcs!$A$110:$B$122,2,TRUE),IF(AA162="Failed",VLOOKUP($D$3,Calcs!$A$110:$B$122,2,TRUE),VLOOKUP($D$3-(IF((Character!$B$9+W162)&gt;($D$3+Y162),(Character!$B$9+W162)-($D$3+Y162),0)),Calcs!$A$110:$B$122,2,TRUE)))))</f>
        <v xml:space="preserve"> </v>
      </c>
      <c r="AE162" s="490"/>
      <c r="AF162" s="879"/>
      <c r="AG162" s="491"/>
    </row>
    <row r="163" spans="1:33" x14ac:dyDescent="0.2">
      <c r="A163" s="415">
        <f t="shared" si="4"/>
        <v>1250</v>
      </c>
      <c r="B163" s="419" t="str">
        <f t="shared" si="5"/>
        <v>Autumn</v>
      </c>
      <c r="C163" s="455"/>
      <c r="D163" s="504"/>
      <c r="E163" s="455"/>
      <c r="F163" s="504"/>
      <c r="G163" s="455"/>
      <c r="H163" s="504"/>
      <c r="I163" s="455"/>
      <c r="J163" s="504"/>
      <c r="L163" s="472"/>
      <c r="M163" s="468"/>
      <c r="N163" s="468"/>
      <c r="O163" s="468"/>
      <c r="P163" s="468"/>
      <c r="Q163" s="473"/>
      <c r="R163" s="477" t="str">
        <f>IF(AND(COUNTIF('Start Character'!$I$63:$M$77,"Twilight Prone")=1,NOT(ISERROR(FIND("Magical Botch",M163)))),"Yes",IF(P163&gt;1,"Yes","No"))</f>
        <v>No</v>
      </c>
      <c r="S163" s="501"/>
      <c r="T163" s="478"/>
      <c r="U163" s="501"/>
      <c r="V163" s="479" t="str">
        <f>IF(R163="No","No Twilight",IF(T163="Yes","Uncomprehended Twilight",IF((Character!$B$14+IF(Character!$B$53="Yes",0,Character!$B$53)+IF(Magic!$C$5="Yes",2,0)+ROUNDUP((Magic!$B$30+IF(Magic!$C$30="Yes",3,0))/5,0)+S163)&gt;=($D$3+P163+SUMIF(Character!$I$62:$I$66,"Enigmatic Wisdom",Character!$J$62:$J$66)+Q163+U163),"No Twilight","Twilight")))</f>
        <v>No Twilight</v>
      </c>
      <c r="W163" s="483"/>
      <c r="X163" s="478"/>
      <c r="Y163" s="484"/>
      <c r="Z163" s="478"/>
      <c r="AA163" s="485" t="str">
        <f>IF(V163="Uncomprehended Twilight","Failed",IF(OR(ISBLANK(W163),ISBLANK(Y163))," ",IF(NOT(ISBLANK(X163)),"Failed",IF((W163+Character!$B$9+SUMIF(Character!$I$62:$I$66,"Enigmatic Wisdom",Character!$J$62:$J$66))&gt;=IF(Z163="Yes",0,(Y163+D158)),"Succeeded","Failed"))))</f>
        <v xml:space="preserve"> </v>
      </c>
      <c r="AB163" s="477" t="str">
        <f>IF(AA163=" "," ",IF(NOT(ISBLANK(X163)),VLOOKUP($D$3+X163,Calcs!$A$110:$C$122,3,TRUE),IF(AA163="Failed",VLOOKUP($D$3,Calcs!$A$110:$C$122,3,TRUE),VLOOKUP($D$3-(IF((Character!$B$9+W163)&gt;($D$3+Y163),(Character!$B$9+W163)-($D$3+Y163),0)),Calcs!$A$110:$C$122,3,TRUE))))</f>
        <v xml:space="preserve"> </v>
      </c>
      <c r="AC163" s="489"/>
      <c r="AD163" s="489" t="str">
        <f>IF(IF(AA163=" "," ",IF(NOT(ISBLANK(X163)),VLOOKUP($D$3+X163,Calcs!$A$110:$B$122,2,TRUE),IF(AA163="Failed",VLOOKUP($D$3,Calcs!$A$110:$B$122,2,TRUE),VLOOKUP($D$3-(IF((Character!$B$9+W163)&gt;($D$3+Y163),(Character!$B$9+W163)-($D$3+Y163),0)),Calcs!$A$110:$B$122,2,TRUE))))=Calcs!$B$120,IF(ISBLANK(AC163)," ",CONCATENATE(AC163+7," Years")),IF(AA163=" "," ",IF(NOT(ISBLANK(X163)),VLOOKUP($D$3+X163,Calcs!$A$110:$B$122,2,TRUE),IF(AA163="Failed",VLOOKUP($D$3,Calcs!$A$110:$B$122,2,TRUE),VLOOKUP($D$3-(IF((Character!$B$9+W163)&gt;($D$3+Y163),(Character!$B$9+W163)-($D$3+Y163),0)),Calcs!$A$110:$B$122,2,TRUE)))))</f>
        <v xml:space="preserve"> </v>
      </c>
      <c r="AE163" s="490"/>
      <c r="AF163" s="879"/>
      <c r="AG163" s="491"/>
    </row>
    <row r="164" spans="1:33" x14ac:dyDescent="0.2">
      <c r="A164" s="415">
        <f t="shared" si="4"/>
        <v>1251</v>
      </c>
      <c r="B164" s="419" t="str">
        <f t="shared" si="5"/>
        <v>Winter</v>
      </c>
      <c r="C164" s="455"/>
      <c r="D164" s="504"/>
      <c r="E164" s="455"/>
      <c r="F164" s="504"/>
      <c r="G164" s="455"/>
      <c r="H164" s="504"/>
      <c r="I164" s="455"/>
      <c r="J164" s="504"/>
      <c r="L164" s="472"/>
      <c r="M164" s="468"/>
      <c r="N164" s="468"/>
      <c r="O164" s="468"/>
      <c r="P164" s="468"/>
      <c r="Q164" s="473"/>
      <c r="R164" s="477" t="str">
        <f>IF(AND(COUNTIF('Start Character'!$I$63:$M$77,"Twilight Prone")=1,NOT(ISERROR(FIND("Magical Botch",M164)))),"Yes",IF(P164&gt;1,"Yes","No"))</f>
        <v>No</v>
      </c>
      <c r="S164" s="501"/>
      <c r="T164" s="478"/>
      <c r="U164" s="501"/>
      <c r="V164" s="479" t="str">
        <f>IF(R164="No","No Twilight",IF(T164="Yes","Uncomprehended Twilight",IF((Character!$B$14+IF(Character!$B$53="Yes",0,Character!$B$53)+IF(Magic!$C$5="Yes",2,0)+ROUNDUP((Magic!$B$30+IF(Magic!$C$30="Yes",3,0))/5,0)+S164)&gt;=($D$3+P164+SUMIF(Character!$I$62:$I$66,"Enigmatic Wisdom",Character!$J$62:$J$66)+Q164+U164),"No Twilight","Twilight")))</f>
        <v>No Twilight</v>
      </c>
      <c r="W164" s="483"/>
      <c r="X164" s="478"/>
      <c r="Y164" s="484"/>
      <c r="Z164" s="478"/>
      <c r="AA164" s="485" t="str">
        <f>IF(V164="Uncomprehended Twilight","Failed",IF(OR(ISBLANK(W164),ISBLANK(Y164))," ",IF(NOT(ISBLANK(X164)),"Failed",IF((W164+Character!$B$9+SUMIF(Character!$I$62:$I$66,"Enigmatic Wisdom",Character!$J$62:$J$66))&gt;=IF(Z164="Yes",0,(Y164+D159)),"Succeeded","Failed"))))</f>
        <v xml:space="preserve"> </v>
      </c>
      <c r="AB164" s="477" t="str">
        <f>IF(AA164=" "," ",IF(NOT(ISBLANK(X164)),VLOOKUP($D$3+X164,Calcs!$A$110:$C$122,3,TRUE),IF(AA164="Failed",VLOOKUP($D$3,Calcs!$A$110:$C$122,3,TRUE),VLOOKUP($D$3-(IF((Character!$B$9+W164)&gt;($D$3+Y164),(Character!$B$9+W164)-($D$3+Y164),0)),Calcs!$A$110:$C$122,3,TRUE))))</f>
        <v xml:space="preserve"> </v>
      </c>
      <c r="AC164" s="489"/>
      <c r="AD164" s="489" t="str">
        <f>IF(IF(AA164=" "," ",IF(NOT(ISBLANK(X164)),VLOOKUP($D$3+X164,Calcs!$A$110:$B$122,2,TRUE),IF(AA164="Failed",VLOOKUP($D$3,Calcs!$A$110:$B$122,2,TRUE),VLOOKUP($D$3-(IF((Character!$B$9+W164)&gt;($D$3+Y164),(Character!$B$9+W164)-($D$3+Y164),0)),Calcs!$A$110:$B$122,2,TRUE))))=Calcs!$B$120,IF(ISBLANK(AC164)," ",CONCATENATE(AC164+7," Years")),IF(AA164=" "," ",IF(NOT(ISBLANK(X164)),VLOOKUP($D$3+X164,Calcs!$A$110:$B$122,2,TRUE),IF(AA164="Failed",VLOOKUP($D$3,Calcs!$A$110:$B$122,2,TRUE),VLOOKUP($D$3-(IF((Character!$B$9+W164)&gt;($D$3+Y164),(Character!$B$9+W164)-($D$3+Y164),0)),Calcs!$A$110:$B$122,2,TRUE)))))</f>
        <v xml:space="preserve"> </v>
      </c>
      <c r="AE164" s="490"/>
      <c r="AF164" s="879"/>
      <c r="AG164" s="491"/>
    </row>
    <row r="165" spans="1:33" x14ac:dyDescent="0.2">
      <c r="A165" s="415">
        <f t="shared" si="4"/>
        <v>1251</v>
      </c>
      <c r="B165" s="419" t="str">
        <f t="shared" si="5"/>
        <v>Spring</v>
      </c>
      <c r="C165" s="455"/>
      <c r="D165" s="504"/>
      <c r="E165" s="455"/>
      <c r="F165" s="504"/>
      <c r="G165" s="455"/>
      <c r="H165" s="504"/>
      <c r="I165" s="455"/>
      <c r="J165" s="504"/>
      <c r="L165" s="472"/>
      <c r="M165" s="468"/>
      <c r="N165" s="468"/>
      <c r="O165" s="468"/>
      <c r="P165" s="468"/>
      <c r="Q165" s="473"/>
      <c r="R165" s="477" t="str">
        <f>IF(AND(COUNTIF('Start Character'!$I$63:$M$77,"Twilight Prone")=1,NOT(ISERROR(FIND("Magical Botch",M165)))),"Yes",IF(P165&gt;1,"Yes","No"))</f>
        <v>No</v>
      </c>
      <c r="S165" s="501"/>
      <c r="T165" s="478"/>
      <c r="U165" s="501"/>
      <c r="V165" s="479" t="str">
        <f>IF(R165="No","No Twilight",IF(T165="Yes","Uncomprehended Twilight",IF((Character!$B$14+IF(Character!$B$53="Yes",0,Character!$B$53)+IF(Magic!$C$5="Yes",2,0)+ROUNDUP((Magic!$B$30+IF(Magic!$C$30="Yes",3,0))/5,0)+S165)&gt;=($D$3+P165+SUMIF(Character!$I$62:$I$66,"Enigmatic Wisdom",Character!$J$62:$J$66)+Q165+U165),"No Twilight","Twilight")))</f>
        <v>No Twilight</v>
      </c>
      <c r="W165" s="483"/>
      <c r="X165" s="478"/>
      <c r="Y165" s="484"/>
      <c r="Z165" s="478"/>
      <c r="AA165" s="485" t="str">
        <f>IF(V165="Uncomprehended Twilight","Failed",IF(OR(ISBLANK(W165),ISBLANK(Y165))," ",IF(NOT(ISBLANK(X165)),"Failed",IF((W165+Character!$B$9+SUMIF(Character!$I$62:$I$66,"Enigmatic Wisdom",Character!$J$62:$J$66))&gt;=IF(Z165="Yes",0,(Y165+D160)),"Succeeded","Failed"))))</f>
        <v xml:space="preserve"> </v>
      </c>
      <c r="AB165" s="477" t="str">
        <f>IF(AA165=" "," ",IF(NOT(ISBLANK(X165)),VLOOKUP($D$3+X165,Calcs!$A$110:$C$122,3,TRUE),IF(AA165="Failed",VLOOKUP($D$3,Calcs!$A$110:$C$122,3,TRUE),VLOOKUP($D$3-(IF((Character!$B$9+W165)&gt;($D$3+Y165),(Character!$B$9+W165)-($D$3+Y165),0)),Calcs!$A$110:$C$122,3,TRUE))))</f>
        <v xml:space="preserve"> </v>
      </c>
      <c r="AC165" s="489"/>
      <c r="AD165" s="489" t="str">
        <f>IF(IF(AA165=" "," ",IF(NOT(ISBLANK(X165)),VLOOKUP($D$3+X165,Calcs!$A$110:$B$122,2,TRUE),IF(AA165="Failed",VLOOKUP($D$3,Calcs!$A$110:$B$122,2,TRUE),VLOOKUP($D$3-(IF((Character!$B$9+W165)&gt;($D$3+Y165),(Character!$B$9+W165)-($D$3+Y165),0)),Calcs!$A$110:$B$122,2,TRUE))))=Calcs!$B$120,IF(ISBLANK(AC165)," ",CONCATENATE(AC165+7," Years")),IF(AA165=" "," ",IF(NOT(ISBLANK(X165)),VLOOKUP($D$3+X165,Calcs!$A$110:$B$122,2,TRUE),IF(AA165="Failed",VLOOKUP($D$3,Calcs!$A$110:$B$122,2,TRUE),VLOOKUP($D$3-(IF((Character!$B$9+W165)&gt;($D$3+Y165),(Character!$B$9+W165)-($D$3+Y165),0)),Calcs!$A$110:$B$122,2,TRUE)))))</f>
        <v xml:space="preserve"> </v>
      </c>
      <c r="AE165" s="490"/>
      <c r="AF165" s="879"/>
      <c r="AG165" s="491"/>
    </row>
    <row r="166" spans="1:33" x14ac:dyDescent="0.2">
      <c r="A166" s="415">
        <f t="shared" si="4"/>
        <v>1251</v>
      </c>
      <c r="B166" s="419" t="str">
        <f t="shared" si="5"/>
        <v>Summer</v>
      </c>
      <c r="C166" s="455"/>
      <c r="D166" s="504"/>
      <c r="E166" s="455"/>
      <c r="F166" s="504"/>
      <c r="G166" s="455"/>
      <c r="H166" s="504"/>
      <c r="I166" s="455"/>
      <c r="J166" s="504"/>
      <c r="L166" s="472"/>
      <c r="M166" s="468"/>
      <c r="N166" s="468"/>
      <c r="O166" s="468"/>
      <c r="P166" s="468"/>
      <c r="Q166" s="473"/>
      <c r="R166" s="477" t="str">
        <f>IF(AND(COUNTIF('Start Character'!$I$63:$M$77,"Twilight Prone")=1,NOT(ISERROR(FIND("Magical Botch",M166)))),"Yes",IF(P166&gt;1,"Yes","No"))</f>
        <v>No</v>
      </c>
      <c r="S166" s="501"/>
      <c r="T166" s="478"/>
      <c r="U166" s="501"/>
      <c r="V166" s="479" t="str">
        <f>IF(R166="No","No Twilight",IF(T166="Yes","Uncomprehended Twilight",IF((Character!$B$14+IF(Character!$B$53="Yes",0,Character!$B$53)+IF(Magic!$C$5="Yes",2,0)+ROUNDUP((Magic!$B$30+IF(Magic!$C$30="Yes",3,0))/5,0)+S166)&gt;=($D$3+P166+SUMIF(Character!$I$62:$I$66,"Enigmatic Wisdom",Character!$J$62:$J$66)+Q166+U166),"No Twilight","Twilight")))</f>
        <v>No Twilight</v>
      </c>
      <c r="W166" s="483"/>
      <c r="X166" s="478"/>
      <c r="Y166" s="484"/>
      <c r="Z166" s="478"/>
      <c r="AA166" s="485" t="str">
        <f>IF(V166="Uncomprehended Twilight","Failed",IF(OR(ISBLANK(W166),ISBLANK(Y166))," ",IF(NOT(ISBLANK(X166)),"Failed",IF((W166+Character!$B$9+SUMIF(Character!$I$62:$I$66,"Enigmatic Wisdom",Character!$J$62:$J$66))&gt;=IF(Z166="Yes",0,(Y166+D161)),"Succeeded","Failed"))))</f>
        <v xml:space="preserve"> </v>
      </c>
      <c r="AB166" s="477" t="str">
        <f>IF(AA166=" "," ",IF(NOT(ISBLANK(X166)),VLOOKUP($D$3+X166,Calcs!$A$110:$C$122,3,TRUE),IF(AA166="Failed",VLOOKUP($D$3,Calcs!$A$110:$C$122,3,TRUE),VLOOKUP($D$3-(IF((Character!$B$9+W166)&gt;($D$3+Y166),(Character!$B$9+W166)-($D$3+Y166),0)),Calcs!$A$110:$C$122,3,TRUE))))</f>
        <v xml:space="preserve"> </v>
      </c>
      <c r="AC166" s="489"/>
      <c r="AD166" s="489" t="str">
        <f>IF(IF(AA166=" "," ",IF(NOT(ISBLANK(X166)),VLOOKUP($D$3+X166,Calcs!$A$110:$B$122,2,TRUE),IF(AA166="Failed",VLOOKUP($D$3,Calcs!$A$110:$B$122,2,TRUE),VLOOKUP($D$3-(IF((Character!$B$9+W166)&gt;($D$3+Y166),(Character!$B$9+W166)-($D$3+Y166),0)),Calcs!$A$110:$B$122,2,TRUE))))=Calcs!$B$120,IF(ISBLANK(AC166)," ",CONCATENATE(AC166+7," Years")),IF(AA166=" "," ",IF(NOT(ISBLANK(X166)),VLOOKUP($D$3+X166,Calcs!$A$110:$B$122,2,TRUE),IF(AA166="Failed",VLOOKUP($D$3,Calcs!$A$110:$B$122,2,TRUE),VLOOKUP($D$3-(IF((Character!$B$9+W166)&gt;($D$3+Y166),(Character!$B$9+W166)-($D$3+Y166),0)),Calcs!$A$110:$B$122,2,TRUE)))))</f>
        <v xml:space="preserve"> </v>
      </c>
      <c r="AE166" s="490"/>
      <c r="AF166" s="879"/>
      <c r="AG166" s="491"/>
    </row>
    <row r="167" spans="1:33" x14ac:dyDescent="0.2">
      <c r="A167" s="415">
        <f t="shared" si="4"/>
        <v>1251</v>
      </c>
      <c r="B167" s="419" t="str">
        <f t="shared" si="5"/>
        <v>Autumn</v>
      </c>
      <c r="C167" s="455"/>
      <c r="D167" s="504"/>
      <c r="E167" s="455"/>
      <c r="F167" s="504"/>
      <c r="G167" s="455"/>
      <c r="H167" s="504"/>
      <c r="I167" s="455"/>
      <c r="J167" s="504"/>
      <c r="L167" s="472"/>
      <c r="M167" s="468"/>
      <c r="N167" s="468"/>
      <c r="O167" s="468"/>
      <c r="P167" s="468"/>
      <c r="Q167" s="473"/>
      <c r="R167" s="477" t="str">
        <f>IF(AND(COUNTIF('Start Character'!$I$63:$M$77,"Twilight Prone")=1,NOT(ISERROR(FIND("Magical Botch",M167)))),"Yes",IF(P167&gt;1,"Yes","No"))</f>
        <v>No</v>
      </c>
      <c r="S167" s="501"/>
      <c r="T167" s="478"/>
      <c r="U167" s="501"/>
      <c r="V167" s="479" t="str">
        <f>IF(R167="No","No Twilight",IF(T167="Yes","Uncomprehended Twilight",IF((Character!$B$14+IF(Character!$B$53="Yes",0,Character!$B$53)+IF(Magic!$C$5="Yes",2,0)+ROUNDUP((Magic!$B$30+IF(Magic!$C$30="Yes",3,0))/5,0)+S167)&gt;=($D$3+P167+SUMIF(Character!$I$62:$I$66,"Enigmatic Wisdom",Character!$J$62:$J$66)+Q167+U167),"No Twilight","Twilight")))</f>
        <v>No Twilight</v>
      </c>
      <c r="W167" s="483"/>
      <c r="X167" s="478"/>
      <c r="Y167" s="484"/>
      <c r="Z167" s="478"/>
      <c r="AA167" s="485" t="str">
        <f>IF(V167="Uncomprehended Twilight","Failed",IF(OR(ISBLANK(W167),ISBLANK(Y167))," ",IF(NOT(ISBLANK(X167)),"Failed",IF((W167+Character!$B$9+SUMIF(Character!$I$62:$I$66,"Enigmatic Wisdom",Character!$J$62:$J$66))&gt;=IF(Z167="Yes",0,(Y167+D162)),"Succeeded","Failed"))))</f>
        <v xml:space="preserve"> </v>
      </c>
      <c r="AB167" s="477" t="str">
        <f>IF(AA167=" "," ",IF(NOT(ISBLANK(X167)),VLOOKUP($D$3+X167,Calcs!$A$110:$C$122,3,TRUE),IF(AA167="Failed",VLOOKUP($D$3,Calcs!$A$110:$C$122,3,TRUE),VLOOKUP($D$3-(IF((Character!$B$9+W167)&gt;($D$3+Y167),(Character!$B$9+W167)-($D$3+Y167),0)),Calcs!$A$110:$C$122,3,TRUE))))</f>
        <v xml:space="preserve"> </v>
      </c>
      <c r="AC167" s="489"/>
      <c r="AD167" s="489" t="str">
        <f>IF(IF(AA167=" "," ",IF(NOT(ISBLANK(X167)),VLOOKUP($D$3+X167,Calcs!$A$110:$B$122,2,TRUE),IF(AA167="Failed",VLOOKUP($D$3,Calcs!$A$110:$B$122,2,TRUE),VLOOKUP($D$3-(IF((Character!$B$9+W167)&gt;($D$3+Y167),(Character!$B$9+W167)-($D$3+Y167),0)),Calcs!$A$110:$B$122,2,TRUE))))=Calcs!$B$120,IF(ISBLANK(AC167)," ",CONCATENATE(AC167+7," Years")),IF(AA167=" "," ",IF(NOT(ISBLANK(X167)),VLOOKUP($D$3+X167,Calcs!$A$110:$B$122,2,TRUE),IF(AA167="Failed",VLOOKUP($D$3,Calcs!$A$110:$B$122,2,TRUE),VLOOKUP($D$3-(IF((Character!$B$9+W167)&gt;($D$3+Y167),(Character!$B$9+W167)-($D$3+Y167),0)),Calcs!$A$110:$B$122,2,TRUE)))))</f>
        <v xml:space="preserve"> </v>
      </c>
      <c r="AE167" s="490"/>
      <c r="AF167" s="879"/>
      <c r="AG167" s="491"/>
    </row>
    <row r="168" spans="1:33" x14ac:dyDescent="0.2">
      <c r="A168" s="415">
        <f t="shared" si="4"/>
        <v>1252</v>
      </c>
      <c r="B168" s="419" t="str">
        <f t="shared" si="5"/>
        <v>Winter</v>
      </c>
      <c r="C168" s="455"/>
      <c r="D168" s="504"/>
      <c r="E168" s="455"/>
      <c r="F168" s="504"/>
      <c r="G168" s="455"/>
      <c r="H168" s="504"/>
      <c r="I168" s="455"/>
      <c r="J168" s="504"/>
      <c r="L168" s="472"/>
      <c r="M168" s="468"/>
      <c r="N168" s="468"/>
      <c r="O168" s="468"/>
      <c r="P168" s="468"/>
      <c r="Q168" s="473"/>
      <c r="R168" s="477" t="str">
        <f>IF(AND(COUNTIF('Start Character'!$I$63:$M$77,"Twilight Prone")=1,NOT(ISERROR(FIND("Magical Botch",M168)))),"Yes",IF(P168&gt;1,"Yes","No"))</f>
        <v>No</v>
      </c>
      <c r="S168" s="501"/>
      <c r="T168" s="478"/>
      <c r="U168" s="501"/>
      <c r="V168" s="479" t="str">
        <f>IF(R168="No","No Twilight",IF(T168="Yes","Uncomprehended Twilight",IF((Character!$B$14+IF(Character!$B$53="Yes",0,Character!$B$53)+IF(Magic!$C$5="Yes",2,0)+ROUNDUP((Magic!$B$30+IF(Magic!$C$30="Yes",3,0))/5,0)+S168)&gt;=($D$3+P168+SUMIF(Character!$I$62:$I$66,"Enigmatic Wisdom",Character!$J$62:$J$66)+Q168+U168),"No Twilight","Twilight")))</f>
        <v>No Twilight</v>
      </c>
      <c r="W168" s="483"/>
      <c r="X168" s="478"/>
      <c r="Y168" s="484"/>
      <c r="Z168" s="478"/>
      <c r="AA168" s="485" t="str">
        <f>IF(V168="Uncomprehended Twilight","Failed",IF(OR(ISBLANK(W168),ISBLANK(Y168))," ",IF(NOT(ISBLANK(X168)),"Failed",IF((W168+Character!$B$9+SUMIF(Character!$I$62:$I$66,"Enigmatic Wisdom",Character!$J$62:$J$66))&gt;=IF(Z168="Yes",0,(Y168+D163)),"Succeeded","Failed"))))</f>
        <v xml:space="preserve"> </v>
      </c>
      <c r="AB168" s="477" t="str">
        <f>IF(AA168=" "," ",IF(NOT(ISBLANK(X168)),VLOOKUP($D$3+X168,Calcs!$A$110:$C$122,3,TRUE),IF(AA168="Failed",VLOOKUP($D$3,Calcs!$A$110:$C$122,3,TRUE),VLOOKUP($D$3-(IF((Character!$B$9+W168)&gt;($D$3+Y168),(Character!$B$9+W168)-($D$3+Y168),0)),Calcs!$A$110:$C$122,3,TRUE))))</f>
        <v xml:space="preserve"> </v>
      </c>
      <c r="AC168" s="489"/>
      <c r="AD168" s="489" t="str">
        <f>IF(IF(AA168=" "," ",IF(NOT(ISBLANK(X168)),VLOOKUP($D$3+X168,Calcs!$A$110:$B$122,2,TRUE),IF(AA168="Failed",VLOOKUP($D$3,Calcs!$A$110:$B$122,2,TRUE),VLOOKUP($D$3-(IF((Character!$B$9+W168)&gt;($D$3+Y168),(Character!$B$9+W168)-($D$3+Y168),0)),Calcs!$A$110:$B$122,2,TRUE))))=Calcs!$B$120,IF(ISBLANK(AC168)," ",CONCATENATE(AC168+7," Years")),IF(AA168=" "," ",IF(NOT(ISBLANK(X168)),VLOOKUP($D$3+X168,Calcs!$A$110:$B$122,2,TRUE),IF(AA168="Failed",VLOOKUP($D$3,Calcs!$A$110:$B$122,2,TRUE),VLOOKUP($D$3-(IF((Character!$B$9+W168)&gt;($D$3+Y168),(Character!$B$9+W168)-($D$3+Y168),0)),Calcs!$A$110:$B$122,2,TRUE)))))</f>
        <v xml:space="preserve"> </v>
      </c>
      <c r="AE168" s="490"/>
      <c r="AF168" s="879"/>
      <c r="AG168" s="491"/>
    </row>
    <row r="169" spans="1:33" x14ac:dyDescent="0.2">
      <c r="A169" s="415">
        <f t="shared" si="4"/>
        <v>1252</v>
      </c>
      <c r="B169" s="419" t="str">
        <f t="shared" si="5"/>
        <v>Spring</v>
      </c>
      <c r="C169" s="455"/>
      <c r="D169" s="504"/>
      <c r="E169" s="455"/>
      <c r="F169" s="504"/>
      <c r="G169" s="455"/>
      <c r="H169" s="504"/>
      <c r="I169" s="455"/>
      <c r="J169" s="504"/>
      <c r="L169" s="472"/>
      <c r="M169" s="468"/>
      <c r="N169" s="468"/>
      <c r="O169" s="468"/>
      <c r="P169" s="468"/>
      <c r="Q169" s="473"/>
      <c r="R169" s="477" t="str">
        <f>IF(AND(COUNTIF('Start Character'!$I$63:$M$77,"Twilight Prone")=1,NOT(ISERROR(FIND("Magical Botch",M169)))),"Yes",IF(P169&gt;1,"Yes","No"))</f>
        <v>No</v>
      </c>
      <c r="S169" s="501"/>
      <c r="T169" s="478"/>
      <c r="U169" s="501"/>
      <c r="V169" s="479" t="str">
        <f>IF(R169="No","No Twilight",IF(T169="Yes","Uncomprehended Twilight",IF((Character!$B$14+IF(Character!$B$53="Yes",0,Character!$B$53)+IF(Magic!$C$5="Yes",2,0)+ROUNDUP((Magic!$B$30+IF(Magic!$C$30="Yes",3,0))/5,0)+S169)&gt;=($D$3+P169+SUMIF(Character!$I$62:$I$66,"Enigmatic Wisdom",Character!$J$62:$J$66)+Q169+U169),"No Twilight","Twilight")))</f>
        <v>No Twilight</v>
      </c>
      <c r="W169" s="483"/>
      <c r="X169" s="478"/>
      <c r="Y169" s="484"/>
      <c r="Z169" s="478"/>
      <c r="AA169" s="485" t="str">
        <f>IF(V169="Uncomprehended Twilight","Failed",IF(OR(ISBLANK(W169),ISBLANK(Y169))," ",IF(NOT(ISBLANK(X169)),"Failed",IF((W169+Character!$B$9+SUMIF(Character!$I$62:$I$66,"Enigmatic Wisdom",Character!$J$62:$J$66))&gt;=IF(Z169="Yes",0,(Y169+D164)),"Succeeded","Failed"))))</f>
        <v xml:space="preserve"> </v>
      </c>
      <c r="AB169" s="477" t="str">
        <f>IF(AA169=" "," ",IF(NOT(ISBLANK(X169)),VLOOKUP($D$3+X169,Calcs!$A$110:$C$122,3,TRUE),IF(AA169="Failed",VLOOKUP($D$3,Calcs!$A$110:$C$122,3,TRUE),VLOOKUP($D$3-(IF((Character!$B$9+W169)&gt;($D$3+Y169),(Character!$B$9+W169)-($D$3+Y169),0)),Calcs!$A$110:$C$122,3,TRUE))))</f>
        <v xml:space="preserve"> </v>
      </c>
      <c r="AC169" s="489"/>
      <c r="AD169" s="489" t="str">
        <f>IF(IF(AA169=" "," ",IF(NOT(ISBLANK(X169)),VLOOKUP($D$3+X169,Calcs!$A$110:$B$122,2,TRUE),IF(AA169="Failed",VLOOKUP($D$3,Calcs!$A$110:$B$122,2,TRUE),VLOOKUP($D$3-(IF((Character!$B$9+W169)&gt;($D$3+Y169),(Character!$B$9+W169)-($D$3+Y169),0)),Calcs!$A$110:$B$122,2,TRUE))))=Calcs!$B$120,IF(ISBLANK(AC169)," ",CONCATENATE(AC169+7," Years")),IF(AA169=" "," ",IF(NOT(ISBLANK(X169)),VLOOKUP($D$3+X169,Calcs!$A$110:$B$122,2,TRUE),IF(AA169="Failed",VLOOKUP($D$3,Calcs!$A$110:$B$122,2,TRUE),VLOOKUP($D$3-(IF((Character!$B$9+W169)&gt;($D$3+Y169),(Character!$B$9+W169)-($D$3+Y169),0)),Calcs!$A$110:$B$122,2,TRUE)))))</f>
        <v xml:space="preserve"> </v>
      </c>
      <c r="AE169" s="490"/>
      <c r="AF169" s="879"/>
      <c r="AG169" s="491"/>
    </row>
    <row r="170" spans="1:33" x14ac:dyDescent="0.2">
      <c r="A170" s="415">
        <f t="shared" si="4"/>
        <v>1252</v>
      </c>
      <c r="B170" s="419" t="str">
        <f t="shared" si="5"/>
        <v>Summer</v>
      </c>
      <c r="C170" s="455"/>
      <c r="D170" s="504"/>
      <c r="E170" s="455"/>
      <c r="F170" s="504"/>
      <c r="G170" s="455"/>
      <c r="H170" s="504"/>
      <c r="I170" s="455"/>
      <c r="J170" s="504"/>
      <c r="L170" s="472"/>
      <c r="M170" s="468"/>
      <c r="N170" s="468"/>
      <c r="O170" s="468"/>
      <c r="P170" s="468"/>
      <c r="Q170" s="473"/>
      <c r="R170" s="477" t="str">
        <f>IF(AND(COUNTIF('Start Character'!$I$63:$M$77,"Twilight Prone")=1,NOT(ISERROR(FIND("Magical Botch",M170)))),"Yes",IF(P170&gt;1,"Yes","No"))</f>
        <v>No</v>
      </c>
      <c r="S170" s="501"/>
      <c r="T170" s="478"/>
      <c r="U170" s="501"/>
      <c r="V170" s="479" t="str">
        <f>IF(R170="No","No Twilight",IF(T170="Yes","Uncomprehended Twilight",IF((Character!$B$14+IF(Character!$B$53="Yes",0,Character!$B$53)+IF(Magic!$C$5="Yes",2,0)+ROUNDUP((Magic!$B$30+IF(Magic!$C$30="Yes",3,0))/5,0)+S170)&gt;=($D$3+P170+SUMIF(Character!$I$62:$I$66,"Enigmatic Wisdom",Character!$J$62:$J$66)+Q170+U170),"No Twilight","Twilight")))</f>
        <v>No Twilight</v>
      </c>
      <c r="W170" s="483"/>
      <c r="X170" s="478"/>
      <c r="Y170" s="484"/>
      <c r="Z170" s="478"/>
      <c r="AA170" s="485" t="str">
        <f>IF(V170="Uncomprehended Twilight","Failed",IF(OR(ISBLANK(W170),ISBLANK(Y170))," ",IF(NOT(ISBLANK(X170)),"Failed",IF((W170+Character!$B$9+SUMIF(Character!$I$62:$I$66,"Enigmatic Wisdom",Character!$J$62:$J$66))&gt;=IF(Z170="Yes",0,(Y170+D165)),"Succeeded","Failed"))))</f>
        <v xml:space="preserve"> </v>
      </c>
      <c r="AB170" s="477" t="str">
        <f>IF(AA170=" "," ",IF(NOT(ISBLANK(X170)),VLOOKUP($D$3+X170,Calcs!$A$110:$C$122,3,TRUE),IF(AA170="Failed",VLOOKUP($D$3,Calcs!$A$110:$C$122,3,TRUE),VLOOKUP($D$3-(IF((Character!$B$9+W170)&gt;($D$3+Y170),(Character!$B$9+W170)-($D$3+Y170),0)),Calcs!$A$110:$C$122,3,TRUE))))</f>
        <v xml:space="preserve"> </v>
      </c>
      <c r="AC170" s="489"/>
      <c r="AD170" s="489" t="str">
        <f>IF(IF(AA170=" "," ",IF(NOT(ISBLANK(X170)),VLOOKUP($D$3+X170,Calcs!$A$110:$B$122,2,TRUE),IF(AA170="Failed",VLOOKUP($D$3,Calcs!$A$110:$B$122,2,TRUE),VLOOKUP($D$3-(IF((Character!$B$9+W170)&gt;($D$3+Y170),(Character!$B$9+W170)-($D$3+Y170),0)),Calcs!$A$110:$B$122,2,TRUE))))=Calcs!$B$120,IF(ISBLANK(AC170)," ",CONCATENATE(AC170+7," Years")),IF(AA170=" "," ",IF(NOT(ISBLANK(X170)),VLOOKUP($D$3+X170,Calcs!$A$110:$B$122,2,TRUE),IF(AA170="Failed",VLOOKUP($D$3,Calcs!$A$110:$B$122,2,TRUE),VLOOKUP($D$3-(IF((Character!$B$9+W170)&gt;($D$3+Y170),(Character!$B$9+W170)-($D$3+Y170),0)),Calcs!$A$110:$B$122,2,TRUE)))))</f>
        <v xml:space="preserve"> </v>
      </c>
      <c r="AE170" s="490"/>
      <c r="AF170" s="879"/>
      <c r="AG170" s="491"/>
    </row>
    <row r="171" spans="1:33" x14ac:dyDescent="0.2">
      <c r="A171" s="415">
        <f t="shared" si="4"/>
        <v>1252</v>
      </c>
      <c r="B171" s="419" t="str">
        <f t="shared" si="5"/>
        <v>Autumn</v>
      </c>
      <c r="C171" s="455"/>
      <c r="D171" s="504"/>
      <c r="E171" s="455"/>
      <c r="F171" s="504"/>
      <c r="G171" s="455"/>
      <c r="H171" s="504"/>
      <c r="I171" s="455"/>
      <c r="J171" s="504"/>
      <c r="L171" s="472"/>
      <c r="M171" s="468"/>
      <c r="N171" s="468"/>
      <c r="O171" s="468"/>
      <c r="P171" s="468"/>
      <c r="Q171" s="473"/>
      <c r="R171" s="477" t="str">
        <f>IF(AND(COUNTIF('Start Character'!$I$63:$M$77,"Twilight Prone")=1,NOT(ISERROR(FIND("Magical Botch",M171)))),"Yes",IF(P171&gt;1,"Yes","No"))</f>
        <v>No</v>
      </c>
      <c r="S171" s="501"/>
      <c r="T171" s="478"/>
      <c r="U171" s="501"/>
      <c r="V171" s="479" t="str">
        <f>IF(R171="No","No Twilight",IF(T171="Yes","Uncomprehended Twilight",IF((Character!$B$14+IF(Character!$B$53="Yes",0,Character!$B$53)+IF(Magic!$C$5="Yes",2,0)+ROUNDUP((Magic!$B$30+IF(Magic!$C$30="Yes",3,0))/5,0)+S171)&gt;=($D$3+P171+SUMIF(Character!$I$62:$I$66,"Enigmatic Wisdom",Character!$J$62:$J$66)+Q171+U171),"No Twilight","Twilight")))</f>
        <v>No Twilight</v>
      </c>
      <c r="W171" s="483"/>
      <c r="X171" s="478"/>
      <c r="Y171" s="484"/>
      <c r="Z171" s="478"/>
      <c r="AA171" s="485" t="str">
        <f>IF(V171="Uncomprehended Twilight","Failed",IF(OR(ISBLANK(W171),ISBLANK(Y171))," ",IF(NOT(ISBLANK(X171)),"Failed",IF((W171+Character!$B$9+SUMIF(Character!$I$62:$I$66,"Enigmatic Wisdom",Character!$J$62:$J$66))&gt;=IF(Z171="Yes",0,(Y171+D166)),"Succeeded","Failed"))))</f>
        <v xml:space="preserve"> </v>
      </c>
      <c r="AB171" s="477" t="str">
        <f>IF(AA171=" "," ",IF(NOT(ISBLANK(X171)),VLOOKUP($D$3+X171,Calcs!$A$110:$C$122,3,TRUE),IF(AA171="Failed",VLOOKUP($D$3,Calcs!$A$110:$C$122,3,TRUE),VLOOKUP($D$3-(IF((Character!$B$9+W171)&gt;($D$3+Y171),(Character!$B$9+W171)-($D$3+Y171),0)),Calcs!$A$110:$C$122,3,TRUE))))</f>
        <v xml:space="preserve"> </v>
      </c>
      <c r="AC171" s="489"/>
      <c r="AD171" s="489" t="str">
        <f>IF(IF(AA171=" "," ",IF(NOT(ISBLANK(X171)),VLOOKUP($D$3+X171,Calcs!$A$110:$B$122,2,TRUE),IF(AA171="Failed",VLOOKUP($D$3,Calcs!$A$110:$B$122,2,TRUE),VLOOKUP($D$3-(IF((Character!$B$9+W171)&gt;($D$3+Y171),(Character!$B$9+W171)-($D$3+Y171),0)),Calcs!$A$110:$B$122,2,TRUE))))=Calcs!$B$120,IF(ISBLANK(AC171)," ",CONCATENATE(AC171+7," Years")),IF(AA171=" "," ",IF(NOT(ISBLANK(X171)),VLOOKUP($D$3+X171,Calcs!$A$110:$B$122,2,TRUE),IF(AA171="Failed",VLOOKUP($D$3,Calcs!$A$110:$B$122,2,TRUE),VLOOKUP($D$3-(IF((Character!$B$9+W171)&gt;($D$3+Y171),(Character!$B$9+W171)-($D$3+Y171),0)),Calcs!$A$110:$B$122,2,TRUE)))))</f>
        <v xml:space="preserve"> </v>
      </c>
      <c r="AE171" s="490"/>
      <c r="AF171" s="879"/>
      <c r="AG171" s="491"/>
    </row>
    <row r="172" spans="1:33" x14ac:dyDescent="0.2">
      <c r="A172" s="415">
        <f t="shared" si="4"/>
        <v>1253</v>
      </c>
      <c r="B172" s="419" t="str">
        <f t="shared" si="5"/>
        <v>Winter</v>
      </c>
      <c r="C172" s="455"/>
      <c r="D172" s="504"/>
      <c r="E172" s="455"/>
      <c r="F172" s="504"/>
      <c r="G172" s="455"/>
      <c r="H172" s="504"/>
      <c r="I172" s="455"/>
      <c r="J172" s="504"/>
      <c r="L172" s="472"/>
      <c r="M172" s="468"/>
      <c r="N172" s="468"/>
      <c r="O172" s="468"/>
      <c r="P172" s="468"/>
      <c r="Q172" s="473"/>
      <c r="R172" s="477" t="str">
        <f>IF(AND(COUNTIF('Start Character'!$I$63:$M$77,"Twilight Prone")=1,NOT(ISERROR(FIND("Magical Botch",M172)))),"Yes",IF(P172&gt;1,"Yes","No"))</f>
        <v>No</v>
      </c>
      <c r="S172" s="501"/>
      <c r="T172" s="478"/>
      <c r="U172" s="501"/>
      <c r="V172" s="479" t="str">
        <f>IF(R172="No","No Twilight",IF(T172="Yes","Uncomprehended Twilight",IF((Character!$B$14+IF(Character!$B$53="Yes",0,Character!$B$53)+IF(Magic!$C$5="Yes",2,0)+ROUNDUP((Magic!$B$30+IF(Magic!$C$30="Yes",3,0))/5,0)+S172)&gt;=($D$3+P172+SUMIF(Character!$I$62:$I$66,"Enigmatic Wisdom",Character!$J$62:$J$66)+Q172+U172),"No Twilight","Twilight")))</f>
        <v>No Twilight</v>
      </c>
      <c r="W172" s="483"/>
      <c r="X172" s="478"/>
      <c r="Y172" s="484"/>
      <c r="Z172" s="478"/>
      <c r="AA172" s="485" t="str">
        <f>IF(V172="Uncomprehended Twilight","Failed",IF(OR(ISBLANK(W172),ISBLANK(Y172))," ",IF(NOT(ISBLANK(X172)),"Failed",IF((W172+Character!$B$9+SUMIF(Character!$I$62:$I$66,"Enigmatic Wisdom",Character!$J$62:$J$66))&gt;=IF(Z172="Yes",0,(Y172+D167)),"Succeeded","Failed"))))</f>
        <v xml:space="preserve"> </v>
      </c>
      <c r="AB172" s="477" t="str">
        <f>IF(AA172=" "," ",IF(NOT(ISBLANK(X172)),VLOOKUP($D$3+X172,Calcs!$A$110:$C$122,3,TRUE),IF(AA172="Failed",VLOOKUP($D$3,Calcs!$A$110:$C$122,3,TRUE),VLOOKUP($D$3-(IF((Character!$B$9+W172)&gt;($D$3+Y172),(Character!$B$9+W172)-($D$3+Y172),0)),Calcs!$A$110:$C$122,3,TRUE))))</f>
        <v xml:space="preserve"> </v>
      </c>
      <c r="AC172" s="489"/>
      <c r="AD172" s="489" t="str">
        <f>IF(IF(AA172=" "," ",IF(NOT(ISBLANK(X172)),VLOOKUP($D$3+X172,Calcs!$A$110:$B$122,2,TRUE),IF(AA172="Failed",VLOOKUP($D$3,Calcs!$A$110:$B$122,2,TRUE),VLOOKUP($D$3-(IF((Character!$B$9+W172)&gt;($D$3+Y172),(Character!$B$9+W172)-($D$3+Y172),0)),Calcs!$A$110:$B$122,2,TRUE))))=Calcs!$B$120,IF(ISBLANK(AC172)," ",CONCATENATE(AC172+7," Years")),IF(AA172=" "," ",IF(NOT(ISBLANK(X172)),VLOOKUP($D$3+X172,Calcs!$A$110:$B$122,2,TRUE),IF(AA172="Failed",VLOOKUP($D$3,Calcs!$A$110:$B$122,2,TRUE),VLOOKUP($D$3-(IF((Character!$B$9+W172)&gt;($D$3+Y172),(Character!$B$9+W172)-($D$3+Y172),0)),Calcs!$A$110:$B$122,2,TRUE)))))</f>
        <v xml:space="preserve"> </v>
      </c>
      <c r="AE172" s="490"/>
      <c r="AF172" s="879"/>
      <c r="AG172" s="491"/>
    </row>
    <row r="173" spans="1:33" x14ac:dyDescent="0.2">
      <c r="A173" s="415">
        <f t="shared" si="4"/>
        <v>1253</v>
      </c>
      <c r="B173" s="419" t="str">
        <f t="shared" si="5"/>
        <v>Spring</v>
      </c>
      <c r="C173" s="455"/>
      <c r="D173" s="504"/>
      <c r="E173" s="455"/>
      <c r="F173" s="504"/>
      <c r="G173" s="455"/>
      <c r="H173" s="504"/>
      <c r="I173" s="455"/>
      <c r="J173" s="504"/>
      <c r="L173" s="472"/>
      <c r="M173" s="468"/>
      <c r="N173" s="468"/>
      <c r="O173" s="468"/>
      <c r="P173" s="468"/>
      <c r="Q173" s="473"/>
      <c r="R173" s="477" t="str">
        <f>IF(AND(COUNTIF('Start Character'!$I$63:$M$77,"Twilight Prone")=1,NOT(ISERROR(FIND("Magical Botch",M173)))),"Yes",IF(P173&gt;1,"Yes","No"))</f>
        <v>No</v>
      </c>
      <c r="S173" s="501"/>
      <c r="T173" s="478"/>
      <c r="U173" s="501"/>
      <c r="V173" s="479" t="str">
        <f>IF(R173="No","No Twilight",IF(T173="Yes","Uncomprehended Twilight",IF((Character!$B$14+IF(Character!$B$53="Yes",0,Character!$B$53)+IF(Magic!$C$5="Yes",2,0)+ROUNDUP((Magic!$B$30+IF(Magic!$C$30="Yes",3,0))/5,0)+S173)&gt;=($D$3+P173+SUMIF(Character!$I$62:$I$66,"Enigmatic Wisdom",Character!$J$62:$J$66)+Q173+U173),"No Twilight","Twilight")))</f>
        <v>No Twilight</v>
      </c>
      <c r="W173" s="483"/>
      <c r="X173" s="478"/>
      <c r="Y173" s="484"/>
      <c r="Z173" s="478"/>
      <c r="AA173" s="485" t="str">
        <f>IF(V173="Uncomprehended Twilight","Failed",IF(OR(ISBLANK(W173),ISBLANK(Y173))," ",IF(NOT(ISBLANK(X173)),"Failed",IF((W173+Character!$B$9+SUMIF(Character!$I$62:$I$66,"Enigmatic Wisdom",Character!$J$62:$J$66))&gt;=IF(Z173="Yes",0,(Y173+D168)),"Succeeded","Failed"))))</f>
        <v xml:space="preserve"> </v>
      </c>
      <c r="AB173" s="477" t="str">
        <f>IF(AA173=" "," ",IF(NOT(ISBLANK(X173)),VLOOKUP($D$3+X173,Calcs!$A$110:$C$122,3,TRUE),IF(AA173="Failed",VLOOKUP($D$3,Calcs!$A$110:$C$122,3,TRUE),VLOOKUP($D$3-(IF((Character!$B$9+W173)&gt;($D$3+Y173),(Character!$B$9+W173)-($D$3+Y173),0)),Calcs!$A$110:$C$122,3,TRUE))))</f>
        <v xml:space="preserve"> </v>
      </c>
      <c r="AC173" s="489"/>
      <c r="AD173" s="489" t="str">
        <f>IF(IF(AA173=" "," ",IF(NOT(ISBLANK(X173)),VLOOKUP($D$3+X173,Calcs!$A$110:$B$122,2,TRUE),IF(AA173="Failed",VLOOKUP($D$3,Calcs!$A$110:$B$122,2,TRUE),VLOOKUP($D$3-(IF((Character!$B$9+W173)&gt;($D$3+Y173),(Character!$B$9+W173)-($D$3+Y173),0)),Calcs!$A$110:$B$122,2,TRUE))))=Calcs!$B$120,IF(ISBLANK(AC173)," ",CONCATENATE(AC173+7," Years")),IF(AA173=" "," ",IF(NOT(ISBLANK(X173)),VLOOKUP($D$3+X173,Calcs!$A$110:$B$122,2,TRUE),IF(AA173="Failed",VLOOKUP($D$3,Calcs!$A$110:$B$122,2,TRUE),VLOOKUP($D$3-(IF((Character!$B$9+W173)&gt;($D$3+Y173),(Character!$B$9+W173)-($D$3+Y173),0)),Calcs!$A$110:$B$122,2,TRUE)))))</f>
        <v xml:space="preserve"> </v>
      </c>
      <c r="AE173" s="490"/>
      <c r="AF173" s="879"/>
      <c r="AG173" s="491"/>
    </row>
    <row r="174" spans="1:33" x14ac:dyDescent="0.2">
      <c r="A174" s="415">
        <f t="shared" si="4"/>
        <v>1253</v>
      </c>
      <c r="B174" s="419" t="str">
        <f t="shared" si="5"/>
        <v>Summer</v>
      </c>
      <c r="C174" s="455"/>
      <c r="D174" s="504"/>
      <c r="E174" s="455"/>
      <c r="F174" s="504"/>
      <c r="G174" s="455"/>
      <c r="H174" s="504"/>
      <c r="I174" s="455"/>
      <c r="J174" s="504"/>
      <c r="L174" s="472"/>
      <c r="M174" s="468"/>
      <c r="N174" s="468"/>
      <c r="O174" s="468"/>
      <c r="P174" s="468"/>
      <c r="Q174" s="473"/>
      <c r="R174" s="477" t="str">
        <f>IF(AND(COUNTIF('Start Character'!$I$63:$M$77,"Twilight Prone")=1,NOT(ISERROR(FIND("Magical Botch",M174)))),"Yes",IF(P174&gt;1,"Yes","No"))</f>
        <v>No</v>
      </c>
      <c r="S174" s="501"/>
      <c r="T174" s="478"/>
      <c r="U174" s="501"/>
      <c r="V174" s="479" t="str">
        <f>IF(R174="No","No Twilight",IF(T174="Yes","Uncomprehended Twilight",IF((Character!$B$14+IF(Character!$B$53="Yes",0,Character!$B$53)+IF(Magic!$C$5="Yes",2,0)+ROUNDUP((Magic!$B$30+IF(Magic!$C$30="Yes",3,0))/5,0)+S174)&gt;=($D$3+P174+SUMIF(Character!$I$62:$I$66,"Enigmatic Wisdom",Character!$J$62:$J$66)+Q174+U174),"No Twilight","Twilight")))</f>
        <v>No Twilight</v>
      </c>
      <c r="W174" s="483"/>
      <c r="X174" s="478"/>
      <c r="Y174" s="484"/>
      <c r="Z174" s="478"/>
      <c r="AA174" s="485" t="str">
        <f>IF(V174="Uncomprehended Twilight","Failed",IF(OR(ISBLANK(W174),ISBLANK(Y174))," ",IF(NOT(ISBLANK(X174)),"Failed",IF((W174+Character!$B$9+SUMIF(Character!$I$62:$I$66,"Enigmatic Wisdom",Character!$J$62:$J$66))&gt;=IF(Z174="Yes",0,(Y174+D169)),"Succeeded","Failed"))))</f>
        <v xml:space="preserve"> </v>
      </c>
      <c r="AB174" s="477" t="str">
        <f>IF(AA174=" "," ",IF(NOT(ISBLANK(X174)),VLOOKUP($D$3+X174,Calcs!$A$110:$C$122,3,TRUE),IF(AA174="Failed",VLOOKUP($D$3,Calcs!$A$110:$C$122,3,TRUE),VLOOKUP($D$3-(IF((Character!$B$9+W174)&gt;($D$3+Y174),(Character!$B$9+W174)-($D$3+Y174),0)),Calcs!$A$110:$C$122,3,TRUE))))</f>
        <v xml:space="preserve"> </v>
      </c>
      <c r="AC174" s="489"/>
      <c r="AD174" s="489" t="str">
        <f>IF(IF(AA174=" "," ",IF(NOT(ISBLANK(X174)),VLOOKUP($D$3+X174,Calcs!$A$110:$B$122,2,TRUE),IF(AA174="Failed",VLOOKUP($D$3,Calcs!$A$110:$B$122,2,TRUE),VLOOKUP($D$3-(IF((Character!$B$9+W174)&gt;($D$3+Y174),(Character!$B$9+W174)-($D$3+Y174),0)),Calcs!$A$110:$B$122,2,TRUE))))=Calcs!$B$120,IF(ISBLANK(AC174)," ",CONCATENATE(AC174+7," Years")),IF(AA174=" "," ",IF(NOT(ISBLANK(X174)),VLOOKUP($D$3+X174,Calcs!$A$110:$B$122,2,TRUE),IF(AA174="Failed",VLOOKUP($D$3,Calcs!$A$110:$B$122,2,TRUE),VLOOKUP($D$3-(IF((Character!$B$9+W174)&gt;($D$3+Y174),(Character!$B$9+W174)-($D$3+Y174),0)),Calcs!$A$110:$B$122,2,TRUE)))))</f>
        <v xml:space="preserve"> </v>
      </c>
      <c r="AE174" s="490"/>
      <c r="AF174" s="879"/>
      <c r="AG174" s="491"/>
    </row>
    <row r="175" spans="1:33" x14ac:dyDescent="0.2">
      <c r="A175" s="415">
        <f t="shared" si="4"/>
        <v>1253</v>
      </c>
      <c r="B175" s="419" t="str">
        <f t="shared" si="5"/>
        <v>Autumn</v>
      </c>
      <c r="C175" s="455"/>
      <c r="D175" s="504"/>
      <c r="E175" s="455"/>
      <c r="F175" s="504"/>
      <c r="G175" s="455"/>
      <c r="H175" s="504"/>
      <c r="I175" s="455"/>
      <c r="J175" s="504"/>
      <c r="L175" s="472"/>
      <c r="M175" s="468"/>
      <c r="N175" s="468"/>
      <c r="O175" s="468"/>
      <c r="P175" s="468"/>
      <c r="Q175" s="473"/>
      <c r="R175" s="477" t="str">
        <f>IF(AND(COUNTIF('Start Character'!$I$63:$M$77,"Twilight Prone")=1,NOT(ISERROR(FIND("Magical Botch",M175)))),"Yes",IF(P175&gt;1,"Yes","No"))</f>
        <v>No</v>
      </c>
      <c r="S175" s="501"/>
      <c r="T175" s="478"/>
      <c r="U175" s="501"/>
      <c r="V175" s="479" t="str">
        <f>IF(R175="No","No Twilight",IF(T175="Yes","Uncomprehended Twilight",IF((Character!$B$14+IF(Character!$B$53="Yes",0,Character!$B$53)+IF(Magic!$C$5="Yes",2,0)+ROUNDUP((Magic!$B$30+IF(Magic!$C$30="Yes",3,0))/5,0)+S175)&gt;=($D$3+P175+SUMIF(Character!$I$62:$I$66,"Enigmatic Wisdom",Character!$J$62:$J$66)+Q175+U175),"No Twilight","Twilight")))</f>
        <v>No Twilight</v>
      </c>
      <c r="W175" s="483"/>
      <c r="X175" s="478"/>
      <c r="Y175" s="484"/>
      <c r="Z175" s="478"/>
      <c r="AA175" s="485" t="str">
        <f>IF(V175="Uncomprehended Twilight","Failed",IF(OR(ISBLANK(W175),ISBLANK(Y175))," ",IF(NOT(ISBLANK(X175)),"Failed",IF((W175+Character!$B$9+SUMIF(Character!$I$62:$I$66,"Enigmatic Wisdom",Character!$J$62:$J$66))&gt;=IF(Z175="Yes",0,(Y175+D170)),"Succeeded","Failed"))))</f>
        <v xml:space="preserve"> </v>
      </c>
      <c r="AB175" s="477" t="str">
        <f>IF(AA175=" "," ",IF(NOT(ISBLANK(X175)),VLOOKUP($D$3+X175,Calcs!$A$110:$C$122,3,TRUE),IF(AA175="Failed",VLOOKUP($D$3,Calcs!$A$110:$C$122,3,TRUE),VLOOKUP($D$3-(IF((Character!$B$9+W175)&gt;($D$3+Y175),(Character!$B$9+W175)-($D$3+Y175),0)),Calcs!$A$110:$C$122,3,TRUE))))</f>
        <v xml:space="preserve"> </v>
      </c>
      <c r="AC175" s="489"/>
      <c r="AD175" s="489" t="str">
        <f>IF(IF(AA175=" "," ",IF(NOT(ISBLANK(X175)),VLOOKUP($D$3+X175,Calcs!$A$110:$B$122,2,TRUE),IF(AA175="Failed",VLOOKUP($D$3,Calcs!$A$110:$B$122,2,TRUE),VLOOKUP($D$3-(IF((Character!$B$9+W175)&gt;($D$3+Y175),(Character!$B$9+W175)-($D$3+Y175),0)),Calcs!$A$110:$B$122,2,TRUE))))=Calcs!$B$120,IF(ISBLANK(AC175)," ",CONCATENATE(AC175+7," Years")),IF(AA175=" "," ",IF(NOT(ISBLANK(X175)),VLOOKUP($D$3+X175,Calcs!$A$110:$B$122,2,TRUE),IF(AA175="Failed",VLOOKUP($D$3,Calcs!$A$110:$B$122,2,TRUE),VLOOKUP($D$3-(IF((Character!$B$9+W175)&gt;($D$3+Y175),(Character!$B$9+W175)-($D$3+Y175),0)),Calcs!$A$110:$B$122,2,TRUE)))))</f>
        <v xml:space="preserve"> </v>
      </c>
      <c r="AE175" s="490"/>
      <c r="AF175" s="879"/>
      <c r="AG175" s="491"/>
    </row>
    <row r="176" spans="1:33" x14ac:dyDescent="0.2">
      <c r="A176" s="415">
        <f t="shared" si="4"/>
        <v>1254</v>
      </c>
      <c r="B176" s="419" t="str">
        <f t="shared" si="5"/>
        <v>Winter</v>
      </c>
      <c r="C176" s="455"/>
      <c r="D176" s="504"/>
      <c r="E176" s="455"/>
      <c r="F176" s="504"/>
      <c r="G176" s="455"/>
      <c r="H176" s="504"/>
      <c r="I176" s="455"/>
      <c r="J176" s="504"/>
      <c r="L176" s="472"/>
      <c r="M176" s="468"/>
      <c r="N176" s="468"/>
      <c r="O176" s="468"/>
      <c r="P176" s="468"/>
      <c r="Q176" s="473"/>
      <c r="R176" s="477" t="str">
        <f>IF(AND(COUNTIF('Start Character'!$I$63:$M$77,"Twilight Prone")=1,NOT(ISERROR(FIND("Magical Botch",M176)))),"Yes",IF(P176&gt;1,"Yes","No"))</f>
        <v>No</v>
      </c>
      <c r="S176" s="501"/>
      <c r="T176" s="478"/>
      <c r="U176" s="501"/>
      <c r="V176" s="479" t="str">
        <f>IF(R176="No","No Twilight",IF(T176="Yes","Uncomprehended Twilight",IF((Character!$B$14+IF(Character!$B$53="Yes",0,Character!$B$53)+IF(Magic!$C$5="Yes",2,0)+ROUNDUP((Magic!$B$30+IF(Magic!$C$30="Yes",3,0))/5,0)+S176)&gt;=($D$3+P176+SUMIF(Character!$I$62:$I$66,"Enigmatic Wisdom",Character!$J$62:$J$66)+Q176+U176),"No Twilight","Twilight")))</f>
        <v>No Twilight</v>
      </c>
      <c r="W176" s="483"/>
      <c r="X176" s="478"/>
      <c r="Y176" s="484"/>
      <c r="Z176" s="478"/>
      <c r="AA176" s="485" t="str">
        <f>IF(V176="Uncomprehended Twilight","Failed",IF(OR(ISBLANK(W176),ISBLANK(Y176))," ",IF(NOT(ISBLANK(X176)),"Failed",IF((W176+Character!$B$9+SUMIF(Character!$I$62:$I$66,"Enigmatic Wisdom",Character!$J$62:$J$66))&gt;=IF(Z176="Yes",0,(Y176+D171)),"Succeeded","Failed"))))</f>
        <v xml:space="preserve"> </v>
      </c>
      <c r="AB176" s="477" t="str">
        <f>IF(AA176=" "," ",IF(NOT(ISBLANK(X176)),VLOOKUP($D$3+X176,Calcs!$A$110:$C$122,3,TRUE),IF(AA176="Failed",VLOOKUP($D$3,Calcs!$A$110:$C$122,3,TRUE),VLOOKUP($D$3-(IF((Character!$B$9+W176)&gt;($D$3+Y176),(Character!$B$9+W176)-($D$3+Y176),0)),Calcs!$A$110:$C$122,3,TRUE))))</f>
        <v xml:space="preserve"> </v>
      </c>
      <c r="AC176" s="489"/>
      <c r="AD176" s="489" t="str">
        <f>IF(IF(AA176=" "," ",IF(NOT(ISBLANK(X176)),VLOOKUP($D$3+X176,Calcs!$A$110:$B$122,2,TRUE),IF(AA176="Failed",VLOOKUP($D$3,Calcs!$A$110:$B$122,2,TRUE),VLOOKUP($D$3-(IF((Character!$B$9+W176)&gt;($D$3+Y176),(Character!$B$9+W176)-($D$3+Y176),0)),Calcs!$A$110:$B$122,2,TRUE))))=Calcs!$B$120,IF(ISBLANK(AC176)," ",CONCATENATE(AC176+7," Years")),IF(AA176=" "," ",IF(NOT(ISBLANK(X176)),VLOOKUP($D$3+X176,Calcs!$A$110:$B$122,2,TRUE),IF(AA176="Failed",VLOOKUP($D$3,Calcs!$A$110:$B$122,2,TRUE),VLOOKUP($D$3-(IF((Character!$B$9+W176)&gt;($D$3+Y176),(Character!$B$9+W176)-($D$3+Y176),0)),Calcs!$A$110:$B$122,2,TRUE)))))</f>
        <v xml:space="preserve"> </v>
      </c>
      <c r="AE176" s="490"/>
      <c r="AF176" s="879"/>
      <c r="AG176" s="491"/>
    </row>
    <row r="177" spans="1:33" x14ac:dyDescent="0.2">
      <c r="A177" s="415">
        <f t="shared" si="4"/>
        <v>1254</v>
      </c>
      <c r="B177" s="419" t="str">
        <f t="shared" si="5"/>
        <v>Spring</v>
      </c>
      <c r="C177" s="455"/>
      <c r="D177" s="504"/>
      <c r="E177" s="455"/>
      <c r="F177" s="504"/>
      <c r="G177" s="455"/>
      <c r="H177" s="504"/>
      <c r="I177" s="455"/>
      <c r="J177" s="504"/>
      <c r="L177" s="472"/>
      <c r="M177" s="468"/>
      <c r="N177" s="468"/>
      <c r="O177" s="468"/>
      <c r="P177" s="468"/>
      <c r="Q177" s="473"/>
      <c r="R177" s="477" t="str">
        <f>IF(AND(COUNTIF('Start Character'!$I$63:$M$77,"Twilight Prone")=1,NOT(ISERROR(FIND("Magical Botch",M177)))),"Yes",IF(P177&gt;1,"Yes","No"))</f>
        <v>No</v>
      </c>
      <c r="S177" s="501"/>
      <c r="T177" s="478"/>
      <c r="U177" s="501"/>
      <c r="V177" s="479" t="str">
        <f>IF(R177="No","No Twilight",IF(T177="Yes","Uncomprehended Twilight",IF((Character!$B$14+IF(Character!$B$53="Yes",0,Character!$B$53)+IF(Magic!$C$5="Yes",2,0)+ROUNDUP((Magic!$B$30+IF(Magic!$C$30="Yes",3,0))/5,0)+S177)&gt;=($D$3+P177+SUMIF(Character!$I$62:$I$66,"Enigmatic Wisdom",Character!$J$62:$J$66)+Q177+U177),"No Twilight","Twilight")))</f>
        <v>No Twilight</v>
      </c>
      <c r="W177" s="483"/>
      <c r="X177" s="478"/>
      <c r="Y177" s="484"/>
      <c r="Z177" s="478"/>
      <c r="AA177" s="485" t="str">
        <f>IF(V177="Uncomprehended Twilight","Failed",IF(OR(ISBLANK(W177),ISBLANK(Y177))," ",IF(NOT(ISBLANK(X177)),"Failed",IF((W177+Character!$B$9+SUMIF(Character!$I$62:$I$66,"Enigmatic Wisdom",Character!$J$62:$J$66))&gt;=IF(Z177="Yes",0,(Y177+D172)),"Succeeded","Failed"))))</f>
        <v xml:space="preserve"> </v>
      </c>
      <c r="AB177" s="477" t="str">
        <f>IF(AA177=" "," ",IF(NOT(ISBLANK(X177)),VLOOKUP($D$3+X177,Calcs!$A$110:$C$122,3,TRUE),IF(AA177="Failed",VLOOKUP($D$3,Calcs!$A$110:$C$122,3,TRUE),VLOOKUP($D$3-(IF((Character!$B$9+W177)&gt;($D$3+Y177),(Character!$B$9+W177)-($D$3+Y177),0)),Calcs!$A$110:$C$122,3,TRUE))))</f>
        <v xml:space="preserve"> </v>
      </c>
      <c r="AC177" s="489"/>
      <c r="AD177" s="489" t="str">
        <f>IF(IF(AA177=" "," ",IF(NOT(ISBLANK(X177)),VLOOKUP($D$3+X177,Calcs!$A$110:$B$122,2,TRUE),IF(AA177="Failed",VLOOKUP($D$3,Calcs!$A$110:$B$122,2,TRUE),VLOOKUP($D$3-(IF((Character!$B$9+W177)&gt;($D$3+Y177),(Character!$B$9+W177)-($D$3+Y177),0)),Calcs!$A$110:$B$122,2,TRUE))))=Calcs!$B$120,IF(ISBLANK(AC177)," ",CONCATENATE(AC177+7," Years")),IF(AA177=" "," ",IF(NOT(ISBLANK(X177)),VLOOKUP($D$3+X177,Calcs!$A$110:$B$122,2,TRUE),IF(AA177="Failed",VLOOKUP($D$3,Calcs!$A$110:$B$122,2,TRUE),VLOOKUP($D$3-(IF((Character!$B$9+W177)&gt;($D$3+Y177),(Character!$B$9+W177)-($D$3+Y177),0)),Calcs!$A$110:$B$122,2,TRUE)))))</f>
        <v xml:space="preserve"> </v>
      </c>
      <c r="AE177" s="490"/>
      <c r="AF177" s="879"/>
      <c r="AG177" s="491"/>
    </row>
    <row r="178" spans="1:33" x14ac:dyDescent="0.2">
      <c r="A178" s="415">
        <f t="shared" si="4"/>
        <v>1254</v>
      </c>
      <c r="B178" s="419" t="str">
        <f t="shared" si="5"/>
        <v>Summer</v>
      </c>
      <c r="C178" s="455"/>
      <c r="D178" s="504"/>
      <c r="E178" s="455"/>
      <c r="F178" s="504"/>
      <c r="G178" s="455"/>
      <c r="H178" s="504"/>
      <c r="I178" s="455"/>
      <c r="J178" s="504"/>
      <c r="L178" s="472"/>
      <c r="M178" s="468"/>
      <c r="N178" s="468"/>
      <c r="O178" s="468"/>
      <c r="P178" s="468"/>
      <c r="Q178" s="473"/>
      <c r="R178" s="477" t="str">
        <f>IF(AND(COUNTIF('Start Character'!$I$63:$M$77,"Twilight Prone")=1,NOT(ISERROR(FIND("Magical Botch",M178)))),"Yes",IF(P178&gt;1,"Yes","No"))</f>
        <v>No</v>
      </c>
      <c r="S178" s="501"/>
      <c r="T178" s="478"/>
      <c r="U178" s="501"/>
      <c r="V178" s="479" t="str">
        <f>IF(R178="No","No Twilight",IF(T178="Yes","Uncomprehended Twilight",IF((Character!$B$14+IF(Character!$B$53="Yes",0,Character!$B$53)+IF(Magic!$C$5="Yes",2,0)+ROUNDUP((Magic!$B$30+IF(Magic!$C$30="Yes",3,0))/5,0)+S178)&gt;=($D$3+P178+SUMIF(Character!$I$62:$I$66,"Enigmatic Wisdom",Character!$J$62:$J$66)+Q178+U178),"No Twilight","Twilight")))</f>
        <v>No Twilight</v>
      </c>
      <c r="W178" s="483"/>
      <c r="X178" s="478"/>
      <c r="Y178" s="484"/>
      <c r="Z178" s="478"/>
      <c r="AA178" s="485" t="str">
        <f>IF(V178="Uncomprehended Twilight","Failed",IF(OR(ISBLANK(W178),ISBLANK(Y178))," ",IF(NOT(ISBLANK(X178)),"Failed",IF((W178+Character!$B$9+SUMIF(Character!$I$62:$I$66,"Enigmatic Wisdom",Character!$J$62:$J$66))&gt;=IF(Z178="Yes",0,(Y178+D173)),"Succeeded","Failed"))))</f>
        <v xml:space="preserve"> </v>
      </c>
      <c r="AB178" s="477" t="str">
        <f>IF(AA178=" "," ",IF(NOT(ISBLANK(X178)),VLOOKUP($D$3+X178,Calcs!$A$110:$C$122,3,TRUE),IF(AA178="Failed",VLOOKUP($D$3,Calcs!$A$110:$C$122,3,TRUE),VLOOKUP($D$3-(IF((Character!$B$9+W178)&gt;($D$3+Y178),(Character!$B$9+W178)-($D$3+Y178),0)),Calcs!$A$110:$C$122,3,TRUE))))</f>
        <v xml:space="preserve"> </v>
      </c>
      <c r="AC178" s="489"/>
      <c r="AD178" s="489" t="str">
        <f>IF(IF(AA178=" "," ",IF(NOT(ISBLANK(X178)),VLOOKUP($D$3+X178,Calcs!$A$110:$B$122,2,TRUE),IF(AA178="Failed",VLOOKUP($D$3,Calcs!$A$110:$B$122,2,TRUE),VLOOKUP($D$3-(IF((Character!$B$9+W178)&gt;($D$3+Y178),(Character!$B$9+W178)-($D$3+Y178),0)),Calcs!$A$110:$B$122,2,TRUE))))=Calcs!$B$120,IF(ISBLANK(AC178)," ",CONCATENATE(AC178+7," Years")),IF(AA178=" "," ",IF(NOT(ISBLANK(X178)),VLOOKUP($D$3+X178,Calcs!$A$110:$B$122,2,TRUE),IF(AA178="Failed",VLOOKUP($D$3,Calcs!$A$110:$B$122,2,TRUE),VLOOKUP($D$3-(IF((Character!$B$9+W178)&gt;($D$3+Y178),(Character!$B$9+W178)-($D$3+Y178),0)),Calcs!$A$110:$B$122,2,TRUE)))))</f>
        <v xml:space="preserve"> </v>
      </c>
      <c r="AE178" s="490"/>
      <c r="AF178" s="879"/>
      <c r="AG178" s="491"/>
    </row>
    <row r="179" spans="1:33" x14ac:dyDescent="0.2">
      <c r="A179" s="415">
        <f t="shared" si="4"/>
        <v>1254</v>
      </c>
      <c r="B179" s="419" t="str">
        <f t="shared" si="5"/>
        <v>Autumn</v>
      </c>
      <c r="C179" s="455"/>
      <c r="D179" s="504"/>
      <c r="E179" s="455"/>
      <c r="F179" s="504"/>
      <c r="G179" s="455"/>
      <c r="H179" s="504"/>
      <c r="I179" s="455"/>
      <c r="J179" s="504"/>
      <c r="L179" s="472"/>
      <c r="M179" s="468"/>
      <c r="N179" s="468"/>
      <c r="O179" s="468"/>
      <c r="P179" s="468"/>
      <c r="Q179" s="473"/>
      <c r="R179" s="477" t="str">
        <f>IF(AND(COUNTIF('Start Character'!$I$63:$M$77,"Twilight Prone")=1,NOT(ISERROR(FIND("Magical Botch",M179)))),"Yes",IF(P179&gt;1,"Yes","No"))</f>
        <v>No</v>
      </c>
      <c r="S179" s="501"/>
      <c r="T179" s="478"/>
      <c r="U179" s="501"/>
      <c r="V179" s="479" t="str">
        <f>IF(R179="No","No Twilight",IF(T179="Yes","Uncomprehended Twilight",IF((Character!$B$14+IF(Character!$B$53="Yes",0,Character!$B$53)+IF(Magic!$C$5="Yes",2,0)+ROUNDUP((Magic!$B$30+IF(Magic!$C$30="Yes",3,0))/5,0)+S179)&gt;=($D$3+P179+SUMIF(Character!$I$62:$I$66,"Enigmatic Wisdom",Character!$J$62:$J$66)+Q179+U179),"No Twilight","Twilight")))</f>
        <v>No Twilight</v>
      </c>
      <c r="W179" s="483"/>
      <c r="X179" s="478"/>
      <c r="Y179" s="484"/>
      <c r="Z179" s="478"/>
      <c r="AA179" s="485" t="str">
        <f>IF(V179="Uncomprehended Twilight","Failed",IF(OR(ISBLANK(W179),ISBLANK(Y179))," ",IF(NOT(ISBLANK(X179)),"Failed",IF((W179+Character!$B$9+SUMIF(Character!$I$62:$I$66,"Enigmatic Wisdom",Character!$J$62:$J$66))&gt;=IF(Z179="Yes",0,(Y179+D174)),"Succeeded","Failed"))))</f>
        <v xml:space="preserve"> </v>
      </c>
      <c r="AB179" s="477" t="str">
        <f>IF(AA179=" "," ",IF(NOT(ISBLANK(X179)),VLOOKUP($D$3+X179,Calcs!$A$110:$C$122,3,TRUE),IF(AA179="Failed",VLOOKUP($D$3,Calcs!$A$110:$C$122,3,TRUE),VLOOKUP($D$3-(IF((Character!$B$9+W179)&gt;($D$3+Y179),(Character!$B$9+W179)-($D$3+Y179),0)),Calcs!$A$110:$C$122,3,TRUE))))</f>
        <v xml:space="preserve"> </v>
      </c>
      <c r="AC179" s="489"/>
      <c r="AD179" s="489" t="str">
        <f>IF(IF(AA179=" "," ",IF(NOT(ISBLANK(X179)),VLOOKUP($D$3+X179,Calcs!$A$110:$B$122,2,TRUE),IF(AA179="Failed",VLOOKUP($D$3,Calcs!$A$110:$B$122,2,TRUE),VLOOKUP($D$3-(IF((Character!$B$9+W179)&gt;($D$3+Y179),(Character!$B$9+W179)-($D$3+Y179),0)),Calcs!$A$110:$B$122,2,TRUE))))=Calcs!$B$120,IF(ISBLANK(AC179)," ",CONCATENATE(AC179+7," Years")),IF(AA179=" "," ",IF(NOT(ISBLANK(X179)),VLOOKUP($D$3+X179,Calcs!$A$110:$B$122,2,TRUE),IF(AA179="Failed",VLOOKUP($D$3,Calcs!$A$110:$B$122,2,TRUE),VLOOKUP($D$3-(IF((Character!$B$9+W179)&gt;($D$3+Y179),(Character!$B$9+W179)-($D$3+Y179),0)),Calcs!$A$110:$B$122,2,TRUE)))))</f>
        <v xml:space="preserve"> </v>
      </c>
      <c r="AE179" s="490"/>
      <c r="AF179" s="879"/>
      <c r="AG179" s="491"/>
    </row>
    <row r="180" spans="1:33" x14ac:dyDescent="0.2">
      <c r="A180" s="415">
        <f t="shared" si="4"/>
        <v>1255</v>
      </c>
      <c r="B180" s="419" t="str">
        <f t="shared" si="5"/>
        <v>Winter</v>
      </c>
      <c r="C180" s="455"/>
      <c r="D180" s="504"/>
      <c r="E180" s="455"/>
      <c r="F180" s="504"/>
      <c r="G180" s="455"/>
      <c r="H180" s="504"/>
      <c r="I180" s="455"/>
      <c r="J180" s="504"/>
      <c r="L180" s="472"/>
      <c r="M180" s="468"/>
      <c r="N180" s="468"/>
      <c r="O180" s="468"/>
      <c r="P180" s="468"/>
      <c r="Q180" s="473"/>
      <c r="R180" s="477" t="str">
        <f>IF(AND(COUNTIF('Start Character'!$I$63:$M$77,"Twilight Prone")=1,NOT(ISERROR(FIND("Magical Botch",M180)))),"Yes",IF(P180&gt;1,"Yes","No"))</f>
        <v>No</v>
      </c>
      <c r="S180" s="501"/>
      <c r="T180" s="478"/>
      <c r="U180" s="501"/>
      <c r="V180" s="479" t="str">
        <f>IF(R180="No","No Twilight",IF(T180="Yes","Uncomprehended Twilight",IF((Character!$B$14+IF(Character!$B$53="Yes",0,Character!$B$53)+IF(Magic!$C$5="Yes",2,0)+ROUNDUP((Magic!$B$30+IF(Magic!$C$30="Yes",3,0))/5,0)+S180)&gt;=($D$3+P180+SUMIF(Character!$I$62:$I$66,"Enigmatic Wisdom",Character!$J$62:$J$66)+Q180+U180),"No Twilight","Twilight")))</f>
        <v>No Twilight</v>
      </c>
      <c r="W180" s="483"/>
      <c r="X180" s="478"/>
      <c r="Y180" s="484"/>
      <c r="Z180" s="478"/>
      <c r="AA180" s="485" t="str">
        <f>IF(V180="Uncomprehended Twilight","Failed",IF(OR(ISBLANK(W180),ISBLANK(Y180))," ",IF(NOT(ISBLANK(X180)),"Failed",IF((W180+Character!$B$9+SUMIF(Character!$I$62:$I$66,"Enigmatic Wisdom",Character!$J$62:$J$66))&gt;=IF(Z180="Yes",0,(Y180+D175)),"Succeeded","Failed"))))</f>
        <v xml:space="preserve"> </v>
      </c>
      <c r="AB180" s="477" t="str">
        <f>IF(AA180=" "," ",IF(NOT(ISBLANK(X180)),VLOOKUP($D$3+X180,Calcs!$A$110:$C$122,3,TRUE),IF(AA180="Failed",VLOOKUP($D$3,Calcs!$A$110:$C$122,3,TRUE),VLOOKUP($D$3-(IF((Character!$B$9+W180)&gt;($D$3+Y180),(Character!$B$9+W180)-($D$3+Y180),0)),Calcs!$A$110:$C$122,3,TRUE))))</f>
        <v xml:space="preserve"> </v>
      </c>
      <c r="AC180" s="489"/>
      <c r="AD180" s="489" t="str">
        <f>IF(IF(AA180=" "," ",IF(NOT(ISBLANK(X180)),VLOOKUP($D$3+X180,Calcs!$A$110:$B$122,2,TRUE),IF(AA180="Failed",VLOOKUP($D$3,Calcs!$A$110:$B$122,2,TRUE),VLOOKUP($D$3-(IF((Character!$B$9+W180)&gt;($D$3+Y180),(Character!$B$9+W180)-($D$3+Y180),0)),Calcs!$A$110:$B$122,2,TRUE))))=Calcs!$B$120,IF(ISBLANK(AC180)," ",CONCATENATE(AC180+7," Years")),IF(AA180=" "," ",IF(NOT(ISBLANK(X180)),VLOOKUP($D$3+X180,Calcs!$A$110:$B$122,2,TRUE),IF(AA180="Failed",VLOOKUP($D$3,Calcs!$A$110:$B$122,2,TRUE),VLOOKUP($D$3-(IF((Character!$B$9+W180)&gt;($D$3+Y180),(Character!$B$9+W180)-($D$3+Y180),0)),Calcs!$A$110:$B$122,2,TRUE)))))</f>
        <v xml:space="preserve"> </v>
      </c>
      <c r="AE180" s="490"/>
      <c r="AF180" s="879"/>
      <c r="AG180" s="491"/>
    </row>
    <row r="181" spans="1:33" x14ac:dyDescent="0.2">
      <c r="A181" s="415">
        <f t="shared" si="4"/>
        <v>1255</v>
      </c>
      <c r="B181" s="419" t="str">
        <f t="shared" si="5"/>
        <v>Spring</v>
      </c>
      <c r="C181" s="455"/>
      <c r="D181" s="504"/>
      <c r="E181" s="455"/>
      <c r="F181" s="504"/>
      <c r="G181" s="455"/>
      <c r="H181" s="504"/>
      <c r="I181" s="455"/>
      <c r="J181" s="504"/>
      <c r="L181" s="472"/>
      <c r="M181" s="468"/>
      <c r="N181" s="468"/>
      <c r="O181" s="468"/>
      <c r="P181" s="468"/>
      <c r="Q181" s="473"/>
      <c r="R181" s="477" t="str">
        <f>IF(AND(COUNTIF('Start Character'!$I$63:$M$77,"Twilight Prone")=1,NOT(ISERROR(FIND("Magical Botch",M181)))),"Yes",IF(P181&gt;1,"Yes","No"))</f>
        <v>No</v>
      </c>
      <c r="S181" s="501"/>
      <c r="T181" s="478"/>
      <c r="U181" s="501"/>
      <c r="V181" s="479" t="str">
        <f>IF(R181="No","No Twilight",IF(T181="Yes","Uncomprehended Twilight",IF((Character!$B$14+IF(Character!$B$53="Yes",0,Character!$B$53)+IF(Magic!$C$5="Yes",2,0)+ROUNDUP((Magic!$B$30+IF(Magic!$C$30="Yes",3,0))/5,0)+S181)&gt;=($D$3+P181+SUMIF(Character!$I$62:$I$66,"Enigmatic Wisdom",Character!$J$62:$J$66)+Q181+U181),"No Twilight","Twilight")))</f>
        <v>No Twilight</v>
      </c>
      <c r="W181" s="483"/>
      <c r="X181" s="478"/>
      <c r="Y181" s="484"/>
      <c r="Z181" s="478"/>
      <c r="AA181" s="485" t="str">
        <f>IF(V181="Uncomprehended Twilight","Failed",IF(OR(ISBLANK(W181),ISBLANK(Y181))," ",IF(NOT(ISBLANK(X181)),"Failed",IF((W181+Character!$B$9+SUMIF(Character!$I$62:$I$66,"Enigmatic Wisdom",Character!$J$62:$J$66))&gt;=IF(Z181="Yes",0,(Y181+D176)),"Succeeded","Failed"))))</f>
        <v xml:space="preserve"> </v>
      </c>
      <c r="AB181" s="477" t="str">
        <f>IF(AA181=" "," ",IF(NOT(ISBLANK(X181)),VLOOKUP($D$3+X181,Calcs!$A$110:$C$122,3,TRUE),IF(AA181="Failed",VLOOKUP($D$3,Calcs!$A$110:$C$122,3,TRUE),VLOOKUP($D$3-(IF((Character!$B$9+W181)&gt;($D$3+Y181),(Character!$B$9+W181)-($D$3+Y181),0)),Calcs!$A$110:$C$122,3,TRUE))))</f>
        <v xml:space="preserve"> </v>
      </c>
      <c r="AC181" s="489"/>
      <c r="AD181" s="489" t="str">
        <f>IF(IF(AA181=" "," ",IF(NOT(ISBLANK(X181)),VLOOKUP($D$3+X181,Calcs!$A$110:$B$122,2,TRUE),IF(AA181="Failed",VLOOKUP($D$3,Calcs!$A$110:$B$122,2,TRUE),VLOOKUP($D$3-(IF((Character!$B$9+W181)&gt;($D$3+Y181),(Character!$B$9+W181)-($D$3+Y181),0)),Calcs!$A$110:$B$122,2,TRUE))))=Calcs!$B$120,IF(ISBLANK(AC181)," ",CONCATENATE(AC181+7," Years")),IF(AA181=" "," ",IF(NOT(ISBLANK(X181)),VLOOKUP($D$3+X181,Calcs!$A$110:$B$122,2,TRUE),IF(AA181="Failed",VLOOKUP($D$3,Calcs!$A$110:$B$122,2,TRUE),VLOOKUP($D$3-(IF((Character!$B$9+W181)&gt;($D$3+Y181),(Character!$B$9+W181)-($D$3+Y181),0)),Calcs!$A$110:$B$122,2,TRUE)))))</f>
        <v xml:space="preserve"> </v>
      </c>
      <c r="AE181" s="490"/>
      <c r="AF181" s="879"/>
      <c r="AG181" s="491"/>
    </row>
    <row r="182" spans="1:33" x14ac:dyDescent="0.2">
      <c r="A182" s="415">
        <f t="shared" si="4"/>
        <v>1255</v>
      </c>
      <c r="B182" s="419" t="str">
        <f t="shared" si="5"/>
        <v>Summer</v>
      </c>
      <c r="C182" s="455"/>
      <c r="D182" s="504"/>
      <c r="E182" s="455"/>
      <c r="F182" s="504"/>
      <c r="G182" s="455"/>
      <c r="H182" s="504"/>
      <c r="I182" s="455"/>
      <c r="J182" s="504"/>
      <c r="L182" s="472"/>
      <c r="M182" s="468"/>
      <c r="N182" s="468"/>
      <c r="O182" s="468"/>
      <c r="P182" s="468"/>
      <c r="Q182" s="473"/>
      <c r="R182" s="477" t="str">
        <f>IF(AND(COUNTIF('Start Character'!$I$63:$M$77,"Twilight Prone")=1,NOT(ISERROR(FIND("Magical Botch",M182)))),"Yes",IF(P182&gt;1,"Yes","No"))</f>
        <v>No</v>
      </c>
      <c r="S182" s="501"/>
      <c r="T182" s="478"/>
      <c r="U182" s="501"/>
      <c r="V182" s="479" t="str">
        <f>IF(R182="No","No Twilight",IF(T182="Yes","Uncomprehended Twilight",IF((Character!$B$14+IF(Character!$B$53="Yes",0,Character!$B$53)+IF(Magic!$C$5="Yes",2,0)+ROUNDUP((Magic!$B$30+IF(Magic!$C$30="Yes",3,0))/5,0)+S182)&gt;=($D$3+P182+SUMIF(Character!$I$62:$I$66,"Enigmatic Wisdom",Character!$J$62:$J$66)+Q182+U182),"No Twilight","Twilight")))</f>
        <v>No Twilight</v>
      </c>
      <c r="W182" s="483"/>
      <c r="X182" s="478"/>
      <c r="Y182" s="484"/>
      <c r="Z182" s="478"/>
      <c r="AA182" s="485" t="str">
        <f>IF(V182="Uncomprehended Twilight","Failed",IF(OR(ISBLANK(W182),ISBLANK(Y182))," ",IF(NOT(ISBLANK(X182)),"Failed",IF((W182+Character!$B$9+SUMIF(Character!$I$62:$I$66,"Enigmatic Wisdom",Character!$J$62:$J$66))&gt;=IF(Z182="Yes",0,(Y182+D177)),"Succeeded","Failed"))))</f>
        <v xml:space="preserve"> </v>
      </c>
      <c r="AB182" s="477" t="str">
        <f>IF(AA182=" "," ",IF(NOT(ISBLANK(X182)),VLOOKUP($D$3+X182,Calcs!$A$110:$C$122,3,TRUE),IF(AA182="Failed",VLOOKUP($D$3,Calcs!$A$110:$C$122,3,TRUE),VLOOKUP($D$3-(IF((Character!$B$9+W182)&gt;($D$3+Y182),(Character!$B$9+W182)-($D$3+Y182),0)),Calcs!$A$110:$C$122,3,TRUE))))</f>
        <v xml:space="preserve"> </v>
      </c>
      <c r="AC182" s="489"/>
      <c r="AD182" s="489" t="str">
        <f>IF(IF(AA182=" "," ",IF(NOT(ISBLANK(X182)),VLOOKUP($D$3+X182,Calcs!$A$110:$B$122,2,TRUE),IF(AA182="Failed",VLOOKUP($D$3,Calcs!$A$110:$B$122,2,TRUE),VLOOKUP($D$3-(IF((Character!$B$9+W182)&gt;($D$3+Y182),(Character!$B$9+W182)-($D$3+Y182),0)),Calcs!$A$110:$B$122,2,TRUE))))=Calcs!$B$120,IF(ISBLANK(AC182)," ",CONCATENATE(AC182+7," Years")),IF(AA182=" "," ",IF(NOT(ISBLANK(X182)),VLOOKUP($D$3+X182,Calcs!$A$110:$B$122,2,TRUE),IF(AA182="Failed",VLOOKUP($D$3,Calcs!$A$110:$B$122,2,TRUE),VLOOKUP($D$3-(IF((Character!$B$9+W182)&gt;($D$3+Y182),(Character!$B$9+W182)-($D$3+Y182),0)),Calcs!$A$110:$B$122,2,TRUE)))))</f>
        <v xml:space="preserve"> </v>
      </c>
      <c r="AE182" s="490"/>
      <c r="AF182" s="879"/>
      <c r="AG182" s="491"/>
    </row>
    <row r="183" spans="1:33" x14ac:dyDescent="0.2">
      <c r="A183" s="415">
        <f t="shared" si="4"/>
        <v>1255</v>
      </c>
      <c r="B183" s="419" t="str">
        <f t="shared" si="5"/>
        <v>Autumn</v>
      </c>
      <c r="C183" s="455"/>
      <c r="D183" s="504"/>
      <c r="E183" s="455"/>
      <c r="F183" s="504"/>
      <c r="G183" s="455"/>
      <c r="H183" s="504"/>
      <c r="I183" s="455"/>
      <c r="J183" s="504"/>
      <c r="L183" s="472"/>
      <c r="M183" s="468"/>
      <c r="N183" s="468"/>
      <c r="O183" s="468"/>
      <c r="P183" s="468"/>
      <c r="Q183" s="473"/>
      <c r="R183" s="477" t="str">
        <f>IF(AND(COUNTIF('Start Character'!$I$63:$M$77,"Twilight Prone")=1,NOT(ISERROR(FIND("Magical Botch",M183)))),"Yes",IF(P183&gt;1,"Yes","No"))</f>
        <v>No</v>
      </c>
      <c r="S183" s="501"/>
      <c r="T183" s="478"/>
      <c r="U183" s="501"/>
      <c r="V183" s="479" t="str">
        <f>IF(R183="No","No Twilight",IF(T183="Yes","Uncomprehended Twilight",IF((Character!$B$14+IF(Character!$B$53="Yes",0,Character!$B$53)+IF(Magic!$C$5="Yes",2,0)+ROUNDUP((Magic!$B$30+IF(Magic!$C$30="Yes",3,0))/5,0)+S183)&gt;=($D$3+P183+SUMIF(Character!$I$62:$I$66,"Enigmatic Wisdom",Character!$J$62:$J$66)+Q183+U183),"No Twilight","Twilight")))</f>
        <v>No Twilight</v>
      </c>
      <c r="W183" s="483"/>
      <c r="X183" s="478"/>
      <c r="Y183" s="484"/>
      <c r="Z183" s="478"/>
      <c r="AA183" s="485" t="str">
        <f>IF(V183="Uncomprehended Twilight","Failed",IF(OR(ISBLANK(W183),ISBLANK(Y183))," ",IF(NOT(ISBLANK(X183)),"Failed",IF((W183+Character!$B$9+SUMIF(Character!$I$62:$I$66,"Enigmatic Wisdom",Character!$J$62:$J$66))&gt;=IF(Z183="Yes",0,(Y183+D178)),"Succeeded","Failed"))))</f>
        <v xml:space="preserve"> </v>
      </c>
      <c r="AB183" s="477" t="str">
        <f>IF(AA183=" "," ",IF(NOT(ISBLANK(X183)),VLOOKUP($D$3+X183,Calcs!$A$110:$C$122,3,TRUE),IF(AA183="Failed",VLOOKUP($D$3,Calcs!$A$110:$C$122,3,TRUE),VLOOKUP($D$3-(IF((Character!$B$9+W183)&gt;($D$3+Y183),(Character!$B$9+W183)-($D$3+Y183),0)),Calcs!$A$110:$C$122,3,TRUE))))</f>
        <v xml:space="preserve"> </v>
      </c>
      <c r="AC183" s="489"/>
      <c r="AD183" s="489" t="str">
        <f>IF(IF(AA183=" "," ",IF(NOT(ISBLANK(X183)),VLOOKUP($D$3+X183,Calcs!$A$110:$B$122,2,TRUE),IF(AA183="Failed",VLOOKUP($D$3,Calcs!$A$110:$B$122,2,TRUE),VLOOKUP($D$3-(IF((Character!$B$9+W183)&gt;($D$3+Y183),(Character!$B$9+W183)-($D$3+Y183),0)),Calcs!$A$110:$B$122,2,TRUE))))=Calcs!$B$120,IF(ISBLANK(AC183)," ",CONCATENATE(AC183+7," Years")),IF(AA183=" "," ",IF(NOT(ISBLANK(X183)),VLOOKUP($D$3+X183,Calcs!$A$110:$B$122,2,TRUE),IF(AA183="Failed",VLOOKUP($D$3,Calcs!$A$110:$B$122,2,TRUE),VLOOKUP($D$3-(IF((Character!$B$9+W183)&gt;($D$3+Y183),(Character!$B$9+W183)-($D$3+Y183),0)),Calcs!$A$110:$B$122,2,TRUE)))))</f>
        <v xml:space="preserve"> </v>
      </c>
      <c r="AE183" s="490"/>
      <c r="AF183" s="879"/>
      <c r="AG183" s="491"/>
    </row>
    <row r="184" spans="1:33" x14ac:dyDescent="0.2">
      <c r="A184" s="415">
        <f t="shared" si="4"/>
        <v>1256</v>
      </c>
      <c r="B184" s="419" t="str">
        <f t="shared" si="5"/>
        <v>Winter</v>
      </c>
      <c r="C184" s="455"/>
      <c r="D184" s="504"/>
      <c r="E184" s="455"/>
      <c r="F184" s="504"/>
      <c r="G184" s="455"/>
      <c r="H184" s="504"/>
      <c r="I184" s="455"/>
      <c r="J184" s="504"/>
      <c r="L184" s="472"/>
      <c r="M184" s="468"/>
      <c r="N184" s="468"/>
      <c r="O184" s="468"/>
      <c r="P184" s="468"/>
      <c r="Q184" s="473"/>
      <c r="R184" s="477" t="str">
        <f>IF(AND(COUNTIF('Start Character'!$I$63:$M$77,"Twilight Prone")=1,NOT(ISERROR(FIND("Magical Botch",M184)))),"Yes",IF(P184&gt;1,"Yes","No"))</f>
        <v>No</v>
      </c>
      <c r="S184" s="501"/>
      <c r="T184" s="478"/>
      <c r="U184" s="501"/>
      <c r="V184" s="479" t="str">
        <f>IF(R184="No","No Twilight",IF(T184="Yes","Uncomprehended Twilight",IF((Character!$B$14+IF(Character!$B$53="Yes",0,Character!$B$53)+IF(Magic!$C$5="Yes",2,0)+ROUNDUP((Magic!$B$30+IF(Magic!$C$30="Yes",3,0))/5,0)+S184)&gt;=($D$3+P184+SUMIF(Character!$I$62:$I$66,"Enigmatic Wisdom",Character!$J$62:$J$66)+Q184+U184),"No Twilight","Twilight")))</f>
        <v>No Twilight</v>
      </c>
      <c r="W184" s="483"/>
      <c r="X184" s="478"/>
      <c r="Y184" s="484"/>
      <c r="Z184" s="478"/>
      <c r="AA184" s="485" t="str">
        <f>IF(V184="Uncomprehended Twilight","Failed",IF(OR(ISBLANK(W184),ISBLANK(Y184))," ",IF(NOT(ISBLANK(X184)),"Failed",IF((W184+Character!$B$9+SUMIF(Character!$I$62:$I$66,"Enigmatic Wisdom",Character!$J$62:$J$66))&gt;=IF(Z184="Yes",0,(Y184+D179)),"Succeeded","Failed"))))</f>
        <v xml:space="preserve"> </v>
      </c>
      <c r="AB184" s="477" t="str">
        <f>IF(AA184=" "," ",IF(NOT(ISBLANK(X184)),VLOOKUP($D$3+X184,Calcs!$A$110:$C$122,3,TRUE),IF(AA184="Failed",VLOOKUP($D$3,Calcs!$A$110:$C$122,3,TRUE),VLOOKUP($D$3-(IF((Character!$B$9+W184)&gt;($D$3+Y184),(Character!$B$9+W184)-($D$3+Y184),0)),Calcs!$A$110:$C$122,3,TRUE))))</f>
        <v xml:space="preserve"> </v>
      </c>
      <c r="AC184" s="489"/>
      <c r="AD184" s="489" t="str">
        <f>IF(IF(AA184=" "," ",IF(NOT(ISBLANK(X184)),VLOOKUP($D$3+X184,Calcs!$A$110:$B$122,2,TRUE),IF(AA184="Failed",VLOOKUP($D$3,Calcs!$A$110:$B$122,2,TRUE),VLOOKUP($D$3-(IF((Character!$B$9+W184)&gt;($D$3+Y184),(Character!$B$9+W184)-($D$3+Y184),0)),Calcs!$A$110:$B$122,2,TRUE))))=Calcs!$B$120,IF(ISBLANK(AC184)," ",CONCATENATE(AC184+7," Years")),IF(AA184=" "," ",IF(NOT(ISBLANK(X184)),VLOOKUP($D$3+X184,Calcs!$A$110:$B$122,2,TRUE),IF(AA184="Failed",VLOOKUP($D$3,Calcs!$A$110:$B$122,2,TRUE),VLOOKUP($D$3-(IF((Character!$B$9+W184)&gt;($D$3+Y184),(Character!$B$9+W184)-($D$3+Y184),0)),Calcs!$A$110:$B$122,2,TRUE)))))</f>
        <v xml:space="preserve"> </v>
      </c>
      <c r="AE184" s="490"/>
      <c r="AF184" s="879"/>
      <c r="AG184" s="491"/>
    </row>
    <row r="185" spans="1:33" x14ac:dyDescent="0.2">
      <c r="A185" s="415">
        <f t="shared" si="4"/>
        <v>1256</v>
      </c>
      <c r="B185" s="419" t="str">
        <f t="shared" si="5"/>
        <v>Spring</v>
      </c>
      <c r="C185" s="455"/>
      <c r="D185" s="504"/>
      <c r="E185" s="455"/>
      <c r="F185" s="504"/>
      <c r="G185" s="455"/>
      <c r="H185" s="504"/>
      <c r="I185" s="455"/>
      <c r="J185" s="504"/>
      <c r="L185" s="472"/>
      <c r="M185" s="468"/>
      <c r="N185" s="468"/>
      <c r="O185" s="468"/>
      <c r="P185" s="468"/>
      <c r="Q185" s="473"/>
      <c r="R185" s="477" t="str">
        <f>IF(AND(COUNTIF('Start Character'!$I$63:$M$77,"Twilight Prone")=1,NOT(ISERROR(FIND("Magical Botch",M185)))),"Yes",IF(P185&gt;1,"Yes","No"))</f>
        <v>No</v>
      </c>
      <c r="S185" s="501"/>
      <c r="T185" s="478"/>
      <c r="U185" s="501"/>
      <c r="V185" s="479" t="str">
        <f>IF(R185="No","No Twilight",IF(T185="Yes","Uncomprehended Twilight",IF((Character!$B$14+IF(Character!$B$53="Yes",0,Character!$B$53)+IF(Magic!$C$5="Yes",2,0)+ROUNDUP((Magic!$B$30+IF(Magic!$C$30="Yes",3,0))/5,0)+S185)&gt;=($D$3+P185+SUMIF(Character!$I$62:$I$66,"Enigmatic Wisdom",Character!$J$62:$J$66)+Q185+U185),"No Twilight","Twilight")))</f>
        <v>No Twilight</v>
      </c>
      <c r="W185" s="483"/>
      <c r="X185" s="478"/>
      <c r="Y185" s="484"/>
      <c r="Z185" s="478"/>
      <c r="AA185" s="485" t="str">
        <f>IF(V185="Uncomprehended Twilight","Failed",IF(OR(ISBLANK(W185),ISBLANK(Y185))," ",IF(NOT(ISBLANK(X185)),"Failed",IF((W185+Character!$B$9+SUMIF(Character!$I$62:$I$66,"Enigmatic Wisdom",Character!$J$62:$J$66))&gt;=IF(Z185="Yes",0,(Y185+D180)),"Succeeded","Failed"))))</f>
        <v xml:space="preserve"> </v>
      </c>
      <c r="AB185" s="477" t="str">
        <f>IF(AA185=" "," ",IF(NOT(ISBLANK(X185)),VLOOKUP($D$3+X185,Calcs!$A$110:$C$122,3,TRUE),IF(AA185="Failed",VLOOKUP($D$3,Calcs!$A$110:$C$122,3,TRUE),VLOOKUP($D$3-(IF((Character!$B$9+W185)&gt;($D$3+Y185),(Character!$B$9+W185)-($D$3+Y185),0)),Calcs!$A$110:$C$122,3,TRUE))))</f>
        <v xml:space="preserve"> </v>
      </c>
      <c r="AC185" s="489"/>
      <c r="AD185" s="489" t="str">
        <f>IF(IF(AA185=" "," ",IF(NOT(ISBLANK(X185)),VLOOKUP($D$3+X185,Calcs!$A$110:$B$122,2,TRUE),IF(AA185="Failed",VLOOKUP($D$3,Calcs!$A$110:$B$122,2,TRUE),VLOOKUP($D$3-(IF((Character!$B$9+W185)&gt;($D$3+Y185),(Character!$B$9+W185)-($D$3+Y185),0)),Calcs!$A$110:$B$122,2,TRUE))))=Calcs!$B$120,IF(ISBLANK(AC185)," ",CONCATENATE(AC185+7," Years")),IF(AA185=" "," ",IF(NOT(ISBLANK(X185)),VLOOKUP($D$3+X185,Calcs!$A$110:$B$122,2,TRUE),IF(AA185="Failed",VLOOKUP($D$3,Calcs!$A$110:$B$122,2,TRUE),VLOOKUP($D$3-(IF((Character!$B$9+W185)&gt;($D$3+Y185),(Character!$B$9+W185)-($D$3+Y185),0)),Calcs!$A$110:$B$122,2,TRUE)))))</f>
        <v xml:space="preserve"> </v>
      </c>
      <c r="AE185" s="490"/>
      <c r="AF185" s="879"/>
      <c r="AG185" s="491"/>
    </row>
    <row r="186" spans="1:33" x14ac:dyDescent="0.2">
      <c r="A186" s="415">
        <f t="shared" si="4"/>
        <v>1256</v>
      </c>
      <c r="B186" s="419" t="str">
        <f t="shared" si="5"/>
        <v>Summer</v>
      </c>
      <c r="C186" s="455"/>
      <c r="D186" s="504"/>
      <c r="E186" s="455"/>
      <c r="F186" s="504"/>
      <c r="G186" s="455"/>
      <c r="H186" s="504"/>
      <c r="I186" s="455"/>
      <c r="J186" s="504"/>
      <c r="L186" s="472"/>
      <c r="M186" s="468"/>
      <c r="N186" s="468"/>
      <c r="O186" s="468"/>
      <c r="P186" s="468"/>
      <c r="Q186" s="473"/>
      <c r="R186" s="477" t="str">
        <f>IF(AND(COUNTIF('Start Character'!$I$63:$M$77,"Twilight Prone")=1,NOT(ISERROR(FIND("Magical Botch",M186)))),"Yes",IF(P186&gt;1,"Yes","No"))</f>
        <v>No</v>
      </c>
      <c r="S186" s="501"/>
      <c r="T186" s="478"/>
      <c r="U186" s="501"/>
      <c r="V186" s="479" t="str">
        <f>IF(R186="No","No Twilight",IF(T186="Yes","Uncomprehended Twilight",IF((Character!$B$14+IF(Character!$B$53="Yes",0,Character!$B$53)+IF(Magic!$C$5="Yes",2,0)+ROUNDUP((Magic!$B$30+IF(Magic!$C$30="Yes",3,0))/5,0)+S186)&gt;=($D$3+P186+SUMIF(Character!$I$62:$I$66,"Enigmatic Wisdom",Character!$J$62:$J$66)+Q186+U186),"No Twilight","Twilight")))</f>
        <v>No Twilight</v>
      </c>
      <c r="W186" s="483"/>
      <c r="X186" s="478"/>
      <c r="Y186" s="484"/>
      <c r="Z186" s="478"/>
      <c r="AA186" s="485" t="str">
        <f>IF(V186="Uncomprehended Twilight","Failed",IF(OR(ISBLANK(W186),ISBLANK(Y186))," ",IF(NOT(ISBLANK(X186)),"Failed",IF((W186+Character!$B$9+SUMIF(Character!$I$62:$I$66,"Enigmatic Wisdom",Character!$J$62:$J$66))&gt;=IF(Z186="Yes",0,(Y186+D181)),"Succeeded","Failed"))))</f>
        <v xml:space="preserve"> </v>
      </c>
      <c r="AB186" s="477" t="str">
        <f>IF(AA186=" "," ",IF(NOT(ISBLANK(X186)),VLOOKUP($D$3+X186,Calcs!$A$110:$C$122,3,TRUE),IF(AA186="Failed",VLOOKUP($D$3,Calcs!$A$110:$C$122,3,TRUE),VLOOKUP($D$3-(IF((Character!$B$9+W186)&gt;($D$3+Y186),(Character!$B$9+W186)-($D$3+Y186),0)),Calcs!$A$110:$C$122,3,TRUE))))</f>
        <v xml:space="preserve"> </v>
      </c>
      <c r="AC186" s="489"/>
      <c r="AD186" s="489" t="str">
        <f>IF(IF(AA186=" "," ",IF(NOT(ISBLANK(X186)),VLOOKUP($D$3+X186,Calcs!$A$110:$B$122,2,TRUE),IF(AA186="Failed",VLOOKUP($D$3,Calcs!$A$110:$B$122,2,TRUE),VLOOKUP($D$3-(IF((Character!$B$9+W186)&gt;($D$3+Y186),(Character!$B$9+W186)-($D$3+Y186),0)),Calcs!$A$110:$B$122,2,TRUE))))=Calcs!$B$120,IF(ISBLANK(AC186)," ",CONCATENATE(AC186+7," Years")),IF(AA186=" "," ",IF(NOT(ISBLANK(X186)),VLOOKUP($D$3+X186,Calcs!$A$110:$B$122,2,TRUE),IF(AA186="Failed",VLOOKUP($D$3,Calcs!$A$110:$B$122,2,TRUE),VLOOKUP($D$3-(IF((Character!$B$9+W186)&gt;($D$3+Y186),(Character!$B$9+W186)-($D$3+Y186),0)),Calcs!$A$110:$B$122,2,TRUE)))))</f>
        <v xml:space="preserve"> </v>
      </c>
      <c r="AE186" s="490"/>
      <c r="AF186" s="879"/>
      <c r="AG186" s="491"/>
    </row>
    <row r="187" spans="1:33" x14ac:dyDescent="0.2">
      <c r="A187" s="415">
        <f t="shared" si="4"/>
        <v>1256</v>
      </c>
      <c r="B187" s="419" t="str">
        <f t="shared" si="5"/>
        <v>Autumn</v>
      </c>
      <c r="C187" s="455"/>
      <c r="D187" s="504"/>
      <c r="E187" s="455"/>
      <c r="F187" s="504"/>
      <c r="G187" s="455"/>
      <c r="H187" s="504"/>
      <c r="I187" s="455"/>
      <c r="J187" s="504"/>
      <c r="L187" s="472"/>
      <c r="M187" s="468"/>
      <c r="N187" s="468"/>
      <c r="O187" s="468"/>
      <c r="P187" s="468"/>
      <c r="Q187" s="473"/>
      <c r="R187" s="477" t="str">
        <f>IF(AND(COUNTIF('Start Character'!$I$63:$M$77,"Twilight Prone")=1,NOT(ISERROR(FIND("Magical Botch",M187)))),"Yes",IF(P187&gt;1,"Yes","No"))</f>
        <v>No</v>
      </c>
      <c r="S187" s="501"/>
      <c r="T187" s="478"/>
      <c r="U187" s="501"/>
      <c r="V187" s="479" t="str">
        <f>IF(R187="No","No Twilight",IF(T187="Yes","Uncomprehended Twilight",IF((Character!$B$14+IF(Character!$B$53="Yes",0,Character!$B$53)+IF(Magic!$C$5="Yes",2,0)+ROUNDUP((Magic!$B$30+IF(Magic!$C$30="Yes",3,0))/5,0)+S187)&gt;=($D$3+P187+SUMIF(Character!$I$62:$I$66,"Enigmatic Wisdom",Character!$J$62:$J$66)+Q187+U187),"No Twilight","Twilight")))</f>
        <v>No Twilight</v>
      </c>
      <c r="W187" s="483"/>
      <c r="X187" s="478"/>
      <c r="Y187" s="484"/>
      <c r="Z187" s="478"/>
      <c r="AA187" s="485" t="str">
        <f>IF(V187="Uncomprehended Twilight","Failed",IF(OR(ISBLANK(W187),ISBLANK(Y187))," ",IF(NOT(ISBLANK(X187)),"Failed",IF((W187+Character!$B$9+SUMIF(Character!$I$62:$I$66,"Enigmatic Wisdom",Character!$J$62:$J$66))&gt;=IF(Z187="Yes",0,(Y187+D182)),"Succeeded","Failed"))))</f>
        <v xml:space="preserve"> </v>
      </c>
      <c r="AB187" s="477" t="str">
        <f>IF(AA187=" "," ",IF(NOT(ISBLANK(X187)),VLOOKUP($D$3+X187,Calcs!$A$110:$C$122,3,TRUE),IF(AA187="Failed",VLOOKUP($D$3,Calcs!$A$110:$C$122,3,TRUE),VLOOKUP($D$3-(IF((Character!$B$9+W187)&gt;($D$3+Y187),(Character!$B$9+W187)-($D$3+Y187),0)),Calcs!$A$110:$C$122,3,TRUE))))</f>
        <v xml:space="preserve"> </v>
      </c>
      <c r="AC187" s="489"/>
      <c r="AD187" s="489" t="str">
        <f>IF(IF(AA187=" "," ",IF(NOT(ISBLANK(X187)),VLOOKUP($D$3+X187,Calcs!$A$110:$B$122,2,TRUE),IF(AA187="Failed",VLOOKUP($D$3,Calcs!$A$110:$B$122,2,TRUE),VLOOKUP($D$3-(IF((Character!$B$9+W187)&gt;($D$3+Y187),(Character!$B$9+W187)-($D$3+Y187),0)),Calcs!$A$110:$B$122,2,TRUE))))=Calcs!$B$120,IF(ISBLANK(AC187)," ",CONCATENATE(AC187+7," Years")),IF(AA187=" "," ",IF(NOT(ISBLANK(X187)),VLOOKUP($D$3+X187,Calcs!$A$110:$B$122,2,TRUE),IF(AA187="Failed",VLOOKUP($D$3,Calcs!$A$110:$B$122,2,TRUE),VLOOKUP($D$3-(IF((Character!$B$9+W187)&gt;($D$3+Y187),(Character!$B$9+W187)-($D$3+Y187),0)),Calcs!$A$110:$B$122,2,TRUE)))))</f>
        <v xml:space="preserve"> </v>
      </c>
      <c r="AE187" s="490"/>
      <c r="AF187" s="879"/>
      <c r="AG187" s="491"/>
    </row>
    <row r="188" spans="1:33" x14ac:dyDescent="0.2">
      <c r="A188" s="415">
        <f t="shared" si="4"/>
        <v>1257</v>
      </c>
      <c r="B188" s="419" t="str">
        <f t="shared" si="5"/>
        <v>Winter</v>
      </c>
      <c r="C188" s="455"/>
      <c r="D188" s="504"/>
      <c r="E188" s="455"/>
      <c r="F188" s="504"/>
      <c r="G188" s="455"/>
      <c r="H188" s="504"/>
      <c r="I188" s="455"/>
      <c r="J188" s="504"/>
      <c r="L188" s="472"/>
      <c r="M188" s="468"/>
      <c r="N188" s="468"/>
      <c r="O188" s="468"/>
      <c r="P188" s="468"/>
      <c r="Q188" s="473"/>
      <c r="R188" s="477" t="str">
        <f>IF(AND(COUNTIF('Start Character'!$I$63:$M$77,"Twilight Prone")=1,NOT(ISERROR(FIND("Magical Botch",M188)))),"Yes",IF(P188&gt;1,"Yes","No"))</f>
        <v>No</v>
      </c>
      <c r="S188" s="501"/>
      <c r="T188" s="478"/>
      <c r="U188" s="501"/>
      <c r="V188" s="479" t="str">
        <f>IF(R188="No","No Twilight",IF(T188="Yes","Uncomprehended Twilight",IF((Character!$B$14+IF(Character!$B$53="Yes",0,Character!$B$53)+IF(Magic!$C$5="Yes",2,0)+ROUNDUP((Magic!$B$30+IF(Magic!$C$30="Yes",3,0))/5,0)+S188)&gt;=($D$3+P188+SUMIF(Character!$I$62:$I$66,"Enigmatic Wisdom",Character!$J$62:$J$66)+Q188+U188),"No Twilight","Twilight")))</f>
        <v>No Twilight</v>
      </c>
      <c r="W188" s="483"/>
      <c r="X188" s="478"/>
      <c r="Y188" s="484"/>
      <c r="Z188" s="478"/>
      <c r="AA188" s="485" t="str">
        <f>IF(V188="Uncomprehended Twilight","Failed",IF(OR(ISBLANK(W188),ISBLANK(Y188))," ",IF(NOT(ISBLANK(X188)),"Failed",IF((W188+Character!$B$9+SUMIF(Character!$I$62:$I$66,"Enigmatic Wisdom",Character!$J$62:$J$66))&gt;=IF(Z188="Yes",0,(Y188+D183)),"Succeeded","Failed"))))</f>
        <v xml:space="preserve"> </v>
      </c>
      <c r="AB188" s="477" t="str">
        <f>IF(AA188=" "," ",IF(NOT(ISBLANK(X188)),VLOOKUP($D$3+X188,Calcs!$A$110:$C$122,3,TRUE),IF(AA188="Failed",VLOOKUP($D$3,Calcs!$A$110:$C$122,3,TRUE),VLOOKUP($D$3-(IF((Character!$B$9+W188)&gt;($D$3+Y188),(Character!$B$9+W188)-($D$3+Y188),0)),Calcs!$A$110:$C$122,3,TRUE))))</f>
        <v xml:space="preserve"> </v>
      </c>
      <c r="AC188" s="489"/>
      <c r="AD188" s="489" t="str">
        <f>IF(IF(AA188=" "," ",IF(NOT(ISBLANK(X188)),VLOOKUP($D$3+X188,Calcs!$A$110:$B$122,2,TRUE),IF(AA188="Failed",VLOOKUP($D$3,Calcs!$A$110:$B$122,2,TRUE),VLOOKUP($D$3-(IF((Character!$B$9+W188)&gt;($D$3+Y188),(Character!$B$9+W188)-($D$3+Y188),0)),Calcs!$A$110:$B$122,2,TRUE))))=Calcs!$B$120,IF(ISBLANK(AC188)," ",CONCATENATE(AC188+7," Years")),IF(AA188=" "," ",IF(NOT(ISBLANK(X188)),VLOOKUP($D$3+X188,Calcs!$A$110:$B$122,2,TRUE),IF(AA188="Failed",VLOOKUP($D$3,Calcs!$A$110:$B$122,2,TRUE),VLOOKUP($D$3-(IF((Character!$B$9+W188)&gt;($D$3+Y188),(Character!$B$9+W188)-($D$3+Y188),0)),Calcs!$A$110:$B$122,2,TRUE)))))</f>
        <v xml:space="preserve"> </v>
      </c>
      <c r="AE188" s="490"/>
      <c r="AF188" s="879"/>
      <c r="AG188" s="491"/>
    </row>
    <row r="189" spans="1:33" x14ac:dyDescent="0.2">
      <c r="A189" s="415">
        <f t="shared" si="4"/>
        <v>1257</v>
      </c>
      <c r="B189" s="419" t="str">
        <f t="shared" si="5"/>
        <v>Spring</v>
      </c>
      <c r="C189" s="455"/>
      <c r="D189" s="504"/>
      <c r="E189" s="455"/>
      <c r="F189" s="504"/>
      <c r="G189" s="455"/>
      <c r="H189" s="504"/>
      <c r="I189" s="455"/>
      <c r="J189" s="504"/>
      <c r="L189" s="472"/>
      <c r="M189" s="468"/>
      <c r="N189" s="468"/>
      <c r="O189" s="468"/>
      <c r="P189" s="468"/>
      <c r="Q189" s="473"/>
      <c r="R189" s="477" t="str">
        <f>IF(AND(COUNTIF('Start Character'!$I$63:$M$77,"Twilight Prone")=1,NOT(ISERROR(FIND("Magical Botch",M189)))),"Yes",IF(P189&gt;1,"Yes","No"))</f>
        <v>No</v>
      </c>
      <c r="S189" s="501"/>
      <c r="T189" s="478"/>
      <c r="U189" s="501"/>
      <c r="V189" s="479" t="str">
        <f>IF(R189="No","No Twilight",IF(T189="Yes","Uncomprehended Twilight",IF((Character!$B$14+IF(Character!$B$53="Yes",0,Character!$B$53)+IF(Magic!$C$5="Yes",2,0)+ROUNDUP((Magic!$B$30+IF(Magic!$C$30="Yes",3,0))/5,0)+S189)&gt;=($D$3+P189+SUMIF(Character!$I$62:$I$66,"Enigmatic Wisdom",Character!$J$62:$J$66)+Q189+U189),"No Twilight","Twilight")))</f>
        <v>No Twilight</v>
      </c>
      <c r="W189" s="483"/>
      <c r="X189" s="478"/>
      <c r="Y189" s="484"/>
      <c r="Z189" s="478"/>
      <c r="AA189" s="485" t="str">
        <f>IF(V189="Uncomprehended Twilight","Failed",IF(OR(ISBLANK(W189),ISBLANK(Y189))," ",IF(NOT(ISBLANK(X189)),"Failed",IF((W189+Character!$B$9+SUMIF(Character!$I$62:$I$66,"Enigmatic Wisdom",Character!$J$62:$J$66))&gt;=IF(Z189="Yes",0,(Y189+D184)),"Succeeded","Failed"))))</f>
        <v xml:space="preserve"> </v>
      </c>
      <c r="AB189" s="477" t="str">
        <f>IF(AA189=" "," ",IF(NOT(ISBLANK(X189)),VLOOKUP($D$3+X189,Calcs!$A$110:$C$122,3,TRUE),IF(AA189="Failed",VLOOKUP($D$3,Calcs!$A$110:$C$122,3,TRUE),VLOOKUP($D$3-(IF((Character!$B$9+W189)&gt;($D$3+Y189),(Character!$B$9+W189)-($D$3+Y189),0)),Calcs!$A$110:$C$122,3,TRUE))))</f>
        <v xml:space="preserve"> </v>
      </c>
      <c r="AC189" s="489"/>
      <c r="AD189" s="489" t="str">
        <f>IF(IF(AA189=" "," ",IF(NOT(ISBLANK(X189)),VLOOKUP($D$3+X189,Calcs!$A$110:$B$122,2,TRUE),IF(AA189="Failed",VLOOKUP($D$3,Calcs!$A$110:$B$122,2,TRUE),VLOOKUP($D$3-(IF((Character!$B$9+W189)&gt;($D$3+Y189),(Character!$B$9+W189)-($D$3+Y189),0)),Calcs!$A$110:$B$122,2,TRUE))))=Calcs!$B$120,IF(ISBLANK(AC189)," ",CONCATENATE(AC189+7," Years")),IF(AA189=" "," ",IF(NOT(ISBLANK(X189)),VLOOKUP($D$3+X189,Calcs!$A$110:$B$122,2,TRUE),IF(AA189="Failed",VLOOKUP($D$3,Calcs!$A$110:$B$122,2,TRUE),VLOOKUP($D$3-(IF((Character!$B$9+W189)&gt;($D$3+Y189),(Character!$B$9+W189)-($D$3+Y189),0)),Calcs!$A$110:$B$122,2,TRUE)))))</f>
        <v xml:space="preserve"> </v>
      </c>
      <c r="AE189" s="490"/>
      <c r="AF189" s="879"/>
      <c r="AG189" s="491"/>
    </row>
    <row r="190" spans="1:33" x14ac:dyDescent="0.2">
      <c r="A190" s="415">
        <f t="shared" si="4"/>
        <v>1257</v>
      </c>
      <c r="B190" s="419" t="str">
        <f t="shared" si="5"/>
        <v>Summer</v>
      </c>
      <c r="C190" s="455"/>
      <c r="D190" s="504"/>
      <c r="E190" s="455"/>
      <c r="F190" s="504"/>
      <c r="G190" s="455"/>
      <c r="H190" s="504"/>
      <c r="I190" s="455"/>
      <c r="J190" s="504"/>
      <c r="L190" s="472"/>
      <c r="M190" s="468"/>
      <c r="N190" s="468"/>
      <c r="O190" s="468"/>
      <c r="P190" s="468"/>
      <c r="Q190" s="473"/>
      <c r="R190" s="477" t="str">
        <f>IF(AND(COUNTIF('Start Character'!$I$63:$M$77,"Twilight Prone")=1,NOT(ISERROR(FIND("Magical Botch",M190)))),"Yes",IF(P190&gt;1,"Yes","No"))</f>
        <v>No</v>
      </c>
      <c r="S190" s="501"/>
      <c r="T190" s="478"/>
      <c r="U190" s="501"/>
      <c r="V190" s="479" t="str">
        <f>IF(R190="No","No Twilight",IF(T190="Yes","Uncomprehended Twilight",IF((Character!$B$14+IF(Character!$B$53="Yes",0,Character!$B$53)+IF(Magic!$C$5="Yes",2,0)+ROUNDUP((Magic!$B$30+IF(Magic!$C$30="Yes",3,0))/5,0)+S190)&gt;=($D$3+P190+SUMIF(Character!$I$62:$I$66,"Enigmatic Wisdom",Character!$J$62:$J$66)+Q190+U190),"No Twilight","Twilight")))</f>
        <v>No Twilight</v>
      </c>
      <c r="W190" s="483"/>
      <c r="X190" s="478"/>
      <c r="Y190" s="484"/>
      <c r="Z190" s="478"/>
      <c r="AA190" s="485" t="str">
        <f>IF(V190="Uncomprehended Twilight","Failed",IF(OR(ISBLANK(W190),ISBLANK(Y190))," ",IF(NOT(ISBLANK(X190)),"Failed",IF((W190+Character!$B$9+SUMIF(Character!$I$62:$I$66,"Enigmatic Wisdom",Character!$J$62:$J$66))&gt;=IF(Z190="Yes",0,(Y190+D185)),"Succeeded","Failed"))))</f>
        <v xml:space="preserve"> </v>
      </c>
      <c r="AB190" s="477" t="str">
        <f>IF(AA190=" "," ",IF(NOT(ISBLANK(X190)),VLOOKUP($D$3+X190,Calcs!$A$110:$C$122,3,TRUE),IF(AA190="Failed",VLOOKUP($D$3,Calcs!$A$110:$C$122,3,TRUE),VLOOKUP($D$3-(IF((Character!$B$9+W190)&gt;($D$3+Y190),(Character!$B$9+W190)-($D$3+Y190),0)),Calcs!$A$110:$C$122,3,TRUE))))</f>
        <v xml:space="preserve"> </v>
      </c>
      <c r="AC190" s="489"/>
      <c r="AD190" s="489" t="str">
        <f>IF(IF(AA190=" "," ",IF(NOT(ISBLANK(X190)),VLOOKUP($D$3+X190,Calcs!$A$110:$B$122,2,TRUE),IF(AA190="Failed",VLOOKUP($D$3,Calcs!$A$110:$B$122,2,TRUE),VLOOKUP($D$3-(IF((Character!$B$9+W190)&gt;($D$3+Y190),(Character!$B$9+W190)-($D$3+Y190),0)),Calcs!$A$110:$B$122,2,TRUE))))=Calcs!$B$120,IF(ISBLANK(AC190)," ",CONCATENATE(AC190+7," Years")),IF(AA190=" "," ",IF(NOT(ISBLANK(X190)),VLOOKUP($D$3+X190,Calcs!$A$110:$B$122,2,TRUE),IF(AA190="Failed",VLOOKUP($D$3,Calcs!$A$110:$B$122,2,TRUE),VLOOKUP($D$3-(IF((Character!$B$9+W190)&gt;($D$3+Y190),(Character!$B$9+W190)-($D$3+Y190),0)),Calcs!$A$110:$B$122,2,TRUE)))))</f>
        <v xml:space="preserve"> </v>
      </c>
      <c r="AE190" s="490"/>
      <c r="AF190" s="879"/>
      <c r="AG190" s="491"/>
    </row>
    <row r="191" spans="1:33" x14ac:dyDescent="0.2">
      <c r="A191" s="415">
        <f t="shared" si="4"/>
        <v>1257</v>
      </c>
      <c r="B191" s="419" t="str">
        <f t="shared" si="5"/>
        <v>Autumn</v>
      </c>
      <c r="C191" s="455"/>
      <c r="D191" s="504"/>
      <c r="E191" s="455"/>
      <c r="F191" s="504"/>
      <c r="G191" s="455"/>
      <c r="H191" s="504"/>
      <c r="I191" s="455"/>
      <c r="J191" s="504"/>
      <c r="L191" s="472"/>
      <c r="M191" s="468"/>
      <c r="N191" s="468"/>
      <c r="O191" s="468"/>
      <c r="P191" s="468"/>
      <c r="Q191" s="473"/>
      <c r="R191" s="477" t="str">
        <f>IF(AND(COUNTIF('Start Character'!$I$63:$M$77,"Twilight Prone")=1,NOT(ISERROR(FIND("Magical Botch",M191)))),"Yes",IF(P191&gt;1,"Yes","No"))</f>
        <v>No</v>
      </c>
      <c r="S191" s="501"/>
      <c r="T191" s="478"/>
      <c r="U191" s="501"/>
      <c r="V191" s="479" t="str">
        <f>IF(R191="No","No Twilight",IF(T191="Yes","Uncomprehended Twilight",IF((Character!$B$14+IF(Character!$B$53="Yes",0,Character!$B$53)+IF(Magic!$C$5="Yes",2,0)+ROUNDUP((Magic!$B$30+IF(Magic!$C$30="Yes",3,0))/5,0)+S191)&gt;=($D$3+P191+SUMIF(Character!$I$62:$I$66,"Enigmatic Wisdom",Character!$J$62:$J$66)+Q191+U191),"No Twilight","Twilight")))</f>
        <v>No Twilight</v>
      </c>
      <c r="W191" s="483"/>
      <c r="X191" s="478"/>
      <c r="Y191" s="484"/>
      <c r="Z191" s="478"/>
      <c r="AA191" s="485" t="str">
        <f>IF(V191="Uncomprehended Twilight","Failed",IF(OR(ISBLANK(W191),ISBLANK(Y191))," ",IF(NOT(ISBLANK(X191)),"Failed",IF((W191+Character!$B$9+SUMIF(Character!$I$62:$I$66,"Enigmatic Wisdom",Character!$J$62:$J$66))&gt;=IF(Z191="Yes",0,(Y191+D186)),"Succeeded","Failed"))))</f>
        <v xml:space="preserve"> </v>
      </c>
      <c r="AB191" s="477" t="str">
        <f>IF(AA191=" "," ",IF(NOT(ISBLANK(X191)),VLOOKUP($D$3+X191,Calcs!$A$110:$C$122,3,TRUE),IF(AA191="Failed",VLOOKUP($D$3,Calcs!$A$110:$C$122,3,TRUE),VLOOKUP($D$3-(IF((Character!$B$9+W191)&gt;($D$3+Y191),(Character!$B$9+W191)-($D$3+Y191),0)),Calcs!$A$110:$C$122,3,TRUE))))</f>
        <v xml:space="preserve"> </v>
      </c>
      <c r="AC191" s="489"/>
      <c r="AD191" s="489" t="str">
        <f>IF(IF(AA191=" "," ",IF(NOT(ISBLANK(X191)),VLOOKUP($D$3+X191,Calcs!$A$110:$B$122,2,TRUE),IF(AA191="Failed",VLOOKUP($D$3,Calcs!$A$110:$B$122,2,TRUE),VLOOKUP($D$3-(IF((Character!$B$9+W191)&gt;($D$3+Y191),(Character!$B$9+W191)-($D$3+Y191),0)),Calcs!$A$110:$B$122,2,TRUE))))=Calcs!$B$120,IF(ISBLANK(AC191)," ",CONCATENATE(AC191+7," Years")),IF(AA191=" "," ",IF(NOT(ISBLANK(X191)),VLOOKUP($D$3+X191,Calcs!$A$110:$B$122,2,TRUE),IF(AA191="Failed",VLOOKUP($D$3,Calcs!$A$110:$B$122,2,TRUE),VLOOKUP($D$3-(IF((Character!$B$9+W191)&gt;($D$3+Y191),(Character!$B$9+W191)-($D$3+Y191),0)),Calcs!$A$110:$B$122,2,TRUE)))))</f>
        <v xml:space="preserve"> </v>
      </c>
      <c r="AE191" s="490"/>
      <c r="AF191" s="879"/>
      <c r="AG191" s="491"/>
    </row>
    <row r="192" spans="1:33" x14ac:dyDescent="0.2">
      <c r="A192" s="415">
        <f t="shared" si="4"/>
        <v>1258</v>
      </c>
      <c r="B192" s="419" t="str">
        <f t="shared" si="5"/>
        <v>Winter</v>
      </c>
      <c r="C192" s="455"/>
      <c r="D192" s="504"/>
      <c r="E192" s="455"/>
      <c r="F192" s="504"/>
      <c r="G192" s="455"/>
      <c r="H192" s="504"/>
      <c r="I192" s="455"/>
      <c r="J192" s="504"/>
      <c r="L192" s="472"/>
      <c r="M192" s="468"/>
      <c r="N192" s="468"/>
      <c r="O192" s="468"/>
      <c r="P192" s="468"/>
      <c r="Q192" s="473"/>
      <c r="R192" s="477" t="str">
        <f>IF(AND(COUNTIF('Start Character'!$I$63:$M$77,"Twilight Prone")=1,NOT(ISERROR(FIND("Magical Botch",M192)))),"Yes",IF(P192&gt;1,"Yes","No"))</f>
        <v>No</v>
      </c>
      <c r="S192" s="501"/>
      <c r="T192" s="478"/>
      <c r="U192" s="501"/>
      <c r="V192" s="479" t="str">
        <f>IF(R192="No","No Twilight",IF(T192="Yes","Uncomprehended Twilight",IF((Character!$B$14+IF(Character!$B$53="Yes",0,Character!$B$53)+IF(Magic!$C$5="Yes",2,0)+ROUNDUP((Magic!$B$30+IF(Magic!$C$30="Yes",3,0))/5,0)+S192)&gt;=($D$3+P192+SUMIF(Character!$I$62:$I$66,"Enigmatic Wisdom",Character!$J$62:$J$66)+Q192+U192),"No Twilight","Twilight")))</f>
        <v>No Twilight</v>
      </c>
      <c r="W192" s="483"/>
      <c r="X192" s="478"/>
      <c r="Y192" s="484"/>
      <c r="Z192" s="478"/>
      <c r="AA192" s="485" t="str">
        <f>IF(V192="Uncomprehended Twilight","Failed",IF(OR(ISBLANK(W192),ISBLANK(Y192))," ",IF(NOT(ISBLANK(X192)),"Failed",IF((W192+Character!$B$9+SUMIF(Character!$I$62:$I$66,"Enigmatic Wisdom",Character!$J$62:$J$66))&gt;=IF(Z192="Yes",0,(Y192+D187)),"Succeeded","Failed"))))</f>
        <v xml:space="preserve"> </v>
      </c>
      <c r="AB192" s="477" t="str">
        <f>IF(AA192=" "," ",IF(NOT(ISBLANK(X192)),VLOOKUP($D$3+X192,Calcs!$A$110:$C$122,3,TRUE),IF(AA192="Failed",VLOOKUP($D$3,Calcs!$A$110:$C$122,3,TRUE),VLOOKUP($D$3-(IF((Character!$B$9+W192)&gt;($D$3+Y192),(Character!$B$9+W192)-($D$3+Y192),0)),Calcs!$A$110:$C$122,3,TRUE))))</f>
        <v xml:space="preserve"> </v>
      </c>
      <c r="AC192" s="489"/>
      <c r="AD192" s="489" t="str">
        <f>IF(IF(AA192=" "," ",IF(NOT(ISBLANK(X192)),VLOOKUP($D$3+X192,Calcs!$A$110:$B$122,2,TRUE),IF(AA192="Failed",VLOOKUP($D$3,Calcs!$A$110:$B$122,2,TRUE),VLOOKUP($D$3-(IF((Character!$B$9+W192)&gt;($D$3+Y192),(Character!$B$9+W192)-($D$3+Y192),0)),Calcs!$A$110:$B$122,2,TRUE))))=Calcs!$B$120,IF(ISBLANK(AC192)," ",CONCATENATE(AC192+7," Years")),IF(AA192=" "," ",IF(NOT(ISBLANK(X192)),VLOOKUP($D$3+X192,Calcs!$A$110:$B$122,2,TRUE),IF(AA192="Failed",VLOOKUP($D$3,Calcs!$A$110:$B$122,2,TRUE),VLOOKUP($D$3-(IF((Character!$B$9+W192)&gt;($D$3+Y192),(Character!$B$9+W192)-($D$3+Y192),0)),Calcs!$A$110:$B$122,2,TRUE)))))</f>
        <v xml:space="preserve"> </v>
      </c>
      <c r="AE192" s="490"/>
      <c r="AF192" s="879"/>
      <c r="AG192" s="491"/>
    </row>
    <row r="193" spans="1:33" x14ac:dyDescent="0.2">
      <c r="A193" s="415">
        <f t="shared" si="4"/>
        <v>1258</v>
      </c>
      <c r="B193" s="419" t="str">
        <f t="shared" si="5"/>
        <v>Spring</v>
      </c>
      <c r="C193" s="455"/>
      <c r="D193" s="504"/>
      <c r="E193" s="455"/>
      <c r="F193" s="504"/>
      <c r="G193" s="455"/>
      <c r="H193" s="504"/>
      <c r="I193" s="455"/>
      <c r="J193" s="504"/>
      <c r="L193" s="472"/>
      <c r="M193" s="468"/>
      <c r="N193" s="468"/>
      <c r="O193" s="468"/>
      <c r="P193" s="468"/>
      <c r="Q193" s="473"/>
      <c r="R193" s="477" t="str">
        <f>IF(AND(COUNTIF('Start Character'!$I$63:$M$77,"Twilight Prone")=1,NOT(ISERROR(FIND("Magical Botch",M193)))),"Yes",IF(P193&gt;1,"Yes","No"))</f>
        <v>No</v>
      </c>
      <c r="S193" s="501"/>
      <c r="T193" s="478"/>
      <c r="U193" s="501"/>
      <c r="V193" s="479" t="str">
        <f>IF(R193="No","No Twilight",IF(T193="Yes","Uncomprehended Twilight",IF((Character!$B$14+IF(Character!$B$53="Yes",0,Character!$B$53)+IF(Magic!$C$5="Yes",2,0)+ROUNDUP((Magic!$B$30+IF(Magic!$C$30="Yes",3,0))/5,0)+S193)&gt;=($D$3+P193+SUMIF(Character!$I$62:$I$66,"Enigmatic Wisdom",Character!$J$62:$J$66)+Q193+U193),"No Twilight","Twilight")))</f>
        <v>No Twilight</v>
      </c>
      <c r="W193" s="483"/>
      <c r="X193" s="478"/>
      <c r="Y193" s="484"/>
      <c r="Z193" s="478"/>
      <c r="AA193" s="485" t="str">
        <f>IF(V193="Uncomprehended Twilight","Failed",IF(OR(ISBLANK(W193),ISBLANK(Y193))," ",IF(NOT(ISBLANK(X193)),"Failed",IF((W193+Character!$B$9+SUMIF(Character!$I$62:$I$66,"Enigmatic Wisdom",Character!$J$62:$J$66))&gt;=IF(Z193="Yes",0,(Y193+D188)),"Succeeded","Failed"))))</f>
        <v xml:space="preserve"> </v>
      </c>
      <c r="AB193" s="477" t="str">
        <f>IF(AA193=" "," ",IF(NOT(ISBLANK(X193)),VLOOKUP($D$3+X193,Calcs!$A$110:$C$122,3,TRUE),IF(AA193="Failed",VLOOKUP($D$3,Calcs!$A$110:$C$122,3,TRUE),VLOOKUP($D$3-(IF((Character!$B$9+W193)&gt;($D$3+Y193),(Character!$B$9+W193)-($D$3+Y193),0)),Calcs!$A$110:$C$122,3,TRUE))))</f>
        <v xml:space="preserve"> </v>
      </c>
      <c r="AC193" s="489"/>
      <c r="AD193" s="489" t="str">
        <f>IF(IF(AA193=" "," ",IF(NOT(ISBLANK(X193)),VLOOKUP($D$3+X193,Calcs!$A$110:$B$122,2,TRUE),IF(AA193="Failed",VLOOKUP($D$3,Calcs!$A$110:$B$122,2,TRUE),VLOOKUP($D$3-(IF((Character!$B$9+W193)&gt;($D$3+Y193),(Character!$B$9+W193)-($D$3+Y193),0)),Calcs!$A$110:$B$122,2,TRUE))))=Calcs!$B$120,IF(ISBLANK(AC193)," ",CONCATENATE(AC193+7," Years")),IF(AA193=" "," ",IF(NOT(ISBLANK(X193)),VLOOKUP($D$3+X193,Calcs!$A$110:$B$122,2,TRUE),IF(AA193="Failed",VLOOKUP($D$3,Calcs!$A$110:$B$122,2,TRUE),VLOOKUP($D$3-(IF((Character!$B$9+W193)&gt;($D$3+Y193),(Character!$B$9+W193)-($D$3+Y193),0)),Calcs!$A$110:$B$122,2,TRUE)))))</f>
        <v xml:space="preserve"> </v>
      </c>
      <c r="AE193" s="490"/>
      <c r="AF193" s="879"/>
      <c r="AG193" s="491"/>
    </row>
    <row r="194" spans="1:33" x14ac:dyDescent="0.2">
      <c r="A194" s="415">
        <f t="shared" si="4"/>
        <v>1258</v>
      </c>
      <c r="B194" s="419" t="str">
        <f t="shared" si="5"/>
        <v>Summer</v>
      </c>
      <c r="C194" s="455"/>
      <c r="D194" s="504"/>
      <c r="E194" s="455"/>
      <c r="F194" s="504"/>
      <c r="G194" s="455"/>
      <c r="H194" s="504"/>
      <c r="I194" s="455"/>
      <c r="J194" s="504"/>
      <c r="L194" s="472"/>
      <c r="M194" s="468"/>
      <c r="N194" s="468"/>
      <c r="O194" s="468"/>
      <c r="P194" s="468"/>
      <c r="Q194" s="473"/>
      <c r="R194" s="477" t="str">
        <f>IF(AND(COUNTIF('Start Character'!$I$63:$M$77,"Twilight Prone")=1,NOT(ISERROR(FIND("Magical Botch",M194)))),"Yes",IF(P194&gt;1,"Yes","No"))</f>
        <v>No</v>
      </c>
      <c r="S194" s="501"/>
      <c r="T194" s="478"/>
      <c r="U194" s="501"/>
      <c r="V194" s="479" t="str">
        <f>IF(R194="No","No Twilight",IF(T194="Yes","Uncomprehended Twilight",IF((Character!$B$14+IF(Character!$B$53="Yes",0,Character!$B$53)+IF(Magic!$C$5="Yes",2,0)+ROUNDUP((Magic!$B$30+IF(Magic!$C$30="Yes",3,0))/5,0)+S194)&gt;=($D$3+P194+SUMIF(Character!$I$62:$I$66,"Enigmatic Wisdom",Character!$J$62:$J$66)+Q194+U194),"No Twilight","Twilight")))</f>
        <v>No Twilight</v>
      </c>
      <c r="W194" s="483"/>
      <c r="X194" s="478"/>
      <c r="Y194" s="484"/>
      <c r="Z194" s="478"/>
      <c r="AA194" s="485" t="str">
        <f>IF(V194="Uncomprehended Twilight","Failed",IF(OR(ISBLANK(W194),ISBLANK(Y194))," ",IF(NOT(ISBLANK(X194)),"Failed",IF((W194+Character!$B$9+SUMIF(Character!$I$62:$I$66,"Enigmatic Wisdom",Character!$J$62:$J$66))&gt;=IF(Z194="Yes",0,(Y194+D189)),"Succeeded","Failed"))))</f>
        <v xml:space="preserve"> </v>
      </c>
      <c r="AB194" s="477" t="str">
        <f>IF(AA194=" "," ",IF(NOT(ISBLANK(X194)),VLOOKUP($D$3+X194,Calcs!$A$110:$C$122,3,TRUE),IF(AA194="Failed",VLOOKUP($D$3,Calcs!$A$110:$C$122,3,TRUE),VLOOKUP($D$3-(IF((Character!$B$9+W194)&gt;($D$3+Y194),(Character!$B$9+W194)-($D$3+Y194),0)),Calcs!$A$110:$C$122,3,TRUE))))</f>
        <v xml:space="preserve"> </v>
      </c>
      <c r="AC194" s="489"/>
      <c r="AD194" s="489" t="str">
        <f>IF(IF(AA194=" "," ",IF(NOT(ISBLANK(X194)),VLOOKUP($D$3+X194,Calcs!$A$110:$B$122,2,TRUE),IF(AA194="Failed",VLOOKUP($D$3,Calcs!$A$110:$B$122,2,TRUE),VLOOKUP($D$3-(IF((Character!$B$9+W194)&gt;($D$3+Y194),(Character!$B$9+W194)-($D$3+Y194),0)),Calcs!$A$110:$B$122,2,TRUE))))=Calcs!$B$120,IF(ISBLANK(AC194)," ",CONCATENATE(AC194+7," Years")),IF(AA194=" "," ",IF(NOT(ISBLANK(X194)),VLOOKUP($D$3+X194,Calcs!$A$110:$B$122,2,TRUE),IF(AA194="Failed",VLOOKUP($D$3,Calcs!$A$110:$B$122,2,TRUE),VLOOKUP($D$3-(IF((Character!$B$9+W194)&gt;($D$3+Y194),(Character!$B$9+W194)-($D$3+Y194),0)),Calcs!$A$110:$B$122,2,TRUE)))))</f>
        <v xml:space="preserve"> </v>
      </c>
      <c r="AE194" s="490"/>
      <c r="AF194" s="879"/>
      <c r="AG194" s="491"/>
    </row>
    <row r="195" spans="1:33" x14ac:dyDescent="0.2">
      <c r="A195" s="415">
        <f t="shared" si="4"/>
        <v>1258</v>
      </c>
      <c r="B195" s="419" t="str">
        <f t="shared" si="5"/>
        <v>Autumn</v>
      </c>
      <c r="C195" s="455"/>
      <c r="D195" s="504"/>
      <c r="E195" s="455"/>
      <c r="F195" s="504"/>
      <c r="G195" s="455"/>
      <c r="H195" s="504"/>
      <c r="I195" s="455"/>
      <c r="J195" s="504"/>
      <c r="L195" s="472"/>
      <c r="M195" s="468"/>
      <c r="N195" s="468"/>
      <c r="O195" s="468"/>
      <c r="P195" s="468"/>
      <c r="Q195" s="473"/>
      <c r="R195" s="477" t="str">
        <f>IF(AND(COUNTIF('Start Character'!$I$63:$M$77,"Twilight Prone")=1,NOT(ISERROR(FIND("Magical Botch",M195)))),"Yes",IF(P195&gt;1,"Yes","No"))</f>
        <v>No</v>
      </c>
      <c r="S195" s="501"/>
      <c r="T195" s="478"/>
      <c r="U195" s="501"/>
      <c r="V195" s="479" t="str">
        <f>IF(R195="No","No Twilight",IF(T195="Yes","Uncomprehended Twilight",IF((Character!$B$14+IF(Character!$B$53="Yes",0,Character!$B$53)+IF(Magic!$C$5="Yes",2,0)+ROUNDUP((Magic!$B$30+IF(Magic!$C$30="Yes",3,0))/5,0)+S195)&gt;=($D$3+P195+SUMIF(Character!$I$62:$I$66,"Enigmatic Wisdom",Character!$J$62:$J$66)+Q195+U195),"No Twilight","Twilight")))</f>
        <v>No Twilight</v>
      </c>
      <c r="W195" s="483"/>
      <c r="X195" s="478"/>
      <c r="Y195" s="484"/>
      <c r="Z195" s="478"/>
      <c r="AA195" s="485" t="str">
        <f>IF(V195="Uncomprehended Twilight","Failed",IF(OR(ISBLANK(W195),ISBLANK(Y195))," ",IF(NOT(ISBLANK(X195)),"Failed",IF((W195+Character!$B$9+SUMIF(Character!$I$62:$I$66,"Enigmatic Wisdom",Character!$J$62:$J$66))&gt;=IF(Z195="Yes",0,(Y195+D190)),"Succeeded","Failed"))))</f>
        <v xml:space="preserve"> </v>
      </c>
      <c r="AB195" s="477" t="str">
        <f>IF(AA195=" "," ",IF(NOT(ISBLANK(X195)),VLOOKUP($D$3+X195,Calcs!$A$110:$C$122,3,TRUE),IF(AA195="Failed",VLOOKUP($D$3,Calcs!$A$110:$C$122,3,TRUE),VLOOKUP($D$3-(IF((Character!$B$9+W195)&gt;($D$3+Y195),(Character!$B$9+W195)-($D$3+Y195),0)),Calcs!$A$110:$C$122,3,TRUE))))</f>
        <v xml:space="preserve"> </v>
      </c>
      <c r="AC195" s="489"/>
      <c r="AD195" s="489" t="str">
        <f>IF(IF(AA195=" "," ",IF(NOT(ISBLANK(X195)),VLOOKUP($D$3+X195,Calcs!$A$110:$B$122,2,TRUE),IF(AA195="Failed",VLOOKUP($D$3,Calcs!$A$110:$B$122,2,TRUE),VLOOKUP($D$3-(IF((Character!$B$9+W195)&gt;($D$3+Y195),(Character!$B$9+W195)-($D$3+Y195),0)),Calcs!$A$110:$B$122,2,TRUE))))=Calcs!$B$120,IF(ISBLANK(AC195)," ",CONCATENATE(AC195+7," Years")),IF(AA195=" "," ",IF(NOT(ISBLANK(X195)),VLOOKUP($D$3+X195,Calcs!$A$110:$B$122,2,TRUE),IF(AA195="Failed",VLOOKUP($D$3,Calcs!$A$110:$B$122,2,TRUE),VLOOKUP($D$3-(IF((Character!$B$9+W195)&gt;($D$3+Y195),(Character!$B$9+W195)-($D$3+Y195),0)),Calcs!$A$110:$B$122,2,TRUE)))))</f>
        <v xml:space="preserve"> </v>
      </c>
      <c r="AE195" s="490"/>
      <c r="AF195" s="879"/>
      <c r="AG195" s="491"/>
    </row>
    <row r="196" spans="1:33" x14ac:dyDescent="0.2">
      <c r="A196" s="415">
        <f t="shared" si="4"/>
        <v>1259</v>
      </c>
      <c r="B196" s="419" t="str">
        <f t="shared" si="5"/>
        <v>Winter</v>
      </c>
      <c r="C196" s="455"/>
      <c r="D196" s="504"/>
      <c r="E196" s="455"/>
      <c r="F196" s="504"/>
      <c r="G196" s="455"/>
      <c r="H196" s="504"/>
      <c r="I196" s="455"/>
      <c r="J196" s="504"/>
      <c r="L196" s="472"/>
      <c r="M196" s="468"/>
      <c r="N196" s="468"/>
      <c r="O196" s="468"/>
      <c r="P196" s="468"/>
      <c r="Q196" s="473"/>
      <c r="R196" s="477" t="str">
        <f>IF(AND(COUNTIF('Start Character'!$I$63:$M$77,"Twilight Prone")=1,NOT(ISERROR(FIND("Magical Botch",M196)))),"Yes",IF(P196&gt;1,"Yes","No"))</f>
        <v>No</v>
      </c>
      <c r="S196" s="501"/>
      <c r="T196" s="478"/>
      <c r="U196" s="501"/>
      <c r="V196" s="479" t="str">
        <f>IF(R196="No","No Twilight",IF(T196="Yes","Uncomprehended Twilight",IF((Character!$B$14+IF(Character!$B$53="Yes",0,Character!$B$53)+IF(Magic!$C$5="Yes",2,0)+ROUNDUP((Magic!$B$30+IF(Magic!$C$30="Yes",3,0))/5,0)+S196)&gt;=($D$3+P196+SUMIF(Character!$I$62:$I$66,"Enigmatic Wisdom",Character!$J$62:$J$66)+Q196+U196),"No Twilight","Twilight")))</f>
        <v>No Twilight</v>
      </c>
      <c r="W196" s="483"/>
      <c r="X196" s="478"/>
      <c r="Y196" s="484"/>
      <c r="Z196" s="478"/>
      <c r="AA196" s="485" t="str">
        <f>IF(V196="Uncomprehended Twilight","Failed",IF(OR(ISBLANK(W196),ISBLANK(Y196))," ",IF(NOT(ISBLANK(X196)),"Failed",IF((W196+Character!$B$9+SUMIF(Character!$I$62:$I$66,"Enigmatic Wisdom",Character!$J$62:$J$66))&gt;=IF(Z196="Yes",0,(Y196+D191)),"Succeeded","Failed"))))</f>
        <v xml:space="preserve"> </v>
      </c>
      <c r="AB196" s="477" t="str">
        <f>IF(AA196=" "," ",IF(NOT(ISBLANK(X196)),VLOOKUP($D$3+X196,Calcs!$A$110:$C$122,3,TRUE),IF(AA196="Failed",VLOOKUP($D$3,Calcs!$A$110:$C$122,3,TRUE),VLOOKUP($D$3-(IF((Character!$B$9+W196)&gt;($D$3+Y196),(Character!$B$9+W196)-($D$3+Y196),0)),Calcs!$A$110:$C$122,3,TRUE))))</f>
        <v xml:space="preserve"> </v>
      </c>
      <c r="AC196" s="489"/>
      <c r="AD196" s="489" t="str">
        <f>IF(IF(AA196=" "," ",IF(NOT(ISBLANK(X196)),VLOOKUP($D$3+X196,Calcs!$A$110:$B$122,2,TRUE),IF(AA196="Failed",VLOOKUP($D$3,Calcs!$A$110:$B$122,2,TRUE),VLOOKUP($D$3-(IF((Character!$B$9+W196)&gt;($D$3+Y196),(Character!$B$9+W196)-($D$3+Y196),0)),Calcs!$A$110:$B$122,2,TRUE))))=Calcs!$B$120,IF(ISBLANK(AC196)," ",CONCATENATE(AC196+7," Years")),IF(AA196=" "," ",IF(NOT(ISBLANK(X196)),VLOOKUP($D$3+X196,Calcs!$A$110:$B$122,2,TRUE),IF(AA196="Failed",VLOOKUP($D$3,Calcs!$A$110:$B$122,2,TRUE),VLOOKUP($D$3-(IF((Character!$B$9+W196)&gt;($D$3+Y196),(Character!$B$9+W196)-($D$3+Y196),0)),Calcs!$A$110:$B$122,2,TRUE)))))</f>
        <v xml:space="preserve"> </v>
      </c>
      <c r="AE196" s="490"/>
      <c r="AF196" s="879"/>
      <c r="AG196" s="491"/>
    </row>
    <row r="197" spans="1:33" x14ac:dyDescent="0.2">
      <c r="A197" s="415">
        <f t="shared" si="4"/>
        <v>1259</v>
      </c>
      <c r="B197" s="419" t="str">
        <f t="shared" si="5"/>
        <v>Spring</v>
      </c>
      <c r="C197" s="455"/>
      <c r="D197" s="504"/>
      <c r="E197" s="455"/>
      <c r="F197" s="504"/>
      <c r="G197" s="455"/>
      <c r="H197" s="504"/>
      <c r="I197" s="455"/>
      <c r="J197" s="504"/>
      <c r="L197" s="472"/>
      <c r="M197" s="468"/>
      <c r="N197" s="468"/>
      <c r="O197" s="468"/>
      <c r="P197" s="468"/>
      <c r="Q197" s="473"/>
      <c r="R197" s="477" t="str">
        <f>IF(AND(COUNTIF('Start Character'!$I$63:$M$77,"Twilight Prone")=1,NOT(ISERROR(FIND("Magical Botch",M197)))),"Yes",IF(P197&gt;1,"Yes","No"))</f>
        <v>No</v>
      </c>
      <c r="S197" s="501"/>
      <c r="T197" s="478"/>
      <c r="U197" s="501"/>
      <c r="V197" s="479" t="str">
        <f>IF(R197="No","No Twilight",IF(T197="Yes","Uncomprehended Twilight",IF((Character!$B$14+IF(Character!$B$53="Yes",0,Character!$B$53)+IF(Magic!$C$5="Yes",2,0)+ROUNDUP((Magic!$B$30+IF(Magic!$C$30="Yes",3,0))/5,0)+S197)&gt;=($D$3+P197+SUMIF(Character!$I$62:$I$66,"Enigmatic Wisdom",Character!$J$62:$J$66)+Q197+U197),"No Twilight","Twilight")))</f>
        <v>No Twilight</v>
      </c>
      <c r="W197" s="483"/>
      <c r="X197" s="478"/>
      <c r="Y197" s="484"/>
      <c r="Z197" s="478"/>
      <c r="AA197" s="485" t="str">
        <f>IF(V197="Uncomprehended Twilight","Failed",IF(OR(ISBLANK(W197),ISBLANK(Y197))," ",IF(NOT(ISBLANK(X197)),"Failed",IF((W197+Character!$B$9+SUMIF(Character!$I$62:$I$66,"Enigmatic Wisdom",Character!$J$62:$J$66))&gt;=IF(Z197="Yes",0,(Y197+D192)),"Succeeded","Failed"))))</f>
        <v xml:space="preserve"> </v>
      </c>
      <c r="AB197" s="477" t="str">
        <f>IF(AA197=" "," ",IF(NOT(ISBLANK(X197)),VLOOKUP($D$3+X197,Calcs!$A$110:$C$122,3,TRUE),IF(AA197="Failed",VLOOKUP($D$3,Calcs!$A$110:$C$122,3,TRUE),VLOOKUP($D$3-(IF((Character!$B$9+W197)&gt;($D$3+Y197),(Character!$B$9+W197)-($D$3+Y197),0)),Calcs!$A$110:$C$122,3,TRUE))))</f>
        <v xml:space="preserve"> </v>
      </c>
      <c r="AC197" s="489"/>
      <c r="AD197" s="489" t="str">
        <f>IF(IF(AA197=" "," ",IF(NOT(ISBLANK(X197)),VLOOKUP($D$3+X197,Calcs!$A$110:$B$122,2,TRUE),IF(AA197="Failed",VLOOKUP($D$3,Calcs!$A$110:$B$122,2,TRUE),VLOOKUP($D$3-(IF((Character!$B$9+W197)&gt;($D$3+Y197),(Character!$B$9+W197)-($D$3+Y197),0)),Calcs!$A$110:$B$122,2,TRUE))))=Calcs!$B$120,IF(ISBLANK(AC197)," ",CONCATENATE(AC197+7," Years")),IF(AA197=" "," ",IF(NOT(ISBLANK(X197)),VLOOKUP($D$3+X197,Calcs!$A$110:$B$122,2,TRUE),IF(AA197="Failed",VLOOKUP($D$3,Calcs!$A$110:$B$122,2,TRUE),VLOOKUP($D$3-(IF((Character!$B$9+W197)&gt;($D$3+Y197),(Character!$B$9+W197)-($D$3+Y197),0)),Calcs!$A$110:$B$122,2,TRUE)))))</f>
        <v xml:space="preserve"> </v>
      </c>
      <c r="AE197" s="490"/>
      <c r="AF197" s="879"/>
      <c r="AG197" s="491"/>
    </row>
    <row r="198" spans="1:33" x14ac:dyDescent="0.2">
      <c r="A198" s="415">
        <f t="shared" si="4"/>
        <v>1259</v>
      </c>
      <c r="B198" s="419" t="str">
        <f t="shared" si="5"/>
        <v>Summer</v>
      </c>
      <c r="C198" s="455"/>
      <c r="D198" s="504"/>
      <c r="E198" s="455"/>
      <c r="F198" s="504"/>
      <c r="G198" s="455"/>
      <c r="H198" s="504"/>
      <c r="I198" s="455"/>
      <c r="J198" s="504"/>
      <c r="L198" s="472"/>
      <c r="M198" s="468"/>
      <c r="N198" s="468"/>
      <c r="O198" s="468"/>
      <c r="P198" s="468"/>
      <c r="Q198" s="473"/>
      <c r="R198" s="477" t="str">
        <f>IF(AND(COUNTIF('Start Character'!$I$63:$M$77,"Twilight Prone")=1,NOT(ISERROR(FIND("Magical Botch",M198)))),"Yes",IF(P198&gt;1,"Yes","No"))</f>
        <v>No</v>
      </c>
      <c r="S198" s="501"/>
      <c r="T198" s="478"/>
      <c r="U198" s="501"/>
      <c r="V198" s="479" t="str">
        <f>IF(R198="No","No Twilight",IF(T198="Yes","Uncomprehended Twilight",IF((Character!$B$14+IF(Character!$B$53="Yes",0,Character!$B$53)+IF(Magic!$C$5="Yes",2,0)+ROUNDUP((Magic!$B$30+IF(Magic!$C$30="Yes",3,0))/5,0)+S198)&gt;=($D$3+P198+SUMIF(Character!$I$62:$I$66,"Enigmatic Wisdom",Character!$J$62:$J$66)+Q198+U198),"No Twilight","Twilight")))</f>
        <v>No Twilight</v>
      </c>
      <c r="W198" s="483"/>
      <c r="X198" s="478"/>
      <c r="Y198" s="484"/>
      <c r="Z198" s="478"/>
      <c r="AA198" s="485" t="str">
        <f>IF(V198="Uncomprehended Twilight","Failed",IF(OR(ISBLANK(W198),ISBLANK(Y198))," ",IF(NOT(ISBLANK(X198)),"Failed",IF((W198+Character!$B$9+SUMIF(Character!$I$62:$I$66,"Enigmatic Wisdom",Character!$J$62:$J$66))&gt;=IF(Z198="Yes",0,(Y198+D193)),"Succeeded","Failed"))))</f>
        <v xml:space="preserve"> </v>
      </c>
      <c r="AB198" s="477" t="str">
        <f>IF(AA198=" "," ",IF(NOT(ISBLANK(X198)),VLOOKUP($D$3+X198,Calcs!$A$110:$C$122,3,TRUE),IF(AA198="Failed",VLOOKUP($D$3,Calcs!$A$110:$C$122,3,TRUE),VLOOKUP($D$3-(IF((Character!$B$9+W198)&gt;($D$3+Y198),(Character!$B$9+W198)-($D$3+Y198),0)),Calcs!$A$110:$C$122,3,TRUE))))</f>
        <v xml:space="preserve"> </v>
      </c>
      <c r="AC198" s="489"/>
      <c r="AD198" s="489" t="str">
        <f>IF(IF(AA198=" "," ",IF(NOT(ISBLANK(X198)),VLOOKUP($D$3+X198,Calcs!$A$110:$B$122,2,TRUE),IF(AA198="Failed",VLOOKUP($D$3,Calcs!$A$110:$B$122,2,TRUE),VLOOKUP($D$3-(IF((Character!$B$9+W198)&gt;($D$3+Y198),(Character!$B$9+W198)-($D$3+Y198),0)),Calcs!$A$110:$B$122,2,TRUE))))=Calcs!$B$120,IF(ISBLANK(AC198)," ",CONCATENATE(AC198+7," Years")),IF(AA198=" "," ",IF(NOT(ISBLANK(X198)),VLOOKUP($D$3+X198,Calcs!$A$110:$B$122,2,TRUE),IF(AA198="Failed",VLOOKUP($D$3,Calcs!$A$110:$B$122,2,TRUE),VLOOKUP($D$3-(IF((Character!$B$9+W198)&gt;($D$3+Y198),(Character!$B$9+W198)-($D$3+Y198),0)),Calcs!$A$110:$B$122,2,TRUE)))))</f>
        <v xml:space="preserve"> </v>
      </c>
      <c r="AE198" s="490"/>
      <c r="AF198" s="879"/>
      <c r="AG198" s="491"/>
    </row>
    <row r="199" spans="1:33" x14ac:dyDescent="0.2">
      <c r="A199" s="415">
        <f t="shared" si="4"/>
        <v>1259</v>
      </c>
      <c r="B199" s="419" t="str">
        <f t="shared" si="5"/>
        <v>Autumn</v>
      </c>
      <c r="C199" s="455"/>
      <c r="D199" s="504"/>
      <c r="E199" s="455"/>
      <c r="F199" s="504"/>
      <c r="G199" s="455"/>
      <c r="H199" s="504"/>
      <c r="I199" s="455"/>
      <c r="J199" s="504"/>
      <c r="L199" s="472"/>
      <c r="M199" s="468"/>
      <c r="N199" s="468"/>
      <c r="O199" s="468"/>
      <c r="P199" s="468"/>
      <c r="Q199" s="473"/>
      <c r="R199" s="477" t="str">
        <f>IF(AND(COUNTIF('Start Character'!$I$63:$M$77,"Twilight Prone")=1,NOT(ISERROR(FIND("Magical Botch",M199)))),"Yes",IF(P199&gt;1,"Yes","No"))</f>
        <v>No</v>
      </c>
      <c r="S199" s="501"/>
      <c r="T199" s="478"/>
      <c r="U199" s="501"/>
      <c r="V199" s="479" t="str">
        <f>IF(R199="No","No Twilight",IF(T199="Yes","Uncomprehended Twilight",IF((Character!$B$14+IF(Character!$B$53="Yes",0,Character!$B$53)+IF(Magic!$C$5="Yes",2,0)+ROUNDUP((Magic!$B$30+IF(Magic!$C$30="Yes",3,0))/5,0)+S199)&gt;=($D$3+P199+SUMIF(Character!$I$62:$I$66,"Enigmatic Wisdom",Character!$J$62:$J$66)+Q199+U199),"No Twilight","Twilight")))</f>
        <v>No Twilight</v>
      </c>
      <c r="W199" s="483"/>
      <c r="X199" s="478"/>
      <c r="Y199" s="484"/>
      <c r="Z199" s="478"/>
      <c r="AA199" s="485" t="str">
        <f>IF(V199="Uncomprehended Twilight","Failed",IF(OR(ISBLANK(W199),ISBLANK(Y199))," ",IF(NOT(ISBLANK(X199)),"Failed",IF((W199+Character!$B$9+SUMIF(Character!$I$62:$I$66,"Enigmatic Wisdom",Character!$J$62:$J$66))&gt;=IF(Z199="Yes",0,(Y199+D194)),"Succeeded","Failed"))))</f>
        <v xml:space="preserve"> </v>
      </c>
      <c r="AB199" s="477" t="str">
        <f>IF(AA199=" "," ",IF(NOT(ISBLANK(X199)),VLOOKUP($D$3+X199,Calcs!$A$110:$C$122,3,TRUE),IF(AA199="Failed",VLOOKUP($D$3,Calcs!$A$110:$C$122,3,TRUE),VLOOKUP($D$3-(IF((Character!$B$9+W199)&gt;($D$3+Y199),(Character!$B$9+W199)-($D$3+Y199),0)),Calcs!$A$110:$C$122,3,TRUE))))</f>
        <v xml:space="preserve"> </v>
      </c>
      <c r="AC199" s="489"/>
      <c r="AD199" s="489" t="str">
        <f>IF(IF(AA199=" "," ",IF(NOT(ISBLANK(X199)),VLOOKUP($D$3+X199,Calcs!$A$110:$B$122,2,TRUE),IF(AA199="Failed",VLOOKUP($D$3,Calcs!$A$110:$B$122,2,TRUE),VLOOKUP($D$3-(IF((Character!$B$9+W199)&gt;($D$3+Y199),(Character!$B$9+W199)-($D$3+Y199),0)),Calcs!$A$110:$B$122,2,TRUE))))=Calcs!$B$120,IF(ISBLANK(AC199)," ",CONCATENATE(AC199+7," Years")),IF(AA199=" "," ",IF(NOT(ISBLANK(X199)),VLOOKUP($D$3+X199,Calcs!$A$110:$B$122,2,TRUE),IF(AA199="Failed",VLOOKUP($D$3,Calcs!$A$110:$B$122,2,TRUE),VLOOKUP($D$3-(IF((Character!$B$9+W199)&gt;($D$3+Y199),(Character!$B$9+W199)-($D$3+Y199),0)),Calcs!$A$110:$B$122,2,TRUE)))))</f>
        <v xml:space="preserve"> </v>
      </c>
      <c r="AE199" s="490"/>
      <c r="AF199" s="879"/>
      <c r="AG199" s="491"/>
    </row>
    <row r="200" spans="1:33" x14ac:dyDescent="0.2">
      <c r="A200" s="415">
        <f t="shared" si="4"/>
        <v>1260</v>
      </c>
      <c r="B200" s="419" t="str">
        <f t="shared" si="5"/>
        <v>Winter</v>
      </c>
      <c r="C200" s="455"/>
      <c r="D200" s="504"/>
      <c r="E200" s="455"/>
      <c r="F200" s="504"/>
      <c r="G200" s="455"/>
      <c r="H200" s="504"/>
      <c r="I200" s="455"/>
      <c r="J200" s="504"/>
      <c r="L200" s="472"/>
      <c r="M200" s="468"/>
      <c r="N200" s="468"/>
      <c r="O200" s="468"/>
      <c r="P200" s="468"/>
      <c r="Q200" s="473"/>
      <c r="R200" s="477" t="str">
        <f>IF(AND(COUNTIF('Start Character'!$I$63:$M$77,"Twilight Prone")=1,NOT(ISERROR(FIND("Magical Botch",M200)))),"Yes",IF(P200&gt;1,"Yes","No"))</f>
        <v>No</v>
      </c>
      <c r="S200" s="501"/>
      <c r="T200" s="478"/>
      <c r="U200" s="501"/>
      <c r="V200" s="479" t="str">
        <f>IF(R200="No","No Twilight",IF(T200="Yes","Uncomprehended Twilight",IF((Character!$B$14+IF(Character!$B$53="Yes",0,Character!$B$53)+IF(Magic!$C$5="Yes",2,0)+ROUNDUP((Magic!$B$30+IF(Magic!$C$30="Yes",3,0))/5,0)+S200)&gt;=($D$3+P200+SUMIF(Character!$I$62:$I$66,"Enigmatic Wisdom",Character!$J$62:$J$66)+Q200+U200),"No Twilight","Twilight")))</f>
        <v>No Twilight</v>
      </c>
      <c r="W200" s="483"/>
      <c r="X200" s="478"/>
      <c r="Y200" s="484"/>
      <c r="Z200" s="478"/>
      <c r="AA200" s="485" t="str">
        <f>IF(V200="Uncomprehended Twilight","Failed",IF(OR(ISBLANK(W200),ISBLANK(Y200))," ",IF(NOT(ISBLANK(X200)),"Failed",IF((W200+Character!$B$9+SUMIF(Character!$I$62:$I$66,"Enigmatic Wisdom",Character!$J$62:$J$66))&gt;=IF(Z200="Yes",0,(Y200+D195)),"Succeeded","Failed"))))</f>
        <v xml:space="preserve"> </v>
      </c>
      <c r="AB200" s="477" t="str">
        <f>IF(AA200=" "," ",IF(NOT(ISBLANK(X200)),VLOOKUP($D$3+X200,Calcs!$A$110:$C$122,3,TRUE),IF(AA200="Failed",VLOOKUP($D$3,Calcs!$A$110:$C$122,3,TRUE),VLOOKUP($D$3-(IF((Character!$B$9+W200)&gt;($D$3+Y200),(Character!$B$9+W200)-($D$3+Y200),0)),Calcs!$A$110:$C$122,3,TRUE))))</f>
        <v xml:space="preserve"> </v>
      </c>
      <c r="AC200" s="489"/>
      <c r="AD200" s="489" t="str">
        <f>IF(IF(AA200=" "," ",IF(NOT(ISBLANK(X200)),VLOOKUP($D$3+X200,Calcs!$A$110:$B$122,2,TRUE),IF(AA200="Failed",VLOOKUP($D$3,Calcs!$A$110:$B$122,2,TRUE),VLOOKUP($D$3-(IF((Character!$B$9+W200)&gt;($D$3+Y200),(Character!$B$9+W200)-($D$3+Y200),0)),Calcs!$A$110:$B$122,2,TRUE))))=Calcs!$B$120,IF(ISBLANK(AC200)," ",CONCATENATE(AC200+7," Years")),IF(AA200=" "," ",IF(NOT(ISBLANK(X200)),VLOOKUP($D$3+X200,Calcs!$A$110:$B$122,2,TRUE),IF(AA200="Failed",VLOOKUP($D$3,Calcs!$A$110:$B$122,2,TRUE),VLOOKUP($D$3-(IF((Character!$B$9+W200)&gt;($D$3+Y200),(Character!$B$9+W200)-($D$3+Y200),0)),Calcs!$A$110:$B$122,2,TRUE)))))</f>
        <v xml:space="preserve"> </v>
      </c>
      <c r="AE200" s="490"/>
      <c r="AF200" s="879"/>
      <c r="AG200" s="491"/>
    </row>
    <row r="201" spans="1:33" x14ac:dyDescent="0.2">
      <c r="A201" s="415">
        <f t="shared" si="4"/>
        <v>1260</v>
      </c>
      <c r="B201" s="419" t="str">
        <f t="shared" si="5"/>
        <v>Spring</v>
      </c>
      <c r="C201" s="455"/>
      <c r="D201" s="504"/>
      <c r="E201" s="455"/>
      <c r="F201" s="504"/>
      <c r="G201" s="455"/>
      <c r="H201" s="504"/>
      <c r="I201" s="455"/>
      <c r="J201" s="504"/>
      <c r="L201" s="472"/>
      <c r="M201" s="468"/>
      <c r="N201" s="468"/>
      <c r="O201" s="468"/>
      <c r="P201" s="468"/>
      <c r="Q201" s="473"/>
      <c r="R201" s="477" t="str">
        <f>IF(AND(COUNTIF('Start Character'!$I$63:$M$77,"Twilight Prone")=1,NOT(ISERROR(FIND("Magical Botch",M201)))),"Yes",IF(P201&gt;1,"Yes","No"))</f>
        <v>No</v>
      </c>
      <c r="S201" s="501"/>
      <c r="T201" s="478"/>
      <c r="U201" s="501"/>
      <c r="V201" s="479" t="str">
        <f>IF(R201="No","No Twilight",IF(T201="Yes","Uncomprehended Twilight",IF((Character!$B$14+IF(Character!$B$53="Yes",0,Character!$B$53)+IF(Magic!$C$5="Yes",2,0)+ROUNDUP((Magic!$B$30+IF(Magic!$C$30="Yes",3,0))/5,0)+S201)&gt;=($D$3+P201+SUMIF(Character!$I$62:$I$66,"Enigmatic Wisdom",Character!$J$62:$J$66)+Q201+U201),"No Twilight","Twilight")))</f>
        <v>No Twilight</v>
      </c>
      <c r="W201" s="483"/>
      <c r="X201" s="478"/>
      <c r="Y201" s="484"/>
      <c r="Z201" s="478"/>
      <c r="AA201" s="485" t="str">
        <f>IF(V201="Uncomprehended Twilight","Failed",IF(OR(ISBLANK(W201),ISBLANK(Y201))," ",IF(NOT(ISBLANK(X201)),"Failed",IF((W201+Character!$B$9+SUMIF(Character!$I$62:$I$66,"Enigmatic Wisdom",Character!$J$62:$J$66))&gt;=IF(Z201="Yes",0,(Y201+D196)),"Succeeded","Failed"))))</f>
        <v xml:space="preserve"> </v>
      </c>
      <c r="AB201" s="477" t="str">
        <f>IF(AA201=" "," ",IF(NOT(ISBLANK(X201)),VLOOKUP($D$3+X201,Calcs!$A$110:$C$122,3,TRUE),IF(AA201="Failed",VLOOKUP($D$3,Calcs!$A$110:$C$122,3,TRUE),VLOOKUP($D$3-(IF((Character!$B$9+W201)&gt;($D$3+Y201),(Character!$B$9+W201)-($D$3+Y201),0)),Calcs!$A$110:$C$122,3,TRUE))))</f>
        <v xml:space="preserve"> </v>
      </c>
      <c r="AC201" s="489"/>
      <c r="AD201" s="489" t="str">
        <f>IF(IF(AA201=" "," ",IF(NOT(ISBLANK(X201)),VLOOKUP($D$3+X201,Calcs!$A$110:$B$122,2,TRUE),IF(AA201="Failed",VLOOKUP($D$3,Calcs!$A$110:$B$122,2,TRUE),VLOOKUP($D$3-(IF((Character!$B$9+W201)&gt;($D$3+Y201),(Character!$B$9+W201)-($D$3+Y201),0)),Calcs!$A$110:$B$122,2,TRUE))))=Calcs!$B$120,IF(ISBLANK(AC201)," ",CONCATENATE(AC201+7," Years")),IF(AA201=" "," ",IF(NOT(ISBLANK(X201)),VLOOKUP($D$3+X201,Calcs!$A$110:$B$122,2,TRUE),IF(AA201="Failed",VLOOKUP($D$3,Calcs!$A$110:$B$122,2,TRUE),VLOOKUP($D$3-(IF((Character!$B$9+W201)&gt;($D$3+Y201),(Character!$B$9+W201)-($D$3+Y201),0)),Calcs!$A$110:$B$122,2,TRUE)))))</f>
        <v xml:space="preserve"> </v>
      </c>
      <c r="AE201" s="490"/>
      <c r="AF201" s="879"/>
      <c r="AG201" s="491"/>
    </row>
    <row r="202" spans="1:33" x14ac:dyDescent="0.2">
      <c r="A202" s="415">
        <f t="shared" si="4"/>
        <v>1260</v>
      </c>
      <c r="B202" s="419" t="str">
        <f t="shared" si="5"/>
        <v>Summer</v>
      </c>
      <c r="C202" s="455"/>
      <c r="D202" s="504"/>
      <c r="E202" s="455"/>
      <c r="F202" s="504"/>
      <c r="G202" s="455"/>
      <c r="H202" s="504"/>
      <c r="I202" s="455"/>
      <c r="J202" s="504"/>
      <c r="L202" s="472"/>
      <c r="M202" s="468"/>
      <c r="N202" s="468"/>
      <c r="O202" s="468"/>
      <c r="P202" s="468"/>
      <c r="Q202" s="473"/>
      <c r="R202" s="477" t="str">
        <f>IF(AND(COUNTIF('Start Character'!$I$63:$M$77,"Twilight Prone")=1,NOT(ISERROR(FIND("Magical Botch",M202)))),"Yes",IF(P202&gt;1,"Yes","No"))</f>
        <v>No</v>
      </c>
      <c r="S202" s="501"/>
      <c r="T202" s="478"/>
      <c r="U202" s="501"/>
      <c r="V202" s="479" t="str">
        <f>IF(R202="No","No Twilight",IF(T202="Yes","Uncomprehended Twilight",IF((Character!$B$14+IF(Character!$B$53="Yes",0,Character!$B$53)+IF(Magic!$C$5="Yes",2,0)+ROUNDUP((Magic!$B$30+IF(Magic!$C$30="Yes",3,0))/5,0)+S202)&gt;=($D$3+P202+SUMIF(Character!$I$62:$I$66,"Enigmatic Wisdom",Character!$J$62:$J$66)+Q202+U202),"No Twilight","Twilight")))</f>
        <v>No Twilight</v>
      </c>
      <c r="W202" s="483"/>
      <c r="X202" s="478"/>
      <c r="Y202" s="484"/>
      <c r="Z202" s="478"/>
      <c r="AA202" s="485" t="str">
        <f>IF(V202="Uncomprehended Twilight","Failed",IF(OR(ISBLANK(W202),ISBLANK(Y202))," ",IF(NOT(ISBLANK(X202)),"Failed",IF((W202+Character!$B$9+SUMIF(Character!$I$62:$I$66,"Enigmatic Wisdom",Character!$J$62:$J$66))&gt;=IF(Z202="Yes",0,(Y202+D197)),"Succeeded","Failed"))))</f>
        <v xml:space="preserve"> </v>
      </c>
      <c r="AB202" s="477" t="str">
        <f>IF(AA202=" "," ",IF(NOT(ISBLANK(X202)),VLOOKUP($D$3+X202,Calcs!$A$110:$C$122,3,TRUE),IF(AA202="Failed",VLOOKUP($D$3,Calcs!$A$110:$C$122,3,TRUE),VLOOKUP($D$3-(IF((Character!$B$9+W202)&gt;($D$3+Y202),(Character!$B$9+W202)-($D$3+Y202),0)),Calcs!$A$110:$C$122,3,TRUE))))</f>
        <v xml:space="preserve"> </v>
      </c>
      <c r="AC202" s="489"/>
      <c r="AD202" s="489" t="str">
        <f>IF(IF(AA202=" "," ",IF(NOT(ISBLANK(X202)),VLOOKUP($D$3+X202,Calcs!$A$110:$B$122,2,TRUE),IF(AA202="Failed",VLOOKUP($D$3,Calcs!$A$110:$B$122,2,TRUE),VLOOKUP($D$3-(IF((Character!$B$9+W202)&gt;($D$3+Y202),(Character!$B$9+W202)-($D$3+Y202),0)),Calcs!$A$110:$B$122,2,TRUE))))=Calcs!$B$120,IF(ISBLANK(AC202)," ",CONCATENATE(AC202+7," Years")),IF(AA202=" "," ",IF(NOT(ISBLANK(X202)),VLOOKUP($D$3+X202,Calcs!$A$110:$B$122,2,TRUE),IF(AA202="Failed",VLOOKUP($D$3,Calcs!$A$110:$B$122,2,TRUE),VLOOKUP($D$3-(IF((Character!$B$9+W202)&gt;($D$3+Y202),(Character!$B$9+W202)-($D$3+Y202),0)),Calcs!$A$110:$B$122,2,TRUE)))))</f>
        <v xml:space="preserve"> </v>
      </c>
      <c r="AE202" s="490"/>
      <c r="AF202" s="879"/>
      <c r="AG202" s="491"/>
    </row>
    <row r="203" spans="1:33" x14ac:dyDescent="0.2">
      <c r="A203" s="415">
        <f t="shared" si="4"/>
        <v>1260</v>
      </c>
      <c r="B203" s="419" t="str">
        <f t="shared" si="5"/>
        <v>Autumn</v>
      </c>
      <c r="C203" s="455"/>
      <c r="D203" s="504"/>
      <c r="E203" s="455"/>
      <c r="F203" s="504"/>
      <c r="G203" s="455"/>
      <c r="H203" s="504"/>
      <c r="I203" s="455"/>
      <c r="J203" s="504"/>
      <c r="L203" s="472"/>
      <c r="M203" s="468"/>
      <c r="N203" s="468"/>
      <c r="O203" s="468"/>
      <c r="P203" s="468"/>
      <c r="Q203" s="473"/>
      <c r="R203" s="477" t="str">
        <f>IF(AND(COUNTIF('Start Character'!$I$63:$M$77,"Twilight Prone")=1,NOT(ISERROR(FIND("Magical Botch",M203)))),"Yes",IF(P203&gt;1,"Yes","No"))</f>
        <v>No</v>
      </c>
      <c r="S203" s="501"/>
      <c r="T203" s="478"/>
      <c r="U203" s="501"/>
      <c r="V203" s="479" t="str">
        <f>IF(R203="No","No Twilight",IF(T203="Yes","Uncomprehended Twilight",IF((Character!$B$14+IF(Character!$B$53="Yes",0,Character!$B$53)+IF(Magic!$C$5="Yes",2,0)+ROUNDUP((Magic!$B$30+IF(Magic!$C$30="Yes",3,0))/5,0)+S203)&gt;=($D$3+P203+SUMIF(Character!$I$62:$I$66,"Enigmatic Wisdom",Character!$J$62:$J$66)+Q203+U203),"No Twilight","Twilight")))</f>
        <v>No Twilight</v>
      </c>
      <c r="W203" s="483"/>
      <c r="X203" s="478"/>
      <c r="Y203" s="484"/>
      <c r="Z203" s="478"/>
      <c r="AA203" s="485" t="str">
        <f>IF(V203="Uncomprehended Twilight","Failed",IF(OR(ISBLANK(W203),ISBLANK(Y203))," ",IF(NOT(ISBLANK(X203)),"Failed",IF((W203+Character!$B$9+SUMIF(Character!$I$62:$I$66,"Enigmatic Wisdom",Character!$J$62:$J$66))&gt;=IF(Z203="Yes",0,(Y203+D198)),"Succeeded","Failed"))))</f>
        <v xml:space="preserve"> </v>
      </c>
      <c r="AB203" s="477" t="str">
        <f>IF(AA203=" "," ",IF(NOT(ISBLANK(X203)),VLOOKUP($D$3+X203,Calcs!$A$110:$C$122,3,TRUE),IF(AA203="Failed",VLOOKUP($D$3,Calcs!$A$110:$C$122,3,TRUE),VLOOKUP($D$3-(IF((Character!$B$9+W203)&gt;($D$3+Y203),(Character!$B$9+W203)-($D$3+Y203),0)),Calcs!$A$110:$C$122,3,TRUE))))</f>
        <v xml:space="preserve"> </v>
      </c>
      <c r="AC203" s="489"/>
      <c r="AD203" s="489" t="str">
        <f>IF(IF(AA203=" "," ",IF(NOT(ISBLANK(X203)),VLOOKUP($D$3+X203,Calcs!$A$110:$B$122,2,TRUE),IF(AA203="Failed",VLOOKUP($D$3,Calcs!$A$110:$B$122,2,TRUE),VLOOKUP($D$3-(IF((Character!$B$9+W203)&gt;($D$3+Y203),(Character!$B$9+W203)-($D$3+Y203),0)),Calcs!$A$110:$B$122,2,TRUE))))=Calcs!$B$120,IF(ISBLANK(AC203)," ",CONCATENATE(AC203+7," Years")),IF(AA203=" "," ",IF(NOT(ISBLANK(X203)),VLOOKUP($D$3+X203,Calcs!$A$110:$B$122,2,TRUE),IF(AA203="Failed",VLOOKUP($D$3,Calcs!$A$110:$B$122,2,TRUE),VLOOKUP($D$3-(IF((Character!$B$9+W203)&gt;($D$3+Y203),(Character!$B$9+W203)-($D$3+Y203),0)),Calcs!$A$110:$B$122,2,TRUE)))))</f>
        <v xml:space="preserve"> </v>
      </c>
      <c r="AE203" s="490"/>
      <c r="AF203" s="879"/>
      <c r="AG203" s="491"/>
    </row>
    <row r="204" spans="1:33" x14ac:dyDescent="0.2">
      <c r="A204" s="415">
        <f t="shared" si="4"/>
        <v>1261</v>
      </c>
      <c r="B204" s="419" t="str">
        <f t="shared" si="5"/>
        <v>Winter</v>
      </c>
      <c r="C204" s="455"/>
      <c r="D204" s="504"/>
      <c r="E204" s="455"/>
      <c r="F204" s="504"/>
      <c r="G204" s="455"/>
      <c r="H204" s="504"/>
      <c r="I204" s="455"/>
      <c r="J204" s="504"/>
      <c r="L204" s="472"/>
      <c r="M204" s="468"/>
      <c r="N204" s="468"/>
      <c r="O204" s="468"/>
      <c r="P204" s="468"/>
      <c r="Q204" s="473"/>
      <c r="R204" s="477" t="str">
        <f>IF(AND(COUNTIF('Start Character'!$I$63:$M$77,"Twilight Prone")=1,NOT(ISERROR(FIND("Magical Botch",M204)))),"Yes",IF(P204&gt;1,"Yes","No"))</f>
        <v>No</v>
      </c>
      <c r="S204" s="501"/>
      <c r="T204" s="478"/>
      <c r="U204" s="501"/>
      <c r="V204" s="479" t="str">
        <f>IF(R204="No","No Twilight",IF(T204="Yes","Uncomprehended Twilight",IF((Character!$B$14+IF(Character!$B$53="Yes",0,Character!$B$53)+IF(Magic!$C$5="Yes",2,0)+ROUNDUP((Magic!$B$30+IF(Magic!$C$30="Yes",3,0))/5,0)+S204)&gt;=($D$3+P204+SUMIF(Character!$I$62:$I$66,"Enigmatic Wisdom",Character!$J$62:$J$66)+Q204+U204),"No Twilight","Twilight")))</f>
        <v>No Twilight</v>
      </c>
      <c r="W204" s="483"/>
      <c r="X204" s="478"/>
      <c r="Y204" s="484"/>
      <c r="Z204" s="478"/>
      <c r="AA204" s="485" t="str">
        <f>IF(V204="Uncomprehended Twilight","Failed",IF(OR(ISBLANK(W204),ISBLANK(Y204))," ",IF(NOT(ISBLANK(X204)),"Failed",IF((W204+Character!$B$9+SUMIF(Character!$I$62:$I$66,"Enigmatic Wisdom",Character!$J$62:$J$66))&gt;=IF(Z204="Yes",0,(Y204+D199)),"Succeeded","Failed"))))</f>
        <v xml:space="preserve"> </v>
      </c>
      <c r="AB204" s="477" t="str">
        <f>IF(AA204=" "," ",IF(NOT(ISBLANK(X204)),VLOOKUP($D$3+X204,Calcs!$A$110:$C$122,3,TRUE),IF(AA204="Failed",VLOOKUP($D$3,Calcs!$A$110:$C$122,3,TRUE),VLOOKUP($D$3-(IF((Character!$B$9+W204)&gt;($D$3+Y204),(Character!$B$9+W204)-($D$3+Y204),0)),Calcs!$A$110:$C$122,3,TRUE))))</f>
        <v xml:space="preserve"> </v>
      </c>
      <c r="AC204" s="489"/>
      <c r="AD204" s="489" t="str">
        <f>IF(IF(AA204=" "," ",IF(NOT(ISBLANK(X204)),VLOOKUP($D$3+X204,Calcs!$A$110:$B$122,2,TRUE),IF(AA204="Failed",VLOOKUP($D$3,Calcs!$A$110:$B$122,2,TRUE),VLOOKUP($D$3-(IF((Character!$B$9+W204)&gt;($D$3+Y204),(Character!$B$9+W204)-($D$3+Y204),0)),Calcs!$A$110:$B$122,2,TRUE))))=Calcs!$B$120,IF(ISBLANK(AC204)," ",CONCATENATE(AC204+7," Years")),IF(AA204=" "," ",IF(NOT(ISBLANK(X204)),VLOOKUP($D$3+X204,Calcs!$A$110:$B$122,2,TRUE),IF(AA204="Failed",VLOOKUP($D$3,Calcs!$A$110:$B$122,2,TRUE),VLOOKUP($D$3-(IF((Character!$B$9+W204)&gt;($D$3+Y204),(Character!$B$9+W204)-($D$3+Y204),0)),Calcs!$A$110:$B$122,2,TRUE)))))</f>
        <v xml:space="preserve"> </v>
      </c>
      <c r="AE204" s="490"/>
      <c r="AF204" s="879"/>
      <c r="AG204" s="491"/>
    </row>
    <row r="205" spans="1:33" x14ac:dyDescent="0.2">
      <c r="A205" s="415">
        <f t="shared" si="4"/>
        <v>1261</v>
      </c>
      <c r="B205" s="419" t="str">
        <f t="shared" si="5"/>
        <v>Spring</v>
      </c>
      <c r="C205" s="455"/>
      <c r="D205" s="504"/>
      <c r="E205" s="455"/>
      <c r="F205" s="504"/>
      <c r="G205" s="455"/>
      <c r="H205" s="504"/>
      <c r="I205" s="455"/>
      <c r="J205" s="504"/>
      <c r="L205" s="472"/>
      <c r="M205" s="468"/>
      <c r="N205" s="468"/>
      <c r="O205" s="468"/>
      <c r="P205" s="468"/>
      <c r="Q205" s="473"/>
      <c r="R205" s="477" t="str">
        <f>IF(AND(COUNTIF('Start Character'!$I$63:$M$77,"Twilight Prone")=1,NOT(ISERROR(FIND("Magical Botch",M205)))),"Yes",IF(P205&gt;1,"Yes","No"))</f>
        <v>No</v>
      </c>
      <c r="S205" s="501"/>
      <c r="T205" s="478"/>
      <c r="U205" s="501"/>
      <c r="V205" s="479" t="str">
        <f>IF(R205="No","No Twilight",IF(T205="Yes","Uncomprehended Twilight",IF((Character!$B$14+IF(Character!$B$53="Yes",0,Character!$B$53)+IF(Magic!$C$5="Yes",2,0)+ROUNDUP((Magic!$B$30+IF(Magic!$C$30="Yes",3,0))/5,0)+S205)&gt;=($D$3+P205+SUMIF(Character!$I$62:$I$66,"Enigmatic Wisdom",Character!$J$62:$J$66)+Q205+U205),"No Twilight","Twilight")))</f>
        <v>No Twilight</v>
      </c>
      <c r="W205" s="483"/>
      <c r="X205" s="478"/>
      <c r="Y205" s="484"/>
      <c r="Z205" s="478"/>
      <c r="AA205" s="485" t="str">
        <f>IF(V205="Uncomprehended Twilight","Failed",IF(OR(ISBLANK(W205),ISBLANK(Y205))," ",IF(NOT(ISBLANK(X205)),"Failed",IF((W205+Character!$B$9+SUMIF(Character!$I$62:$I$66,"Enigmatic Wisdom",Character!$J$62:$J$66))&gt;=IF(Z205="Yes",0,(Y205+D200)),"Succeeded","Failed"))))</f>
        <v xml:space="preserve"> </v>
      </c>
      <c r="AB205" s="477" t="str">
        <f>IF(AA205=" "," ",IF(NOT(ISBLANK(X205)),VLOOKUP($D$3+X205,Calcs!$A$110:$C$122,3,TRUE),IF(AA205="Failed",VLOOKUP($D$3,Calcs!$A$110:$C$122,3,TRUE),VLOOKUP($D$3-(IF((Character!$B$9+W205)&gt;($D$3+Y205),(Character!$B$9+W205)-($D$3+Y205),0)),Calcs!$A$110:$C$122,3,TRUE))))</f>
        <v xml:space="preserve"> </v>
      </c>
      <c r="AC205" s="489"/>
      <c r="AD205" s="489" t="str">
        <f>IF(IF(AA205=" "," ",IF(NOT(ISBLANK(X205)),VLOOKUP($D$3+X205,Calcs!$A$110:$B$122,2,TRUE),IF(AA205="Failed",VLOOKUP($D$3,Calcs!$A$110:$B$122,2,TRUE),VLOOKUP($D$3-(IF((Character!$B$9+W205)&gt;($D$3+Y205),(Character!$B$9+W205)-($D$3+Y205),0)),Calcs!$A$110:$B$122,2,TRUE))))=Calcs!$B$120,IF(ISBLANK(AC205)," ",CONCATENATE(AC205+7," Years")),IF(AA205=" "," ",IF(NOT(ISBLANK(X205)),VLOOKUP($D$3+X205,Calcs!$A$110:$B$122,2,TRUE),IF(AA205="Failed",VLOOKUP($D$3,Calcs!$A$110:$B$122,2,TRUE),VLOOKUP($D$3-(IF((Character!$B$9+W205)&gt;($D$3+Y205),(Character!$B$9+W205)-($D$3+Y205),0)),Calcs!$A$110:$B$122,2,TRUE)))))</f>
        <v xml:space="preserve"> </v>
      </c>
      <c r="AE205" s="490"/>
      <c r="AF205" s="879"/>
      <c r="AG205" s="491"/>
    </row>
    <row r="206" spans="1:33" x14ac:dyDescent="0.2">
      <c r="A206" s="415">
        <f t="shared" si="4"/>
        <v>1261</v>
      </c>
      <c r="B206" s="419" t="str">
        <f t="shared" si="5"/>
        <v>Summer</v>
      </c>
      <c r="C206" s="455"/>
      <c r="D206" s="504"/>
      <c r="E206" s="455"/>
      <c r="F206" s="504"/>
      <c r="G206" s="455"/>
      <c r="H206" s="504"/>
      <c r="I206" s="455"/>
      <c r="J206" s="504"/>
      <c r="L206" s="472"/>
      <c r="M206" s="468"/>
      <c r="N206" s="468"/>
      <c r="O206" s="468"/>
      <c r="P206" s="468"/>
      <c r="Q206" s="473"/>
      <c r="R206" s="477" t="str">
        <f>IF(AND(COUNTIF('Start Character'!$I$63:$M$77,"Twilight Prone")=1,NOT(ISERROR(FIND("Magical Botch",M206)))),"Yes",IF(P206&gt;1,"Yes","No"))</f>
        <v>No</v>
      </c>
      <c r="S206" s="501"/>
      <c r="T206" s="478"/>
      <c r="U206" s="501"/>
      <c r="V206" s="479" t="str">
        <f>IF(R206="No","No Twilight",IF(T206="Yes","Uncomprehended Twilight",IF((Character!$B$14+IF(Character!$B$53="Yes",0,Character!$B$53)+IF(Magic!$C$5="Yes",2,0)+ROUNDUP((Magic!$B$30+IF(Magic!$C$30="Yes",3,0))/5,0)+S206)&gt;=($D$3+P206+SUMIF(Character!$I$62:$I$66,"Enigmatic Wisdom",Character!$J$62:$J$66)+Q206+U206),"No Twilight","Twilight")))</f>
        <v>No Twilight</v>
      </c>
      <c r="W206" s="483"/>
      <c r="X206" s="478"/>
      <c r="Y206" s="484"/>
      <c r="Z206" s="478"/>
      <c r="AA206" s="485" t="str">
        <f>IF(V206="Uncomprehended Twilight","Failed",IF(OR(ISBLANK(W206),ISBLANK(Y206))," ",IF(NOT(ISBLANK(X206)),"Failed",IF((W206+Character!$B$9+SUMIF(Character!$I$62:$I$66,"Enigmatic Wisdom",Character!$J$62:$J$66))&gt;=IF(Z206="Yes",0,(Y206+D201)),"Succeeded","Failed"))))</f>
        <v xml:space="preserve"> </v>
      </c>
      <c r="AB206" s="477" t="str">
        <f>IF(AA206=" "," ",IF(NOT(ISBLANK(X206)),VLOOKUP($D$3+X206,Calcs!$A$110:$C$122,3,TRUE),IF(AA206="Failed",VLOOKUP($D$3,Calcs!$A$110:$C$122,3,TRUE),VLOOKUP($D$3-(IF((Character!$B$9+W206)&gt;($D$3+Y206),(Character!$B$9+W206)-($D$3+Y206),0)),Calcs!$A$110:$C$122,3,TRUE))))</f>
        <v xml:space="preserve"> </v>
      </c>
      <c r="AC206" s="489"/>
      <c r="AD206" s="489" t="str">
        <f>IF(IF(AA206=" "," ",IF(NOT(ISBLANK(X206)),VLOOKUP($D$3+X206,Calcs!$A$110:$B$122,2,TRUE),IF(AA206="Failed",VLOOKUP($D$3,Calcs!$A$110:$B$122,2,TRUE),VLOOKUP($D$3-(IF((Character!$B$9+W206)&gt;($D$3+Y206),(Character!$B$9+W206)-($D$3+Y206),0)),Calcs!$A$110:$B$122,2,TRUE))))=Calcs!$B$120,IF(ISBLANK(AC206)," ",CONCATENATE(AC206+7," Years")),IF(AA206=" "," ",IF(NOT(ISBLANK(X206)),VLOOKUP($D$3+X206,Calcs!$A$110:$B$122,2,TRUE),IF(AA206="Failed",VLOOKUP($D$3,Calcs!$A$110:$B$122,2,TRUE),VLOOKUP($D$3-(IF((Character!$B$9+W206)&gt;($D$3+Y206),(Character!$B$9+W206)-($D$3+Y206),0)),Calcs!$A$110:$B$122,2,TRUE)))))</f>
        <v xml:space="preserve"> </v>
      </c>
      <c r="AE206" s="490"/>
      <c r="AF206" s="879"/>
      <c r="AG206" s="491"/>
    </row>
    <row r="207" spans="1:33" x14ac:dyDescent="0.2">
      <c r="A207" s="415">
        <f t="shared" si="4"/>
        <v>1261</v>
      </c>
      <c r="B207" s="419" t="str">
        <f t="shared" si="5"/>
        <v>Autumn</v>
      </c>
      <c r="C207" s="455"/>
      <c r="D207" s="504"/>
      <c r="E207" s="455"/>
      <c r="F207" s="504"/>
      <c r="G207" s="455"/>
      <c r="H207" s="504"/>
      <c r="I207" s="455"/>
      <c r="J207" s="504"/>
      <c r="L207" s="472"/>
      <c r="M207" s="468"/>
      <c r="N207" s="468"/>
      <c r="O207" s="468"/>
      <c r="P207" s="468"/>
      <c r="Q207" s="473"/>
      <c r="R207" s="477" t="str">
        <f>IF(AND(COUNTIF('Start Character'!$I$63:$M$77,"Twilight Prone")=1,NOT(ISERROR(FIND("Magical Botch",M207)))),"Yes",IF(P207&gt;1,"Yes","No"))</f>
        <v>No</v>
      </c>
      <c r="S207" s="501"/>
      <c r="T207" s="478"/>
      <c r="U207" s="501"/>
      <c r="V207" s="479" t="str">
        <f>IF(R207="No","No Twilight",IF(T207="Yes","Uncomprehended Twilight",IF((Character!$B$14+IF(Character!$B$53="Yes",0,Character!$B$53)+IF(Magic!$C$5="Yes",2,0)+ROUNDUP((Magic!$B$30+IF(Magic!$C$30="Yes",3,0))/5,0)+S207)&gt;=($D$3+P207+SUMIF(Character!$I$62:$I$66,"Enigmatic Wisdom",Character!$J$62:$J$66)+Q207+U207),"No Twilight","Twilight")))</f>
        <v>No Twilight</v>
      </c>
      <c r="W207" s="483"/>
      <c r="X207" s="478"/>
      <c r="Y207" s="484"/>
      <c r="Z207" s="478"/>
      <c r="AA207" s="485" t="str">
        <f>IF(V207="Uncomprehended Twilight","Failed",IF(OR(ISBLANK(W207),ISBLANK(Y207))," ",IF(NOT(ISBLANK(X207)),"Failed",IF((W207+Character!$B$9+SUMIF(Character!$I$62:$I$66,"Enigmatic Wisdom",Character!$J$62:$J$66))&gt;=IF(Z207="Yes",0,(Y207+D202)),"Succeeded","Failed"))))</f>
        <v xml:space="preserve"> </v>
      </c>
      <c r="AB207" s="477" t="str">
        <f>IF(AA207=" "," ",IF(NOT(ISBLANK(X207)),VLOOKUP($D$3+X207,Calcs!$A$110:$C$122,3,TRUE),IF(AA207="Failed",VLOOKUP($D$3,Calcs!$A$110:$C$122,3,TRUE),VLOOKUP($D$3-(IF((Character!$B$9+W207)&gt;($D$3+Y207),(Character!$B$9+W207)-($D$3+Y207),0)),Calcs!$A$110:$C$122,3,TRUE))))</f>
        <v xml:space="preserve"> </v>
      </c>
      <c r="AC207" s="489"/>
      <c r="AD207" s="489" t="str">
        <f>IF(IF(AA207=" "," ",IF(NOT(ISBLANK(X207)),VLOOKUP($D$3+X207,Calcs!$A$110:$B$122,2,TRUE),IF(AA207="Failed",VLOOKUP($D$3,Calcs!$A$110:$B$122,2,TRUE),VLOOKUP($D$3-(IF((Character!$B$9+W207)&gt;($D$3+Y207),(Character!$B$9+W207)-($D$3+Y207),0)),Calcs!$A$110:$B$122,2,TRUE))))=Calcs!$B$120,IF(ISBLANK(AC207)," ",CONCATENATE(AC207+7," Years")),IF(AA207=" "," ",IF(NOT(ISBLANK(X207)),VLOOKUP($D$3+X207,Calcs!$A$110:$B$122,2,TRUE),IF(AA207="Failed",VLOOKUP($D$3,Calcs!$A$110:$B$122,2,TRUE),VLOOKUP($D$3-(IF((Character!$B$9+W207)&gt;($D$3+Y207),(Character!$B$9+W207)-($D$3+Y207),0)),Calcs!$A$110:$B$122,2,TRUE)))))</f>
        <v xml:space="preserve"> </v>
      </c>
      <c r="AE207" s="490"/>
      <c r="AF207" s="879"/>
      <c r="AG207" s="491"/>
    </row>
    <row r="208" spans="1:33" x14ac:dyDescent="0.2">
      <c r="A208" s="415">
        <f t="shared" si="4"/>
        <v>1262</v>
      </c>
      <c r="B208" s="419" t="str">
        <f t="shared" si="5"/>
        <v>Winter</v>
      </c>
      <c r="C208" s="455"/>
      <c r="D208" s="504"/>
      <c r="E208" s="455"/>
      <c r="F208" s="504"/>
      <c r="G208" s="455"/>
      <c r="H208" s="504"/>
      <c r="I208" s="455"/>
      <c r="J208" s="504"/>
      <c r="L208" s="472"/>
      <c r="M208" s="468"/>
      <c r="N208" s="468"/>
      <c r="O208" s="468"/>
      <c r="P208" s="468"/>
      <c r="Q208" s="473"/>
      <c r="R208" s="477" t="str">
        <f>IF(AND(COUNTIF('Start Character'!$I$63:$M$77,"Twilight Prone")=1,NOT(ISERROR(FIND("Magical Botch",M208)))),"Yes",IF(P208&gt;1,"Yes","No"))</f>
        <v>No</v>
      </c>
      <c r="S208" s="501"/>
      <c r="T208" s="478"/>
      <c r="U208" s="501"/>
      <c r="V208" s="479" t="str">
        <f>IF(R208="No","No Twilight",IF(T208="Yes","Uncomprehended Twilight",IF((Character!$B$14+IF(Character!$B$53="Yes",0,Character!$B$53)+IF(Magic!$C$5="Yes",2,0)+ROUNDUP((Magic!$B$30+IF(Magic!$C$30="Yes",3,0))/5,0)+S208)&gt;=($D$3+P208+SUMIF(Character!$I$62:$I$66,"Enigmatic Wisdom",Character!$J$62:$J$66)+Q208+U208),"No Twilight","Twilight")))</f>
        <v>No Twilight</v>
      </c>
      <c r="W208" s="483"/>
      <c r="X208" s="478"/>
      <c r="Y208" s="484"/>
      <c r="Z208" s="478"/>
      <c r="AA208" s="485" t="str">
        <f>IF(V208="Uncomprehended Twilight","Failed",IF(OR(ISBLANK(W208),ISBLANK(Y208))," ",IF(NOT(ISBLANK(X208)),"Failed",IF((W208+Character!$B$9+SUMIF(Character!$I$62:$I$66,"Enigmatic Wisdom",Character!$J$62:$J$66))&gt;=IF(Z208="Yes",0,(Y208+D203)),"Succeeded","Failed"))))</f>
        <v xml:space="preserve"> </v>
      </c>
      <c r="AB208" s="477" t="str">
        <f>IF(AA208=" "," ",IF(NOT(ISBLANK(X208)),VLOOKUP($D$3+X208,Calcs!$A$110:$C$122,3,TRUE),IF(AA208="Failed",VLOOKUP($D$3,Calcs!$A$110:$C$122,3,TRUE),VLOOKUP($D$3-(IF((Character!$B$9+W208)&gt;($D$3+Y208),(Character!$B$9+W208)-($D$3+Y208),0)),Calcs!$A$110:$C$122,3,TRUE))))</f>
        <v xml:space="preserve"> </v>
      </c>
      <c r="AC208" s="489"/>
      <c r="AD208" s="489" t="str">
        <f>IF(IF(AA208=" "," ",IF(NOT(ISBLANK(X208)),VLOOKUP($D$3+X208,Calcs!$A$110:$B$122,2,TRUE),IF(AA208="Failed",VLOOKUP($D$3,Calcs!$A$110:$B$122,2,TRUE),VLOOKUP($D$3-(IF((Character!$B$9+W208)&gt;($D$3+Y208),(Character!$B$9+W208)-($D$3+Y208),0)),Calcs!$A$110:$B$122,2,TRUE))))=Calcs!$B$120,IF(ISBLANK(AC208)," ",CONCATENATE(AC208+7," Years")),IF(AA208=" "," ",IF(NOT(ISBLANK(X208)),VLOOKUP($D$3+X208,Calcs!$A$110:$B$122,2,TRUE),IF(AA208="Failed",VLOOKUP($D$3,Calcs!$A$110:$B$122,2,TRUE),VLOOKUP($D$3-(IF((Character!$B$9+W208)&gt;($D$3+Y208),(Character!$B$9+W208)-($D$3+Y208),0)),Calcs!$A$110:$B$122,2,TRUE)))))</f>
        <v xml:space="preserve"> </v>
      </c>
      <c r="AE208" s="490"/>
      <c r="AF208" s="879"/>
      <c r="AG208" s="491"/>
    </row>
    <row r="209" spans="1:33" x14ac:dyDescent="0.2">
      <c r="A209" s="415">
        <f t="shared" si="4"/>
        <v>1262</v>
      </c>
      <c r="B209" s="419" t="str">
        <f t="shared" si="5"/>
        <v>Spring</v>
      </c>
      <c r="C209" s="455"/>
      <c r="D209" s="504"/>
      <c r="E209" s="455"/>
      <c r="F209" s="504"/>
      <c r="G209" s="455"/>
      <c r="H209" s="504"/>
      <c r="I209" s="455"/>
      <c r="J209" s="504"/>
      <c r="L209" s="472"/>
      <c r="M209" s="468"/>
      <c r="N209" s="468"/>
      <c r="O209" s="468"/>
      <c r="P209" s="468"/>
      <c r="Q209" s="473"/>
      <c r="R209" s="477" t="str">
        <f>IF(AND(COUNTIF('Start Character'!$I$63:$M$77,"Twilight Prone")=1,NOT(ISERROR(FIND("Magical Botch",M209)))),"Yes",IF(P209&gt;1,"Yes","No"))</f>
        <v>No</v>
      </c>
      <c r="S209" s="501"/>
      <c r="T209" s="478"/>
      <c r="U209" s="501"/>
      <c r="V209" s="479" t="str">
        <f>IF(R209="No","No Twilight",IF(T209="Yes","Uncomprehended Twilight",IF((Character!$B$14+IF(Character!$B$53="Yes",0,Character!$B$53)+IF(Magic!$C$5="Yes",2,0)+ROUNDUP((Magic!$B$30+IF(Magic!$C$30="Yes",3,0))/5,0)+S209)&gt;=($D$3+P209+SUMIF(Character!$I$62:$I$66,"Enigmatic Wisdom",Character!$J$62:$J$66)+Q209+U209),"No Twilight","Twilight")))</f>
        <v>No Twilight</v>
      </c>
      <c r="W209" s="483"/>
      <c r="X209" s="478"/>
      <c r="Y209" s="484"/>
      <c r="Z209" s="478"/>
      <c r="AA209" s="485" t="str">
        <f>IF(V209="Uncomprehended Twilight","Failed",IF(OR(ISBLANK(W209),ISBLANK(Y209))," ",IF(NOT(ISBLANK(X209)),"Failed",IF((W209+Character!$B$9+SUMIF(Character!$I$62:$I$66,"Enigmatic Wisdom",Character!$J$62:$J$66))&gt;=IF(Z209="Yes",0,(Y209+D204)),"Succeeded","Failed"))))</f>
        <v xml:space="preserve"> </v>
      </c>
      <c r="AB209" s="477" t="str">
        <f>IF(AA209=" "," ",IF(NOT(ISBLANK(X209)),VLOOKUP($D$3+X209,Calcs!$A$110:$C$122,3,TRUE),IF(AA209="Failed",VLOOKUP($D$3,Calcs!$A$110:$C$122,3,TRUE),VLOOKUP($D$3-(IF((Character!$B$9+W209)&gt;($D$3+Y209),(Character!$B$9+W209)-($D$3+Y209),0)),Calcs!$A$110:$C$122,3,TRUE))))</f>
        <v xml:space="preserve"> </v>
      </c>
      <c r="AC209" s="489"/>
      <c r="AD209" s="489" t="str">
        <f>IF(IF(AA209=" "," ",IF(NOT(ISBLANK(X209)),VLOOKUP($D$3+X209,Calcs!$A$110:$B$122,2,TRUE),IF(AA209="Failed",VLOOKUP($D$3,Calcs!$A$110:$B$122,2,TRUE),VLOOKUP($D$3-(IF((Character!$B$9+W209)&gt;($D$3+Y209),(Character!$B$9+W209)-($D$3+Y209),0)),Calcs!$A$110:$B$122,2,TRUE))))=Calcs!$B$120,IF(ISBLANK(AC209)," ",CONCATENATE(AC209+7," Years")),IF(AA209=" "," ",IF(NOT(ISBLANK(X209)),VLOOKUP($D$3+X209,Calcs!$A$110:$B$122,2,TRUE),IF(AA209="Failed",VLOOKUP($D$3,Calcs!$A$110:$B$122,2,TRUE),VLOOKUP($D$3-(IF((Character!$B$9+W209)&gt;($D$3+Y209),(Character!$B$9+W209)-($D$3+Y209),0)),Calcs!$A$110:$B$122,2,TRUE)))))</f>
        <v xml:space="preserve"> </v>
      </c>
      <c r="AE209" s="490"/>
      <c r="AF209" s="879"/>
      <c r="AG209" s="491"/>
    </row>
    <row r="210" spans="1:33" x14ac:dyDescent="0.2">
      <c r="A210" s="415">
        <f t="shared" si="4"/>
        <v>1262</v>
      </c>
      <c r="B210" s="419" t="str">
        <f t="shared" si="5"/>
        <v>Summer</v>
      </c>
      <c r="C210" s="455"/>
      <c r="D210" s="504"/>
      <c r="E210" s="455"/>
      <c r="F210" s="504"/>
      <c r="G210" s="455"/>
      <c r="H210" s="504"/>
      <c r="I210" s="455"/>
      <c r="J210" s="504"/>
      <c r="L210" s="472"/>
      <c r="M210" s="468"/>
      <c r="N210" s="468"/>
      <c r="O210" s="468"/>
      <c r="P210" s="468"/>
      <c r="Q210" s="473"/>
      <c r="R210" s="477" t="str">
        <f>IF(AND(COUNTIF('Start Character'!$I$63:$M$77,"Twilight Prone")=1,NOT(ISERROR(FIND("Magical Botch",M210)))),"Yes",IF(P210&gt;1,"Yes","No"))</f>
        <v>No</v>
      </c>
      <c r="S210" s="501"/>
      <c r="T210" s="478"/>
      <c r="U210" s="501"/>
      <c r="V210" s="479" t="str">
        <f>IF(R210="No","No Twilight",IF(T210="Yes","Uncomprehended Twilight",IF((Character!$B$14+IF(Character!$B$53="Yes",0,Character!$B$53)+IF(Magic!$C$5="Yes",2,0)+ROUNDUP((Magic!$B$30+IF(Magic!$C$30="Yes",3,0))/5,0)+S210)&gt;=($D$3+P210+SUMIF(Character!$I$62:$I$66,"Enigmatic Wisdom",Character!$J$62:$J$66)+Q210+U210),"No Twilight","Twilight")))</f>
        <v>No Twilight</v>
      </c>
      <c r="W210" s="483"/>
      <c r="X210" s="478"/>
      <c r="Y210" s="484"/>
      <c r="Z210" s="478"/>
      <c r="AA210" s="485" t="str">
        <f>IF(V210="Uncomprehended Twilight","Failed",IF(OR(ISBLANK(W210),ISBLANK(Y210))," ",IF(NOT(ISBLANK(X210)),"Failed",IF((W210+Character!$B$9+SUMIF(Character!$I$62:$I$66,"Enigmatic Wisdom",Character!$J$62:$J$66))&gt;=IF(Z210="Yes",0,(Y210+D205)),"Succeeded","Failed"))))</f>
        <v xml:space="preserve"> </v>
      </c>
      <c r="AB210" s="477" t="str">
        <f>IF(AA210=" "," ",IF(NOT(ISBLANK(X210)),VLOOKUP($D$3+X210,Calcs!$A$110:$C$122,3,TRUE),IF(AA210="Failed",VLOOKUP($D$3,Calcs!$A$110:$C$122,3,TRUE),VLOOKUP($D$3-(IF((Character!$B$9+W210)&gt;($D$3+Y210),(Character!$B$9+W210)-($D$3+Y210),0)),Calcs!$A$110:$C$122,3,TRUE))))</f>
        <v xml:space="preserve"> </v>
      </c>
      <c r="AC210" s="489"/>
      <c r="AD210" s="489" t="str">
        <f>IF(IF(AA210=" "," ",IF(NOT(ISBLANK(X210)),VLOOKUP($D$3+X210,Calcs!$A$110:$B$122,2,TRUE),IF(AA210="Failed",VLOOKUP($D$3,Calcs!$A$110:$B$122,2,TRUE),VLOOKUP($D$3-(IF((Character!$B$9+W210)&gt;($D$3+Y210),(Character!$B$9+W210)-($D$3+Y210),0)),Calcs!$A$110:$B$122,2,TRUE))))=Calcs!$B$120,IF(ISBLANK(AC210)," ",CONCATENATE(AC210+7," Years")),IF(AA210=" "," ",IF(NOT(ISBLANK(X210)),VLOOKUP($D$3+X210,Calcs!$A$110:$B$122,2,TRUE),IF(AA210="Failed",VLOOKUP($D$3,Calcs!$A$110:$B$122,2,TRUE),VLOOKUP($D$3-(IF((Character!$B$9+W210)&gt;($D$3+Y210),(Character!$B$9+W210)-($D$3+Y210),0)),Calcs!$A$110:$B$122,2,TRUE)))))</f>
        <v xml:space="preserve"> </v>
      </c>
      <c r="AE210" s="490"/>
      <c r="AF210" s="879"/>
      <c r="AG210" s="491"/>
    </row>
    <row r="211" spans="1:33" x14ac:dyDescent="0.2">
      <c r="A211" s="415">
        <f t="shared" si="4"/>
        <v>1262</v>
      </c>
      <c r="B211" s="419" t="str">
        <f t="shared" si="5"/>
        <v>Autumn</v>
      </c>
      <c r="C211" s="455"/>
      <c r="D211" s="504"/>
      <c r="E211" s="455"/>
      <c r="F211" s="504"/>
      <c r="G211" s="455"/>
      <c r="H211" s="504"/>
      <c r="I211" s="455"/>
      <c r="J211" s="504"/>
      <c r="L211" s="472"/>
      <c r="M211" s="468"/>
      <c r="N211" s="468"/>
      <c r="O211" s="468"/>
      <c r="P211" s="468"/>
      <c r="Q211" s="473"/>
      <c r="R211" s="477" t="str">
        <f>IF(AND(COUNTIF('Start Character'!$I$63:$M$77,"Twilight Prone")=1,NOT(ISERROR(FIND("Magical Botch",M211)))),"Yes",IF(P211&gt;1,"Yes","No"))</f>
        <v>No</v>
      </c>
      <c r="S211" s="501"/>
      <c r="T211" s="478"/>
      <c r="U211" s="501"/>
      <c r="V211" s="479" t="str">
        <f>IF(R211="No","No Twilight",IF(T211="Yes","Uncomprehended Twilight",IF((Character!$B$14+IF(Character!$B$53="Yes",0,Character!$B$53)+IF(Magic!$C$5="Yes",2,0)+ROUNDUP((Magic!$B$30+IF(Magic!$C$30="Yes",3,0))/5,0)+S211)&gt;=($D$3+P211+SUMIF(Character!$I$62:$I$66,"Enigmatic Wisdom",Character!$J$62:$J$66)+Q211+U211),"No Twilight","Twilight")))</f>
        <v>No Twilight</v>
      </c>
      <c r="W211" s="483"/>
      <c r="X211" s="478"/>
      <c r="Y211" s="484"/>
      <c r="Z211" s="478"/>
      <c r="AA211" s="485" t="str">
        <f>IF(V211="Uncomprehended Twilight","Failed",IF(OR(ISBLANK(W211),ISBLANK(Y211))," ",IF(NOT(ISBLANK(X211)),"Failed",IF((W211+Character!$B$9+SUMIF(Character!$I$62:$I$66,"Enigmatic Wisdom",Character!$J$62:$J$66))&gt;=IF(Z211="Yes",0,(Y211+D206)),"Succeeded","Failed"))))</f>
        <v xml:space="preserve"> </v>
      </c>
      <c r="AB211" s="477" t="str">
        <f>IF(AA211=" "," ",IF(NOT(ISBLANK(X211)),VLOOKUP($D$3+X211,Calcs!$A$110:$C$122,3,TRUE),IF(AA211="Failed",VLOOKUP($D$3,Calcs!$A$110:$C$122,3,TRUE),VLOOKUP($D$3-(IF((Character!$B$9+W211)&gt;($D$3+Y211),(Character!$B$9+W211)-($D$3+Y211),0)),Calcs!$A$110:$C$122,3,TRUE))))</f>
        <v xml:space="preserve"> </v>
      </c>
      <c r="AC211" s="489"/>
      <c r="AD211" s="489" t="str">
        <f>IF(IF(AA211=" "," ",IF(NOT(ISBLANK(X211)),VLOOKUP($D$3+X211,Calcs!$A$110:$B$122,2,TRUE),IF(AA211="Failed",VLOOKUP($D$3,Calcs!$A$110:$B$122,2,TRUE),VLOOKUP($D$3-(IF((Character!$B$9+W211)&gt;($D$3+Y211),(Character!$B$9+W211)-($D$3+Y211),0)),Calcs!$A$110:$B$122,2,TRUE))))=Calcs!$B$120,IF(ISBLANK(AC211)," ",CONCATENATE(AC211+7," Years")),IF(AA211=" "," ",IF(NOT(ISBLANK(X211)),VLOOKUP($D$3+X211,Calcs!$A$110:$B$122,2,TRUE),IF(AA211="Failed",VLOOKUP($D$3,Calcs!$A$110:$B$122,2,TRUE),VLOOKUP($D$3-(IF((Character!$B$9+W211)&gt;($D$3+Y211),(Character!$B$9+W211)-($D$3+Y211),0)),Calcs!$A$110:$B$122,2,TRUE)))))</f>
        <v xml:space="preserve"> </v>
      </c>
      <c r="AE211" s="490"/>
      <c r="AF211" s="879"/>
      <c r="AG211" s="491"/>
    </row>
    <row r="212" spans="1:33" x14ac:dyDescent="0.2">
      <c r="A212" s="415">
        <f t="shared" si="4"/>
        <v>1263</v>
      </c>
      <c r="B212" s="419" t="str">
        <f t="shared" si="5"/>
        <v>Winter</v>
      </c>
      <c r="C212" s="455"/>
      <c r="D212" s="504"/>
      <c r="E212" s="455"/>
      <c r="F212" s="504"/>
      <c r="G212" s="455"/>
      <c r="H212" s="504"/>
      <c r="I212" s="455"/>
      <c r="J212" s="504"/>
      <c r="L212" s="472"/>
      <c r="M212" s="468"/>
      <c r="N212" s="468"/>
      <c r="O212" s="468"/>
      <c r="P212" s="468"/>
      <c r="Q212" s="473"/>
      <c r="R212" s="477" t="str">
        <f>IF(AND(COUNTIF('Start Character'!$I$63:$M$77,"Twilight Prone")=1,NOT(ISERROR(FIND("Magical Botch",M212)))),"Yes",IF(P212&gt;1,"Yes","No"))</f>
        <v>No</v>
      </c>
      <c r="S212" s="501"/>
      <c r="T212" s="478"/>
      <c r="U212" s="501"/>
      <c r="V212" s="479" t="str">
        <f>IF(R212="No","No Twilight",IF(T212="Yes","Uncomprehended Twilight",IF((Character!$B$14+IF(Character!$B$53="Yes",0,Character!$B$53)+IF(Magic!$C$5="Yes",2,0)+ROUNDUP((Magic!$B$30+IF(Magic!$C$30="Yes",3,0))/5,0)+S212)&gt;=($D$3+P212+SUMIF(Character!$I$62:$I$66,"Enigmatic Wisdom",Character!$J$62:$J$66)+Q212+U212),"No Twilight","Twilight")))</f>
        <v>No Twilight</v>
      </c>
      <c r="W212" s="483"/>
      <c r="X212" s="478"/>
      <c r="Y212" s="484"/>
      <c r="Z212" s="478"/>
      <c r="AA212" s="485" t="str">
        <f>IF(V212="Uncomprehended Twilight","Failed",IF(OR(ISBLANK(W212),ISBLANK(Y212))," ",IF(NOT(ISBLANK(X212)),"Failed",IF((W212+Character!$B$9+SUMIF(Character!$I$62:$I$66,"Enigmatic Wisdom",Character!$J$62:$J$66))&gt;=IF(Z212="Yes",0,(Y212+D207)),"Succeeded","Failed"))))</f>
        <v xml:space="preserve"> </v>
      </c>
      <c r="AB212" s="477" t="str">
        <f>IF(AA212=" "," ",IF(NOT(ISBLANK(X212)),VLOOKUP($D$3+X212,Calcs!$A$110:$C$122,3,TRUE),IF(AA212="Failed",VLOOKUP($D$3,Calcs!$A$110:$C$122,3,TRUE),VLOOKUP($D$3-(IF((Character!$B$9+W212)&gt;($D$3+Y212),(Character!$B$9+W212)-($D$3+Y212),0)),Calcs!$A$110:$C$122,3,TRUE))))</f>
        <v xml:space="preserve"> </v>
      </c>
      <c r="AC212" s="489"/>
      <c r="AD212" s="489" t="str">
        <f>IF(IF(AA212=" "," ",IF(NOT(ISBLANK(X212)),VLOOKUP($D$3+X212,Calcs!$A$110:$B$122,2,TRUE),IF(AA212="Failed",VLOOKUP($D$3,Calcs!$A$110:$B$122,2,TRUE),VLOOKUP($D$3-(IF((Character!$B$9+W212)&gt;($D$3+Y212),(Character!$B$9+W212)-($D$3+Y212),0)),Calcs!$A$110:$B$122,2,TRUE))))=Calcs!$B$120,IF(ISBLANK(AC212)," ",CONCATENATE(AC212+7," Years")),IF(AA212=" "," ",IF(NOT(ISBLANK(X212)),VLOOKUP($D$3+X212,Calcs!$A$110:$B$122,2,TRUE),IF(AA212="Failed",VLOOKUP($D$3,Calcs!$A$110:$B$122,2,TRUE),VLOOKUP($D$3-(IF((Character!$B$9+W212)&gt;($D$3+Y212),(Character!$B$9+W212)-($D$3+Y212),0)),Calcs!$A$110:$B$122,2,TRUE)))))</f>
        <v xml:space="preserve"> </v>
      </c>
      <c r="AE212" s="490"/>
      <c r="AF212" s="879"/>
      <c r="AG212" s="491"/>
    </row>
    <row r="213" spans="1:33" x14ac:dyDescent="0.2">
      <c r="A213" s="415">
        <f t="shared" si="4"/>
        <v>1263</v>
      </c>
      <c r="B213" s="419" t="str">
        <f t="shared" si="5"/>
        <v>Spring</v>
      </c>
      <c r="C213" s="455"/>
      <c r="D213" s="504"/>
      <c r="E213" s="455"/>
      <c r="F213" s="504"/>
      <c r="G213" s="455"/>
      <c r="H213" s="504"/>
      <c r="I213" s="455"/>
      <c r="J213" s="504"/>
      <c r="L213" s="472"/>
      <c r="M213" s="468"/>
      <c r="N213" s="468"/>
      <c r="O213" s="468"/>
      <c r="P213" s="468"/>
      <c r="Q213" s="473"/>
      <c r="R213" s="477" t="str">
        <f>IF(AND(COUNTIF('Start Character'!$I$63:$M$77,"Twilight Prone")=1,NOT(ISERROR(FIND("Magical Botch",M213)))),"Yes",IF(P213&gt;1,"Yes","No"))</f>
        <v>No</v>
      </c>
      <c r="S213" s="501"/>
      <c r="T213" s="478"/>
      <c r="U213" s="501"/>
      <c r="V213" s="479" t="str">
        <f>IF(R213="No","No Twilight",IF(T213="Yes","Uncomprehended Twilight",IF((Character!$B$14+IF(Character!$B$53="Yes",0,Character!$B$53)+IF(Magic!$C$5="Yes",2,0)+ROUNDUP((Magic!$B$30+IF(Magic!$C$30="Yes",3,0))/5,0)+S213)&gt;=($D$3+P213+SUMIF(Character!$I$62:$I$66,"Enigmatic Wisdom",Character!$J$62:$J$66)+Q213+U213),"No Twilight","Twilight")))</f>
        <v>No Twilight</v>
      </c>
      <c r="W213" s="483"/>
      <c r="X213" s="478"/>
      <c r="Y213" s="484"/>
      <c r="Z213" s="478"/>
      <c r="AA213" s="485" t="str">
        <f>IF(V213="Uncomprehended Twilight","Failed",IF(OR(ISBLANK(W213),ISBLANK(Y213))," ",IF(NOT(ISBLANK(X213)),"Failed",IF((W213+Character!$B$9+SUMIF(Character!$I$62:$I$66,"Enigmatic Wisdom",Character!$J$62:$J$66))&gt;=IF(Z213="Yes",0,(Y213+D208)),"Succeeded","Failed"))))</f>
        <v xml:space="preserve"> </v>
      </c>
      <c r="AB213" s="477" t="str">
        <f>IF(AA213=" "," ",IF(NOT(ISBLANK(X213)),VLOOKUP($D$3+X213,Calcs!$A$110:$C$122,3,TRUE),IF(AA213="Failed",VLOOKUP($D$3,Calcs!$A$110:$C$122,3,TRUE),VLOOKUP($D$3-(IF((Character!$B$9+W213)&gt;($D$3+Y213),(Character!$B$9+W213)-($D$3+Y213),0)),Calcs!$A$110:$C$122,3,TRUE))))</f>
        <v xml:space="preserve"> </v>
      </c>
      <c r="AC213" s="489"/>
      <c r="AD213" s="489" t="str">
        <f>IF(IF(AA213=" "," ",IF(NOT(ISBLANK(X213)),VLOOKUP($D$3+X213,Calcs!$A$110:$B$122,2,TRUE),IF(AA213="Failed",VLOOKUP($D$3,Calcs!$A$110:$B$122,2,TRUE),VLOOKUP($D$3-(IF((Character!$B$9+W213)&gt;($D$3+Y213),(Character!$B$9+W213)-($D$3+Y213),0)),Calcs!$A$110:$B$122,2,TRUE))))=Calcs!$B$120,IF(ISBLANK(AC213)," ",CONCATENATE(AC213+7," Years")),IF(AA213=" "," ",IF(NOT(ISBLANK(X213)),VLOOKUP($D$3+X213,Calcs!$A$110:$B$122,2,TRUE),IF(AA213="Failed",VLOOKUP($D$3,Calcs!$A$110:$B$122,2,TRUE),VLOOKUP($D$3-(IF((Character!$B$9+W213)&gt;($D$3+Y213),(Character!$B$9+W213)-($D$3+Y213),0)),Calcs!$A$110:$B$122,2,TRUE)))))</f>
        <v xml:space="preserve"> </v>
      </c>
      <c r="AE213" s="490"/>
      <c r="AF213" s="879"/>
      <c r="AG213" s="491"/>
    </row>
    <row r="214" spans="1:33" x14ac:dyDescent="0.2">
      <c r="A214" s="415">
        <f t="shared" si="4"/>
        <v>1263</v>
      </c>
      <c r="B214" s="419" t="str">
        <f t="shared" si="5"/>
        <v>Summer</v>
      </c>
      <c r="C214" s="455"/>
      <c r="D214" s="504"/>
      <c r="E214" s="455"/>
      <c r="F214" s="504"/>
      <c r="G214" s="455"/>
      <c r="H214" s="504"/>
      <c r="I214" s="455"/>
      <c r="J214" s="504"/>
      <c r="L214" s="472"/>
      <c r="M214" s="468"/>
      <c r="N214" s="468"/>
      <c r="O214" s="468"/>
      <c r="P214" s="468"/>
      <c r="Q214" s="473"/>
      <c r="R214" s="477" t="str">
        <f>IF(AND(COUNTIF('Start Character'!$I$63:$M$77,"Twilight Prone")=1,NOT(ISERROR(FIND("Magical Botch",M214)))),"Yes",IF(P214&gt;1,"Yes","No"))</f>
        <v>No</v>
      </c>
      <c r="S214" s="501"/>
      <c r="T214" s="478"/>
      <c r="U214" s="501"/>
      <c r="V214" s="479" t="str">
        <f>IF(R214="No","No Twilight",IF(T214="Yes","Uncomprehended Twilight",IF((Character!$B$14+IF(Character!$B$53="Yes",0,Character!$B$53)+IF(Magic!$C$5="Yes",2,0)+ROUNDUP((Magic!$B$30+IF(Magic!$C$30="Yes",3,0))/5,0)+S214)&gt;=($D$3+P214+SUMIF(Character!$I$62:$I$66,"Enigmatic Wisdom",Character!$J$62:$J$66)+Q214+U214),"No Twilight","Twilight")))</f>
        <v>No Twilight</v>
      </c>
      <c r="W214" s="483"/>
      <c r="X214" s="478"/>
      <c r="Y214" s="484"/>
      <c r="Z214" s="478"/>
      <c r="AA214" s="485" t="str">
        <f>IF(V214="Uncomprehended Twilight","Failed",IF(OR(ISBLANK(W214),ISBLANK(Y214))," ",IF(NOT(ISBLANK(X214)),"Failed",IF((W214+Character!$B$9+SUMIF(Character!$I$62:$I$66,"Enigmatic Wisdom",Character!$J$62:$J$66))&gt;=IF(Z214="Yes",0,(Y214+D209)),"Succeeded","Failed"))))</f>
        <v xml:space="preserve"> </v>
      </c>
      <c r="AB214" s="477" t="str">
        <f>IF(AA214=" "," ",IF(NOT(ISBLANK(X214)),VLOOKUP($D$3+X214,Calcs!$A$110:$C$122,3,TRUE),IF(AA214="Failed",VLOOKUP($D$3,Calcs!$A$110:$C$122,3,TRUE),VLOOKUP($D$3-(IF((Character!$B$9+W214)&gt;($D$3+Y214),(Character!$B$9+W214)-($D$3+Y214),0)),Calcs!$A$110:$C$122,3,TRUE))))</f>
        <v xml:space="preserve"> </v>
      </c>
      <c r="AC214" s="489"/>
      <c r="AD214" s="489" t="str">
        <f>IF(IF(AA214=" "," ",IF(NOT(ISBLANK(X214)),VLOOKUP($D$3+X214,Calcs!$A$110:$B$122,2,TRUE),IF(AA214="Failed",VLOOKUP($D$3,Calcs!$A$110:$B$122,2,TRUE),VLOOKUP($D$3-(IF((Character!$B$9+W214)&gt;($D$3+Y214),(Character!$B$9+W214)-($D$3+Y214),0)),Calcs!$A$110:$B$122,2,TRUE))))=Calcs!$B$120,IF(ISBLANK(AC214)," ",CONCATENATE(AC214+7," Years")),IF(AA214=" "," ",IF(NOT(ISBLANK(X214)),VLOOKUP($D$3+X214,Calcs!$A$110:$B$122,2,TRUE),IF(AA214="Failed",VLOOKUP($D$3,Calcs!$A$110:$B$122,2,TRUE),VLOOKUP($D$3-(IF((Character!$B$9+W214)&gt;($D$3+Y214),(Character!$B$9+W214)-($D$3+Y214),0)),Calcs!$A$110:$B$122,2,TRUE)))))</f>
        <v xml:space="preserve"> </v>
      </c>
      <c r="AE214" s="490"/>
      <c r="AF214" s="879"/>
      <c r="AG214" s="491"/>
    </row>
    <row r="215" spans="1:33" x14ac:dyDescent="0.2">
      <c r="A215" s="415">
        <f t="shared" si="4"/>
        <v>1263</v>
      </c>
      <c r="B215" s="419" t="str">
        <f t="shared" si="5"/>
        <v>Autumn</v>
      </c>
      <c r="C215" s="455"/>
      <c r="D215" s="504"/>
      <c r="E215" s="455"/>
      <c r="F215" s="504"/>
      <c r="G215" s="455"/>
      <c r="H215" s="504"/>
      <c r="I215" s="455"/>
      <c r="J215" s="504"/>
      <c r="L215" s="472"/>
      <c r="M215" s="468"/>
      <c r="N215" s="468"/>
      <c r="O215" s="468"/>
      <c r="P215" s="468"/>
      <c r="Q215" s="473"/>
      <c r="R215" s="477" t="str">
        <f>IF(AND(COUNTIF('Start Character'!$I$63:$M$77,"Twilight Prone")=1,NOT(ISERROR(FIND("Magical Botch",M215)))),"Yes",IF(P215&gt;1,"Yes","No"))</f>
        <v>No</v>
      </c>
      <c r="S215" s="501"/>
      <c r="T215" s="478"/>
      <c r="U215" s="501"/>
      <c r="V215" s="479" t="str">
        <f>IF(R215="No","No Twilight",IF(T215="Yes","Uncomprehended Twilight",IF((Character!$B$14+IF(Character!$B$53="Yes",0,Character!$B$53)+IF(Magic!$C$5="Yes",2,0)+ROUNDUP((Magic!$B$30+IF(Magic!$C$30="Yes",3,0))/5,0)+S215)&gt;=($D$3+P215+SUMIF(Character!$I$62:$I$66,"Enigmatic Wisdom",Character!$J$62:$J$66)+Q215+U215),"No Twilight","Twilight")))</f>
        <v>No Twilight</v>
      </c>
      <c r="W215" s="483"/>
      <c r="X215" s="478"/>
      <c r="Y215" s="484"/>
      <c r="Z215" s="478"/>
      <c r="AA215" s="485" t="str">
        <f>IF(V215="Uncomprehended Twilight","Failed",IF(OR(ISBLANK(W215),ISBLANK(Y215))," ",IF(NOT(ISBLANK(X215)),"Failed",IF((W215+Character!$B$9+SUMIF(Character!$I$62:$I$66,"Enigmatic Wisdom",Character!$J$62:$J$66))&gt;=IF(Z215="Yes",0,(Y215+D210)),"Succeeded","Failed"))))</f>
        <v xml:space="preserve"> </v>
      </c>
      <c r="AB215" s="477" t="str">
        <f>IF(AA215=" "," ",IF(NOT(ISBLANK(X215)),VLOOKUP($D$3+X215,Calcs!$A$110:$C$122,3,TRUE),IF(AA215="Failed",VLOOKUP($D$3,Calcs!$A$110:$C$122,3,TRUE),VLOOKUP($D$3-(IF((Character!$B$9+W215)&gt;($D$3+Y215),(Character!$B$9+W215)-($D$3+Y215),0)),Calcs!$A$110:$C$122,3,TRUE))))</f>
        <v xml:space="preserve"> </v>
      </c>
      <c r="AC215" s="489"/>
      <c r="AD215" s="489" t="str">
        <f>IF(IF(AA215=" "," ",IF(NOT(ISBLANK(X215)),VLOOKUP($D$3+X215,Calcs!$A$110:$B$122,2,TRUE),IF(AA215="Failed",VLOOKUP($D$3,Calcs!$A$110:$B$122,2,TRUE),VLOOKUP($D$3-(IF((Character!$B$9+W215)&gt;($D$3+Y215),(Character!$B$9+W215)-($D$3+Y215),0)),Calcs!$A$110:$B$122,2,TRUE))))=Calcs!$B$120,IF(ISBLANK(AC215)," ",CONCATENATE(AC215+7," Years")),IF(AA215=" "," ",IF(NOT(ISBLANK(X215)),VLOOKUP($D$3+X215,Calcs!$A$110:$B$122,2,TRUE),IF(AA215="Failed",VLOOKUP($D$3,Calcs!$A$110:$B$122,2,TRUE),VLOOKUP($D$3-(IF((Character!$B$9+W215)&gt;($D$3+Y215),(Character!$B$9+W215)-($D$3+Y215),0)),Calcs!$A$110:$B$122,2,TRUE)))))</f>
        <v xml:space="preserve"> </v>
      </c>
      <c r="AE215" s="490"/>
      <c r="AF215" s="879"/>
      <c r="AG215" s="491"/>
    </row>
    <row r="216" spans="1:33" x14ac:dyDescent="0.2">
      <c r="A216" s="415">
        <f t="shared" si="4"/>
        <v>1264</v>
      </c>
      <c r="B216" s="419" t="str">
        <f t="shared" si="5"/>
        <v>Winter</v>
      </c>
      <c r="C216" s="455"/>
      <c r="D216" s="504"/>
      <c r="E216" s="455"/>
      <c r="F216" s="504"/>
      <c r="G216" s="455"/>
      <c r="H216" s="504"/>
      <c r="I216" s="455"/>
      <c r="J216" s="504"/>
      <c r="L216" s="472"/>
      <c r="M216" s="468"/>
      <c r="N216" s="468"/>
      <c r="O216" s="468"/>
      <c r="P216" s="468"/>
      <c r="Q216" s="473"/>
      <c r="R216" s="477" t="str">
        <f>IF(AND(COUNTIF('Start Character'!$I$63:$M$77,"Twilight Prone")=1,NOT(ISERROR(FIND("Magical Botch",M216)))),"Yes",IF(P216&gt;1,"Yes","No"))</f>
        <v>No</v>
      </c>
      <c r="S216" s="501"/>
      <c r="T216" s="478"/>
      <c r="U216" s="501"/>
      <c r="V216" s="479" t="str">
        <f>IF(R216="No","No Twilight",IF(T216="Yes","Uncomprehended Twilight",IF((Character!$B$14+IF(Character!$B$53="Yes",0,Character!$B$53)+IF(Magic!$C$5="Yes",2,0)+ROUNDUP((Magic!$B$30+IF(Magic!$C$30="Yes",3,0))/5,0)+S216)&gt;=($D$3+P216+SUMIF(Character!$I$62:$I$66,"Enigmatic Wisdom",Character!$J$62:$J$66)+Q216+U216),"No Twilight","Twilight")))</f>
        <v>No Twilight</v>
      </c>
      <c r="W216" s="483"/>
      <c r="X216" s="478"/>
      <c r="Y216" s="484"/>
      <c r="Z216" s="478"/>
      <c r="AA216" s="485" t="str">
        <f>IF(V216="Uncomprehended Twilight","Failed",IF(OR(ISBLANK(W216),ISBLANK(Y216))," ",IF(NOT(ISBLANK(X216)),"Failed",IF((W216+Character!$B$9+SUMIF(Character!$I$62:$I$66,"Enigmatic Wisdom",Character!$J$62:$J$66))&gt;=IF(Z216="Yes",0,(Y216+D211)),"Succeeded","Failed"))))</f>
        <v xml:space="preserve"> </v>
      </c>
      <c r="AB216" s="477" t="str">
        <f>IF(AA216=" "," ",IF(NOT(ISBLANK(X216)),VLOOKUP($D$3+X216,Calcs!$A$110:$C$122,3,TRUE),IF(AA216="Failed",VLOOKUP($D$3,Calcs!$A$110:$C$122,3,TRUE),VLOOKUP($D$3-(IF((Character!$B$9+W216)&gt;($D$3+Y216),(Character!$B$9+W216)-($D$3+Y216),0)),Calcs!$A$110:$C$122,3,TRUE))))</f>
        <v xml:space="preserve"> </v>
      </c>
      <c r="AC216" s="489"/>
      <c r="AD216" s="489" t="str">
        <f>IF(IF(AA216=" "," ",IF(NOT(ISBLANK(X216)),VLOOKUP($D$3+X216,Calcs!$A$110:$B$122,2,TRUE),IF(AA216="Failed",VLOOKUP($D$3,Calcs!$A$110:$B$122,2,TRUE),VLOOKUP($D$3-(IF((Character!$B$9+W216)&gt;($D$3+Y216),(Character!$B$9+W216)-($D$3+Y216),0)),Calcs!$A$110:$B$122,2,TRUE))))=Calcs!$B$120,IF(ISBLANK(AC216)," ",CONCATENATE(AC216+7," Years")),IF(AA216=" "," ",IF(NOT(ISBLANK(X216)),VLOOKUP($D$3+X216,Calcs!$A$110:$B$122,2,TRUE),IF(AA216="Failed",VLOOKUP($D$3,Calcs!$A$110:$B$122,2,TRUE),VLOOKUP($D$3-(IF((Character!$B$9+W216)&gt;($D$3+Y216),(Character!$B$9+W216)-($D$3+Y216),0)),Calcs!$A$110:$B$122,2,TRUE)))))</f>
        <v xml:space="preserve"> </v>
      </c>
      <c r="AE216" s="490"/>
      <c r="AF216" s="879"/>
      <c r="AG216" s="491"/>
    </row>
    <row r="217" spans="1:33" x14ac:dyDescent="0.2">
      <c r="A217" s="415">
        <f t="shared" si="4"/>
        <v>1264</v>
      </c>
      <c r="B217" s="419" t="str">
        <f t="shared" si="5"/>
        <v>Spring</v>
      </c>
      <c r="C217" s="455"/>
      <c r="D217" s="504"/>
      <c r="E217" s="455"/>
      <c r="F217" s="504"/>
      <c r="G217" s="455"/>
      <c r="H217" s="504"/>
      <c r="I217" s="455"/>
      <c r="J217" s="504"/>
      <c r="L217" s="472"/>
      <c r="M217" s="468"/>
      <c r="N217" s="468"/>
      <c r="O217" s="468"/>
      <c r="P217" s="468"/>
      <c r="Q217" s="473"/>
      <c r="R217" s="477" t="str">
        <f>IF(AND(COUNTIF('Start Character'!$I$63:$M$77,"Twilight Prone")=1,NOT(ISERROR(FIND("Magical Botch",M217)))),"Yes",IF(P217&gt;1,"Yes","No"))</f>
        <v>No</v>
      </c>
      <c r="S217" s="501"/>
      <c r="T217" s="478"/>
      <c r="U217" s="501"/>
      <c r="V217" s="479" t="str">
        <f>IF(R217="No","No Twilight",IF(T217="Yes","Uncomprehended Twilight",IF((Character!$B$14+IF(Character!$B$53="Yes",0,Character!$B$53)+IF(Magic!$C$5="Yes",2,0)+ROUNDUP((Magic!$B$30+IF(Magic!$C$30="Yes",3,0))/5,0)+S217)&gt;=($D$3+P217+SUMIF(Character!$I$62:$I$66,"Enigmatic Wisdom",Character!$J$62:$J$66)+Q217+U217),"No Twilight","Twilight")))</f>
        <v>No Twilight</v>
      </c>
      <c r="W217" s="483"/>
      <c r="X217" s="478"/>
      <c r="Y217" s="484"/>
      <c r="Z217" s="478"/>
      <c r="AA217" s="485" t="str">
        <f>IF(V217="Uncomprehended Twilight","Failed",IF(OR(ISBLANK(W217),ISBLANK(Y217))," ",IF(NOT(ISBLANK(X217)),"Failed",IF((W217+Character!$B$9+SUMIF(Character!$I$62:$I$66,"Enigmatic Wisdom",Character!$J$62:$J$66))&gt;=IF(Z217="Yes",0,(Y217+D212)),"Succeeded","Failed"))))</f>
        <v xml:space="preserve"> </v>
      </c>
      <c r="AB217" s="477" t="str">
        <f>IF(AA217=" "," ",IF(NOT(ISBLANK(X217)),VLOOKUP($D$3+X217,Calcs!$A$110:$C$122,3,TRUE),IF(AA217="Failed",VLOOKUP($D$3,Calcs!$A$110:$C$122,3,TRUE),VLOOKUP($D$3-(IF((Character!$B$9+W217)&gt;($D$3+Y217),(Character!$B$9+W217)-($D$3+Y217),0)),Calcs!$A$110:$C$122,3,TRUE))))</f>
        <v xml:space="preserve"> </v>
      </c>
      <c r="AC217" s="489"/>
      <c r="AD217" s="489" t="str">
        <f>IF(IF(AA217=" "," ",IF(NOT(ISBLANK(X217)),VLOOKUP($D$3+X217,Calcs!$A$110:$B$122,2,TRUE),IF(AA217="Failed",VLOOKUP($D$3,Calcs!$A$110:$B$122,2,TRUE),VLOOKUP($D$3-(IF((Character!$B$9+W217)&gt;($D$3+Y217),(Character!$B$9+W217)-($D$3+Y217),0)),Calcs!$A$110:$B$122,2,TRUE))))=Calcs!$B$120,IF(ISBLANK(AC217)," ",CONCATENATE(AC217+7," Years")),IF(AA217=" "," ",IF(NOT(ISBLANK(X217)),VLOOKUP($D$3+X217,Calcs!$A$110:$B$122,2,TRUE),IF(AA217="Failed",VLOOKUP($D$3,Calcs!$A$110:$B$122,2,TRUE),VLOOKUP($D$3-(IF((Character!$B$9+W217)&gt;($D$3+Y217),(Character!$B$9+W217)-($D$3+Y217),0)),Calcs!$A$110:$B$122,2,TRUE)))))</f>
        <v xml:space="preserve"> </v>
      </c>
      <c r="AE217" s="490"/>
      <c r="AF217" s="879"/>
      <c r="AG217" s="491"/>
    </row>
    <row r="218" spans="1:33" x14ac:dyDescent="0.2">
      <c r="A218" s="415">
        <f t="shared" si="4"/>
        <v>1264</v>
      </c>
      <c r="B218" s="419" t="str">
        <f t="shared" si="5"/>
        <v>Summer</v>
      </c>
      <c r="C218" s="455"/>
      <c r="D218" s="504"/>
      <c r="E218" s="455"/>
      <c r="F218" s="504"/>
      <c r="G218" s="455"/>
      <c r="H218" s="504"/>
      <c r="I218" s="455"/>
      <c r="J218" s="504"/>
      <c r="L218" s="472"/>
      <c r="M218" s="468"/>
      <c r="N218" s="468"/>
      <c r="O218" s="468"/>
      <c r="P218" s="468"/>
      <c r="Q218" s="473"/>
      <c r="R218" s="477" t="str">
        <f>IF(AND(COUNTIF('Start Character'!$I$63:$M$77,"Twilight Prone")=1,NOT(ISERROR(FIND("Magical Botch",M218)))),"Yes",IF(P218&gt;1,"Yes","No"))</f>
        <v>No</v>
      </c>
      <c r="S218" s="501"/>
      <c r="T218" s="478"/>
      <c r="U218" s="501"/>
      <c r="V218" s="479" t="str">
        <f>IF(R218="No","No Twilight",IF(T218="Yes","Uncomprehended Twilight",IF((Character!$B$14+IF(Character!$B$53="Yes",0,Character!$B$53)+IF(Magic!$C$5="Yes",2,0)+ROUNDUP((Magic!$B$30+IF(Magic!$C$30="Yes",3,0))/5,0)+S218)&gt;=($D$3+P218+SUMIF(Character!$I$62:$I$66,"Enigmatic Wisdom",Character!$J$62:$J$66)+Q218+U218),"No Twilight","Twilight")))</f>
        <v>No Twilight</v>
      </c>
      <c r="W218" s="483"/>
      <c r="X218" s="478"/>
      <c r="Y218" s="484"/>
      <c r="Z218" s="478"/>
      <c r="AA218" s="485" t="str">
        <f>IF(V218="Uncomprehended Twilight","Failed",IF(OR(ISBLANK(W218),ISBLANK(Y218))," ",IF(NOT(ISBLANK(X218)),"Failed",IF((W218+Character!$B$9+SUMIF(Character!$I$62:$I$66,"Enigmatic Wisdom",Character!$J$62:$J$66))&gt;=IF(Z218="Yes",0,(Y218+D213)),"Succeeded","Failed"))))</f>
        <v xml:space="preserve"> </v>
      </c>
      <c r="AB218" s="477" t="str">
        <f>IF(AA218=" "," ",IF(NOT(ISBLANK(X218)),VLOOKUP($D$3+X218,Calcs!$A$110:$C$122,3,TRUE),IF(AA218="Failed",VLOOKUP($D$3,Calcs!$A$110:$C$122,3,TRUE),VLOOKUP($D$3-(IF((Character!$B$9+W218)&gt;($D$3+Y218),(Character!$B$9+W218)-($D$3+Y218),0)),Calcs!$A$110:$C$122,3,TRUE))))</f>
        <v xml:space="preserve"> </v>
      </c>
      <c r="AC218" s="489"/>
      <c r="AD218" s="489" t="str">
        <f>IF(IF(AA218=" "," ",IF(NOT(ISBLANK(X218)),VLOOKUP($D$3+X218,Calcs!$A$110:$B$122,2,TRUE),IF(AA218="Failed",VLOOKUP($D$3,Calcs!$A$110:$B$122,2,TRUE),VLOOKUP($D$3-(IF((Character!$B$9+W218)&gt;($D$3+Y218),(Character!$B$9+W218)-($D$3+Y218),0)),Calcs!$A$110:$B$122,2,TRUE))))=Calcs!$B$120,IF(ISBLANK(AC218)," ",CONCATENATE(AC218+7," Years")),IF(AA218=" "," ",IF(NOT(ISBLANK(X218)),VLOOKUP($D$3+X218,Calcs!$A$110:$B$122,2,TRUE),IF(AA218="Failed",VLOOKUP($D$3,Calcs!$A$110:$B$122,2,TRUE),VLOOKUP($D$3-(IF((Character!$B$9+W218)&gt;($D$3+Y218),(Character!$B$9+W218)-($D$3+Y218),0)),Calcs!$A$110:$B$122,2,TRUE)))))</f>
        <v xml:space="preserve"> </v>
      </c>
      <c r="AE218" s="490"/>
      <c r="AF218" s="879"/>
      <c r="AG218" s="491"/>
    </row>
    <row r="219" spans="1:33" x14ac:dyDescent="0.2">
      <c r="A219" s="415">
        <f t="shared" si="4"/>
        <v>1264</v>
      </c>
      <c r="B219" s="419" t="str">
        <f t="shared" si="5"/>
        <v>Autumn</v>
      </c>
      <c r="C219" s="455"/>
      <c r="D219" s="504"/>
      <c r="E219" s="455"/>
      <c r="F219" s="504"/>
      <c r="G219" s="455"/>
      <c r="H219" s="504"/>
      <c r="I219" s="455"/>
      <c r="J219" s="504"/>
      <c r="L219" s="472"/>
      <c r="M219" s="468"/>
      <c r="N219" s="468"/>
      <c r="O219" s="468"/>
      <c r="P219" s="468"/>
      <c r="Q219" s="473"/>
      <c r="R219" s="477" t="str">
        <f>IF(AND(COUNTIF('Start Character'!$I$63:$M$77,"Twilight Prone")=1,NOT(ISERROR(FIND("Magical Botch",M219)))),"Yes",IF(P219&gt;1,"Yes","No"))</f>
        <v>No</v>
      </c>
      <c r="S219" s="501"/>
      <c r="T219" s="478"/>
      <c r="U219" s="501"/>
      <c r="V219" s="479" t="str">
        <f>IF(R219="No","No Twilight",IF(T219="Yes","Uncomprehended Twilight",IF((Character!$B$14+IF(Character!$B$53="Yes",0,Character!$B$53)+IF(Magic!$C$5="Yes",2,0)+ROUNDUP((Magic!$B$30+IF(Magic!$C$30="Yes",3,0))/5,0)+S219)&gt;=($D$3+P219+SUMIF(Character!$I$62:$I$66,"Enigmatic Wisdom",Character!$J$62:$J$66)+Q219+U219),"No Twilight","Twilight")))</f>
        <v>No Twilight</v>
      </c>
      <c r="W219" s="483"/>
      <c r="X219" s="478"/>
      <c r="Y219" s="484"/>
      <c r="Z219" s="478"/>
      <c r="AA219" s="485" t="str">
        <f>IF(V219="Uncomprehended Twilight","Failed",IF(OR(ISBLANK(W219),ISBLANK(Y219))," ",IF(NOT(ISBLANK(X219)),"Failed",IF((W219+Character!$B$9+SUMIF(Character!$I$62:$I$66,"Enigmatic Wisdom",Character!$J$62:$J$66))&gt;=IF(Z219="Yes",0,(Y219+D214)),"Succeeded","Failed"))))</f>
        <v xml:space="preserve"> </v>
      </c>
      <c r="AB219" s="477" t="str">
        <f>IF(AA219=" "," ",IF(NOT(ISBLANK(X219)),VLOOKUP($D$3+X219,Calcs!$A$110:$C$122,3,TRUE),IF(AA219="Failed",VLOOKUP($D$3,Calcs!$A$110:$C$122,3,TRUE),VLOOKUP($D$3-(IF((Character!$B$9+W219)&gt;($D$3+Y219),(Character!$B$9+W219)-($D$3+Y219),0)),Calcs!$A$110:$C$122,3,TRUE))))</f>
        <v xml:space="preserve"> </v>
      </c>
      <c r="AC219" s="489"/>
      <c r="AD219" s="489" t="str">
        <f>IF(IF(AA219=" "," ",IF(NOT(ISBLANK(X219)),VLOOKUP($D$3+X219,Calcs!$A$110:$B$122,2,TRUE),IF(AA219="Failed",VLOOKUP($D$3,Calcs!$A$110:$B$122,2,TRUE),VLOOKUP($D$3-(IF((Character!$B$9+W219)&gt;($D$3+Y219),(Character!$B$9+W219)-($D$3+Y219),0)),Calcs!$A$110:$B$122,2,TRUE))))=Calcs!$B$120,IF(ISBLANK(AC219)," ",CONCATENATE(AC219+7," Years")),IF(AA219=" "," ",IF(NOT(ISBLANK(X219)),VLOOKUP($D$3+X219,Calcs!$A$110:$B$122,2,TRUE),IF(AA219="Failed",VLOOKUP($D$3,Calcs!$A$110:$B$122,2,TRUE),VLOOKUP($D$3-(IF((Character!$B$9+W219)&gt;($D$3+Y219),(Character!$B$9+W219)-($D$3+Y219),0)),Calcs!$A$110:$B$122,2,TRUE)))))</f>
        <v xml:space="preserve"> </v>
      </c>
      <c r="AE219" s="490"/>
      <c r="AF219" s="879"/>
      <c r="AG219" s="491"/>
    </row>
    <row r="220" spans="1:33" x14ac:dyDescent="0.2">
      <c r="A220" s="415">
        <f t="shared" si="4"/>
        <v>1265</v>
      </c>
      <c r="B220" s="419" t="str">
        <f t="shared" si="5"/>
        <v>Winter</v>
      </c>
      <c r="C220" s="455"/>
      <c r="D220" s="504"/>
      <c r="E220" s="455"/>
      <c r="F220" s="504"/>
      <c r="G220" s="455"/>
      <c r="H220" s="504"/>
      <c r="I220" s="455"/>
      <c r="J220" s="504"/>
      <c r="L220" s="472"/>
      <c r="M220" s="468"/>
      <c r="N220" s="468"/>
      <c r="O220" s="468"/>
      <c r="P220" s="468"/>
      <c r="Q220" s="473"/>
      <c r="R220" s="477" t="str">
        <f>IF(AND(COUNTIF('Start Character'!$I$63:$M$77,"Twilight Prone")=1,NOT(ISERROR(FIND("Magical Botch",M220)))),"Yes",IF(P220&gt;1,"Yes","No"))</f>
        <v>No</v>
      </c>
      <c r="S220" s="501"/>
      <c r="T220" s="478"/>
      <c r="U220" s="501"/>
      <c r="V220" s="479" t="str">
        <f>IF(R220="No","No Twilight",IF(T220="Yes","Uncomprehended Twilight",IF((Character!$B$14+IF(Character!$B$53="Yes",0,Character!$B$53)+IF(Magic!$C$5="Yes",2,0)+ROUNDUP((Magic!$B$30+IF(Magic!$C$30="Yes",3,0))/5,0)+S220)&gt;=($D$3+P220+SUMIF(Character!$I$62:$I$66,"Enigmatic Wisdom",Character!$J$62:$J$66)+Q220+U220),"No Twilight","Twilight")))</f>
        <v>No Twilight</v>
      </c>
      <c r="W220" s="483"/>
      <c r="X220" s="478"/>
      <c r="Y220" s="484"/>
      <c r="Z220" s="478"/>
      <c r="AA220" s="485" t="str">
        <f>IF(V220="Uncomprehended Twilight","Failed",IF(OR(ISBLANK(W220),ISBLANK(Y220))," ",IF(NOT(ISBLANK(X220)),"Failed",IF((W220+Character!$B$9+SUMIF(Character!$I$62:$I$66,"Enigmatic Wisdom",Character!$J$62:$J$66))&gt;=IF(Z220="Yes",0,(Y220+D215)),"Succeeded","Failed"))))</f>
        <v xml:space="preserve"> </v>
      </c>
      <c r="AB220" s="477" t="str">
        <f>IF(AA220=" "," ",IF(NOT(ISBLANK(X220)),VLOOKUP($D$3+X220,Calcs!$A$110:$C$122,3,TRUE),IF(AA220="Failed",VLOOKUP($D$3,Calcs!$A$110:$C$122,3,TRUE),VLOOKUP($D$3-(IF((Character!$B$9+W220)&gt;($D$3+Y220),(Character!$B$9+W220)-($D$3+Y220),0)),Calcs!$A$110:$C$122,3,TRUE))))</f>
        <v xml:space="preserve"> </v>
      </c>
      <c r="AC220" s="489"/>
      <c r="AD220" s="489" t="str">
        <f>IF(IF(AA220=" "," ",IF(NOT(ISBLANK(X220)),VLOOKUP($D$3+X220,Calcs!$A$110:$B$122,2,TRUE),IF(AA220="Failed",VLOOKUP($D$3,Calcs!$A$110:$B$122,2,TRUE),VLOOKUP($D$3-(IF((Character!$B$9+W220)&gt;($D$3+Y220),(Character!$B$9+W220)-($D$3+Y220),0)),Calcs!$A$110:$B$122,2,TRUE))))=Calcs!$B$120,IF(ISBLANK(AC220)," ",CONCATENATE(AC220+7," Years")),IF(AA220=" "," ",IF(NOT(ISBLANK(X220)),VLOOKUP($D$3+X220,Calcs!$A$110:$B$122,2,TRUE),IF(AA220="Failed",VLOOKUP($D$3,Calcs!$A$110:$B$122,2,TRUE),VLOOKUP($D$3-(IF((Character!$B$9+W220)&gt;($D$3+Y220),(Character!$B$9+W220)-($D$3+Y220),0)),Calcs!$A$110:$B$122,2,TRUE)))))</f>
        <v xml:space="preserve"> </v>
      </c>
      <c r="AE220" s="490"/>
      <c r="AF220" s="879"/>
      <c r="AG220" s="491"/>
    </row>
    <row r="221" spans="1:33" x14ac:dyDescent="0.2">
      <c r="A221" s="415">
        <f t="shared" ref="A221:A284" si="6">IF(B220="Autumn",A220+1,A220)</f>
        <v>1265</v>
      </c>
      <c r="B221" s="419" t="str">
        <f t="shared" ref="B221:B284" si="7">IF(B220="spring","Summer",IF(B220="Summer","Autumn",IF(B220="Autumn","Winter",IF(B220="Winter","Spring"," "))))</f>
        <v>Spring</v>
      </c>
      <c r="C221" s="455"/>
      <c r="D221" s="504"/>
      <c r="E221" s="455"/>
      <c r="F221" s="504"/>
      <c r="G221" s="455"/>
      <c r="H221" s="504"/>
      <c r="I221" s="455"/>
      <c r="J221" s="504"/>
      <c r="L221" s="472"/>
      <c r="M221" s="468"/>
      <c r="N221" s="468"/>
      <c r="O221" s="468"/>
      <c r="P221" s="468"/>
      <c r="Q221" s="473"/>
      <c r="R221" s="477" t="str">
        <f>IF(AND(COUNTIF('Start Character'!$I$63:$M$77,"Twilight Prone")=1,NOT(ISERROR(FIND("Magical Botch",M221)))),"Yes",IF(P221&gt;1,"Yes","No"))</f>
        <v>No</v>
      </c>
      <c r="S221" s="501"/>
      <c r="T221" s="478"/>
      <c r="U221" s="501"/>
      <c r="V221" s="479" t="str">
        <f>IF(R221="No","No Twilight",IF(T221="Yes","Uncomprehended Twilight",IF((Character!$B$14+IF(Character!$B$53="Yes",0,Character!$B$53)+IF(Magic!$C$5="Yes",2,0)+ROUNDUP((Magic!$B$30+IF(Magic!$C$30="Yes",3,0))/5,0)+S221)&gt;=($D$3+P221+SUMIF(Character!$I$62:$I$66,"Enigmatic Wisdom",Character!$J$62:$J$66)+Q221+U221),"No Twilight","Twilight")))</f>
        <v>No Twilight</v>
      </c>
      <c r="W221" s="483"/>
      <c r="X221" s="478"/>
      <c r="Y221" s="484"/>
      <c r="Z221" s="478"/>
      <c r="AA221" s="485" t="str">
        <f>IF(V221="Uncomprehended Twilight","Failed",IF(OR(ISBLANK(W221),ISBLANK(Y221))," ",IF(NOT(ISBLANK(X221)),"Failed",IF((W221+Character!$B$9+SUMIF(Character!$I$62:$I$66,"Enigmatic Wisdom",Character!$J$62:$J$66))&gt;=IF(Z221="Yes",0,(Y221+D216)),"Succeeded","Failed"))))</f>
        <v xml:space="preserve"> </v>
      </c>
      <c r="AB221" s="477" t="str">
        <f>IF(AA221=" "," ",IF(NOT(ISBLANK(X221)),VLOOKUP($D$3+X221,Calcs!$A$110:$C$122,3,TRUE),IF(AA221="Failed",VLOOKUP($D$3,Calcs!$A$110:$C$122,3,TRUE),VLOOKUP($D$3-(IF((Character!$B$9+W221)&gt;($D$3+Y221),(Character!$B$9+W221)-($D$3+Y221),0)),Calcs!$A$110:$C$122,3,TRUE))))</f>
        <v xml:space="preserve"> </v>
      </c>
      <c r="AC221" s="489"/>
      <c r="AD221" s="489" t="str">
        <f>IF(IF(AA221=" "," ",IF(NOT(ISBLANK(X221)),VLOOKUP($D$3+X221,Calcs!$A$110:$B$122,2,TRUE),IF(AA221="Failed",VLOOKUP($D$3,Calcs!$A$110:$B$122,2,TRUE),VLOOKUP($D$3-(IF((Character!$B$9+W221)&gt;($D$3+Y221),(Character!$B$9+W221)-($D$3+Y221),0)),Calcs!$A$110:$B$122,2,TRUE))))=Calcs!$B$120,IF(ISBLANK(AC221)," ",CONCATENATE(AC221+7," Years")),IF(AA221=" "," ",IF(NOT(ISBLANK(X221)),VLOOKUP($D$3+X221,Calcs!$A$110:$B$122,2,TRUE),IF(AA221="Failed",VLOOKUP($D$3,Calcs!$A$110:$B$122,2,TRUE),VLOOKUP($D$3-(IF((Character!$B$9+W221)&gt;($D$3+Y221),(Character!$B$9+W221)-($D$3+Y221),0)),Calcs!$A$110:$B$122,2,TRUE)))))</f>
        <v xml:space="preserve"> </v>
      </c>
      <c r="AE221" s="490"/>
      <c r="AF221" s="879"/>
      <c r="AG221" s="491"/>
    </row>
    <row r="222" spans="1:33" x14ac:dyDescent="0.2">
      <c r="A222" s="415">
        <f t="shared" si="6"/>
        <v>1265</v>
      </c>
      <c r="B222" s="419" t="str">
        <f t="shared" si="7"/>
        <v>Summer</v>
      </c>
      <c r="C222" s="455"/>
      <c r="D222" s="504"/>
      <c r="E222" s="455"/>
      <c r="F222" s="504"/>
      <c r="G222" s="455"/>
      <c r="H222" s="504"/>
      <c r="I222" s="455"/>
      <c r="J222" s="504"/>
      <c r="L222" s="472"/>
      <c r="M222" s="468"/>
      <c r="N222" s="468"/>
      <c r="O222" s="468"/>
      <c r="P222" s="468"/>
      <c r="Q222" s="473"/>
      <c r="R222" s="477" t="str">
        <f>IF(AND(COUNTIF('Start Character'!$I$63:$M$77,"Twilight Prone")=1,NOT(ISERROR(FIND("Magical Botch",M222)))),"Yes",IF(P222&gt;1,"Yes","No"))</f>
        <v>No</v>
      </c>
      <c r="S222" s="501"/>
      <c r="T222" s="478"/>
      <c r="U222" s="501"/>
      <c r="V222" s="479" t="str">
        <f>IF(R222="No","No Twilight",IF(T222="Yes","Uncomprehended Twilight",IF((Character!$B$14+IF(Character!$B$53="Yes",0,Character!$B$53)+IF(Magic!$C$5="Yes",2,0)+ROUNDUP((Magic!$B$30+IF(Magic!$C$30="Yes",3,0))/5,0)+S222)&gt;=($D$3+P222+SUMIF(Character!$I$62:$I$66,"Enigmatic Wisdom",Character!$J$62:$J$66)+Q222+U222),"No Twilight","Twilight")))</f>
        <v>No Twilight</v>
      </c>
      <c r="W222" s="483"/>
      <c r="X222" s="478"/>
      <c r="Y222" s="484"/>
      <c r="Z222" s="478"/>
      <c r="AA222" s="485" t="str">
        <f>IF(V222="Uncomprehended Twilight","Failed",IF(OR(ISBLANK(W222),ISBLANK(Y222))," ",IF(NOT(ISBLANK(X222)),"Failed",IF((W222+Character!$B$9+SUMIF(Character!$I$62:$I$66,"Enigmatic Wisdom",Character!$J$62:$J$66))&gt;=IF(Z222="Yes",0,(Y222+D217)),"Succeeded","Failed"))))</f>
        <v xml:space="preserve"> </v>
      </c>
      <c r="AB222" s="477" t="str">
        <f>IF(AA222=" "," ",IF(NOT(ISBLANK(X222)),VLOOKUP($D$3+X222,Calcs!$A$110:$C$122,3,TRUE),IF(AA222="Failed",VLOOKUP($D$3,Calcs!$A$110:$C$122,3,TRUE),VLOOKUP($D$3-(IF((Character!$B$9+W222)&gt;($D$3+Y222),(Character!$B$9+W222)-($D$3+Y222),0)),Calcs!$A$110:$C$122,3,TRUE))))</f>
        <v xml:space="preserve"> </v>
      </c>
      <c r="AC222" s="489"/>
      <c r="AD222" s="489" t="str">
        <f>IF(IF(AA222=" "," ",IF(NOT(ISBLANK(X222)),VLOOKUP($D$3+X222,Calcs!$A$110:$B$122,2,TRUE),IF(AA222="Failed",VLOOKUP($D$3,Calcs!$A$110:$B$122,2,TRUE),VLOOKUP($D$3-(IF((Character!$B$9+W222)&gt;($D$3+Y222),(Character!$B$9+W222)-($D$3+Y222),0)),Calcs!$A$110:$B$122,2,TRUE))))=Calcs!$B$120,IF(ISBLANK(AC222)," ",CONCATENATE(AC222+7," Years")),IF(AA222=" "," ",IF(NOT(ISBLANK(X222)),VLOOKUP($D$3+X222,Calcs!$A$110:$B$122,2,TRUE),IF(AA222="Failed",VLOOKUP($D$3,Calcs!$A$110:$B$122,2,TRUE),VLOOKUP($D$3-(IF((Character!$B$9+W222)&gt;($D$3+Y222),(Character!$B$9+W222)-($D$3+Y222),0)),Calcs!$A$110:$B$122,2,TRUE)))))</f>
        <v xml:space="preserve"> </v>
      </c>
      <c r="AE222" s="490"/>
      <c r="AF222" s="879"/>
      <c r="AG222" s="491"/>
    </row>
    <row r="223" spans="1:33" x14ac:dyDescent="0.2">
      <c r="A223" s="415">
        <f t="shared" si="6"/>
        <v>1265</v>
      </c>
      <c r="B223" s="419" t="str">
        <f t="shared" si="7"/>
        <v>Autumn</v>
      </c>
      <c r="C223" s="455"/>
      <c r="D223" s="504"/>
      <c r="E223" s="455"/>
      <c r="F223" s="504"/>
      <c r="G223" s="455"/>
      <c r="H223" s="504"/>
      <c r="I223" s="455"/>
      <c r="J223" s="504"/>
      <c r="L223" s="472"/>
      <c r="M223" s="468"/>
      <c r="N223" s="468"/>
      <c r="O223" s="468"/>
      <c r="P223" s="468"/>
      <c r="Q223" s="473"/>
      <c r="R223" s="477" t="str">
        <f>IF(AND(COUNTIF('Start Character'!$I$63:$M$77,"Twilight Prone")=1,NOT(ISERROR(FIND("Magical Botch",M223)))),"Yes",IF(P223&gt;1,"Yes","No"))</f>
        <v>No</v>
      </c>
      <c r="S223" s="501"/>
      <c r="T223" s="478"/>
      <c r="U223" s="501"/>
      <c r="V223" s="479" t="str">
        <f>IF(R223="No","No Twilight",IF(T223="Yes","Uncomprehended Twilight",IF((Character!$B$14+IF(Character!$B$53="Yes",0,Character!$B$53)+IF(Magic!$C$5="Yes",2,0)+ROUNDUP((Magic!$B$30+IF(Magic!$C$30="Yes",3,0))/5,0)+S223)&gt;=($D$3+P223+SUMIF(Character!$I$62:$I$66,"Enigmatic Wisdom",Character!$J$62:$J$66)+Q223+U223),"No Twilight","Twilight")))</f>
        <v>No Twilight</v>
      </c>
      <c r="W223" s="483"/>
      <c r="X223" s="478"/>
      <c r="Y223" s="484"/>
      <c r="Z223" s="478"/>
      <c r="AA223" s="485" t="str">
        <f>IF(V223="Uncomprehended Twilight","Failed",IF(OR(ISBLANK(W223),ISBLANK(Y223))," ",IF(NOT(ISBLANK(X223)),"Failed",IF((W223+Character!$B$9+SUMIF(Character!$I$62:$I$66,"Enigmatic Wisdom",Character!$J$62:$J$66))&gt;=IF(Z223="Yes",0,(Y223+D218)),"Succeeded","Failed"))))</f>
        <v xml:space="preserve"> </v>
      </c>
      <c r="AB223" s="477" t="str">
        <f>IF(AA223=" "," ",IF(NOT(ISBLANK(X223)),VLOOKUP($D$3+X223,Calcs!$A$110:$C$122,3,TRUE),IF(AA223="Failed",VLOOKUP($D$3,Calcs!$A$110:$C$122,3,TRUE),VLOOKUP($D$3-(IF((Character!$B$9+W223)&gt;($D$3+Y223),(Character!$B$9+W223)-($D$3+Y223),0)),Calcs!$A$110:$C$122,3,TRUE))))</f>
        <v xml:space="preserve"> </v>
      </c>
      <c r="AC223" s="489"/>
      <c r="AD223" s="489" t="str">
        <f>IF(IF(AA223=" "," ",IF(NOT(ISBLANK(X223)),VLOOKUP($D$3+X223,Calcs!$A$110:$B$122,2,TRUE),IF(AA223="Failed",VLOOKUP($D$3,Calcs!$A$110:$B$122,2,TRUE),VLOOKUP($D$3-(IF((Character!$B$9+W223)&gt;($D$3+Y223),(Character!$B$9+W223)-($D$3+Y223),0)),Calcs!$A$110:$B$122,2,TRUE))))=Calcs!$B$120,IF(ISBLANK(AC223)," ",CONCATENATE(AC223+7," Years")),IF(AA223=" "," ",IF(NOT(ISBLANK(X223)),VLOOKUP($D$3+X223,Calcs!$A$110:$B$122,2,TRUE),IF(AA223="Failed",VLOOKUP($D$3,Calcs!$A$110:$B$122,2,TRUE),VLOOKUP($D$3-(IF((Character!$B$9+W223)&gt;($D$3+Y223),(Character!$B$9+W223)-($D$3+Y223),0)),Calcs!$A$110:$B$122,2,TRUE)))))</f>
        <v xml:space="preserve"> </v>
      </c>
      <c r="AE223" s="490"/>
      <c r="AF223" s="879"/>
      <c r="AG223" s="491"/>
    </row>
    <row r="224" spans="1:33" x14ac:dyDescent="0.2">
      <c r="A224" s="415">
        <f t="shared" si="6"/>
        <v>1266</v>
      </c>
      <c r="B224" s="419" t="str">
        <f t="shared" si="7"/>
        <v>Winter</v>
      </c>
      <c r="C224" s="455"/>
      <c r="D224" s="504"/>
      <c r="E224" s="455"/>
      <c r="F224" s="504"/>
      <c r="G224" s="455"/>
      <c r="H224" s="504"/>
      <c r="I224" s="455"/>
      <c r="J224" s="504"/>
      <c r="L224" s="472"/>
      <c r="M224" s="468"/>
      <c r="N224" s="468"/>
      <c r="O224" s="468"/>
      <c r="P224" s="468"/>
      <c r="Q224" s="473"/>
      <c r="R224" s="477" t="str">
        <f>IF(AND(COUNTIF('Start Character'!$I$63:$M$77,"Twilight Prone")=1,NOT(ISERROR(FIND("Magical Botch",M224)))),"Yes",IF(P224&gt;1,"Yes","No"))</f>
        <v>No</v>
      </c>
      <c r="S224" s="501"/>
      <c r="T224" s="478"/>
      <c r="U224" s="501"/>
      <c r="V224" s="479" t="str">
        <f>IF(R224="No","No Twilight",IF(T224="Yes","Uncomprehended Twilight",IF((Character!$B$14+IF(Character!$B$53="Yes",0,Character!$B$53)+IF(Magic!$C$5="Yes",2,0)+ROUNDUP((Magic!$B$30+IF(Magic!$C$30="Yes",3,0))/5,0)+S224)&gt;=($D$3+P224+SUMIF(Character!$I$62:$I$66,"Enigmatic Wisdom",Character!$J$62:$J$66)+Q224+U224),"No Twilight","Twilight")))</f>
        <v>No Twilight</v>
      </c>
      <c r="W224" s="483"/>
      <c r="X224" s="478"/>
      <c r="Y224" s="484"/>
      <c r="Z224" s="478"/>
      <c r="AA224" s="485" t="str">
        <f>IF(V224="Uncomprehended Twilight","Failed",IF(OR(ISBLANK(W224),ISBLANK(Y224))," ",IF(NOT(ISBLANK(X224)),"Failed",IF((W224+Character!$B$9+SUMIF(Character!$I$62:$I$66,"Enigmatic Wisdom",Character!$J$62:$J$66))&gt;=IF(Z224="Yes",0,(Y224+D219)),"Succeeded","Failed"))))</f>
        <v xml:space="preserve"> </v>
      </c>
      <c r="AB224" s="477" t="str">
        <f>IF(AA224=" "," ",IF(NOT(ISBLANK(X224)),VLOOKUP($D$3+X224,Calcs!$A$110:$C$122,3,TRUE),IF(AA224="Failed",VLOOKUP($D$3,Calcs!$A$110:$C$122,3,TRUE),VLOOKUP($D$3-(IF((Character!$B$9+W224)&gt;($D$3+Y224),(Character!$B$9+W224)-($D$3+Y224),0)),Calcs!$A$110:$C$122,3,TRUE))))</f>
        <v xml:space="preserve"> </v>
      </c>
      <c r="AC224" s="489"/>
      <c r="AD224" s="489" t="str">
        <f>IF(IF(AA224=" "," ",IF(NOT(ISBLANK(X224)),VLOOKUP($D$3+X224,Calcs!$A$110:$B$122,2,TRUE),IF(AA224="Failed",VLOOKUP($D$3,Calcs!$A$110:$B$122,2,TRUE),VLOOKUP($D$3-(IF((Character!$B$9+W224)&gt;($D$3+Y224),(Character!$B$9+W224)-($D$3+Y224),0)),Calcs!$A$110:$B$122,2,TRUE))))=Calcs!$B$120,IF(ISBLANK(AC224)," ",CONCATENATE(AC224+7," Years")),IF(AA224=" "," ",IF(NOT(ISBLANK(X224)),VLOOKUP($D$3+X224,Calcs!$A$110:$B$122,2,TRUE),IF(AA224="Failed",VLOOKUP($D$3,Calcs!$A$110:$B$122,2,TRUE),VLOOKUP($D$3-(IF((Character!$B$9+W224)&gt;($D$3+Y224),(Character!$B$9+W224)-($D$3+Y224),0)),Calcs!$A$110:$B$122,2,TRUE)))))</f>
        <v xml:space="preserve"> </v>
      </c>
      <c r="AE224" s="490"/>
      <c r="AF224" s="879"/>
      <c r="AG224" s="491"/>
    </row>
    <row r="225" spans="1:33" x14ac:dyDescent="0.2">
      <c r="A225" s="415">
        <f t="shared" si="6"/>
        <v>1266</v>
      </c>
      <c r="B225" s="419" t="str">
        <f t="shared" si="7"/>
        <v>Spring</v>
      </c>
      <c r="C225" s="455"/>
      <c r="D225" s="504"/>
      <c r="E225" s="455"/>
      <c r="F225" s="504"/>
      <c r="G225" s="455"/>
      <c r="H225" s="504"/>
      <c r="I225" s="455"/>
      <c r="J225" s="504"/>
      <c r="L225" s="472"/>
      <c r="M225" s="468"/>
      <c r="N225" s="468"/>
      <c r="O225" s="468"/>
      <c r="P225" s="468"/>
      <c r="Q225" s="473"/>
      <c r="R225" s="477" t="str">
        <f>IF(AND(COUNTIF('Start Character'!$I$63:$M$77,"Twilight Prone")=1,NOT(ISERROR(FIND("Magical Botch",M225)))),"Yes",IF(P225&gt;1,"Yes","No"))</f>
        <v>No</v>
      </c>
      <c r="S225" s="501"/>
      <c r="T225" s="478"/>
      <c r="U225" s="501"/>
      <c r="V225" s="479" t="str">
        <f>IF(R225="No","No Twilight",IF(T225="Yes","Uncomprehended Twilight",IF((Character!$B$14+IF(Character!$B$53="Yes",0,Character!$B$53)+IF(Magic!$C$5="Yes",2,0)+ROUNDUP((Magic!$B$30+IF(Magic!$C$30="Yes",3,0))/5,0)+S225)&gt;=($D$3+P225+SUMIF(Character!$I$62:$I$66,"Enigmatic Wisdom",Character!$J$62:$J$66)+Q225+U225),"No Twilight","Twilight")))</f>
        <v>No Twilight</v>
      </c>
      <c r="W225" s="483"/>
      <c r="X225" s="478"/>
      <c r="Y225" s="484"/>
      <c r="Z225" s="478"/>
      <c r="AA225" s="485" t="str">
        <f>IF(V225="Uncomprehended Twilight","Failed",IF(OR(ISBLANK(W225),ISBLANK(Y225))," ",IF(NOT(ISBLANK(X225)),"Failed",IF((W225+Character!$B$9+SUMIF(Character!$I$62:$I$66,"Enigmatic Wisdom",Character!$J$62:$J$66))&gt;=IF(Z225="Yes",0,(Y225+D220)),"Succeeded","Failed"))))</f>
        <v xml:space="preserve"> </v>
      </c>
      <c r="AB225" s="477" t="str">
        <f>IF(AA225=" "," ",IF(NOT(ISBLANK(X225)),VLOOKUP($D$3+X225,Calcs!$A$110:$C$122,3,TRUE),IF(AA225="Failed",VLOOKUP($D$3,Calcs!$A$110:$C$122,3,TRUE),VLOOKUP($D$3-(IF((Character!$B$9+W225)&gt;($D$3+Y225),(Character!$B$9+W225)-($D$3+Y225),0)),Calcs!$A$110:$C$122,3,TRUE))))</f>
        <v xml:space="preserve"> </v>
      </c>
      <c r="AC225" s="489"/>
      <c r="AD225" s="489" t="str">
        <f>IF(IF(AA225=" "," ",IF(NOT(ISBLANK(X225)),VLOOKUP($D$3+X225,Calcs!$A$110:$B$122,2,TRUE),IF(AA225="Failed",VLOOKUP($D$3,Calcs!$A$110:$B$122,2,TRUE),VLOOKUP($D$3-(IF((Character!$B$9+W225)&gt;($D$3+Y225),(Character!$B$9+W225)-($D$3+Y225),0)),Calcs!$A$110:$B$122,2,TRUE))))=Calcs!$B$120,IF(ISBLANK(AC225)," ",CONCATENATE(AC225+7," Years")),IF(AA225=" "," ",IF(NOT(ISBLANK(X225)),VLOOKUP($D$3+X225,Calcs!$A$110:$B$122,2,TRUE),IF(AA225="Failed",VLOOKUP($D$3,Calcs!$A$110:$B$122,2,TRUE),VLOOKUP($D$3-(IF((Character!$B$9+W225)&gt;($D$3+Y225),(Character!$B$9+W225)-($D$3+Y225),0)),Calcs!$A$110:$B$122,2,TRUE)))))</f>
        <v xml:space="preserve"> </v>
      </c>
      <c r="AE225" s="490"/>
      <c r="AF225" s="879"/>
      <c r="AG225" s="491"/>
    </row>
    <row r="226" spans="1:33" x14ac:dyDescent="0.2">
      <c r="A226" s="415">
        <f t="shared" si="6"/>
        <v>1266</v>
      </c>
      <c r="B226" s="419" t="str">
        <f t="shared" si="7"/>
        <v>Summer</v>
      </c>
      <c r="C226" s="455"/>
      <c r="D226" s="504"/>
      <c r="E226" s="455"/>
      <c r="F226" s="504"/>
      <c r="G226" s="455"/>
      <c r="H226" s="504"/>
      <c r="I226" s="455"/>
      <c r="J226" s="504"/>
      <c r="L226" s="472"/>
      <c r="M226" s="468"/>
      <c r="N226" s="468"/>
      <c r="O226" s="468"/>
      <c r="P226" s="468"/>
      <c r="Q226" s="473"/>
      <c r="R226" s="477" t="str">
        <f>IF(AND(COUNTIF('Start Character'!$I$63:$M$77,"Twilight Prone")=1,NOT(ISERROR(FIND("Magical Botch",M226)))),"Yes",IF(P226&gt;1,"Yes","No"))</f>
        <v>No</v>
      </c>
      <c r="S226" s="501"/>
      <c r="T226" s="478"/>
      <c r="U226" s="501"/>
      <c r="V226" s="479" t="str">
        <f>IF(R226="No","No Twilight",IF(T226="Yes","Uncomprehended Twilight",IF((Character!$B$14+IF(Character!$B$53="Yes",0,Character!$B$53)+IF(Magic!$C$5="Yes",2,0)+ROUNDUP((Magic!$B$30+IF(Magic!$C$30="Yes",3,0))/5,0)+S226)&gt;=($D$3+P226+SUMIF(Character!$I$62:$I$66,"Enigmatic Wisdom",Character!$J$62:$J$66)+Q226+U226),"No Twilight","Twilight")))</f>
        <v>No Twilight</v>
      </c>
      <c r="W226" s="483"/>
      <c r="X226" s="478"/>
      <c r="Y226" s="484"/>
      <c r="Z226" s="478"/>
      <c r="AA226" s="485" t="str">
        <f>IF(V226="Uncomprehended Twilight","Failed",IF(OR(ISBLANK(W226),ISBLANK(Y226))," ",IF(NOT(ISBLANK(X226)),"Failed",IF((W226+Character!$B$9+SUMIF(Character!$I$62:$I$66,"Enigmatic Wisdom",Character!$J$62:$J$66))&gt;=IF(Z226="Yes",0,(Y226+D221)),"Succeeded","Failed"))))</f>
        <v xml:space="preserve"> </v>
      </c>
      <c r="AB226" s="477" t="str">
        <f>IF(AA226=" "," ",IF(NOT(ISBLANK(X226)),VLOOKUP($D$3+X226,Calcs!$A$110:$C$122,3,TRUE),IF(AA226="Failed",VLOOKUP($D$3,Calcs!$A$110:$C$122,3,TRUE),VLOOKUP($D$3-(IF((Character!$B$9+W226)&gt;($D$3+Y226),(Character!$B$9+W226)-($D$3+Y226),0)),Calcs!$A$110:$C$122,3,TRUE))))</f>
        <v xml:space="preserve"> </v>
      </c>
      <c r="AC226" s="489"/>
      <c r="AD226" s="489" t="str">
        <f>IF(IF(AA226=" "," ",IF(NOT(ISBLANK(X226)),VLOOKUP($D$3+X226,Calcs!$A$110:$B$122,2,TRUE),IF(AA226="Failed",VLOOKUP($D$3,Calcs!$A$110:$B$122,2,TRUE),VLOOKUP($D$3-(IF((Character!$B$9+W226)&gt;($D$3+Y226),(Character!$B$9+W226)-($D$3+Y226),0)),Calcs!$A$110:$B$122,2,TRUE))))=Calcs!$B$120,IF(ISBLANK(AC226)," ",CONCATENATE(AC226+7," Years")),IF(AA226=" "," ",IF(NOT(ISBLANK(X226)),VLOOKUP($D$3+X226,Calcs!$A$110:$B$122,2,TRUE),IF(AA226="Failed",VLOOKUP($D$3,Calcs!$A$110:$B$122,2,TRUE),VLOOKUP($D$3-(IF((Character!$B$9+W226)&gt;($D$3+Y226),(Character!$B$9+W226)-($D$3+Y226),0)),Calcs!$A$110:$B$122,2,TRUE)))))</f>
        <v xml:space="preserve"> </v>
      </c>
      <c r="AE226" s="490"/>
      <c r="AF226" s="879"/>
      <c r="AG226" s="491"/>
    </row>
    <row r="227" spans="1:33" x14ac:dyDescent="0.2">
      <c r="A227" s="415">
        <f t="shared" si="6"/>
        <v>1266</v>
      </c>
      <c r="B227" s="419" t="str">
        <f t="shared" si="7"/>
        <v>Autumn</v>
      </c>
      <c r="C227" s="455"/>
      <c r="D227" s="504"/>
      <c r="E227" s="455"/>
      <c r="F227" s="504"/>
      <c r="G227" s="455"/>
      <c r="H227" s="504"/>
      <c r="I227" s="455"/>
      <c r="J227" s="504"/>
      <c r="L227" s="472"/>
      <c r="M227" s="468"/>
      <c r="N227" s="468"/>
      <c r="O227" s="468"/>
      <c r="P227" s="468"/>
      <c r="Q227" s="473"/>
      <c r="R227" s="477" t="str">
        <f>IF(AND(COUNTIF('Start Character'!$I$63:$M$77,"Twilight Prone")=1,NOT(ISERROR(FIND("Magical Botch",M227)))),"Yes",IF(P227&gt;1,"Yes","No"))</f>
        <v>No</v>
      </c>
      <c r="S227" s="501"/>
      <c r="T227" s="478"/>
      <c r="U227" s="501"/>
      <c r="V227" s="479" t="str">
        <f>IF(R227="No","No Twilight",IF(T227="Yes","Uncomprehended Twilight",IF((Character!$B$14+IF(Character!$B$53="Yes",0,Character!$B$53)+IF(Magic!$C$5="Yes",2,0)+ROUNDUP((Magic!$B$30+IF(Magic!$C$30="Yes",3,0))/5,0)+S227)&gt;=($D$3+P227+SUMIF(Character!$I$62:$I$66,"Enigmatic Wisdom",Character!$J$62:$J$66)+Q227+U227),"No Twilight","Twilight")))</f>
        <v>No Twilight</v>
      </c>
      <c r="W227" s="483"/>
      <c r="X227" s="478"/>
      <c r="Y227" s="484"/>
      <c r="Z227" s="478"/>
      <c r="AA227" s="485" t="str">
        <f>IF(V227="Uncomprehended Twilight","Failed",IF(OR(ISBLANK(W227),ISBLANK(Y227))," ",IF(NOT(ISBLANK(X227)),"Failed",IF((W227+Character!$B$9+SUMIF(Character!$I$62:$I$66,"Enigmatic Wisdom",Character!$J$62:$J$66))&gt;=IF(Z227="Yes",0,(Y227+D222)),"Succeeded","Failed"))))</f>
        <v xml:space="preserve"> </v>
      </c>
      <c r="AB227" s="477" t="str">
        <f>IF(AA227=" "," ",IF(NOT(ISBLANK(X227)),VLOOKUP($D$3+X227,Calcs!$A$110:$C$122,3,TRUE),IF(AA227="Failed",VLOOKUP($D$3,Calcs!$A$110:$C$122,3,TRUE),VLOOKUP($D$3-(IF((Character!$B$9+W227)&gt;($D$3+Y227),(Character!$B$9+W227)-($D$3+Y227),0)),Calcs!$A$110:$C$122,3,TRUE))))</f>
        <v xml:space="preserve"> </v>
      </c>
      <c r="AC227" s="489"/>
      <c r="AD227" s="489" t="str">
        <f>IF(IF(AA227=" "," ",IF(NOT(ISBLANK(X227)),VLOOKUP($D$3+X227,Calcs!$A$110:$B$122,2,TRUE),IF(AA227="Failed",VLOOKUP($D$3,Calcs!$A$110:$B$122,2,TRUE),VLOOKUP($D$3-(IF((Character!$B$9+W227)&gt;($D$3+Y227),(Character!$B$9+W227)-($D$3+Y227),0)),Calcs!$A$110:$B$122,2,TRUE))))=Calcs!$B$120,IF(ISBLANK(AC227)," ",CONCATENATE(AC227+7," Years")),IF(AA227=" "," ",IF(NOT(ISBLANK(X227)),VLOOKUP($D$3+X227,Calcs!$A$110:$B$122,2,TRUE),IF(AA227="Failed",VLOOKUP($D$3,Calcs!$A$110:$B$122,2,TRUE),VLOOKUP($D$3-(IF((Character!$B$9+W227)&gt;($D$3+Y227),(Character!$B$9+W227)-($D$3+Y227),0)),Calcs!$A$110:$B$122,2,TRUE)))))</f>
        <v xml:space="preserve"> </v>
      </c>
      <c r="AE227" s="490"/>
      <c r="AF227" s="879"/>
      <c r="AG227" s="491"/>
    </row>
    <row r="228" spans="1:33" x14ac:dyDescent="0.2">
      <c r="A228" s="415">
        <f t="shared" si="6"/>
        <v>1267</v>
      </c>
      <c r="B228" s="419" t="str">
        <f t="shared" si="7"/>
        <v>Winter</v>
      </c>
      <c r="C228" s="455"/>
      <c r="D228" s="504"/>
      <c r="E228" s="455"/>
      <c r="F228" s="504"/>
      <c r="G228" s="455"/>
      <c r="H228" s="504"/>
      <c r="I228" s="455"/>
      <c r="J228" s="504"/>
      <c r="L228" s="472"/>
      <c r="M228" s="468"/>
      <c r="N228" s="468"/>
      <c r="O228" s="468"/>
      <c r="P228" s="468"/>
      <c r="Q228" s="473"/>
      <c r="R228" s="477" t="str">
        <f>IF(AND(COUNTIF('Start Character'!$I$63:$M$77,"Twilight Prone")=1,NOT(ISERROR(FIND("Magical Botch",M228)))),"Yes",IF(P228&gt;1,"Yes","No"))</f>
        <v>No</v>
      </c>
      <c r="S228" s="501"/>
      <c r="T228" s="478"/>
      <c r="U228" s="501"/>
      <c r="V228" s="479" t="str">
        <f>IF(R228="No","No Twilight",IF(T228="Yes","Uncomprehended Twilight",IF((Character!$B$14+IF(Character!$B$53="Yes",0,Character!$B$53)+IF(Magic!$C$5="Yes",2,0)+ROUNDUP((Magic!$B$30+IF(Magic!$C$30="Yes",3,0))/5,0)+S228)&gt;=($D$3+P228+SUMIF(Character!$I$62:$I$66,"Enigmatic Wisdom",Character!$J$62:$J$66)+Q228+U228),"No Twilight","Twilight")))</f>
        <v>No Twilight</v>
      </c>
      <c r="W228" s="483"/>
      <c r="X228" s="478"/>
      <c r="Y228" s="484"/>
      <c r="Z228" s="478"/>
      <c r="AA228" s="485" t="str">
        <f>IF(V228="Uncomprehended Twilight","Failed",IF(OR(ISBLANK(W228),ISBLANK(Y228))," ",IF(NOT(ISBLANK(X228)),"Failed",IF((W228+Character!$B$9+SUMIF(Character!$I$62:$I$66,"Enigmatic Wisdom",Character!$J$62:$J$66))&gt;=IF(Z228="Yes",0,(Y228+D223)),"Succeeded","Failed"))))</f>
        <v xml:space="preserve"> </v>
      </c>
      <c r="AB228" s="477" t="str">
        <f>IF(AA228=" "," ",IF(NOT(ISBLANK(X228)),VLOOKUP($D$3+X228,Calcs!$A$110:$C$122,3,TRUE),IF(AA228="Failed",VLOOKUP($D$3,Calcs!$A$110:$C$122,3,TRUE),VLOOKUP($D$3-(IF((Character!$B$9+W228)&gt;($D$3+Y228),(Character!$B$9+W228)-($D$3+Y228),0)),Calcs!$A$110:$C$122,3,TRUE))))</f>
        <v xml:space="preserve"> </v>
      </c>
      <c r="AC228" s="489"/>
      <c r="AD228" s="489" t="str">
        <f>IF(IF(AA228=" "," ",IF(NOT(ISBLANK(X228)),VLOOKUP($D$3+X228,Calcs!$A$110:$B$122,2,TRUE),IF(AA228="Failed",VLOOKUP($D$3,Calcs!$A$110:$B$122,2,TRUE),VLOOKUP($D$3-(IF((Character!$B$9+W228)&gt;($D$3+Y228),(Character!$B$9+W228)-($D$3+Y228),0)),Calcs!$A$110:$B$122,2,TRUE))))=Calcs!$B$120,IF(ISBLANK(AC228)," ",CONCATENATE(AC228+7," Years")),IF(AA228=" "," ",IF(NOT(ISBLANK(X228)),VLOOKUP($D$3+X228,Calcs!$A$110:$B$122,2,TRUE),IF(AA228="Failed",VLOOKUP($D$3,Calcs!$A$110:$B$122,2,TRUE),VLOOKUP($D$3-(IF((Character!$B$9+W228)&gt;($D$3+Y228),(Character!$B$9+W228)-($D$3+Y228),0)),Calcs!$A$110:$B$122,2,TRUE)))))</f>
        <v xml:space="preserve"> </v>
      </c>
      <c r="AE228" s="490"/>
      <c r="AF228" s="879"/>
      <c r="AG228" s="491"/>
    </row>
    <row r="229" spans="1:33" x14ac:dyDescent="0.2">
      <c r="A229" s="415">
        <f t="shared" si="6"/>
        <v>1267</v>
      </c>
      <c r="B229" s="419" t="str">
        <f t="shared" si="7"/>
        <v>Spring</v>
      </c>
      <c r="C229" s="455"/>
      <c r="D229" s="504"/>
      <c r="E229" s="455"/>
      <c r="F229" s="504"/>
      <c r="G229" s="455"/>
      <c r="H229" s="504"/>
      <c r="I229" s="455"/>
      <c r="J229" s="504"/>
      <c r="L229" s="472"/>
      <c r="M229" s="468"/>
      <c r="N229" s="468"/>
      <c r="O229" s="468"/>
      <c r="P229" s="468"/>
      <c r="Q229" s="473"/>
      <c r="R229" s="477" t="str">
        <f>IF(AND(COUNTIF('Start Character'!$I$63:$M$77,"Twilight Prone")=1,NOT(ISERROR(FIND("Magical Botch",M229)))),"Yes",IF(P229&gt;1,"Yes","No"))</f>
        <v>No</v>
      </c>
      <c r="S229" s="501"/>
      <c r="T229" s="478"/>
      <c r="U229" s="501"/>
      <c r="V229" s="479" t="str">
        <f>IF(R229="No","No Twilight",IF(T229="Yes","Uncomprehended Twilight",IF((Character!$B$14+IF(Character!$B$53="Yes",0,Character!$B$53)+IF(Magic!$C$5="Yes",2,0)+ROUNDUP((Magic!$B$30+IF(Magic!$C$30="Yes",3,0))/5,0)+S229)&gt;=($D$3+P229+SUMIF(Character!$I$62:$I$66,"Enigmatic Wisdom",Character!$J$62:$J$66)+Q229+U229),"No Twilight","Twilight")))</f>
        <v>No Twilight</v>
      </c>
      <c r="W229" s="483"/>
      <c r="X229" s="478"/>
      <c r="Y229" s="484"/>
      <c r="Z229" s="478"/>
      <c r="AA229" s="485" t="str">
        <f>IF(V229="Uncomprehended Twilight","Failed",IF(OR(ISBLANK(W229),ISBLANK(Y229))," ",IF(NOT(ISBLANK(X229)),"Failed",IF((W229+Character!$B$9+SUMIF(Character!$I$62:$I$66,"Enigmatic Wisdom",Character!$J$62:$J$66))&gt;=IF(Z229="Yes",0,(Y229+D224)),"Succeeded","Failed"))))</f>
        <v xml:space="preserve"> </v>
      </c>
      <c r="AB229" s="477" t="str">
        <f>IF(AA229=" "," ",IF(NOT(ISBLANK(X229)),VLOOKUP($D$3+X229,Calcs!$A$110:$C$122,3,TRUE),IF(AA229="Failed",VLOOKUP($D$3,Calcs!$A$110:$C$122,3,TRUE),VLOOKUP($D$3-(IF((Character!$B$9+W229)&gt;($D$3+Y229),(Character!$B$9+W229)-($D$3+Y229),0)),Calcs!$A$110:$C$122,3,TRUE))))</f>
        <v xml:space="preserve"> </v>
      </c>
      <c r="AC229" s="489"/>
      <c r="AD229" s="489" t="str">
        <f>IF(IF(AA229=" "," ",IF(NOT(ISBLANK(X229)),VLOOKUP($D$3+X229,Calcs!$A$110:$B$122,2,TRUE),IF(AA229="Failed",VLOOKUP($D$3,Calcs!$A$110:$B$122,2,TRUE),VLOOKUP($D$3-(IF((Character!$B$9+W229)&gt;($D$3+Y229),(Character!$B$9+W229)-($D$3+Y229),0)),Calcs!$A$110:$B$122,2,TRUE))))=Calcs!$B$120,IF(ISBLANK(AC229)," ",CONCATENATE(AC229+7," Years")),IF(AA229=" "," ",IF(NOT(ISBLANK(X229)),VLOOKUP($D$3+X229,Calcs!$A$110:$B$122,2,TRUE),IF(AA229="Failed",VLOOKUP($D$3,Calcs!$A$110:$B$122,2,TRUE),VLOOKUP($D$3-(IF((Character!$B$9+W229)&gt;($D$3+Y229),(Character!$B$9+W229)-($D$3+Y229),0)),Calcs!$A$110:$B$122,2,TRUE)))))</f>
        <v xml:space="preserve"> </v>
      </c>
      <c r="AE229" s="490"/>
      <c r="AF229" s="879"/>
      <c r="AG229" s="491"/>
    </row>
    <row r="230" spans="1:33" x14ac:dyDescent="0.2">
      <c r="A230" s="415">
        <f t="shared" si="6"/>
        <v>1267</v>
      </c>
      <c r="B230" s="419" t="str">
        <f t="shared" si="7"/>
        <v>Summer</v>
      </c>
      <c r="C230" s="455"/>
      <c r="D230" s="504"/>
      <c r="E230" s="455"/>
      <c r="F230" s="504"/>
      <c r="G230" s="455"/>
      <c r="H230" s="504"/>
      <c r="I230" s="455"/>
      <c r="J230" s="504"/>
      <c r="L230" s="472"/>
      <c r="M230" s="468"/>
      <c r="N230" s="468"/>
      <c r="O230" s="468"/>
      <c r="P230" s="468"/>
      <c r="Q230" s="473"/>
      <c r="R230" s="477" t="str">
        <f>IF(AND(COUNTIF('Start Character'!$I$63:$M$77,"Twilight Prone")=1,NOT(ISERROR(FIND("Magical Botch",M230)))),"Yes",IF(P230&gt;1,"Yes","No"))</f>
        <v>No</v>
      </c>
      <c r="S230" s="501"/>
      <c r="T230" s="478"/>
      <c r="U230" s="501"/>
      <c r="V230" s="479" t="str">
        <f>IF(R230="No","No Twilight",IF(T230="Yes","Uncomprehended Twilight",IF((Character!$B$14+IF(Character!$B$53="Yes",0,Character!$B$53)+IF(Magic!$C$5="Yes",2,0)+ROUNDUP((Magic!$B$30+IF(Magic!$C$30="Yes",3,0))/5,0)+S230)&gt;=($D$3+P230+SUMIF(Character!$I$62:$I$66,"Enigmatic Wisdom",Character!$J$62:$J$66)+Q230+U230),"No Twilight","Twilight")))</f>
        <v>No Twilight</v>
      </c>
      <c r="W230" s="483"/>
      <c r="X230" s="478"/>
      <c r="Y230" s="484"/>
      <c r="Z230" s="478"/>
      <c r="AA230" s="485" t="str">
        <f>IF(V230="Uncomprehended Twilight","Failed",IF(OR(ISBLANK(W230),ISBLANK(Y230))," ",IF(NOT(ISBLANK(X230)),"Failed",IF((W230+Character!$B$9+SUMIF(Character!$I$62:$I$66,"Enigmatic Wisdom",Character!$J$62:$J$66))&gt;=IF(Z230="Yes",0,(Y230+D225)),"Succeeded","Failed"))))</f>
        <v xml:space="preserve"> </v>
      </c>
      <c r="AB230" s="477" t="str">
        <f>IF(AA230=" "," ",IF(NOT(ISBLANK(X230)),VLOOKUP($D$3+X230,Calcs!$A$110:$C$122,3,TRUE),IF(AA230="Failed",VLOOKUP($D$3,Calcs!$A$110:$C$122,3,TRUE),VLOOKUP($D$3-(IF((Character!$B$9+W230)&gt;($D$3+Y230),(Character!$B$9+W230)-($D$3+Y230),0)),Calcs!$A$110:$C$122,3,TRUE))))</f>
        <v xml:space="preserve"> </v>
      </c>
      <c r="AC230" s="489"/>
      <c r="AD230" s="489" t="str">
        <f>IF(IF(AA230=" "," ",IF(NOT(ISBLANK(X230)),VLOOKUP($D$3+X230,Calcs!$A$110:$B$122,2,TRUE),IF(AA230="Failed",VLOOKUP($D$3,Calcs!$A$110:$B$122,2,TRUE),VLOOKUP($D$3-(IF((Character!$B$9+W230)&gt;($D$3+Y230),(Character!$B$9+W230)-($D$3+Y230),0)),Calcs!$A$110:$B$122,2,TRUE))))=Calcs!$B$120,IF(ISBLANK(AC230)," ",CONCATENATE(AC230+7," Years")),IF(AA230=" "," ",IF(NOT(ISBLANK(X230)),VLOOKUP($D$3+X230,Calcs!$A$110:$B$122,2,TRUE),IF(AA230="Failed",VLOOKUP($D$3,Calcs!$A$110:$B$122,2,TRUE),VLOOKUP($D$3-(IF((Character!$B$9+W230)&gt;($D$3+Y230),(Character!$B$9+W230)-($D$3+Y230),0)),Calcs!$A$110:$B$122,2,TRUE)))))</f>
        <v xml:space="preserve"> </v>
      </c>
      <c r="AE230" s="490"/>
      <c r="AF230" s="879"/>
      <c r="AG230" s="491"/>
    </row>
    <row r="231" spans="1:33" x14ac:dyDescent="0.2">
      <c r="A231" s="415">
        <f t="shared" si="6"/>
        <v>1267</v>
      </c>
      <c r="B231" s="419" t="str">
        <f t="shared" si="7"/>
        <v>Autumn</v>
      </c>
      <c r="C231" s="455"/>
      <c r="D231" s="504"/>
      <c r="E231" s="455"/>
      <c r="F231" s="504"/>
      <c r="G231" s="455"/>
      <c r="H231" s="504"/>
      <c r="I231" s="455"/>
      <c r="J231" s="504"/>
      <c r="L231" s="472"/>
      <c r="M231" s="468"/>
      <c r="N231" s="468"/>
      <c r="O231" s="468"/>
      <c r="P231" s="468"/>
      <c r="Q231" s="473"/>
      <c r="R231" s="477" t="str">
        <f>IF(AND(COUNTIF('Start Character'!$I$63:$M$77,"Twilight Prone")=1,NOT(ISERROR(FIND("Magical Botch",M231)))),"Yes",IF(P231&gt;1,"Yes","No"))</f>
        <v>No</v>
      </c>
      <c r="S231" s="501"/>
      <c r="T231" s="478"/>
      <c r="U231" s="501"/>
      <c r="V231" s="479" t="str">
        <f>IF(R231="No","No Twilight",IF(T231="Yes","Uncomprehended Twilight",IF((Character!$B$14+IF(Character!$B$53="Yes",0,Character!$B$53)+IF(Magic!$C$5="Yes",2,0)+ROUNDUP((Magic!$B$30+IF(Magic!$C$30="Yes",3,0))/5,0)+S231)&gt;=($D$3+P231+SUMIF(Character!$I$62:$I$66,"Enigmatic Wisdom",Character!$J$62:$J$66)+Q231+U231),"No Twilight","Twilight")))</f>
        <v>No Twilight</v>
      </c>
      <c r="W231" s="483"/>
      <c r="X231" s="478"/>
      <c r="Y231" s="484"/>
      <c r="Z231" s="478"/>
      <c r="AA231" s="485" t="str">
        <f>IF(V231="Uncomprehended Twilight","Failed",IF(OR(ISBLANK(W231),ISBLANK(Y231))," ",IF(NOT(ISBLANK(X231)),"Failed",IF((W231+Character!$B$9+SUMIF(Character!$I$62:$I$66,"Enigmatic Wisdom",Character!$J$62:$J$66))&gt;=IF(Z231="Yes",0,(Y231+D226)),"Succeeded","Failed"))))</f>
        <v xml:space="preserve"> </v>
      </c>
      <c r="AB231" s="477" t="str">
        <f>IF(AA231=" "," ",IF(NOT(ISBLANK(X231)),VLOOKUP($D$3+X231,Calcs!$A$110:$C$122,3,TRUE),IF(AA231="Failed",VLOOKUP($D$3,Calcs!$A$110:$C$122,3,TRUE),VLOOKUP($D$3-(IF((Character!$B$9+W231)&gt;($D$3+Y231),(Character!$B$9+W231)-($D$3+Y231),0)),Calcs!$A$110:$C$122,3,TRUE))))</f>
        <v xml:space="preserve"> </v>
      </c>
      <c r="AC231" s="489"/>
      <c r="AD231" s="489" t="str">
        <f>IF(IF(AA231=" "," ",IF(NOT(ISBLANK(X231)),VLOOKUP($D$3+X231,Calcs!$A$110:$B$122,2,TRUE),IF(AA231="Failed",VLOOKUP($D$3,Calcs!$A$110:$B$122,2,TRUE),VLOOKUP($D$3-(IF((Character!$B$9+W231)&gt;($D$3+Y231),(Character!$B$9+W231)-($D$3+Y231),0)),Calcs!$A$110:$B$122,2,TRUE))))=Calcs!$B$120,IF(ISBLANK(AC231)," ",CONCATENATE(AC231+7," Years")),IF(AA231=" "," ",IF(NOT(ISBLANK(X231)),VLOOKUP($D$3+X231,Calcs!$A$110:$B$122,2,TRUE),IF(AA231="Failed",VLOOKUP($D$3,Calcs!$A$110:$B$122,2,TRUE),VLOOKUP($D$3-(IF((Character!$B$9+W231)&gt;($D$3+Y231),(Character!$B$9+W231)-($D$3+Y231),0)),Calcs!$A$110:$B$122,2,TRUE)))))</f>
        <v xml:space="preserve"> </v>
      </c>
      <c r="AE231" s="490"/>
      <c r="AF231" s="879"/>
      <c r="AG231" s="491"/>
    </row>
    <row r="232" spans="1:33" x14ac:dyDescent="0.2">
      <c r="A232" s="415">
        <f t="shared" si="6"/>
        <v>1268</v>
      </c>
      <c r="B232" s="419" t="str">
        <f t="shared" si="7"/>
        <v>Winter</v>
      </c>
      <c r="C232" s="455"/>
      <c r="D232" s="504"/>
      <c r="E232" s="455"/>
      <c r="F232" s="504"/>
      <c r="G232" s="455"/>
      <c r="H232" s="504"/>
      <c r="I232" s="455"/>
      <c r="J232" s="504"/>
      <c r="L232" s="472"/>
      <c r="M232" s="468"/>
      <c r="N232" s="468"/>
      <c r="O232" s="468"/>
      <c r="P232" s="468"/>
      <c r="Q232" s="473"/>
      <c r="R232" s="477" t="str">
        <f>IF(AND(COUNTIF('Start Character'!$I$63:$M$77,"Twilight Prone")=1,NOT(ISERROR(FIND("Magical Botch",M232)))),"Yes",IF(P232&gt;1,"Yes","No"))</f>
        <v>No</v>
      </c>
      <c r="S232" s="501"/>
      <c r="T232" s="478"/>
      <c r="U232" s="501"/>
      <c r="V232" s="479" t="str">
        <f>IF(R232="No","No Twilight",IF(T232="Yes","Uncomprehended Twilight",IF((Character!$B$14+IF(Character!$B$53="Yes",0,Character!$B$53)+IF(Magic!$C$5="Yes",2,0)+ROUNDUP((Magic!$B$30+IF(Magic!$C$30="Yes",3,0))/5,0)+S232)&gt;=($D$3+P232+SUMIF(Character!$I$62:$I$66,"Enigmatic Wisdom",Character!$J$62:$J$66)+Q232+U232),"No Twilight","Twilight")))</f>
        <v>No Twilight</v>
      </c>
      <c r="W232" s="483"/>
      <c r="X232" s="478"/>
      <c r="Y232" s="484"/>
      <c r="Z232" s="478"/>
      <c r="AA232" s="485" t="str">
        <f>IF(V232="Uncomprehended Twilight","Failed",IF(OR(ISBLANK(W232),ISBLANK(Y232))," ",IF(NOT(ISBLANK(X232)),"Failed",IF((W232+Character!$B$9+SUMIF(Character!$I$62:$I$66,"Enigmatic Wisdom",Character!$J$62:$J$66))&gt;=IF(Z232="Yes",0,(Y232+D227)),"Succeeded","Failed"))))</f>
        <v xml:space="preserve"> </v>
      </c>
      <c r="AB232" s="477" t="str">
        <f>IF(AA232=" "," ",IF(NOT(ISBLANK(X232)),VLOOKUP($D$3+X232,Calcs!$A$110:$C$122,3,TRUE),IF(AA232="Failed",VLOOKUP($D$3,Calcs!$A$110:$C$122,3,TRUE),VLOOKUP($D$3-(IF((Character!$B$9+W232)&gt;($D$3+Y232),(Character!$B$9+W232)-($D$3+Y232),0)),Calcs!$A$110:$C$122,3,TRUE))))</f>
        <v xml:space="preserve"> </v>
      </c>
      <c r="AC232" s="489"/>
      <c r="AD232" s="489" t="str">
        <f>IF(IF(AA232=" "," ",IF(NOT(ISBLANK(X232)),VLOOKUP($D$3+X232,Calcs!$A$110:$B$122,2,TRUE),IF(AA232="Failed",VLOOKUP($D$3,Calcs!$A$110:$B$122,2,TRUE),VLOOKUP($D$3-(IF((Character!$B$9+W232)&gt;($D$3+Y232),(Character!$B$9+W232)-($D$3+Y232),0)),Calcs!$A$110:$B$122,2,TRUE))))=Calcs!$B$120,IF(ISBLANK(AC232)," ",CONCATENATE(AC232+7," Years")),IF(AA232=" "," ",IF(NOT(ISBLANK(X232)),VLOOKUP($D$3+X232,Calcs!$A$110:$B$122,2,TRUE),IF(AA232="Failed",VLOOKUP($D$3,Calcs!$A$110:$B$122,2,TRUE),VLOOKUP($D$3-(IF((Character!$B$9+W232)&gt;($D$3+Y232),(Character!$B$9+W232)-($D$3+Y232),0)),Calcs!$A$110:$B$122,2,TRUE)))))</f>
        <v xml:space="preserve"> </v>
      </c>
      <c r="AE232" s="490"/>
      <c r="AF232" s="879"/>
      <c r="AG232" s="491"/>
    </row>
    <row r="233" spans="1:33" x14ac:dyDescent="0.2">
      <c r="A233" s="415">
        <f t="shared" si="6"/>
        <v>1268</v>
      </c>
      <c r="B233" s="419" t="str">
        <f t="shared" si="7"/>
        <v>Spring</v>
      </c>
      <c r="C233" s="455"/>
      <c r="D233" s="504"/>
      <c r="E233" s="455"/>
      <c r="F233" s="504"/>
      <c r="G233" s="455"/>
      <c r="H233" s="504"/>
      <c r="I233" s="455"/>
      <c r="J233" s="504"/>
      <c r="L233" s="472"/>
      <c r="M233" s="468"/>
      <c r="N233" s="468"/>
      <c r="O233" s="468"/>
      <c r="P233" s="468"/>
      <c r="Q233" s="473"/>
      <c r="R233" s="477" t="str">
        <f>IF(AND(COUNTIF('Start Character'!$I$63:$M$77,"Twilight Prone")=1,NOT(ISERROR(FIND("Magical Botch",M233)))),"Yes",IF(P233&gt;1,"Yes","No"))</f>
        <v>No</v>
      </c>
      <c r="S233" s="501"/>
      <c r="T233" s="478"/>
      <c r="U233" s="501"/>
      <c r="V233" s="479" t="str">
        <f>IF(R233="No","No Twilight",IF(T233="Yes","Uncomprehended Twilight",IF((Character!$B$14+IF(Character!$B$53="Yes",0,Character!$B$53)+IF(Magic!$C$5="Yes",2,0)+ROUNDUP((Magic!$B$30+IF(Magic!$C$30="Yes",3,0))/5,0)+S233)&gt;=($D$3+P233+SUMIF(Character!$I$62:$I$66,"Enigmatic Wisdom",Character!$J$62:$J$66)+Q233+U233),"No Twilight","Twilight")))</f>
        <v>No Twilight</v>
      </c>
      <c r="W233" s="483"/>
      <c r="X233" s="478"/>
      <c r="Y233" s="484"/>
      <c r="Z233" s="478"/>
      <c r="AA233" s="485" t="str">
        <f>IF(V233="Uncomprehended Twilight","Failed",IF(OR(ISBLANK(W233),ISBLANK(Y233))," ",IF(NOT(ISBLANK(X233)),"Failed",IF((W233+Character!$B$9+SUMIF(Character!$I$62:$I$66,"Enigmatic Wisdom",Character!$J$62:$J$66))&gt;=IF(Z233="Yes",0,(Y233+D228)),"Succeeded","Failed"))))</f>
        <v xml:space="preserve"> </v>
      </c>
      <c r="AB233" s="477" t="str">
        <f>IF(AA233=" "," ",IF(NOT(ISBLANK(X233)),VLOOKUP($D$3+X233,Calcs!$A$110:$C$122,3,TRUE),IF(AA233="Failed",VLOOKUP($D$3,Calcs!$A$110:$C$122,3,TRUE),VLOOKUP($D$3-(IF((Character!$B$9+W233)&gt;($D$3+Y233),(Character!$B$9+W233)-($D$3+Y233),0)),Calcs!$A$110:$C$122,3,TRUE))))</f>
        <v xml:space="preserve"> </v>
      </c>
      <c r="AC233" s="489"/>
      <c r="AD233" s="489" t="str">
        <f>IF(IF(AA233=" "," ",IF(NOT(ISBLANK(X233)),VLOOKUP($D$3+X233,Calcs!$A$110:$B$122,2,TRUE),IF(AA233="Failed",VLOOKUP($D$3,Calcs!$A$110:$B$122,2,TRUE),VLOOKUP($D$3-(IF((Character!$B$9+W233)&gt;($D$3+Y233),(Character!$B$9+W233)-($D$3+Y233),0)),Calcs!$A$110:$B$122,2,TRUE))))=Calcs!$B$120,IF(ISBLANK(AC233)," ",CONCATENATE(AC233+7," Years")),IF(AA233=" "," ",IF(NOT(ISBLANK(X233)),VLOOKUP($D$3+X233,Calcs!$A$110:$B$122,2,TRUE),IF(AA233="Failed",VLOOKUP($D$3,Calcs!$A$110:$B$122,2,TRUE),VLOOKUP($D$3-(IF((Character!$B$9+W233)&gt;($D$3+Y233),(Character!$B$9+W233)-($D$3+Y233),0)),Calcs!$A$110:$B$122,2,TRUE)))))</f>
        <v xml:space="preserve"> </v>
      </c>
      <c r="AE233" s="490"/>
      <c r="AF233" s="879"/>
      <c r="AG233" s="491"/>
    </row>
    <row r="234" spans="1:33" x14ac:dyDescent="0.2">
      <c r="A234" s="415">
        <f t="shared" si="6"/>
        <v>1268</v>
      </c>
      <c r="B234" s="419" t="str">
        <f t="shared" si="7"/>
        <v>Summer</v>
      </c>
      <c r="C234" s="455"/>
      <c r="D234" s="504"/>
      <c r="E234" s="455"/>
      <c r="F234" s="504"/>
      <c r="G234" s="455"/>
      <c r="H234" s="504"/>
      <c r="I234" s="455"/>
      <c r="J234" s="504"/>
      <c r="L234" s="472"/>
      <c r="M234" s="468"/>
      <c r="N234" s="468"/>
      <c r="O234" s="468"/>
      <c r="P234" s="468"/>
      <c r="Q234" s="473"/>
      <c r="R234" s="477" t="str">
        <f>IF(AND(COUNTIF('Start Character'!$I$63:$M$77,"Twilight Prone")=1,NOT(ISERROR(FIND("Magical Botch",M234)))),"Yes",IF(P234&gt;1,"Yes","No"))</f>
        <v>No</v>
      </c>
      <c r="S234" s="501"/>
      <c r="T234" s="478"/>
      <c r="U234" s="501"/>
      <c r="V234" s="479" t="str">
        <f>IF(R234="No","No Twilight",IF(T234="Yes","Uncomprehended Twilight",IF((Character!$B$14+IF(Character!$B$53="Yes",0,Character!$B$53)+IF(Magic!$C$5="Yes",2,0)+ROUNDUP((Magic!$B$30+IF(Magic!$C$30="Yes",3,0))/5,0)+S234)&gt;=($D$3+P234+SUMIF(Character!$I$62:$I$66,"Enigmatic Wisdom",Character!$J$62:$J$66)+Q234+U234),"No Twilight","Twilight")))</f>
        <v>No Twilight</v>
      </c>
      <c r="W234" s="483"/>
      <c r="X234" s="478"/>
      <c r="Y234" s="484"/>
      <c r="Z234" s="478"/>
      <c r="AA234" s="485" t="str">
        <f>IF(V234="Uncomprehended Twilight","Failed",IF(OR(ISBLANK(W234),ISBLANK(Y234))," ",IF(NOT(ISBLANK(X234)),"Failed",IF((W234+Character!$B$9+SUMIF(Character!$I$62:$I$66,"Enigmatic Wisdom",Character!$J$62:$J$66))&gt;=IF(Z234="Yes",0,(Y234+D229)),"Succeeded","Failed"))))</f>
        <v xml:space="preserve"> </v>
      </c>
      <c r="AB234" s="477" t="str">
        <f>IF(AA234=" "," ",IF(NOT(ISBLANK(X234)),VLOOKUP($D$3+X234,Calcs!$A$110:$C$122,3,TRUE),IF(AA234="Failed",VLOOKUP($D$3,Calcs!$A$110:$C$122,3,TRUE),VLOOKUP($D$3-(IF((Character!$B$9+W234)&gt;($D$3+Y234),(Character!$B$9+W234)-($D$3+Y234),0)),Calcs!$A$110:$C$122,3,TRUE))))</f>
        <v xml:space="preserve"> </v>
      </c>
      <c r="AC234" s="489"/>
      <c r="AD234" s="489" t="str">
        <f>IF(IF(AA234=" "," ",IF(NOT(ISBLANK(X234)),VLOOKUP($D$3+X234,Calcs!$A$110:$B$122,2,TRUE),IF(AA234="Failed",VLOOKUP($D$3,Calcs!$A$110:$B$122,2,TRUE),VLOOKUP($D$3-(IF((Character!$B$9+W234)&gt;($D$3+Y234),(Character!$B$9+W234)-($D$3+Y234),0)),Calcs!$A$110:$B$122,2,TRUE))))=Calcs!$B$120,IF(ISBLANK(AC234)," ",CONCATENATE(AC234+7," Years")),IF(AA234=" "," ",IF(NOT(ISBLANK(X234)),VLOOKUP($D$3+X234,Calcs!$A$110:$B$122,2,TRUE),IF(AA234="Failed",VLOOKUP($D$3,Calcs!$A$110:$B$122,2,TRUE),VLOOKUP($D$3-(IF((Character!$B$9+W234)&gt;($D$3+Y234),(Character!$B$9+W234)-($D$3+Y234),0)),Calcs!$A$110:$B$122,2,TRUE)))))</f>
        <v xml:space="preserve"> </v>
      </c>
      <c r="AE234" s="490"/>
      <c r="AF234" s="879"/>
      <c r="AG234" s="491"/>
    </row>
    <row r="235" spans="1:33" x14ac:dyDescent="0.2">
      <c r="A235" s="415">
        <f t="shared" si="6"/>
        <v>1268</v>
      </c>
      <c r="B235" s="419" t="str">
        <f t="shared" si="7"/>
        <v>Autumn</v>
      </c>
      <c r="C235" s="455"/>
      <c r="D235" s="504"/>
      <c r="E235" s="455"/>
      <c r="F235" s="504"/>
      <c r="G235" s="455"/>
      <c r="H235" s="504"/>
      <c r="I235" s="455"/>
      <c r="J235" s="504"/>
      <c r="L235" s="472"/>
      <c r="M235" s="468"/>
      <c r="N235" s="468"/>
      <c r="O235" s="468"/>
      <c r="P235" s="468"/>
      <c r="Q235" s="473"/>
      <c r="R235" s="477" t="str">
        <f>IF(AND(COUNTIF('Start Character'!$I$63:$M$77,"Twilight Prone")=1,NOT(ISERROR(FIND("Magical Botch",M235)))),"Yes",IF(P235&gt;1,"Yes","No"))</f>
        <v>No</v>
      </c>
      <c r="S235" s="501"/>
      <c r="T235" s="478"/>
      <c r="U235" s="501"/>
      <c r="V235" s="479" t="str">
        <f>IF(R235="No","No Twilight",IF(T235="Yes","Uncomprehended Twilight",IF((Character!$B$14+IF(Character!$B$53="Yes",0,Character!$B$53)+IF(Magic!$C$5="Yes",2,0)+ROUNDUP((Magic!$B$30+IF(Magic!$C$30="Yes",3,0))/5,0)+S235)&gt;=($D$3+P235+SUMIF(Character!$I$62:$I$66,"Enigmatic Wisdom",Character!$J$62:$J$66)+Q235+U235),"No Twilight","Twilight")))</f>
        <v>No Twilight</v>
      </c>
      <c r="W235" s="483"/>
      <c r="X235" s="478"/>
      <c r="Y235" s="484"/>
      <c r="Z235" s="478"/>
      <c r="AA235" s="485" t="str">
        <f>IF(V235="Uncomprehended Twilight","Failed",IF(OR(ISBLANK(W235),ISBLANK(Y235))," ",IF(NOT(ISBLANK(X235)),"Failed",IF((W235+Character!$B$9+SUMIF(Character!$I$62:$I$66,"Enigmatic Wisdom",Character!$J$62:$J$66))&gt;=IF(Z235="Yes",0,(Y235+D230)),"Succeeded","Failed"))))</f>
        <v xml:space="preserve"> </v>
      </c>
      <c r="AB235" s="477" t="str">
        <f>IF(AA235=" "," ",IF(NOT(ISBLANK(X235)),VLOOKUP($D$3+X235,Calcs!$A$110:$C$122,3,TRUE),IF(AA235="Failed",VLOOKUP($D$3,Calcs!$A$110:$C$122,3,TRUE),VLOOKUP($D$3-(IF((Character!$B$9+W235)&gt;($D$3+Y235),(Character!$B$9+W235)-($D$3+Y235),0)),Calcs!$A$110:$C$122,3,TRUE))))</f>
        <v xml:space="preserve"> </v>
      </c>
      <c r="AC235" s="489"/>
      <c r="AD235" s="489" t="str">
        <f>IF(IF(AA235=" "," ",IF(NOT(ISBLANK(X235)),VLOOKUP($D$3+X235,Calcs!$A$110:$B$122,2,TRUE),IF(AA235="Failed",VLOOKUP($D$3,Calcs!$A$110:$B$122,2,TRUE),VLOOKUP($D$3-(IF((Character!$B$9+W235)&gt;($D$3+Y235),(Character!$B$9+W235)-($D$3+Y235),0)),Calcs!$A$110:$B$122,2,TRUE))))=Calcs!$B$120,IF(ISBLANK(AC235)," ",CONCATENATE(AC235+7," Years")),IF(AA235=" "," ",IF(NOT(ISBLANK(X235)),VLOOKUP($D$3+X235,Calcs!$A$110:$B$122,2,TRUE),IF(AA235="Failed",VLOOKUP($D$3,Calcs!$A$110:$B$122,2,TRUE),VLOOKUP($D$3-(IF((Character!$B$9+W235)&gt;($D$3+Y235),(Character!$B$9+W235)-($D$3+Y235),0)),Calcs!$A$110:$B$122,2,TRUE)))))</f>
        <v xml:space="preserve"> </v>
      </c>
      <c r="AE235" s="490"/>
      <c r="AF235" s="879"/>
      <c r="AG235" s="491"/>
    </row>
    <row r="236" spans="1:33" x14ac:dyDescent="0.2">
      <c r="A236" s="415">
        <f t="shared" si="6"/>
        <v>1269</v>
      </c>
      <c r="B236" s="419" t="str">
        <f t="shared" si="7"/>
        <v>Winter</v>
      </c>
      <c r="C236" s="455"/>
      <c r="D236" s="504"/>
      <c r="E236" s="455"/>
      <c r="F236" s="504"/>
      <c r="G236" s="455"/>
      <c r="H236" s="504"/>
      <c r="I236" s="455"/>
      <c r="J236" s="504"/>
      <c r="L236" s="472"/>
      <c r="M236" s="468"/>
      <c r="N236" s="468"/>
      <c r="O236" s="468"/>
      <c r="P236" s="468"/>
      <c r="Q236" s="473"/>
      <c r="R236" s="477" t="str">
        <f>IF(AND(COUNTIF('Start Character'!$I$63:$M$77,"Twilight Prone")=1,NOT(ISERROR(FIND("Magical Botch",M236)))),"Yes",IF(P236&gt;1,"Yes","No"))</f>
        <v>No</v>
      </c>
      <c r="S236" s="501"/>
      <c r="T236" s="478"/>
      <c r="U236" s="501"/>
      <c r="V236" s="479" t="str">
        <f>IF(R236="No","No Twilight",IF(T236="Yes","Uncomprehended Twilight",IF((Character!$B$14+IF(Character!$B$53="Yes",0,Character!$B$53)+IF(Magic!$C$5="Yes",2,0)+ROUNDUP((Magic!$B$30+IF(Magic!$C$30="Yes",3,0))/5,0)+S236)&gt;=($D$3+P236+SUMIF(Character!$I$62:$I$66,"Enigmatic Wisdom",Character!$J$62:$J$66)+Q236+U236),"No Twilight","Twilight")))</f>
        <v>No Twilight</v>
      </c>
      <c r="W236" s="483"/>
      <c r="X236" s="478"/>
      <c r="Y236" s="484"/>
      <c r="Z236" s="478"/>
      <c r="AA236" s="485" t="str">
        <f>IF(V236="Uncomprehended Twilight","Failed",IF(OR(ISBLANK(W236),ISBLANK(Y236))," ",IF(NOT(ISBLANK(X236)),"Failed",IF((W236+Character!$B$9+SUMIF(Character!$I$62:$I$66,"Enigmatic Wisdom",Character!$J$62:$J$66))&gt;=IF(Z236="Yes",0,(Y236+D231)),"Succeeded","Failed"))))</f>
        <v xml:space="preserve"> </v>
      </c>
      <c r="AB236" s="477" t="str">
        <f>IF(AA236=" "," ",IF(NOT(ISBLANK(X236)),VLOOKUP($D$3+X236,Calcs!$A$110:$C$122,3,TRUE),IF(AA236="Failed",VLOOKUP($D$3,Calcs!$A$110:$C$122,3,TRUE),VLOOKUP($D$3-(IF((Character!$B$9+W236)&gt;($D$3+Y236),(Character!$B$9+W236)-($D$3+Y236),0)),Calcs!$A$110:$C$122,3,TRUE))))</f>
        <v xml:space="preserve"> </v>
      </c>
      <c r="AC236" s="489"/>
      <c r="AD236" s="489" t="str">
        <f>IF(IF(AA236=" "," ",IF(NOT(ISBLANK(X236)),VLOOKUP($D$3+X236,Calcs!$A$110:$B$122,2,TRUE),IF(AA236="Failed",VLOOKUP($D$3,Calcs!$A$110:$B$122,2,TRUE),VLOOKUP($D$3-(IF((Character!$B$9+W236)&gt;($D$3+Y236),(Character!$B$9+W236)-($D$3+Y236),0)),Calcs!$A$110:$B$122,2,TRUE))))=Calcs!$B$120,IF(ISBLANK(AC236)," ",CONCATENATE(AC236+7," Years")),IF(AA236=" "," ",IF(NOT(ISBLANK(X236)),VLOOKUP($D$3+X236,Calcs!$A$110:$B$122,2,TRUE),IF(AA236="Failed",VLOOKUP($D$3,Calcs!$A$110:$B$122,2,TRUE),VLOOKUP($D$3-(IF((Character!$B$9+W236)&gt;($D$3+Y236),(Character!$B$9+W236)-($D$3+Y236),0)),Calcs!$A$110:$B$122,2,TRUE)))))</f>
        <v xml:space="preserve"> </v>
      </c>
      <c r="AE236" s="490"/>
      <c r="AF236" s="879"/>
      <c r="AG236" s="491"/>
    </row>
    <row r="237" spans="1:33" x14ac:dyDescent="0.2">
      <c r="A237" s="415">
        <f t="shared" si="6"/>
        <v>1269</v>
      </c>
      <c r="B237" s="419" t="str">
        <f t="shared" si="7"/>
        <v>Spring</v>
      </c>
      <c r="C237" s="455"/>
      <c r="D237" s="504"/>
      <c r="E237" s="455"/>
      <c r="F237" s="504"/>
      <c r="G237" s="455"/>
      <c r="H237" s="504"/>
      <c r="I237" s="455"/>
      <c r="J237" s="504"/>
      <c r="L237" s="472"/>
      <c r="M237" s="468"/>
      <c r="N237" s="468"/>
      <c r="O237" s="468"/>
      <c r="P237" s="468"/>
      <c r="Q237" s="473"/>
      <c r="R237" s="477" t="str">
        <f>IF(AND(COUNTIF('Start Character'!$I$63:$M$77,"Twilight Prone")=1,NOT(ISERROR(FIND("Magical Botch",M237)))),"Yes",IF(P237&gt;1,"Yes","No"))</f>
        <v>No</v>
      </c>
      <c r="S237" s="501"/>
      <c r="T237" s="478"/>
      <c r="U237" s="501"/>
      <c r="V237" s="479" t="str">
        <f>IF(R237="No","No Twilight",IF(T237="Yes","Uncomprehended Twilight",IF((Character!$B$14+IF(Character!$B$53="Yes",0,Character!$B$53)+IF(Magic!$C$5="Yes",2,0)+ROUNDUP((Magic!$B$30+IF(Magic!$C$30="Yes",3,0))/5,0)+S237)&gt;=($D$3+P237+SUMIF(Character!$I$62:$I$66,"Enigmatic Wisdom",Character!$J$62:$J$66)+Q237+U237),"No Twilight","Twilight")))</f>
        <v>No Twilight</v>
      </c>
      <c r="W237" s="483"/>
      <c r="X237" s="478"/>
      <c r="Y237" s="484"/>
      <c r="Z237" s="478"/>
      <c r="AA237" s="485" t="str">
        <f>IF(V237="Uncomprehended Twilight","Failed",IF(OR(ISBLANK(W237),ISBLANK(Y237))," ",IF(NOT(ISBLANK(X237)),"Failed",IF((W237+Character!$B$9+SUMIF(Character!$I$62:$I$66,"Enigmatic Wisdom",Character!$J$62:$J$66))&gt;=IF(Z237="Yes",0,(Y237+D232)),"Succeeded","Failed"))))</f>
        <v xml:space="preserve"> </v>
      </c>
      <c r="AB237" s="477" t="str">
        <f>IF(AA237=" "," ",IF(NOT(ISBLANK(X237)),VLOOKUP($D$3+X237,Calcs!$A$110:$C$122,3,TRUE),IF(AA237="Failed",VLOOKUP($D$3,Calcs!$A$110:$C$122,3,TRUE),VLOOKUP($D$3-(IF((Character!$B$9+W237)&gt;($D$3+Y237),(Character!$B$9+W237)-($D$3+Y237),0)),Calcs!$A$110:$C$122,3,TRUE))))</f>
        <v xml:space="preserve"> </v>
      </c>
      <c r="AC237" s="489"/>
      <c r="AD237" s="489" t="str">
        <f>IF(IF(AA237=" "," ",IF(NOT(ISBLANK(X237)),VLOOKUP($D$3+X237,Calcs!$A$110:$B$122,2,TRUE),IF(AA237="Failed",VLOOKUP($D$3,Calcs!$A$110:$B$122,2,TRUE),VLOOKUP($D$3-(IF((Character!$B$9+W237)&gt;($D$3+Y237),(Character!$B$9+W237)-($D$3+Y237),0)),Calcs!$A$110:$B$122,2,TRUE))))=Calcs!$B$120,IF(ISBLANK(AC237)," ",CONCATENATE(AC237+7," Years")),IF(AA237=" "," ",IF(NOT(ISBLANK(X237)),VLOOKUP($D$3+X237,Calcs!$A$110:$B$122,2,TRUE),IF(AA237="Failed",VLOOKUP($D$3,Calcs!$A$110:$B$122,2,TRUE),VLOOKUP($D$3-(IF((Character!$B$9+W237)&gt;($D$3+Y237),(Character!$B$9+W237)-($D$3+Y237),0)),Calcs!$A$110:$B$122,2,TRUE)))))</f>
        <v xml:space="preserve"> </v>
      </c>
      <c r="AE237" s="490"/>
      <c r="AF237" s="879"/>
      <c r="AG237" s="491"/>
    </row>
    <row r="238" spans="1:33" x14ac:dyDescent="0.2">
      <c r="A238" s="415">
        <f t="shared" si="6"/>
        <v>1269</v>
      </c>
      <c r="B238" s="419" t="str">
        <f t="shared" si="7"/>
        <v>Summer</v>
      </c>
      <c r="C238" s="455"/>
      <c r="D238" s="504"/>
      <c r="E238" s="455"/>
      <c r="F238" s="504"/>
      <c r="G238" s="455"/>
      <c r="H238" s="504"/>
      <c r="I238" s="455"/>
      <c r="J238" s="504"/>
      <c r="L238" s="472"/>
      <c r="M238" s="468"/>
      <c r="N238" s="468"/>
      <c r="O238" s="468"/>
      <c r="P238" s="468"/>
      <c r="Q238" s="473"/>
      <c r="R238" s="477" t="str">
        <f>IF(AND(COUNTIF('Start Character'!$I$63:$M$77,"Twilight Prone")=1,NOT(ISERROR(FIND("Magical Botch",M238)))),"Yes",IF(P238&gt;1,"Yes","No"))</f>
        <v>No</v>
      </c>
      <c r="S238" s="501"/>
      <c r="T238" s="478"/>
      <c r="U238" s="501"/>
      <c r="V238" s="479" t="str">
        <f>IF(R238="No","No Twilight",IF(T238="Yes","Uncomprehended Twilight",IF((Character!$B$14+IF(Character!$B$53="Yes",0,Character!$B$53)+IF(Magic!$C$5="Yes",2,0)+ROUNDUP((Magic!$B$30+IF(Magic!$C$30="Yes",3,0))/5,0)+S238)&gt;=($D$3+P238+SUMIF(Character!$I$62:$I$66,"Enigmatic Wisdom",Character!$J$62:$J$66)+Q238+U238),"No Twilight","Twilight")))</f>
        <v>No Twilight</v>
      </c>
      <c r="W238" s="483"/>
      <c r="X238" s="478"/>
      <c r="Y238" s="484"/>
      <c r="Z238" s="478"/>
      <c r="AA238" s="485" t="str">
        <f>IF(V238="Uncomprehended Twilight","Failed",IF(OR(ISBLANK(W238),ISBLANK(Y238))," ",IF(NOT(ISBLANK(X238)),"Failed",IF((W238+Character!$B$9+SUMIF(Character!$I$62:$I$66,"Enigmatic Wisdom",Character!$J$62:$J$66))&gt;=IF(Z238="Yes",0,(Y238+D233)),"Succeeded","Failed"))))</f>
        <v xml:space="preserve"> </v>
      </c>
      <c r="AB238" s="477" t="str">
        <f>IF(AA238=" "," ",IF(NOT(ISBLANK(X238)),VLOOKUP($D$3+X238,Calcs!$A$110:$C$122,3,TRUE),IF(AA238="Failed",VLOOKUP($D$3,Calcs!$A$110:$C$122,3,TRUE),VLOOKUP($D$3-(IF((Character!$B$9+W238)&gt;($D$3+Y238),(Character!$B$9+W238)-($D$3+Y238),0)),Calcs!$A$110:$C$122,3,TRUE))))</f>
        <v xml:space="preserve"> </v>
      </c>
      <c r="AC238" s="489"/>
      <c r="AD238" s="489" t="str">
        <f>IF(IF(AA238=" "," ",IF(NOT(ISBLANK(X238)),VLOOKUP($D$3+X238,Calcs!$A$110:$B$122,2,TRUE),IF(AA238="Failed",VLOOKUP($D$3,Calcs!$A$110:$B$122,2,TRUE),VLOOKUP($D$3-(IF((Character!$B$9+W238)&gt;($D$3+Y238),(Character!$B$9+W238)-($D$3+Y238),0)),Calcs!$A$110:$B$122,2,TRUE))))=Calcs!$B$120,IF(ISBLANK(AC238)," ",CONCATENATE(AC238+7," Years")),IF(AA238=" "," ",IF(NOT(ISBLANK(X238)),VLOOKUP($D$3+X238,Calcs!$A$110:$B$122,2,TRUE),IF(AA238="Failed",VLOOKUP($D$3,Calcs!$A$110:$B$122,2,TRUE),VLOOKUP($D$3-(IF((Character!$B$9+W238)&gt;($D$3+Y238),(Character!$B$9+W238)-($D$3+Y238),0)),Calcs!$A$110:$B$122,2,TRUE)))))</f>
        <v xml:space="preserve"> </v>
      </c>
      <c r="AE238" s="490"/>
      <c r="AF238" s="879"/>
      <c r="AG238" s="491"/>
    </row>
    <row r="239" spans="1:33" x14ac:dyDescent="0.2">
      <c r="A239" s="415">
        <f t="shared" si="6"/>
        <v>1269</v>
      </c>
      <c r="B239" s="419" t="str">
        <f t="shared" si="7"/>
        <v>Autumn</v>
      </c>
      <c r="C239" s="455"/>
      <c r="D239" s="504"/>
      <c r="E239" s="455"/>
      <c r="F239" s="504"/>
      <c r="G239" s="455"/>
      <c r="H239" s="504"/>
      <c r="I239" s="455"/>
      <c r="J239" s="504"/>
      <c r="L239" s="472"/>
      <c r="M239" s="468"/>
      <c r="N239" s="468"/>
      <c r="O239" s="468"/>
      <c r="P239" s="468"/>
      <c r="Q239" s="473"/>
      <c r="R239" s="477" t="str">
        <f>IF(AND(COUNTIF('Start Character'!$I$63:$M$77,"Twilight Prone")=1,NOT(ISERROR(FIND("Magical Botch",M239)))),"Yes",IF(P239&gt;1,"Yes","No"))</f>
        <v>No</v>
      </c>
      <c r="S239" s="501"/>
      <c r="T239" s="478"/>
      <c r="U239" s="501"/>
      <c r="V239" s="479" t="str">
        <f>IF(R239="No","No Twilight",IF(T239="Yes","Uncomprehended Twilight",IF((Character!$B$14+IF(Character!$B$53="Yes",0,Character!$B$53)+IF(Magic!$C$5="Yes",2,0)+ROUNDUP((Magic!$B$30+IF(Magic!$C$30="Yes",3,0))/5,0)+S239)&gt;=($D$3+P239+SUMIF(Character!$I$62:$I$66,"Enigmatic Wisdom",Character!$J$62:$J$66)+Q239+U239),"No Twilight","Twilight")))</f>
        <v>No Twilight</v>
      </c>
      <c r="W239" s="483"/>
      <c r="X239" s="478"/>
      <c r="Y239" s="484"/>
      <c r="Z239" s="478"/>
      <c r="AA239" s="485" t="str">
        <f>IF(V239="Uncomprehended Twilight","Failed",IF(OR(ISBLANK(W239),ISBLANK(Y239))," ",IF(NOT(ISBLANK(X239)),"Failed",IF((W239+Character!$B$9+SUMIF(Character!$I$62:$I$66,"Enigmatic Wisdom",Character!$J$62:$J$66))&gt;=IF(Z239="Yes",0,(Y239+D234)),"Succeeded","Failed"))))</f>
        <v xml:space="preserve"> </v>
      </c>
      <c r="AB239" s="477" t="str">
        <f>IF(AA239=" "," ",IF(NOT(ISBLANK(X239)),VLOOKUP($D$3+X239,Calcs!$A$110:$C$122,3,TRUE),IF(AA239="Failed",VLOOKUP($D$3,Calcs!$A$110:$C$122,3,TRUE),VLOOKUP($D$3-(IF((Character!$B$9+W239)&gt;($D$3+Y239),(Character!$B$9+W239)-($D$3+Y239),0)),Calcs!$A$110:$C$122,3,TRUE))))</f>
        <v xml:space="preserve"> </v>
      </c>
      <c r="AC239" s="489"/>
      <c r="AD239" s="489" t="str">
        <f>IF(IF(AA239=" "," ",IF(NOT(ISBLANK(X239)),VLOOKUP($D$3+X239,Calcs!$A$110:$B$122,2,TRUE),IF(AA239="Failed",VLOOKUP($D$3,Calcs!$A$110:$B$122,2,TRUE),VLOOKUP($D$3-(IF((Character!$B$9+W239)&gt;($D$3+Y239),(Character!$B$9+W239)-($D$3+Y239),0)),Calcs!$A$110:$B$122,2,TRUE))))=Calcs!$B$120,IF(ISBLANK(AC239)," ",CONCATENATE(AC239+7," Years")),IF(AA239=" "," ",IF(NOT(ISBLANK(X239)),VLOOKUP($D$3+X239,Calcs!$A$110:$B$122,2,TRUE),IF(AA239="Failed",VLOOKUP($D$3,Calcs!$A$110:$B$122,2,TRUE),VLOOKUP($D$3-(IF((Character!$B$9+W239)&gt;($D$3+Y239),(Character!$B$9+W239)-($D$3+Y239),0)),Calcs!$A$110:$B$122,2,TRUE)))))</f>
        <v xml:space="preserve"> </v>
      </c>
      <c r="AE239" s="490"/>
      <c r="AF239" s="879"/>
      <c r="AG239" s="491"/>
    </row>
    <row r="240" spans="1:33" x14ac:dyDescent="0.2">
      <c r="A240" s="415">
        <f t="shared" si="6"/>
        <v>1270</v>
      </c>
      <c r="B240" s="419" t="str">
        <f t="shared" si="7"/>
        <v>Winter</v>
      </c>
      <c r="C240" s="455"/>
      <c r="D240" s="504"/>
      <c r="E240" s="455"/>
      <c r="F240" s="504"/>
      <c r="G240" s="455"/>
      <c r="H240" s="504"/>
      <c r="I240" s="455"/>
      <c r="J240" s="504"/>
      <c r="L240" s="472"/>
      <c r="M240" s="468"/>
      <c r="N240" s="468"/>
      <c r="O240" s="468"/>
      <c r="P240" s="468"/>
      <c r="Q240" s="473"/>
      <c r="R240" s="477" t="str">
        <f>IF(AND(COUNTIF('Start Character'!$I$63:$M$77,"Twilight Prone")=1,NOT(ISERROR(FIND("Magical Botch",M240)))),"Yes",IF(P240&gt;1,"Yes","No"))</f>
        <v>No</v>
      </c>
      <c r="S240" s="501"/>
      <c r="T240" s="478"/>
      <c r="U240" s="501"/>
      <c r="V240" s="479" t="str">
        <f>IF(R240="No","No Twilight",IF(T240="Yes","Uncomprehended Twilight",IF((Character!$B$14+IF(Character!$B$53="Yes",0,Character!$B$53)+IF(Magic!$C$5="Yes",2,0)+ROUNDUP((Magic!$B$30+IF(Magic!$C$30="Yes",3,0))/5,0)+S240)&gt;=($D$3+P240+SUMIF(Character!$I$62:$I$66,"Enigmatic Wisdom",Character!$J$62:$J$66)+Q240+U240),"No Twilight","Twilight")))</f>
        <v>No Twilight</v>
      </c>
      <c r="W240" s="483"/>
      <c r="X240" s="478"/>
      <c r="Y240" s="484"/>
      <c r="Z240" s="478"/>
      <c r="AA240" s="485" t="str">
        <f>IF(V240="Uncomprehended Twilight","Failed",IF(OR(ISBLANK(W240),ISBLANK(Y240))," ",IF(NOT(ISBLANK(X240)),"Failed",IF((W240+Character!$B$9+SUMIF(Character!$I$62:$I$66,"Enigmatic Wisdom",Character!$J$62:$J$66))&gt;=IF(Z240="Yes",0,(Y240+D235)),"Succeeded","Failed"))))</f>
        <v xml:space="preserve"> </v>
      </c>
      <c r="AB240" s="477" t="str">
        <f>IF(AA240=" "," ",IF(NOT(ISBLANK(X240)),VLOOKUP($D$3+X240,Calcs!$A$110:$C$122,3,TRUE),IF(AA240="Failed",VLOOKUP($D$3,Calcs!$A$110:$C$122,3,TRUE),VLOOKUP($D$3-(IF((Character!$B$9+W240)&gt;($D$3+Y240),(Character!$B$9+W240)-($D$3+Y240),0)),Calcs!$A$110:$C$122,3,TRUE))))</f>
        <v xml:space="preserve"> </v>
      </c>
      <c r="AC240" s="489"/>
      <c r="AD240" s="489" t="str">
        <f>IF(IF(AA240=" "," ",IF(NOT(ISBLANK(X240)),VLOOKUP($D$3+X240,Calcs!$A$110:$B$122,2,TRUE),IF(AA240="Failed",VLOOKUP($D$3,Calcs!$A$110:$B$122,2,TRUE),VLOOKUP($D$3-(IF((Character!$B$9+W240)&gt;($D$3+Y240),(Character!$B$9+W240)-($D$3+Y240),0)),Calcs!$A$110:$B$122,2,TRUE))))=Calcs!$B$120,IF(ISBLANK(AC240)," ",CONCATENATE(AC240+7," Years")),IF(AA240=" "," ",IF(NOT(ISBLANK(X240)),VLOOKUP($D$3+X240,Calcs!$A$110:$B$122,2,TRUE),IF(AA240="Failed",VLOOKUP($D$3,Calcs!$A$110:$B$122,2,TRUE),VLOOKUP($D$3-(IF((Character!$B$9+W240)&gt;($D$3+Y240),(Character!$B$9+W240)-($D$3+Y240),0)),Calcs!$A$110:$B$122,2,TRUE)))))</f>
        <v xml:space="preserve"> </v>
      </c>
      <c r="AE240" s="490"/>
      <c r="AF240" s="879"/>
      <c r="AG240" s="491"/>
    </row>
    <row r="241" spans="1:33" x14ac:dyDescent="0.2">
      <c r="A241" s="415">
        <f t="shared" si="6"/>
        <v>1270</v>
      </c>
      <c r="B241" s="419" t="str">
        <f t="shared" si="7"/>
        <v>Spring</v>
      </c>
      <c r="C241" s="455"/>
      <c r="D241" s="504"/>
      <c r="E241" s="455"/>
      <c r="F241" s="504"/>
      <c r="G241" s="455"/>
      <c r="H241" s="504"/>
      <c r="I241" s="455"/>
      <c r="J241" s="504"/>
      <c r="L241" s="472"/>
      <c r="M241" s="468"/>
      <c r="N241" s="468"/>
      <c r="O241" s="468"/>
      <c r="P241" s="468"/>
      <c r="Q241" s="473"/>
      <c r="R241" s="477" t="str">
        <f>IF(AND(COUNTIF('Start Character'!$I$63:$M$77,"Twilight Prone")=1,NOT(ISERROR(FIND("Magical Botch",M241)))),"Yes",IF(P241&gt;1,"Yes","No"))</f>
        <v>No</v>
      </c>
      <c r="S241" s="501"/>
      <c r="T241" s="478"/>
      <c r="U241" s="501"/>
      <c r="V241" s="479" t="str">
        <f>IF(R241="No","No Twilight",IF(T241="Yes","Uncomprehended Twilight",IF((Character!$B$14+IF(Character!$B$53="Yes",0,Character!$B$53)+IF(Magic!$C$5="Yes",2,0)+ROUNDUP((Magic!$B$30+IF(Magic!$C$30="Yes",3,0))/5,0)+S241)&gt;=($D$3+P241+SUMIF(Character!$I$62:$I$66,"Enigmatic Wisdom",Character!$J$62:$J$66)+Q241+U241),"No Twilight","Twilight")))</f>
        <v>No Twilight</v>
      </c>
      <c r="W241" s="483"/>
      <c r="X241" s="478"/>
      <c r="Y241" s="484"/>
      <c r="Z241" s="478"/>
      <c r="AA241" s="485" t="str">
        <f>IF(V241="Uncomprehended Twilight","Failed",IF(OR(ISBLANK(W241),ISBLANK(Y241))," ",IF(NOT(ISBLANK(X241)),"Failed",IF((W241+Character!$B$9+SUMIF(Character!$I$62:$I$66,"Enigmatic Wisdom",Character!$J$62:$J$66))&gt;=IF(Z241="Yes",0,(Y241+D236)),"Succeeded","Failed"))))</f>
        <v xml:space="preserve"> </v>
      </c>
      <c r="AB241" s="477" t="str">
        <f>IF(AA241=" "," ",IF(NOT(ISBLANK(X241)),VLOOKUP($D$3+X241,Calcs!$A$110:$C$122,3,TRUE),IF(AA241="Failed",VLOOKUP($D$3,Calcs!$A$110:$C$122,3,TRUE),VLOOKUP($D$3-(IF((Character!$B$9+W241)&gt;($D$3+Y241),(Character!$B$9+W241)-($D$3+Y241),0)),Calcs!$A$110:$C$122,3,TRUE))))</f>
        <v xml:space="preserve"> </v>
      </c>
      <c r="AC241" s="489"/>
      <c r="AD241" s="489" t="str">
        <f>IF(IF(AA241=" "," ",IF(NOT(ISBLANK(X241)),VLOOKUP($D$3+X241,Calcs!$A$110:$B$122,2,TRUE),IF(AA241="Failed",VLOOKUP($D$3,Calcs!$A$110:$B$122,2,TRUE),VLOOKUP($D$3-(IF((Character!$B$9+W241)&gt;($D$3+Y241),(Character!$B$9+W241)-($D$3+Y241),0)),Calcs!$A$110:$B$122,2,TRUE))))=Calcs!$B$120,IF(ISBLANK(AC241)," ",CONCATENATE(AC241+7," Years")),IF(AA241=" "," ",IF(NOT(ISBLANK(X241)),VLOOKUP($D$3+X241,Calcs!$A$110:$B$122,2,TRUE),IF(AA241="Failed",VLOOKUP($D$3,Calcs!$A$110:$B$122,2,TRUE),VLOOKUP($D$3-(IF((Character!$B$9+W241)&gt;($D$3+Y241),(Character!$B$9+W241)-($D$3+Y241),0)),Calcs!$A$110:$B$122,2,TRUE)))))</f>
        <v xml:space="preserve"> </v>
      </c>
      <c r="AE241" s="490"/>
      <c r="AF241" s="879"/>
      <c r="AG241" s="491"/>
    </row>
    <row r="242" spans="1:33" x14ac:dyDescent="0.2">
      <c r="A242" s="415">
        <f t="shared" si="6"/>
        <v>1270</v>
      </c>
      <c r="B242" s="419" t="str">
        <f t="shared" si="7"/>
        <v>Summer</v>
      </c>
      <c r="C242" s="455"/>
      <c r="D242" s="504"/>
      <c r="E242" s="455"/>
      <c r="F242" s="504"/>
      <c r="G242" s="455"/>
      <c r="H242" s="504"/>
      <c r="I242" s="455"/>
      <c r="J242" s="504"/>
      <c r="L242" s="472"/>
      <c r="M242" s="468"/>
      <c r="N242" s="468"/>
      <c r="O242" s="468"/>
      <c r="P242" s="468"/>
      <c r="Q242" s="473"/>
      <c r="R242" s="477" t="str">
        <f>IF(AND(COUNTIF('Start Character'!$I$63:$M$77,"Twilight Prone")=1,NOT(ISERROR(FIND("Magical Botch",M242)))),"Yes",IF(P242&gt;1,"Yes","No"))</f>
        <v>No</v>
      </c>
      <c r="S242" s="501"/>
      <c r="T242" s="478"/>
      <c r="U242" s="501"/>
      <c r="V242" s="479" t="str">
        <f>IF(R242="No","No Twilight",IF(T242="Yes","Uncomprehended Twilight",IF((Character!$B$14+IF(Character!$B$53="Yes",0,Character!$B$53)+IF(Magic!$C$5="Yes",2,0)+ROUNDUP((Magic!$B$30+IF(Magic!$C$30="Yes",3,0))/5,0)+S242)&gt;=($D$3+P242+SUMIF(Character!$I$62:$I$66,"Enigmatic Wisdom",Character!$J$62:$J$66)+Q242+U242),"No Twilight","Twilight")))</f>
        <v>No Twilight</v>
      </c>
      <c r="W242" s="483"/>
      <c r="X242" s="478"/>
      <c r="Y242" s="484"/>
      <c r="Z242" s="478"/>
      <c r="AA242" s="485" t="str">
        <f>IF(V242="Uncomprehended Twilight","Failed",IF(OR(ISBLANK(W242),ISBLANK(Y242))," ",IF(NOT(ISBLANK(X242)),"Failed",IF((W242+Character!$B$9+SUMIF(Character!$I$62:$I$66,"Enigmatic Wisdom",Character!$J$62:$J$66))&gt;=IF(Z242="Yes",0,(Y242+D237)),"Succeeded","Failed"))))</f>
        <v xml:space="preserve"> </v>
      </c>
      <c r="AB242" s="477" t="str">
        <f>IF(AA242=" "," ",IF(NOT(ISBLANK(X242)),VLOOKUP($D$3+X242,Calcs!$A$110:$C$122,3,TRUE),IF(AA242="Failed",VLOOKUP($D$3,Calcs!$A$110:$C$122,3,TRUE),VLOOKUP($D$3-(IF((Character!$B$9+W242)&gt;($D$3+Y242),(Character!$B$9+W242)-($D$3+Y242),0)),Calcs!$A$110:$C$122,3,TRUE))))</f>
        <v xml:space="preserve"> </v>
      </c>
      <c r="AC242" s="489"/>
      <c r="AD242" s="489" t="str">
        <f>IF(IF(AA242=" "," ",IF(NOT(ISBLANK(X242)),VLOOKUP($D$3+X242,Calcs!$A$110:$B$122,2,TRUE),IF(AA242="Failed",VLOOKUP($D$3,Calcs!$A$110:$B$122,2,TRUE),VLOOKUP($D$3-(IF((Character!$B$9+W242)&gt;($D$3+Y242),(Character!$B$9+W242)-($D$3+Y242),0)),Calcs!$A$110:$B$122,2,TRUE))))=Calcs!$B$120,IF(ISBLANK(AC242)," ",CONCATENATE(AC242+7," Years")),IF(AA242=" "," ",IF(NOT(ISBLANK(X242)),VLOOKUP($D$3+X242,Calcs!$A$110:$B$122,2,TRUE),IF(AA242="Failed",VLOOKUP($D$3,Calcs!$A$110:$B$122,2,TRUE),VLOOKUP($D$3-(IF((Character!$B$9+W242)&gt;($D$3+Y242),(Character!$B$9+W242)-($D$3+Y242),0)),Calcs!$A$110:$B$122,2,TRUE)))))</f>
        <v xml:space="preserve"> </v>
      </c>
      <c r="AE242" s="490"/>
      <c r="AF242" s="879"/>
      <c r="AG242" s="491"/>
    </row>
    <row r="243" spans="1:33" x14ac:dyDescent="0.2">
      <c r="A243" s="415">
        <f t="shared" si="6"/>
        <v>1270</v>
      </c>
      <c r="B243" s="419" t="str">
        <f t="shared" si="7"/>
        <v>Autumn</v>
      </c>
      <c r="C243" s="455"/>
      <c r="D243" s="504"/>
      <c r="E243" s="455"/>
      <c r="F243" s="504"/>
      <c r="G243" s="455"/>
      <c r="H243" s="504"/>
      <c r="I243" s="455"/>
      <c r="J243" s="504"/>
      <c r="L243" s="472"/>
      <c r="M243" s="468"/>
      <c r="N243" s="468"/>
      <c r="O243" s="468"/>
      <c r="P243" s="468"/>
      <c r="Q243" s="473"/>
      <c r="R243" s="477" t="str">
        <f>IF(AND(COUNTIF('Start Character'!$I$63:$M$77,"Twilight Prone")=1,NOT(ISERROR(FIND("Magical Botch",M243)))),"Yes",IF(P243&gt;1,"Yes","No"))</f>
        <v>No</v>
      </c>
      <c r="S243" s="501"/>
      <c r="T243" s="478"/>
      <c r="U243" s="501"/>
      <c r="V243" s="479" t="str">
        <f>IF(R243="No","No Twilight",IF(T243="Yes","Uncomprehended Twilight",IF((Character!$B$14+IF(Character!$B$53="Yes",0,Character!$B$53)+IF(Magic!$C$5="Yes",2,0)+ROUNDUP((Magic!$B$30+IF(Magic!$C$30="Yes",3,0))/5,0)+S243)&gt;=($D$3+P243+SUMIF(Character!$I$62:$I$66,"Enigmatic Wisdom",Character!$J$62:$J$66)+Q243+U243),"No Twilight","Twilight")))</f>
        <v>No Twilight</v>
      </c>
      <c r="W243" s="483"/>
      <c r="X243" s="478"/>
      <c r="Y243" s="484"/>
      <c r="Z243" s="478"/>
      <c r="AA243" s="485" t="str">
        <f>IF(V243="Uncomprehended Twilight","Failed",IF(OR(ISBLANK(W243),ISBLANK(Y243))," ",IF(NOT(ISBLANK(X243)),"Failed",IF((W243+Character!$B$9+SUMIF(Character!$I$62:$I$66,"Enigmatic Wisdom",Character!$J$62:$J$66))&gt;=IF(Z243="Yes",0,(Y243+D238)),"Succeeded","Failed"))))</f>
        <v xml:space="preserve"> </v>
      </c>
      <c r="AB243" s="477" t="str">
        <f>IF(AA243=" "," ",IF(NOT(ISBLANK(X243)),VLOOKUP($D$3+X243,Calcs!$A$110:$C$122,3,TRUE),IF(AA243="Failed",VLOOKUP($D$3,Calcs!$A$110:$C$122,3,TRUE),VLOOKUP($D$3-(IF((Character!$B$9+W243)&gt;($D$3+Y243),(Character!$B$9+W243)-($D$3+Y243),0)),Calcs!$A$110:$C$122,3,TRUE))))</f>
        <v xml:space="preserve"> </v>
      </c>
      <c r="AC243" s="489"/>
      <c r="AD243" s="489" t="str">
        <f>IF(IF(AA243=" "," ",IF(NOT(ISBLANK(X243)),VLOOKUP($D$3+X243,Calcs!$A$110:$B$122,2,TRUE),IF(AA243="Failed",VLOOKUP($D$3,Calcs!$A$110:$B$122,2,TRUE),VLOOKUP($D$3-(IF((Character!$B$9+W243)&gt;($D$3+Y243),(Character!$B$9+W243)-($D$3+Y243),0)),Calcs!$A$110:$B$122,2,TRUE))))=Calcs!$B$120,IF(ISBLANK(AC243)," ",CONCATENATE(AC243+7," Years")),IF(AA243=" "," ",IF(NOT(ISBLANK(X243)),VLOOKUP($D$3+X243,Calcs!$A$110:$B$122,2,TRUE),IF(AA243="Failed",VLOOKUP($D$3,Calcs!$A$110:$B$122,2,TRUE),VLOOKUP($D$3-(IF((Character!$B$9+W243)&gt;($D$3+Y243),(Character!$B$9+W243)-($D$3+Y243),0)),Calcs!$A$110:$B$122,2,TRUE)))))</f>
        <v xml:space="preserve"> </v>
      </c>
      <c r="AE243" s="490"/>
      <c r="AF243" s="879"/>
      <c r="AG243" s="491"/>
    </row>
    <row r="244" spans="1:33" x14ac:dyDescent="0.2">
      <c r="A244" s="415">
        <f t="shared" si="6"/>
        <v>1271</v>
      </c>
      <c r="B244" s="419" t="str">
        <f t="shared" si="7"/>
        <v>Winter</v>
      </c>
      <c r="C244" s="455"/>
      <c r="D244" s="504"/>
      <c r="E244" s="455"/>
      <c r="F244" s="504"/>
      <c r="G244" s="455"/>
      <c r="H244" s="504"/>
      <c r="I244" s="455"/>
      <c r="J244" s="504"/>
      <c r="L244" s="472"/>
      <c r="M244" s="468"/>
      <c r="N244" s="468"/>
      <c r="O244" s="468"/>
      <c r="P244" s="468"/>
      <c r="Q244" s="473"/>
      <c r="R244" s="477" t="str">
        <f>IF(AND(COUNTIF('Start Character'!$I$63:$M$77,"Twilight Prone")=1,NOT(ISERROR(FIND("Magical Botch",M244)))),"Yes",IF(P244&gt;1,"Yes","No"))</f>
        <v>No</v>
      </c>
      <c r="S244" s="501"/>
      <c r="T244" s="478"/>
      <c r="U244" s="501"/>
      <c r="V244" s="479" t="str">
        <f>IF(R244="No","No Twilight",IF(T244="Yes","Uncomprehended Twilight",IF((Character!$B$14+IF(Character!$B$53="Yes",0,Character!$B$53)+IF(Magic!$C$5="Yes",2,0)+ROUNDUP((Magic!$B$30+IF(Magic!$C$30="Yes",3,0))/5,0)+S244)&gt;=($D$3+P244+SUMIF(Character!$I$62:$I$66,"Enigmatic Wisdom",Character!$J$62:$J$66)+Q244+U244),"No Twilight","Twilight")))</f>
        <v>No Twilight</v>
      </c>
      <c r="W244" s="483"/>
      <c r="X244" s="478"/>
      <c r="Y244" s="484"/>
      <c r="Z244" s="478"/>
      <c r="AA244" s="485" t="str">
        <f>IF(V244="Uncomprehended Twilight","Failed",IF(OR(ISBLANK(W244),ISBLANK(Y244))," ",IF(NOT(ISBLANK(X244)),"Failed",IF((W244+Character!$B$9+SUMIF(Character!$I$62:$I$66,"Enigmatic Wisdom",Character!$J$62:$J$66))&gt;=IF(Z244="Yes",0,(Y244+D239)),"Succeeded","Failed"))))</f>
        <v xml:space="preserve"> </v>
      </c>
      <c r="AB244" s="477" t="str">
        <f>IF(AA244=" "," ",IF(NOT(ISBLANK(X244)),VLOOKUP($D$3+X244,Calcs!$A$110:$C$122,3,TRUE),IF(AA244="Failed",VLOOKUP($D$3,Calcs!$A$110:$C$122,3,TRUE),VLOOKUP($D$3-(IF((Character!$B$9+W244)&gt;($D$3+Y244),(Character!$B$9+W244)-($D$3+Y244),0)),Calcs!$A$110:$C$122,3,TRUE))))</f>
        <v xml:space="preserve"> </v>
      </c>
      <c r="AC244" s="489"/>
      <c r="AD244" s="489" t="str">
        <f>IF(IF(AA244=" "," ",IF(NOT(ISBLANK(X244)),VLOOKUP($D$3+X244,Calcs!$A$110:$B$122,2,TRUE),IF(AA244="Failed",VLOOKUP($D$3,Calcs!$A$110:$B$122,2,TRUE),VLOOKUP($D$3-(IF((Character!$B$9+W244)&gt;($D$3+Y244),(Character!$B$9+W244)-($D$3+Y244),0)),Calcs!$A$110:$B$122,2,TRUE))))=Calcs!$B$120,IF(ISBLANK(AC244)," ",CONCATENATE(AC244+7," Years")),IF(AA244=" "," ",IF(NOT(ISBLANK(X244)),VLOOKUP($D$3+X244,Calcs!$A$110:$B$122,2,TRUE),IF(AA244="Failed",VLOOKUP($D$3,Calcs!$A$110:$B$122,2,TRUE),VLOOKUP($D$3-(IF((Character!$B$9+W244)&gt;($D$3+Y244),(Character!$B$9+W244)-($D$3+Y244),0)),Calcs!$A$110:$B$122,2,TRUE)))))</f>
        <v xml:space="preserve"> </v>
      </c>
      <c r="AE244" s="490"/>
      <c r="AF244" s="879"/>
      <c r="AG244" s="491"/>
    </row>
    <row r="245" spans="1:33" x14ac:dyDescent="0.2">
      <c r="A245" s="415">
        <f t="shared" si="6"/>
        <v>1271</v>
      </c>
      <c r="B245" s="419" t="str">
        <f t="shared" si="7"/>
        <v>Spring</v>
      </c>
      <c r="C245" s="455"/>
      <c r="D245" s="504"/>
      <c r="E245" s="455"/>
      <c r="F245" s="504"/>
      <c r="G245" s="455"/>
      <c r="H245" s="504"/>
      <c r="I245" s="455"/>
      <c r="J245" s="504"/>
      <c r="L245" s="472"/>
      <c r="M245" s="468"/>
      <c r="N245" s="468"/>
      <c r="O245" s="468"/>
      <c r="P245" s="468"/>
      <c r="Q245" s="473"/>
      <c r="R245" s="477" t="str">
        <f>IF(AND(COUNTIF('Start Character'!$I$63:$M$77,"Twilight Prone")=1,NOT(ISERROR(FIND("Magical Botch",M245)))),"Yes",IF(P245&gt;1,"Yes","No"))</f>
        <v>No</v>
      </c>
      <c r="S245" s="501"/>
      <c r="T245" s="478"/>
      <c r="U245" s="501"/>
      <c r="V245" s="479" t="str">
        <f>IF(R245="No","No Twilight",IF(T245="Yes","Uncomprehended Twilight",IF((Character!$B$14+IF(Character!$B$53="Yes",0,Character!$B$53)+IF(Magic!$C$5="Yes",2,0)+ROUNDUP((Magic!$B$30+IF(Magic!$C$30="Yes",3,0))/5,0)+S245)&gt;=($D$3+P245+SUMIF(Character!$I$62:$I$66,"Enigmatic Wisdom",Character!$J$62:$J$66)+Q245+U245),"No Twilight","Twilight")))</f>
        <v>No Twilight</v>
      </c>
      <c r="W245" s="483"/>
      <c r="X245" s="478"/>
      <c r="Y245" s="484"/>
      <c r="Z245" s="478"/>
      <c r="AA245" s="485" t="str">
        <f>IF(V245="Uncomprehended Twilight","Failed",IF(OR(ISBLANK(W245),ISBLANK(Y245))," ",IF(NOT(ISBLANK(X245)),"Failed",IF((W245+Character!$B$9+SUMIF(Character!$I$62:$I$66,"Enigmatic Wisdom",Character!$J$62:$J$66))&gt;=IF(Z245="Yes",0,(Y245+D240)),"Succeeded","Failed"))))</f>
        <v xml:space="preserve"> </v>
      </c>
      <c r="AB245" s="477" t="str">
        <f>IF(AA245=" "," ",IF(NOT(ISBLANK(X245)),VLOOKUP($D$3+X245,Calcs!$A$110:$C$122,3,TRUE),IF(AA245="Failed",VLOOKUP($D$3,Calcs!$A$110:$C$122,3,TRUE),VLOOKUP($D$3-(IF((Character!$B$9+W245)&gt;($D$3+Y245),(Character!$B$9+W245)-($D$3+Y245),0)),Calcs!$A$110:$C$122,3,TRUE))))</f>
        <v xml:space="preserve"> </v>
      </c>
      <c r="AC245" s="489"/>
      <c r="AD245" s="489" t="str">
        <f>IF(IF(AA245=" "," ",IF(NOT(ISBLANK(X245)),VLOOKUP($D$3+X245,Calcs!$A$110:$B$122,2,TRUE),IF(AA245="Failed",VLOOKUP($D$3,Calcs!$A$110:$B$122,2,TRUE),VLOOKUP($D$3-(IF((Character!$B$9+W245)&gt;($D$3+Y245),(Character!$B$9+W245)-($D$3+Y245),0)),Calcs!$A$110:$B$122,2,TRUE))))=Calcs!$B$120,IF(ISBLANK(AC245)," ",CONCATENATE(AC245+7," Years")),IF(AA245=" "," ",IF(NOT(ISBLANK(X245)),VLOOKUP($D$3+X245,Calcs!$A$110:$B$122,2,TRUE),IF(AA245="Failed",VLOOKUP($D$3,Calcs!$A$110:$B$122,2,TRUE),VLOOKUP($D$3-(IF((Character!$B$9+W245)&gt;($D$3+Y245),(Character!$B$9+W245)-($D$3+Y245),0)),Calcs!$A$110:$B$122,2,TRUE)))))</f>
        <v xml:space="preserve"> </v>
      </c>
      <c r="AE245" s="490"/>
      <c r="AF245" s="879"/>
      <c r="AG245" s="491"/>
    </row>
    <row r="246" spans="1:33" x14ac:dyDescent="0.2">
      <c r="A246" s="415">
        <f t="shared" si="6"/>
        <v>1271</v>
      </c>
      <c r="B246" s="419" t="str">
        <f t="shared" si="7"/>
        <v>Summer</v>
      </c>
      <c r="C246" s="455"/>
      <c r="D246" s="504"/>
      <c r="E246" s="455"/>
      <c r="F246" s="504"/>
      <c r="G246" s="455"/>
      <c r="H246" s="504"/>
      <c r="I246" s="455"/>
      <c r="J246" s="504"/>
      <c r="L246" s="472"/>
      <c r="M246" s="468"/>
      <c r="N246" s="468"/>
      <c r="O246" s="468"/>
      <c r="P246" s="468"/>
      <c r="Q246" s="473"/>
      <c r="R246" s="477" t="str">
        <f>IF(AND(COUNTIF('Start Character'!$I$63:$M$77,"Twilight Prone")=1,NOT(ISERROR(FIND("Magical Botch",M246)))),"Yes",IF(P246&gt;1,"Yes","No"))</f>
        <v>No</v>
      </c>
      <c r="S246" s="501"/>
      <c r="T246" s="478"/>
      <c r="U246" s="501"/>
      <c r="V246" s="479" t="str">
        <f>IF(R246="No","No Twilight",IF(T246="Yes","Uncomprehended Twilight",IF((Character!$B$14+IF(Character!$B$53="Yes",0,Character!$B$53)+IF(Magic!$C$5="Yes",2,0)+ROUNDUP((Magic!$B$30+IF(Magic!$C$30="Yes",3,0))/5,0)+S246)&gt;=($D$3+P246+SUMIF(Character!$I$62:$I$66,"Enigmatic Wisdom",Character!$J$62:$J$66)+Q246+U246),"No Twilight","Twilight")))</f>
        <v>No Twilight</v>
      </c>
      <c r="W246" s="483"/>
      <c r="X246" s="478"/>
      <c r="Y246" s="484"/>
      <c r="Z246" s="478"/>
      <c r="AA246" s="485" t="str">
        <f>IF(V246="Uncomprehended Twilight","Failed",IF(OR(ISBLANK(W246),ISBLANK(Y246))," ",IF(NOT(ISBLANK(X246)),"Failed",IF((W246+Character!$B$9+SUMIF(Character!$I$62:$I$66,"Enigmatic Wisdom",Character!$J$62:$J$66))&gt;=IF(Z246="Yes",0,(Y246+D241)),"Succeeded","Failed"))))</f>
        <v xml:space="preserve"> </v>
      </c>
      <c r="AB246" s="477" t="str">
        <f>IF(AA246=" "," ",IF(NOT(ISBLANK(X246)),VLOOKUP($D$3+X246,Calcs!$A$110:$C$122,3,TRUE),IF(AA246="Failed",VLOOKUP($D$3,Calcs!$A$110:$C$122,3,TRUE),VLOOKUP($D$3-(IF((Character!$B$9+W246)&gt;($D$3+Y246),(Character!$B$9+W246)-($D$3+Y246),0)),Calcs!$A$110:$C$122,3,TRUE))))</f>
        <v xml:space="preserve"> </v>
      </c>
      <c r="AC246" s="489"/>
      <c r="AD246" s="489" t="str">
        <f>IF(IF(AA246=" "," ",IF(NOT(ISBLANK(X246)),VLOOKUP($D$3+X246,Calcs!$A$110:$B$122,2,TRUE),IF(AA246="Failed",VLOOKUP($D$3,Calcs!$A$110:$B$122,2,TRUE),VLOOKUP($D$3-(IF((Character!$B$9+W246)&gt;($D$3+Y246),(Character!$B$9+W246)-($D$3+Y246),0)),Calcs!$A$110:$B$122,2,TRUE))))=Calcs!$B$120,IF(ISBLANK(AC246)," ",CONCATENATE(AC246+7," Years")),IF(AA246=" "," ",IF(NOT(ISBLANK(X246)),VLOOKUP($D$3+X246,Calcs!$A$110:$B$122,2,TRUE),IF(AA246="Failed",VLOOKUP($D$3,Calcs!$A$110:$B$122,2,TRUE),VLOOKUP($D$3-(IF((Character!$B$9+W246)&gt;($D$3+Y246),(Character!$B$9+W246)-($D$3+Y246),0)),Calcs!$A$110:$B$122,2,TRUE)))))</f>
        <v xml:space="preserve"> </v>
      </c>
      <c r="AE246" s="490"/>
      <c r="AF246" s="879"/>
      <c r="AG246" s="491"/>
    </row>
    <row r="247" spans="1:33" x14ac:dyDescent="0.2">
      <c r="A247" s="415">
        <f t="shared" si="6"/>
        <v>1271</v>
      </c>
      <c r="B247" s="419" t="str">
        <f t="shared" si="7"/>
        <v>Autumn</v>
      </c>
      <c r="C247" s="455"/>
      <c r="D247" s="504"/>
      <c r="E247" s="455"/>
      <c r="F247" s="504"/>
      <c r="G247" s="455"/>
      <c r="H247" s="504"/>
      <c r="I247" s="455"/>
      <c r="J247" s="504"/>
      <c r="L247" s="472"/>
      <c r="M247" s="468"/>
      <c r="N247" s="468"/>
      <c r="O247" s="468"/>
      <c r="P247" s="468"/>
      <c r="Q247" s="473"/>
      <c r="R247" s="477" t="str">
        <f>IF(AND(COUNTIF('Start Character'!$I$63:$M$77,"Twilight Prone")=1,NOT(ISERROR(FIND("Magical Botch",M247)))),"Yes",IF(P247&gt;1,"Yes","No"))</f>
        <v>No</v>
      </c>
      <c r="S247" s="501"/>
      <c r="T247" s="478"/>
      <c r="U247" s="501"/>
      <c r="V247" s="479" t="str">
        <f>IF(R247="No","No Twilight",IF(T247="Yes","Uncomprehended Twilight",IF((Character!$B$14+IF(Character!$B$53="Yes",0,Character!$B$53)+IF(Magic!$C$5="Yes",2,0)+ROUNDUP((Magic!$B$30+IF(Magic!$C$30="Yes",3,0))/5,0)+S247)&gt;=($D$3+P247+SUMIF(Character!$I$62:$I$66,"Enigmatic Wisdom",Character!$J$62:$J$66)+Q247+U247),"No Twilight","Twilight")))</f>
        <v>No Twilight</v>
      </c>
      <c r="W247" s="483"/>
      <c r="X247" s="478"/>
      <c r="Y247" s="484"/>
      <c r="Z247" s="478"/>
      <c r="AA247" s="485" t="str">
        <f>IF(V247="Uncomprehended Twilight","Failed",IF(OR(ISBLANK(W247),ISBLANK(Y247))," ",IF(NOT(ISBLANK(X247)),"Failed",IF((W247+Character!$B$9+SUMIF(Character!$I$62:$I$66,"Enigmatic Wisdom",Character!$J$62:$J$66))&gt;=IF(Z247="Yes",0,(Y247+D242)),"Succeeded","Failed"))))</f>
        <v xml:space="preserve"> </v>
      </c>
      <c r="AB247" s="477" t="str">
        <f>IF(AA247=" "," ",IF(NOT(ISBLANK(X247)),VLOOKUP($D$3+X247,Calcs!$A$110:$C$122,3,TRUE),IF(AA247="Failed",VLOOKUP($D$3,Calcs!$A$110:$C$122,3,TRUE),VLOOKUP($D$3-(IF((Character!$B$9+W247)&gt;($D$3+Y247),(Character!$B$9+W247)-($D$3+Y247),0)),Calcs!$A$110:$C$122,3,TRUE))))</f>
        <v xml:space="preserve"> </v>
      </c>
      <c r="AC247" s="489"/>
      <c r="AD247" s="489" t="str">
        <f>IF(IF(AA247=" "," ",IF(NOT(ISBLANK(X247)),VLOOKUP($D$3+X247,Calcs!$A$110:$B$122,2,TRUE),IF(AA247="Failed",VLOOKUP($D$3,Calcs!$A$110:$B$122,2,TRUE),VLOOKUP($D$3-(IF((Character!$B$9+W247)&gt;($D$3+Y247),(Character!$B$9+W247)-($D$3+Y247),0)),Calcs!$A$110:$B$122,2,TRUE))))=Calcs!$B$120,IF(ISBLANK(AC247)," ",CONCATENATE(AC247+7," Years")),IF(AA247=" "," ",IF(NOT(ISBLANK(X247)),VLOOKUP($D$3+X247,Calcs!$A$110:$B$122,2,TRUE),IF(AA247="Failed",VLOOKUP($D$3,Calcs!$A$110:$B$122,2,TRUE),VLOOKUP($D$3-(IF((Character!$B$9+W247)&gt;($D$3+Y247),(Character!$B$9+W247)-($D$3+Y247),0)),Calcs!$A$110:$B$122,2,TRUE)))))</f>
        <v xml:space="preserve"> </v>
      </c>
      <c r="AE247" s="490"/>
      <c r="AF247" s="879"/>
      <c r="AG247" s="491"/>
    </row>
    <row r="248" spans="1:33" x14ac:dyDescent="0.2">
      <c r="A248" s="415">
        <f t="shared" si="6"/>
        <v>1272</v>
      </c>
      <c r="B248" s="419" t="str">
        <f t="shared" si="7"/>
        <v>Winter</v>
      </c>
      <c r="C248" s="455"/>
      <c r="D248" s="504"/>
      <c r="E248" s="455"/>
      <c r="F248" s="504"/>
      <c r="G248" s="455"/>
      <c r="H248" s="504"/>
      <c r="I248" s="455"/>
      <c r="J248" s="504"/>
      <c r="L248" s="472"/>
      <c r="M248" s="468"/>
      <c r="N248" s="468"/>
      <c r="O248" s="468"/>
      <c r="P248" s="468"/>
      <c r="Q248" s="473"/>
      <c r="R248" s="477" t="str">
        <f>IF(AND(COUNTIF('Start Character'!$I$63:$M$77,"Twilight Prone")=1,NOT(ISERROR(FIND("Magical Botch",M248)))),"Yes",IF(P248&gt;1,"Yes","No"))</f>
        <v>No</v>
      </c>
      <c r="S248" s="501"/>
      <c r="T248" s="478"/>
      <c r="U248" s="501"/>
      <c r="V248" s="479" t="str">
        <f>IF(R248="No","No Twilight",IF(T248="Yes","Uncomprehended Twilight",IF((Character!$B$14+IF(Character!$B$53="Yes",0,Character!$B$53)+IF(Magic!$C$5="Yes",2,0)+ROUNDUP((Magic!$B$30+IF(Magic!$C$30="Yes",3,0))/5,0)+S248)&gt;=($D$3+P248+SUMIF(Character!$I$62:$I$66,"Enigmatic Wisdom",Character!$J$62:$J$66)+Q248+U248),"No Twilight","Twilight")))</f>
        <v>No Twilight</v>
      </c>
      <c r="W248" s="483"/>
      <c r="X248" s="478"/>
      <c r="Y248" s="484"/>
      <c r="Z248" s="478"/>
      <c r="AA248" s="485" t="str">
        <f>IF(V248="Uncomprehended Twilight","Failed",IF(OR(ISBLANK(W248),ISBLANK(Y248))," ",IF(NOT(ISBLANK(X248)),"Failed",IF((W248+Character!$B$9+SUMIF(Character!$I$62:$I$66,"Enigmatic Wisdom",Character!$J$62:$J$66))&gt;=IF(Z248="Yes",0,(Y248+D243)),"Succeeded","Failed"))))</f>
        <v xml:space="preserve"> </v>
      </c>
      <c r="AB248" s="477" t="str">
        <f>IF(AA248=" "," ",IF(NOT(ISBLANK(X248)),VLOOKUP($D$3+X248,Calcs!$A$110:$C$122,3,TRUE),IF(AA248="Failed",VLOOKUP($D$3,Calcs!$A$110:$C$122,3,TRUE),VLOOKUP($D$3-(IF((Character!$B$9+W248)&gt;($D$3+Y248),(Character!$B$9+W248)-($D$3+Y248),0)),Calcs!$A$110:$C$122,3,TRUE))))</f>
        <v xml:space="preserve"> </v>
      </c>
      <c r="AC248" s="489"/>
      <c r="AD248" s="489" t="str">
        <f>IF(IF(AA248=" "," ",IF(NOT(ISBLANK(X248)),VLOOKUP($D$3+X248,Calcs!$A$110:$B$122,2,TRUE),IF(AA248="Failed",VLOOKUP($D$3,Calcs!$A$110:$B$122,2,TRUE),VLOOKUP($D$3-(IF((Character!$B$9+W248)&gt;($D$3+Y248),(Character!$B$9+W248)-($D$3+Y248),0)),Calcs!$A$110:$B$122,2,TRUE))))=Calcs!$B$120,IF(ISBLANK(AC248)," ",CONCATENATE(AC248+7," Years")),IF(AA248=" "," ",IF(NOT(ISBLANK(X248)),VLOOKUP($D$3+X248,Calcs!$A$110:$B$122,2,TRUE),IF(AA248="Failed",VLOOKUP($D$3,Calcs!$A$110:$B$122,2,TRUE),VLOOKUP($D$3-(IF((Character!$B$9+W248)&gt;($D$3+Y248),(Character!$B$9+W248)-($D$3+Y248),0)),Calcs!$A$110:$B$122,2,TRUE)))))</f>
        <v xml:space="preserve"> </v>
      </c>
      <c r="AE248" s="490"/>
      <c r="AF248" s="879"/>
      <c r="AG248" s="491"/>
    </row>
    <row r="249" spans="1:33" x14ac:dyDescent="0.2">
      <c r="A249" s="415">
        <f t="shared" si="6"/>
        <v>1272</v>
      </c>
      <c r="B249" s="419" t="str">
        <f t="shared" si="7"/>
        <v>Spring</v>
      </c>
      <c r="C249" s="455"/>
      <c r="D249" s="504"/>
      <c r="E249" s="455"/>
      <c r="F249" s="504"/>
      <c r="G249" s="455"/>
      <c r="H249" s="504"/>
      <c r="I249" s="455"/>
      <c r="J249" s="504"/>
      <c r="L249" s="472"/>
      <c r="M249" s="468"/>
      <c r="N249" s="468"/>
      <c r="O249" s="468"/>
      <c r="P249" s="468"/>
      <c r="Q249" s="473"/>
      <c r="R249" s="477" t="str">
        <f>IF(AND(COUNTIF('Start Character'!$I$63:$M$77,"Twilight Prone")=1,NOT(ISERROR(FIND("Magical Botch",M249)))),"Yes",IF(P249&gt;1,"Yes","No"))</f>
        <v>No</v>
      </c>
      <c r="S249" s="501"/>
      <c r="T249" s="478"/>
      <c r="U249" s="501"/>
      <c r="V249" s="479" t="str">
        <f>IF(R249="No","No Twilight",IF(T249="Yes","Uncomprehended Twilight",IF((Character!$B$14+IF(Character!$B$53="Yes",0,Character!$B$53)+IF(Magic!$C$5="Yes",2,0)+ROUNDUP((Magic!$B$30+IF(Magic!$C$30="Yes",3,0))/5,0)+S249)&gt;=($D$3+P249+SUMIF(Character!$I$62:$I$66,"Enigmatic Wisdom",Character!$J$62:$J$66)+Q249+U249),"No Twilight","Twilight")))</f>
        <v>No Twilight</v>
      </c>
      <c r="W249" s="483"/>
      <c r="X249" s="478"/>
      <c r="Y249" s="484"/>
      <c r="Z249" s="478"/>
      <c r="AA249" s="485" t="str">
        <f>IF(V249="Uncomprehended Twilight","Failed",IF(OR(ISBLANK(W249),ISBLANK(Y249))," ",IF(NOT(ISBLANK(X249)),"Failed",IF((W249+Character!$B$9+SUMIF(Character!$I$62:$I$66,"Enigmatic Wisdom",Character!$J$62:$J$66))&gt;=IF(Z249="Yes",0,(Y249+D244)),"Succeeded","Failed"))))</f>
        <v xml:space="preserve"> </v>
      </c>
      <c r="AB249" s="477" t="str">
        <f>IF(AA249=" "," ",IF(NOT(ISBLANK(X249)),VLOOKUP($D$3+X249,Calcs!$A$110:$C$122,3,TRUE),IF(AA249="Failed",VLOOKUP($D$3,Calcs!$A$110:$C$122,3,TRUE),VLOOKUP($D$3-(IF((Character!$B$9+W249)&gt;($D$3+Y249),(Character!$B$9+W249)-($D$3+Y249),0)),Calcs!$A$110:$C$122,3,TRUE))))</f>
        <v xml:space="preserve"> </v>
      </c>
      <c r="AC249" s="489"/>
      <c r="AD249" s="489" t="str">
        <f>IF(IF(AA249=" "," ",IF(NOT(ISBLANK(X249)),VLOOKUP($D$3+X249,Calcs!$A$110:$B$122,2,TRUE),IF(AA249="Failed",VLOOKUP($D$3,Calcs!$A$110:$B$122,2,TRUE),VLOOKUP($D$3-(IF((Character!$B$9+W249)&gt;($D$3+Y249),(Character!$B$9+W249)-($D$3+Y249),0)),Calcs!$A$110:$B$122,2,TRUE))))=Calcs!$B$120,IF(ISBLANK(AC249)," ",CONCATENATE(AC249+7," Years")),IF(AA249=" "," ",IF(NOT(ISBLANK(X249)),VLOOKUP($D$3+X249,Calcs!$A$110:$B$122,2,TRUE),IF(AA249="Failed",VLOOKUP($D$3,Calcs!$A$110:$B$122,2,TRUE),VLOOKUP($D$3-(IF((Character!$B$9+W249)&gt;($D$3+Y249),(Character!$B$9+W249)-($D$3+Y249),0)),Calcs!$A$110:$B$122,2,TRUE)))))</f>
        <v xml:space="preserve"> </v>
      </c>
      <c r="AE249" s="490"/>
      <c r="AF249" s="879"/>
      <c r="AG249" s="491"/>
    </row>
    <row r="250" spans="1:33" x14ac:dyDescent="0.2">
      <c r="A250" s="415">
        <f t="shared" si="6"/>
        <v>1272</v>
      </c>
      <c r="B250" s="419" t="str">
        <f t="shared" si="7"/>
        <v>Summer</v>
      </c>
      <c r="C250" s="455"/>
      <c r="D250" s="504"/>
      <c r="E250" s="455"/>
      <c r="F250" s="504"/>
      <c r="G250" s="455"/>
      <c r="H250" s="504"/>
      <c r="I250" s="455"/>
      <c r="J250" s="504"/>
      <c r="L250" s="472"/>
      <c r="M250" s="468"/>
      <c r="N250" s="468"/>
      <c r="O250" s="468"/>
      <c r="P250" s="468"/>
      <c r="Q250" s="473"/>
      <c r="R250" s="477" t="str">
        <f>IF(AND(COUNTIF('Start Character'!$I$63:$M$77,"Twilight Prone")=1,NOT(ISERROR(FIND("Magical Botch",M250)))),"Yes",IF(P250&gt;1,"Yes","No"))</f>
        <v>No</v>
      </c>
      <c r="S250" s="501"/>
      <c r="T250" s="478"/>
      <c r="U250" s="501"/>
      <c r="V250" s="479" t="str">
        <f>IF(R250="No","No Twilight",IF(T250="Yes","Uncomprehended Twilight",IF((Character!$B$14+IF(Character!$B$53="Yes",0,Character!$B$53)+IF(Magic!$C$5="Yes",2,0)+ROUNDUP((Magic!$B$30+IF(Magic!$C$30="Yes",3,0))/5,0)+S250)&gt;=($D$3+P250+SUMIF(Character!$I$62:$I$66,"Enigmatic Wisdom",Character!$J$62:$J$66)+Q250+U250),"No Twilight","Twilight")))</f>
        <v>No Twilight</v>
      </c>
      <c r="W250" s="483"/>
      <c r="X250" s="478"/>
      <c r="Y250" s="484"/>
      <c r="Z250" s="478"/>
      <c r="AA250" s="485" t="str">
        <f>IF(V250="Uncomprehended Twilight","Failed",IF(OR(ISBLANK(W250),ISBLANK(Y250))," ",IF(NOT(ISBLANK(X250)),"Failed",IF((W250+Character!$B$9+SUMIF(Character!$I$62:$I$66,"Enigmatic Wisdom",Character!$J$62:$J$66))&gt;=IF(Z250="Yes",0,(Y250+D245)),"Succeeded","Failed"))))</f>
        <v xml:space="preserve"> </v>
      </c>
      <c r="AB250" s="477" t="str">
        <f>IF(AA250=" "," ",IF(NOT(ISBLANK(X250)),VLOOKUP($D$3+X250,Calcs!$A$110:$C$122,3,TRUE),IF(AA250="Failed",VLOOKUP($D$3,Calcs!$A$110:$C$122,3,TRUE),VLOOKUP($D$3-(IF((Character!$B$9+W250)&gt;($D$3+Y250),(Character!$B$9+W250)-($D$3+Y250),0)),Calcs!$A$110:$C$122,3,TRUE))))</f>
        <v xml:space="preserve"> </v>
      </c>
      <c r="AC250" s="489"/>
      <c r="AD250" s="489" t="str">
        <f>IF(IF(AA250=" "," ",IF(NOT(ISBLANK(X250)),VLOOKUP($D$3+X250,Calcs!$A$110:$B$122,2,TRUE),IF(AA250="Failed",VLOOKUP($D$3,Calcs!$A$110:$B$122,2,TRUE),VLOOKUP($D$3-(IF((Character!$B$9+W250)&gt;($D$3+Y250),(Character!$B$9+W250)-($D$3+Y250),0)),Calcs!$A$110:$B$122,2,TRUE))))=Calcs!$B$120,IF(ISBLANK(AC250)," ",CONCATENATE(AC250+7," Years")),IF(AA250=" "," ",IF(NOT(ISBLANK(X250)),VLOOKUP($D$3+X250,Calcs!$A$110:$B$122,2,TRUE),IF(AA250="Failed",VLOOKUP($D$3,Calcs!$A$110:$B$122,2,TRUE),VLOOKUP($D$3-(IF((Character!$B$9+W250)&gt;($D$3+Y250),(Character!$B$9+W250)-($D$3+Y250),0)),Calcs!$A$110:$B$122,2,TRUE)))))</f>
        <v xml:space="preserve"> </v>
      </c>
      <c r="AE250" s="490"/>
      <c r="AF250" s="879"/>
      <c r="AG250" s="491"/>
    </row>
    <row r="251" spans="1:33" x14ac:dyDescent="0.2">
      <c r="A251" s="415">
        <f t="shared" si="6"/>
        <v>1272</v>
      </c>
      <c r="B251" s="419" t="str">
        <f t="shared" si="7"/>
        <v>Autumn</v>
      </c>
      <c r="C251" s="455"/>
      <c r="D251" s="504"/>
      <c r="E251" s="455"/>
      <c r="F251" s="504"/>
      <c r="G251" s="455"/>
      <c r="H251" s="504"/>
      <c r="I251" s="455"/>
      <c r="J251" s="504"/>
      <c r="L251" s="472"/>
      <c r="M251" s="468"/>
      <c r="N251" s="468"/>
      <c r="O251" s="468"/>
      <c r="P251" s="468"/>
      <c r="Q251" s="473"/>
      <c r="R251" s="477" t="str">
        <f>IF(AND(COUNTIF('Start Character'!$I$63:$M$77,"Twilight Prone")=1,NOT(ISERROR(FIND("Magical Botch",M251)))),"Yes",IF(P251&gt;1,"Yes","No"))</f>
        <v>No</v>
      </c>
      <c r="S251" s="501"/>
      <c r="T251" s="478"/>
      <c r="U251" s="501"/>
      <c r="V251" s="479" t="str">
        <f>IF(R251="No","No Twilight",IF(T251="Yes","Uncomprehended Twilight",IF((Character!$B$14+IF(Character!$B$53="Yes",0,Character!$B$53)+IF(Magic!$C$5="Yes",2,0)+ROUNDUP((Magic!$B$30+IF(Magic!$C$30="Yes",3,0))/5,0)+S251)&gt;=($D$3+P251+SUMIF(Character!$I$62:$I$66,"Enigmatic Wisdom",Character!$J$62:$J$66)+Q251+U251),"No Twilight","Twilight")))</f>
        <v>No Twilight</v>
      </c>
      <c r="W251" s="483"/>
      <c r="X251" s="478"/>
      <c r="Y251" s="484"/>
      <c r="Z251" s="478"/>
      <c r="AA251" s="485" t="str">
        <f>IF(V251="Uncomprehended Twilight","Failed",IF(OR(ISBLANK(W251),ISBLANK(Y251))," ",IF(NOT(ISBLANK(X251)),"Failed",IF((W251+Character!$B$9+SUMIF(Character!$I$62:$I$66,"Enigmatic Wisdom",Character!$J$62:$J$66))&gt;=IF(Z251="Yes",0,(Y251+D246)),"Succeeded","Failed"))))</f>
        <v xml:space="preserve"> </v>
      </c>
      <c r="AB251" s="477" t="str">
        <f>IF(AA251=" "," ",IF(NOT(ISBLANK(X251)),VLOOKUP($D$3+X251,Calcs!$A$110:$C$122,3,TRUE),IF(AA251="Failed",VLOOKUP($D$3,Calcs!$A$110:$C$122,3,TRUE),VLOOKUP($D$3-(IF((Character!$B$9+W251)&gt;($D$3+Y251),(Character!$B$9+W251)-($D$3+Y251),0)),Calcs!$A$110:$C$122,3,TRUE))))</f>
        <v xml:space="preserve"> </v>
      </c>
      <c r="AC251" s="489"/>
      <c r="AD251" s="489" t="str">
        <f>IF(IF(AA251=" "," ",IF(NOT(ISBLANK(X251)),VLOOKUP($D$3+X251,Calcs!$A$110:$B$122,2,TRUE),IF(AA251="Failed",VLOOKUP($D$3,Calcs!$A$110:$B$122,2,TRUE),VLOOKUP($D$3-(IF((Character!$B$9+W251)&gt;($D$3+Y251),(Character!$B$9+W251)-($D$3+Y251),0)),Calcs!$A$110:$B$122,2,TRUE))))=Calcs!$B$120,IF(ISBLANK(AC251)," ",CONCATENATE(AC251+7," Years")),IF(AA251=" "," ",IF(NOT(ISBLANK(X251)),VLOOKUP($D$3+X251,Calcs!$A$110:$B$122,2,TRUE),IF(AA251="Failed",VLOOKUP($D$3,Calcs!$A$110:$B$122,2,TRUE),VLOOKUP($D$3-(IF((Character!$B$9+W251)&gt;($D$3+Y251),(Character!$B$9+W251)-($D$3+Y251),0)),Calcs!$A$110:$B$122,2,TRUE)))))</f>
        <v xml:space="preserve"> </v>
      </c>
      <c r="AE251" s="490"/>
      <c r="AF251" s="879"/>
      <c r="AG251" s="491"/>
    </row>
    <row r="252" spans="1:33" x14ac:dyDescent="0.2">
      <c r="A252" s="415">
        <f t="shared" si="6"/>
        <v>1273</v>
      </c>
      <c r="B252" s="419" t="str">
        <f t="shared" si="7"/>
        <v>Winter</v>
      </c>
      <c r="C252" s="455"/>
      <c r="D252" s="504"/>
      <c r="E252" s="455"/>
      <c r="F252" s="504"/>
      <c r="G252" s="455"/>
      <c r="H252" s="504"/>
      <c r="I252" s="455"/>
      <c r="J252" s="504"/>
      <c r="L252" s="472"/>
      <c r="M252" s="468"/>
      <c r="N252" s="468"/>
      <c r="O252" s="468"/>
      <c r="P252" s="468"/>
      <c r="Q252" s="473"/>
      <c r="R252" s="477" t="str">
        <f>IF(AND(COUNTIF('Start Character'!$I$63:$M$77,"Twilight Prone")=1,NOT(ISERROR(FIND("Magical Botch",M252)))),"Yes",IF(P252&gt;1,"Yes","No"))</f>
        <v>No</v>
      </c>
      <c r="S252" s="501"/>
      <c r="T252" s="478"/>
      <c r="U252" s="501"/>
      <c r="V252" s="479" t="str">
        <f>IF(R252="No","No Twilight",IF(T252="Yes","Uncomprehended Twilight",IF((Character!$B$14+IF(Character!$B$53="Yes",0,Character!$B$53)+IF(Magic!$C$5="Yes",2,0)+ROUNDUP((Magic!$B$30+IF(Magic!$C$30="Yes",3,0))/5,0)+S252)&gt;=($D$3+P252+SUMIF(Character!$I$62:$I$66,"Enigmatic Wisdom",Character!$J$62:$J$66)+Q252+U252),"No Twilight","Twilight")))</f>
        <v>No Twilight</v>
      </c>
      <c r="W252" s="483"/>
      <c r="X252" s="478"/>
      <c r="Y252" s="484"/>
      <c r="Z252" s="478"/>
      <c r="AA252" s="485" t="str">
        <f>IF(V252="Uncomprehended Twilight","Failed",IF(OR(ISBLANK(W252),ISBLANK(Y252))," ",IF(NOT(ISBLANK(X252)),"Failed",IF((W252+Character!$B$9+SUMIF(Character!$I$62:$I$66,"Enigmatic Wisdom",Character!$J$62:$J$66))&gt;=IF(Z252="Yes",0,(Y252+D247)),"Succeeded","Failed"))))</f>
        <v xml:space="preserve"> </v>
      </c>
      <c r="AB252" s="477" t="str">
        <f>IF(AA252=" "," ",IF(NOT(ISBLANK(X252)),VLOOKUP($D$3+X252,Calcs!$A$110:$C$122,3,TRUE),IF(AA252="Failed",VLOOKUP($D$3,Calcs!$A$110:$C$122,3,TRUE),VLOOKUP($D$3-(IF((Character!$B$9+W252)&gt;($D$3+Y252),(Character!$B$9+W252)-($D$3+Y252),0)),Calcs!$A$110:$C$122,3,TRUE))))</f>
        <v xml:space="preserve"> </v>
      </c>
      <c r="AC252" s="489"/>
      <c r="AD252" s="489" t="str">
        <f>IF(IF(AA252=" "," ",IF(NOT(ISBLANK(X252)),VLOOKUP($D$3+X252,Calcs!$A$110:$B$122,2,TRUE),IF(AA252="Failed",VLOOKUP($D$3,Calcs!$A$110:$B$122,2,TRUE),VLOOKUP($D$3-(IF((Character!$B$9+W252)&gt;($D$3+Y252),(Character!$B$9+W252)-($D$3+Y252),0)),Calcs!$A$110:$B$122,2,TRUE))))=Calcs!$B$120,IF(ISBLANK(AC252)," ",CONCATENATE(AC252+7," Years")),IF(AA252=" "," ",IF(NOT(ISBLANK(X252)),VLOOKUP($D$3+X252,Calcs!$A$110:$B$122,2,TRUE),IF(AA252="Failed",VLOOKUP($D$3,Calcs!$A$110:$B$122,2,TRUE),VLOOKUP($D$3-(IF((Character!$B$9+W252)&gt;($D$3+Y252),(Character!$B$9+W252)-($D$3+Y252),0)),Calcs!$A$110:$B$122,2,TRUE)))))</f>
        <v xml:space="preserve"> </v>
      </c>
      <c r="AE252" s="490"/>
      <c r="AF252" s="879"/>
      <c r="AG252" s="491"/>
    </row>
    <row r="253" spans="1:33" x14ac:dyDescent="0.2">
      <c r="A253" s="415">
        <f t="shared" si="6"/>
        <v>1273</v>
      </c>
      <c r="B253" s="419" t="str">
        <f t="shared" si="7"/>
        <v>Spring</v>
      </c>
      <c r="C253" s="455"/>
      <c r="D253" s="504"/>
      <c r="E253" s="455"/>
      <c r="F253" s="504"/>
      <c r="G253" s="455"/>
      <c r="H253" s="504"/>
      <c r="I253" s="455"/>
      <c r="J253" s="504"/>
      <c r="L253" s="472"/>
      <c r="M253" s="468"/>
      <c r="N253" s="468"/>
      <c r="O253" s="468"/>
      <c r="P253" s="468"/>
      <c r="Q253" s="473"/>
      <c r="R253" s="477" t="str">
        <f>IF(AND(COUNTIF('Start Character'!$I$63:$M$77,"Twilight Prone")=1,NOT(ISERROR(FIND("Magical Botch",M253)))),"Yes",IF(P253&gt;1,"Yes","No"))</f>
        <v>No</v>
      </c>
      <c r="S253" s="501"/>
      <c r="T253" s="478"/>
      <c r="U253" s="501"/>
      <c r="V253" s="479" t="str">
        <f>IF(R253="No","No Twilight",IF(T253="Yes","Uncomprehended Twilight",IF((Character!$B$14+IF(Character!$B$53="Yes",0,Character!$B$53)+IF(Magic!$C$5="Yes",2,0)+ROUNDUP((Magic!$B$30+IF(Magic!$C$30="Yes",3,0))/5,0)+S253)&gt;=($D$3+P253+SUMIF(Character!$I$62:$I$66,"Enigmatic Wisdom",Character!$J$62:$J$66)+Q253+U253),"No Twilight","Twilight")))</f>
        <v>No Twilight</v>
      </c>
      <c r="W253" s="483"/>
      <c r="X253" s="478"/>
      <c r="Y253" s="484"/>
      <c r="Z253" s="478"/>
      <c r="AA253" s="485" t="str">
        <f>IF(V253="Uncomprehended Twilight","Failed",IF(OR(ISBLANK(W253),ISBLANK(Y253))," ",IF(NOT(ISBLANK(X253)),"Failed",IF((W253+Character!$B$9+SUMIF(Character!$I$62:$I$66,"Enigmatic Wisdom",Character!$J$62:$J$66))&gt;=IF(Z253="Yes",0,(Y253+D248)),"Succeeded","Failed"))))</f>
        <v xml:space="preserve"> </v>
      </c>
      <c r="AB253" s="477" t="str">
        <f>IF(AA253=" "," ",IF(NOT(ISBLANK(X253)),VLOOKUP($D$3+X253,Calcs!$A$110:$C$122,3,TRUE),IF(AA253="Failed",VLOOKUP($D$3,Calcs!$A$110:$C$122,3,TRUE),VLOOKUP($D$3-(IF((Character!$B$9+W253)&gt;($D$3+Y253),(Character!$B$9+W253)-($D$3+Y253),0)),Calcs!$A$110:$C$122,3,TRUE))))</f>
        <v xml:space="preserve"> </v>
      </c>
      <c r="AC253" s="489"/>
      <c r="AD253" s="489" t="str">
        <f>IF(IF(AA253=" "," ",IF(NOT(ISBLANK(X253)),VLOOKUP($D$3+X253,Calcs!$A$110:$B$122,2,TRUE),IF(AA253="Failed",VLOOKUP($D$3,Calcs!$A$110:$B$122,2,TRUE),VLOOKUP($D$3-(IF((Character!$B$9+W253)&gt;($D$3+Y253),(Character!$B$9+W253)-($D$3+Y253),0)),Calcs!$A$110:$B$122,2,TRUE))))=Calcs!$B$120,IF(ISBLANK(AC253)," ",CONCATENATE(AC253+7," Years")),IF(AA253=" "," ",IF(NOT(ISBLANK(X253)),VLOOKUP($D$3+X253,Calcs!$A$110:$B$122,2,TRUE),IF(AA253="Failed",VLOOKUP($D$3,Calcs!$A$110:$B$122,2,TRUE),VLOOKUP($D$3-(IF((Character!$B$9+W253)&gt;($D$3+Y253),(Character!$B$9+W253)-($D$3+Y253),0)),Calcs!$A$110:$B$122,2,TRUE)))))</f>
        <v xml:space="preserve"> </v>
      </c>
      <c r="AE253" s="490"/>
      <c r="AF253" s="879"/>
      <c r="AG253" s="491"/>
    </row>
    <row r="254" spans="1:33" x14ac:dyDescent="0.2">
      <c r="A254" s="415">
        <f t="shared" si="6"/>
        <v>1273</v>
      </c>
      <c r="B254" s="419" t="str">
        <f t="shared" si="7"/>
        <v>Summer</v>
      </c>
      <c r="C254" s="455"/>
      <c r="D254" s="504"/>
      <c r="E254" s="455"/>
      <c r="F254" s="504"/>
      <c r="G254" s="455"/>
      <c r="H254" s="504"/>
      <c r="I254" s="455"/>
      <c r="J254" s="504"/>
      <c r="L254" s="472"/>
      <c r="M254" s="468"/>
      <c r="N254" s="468"/>
      <c r="O254" s="468"/>
      <c r="P254" s="468"/>
      <c r="Q254" s="473"/>
      <c r="R254" s="477" t="str">
        <f>IF(AND(COUNTIF('Start Character'!$I$63:$M$77,"Twilight Prone")=1,NOT(ISERROR(FIND("Magical Botch",M254)))),"Yes",IF(P254&gt;1,"Yes","No"))</f>
        <v>No</v>
      </c>
      <c r="S254" s="501"/>
      <c r="T254" s="478"/>
      <c r="U254" s="501"/>
      <c r="V254" s="479" t="str">
        <f>IF(R254="No","No Twilight",IF(T254="Yes","Uncomprehended Twilight",IF((Character!$B$14+IF(Character!$B$53="Yes",0,Character!$B$53)+IF(Magic!$C$5="Yes",2,0)+ROUNDUP((Magic!$B$30+IF(Magic!$C$30="Yes",3,0))/5,0)+S254)&gt;=($D$3+P254+SUMIF(Character!$I$62:$I$66,"Enigmatic Wisdom",Character!$J$62:$J$66)+Q254+U254),"No Twilight","Twilight")))</f>
        <v>No Twilight</v>
      </c>
      <c r="W254" s="483"/>
      <c r="X254" s="478"/>
      <c r="Y254" s="484"/>
      <c r="Z254" s="478"/>
      <c r="AA254" s="485" t="str">
        <f>IF(V254="Uncomprehended Twilight","Failed",IF(OR(ISBLANK(W254),ISBLANK(Y254))," ",IF(NOT(ISBLANK(X254)),"Failed",IF((W254+Character!$B$9+SUMIF(Character!$I$62:$I$66,"Enigmatic Wisdom",Character!$J$62:$J$66))&gt;=IF(Z254="Yes",0,(Y254+D249)),"Succeeded","Failed"))))</f>
        <v xml:space="preserve"> </v>
      </c>
      <c r="AB254" s="477" t="str">
        <f>IF(AA254=" "," ",IF(NOT(ISBLANK(X254)),VLOOKUP($D$3+X254,Calcs!$A$110:$C$122,3,TRUE),IF(AA254="Failed",VLOOKUP($D$3,Calcs!$A$110:$C$122,3,TRUE),VLOOKUP($D$3-(IF((Character!$B$9+W254)&gt;($D$3+Y254),(Character!$B$9+W254)-($D$3+Y254),0)),Calcs!$A$110:$C$122,3,TRUE))))</f>
        <v xml:space="preserve"> </v>
      </c>
      <c r="AC254" s="489"/>
      <c r="AD254" s="489" t="str">
        <f>IF(IF(AA254=" "," ",IF(NOT(ISBLANK(X254)),VLOOKUP($D$3+X254,Calcs!$A$110:$B$122,2,TRUE),IF(AA254="Failed",VLOOKUP($D$3,Calcs!$A$110:$B$122,2,TRUE),VLOOKUP($D$3-(IF((Character!$B$9+W254)&gt;($D$3+Y254),(Character!$B$9+W254)-($D$3+Y254),0)),Calcs!$A$110:$B$122,2,TRUE))))=Calcs!$B$120,IF(ISBLANK(AC254)," ",CONCATENATE(AC254+7," Years")),IF(AA254=" "," ",IF(NOT(ISBLANK(X254)),VLOOKUP($D$3+X254,Calcs!$A$110:$B$122,2,TRUE),IF(AA254="Failed",VLOOKUP($D$3,Calcs!$A$110:$B$122,2,TRUE),VLOOKUP($D$3-(IF((Character!$B$9+W254)&gt;($D$3+Y254),(Character!$B$9+W254)-($D$3+Y254),0)),Calcs!$A$110:$B$122,2,TRUE)))))</f>
        <v xml:space="preserve"> </v>
      </c>
      <c r="AE254" s="490"/>
      <c r="AF254" s="879"/>
      <c r="AG254" s="491"/>
    </row>
    <row r="255" spans="1:33" x14ac:dyDescent="0.2">
      <c r="A255" s="415">
        <f t="shared" si="6"/>
        <v>1273</v>
      </c>
      <c r="B255" s="419" t="str">
        <f t="shared" si="7"/>
        <v>Autumn</v>
      </c>
      <c r="C255" s="455"/>
      <c r="D255" s="504"/>
      <c r="E255" s="455"/>
      <c r="F255" s="504"/>
      <c r="G255" s="455"/>
      <c r="H255" s="504"/>
      <c r="I255" s="455"/>
      <c r="J255" s="504"/>
      <c r="L255" s="472"/>
      <c r="M255" s="468"/>
      <c r="N255" s="468"/>
      <c r="O255" s="468"/>
      <c r="P255" s="468"/>
      <c r="Q255" s="473"/>
      <c r="R255" s="477" t="str">
        <f>IF(AND(COUNTIF('Start Character'!$I$63:$M$77,"Twilight Prone")=1,NOT(ISERROR(FIND("Magical Botch",M255)))),"Yes",IF(P255&gt;1,"Yes","No"))</f>
        <v>No</v>
      </c>
      <c r="S255" s="501"/>
      <c r="T255" s="478"/>
      <c r="U255" s="501"/>
      <c r="V255" s="479" t="str">
        <f>IF(R255="No","No Twilight",IF(T255="Yes","Uncomprehended Twilight",IF((Character!$B$14+IF(Character!$B$53="Yes",0,Character!$B$53)+IF(Magic!$C$5="Yes",2,0)+ROUNDUP((Magic!$B$30+IF(Magic!$C$30="Yes",3,0))/5,0)+S255)&gt;=($D$3+P255+SUMIF(Character!$I$62:$I$66,"Enigmatic Wisdom",Character!$J$62:$J$66)+Q255+U255),"No Twilight","Twilight")))</f>
        <v>No Twilight</v>
      </c>
      <c r="W255" s="483"/>
      <c r="X255" s="478"/>
      <c r="Y255" s="484"/>
      <c r="Z255" s="478"/>
      <c r="AA255" s="485" t="str">
        <f>IF(V255="Uncomprehended Twilight","Failed",IF(OR(ISBLANK(W255),ISBLANK(Y255))," ",IF(NOT(ISBLANK(X255)),"Failed",IF((W255+Character!$B$9+SUMIF(Character!$I$62:$I$66,"Enigmatic Wisdom",Character!$J$62:$J$66))&gt;=IF(Z255="Yes",0,(Y255+D250)),"Succeeded","Failed"))))</f>
        <v xml:space="preserve"> </v>
      </c>
      <c r="AB255" s="477" t="str">
        <f>IF(AA255=" "," ",IF(NOT(ISBLANK(X255)),VLOOKUP($D$3+X255,Calcs!$A$110:$C$122,3,TRUE),IF(AA255="Failed",VLOOKUP($D$3,Calcs!$A$110:$C$122,3,TRUE),VLOOKUP($D$3-(IF((Character!$B$9+W255)&gt;($D$3+Y255),(Character!$B$9+W255)-($D$3+Y255),0)),Calcs!$A$110:$C$122,3,TRUE))))</f>
        <v xml:space="preserve"> </v>
      </c>
      <c r="AC255" s="489"/>
      <c r="AD255" s="489" t="str">
        <f>IF(IF(AA255=" "," ",IF(NOT(ISBLANK(X255)),VLOOKUP($D$3+X255,Calcs!$A$110:$B$122,2,TRUE),IF(AA255="Failed",VLOOKUP($D$3,Calcs!$A$110:$B$122,2,TRUE),VLOOKUP($D$3-(IF((Character!$B$9+W255)&gt;($D$3+Y255),(Character!$B$9+W255)-($D$3+Y255),0)),Calcs!$A$110:$B$122,2,TRUE))))=Calcs!$B$120,IF(ISBLANK(AC255)," ",CONCATENATE(AC255+7," Years")),IF(AA255=" "," ",IF(NOT(ISBLANK(X255)),VLOOKUP($D$3+X255,Calcs!$A$110:$B$122,2,TRUE),IF(AA255="Failed",VLOOKUP($D$3,Calcs!$A$110:$B$122,2,TRUE),VLOOKUP($D$3-(IF((Character!$B$9+W255)&gt;($D$3+Y255),(Character!$B$9+W255)-($D$3+Y255),0)),Calcs!$A$110:$B$122,2,TRUE)))))</f>
        <v xml:space="preserve"> </v>
      </c>
      <c r="AE255" s="490"/>
      <c r="AF255" s="879"/>
      <c r="AG255" s="491"/>
    </row>
    <row r="256" spans="1:33" x14ac:dyDescent="0.2">
      <c r="A256" s="415">
        <f t="shared" si="6"/>
        <v>1274</v>
      </c>
      <c r="B256" s="419" t="str">
        <f t="shared" si="7"/>
        <v>Winter</v>
      </c>
      <c r="C256" s="455"/>
      <c r="D256" s="504"/>
      <c r="E256" s="455"/>
      <c r="F256" s="504"/>
      <c r="G256" s="455"/>
      <c r="H256" s="504"/>
      <c r="I256" s="455"/>
      <c r="J256" s="504"/>
      <c r="L256" s="472"/>
      <c r="M256" s="468"/>
      <c r="N256" s="468"/>
      <c r="O256" s="468"/>
      <c r="P256" s="468"/>
      <c r="Q256" s="473"/>
      <c r="R256" s="477" t="str">
        <f>IF(AND(COUNTIF('Start Character'!$I$63:$M$77,"Twilight Prone")=1,NOT(ISERROR(FIND("Magical Botch",M256)))),"Yes",IF(P256&gt;1,"Yes","No"))</f>
        <v>No</v>
      </c>
      <c r="S256" s="501"/>
      <c r="T256" s="478"/>
      <c r="U256" s="501"/>
      <c r="V256" s="479" t="str">
        <f>IF(R256="No","No Twilight",IF(T256="Yes","Uncomprehended Twilight",IF((Character!$B$14+IF(Character!$B$53="Yes",0,Character!$B$53)+IF(Magic!$C$5="Yes",2,0)+ROUNDUP((Magic!$B$30+IF(Magic!$C$30="Yes",3,0))/5,0)+S256)&gt;=($D$3+P256+SUMIF(Character!$I$62:$I$66,"Enigmatic Wisdom",Character!$J$62:$J$66)+Q256+U256),"No Twilight","Twilight")))</f>
        <v>No Twilight</v>
      </c>
      <c r="W256" s="483"/>
      <c r="X256" s="478"/>
      <c r="Y256" s="484"/>
      <c r="Z256" s="478"/>
      <c r="AA256" s="485" t="str">
        <f>IF(V256="Uncomprehended Twilight","Failed",IF(OR(ISBLANK(W256),ISBLANK(Y256))," ",IF(NOT(ISBLANK(X256)),"Failed",IF((W256+Character!$B$9+SUMIF(Character!$I$62:$I$66,"Enigmatic Wisdom",Character!$J$62:$J$66))&gt;=IF(Z256="Yes",0,(Y256+D251)),"Succeeded","Failed"))))</f>
        <v xml:space="preserve"> </v>
      </c>
      <c r="AB256" s="477" t="str">
        <f>IF(AA256=" "," ",IF(NOT(ISBLANK(X256)),VLOOKUP($D$3+X256,Calcs!$A$110:$C$122,3,TRUE),IF(AA256="Failed",VLOOKUP($D$3,Calcs!$A$110:$C$122,3,TRUE),VLOOKUP($D$3-(IF((Character!$B$9+W256)&gt;($D$3+Y256),(Character!$B$9+W256)-($D$3+Y256),0)),Calcs!$A$110:$C$122,3,TRUE))))</f>
        <v xml:space="preserve"> </v>
      </c>
      <c r="AC256" s="489"/>
      <c r="AD256" s="489" t="str">
        <f>IF(IF(AA256=" "," ",IF(NOT(ISBLANK(X256)),VLOOKUP($D$3+X256,Calcs!$A$110:$B$122,2,TRUE),IF(AA256="Failed",VLOOKUP($D$3,Calcs!$A$110:$B$122,2,TRUE),VLOOKUP($D$3-(IF((Character!$B$9+W256)&gt;($D$3+Y256),(Character!$B$9+W256)-($D$3+Y256),0)),Calcs!$A$110:$B$122,2,TRUE))))=Calcs!$B$120,IF(ISBLANK(AC256)," ",CONCATENATE(AC256+7," Years")),IF(AA256=" "," ",IF(NOT(ISBLANK(X256)),VLOOKUP($D$3+X256,Calcs!$A$110:$B$122,2,TRUE),IF(AA256="Failed",VLOOKUP($D$3,Calcs!$A$110:$B$122,2,TRUE),VLOOKUP($D$3-(IF((Character!$B$9+W256)&gt;($D$3+Y256),(Character!$B$9+W256)-($D$3+Y256),0)),Calcs!$A$110:$B$122,2,TRUE)))))</f>
        <v xml:space="preserve"> </v>
      </c>
      <c r="AE256" s="490"/>
      <c r="AF256" s="879"/>
      <c r="AG256" s="491"/>
    </row>
    <row r="257" spans="1:33" x14ac:dyDescent="0.2">
      <c r="A257" s="415">
        <f t="shared" si="6"/>
        <v>1274</v>
      </c>
      <c r="B257" s="419" t="str">
        <f t="shared" si="7"/>
        <v>Spring</v>
      </c>
      <c r="C257" s="455"/>
      <c r="D257" s="504"/>
      <c r="E257" s="455"/>
      <c r="F257" s="504"/>
      <c r="G257" s="455"/>
      <c r="H257" s="504"/>
      <c r="I257" s="455"/>
      <c r="J257" s="504"/>
      <c r="L257" s="472"/>
      <c r="M257" s="468"/>
      <c r="N257" s="468"/>
      <c r="O257" s="468"/>
      <c r="P257" s="468"/>
      <c r="Q257" s="473"/>
      <c r="R257" s="477" t="str">
        <f>IF(AND(COUNTIF('Start Character'!$I$63:$M$77,"Twilight Prone")=1,NOT(ISERROR(FIND("Magical Botch",M257)))),"Yes",IF(P257&gt;1,"Yes","No"))</f>
        <v>No</v>
      </c>
      <c r="S257" s="501"/>
      <c r="T257" s="478"/>
      <c r="U257" s="501"/>
      <c r="V257" s="479" t="str">
        <f>IF(R257="No","No Twilight",IF(T257="Yes","Uncomprehended Twilight",IF((Character!$B$14+IF(Character!$B$53="Yes",0,Character!$B$53)+IF(Magic!$C$5="Yes",2,0)+ROUNDUP((Magic!$B$30+IF(Magic!$C$30="Yes",3,0))/5,0)+S257)&gt;=($D$3+P257+SUMIF(Character!$I$62:$I$66,"Enigmatic Wisdom",Character!$J$62:$J$66)+Q257+U257),"No Twilight","Twilight")))</f>
        <v>No Twilight</v>
      </c>
      <c r="W257" s="483"/>
      <c r="X257" s="478"/>
      <c r="Y257" s="484"/>
      <c r="Z257" s="478"/>
      <c r="AA257" s="485" t="str">
        <f>IF(V257="Uncomprehended Twilight","Failed",IF(OR(ISBLANK(W257),ISBLANK(Y257))," ",IF(NOT(ISBLANK(X257)),"Failed",IF((W257+Character!$B$9+SUMIF(Character!$I$62:$I$66,"Enigmatic Wisdom",Character!$J$62:$J$66))&gt;=IF(Z257="Yes",0,(Y257+D252)),"Succeeded","Failed"))))</f>
        <v xml:space="preserve"> </v>
      </c>
      <c r="AB257" s="477" t="str">
        <f>IF(AA257=" "," ",IF(NOT(ISBLANK(X257)),VLOOKUP($D$3+X257,Calcs!$A$110:$C$122,3,TRUE),IF(AA257="Failed",VLOOKUP($D$3,Calcs!$A$110:$C$122,3,TRUE),VLOOKUP($D$3-(IF((Character!$B$9+W257)&gt;($D$3+Y257),(Character!$B$9+W257)-($D$3+Y257),0)),Calcs!$A$110:$C$122,3,TRUE))))</f>
        <v xml:space="preserve"> </v>
      </c>
      <c r="AC257" s="489"/>
      <c r="AD257" s="489" t="str">
        <f>IF(IF(AA257=" "," ",IF(NOT(ISBLANK(X257)),VLOOKUP($D$3+X257,Calcs!$A$110:$B$122,2,TRUE),IF(AA257="Failed",VLOOKUP($D$3,Calcs!$A$110:$B$122,2,TRUE),VLOOKUP($D$3-(IF((Character!$B$9+W257)&gt;($D$3+Y257),(Character!$B$9+W257)-($D$3+Y257),0)),Calcs!$A$110:$B$122,2,TRUE))))=Calcs!$B$120,IF(ISBLANK(AC257)," ",CONCATENATE(AC257+7," Years")),IF(AA257=" "," ",IF(NOT(ISBLANK(X257)),VLOOKUP($D$3+X257,Calcs!$A$110:$B$122,2,TRUE),IF(AA257="Failed",VLOOKUP($D$3,Calcs!$A$110:$B$122,2,TRUE),VLOOKUP($D$3-(IF((Character!$B$9+W257)&gt;($D$3+Y257),(Character!$B$9+W257)-($D$3+Y257),0)),Calcs!$A$110:$B$122,2,TRUE)))))</f>
        <v xml:space="preserve"> </v>
      </c>
      <c r="AE257" s="490"/>
      <c r="AF257" s="879"/>
      <c r="AG257" s="491"/>
    </row>
    <row r="258" spans="1:33" x14ac:dyDescent="0.2">
      <c r="A258" s="415">
        <f t="shared" si="6"/>
        <v>1274</v>
      </c>
      <c r="B258" s="419" t="str">
        <f t="shared" si="7"/>
        <v>Summer</v>
      </c>
      <c r="C258" s="455"/>
      <c r="D258" s="504"/>
      <c r="E258" s="455"/>
      <c r="F258" s="504"/>
      <c r="G258" s="455"/>
      <c r="H258" s="504"/>
      <c r="I258" s="455"/>
      <c r="J258" s="504"/>
      <c r="L258" s="472"/>
      <c r="M258" s="468"/>
      <c r="N258" s="468"/>
      <c r="O258" s="468"/>
      <c r="P258" s="468"/>
      <c r="Q258" s="473"/>
      <c r="R258" s="477" t="str">
        <f>IF(AND(COUNTIF('Start Character'!$I$63:$M$77,"Twilight Prone")=1,NOT(ISERROR(FIND("Magical Botch",M258)))),"Yes",IF(P258&gt;1,"Yes","No"))</f>
        <v>No</v>
      </c>
      <c r="S258" s="501"/>
      <c r="T258" s="478"/>
      <c r="U258" s="501"/>
      <c r="V258" s="479" t="str">
        <f>IF(R258="No","No Twilight",IF(T258="Yes","Uncomprehended Twilight",IF((Character!$B$14+IF(Character!$B$53="Yes",0,Character!$B$53)+IF(Magic!$C$5="Yes",2,0)+ROUNDUP((Magic!$B$30+IF(Magic!$C$30="Yes",3,0))/5,0)+S258)&gt;=($D$3+P258+SUMIF(Character!$I$62:$I$66,"Enigmatic Wisdom",Character!$J$62:$J$66)+Q258+U258),"No Twilight","Twilight")))</f>
        <v>No Twilight</v>
      </c>
      <c r="W258" s="483"/>
      <c r="X258" s="478"/>
      <c r="Y258" s="484"/>
      <c r="Z258" s="478"/>
      <c r="AA258" s="485" t="str">
        <f>IF(V258="Uncomprehended Twilight","Failed",IF(OR(ISBLANK(W258),ISBLANK(Y258))," ",IF(NOT(ISBLANK(X258)),"Failed",IF((W258+Character!$B$9+SUMIF(Character!$I$62:$I$66,"Enigmatic Wisdom",Character!$J$62:$J$66))&gt;=IF(Z258="Yes",0,(Y258+D253)),"Succeeded","Failed"))))</f>
        <v xml:space="preserve"> </v>
      </c>
      <c r="AB258" s="477" t="str">
        <f>IF(AA258=" "," ",IF(NOT(ISBLANK(X258)),VLOOKUP($D$3+X258,Calcs!$A$110:$C$122,3,TRUE),IF(AA258="Failed",VLOOKUP($D$3,Calcs!$A$110:$C$122,3,TRUE),VLOOKUP($D$3-(IF((Character!$B$9+W258)&gt;($D$3+Y258),(Character!$B$9+W258)-($D$3+Y258),0)),Calcs!$A$110:$C$122,3,TRUE))))</f>
        <v xml:space="preserve"> </v>
      </c>
      <c r="AC258" s="489"/>
      <c r="AD258" s="489" t="str">
        <f>IF(IF(AA258=" "," ",IF(NOT(ISBLANK(X258)),VLOOKUP($D$3+X258,Calcs!$A$110:$B$122,2,TRUE),IF(AA258="Failed",VLOOKUP($D$3,Calcs!$A$110:$B$122,2,TRUE),VLOOKUP($D$3-(IF((Character!$B$9+W258)&gt;($D$3+Y258),(Character!$B$9+W258)-($D$3+Y258),0)),Calcs!$A$110:$B$122,2,TRUE))))=Calcs!$B$120,IF(ISBLANK(AC258)," ",CONCATENATE(AC258+7," Years")),IF(AA258=" "," ",IF(NOT(ISBLANK(X258)),VLOOKUP($D$3+X258,Calcs!$A$110:$B$122,2,TRUE),IF(AA258="Failed",VLOOKUP($D$3,Calcs!$A$110:$B$122,2,TRUE),VLOOKUP($D$3-(IF((Character!$B$9+W258)&gt;($D$3+Y258),(Character!$B$9+W258)-($D$3+Y258),0)),Calcs!$A$110:$B$122,2,TRUE)))))</f>
        <v xml:space="preserve"> </v>
      </c>
      <c r="AE258" s="490"/>
      <c r="AF258" s="879"/>
      <c r="AG258" s="491"/>
    </row>
    <row r="259" spans="1:33" x14ac:dyDescent="0.2">
      <c r="A259" s="415">
        <f t="shared" si="6"/>
        <v>1274</v>
      </c>
      <c r="B259" s="419" t="str">
        <f t="shared" si="7"/>
        <v>Autumn</v>
      </c>
      <c r="C259" s="455"/>
      <c r="D259" s="504"/>
      <c r="E259" s="455"/>
      <c r="F259" s="504"/>
      <c r="G259" s="455"/>
      <c r="H259" s="504"/>
      <c r="I259" s="455"/>
      <c r="J259" s="504"/>
      <c r="L259" s="472"/>
      <c r="M259" s="468"/>
      <c r="N259" s="468"/>
      <c r="O259" s="468"/>
      <c r="P259" s="468"/>
      <c r="Q259" s="473"/>
      <c r="R259" s="477" t="str">
        <f>IF(AND(COUNTIF('Start Character'!$I$63:$M$77,"Twilight Prone")=1,NOT(ISERROR(FIND("Magical Botch",M259)))),"Yes",IF(P259&gt;1,"Yes","No"))</f>
        <v>No</v>
      </c>
      <c r="S259" s="501"/>
      <c r="T259" s="478"/>
      <c r="U259" s="501"/>
      <c r="V259" s="479" t="str">
        <f>IF(R259="No","No Twilight",IF(T259="Yes","Uncomprehended Twilight",IF((Character!$B$14+IF(Character!$B$53="Yes",0,Character!$B$53)+IF(Magic!$C$5="Yes",2,0)+ROUNDUP((Magic!$B$30+IF(Magic!$C$30="Yes",3,0))/5,0)+S259)&gt;=($D$3+P259+SUMIF(Character!$I$62:$I$66,"Enigmatic Wisdom",Character!$J$62:$J$66)+Q259+U259),"No Twilight","Twilight")))</f>
        <v>No Twilight</v>
      </c>
      <c r="W259" s="483"/>
      <c r="X259" s="478"/>
      <c r="Y259" s="484"/>
      <c r="Z259" s="478"/>
      <c r="AA259" s="485" t="str">
        <f>IF(V259="Uncomprehended Twilight","Failed",IF(OR(ISBLANK(W259),ISBLANK(Y259))," ",IF(NOT(ISBLANK(X259)),"Failed",IF((W259+Character!$B$9+SUMIF(Character!$I$62:$I$66,"Enigmatic Wisdom",Character!$J$62:$J$66))&gt;=IF(Z259="Yes",0,(Y259+D254)),"Succeeded","Failed"))))</f>
        <v xml:space="preserve"> </v>
      </c>
      <c r="AB259" s="477" t="str">
        <f>IF(AA259=" "," ",IF(NOT(ISBLANK(X259)),VLOOKUP($D$3+X259,Calcs!$A$110:$C$122,3,TRUE),IF(AA259="Failed",VLOOKUP($D$3,Calcs!$A$110:$C$122,3,TRUE),VLOOKUP($D$3-(IF((Character!$B$9+W259)&gt;($D$3+Y259),(Character!$B$9+W259)-($D$3+Y259),0)),Calcs!$A$110:$C$122,3,TRUE))))</f>
        <v xml:space="preserve"> </v>
      </c>
      <c r="AC259" s="489"/>
      <c r="AD259" s="489" t="str">
        <f>IF(IF(AA259=" "," ",IF(NOT(ISBLANK(X259)),VLOOKUP($D$3+X259,Calcs!$A$110:$B$122,2,TRUE),IF(AA259="Failed",VLOOKUP($D$3,Calcs!$A$110:$B$122,2,TRUE),VLOOKUP($D$3-(IF((Character!$B$9+W259)&gt;($D$3+Y259),(Character!$B$9+W259)-($D$3+Y259),0)),Calcs!$A$110:$B$122,2,TRUE))))=Calcs!$B$120,IF(ISBLANK(AC259)," ",CONCATENATE(AC259+7," Years")),IF(AA259=" "," ",IF(NOT(ISBLANK(X259)),VLOOKUP($D$3+X259,Calcs!$A$110:$B$122,2,TRUE),IF(AA259="Failed",VLOOKUP($D$3,Calcs!$A$110:$B$122,2,TRUE),VLOOKUP($D$3-(IF((Character!$B$9+W259)&gt;($D$3+Y259),(Character!$B$9+W259)-($D$3+Y259),0)),Calcs!$A$110:$B$122,2,TRUE)))))</f>
        <v xml:space="preserve"> </v>
      </c>
      <c r="AE259" s="490"/>
      <c r="AF259" s="879"/>
      <c r="AG259" s="491"/>
    </row>
    <row r="260" spans="1:33" x14ac:dyDescent="0.2">
      <c r="A260" s="415">
        <f t="shared" si="6"/>
        <v>1275</v>
      </c>
      <c r="B260" s="419" t="str">
        <f t="shared" si="7"/>
        <v>Winter</v>
      </c>
      <c r="C260" s="455"/>
      <c r="D260" s="504"/>
      <c r="E260" s="455"/>
      <c r="F260" s="504"/>
      <c r="G260" s="455"/>
      <c r="H260" s="504"/>
      <c r="I260" s="455"/>
      <c r="J260" s="504"/>
      <c r="L260" s="472"/>
      <c r="M260" s="468"/>
      <c r="N260" s="468"/>
      <c r="O260" s="468"/>
      <c r="P260" s="468"/>
      <c r="Q260" s="473"/>
      <c r="R260" s="477" t="str">
        <f>IF(AND(COUNTIF('Start Character'!$I$63:$M$77,"Twilight Prone")=1,NOT(ISERROR(FIND("Magical Botch",M260)))),"Yes",IF(P260&gt;1,"Yes","No"))</f>
        <v>No</v>
      </c>
      <c r="S260" s="501"/>
      <c r="T260" s="478"/>
      <c r="U260" s="501"/>
      <c r="V260" s="479" t="str">
        <f>IF(R260="No","No Twilight",IF(T260="Yes","Uncomprehended Twilight",IF((Character!$B$14+IF(Character!$B$53="Yes",0,Character!$B$53)+IF(Magic!$C$5="Yes",2,0)+ROUNDUP((Magic!$B$30+IF(Magic!$C$30="Yes",3,0))/5,0)+S260)&gt;=($D$3+P260+SUMIF(Character!$I$62:$I$66,"Enigmatic Wisdom",Character!$J$62:$J$66)+Q260+U260),"No Twilight","Twilight")))</f>
        <v>No Twilight</v>
      </c>
      <c r="W260" s="483"/>
      <c r="X260" s="478"/>
      <c r="Y260" s="484"/>
      <c r="Z260" s="478"/>
      <c r="AA260" s="485" t="str">
        <f>IF(V260="Uncomprehended Twilight","Failed",IF(OR(ISBLANK(W260),ISBLANK(Y260))," ",IF(NOT(ISBLANK(X260)),"Failed",IF((W260+Character!$B$9+SUMIF(Character!$I$62:$I$66,"Enigmatic Wisdom",Character!$J$62:$J$66))&gt;=IF(Z260="Yes",0,(Y260+D255)),"Succeeded","Failed"))))</f>
        <v xml:space="preserve"> </v>
      </c>
      <c r="AB260" s="477" t="str">
        <f>IF(AA260=" "," ",IF(NOT(ISBLANK(X260)),VLOOKUP($D$3+X260,Calcs!$A$110:$C$122,3,TRUE),IF(AA260="Failed",VLOOKUP($D$3,Calcs!$A$110:$C$122,3,TRUE),VLOOKUP($D$3-(IF((Character!$B$9+W260)&gt;($D$3+Y260),(Character!$B$9+W260)-($D$3+Y260),0)),Calcs!$A$110:$C$122,3,TRUE))))</f>
        <v xml:space="preserve"> </v>
      </c>
      <c r="AC260" s="489"/>
      <c r="AD260" s="489" t="str">
        <f>IF(IF(AA260=" "," ",IF(NOT(ISBLANK(X260)),VLOOKUP($D$3+X260,Calcs!$A$110:$B$122,2,TRUE),IF(AA260="Failed",VLOOKUP($D$3,Calcs!$A$110:$B$122,2,TRUE),VLOOKUP($D$3-(IF((Character!$B$9+W260)&gt;($D$3+Y260),(Character!$B$9+W260)-($D$3+Y260),0)),Calcs!$A$110:$B$122,2,TRUE))))=Calcs!$B$120,IF(ISBLANK(AC260)," ",CONCATENATE(AC260+7," Years")),IF(AA260=" "," ",IF(NOT(ISBLANK(X260)),VLOOKUP($D$3+X260,Calcs!$A$110:$B$122,2,TRUE),IF(AA260="Failed",VLOOKUP($D$3,Calcs!$A$110:$B$122,2,TRUE),VLOOKUP($D$3-(IF((Character!$B$9+W260)&gt;($D$3+Y260),(Character!$B$9+W260)-($D$3+Y260),0)),Calcs!$A$110:$B$122,2,TRUE)))))</f>
        <v xml:space="preserve"> </v>
      </c>
      <c r="AE260" s="490"/>
      <c r="AF260" s="879"/>
      <c r="AG260" s="491"/>
    </row>
    <row r="261" spans="1:33" x14ac:dyDescent="0.2">
      <c r="A261" s="415">
        <f t="shared" si="6"/>
        <v>1275</v>
      </c>
      <c r="B261" s="419" t="str">
        <f t="shared" si="7"/>
        <v>Spring</v>
      </c>
      <c r="C261" s="455"/>
      <c r="D261" s="504"/>
      <c r="E261" s="455"/>
      <c r="F261" s="504"/>
      <c r="G261" s="455"/>
      <c r="H261" s="504"/>
      <c r="I261" s="455"/>
      <c r="J261" s="504"/>
      <c r="L261" s="472"/>
      <c r="M261" s="468"/>
      <c r="N261" s="468"/>
      <c r="O261" s="468"/>
      <c r="P261" s="468"/>
      <c r="Q261" s="473"/>
      <c r="R261" s="477" t="str">
        <f>IF(AND(COUNTIF('Start Character'!$I$63:$M$77,"Twilight Prone")=1,NOT(ISERROR(FIND("Magical Botch",M261)))),"Yes",IF(P261&gt;1,"Yes","No"))</f>
        <v>No</v>
      </c>
      <c r="S261" s="501"/>
      <c r="T261" s="478"/>
      <c r="U261" s="501"/>
      <c r="V261" s="479" t="str">
        <f>IF(R261="No","No Twilight",IF(T261="Yes","Uncomprehended Twilight",IF((Character!$B$14+IF(Character!$B$53="Yes",0,Character!$B$53)+IF(Magic!$C$5="Yes",2,0)+ROUNDUP((Magic!$B$30+IF(Magic!$C$30="Yes",3,0))/5,0)+S261)&gt;=($D$3+P261+SUMIF(Character!$I$62:$I$66,"Enigmatic Wisdom",Character!$J$62:$J$66)+Q261+U261),"No Twilight","Twilight")))</f>
        <v>No Twilight</v>
      </c>
      <c r="W261" s="483"/>
      <c r="X261" s="478"/>
      <c r="Y261" s="484"/>
      <c r="Z261" s="478"/>
      <c r="AA261" s="485" t="str">
        <f>IF(V261="Uncomprehended Twilight","Failed",IF(OR(ISBLANK(W261),ISBLANK(Y261))," ",IF(NOT(ISBLANK(X261)),"Failed",IF((W261+Character!$B$9+SUMIF(Character!$I$62:$I$66,"Enigmatic Wisdom",Character!$J$62:$J$66))&gt;=IF(Z261="Yes",0,(Y261+D256)),"Succeeded","Failed"))))</f>
        <v xml:space="preserve"> </v>
      </c>
      <c r="AB261" s="477" t="str">
        <f>IF(AA261=" "," ",IF(NOT(ISBLANK(X261)),VLOOKUP($D$3+X261,Calcs!$A$110:$C$122,3,TRUE),IF(AA261="Failed",VLOOKUP($D$3,Calcs!$A$110:$C$122,3,TRUE),VLOOKUP($D$3-(IF((Character!$B$9+W261)&gt;($D$3+Y261),(Character!$B$9+W261)-($D$3+Y261),0)),Calcs!$A$110:$C$122,3,TRUE))))</f>
        <v xml:space="preserve"> </v>
      </c>
      <c r="AC261" s="489"/>
      <c r="AD261" s="489" t="str">
        <f>IF(IF(AA261=" "," ",IF(NOT(ISBLANK(X261)),VLOOKUP($D$3+X261,Calcs!$A$110:$B$122,2,TRUE),IF(AA261="Failed",VLOOKUP($D$3,Calcs!$A$110:$B$122,2,TRUE),VLOOKUP($D$3-(IF((Character!$B$9+W261)&gt;($D$3+Y261),(Character!$B$9+W261)-($D$3+Y261),0)),Calcs!$A$110:$B$122,2,TRUE))))=Calcs!$B$120,IF(ISBLANK(AC261)," ",CONCATENATE(AC261+7," Years")),IF(AA261=" "," ",IF(NOT(ISBLANK(X261)),VLOOKUP($D$3+X261,Calcs!$A$110:$B$122,2,TRUE),IF(AA261="Failed",VLOOKUP($D$3,Calcs!$A$110:$B$122,2,TRUE),VLOOKUP($D$3-(IF((Character!$B$9+W261)&gt;($D$3+Y261),(Character!$B$9+W261)-($D$3+Y261),0)),Calcs!$A$110:$B$122,2,TRUE)))))</f>
        <v xml:space="preserve"> </v>
      </c>
      <c r="AE261" s="490"/>
      <c r="AF261" s="879"/>
      <c r="AG261" s="491"/>
    </row>
    <row r="262" spans="1:33" x14ac:dyDescent="0.2">
      <c r="A262" s="415">
        <f t="shared" si="6"/>
        <v>1275</v>
      </c>
      <c r="B262" s="419" t="str">
        <f t="shared" si="7"/>
        <v>Summer</v>
      </c>
      <c r="C262" s="455"/>
      <c r="D262" s="504"/>
      <c r="E262" s="455"/>
      <c r="F262" s="504"/>
      <c r="G262" s="455"/>
      <c r="H262" s="504"/>
      <c r="I262" s="455"/>
      <c r="J262" s="504"/>
      <c r="L262" s="472"/>
      <c r="M262" s="468"/>
      <c r="N262" s="468"/>
      <c r="O262" s="468"/>
      <c r="P262" s="468"/>
      <c r="Q262" s="473"/>
      <c r="R262" s="477" t="str">
        <f>IF(AND(COUNTIF('Start Character'!$I$63:$M$77,"Twilight Prone")=1,NOT(ISERROR(FIND("Magical Botch",M262)))),"Yes",IF(P262&gt;1,"Yes","No"))</f>
        <v>No</v>
      </c>
      <c r="S262" s="501"/>
      <c r="T262" s="478"/>
      <c r="U262" s="501"/>
      <c r="V262" s="479" t="str">
        <f>IF(R262="No","No Twilight",IF(T262="Yes","Uncomprehended Twilight",IF((Character!$B$14+IF(Character!$B$53="Yes",0,Character!$B$53)+IF(Magic!$C$5="Yes",2,0)+ROUNDUP((Magic!$B$30+IF(Magic!$C$30="Yes",3,0))/5,0)+S262)&gt;=($D$3+P262+SUMIF(Character!$I$62:$I$66,"Enigmatic Wisdom",Character!$J$62:$J$66)+Q262+U262),"No Twilight","Twilight")))</f>
        <v>No Twilight</v>
      </c>
      <c r="W262" s="483"/>
      <c r="X262" s="478"/>
      <c r="Y262" s="484"/>
      <c r="Z262" s="478"/>
      <c r="AA262" s="485" t="str">
        <f>IF(V262="Uncomprehended Twilight","Failed",IF(OR(ISBLANK(W262),ISBLANK(Y262))," ",IF(NOT(ISBLANK(X262)),"Failed",IF((W262+Character!$B$9+SUMIF(Character!$I$62:$I$66,"Enigmatic Wisdom",Character!$J$62:$J$66))&gt;=IF(Z262="Yes",0,(Y262+D257)),"Succeeded","Failed"))))</f>
        <v xml:space="preserve"> </v>
      </c>
      <c r="AB262" s="477" t="str">
        <f>IF(AA262=" "," ",IF(NOT(ISBLANK(X262)),VLOOKUP($D$3+X262,Calcs!$A$110:$C$122,3,TRUE),IF(AA262="Failed",VLOOKUP($D$3,Calcs!$A$110:$C$122,3,TRUE),VLOOKUP($D$3-(IF((Character!$B$9+W262)&gt;($D$3+Y262),(Character!$B$9+W262)-($D$3+Y262),0)),Calcs!$A$110:$C$122,3,TRUE))))</f>
        <v xml:space="preserve"> </v>
      </c>
      <c r="AC262" s="489"/>
      <c r="AD262" s="489" t="str">
        <f>IF(IF(AA262=" "," ",IF(NOT(ISBLANK(X262)),VLOOKUP($D$3+X262,Calcs!$A$110:$B$122,2,TRUE),IF(AA262="Failed",VLOOKUP($D$3,Calcs!$A$110:$B$122,2,TRUE),VLOOKUP($D$3-(IF((Character!$B$9+W262)&gt;($D$3+Y262),(Character!$B$9+W262)-($D$3+Y262),0)),Calcs!$A$110:$B$122,2,TRUE))))=Calcs!$B$120,IF(ISBLANK(AC262)," ",CONCATENATE(AC262+7," Years")),IF(AA262=" "," ",IF(NOT(ISBLANK(X262)),VLOOKUP($D$3+X262,Calcs!$A$110:$B$122,2,TRUE),IF(AA262="Failed",VLOOKUP($D$3,Calcs!$A$110:$B$122,2,TRUE),VLOOKUP($D$3-(IF((Character!$B$9+W262)&gt;($D$3+Y262),(Character!$B$9+W262)-($D$3+Y262),0)),Calcs!$A$110:$B$122,2,TRUE)))))</f>
        <v xml:space="preserve"> </v>
      </c>
      <c r="AE262" s="490"/>
      <c r="AF262" s="879"/>
      <c r="AG262" s="491"/>
    </row>
    <row r="263" spans="1:33" x14ac:dyDescent="0.2">
      <c r="A263" s="415">
        <f t="shared" si="6"/>
        <v>1275</v>
      </c>
      <c r="B263" s="419" t="str">
        <f t="shared" si="7"/>
        <v>Autumn</v>
      </c>
      <c r="C263" s="455"/>
      <c r="D263" s="504"/>
      <c r="E263" s="455"/>
      <c r="F263" s="504"/>
      <c r="G263" s="455"/>
      <c r="H263" s="504"/>
      <c r="I263" s="455"/>
      <c r="J263" s="504"/>
      <c r="L263" s="472"/>
      <c r="M263" s="468"/>
      <c r="N263" s="468"/>
      <c r="O263" s="468"/>
      <c r="P263" s="468"/>
      <c r="Q263" s="473"/>
      <c r="R263" s="477" t="str">
        <f>IF(AND(COUNTIF('Start Character'!$I$63:$M$77,"Twilight Prone")=1,NOT(ISERROR(FIND("Magical Botch",M263)))),"Yes",IF(P263&gt;1,"Yes","No"))</f>
        <v>No</v>
      </c>
      <c r="S263" s="501"/>
      <c r="T263" s="478"/>
      <c r="U263" s="501"/>
      <c r="V263" s="479" t="str">
        <f>IF(R263="No","No Twilight",IF(T263="Yes","Uncomprehended Twilight",IF((Character!$B$14+IF(Character!$B$53="Yes",0,Character!$B$53)+IF(Magic!$C$5="Yes",2,0)+ROUNDUP((Magic!$B$30+IF(Magic!$C$30="Yes",3,0))/5,0)+S263)&gt;=($D$3+P263+SUMIF(Character!$I$62:$I$66,"Enigmatic Wisdom",Character!$J$62:$J$66)+Q263+U263),"No Twilight","Twilight")))</f>
        <v>No Twilight</v>
      </c>
      <c r="W263" s="483"/>
      <c r="X263" s="478"/>
      <c r="Y263" s="484"/>
      <c r="Z263" s="478"/>
      <c r="AA263" s="485" t="str">
        <f>IF(V263="Uncomprehended Twilight","Failed",IF(OR(ISBLANK(W263),ISBLANK(Y263))," ",IF(NOT(ISBLANK(X263)),"Failed",IF((W263+Character!$B$9+SUMIF(Character!$I$62:$I$66,"Enigmatic Wisdom",Character!$J$62:$J$66))&gt;=IF(Z263="Yes",0,(Y263+D258)),"Succeeded","Failed"))))</f>
        <v xml:space="preserve"> </v>
      </c>
      <c r="AB263" s="477" t="str">
        <f>IF(AA263=" "," ",IF(NOT(ISBLANK(X263)),VLOOKUP($D$3+X263,Calcs!$A$110:$C$122,3,TRUE),IF(AA263="Failed",VLOOKUP($D$3,Calcs!$A$110:$C$122,3,TRUE),VLOOKUP($D$3-(IF((Character!$B$9+W263)&gt;($D$3+Y263),(Character!$B$9+W263)-($D$3+Y263),0)),Calcs!$A$110:$C$122,3,TRUE))))</f>
        <v xml:space="preserve"> </v>
      </c>
      <c r="AC263" s="489"/>
      <c r="AD263" s="489" t="str">
        <f>IF(IF(AA263=" "," ",IF(NOT(ISBLANK(X263)),VLOOKUP($D$3+X263,Calcs!$A$110:$B$122,2,TRUE),IF(AA263="Failed",VLOOKUP($D$3,Calcs!$A$110:$B$122,2,TRUE),VLOOKUP($D$3-(IF((Character!$B$9+W263)&gt;($D$3+Y263),(Character!$B$9+W263)-($D$3+Y263),0)),Calcs!$A$110:$B$122,2,TRUE))))=Calcs!$B$120,IF(ISBLANK(AC263)," ",CONCATENATE(AC263+7," Years")),IF(AA263=" "," ",IF(NOT(ISBLANK(X263)),VLOOKUP($D$3+X263,Calcs!$A$110:$B$122,2,TRUE),IF(AA263="Failed",VLOOKUP($D$3,Calcs!$A$110:$B$122,2,TRUE),VLOOKUP($D$3-(IF((Character!$B$9+W263)&gt;($D$3+Y263),(Character!$B$9+W263)-($D$3+Y263),0)),Calcs!$A$110:$B$122,2,TRUE)))))</f>
        <v xml:space="preserve"> </v>
      </c>
      <c r="AE263" s="490"/>
      <c r="AF263" s="879"/>
      <c r="AG263" s="491"/>
    </row>
    <row r="264" spans="1:33" x14ac:dyDescent="0.2">
      <c r="A264" s="415">
        <f t="shared" si="6"/>
        <v>1276</v>
      </c>
      <c r="B264" s="419" t="str">
        <f t="shared" si="7"/>
        <v>Winter</v>
      </c>
      <c r="C264" s="455"/>
      <c r="D264" s="504"/>
      <c r="E264" s="455"/>
      <c r="F264" s="504"/>
      <c r="G264" s="455"/>
      <c r="H264" s="504"/>
      <c r="I264" s="455"/>
      <c r="J264" s="504"/>
      <c r="L264" s="472"/>
      <c r="M264" s="468"/>
      <c r="N264" s="468"/>
      <c r="O264" s="468"/>
      <c r="P264" s="468"/>
      <c r="Q264" s="473"/>
      <c r="R264" s="477" t="str">
        <f>IF(AND(COUNTIF('Start Character'!$I$63:$M$77,"Twilight Prone")=1,NOT(ISERROR(FIND("Magical Botch",M264)))),"Yes",IF(P264&gt;1,"Yes","No"))</f>
        <v>No</v>
      </c>
      <c r="S264" s="501"/>
      <c r="T264" s="478"/>
      <c r="U264" s="501"/>
      <c r="V264" s="479" t="str">
        <f>IF(R264="No","No Twilight",IF(T264="Yes","Uncomprehended Twilight",IF((Character!$B$14+IF(Character!$B$53="Yes",0,Character!$B$53)+IF(Magic!$C$5="Yes",2,0)+ROUNDUP((Magic!$B$30+IF(Magic!$C$30="Yes",3,0))/5,0)+S264)&gt;=($D$3+P264+SUMIF(Character!$I$62:$I$66,"Enigmatic Wisdom",Character!$J$62:$J$66)+Q264+U264),"No Twilight","Twilight")))</f>
        <v>No Twilight</v>
      </c>
      <c r="W264" s="483"/>
      <c r="X264" s="478"/>
      <c r="Y264" s="484"/>
      <c r="Z264" s="478"/>
      <c r="AA264" s="485" t="str">
        <f>IF(V264="Uncomprehended Twilight","Failed",IF(OR(ISBLANK(W264),ISBLANK(Y264))," ",IF(NOT(ISBLANK(X264)),"Failed",IF((W264+Character!$B$9+SUMIF(Character!$I$62:$I$66,"Enigmatic Wisdom",Character!$J$62:$J$66))&gt;=IF(Z264="Yes",0,(Y264+D259)),"Succeeded","Failed"))))</f>
        <v xml:space="preserve"> </v>
      </c>
      <c r="AB264" s="477" t="str">
        <f>IF(AA264=" "," ",IF(NOT(ISBLANK(X264)),VLOOKUP($D$3+X264,Calcs!$A$110:$C$122,3,TRUE),IF(AA264="Failed",VLOOKUP($D$3,Calcs!$A$110:$C$122,3,TRUE),VLOOKUP($D$3-(IF((Character!$B$9+W264)&gt;($D$3+Y264),(Character!$B$9+W264)-($D$3+Y264),0)),Calcs!$A$110:$C$122,3,TRUE))))</f>
        <v xml:space="preserve"> </v>
      </c>
      <c r="AC264" s="489"/>
      <c r="AD264" s="489" t="str">
        <f>IF(IF(AA264=" "," ",IF(NOT(ISBLANK(X264)),VLOOKUP($D$3+X264,Calcs!$A$110:$B$122,2,TRUE),IF(AA264="Failed",VLOOKUP($D$3,Calcs!$A$110:$B$122,2,TRUE),VLOOKUP($D$3-(IF((Character!$B$9+W264)&gt;($D$3+Y264),(Character!$B$9+W264)-($D$3+Y264),0)),Calcs!$A$110:$B$122,2,TRUE))))=Calcs!$B$120,IF(ISBLANK(AC264)," ",CONCATENATE(AC264+7," Years")),IF(AA264=" "," ",IF(NOT(ISBLANK(X264)),VLOOKUP($D$3+X264,Calcs!$A$110:$B$122,2,TRUE),IF(AA264="Failed",VLOOKUP($D$3,Calcs!$A$110:$B$122,2,TRUE),VLOOKUP($D$3-(IF((Character!$B$9+W264)&gt;($D$3+Y264),(Character!$B$9+W264)-($D$3+Y264),0)),Calcs!$A$110:$B$122,2,TRUE)))))</f>
        <v xml:space="preserve"> </v>
      </c>
      <c r="AE264" s="490"/>
      <c r="AF264" s="879"/>
      <c r="AG264" s="491"/>
    </row>
    <row r="265" spans="1:33" x14ac:dyDescent="0.2">
      <c r="A265" s="415">
        <f t="shared" si="6"/>
        <v>1276</v>
      </c>
      <c r="B265" s="419" t="str">
        <f t="shared" si="7"/>
        <v>Spring</v>
      </c>
      <c r="C265" s="455"/>
      <c r="D265" s="504"/>
      <c r="E265" s="455"/>
      <c r="F265" s="504"/>
      <c r="G265" s="455"/>
      <c r="H265" s="504"/>
      <c r="I265" s="455"/>
      <c r="J265" s="504"/>
      <c r="L265" s="472"/>
      <c r="M265" s="468"/>
      <c r="N265" s="468"/>
      <c r="O265" s="468"/>
      <c r="P265" s="468"/>
      <c r="Q265" s="473"/>
      <c r="R265" s="477" t="str">
        <f>IF(AND(COUNTIF('Start Character'!$I$63:$M$77,"Twilight Prone")=1,NOT(ISERROR(FIND("Magical Botch",M265)))),"Yes",IF(P265&gt;1,"Yes","No"))</f>
        <v>No</v>
      </c>
      <c r="S265" s="501"/>
      <c r="T265" s="478"/>
      <c r="U265" s="501"/>
      <c r="V265" s="479" t="str">
        <f>IF(R265="No","No Twilight",IF(T265="Yes","Uncomprehended Twilight",IF((Character!$B$14+IF(Character!$B$53="Yes",0,Character!$B$53)+IF(Magic!$C$5="Yes",2,0)+ROUNDUP((Magic!$B$30+IF(Magic!$C$30="Yes",3,0))/5,0)+S265)&gt;=($D$3+P265+SUMIF(Character!$I$62:$I$66,"Enigmatic Wisdom",Character!$J$62:$J$66)+Q265+U265),"No Twilight","Twilight")))</f>
        <v>No Twilight</v>
      </c>
      <c r="W265" s="483"/>
      <c r="X265" s="478"/>
      <c r="Y265" s="484"/>
      <c r="Z265" s="478"/>
      <c r="AA265" s="485" t="str">
        <f>IF(V265="Uncomprehended Twilight","Failed",IF(OR(ISBLANK(W265),ISBLANK(Y265))," ",IF(NOT(ISBLANK(X265)),"Failed",IF((W265+Character!$B$9+SUMIF(Character!$I$62:$I$66,"Enigmatic Wisdom",Character!$J$62:$J$66))&gt;=IF(Z265="Yes",0,(Y265+D260)),"Succeeded","Failed"))))</f>
        <v xml:space="preserve"> </v>
      </c>
      <c r="AB265" s="477" t="str">
        <f>IF(AA265=" "," ",IF(NOT(ISBLANK(X265)),VLOOKUP($D$3+X265,Calcs!$A$110:$C$122,3,TRUE),IF(AA265="Failed",VLOOKUP($D$3,Calcs!$A$110:$C$122,3,TRUE),VLOOKUP($D$3-(IF((Character!$B$9+W265)&gt;($D$3+Y265),(Character!$B$9+W265)-($D$3+Y265),0)),Calcs!$A$110:$C$122,3,TRUE))))</f>
        <v xml:space="preserve"> </v>
      </c>
      <c r="AC265" s="489"/>
      <c r="AD265" s="489" t="str">
        <f>IF(IF(AA265=" "," ",IF(NOT(ISBLANK(X265)),VLOOKUP($D$3+X265,Calcs!$A$110:$B$122,2,TRUE),IF(AA265="Failed",VLOOKUP($D$3,Calcs!$A$110:$B$122,2,TRUE),VLOOKUP($D$3-(IF((Character!$B$9+W265)&gt;($D$3+Y265),(Character!$B$9+W265)-($D$3+Y265),0)),Calcs!$A$110:$B$122,2,TRUE))))=Calcs!$B$120,IF(ISBLANK(AC265)," ",CONCATENATE(AC265+7," Years")),IF(AA265=" "," ",IF(NOT(ISBLANK(X265)),VLOOKUP($D$3+X265,Calcs!$A$110:$B$122,2,TRUE),IF(AA265="Failed",VLOOKUP($D$3,Calcs!$A$110:$B$122,2,TRUE),VLOOKUP($D$3-(IF((Character!$B$9+W265)&gt;($D$3+Y265),(Character!$B$9+W265)-($D$3+Y265),0)),Calcs!$A$110:$B$122,2,TRUE)))))</f>
        <v xml:space="preserve"> </v>
      </c>
      <c r="AE265" s="490"/>
      <c r="AF265" s="879"/>
      <c r="AG265" s="491"/>
    </row>
    <row r="266" spans="1:33" x14ac:dyDescent="0.2">
      <c r="A266" s="415">
        <f t="shared" si="6"/>
        <v>1276</v>
      </c>
      <c r="B266" s="419" t="str">
        <f t="shared" si="7"/>
        <v>Summer</v>
      </c>
      <c r="C266" s="455"/>
      <c r="D266" s="504"/>
      <c r="E266" s="455"/>
      <c r="F266" s="504"/>
      <c r="G266" s="455"/>
      <c r="H266" s="504"/>
      <c r="I266" s="455"/>
      <c r="J266" s="504"/>
      <c r="L266" s="472"/>
      <c r="M266" s="468"/>
      <c r="N266" s="468"/>
      <c r="O266" s="468"/>
      <c r="P266" s="468"/>
      <c r="Q266" s="473"/>
      <c r="R266" s="477" t="str">
        <f>IF(AND(COUNTIF('Start Character'!$I$63:$M$77,"Twilight Prone")=1,NOT(ISERROR(FIND("Magical Botch",M266)))),"Yes",IF(P266&gt;1,"Yes","No"))</f>
        <v>No</v>
      </c>
      <c r="S266" s="501"/>
      <c r="T266" s="478"/>
      <c r="U266" s="501"/>
      <c r="V266" s="479" t="str">
        <f>IF(R266="No","No Twilight",IF(T266="Yes","Uncomprehended Twilight",IF((Character!$B$14+IF(Character!$B$53="Yes",0,Character!$B$53)+IF(Magic!$C$5="Yes",2,0)+ROUNDUP((Magic!$B$30+IF(Magic!$C$30="Yes",3,0))/5,0)+S266)&gt;=($D$3+P266+SUMIF(Character!$I$62:$I$66,"Enigmatic Wisdom",Character!$J$62:$J$66)+Q266+U266),"No Twilight","Twilight")))</f>
        <v>No Twilight</v>
      </c>
      <c r="W266" s="483"/>
      <c r="X266" s="478"/>
      <c r="Y266" s="484"/>
      <c r="Z266" s="478"/>
      <c r="AA266" s="485" t="str">
        <f>IF(V266="Uncomprehended Twilight","Failed",IF(OR(ISBLANK(W266),ISBLANK(Y266))," ",IF(NOT(ISBLANK(X266)),"Failed",IF((W266+Character!$B$9+SUMIF(Character!$I$62:$I$66,"Enigmatic Wisdom",Character!$J$62:$J$66))&gt;=IF(Z266="Yes",0,(Y266+D261)),"Succeeded","Failed"))))</f>
        <v xml:space="preserve"> </v>
      </c>
      <c r="AB266" s="477" t="str">
        <f>IF(AA266=" "," ",IF(NOT(ISBLANK(X266)),VLOOKUP($D$3+X266,Calcs!$A$110:$C$122,3,TRUE),IF(AA266="Failed",VLOOKUP($D$3,Calcs!$A$110:$C$122,3,TRUE),VLOOKUP($D$3-(IF((Character!$B$9+W266)&gt;($D$3+Y266),(Character!$B$9+W266)-($D$3+Y266),0)),Calcs!$A$110:$C$122,3,TRUE))))</f>
        <v xml:space="preserve"> </v>
      </c>
      <c r="AC266" s="489"/>
      <c r="AD266" s="489" t="str">
        <f>IF(IF(AA266=" "," ",IF(NOT(ISBLANK(X266)),VLOOKUP($D$3+X266,Calcs!$A$110:$B$122,2,TRUE),IF(AA266="Failed",VLOOKUP($D$3,Calcs!$A$110:$B$122,2,TRUE),VLOOKUP($D$3-(IF((Character!$B$9+W266)&gt;($D$3+Y266),(Character!$B$9+W266)-($D$3+Y266),0)),Calcs!$A$110:$B$122,2,TRUE))))=Calcs!$B$120,IF(ISBLANK(AC266)," ",CONCATENATE(AC266+7," Years")),IF(AA266=" "," ",IF(NOT(ISBLANK(X266)),VLOOKUP($D$3+X266,Calcs!$A$110:$B$122,2,TRUE),IF(AA266="Failed",VLOOKUP($D$3,Calcs!$A$110:$B$122,2,TRUE),VLOOKUP($D$3-(IF((Character!$B$9+W266)&gt;($D$3+Y266),(Character!$B$9+W266)-($D$3+Y266),0)),Calcs!$A$110:$B$122,2,TRUE)))))</f>
        <v xml:space="preserve"> </v>
      </c>
      <c r="AE266" s="490"/>
      <c r="AF266" s="879"/>
      <c r="AG266" s="491"/>
    </row>
    <row r="267" spans="1:33" x14ac:dyDescent="0.2">
      <c r="A267" s="415">
        <f t="shared" si="6"/>
        <v>1276</v>
      </c>
      <c r="B267" s="419" t="str">
        <f t="shared" si="7"/>
        <v>Autumn</v>
      </c>
      <c r="C267" s="455"/>
      <c r="D267" s="504"/>
      <c r="E267" s="455"/>
      <c r="F267" s="504"/>
      <c r="G267" s="455"/>
      <c r="H267" s="504"/>
      <c r="I267" s="455"/>
      <c r="J267" s="504"/>
      <c r="L267" s="472"/>
      <c r="M267" s="468"/>
      <c r="N267" s="468"/>
      <c r="O267" s="468"/>
      <c r="P267" s="468"/>
      <c r="Q267" s="473"/>
      <c r="R267" s="477" t="str">
        <f>IF(AND(COUNTIF('Start Character'!$I$63:$M$77,"Twilight Prone")=1,NOT(ISERROR(FIND("Magical Botch",M267)))),"Yes",IF(P267&gt;1,"Yes","No"))</f>
        <v>No</v>
      </c>
      <c r="S267" s="501"/>
      <c r="T267" s="478"/>
      <c r="U267" s="501"/>
      <c r="V267" s="479" t="str">
        <f>IF(R267="No","No Twilight",IF(T267="Yes","Uncomprehended Twilight",IF((Character!$B$14+IF(Character!$B$53="Yes",0,Character!$B$53)+IF(Magic!$C$5="Yes",2,0)+ROUNDUP((Magic!$B$30+IF(Magic!$C$30="Yes",3,0))/5,0)+S267)&gt;=($D$3+P267+SUMIF(Character!$I$62:$I$66,"Enigmatic Wisdom",Character!$J$62:$J$66)+Q267+U267),"No Twilight","Twilight")))</f>
        <v>No Twilight</v>
      </c>
      <c r="W267" s="483"/>
      <c r="X267" s="478"/>
      <c r="Y267" s="484"/>
      <c r="Z267" s="478"/>
      <c r="AA267" s="485" t="str">
        <f>IF(V267="Uncomprehended Twilight","Failed",IF(OR(ISBLANK(W267),ISBLANK(Y267))," ",IF(NOT(ISBLANK(X267)),"Failed",IF((W267+Character!$B$9+SUMIF(Character!$I$62:$I$66,"Enigmatic Wisdom",Character!$J$62:$J$66))&gt;=IF(Z267="Yes",0,(Y267+D262)),"Succeeded","Failed"))))</f>
        <v xml:space="preserve"> </v>
      </c>
      <c r="AB267" s="477" t="str">
        <f>IF(AA267=" "," ",IF(NOT(ISBLANK(X267)),VLOOKUP($D$3+X267,Calcs!$A$110:$C$122,3,TRUE),IF(AA267="Failed",VLOOKUP($D$3,Calcs!$A$110:$C$122,3,TRUE),VLOOKUP($D$3-(IF((Character!$B$9+W267)&gt;($D$3+Y267),(Character!$B$9+W267)-($D$3+Y267),0)),Calcs!$A$110:$C$122,3,TRUE))))</f>
        <v xml:space="preserve"> </v>
      </c>
      <c r="AC267" s="489"/>
      <c r="AD267" s="489" t="str">
        <f>IF(IF(AA267=" "," ",IF(NOT(ISBLANK(X267)),VLOOKUP($D$3+X267,Calcs!$A$110:$B$122,2,TRUE),IF(AA267="Failed",VLOOKUP($D$3,Calcs!$A$110:$B$122,2,TRUE),VLOOKUP($D$3-(IF((Character!$B$9+W267)&gt;($D$3+Y267),(Character!$B$9+W267)-($D$3+Y267),0)),Calcs!$A$110:$B$122,2,TRUE))))=Calcs!$B$120,IF(ISBLANK(AC267)," ",CONCATENATE(AC267+7," Years")),IF(AA267=" "," ",IF(NOT(ISBLANK(X267)),VLOOKUP($D$3+X267,Calcs!$A$110:$B$122,2,TRUE),IF(AA267="Failed",VLOOKUP($D$3,Calcs!$A$110:$B$122,2,TRUE),VLOOKUP($D$3-(IF((Character!$B$9+W267)&gt;($D$3+Y267),(Character!$B$9+W267)-($D$3+Y267),0)),Calcs!$A$110:$B$122,2,TRUE)))))</f>
        <v xml:space="preserve"> </v>
      </c>
      <c r="AE267" s="490"/>
      <c r="AF267" s="879"/>
      <c r="AG267" s="491"/>
    </row>
    <row r="268" spans="1:33" x14ac:dyDescent="0.2">
      <c r="A268" s="415">
        <f t="shared" si="6"/>
        <v>1277</v>
      </c>
      <c r="B268" s="419" t="str">
        <f t="shared" si="7"/>
        <v>Winter</v>
      </c>
      <c r="C268" s="455"/>
      <c r="D268" s="504"/>
      <c r="E268" s="455"/>
      <c r="F268" s="504"/>
      <c r="G268" s="455"/>
      <c r="H268" s="504"/>
      <c r="I268" s="455"/>
      <c r="J268" s="504"/>
      <c r="L268" s="472"/>
      <c r="M268" s="468"/>
      <c r="N268" s="468"/>
      <c r="O268" s="468"/>
      <c r="P268" s="468"/>
      <c r="Q268" s="473"/>
      <c r="R268" s="477" t="str">
        <f>IF(AND(COUNTIF('Start Character'!$I$63:$M$77,"Twilight Prone")=1,NOT(ISERROR(FIND("Magical Botch",M268)))),"Yes",IF(P268&gt;1,"Yes","No"))</f>
        <v>No</v>
      </c>
      <c r="S268" s="501"/>
      <c r="T268" s="478"/>
      <c r="U268" s="501"/>
      <c r="V268" s="479" t="str">
        <f>IF(R268="No","No Twilight",IF(T268="Yes","Uncomprehended Twilight",IF((Character!$B$14+IF(Character!$B$53="Yes",0,Character!$B$53)+IF(Magic!$C$5="Yes",2,0)+ROUNDUP((Magic!$B$30+IF(Magic!$C$30="Yes",3,0))/5,0)+S268)&gt;=($D$3+P268+SUMIF(Character!$I$62:$I$66,"Enigmatic Wisdom",Character!$J$62:$J$66)+Q268+U268),"No Twilight","Twilight")))</f>
        <v>No Twilight</v>
      </c>
      <c r="W268" s="483"/>
      <c r="X268" s="478"/>
      <c r="Y268" s="484"/>
      <c r="Z268" s="478"/>
      <c r="AA268" s="485" t="str">
        <f>IF(V268="Uncomprehended Twilight","Failed",IF(OR(ISBLANK(W268),ISBLANK(Y268))," ",IF(NOT(ISBLANK(X268)),"Failed",IF((W268+Character!$B$9+SUMIF(Character!$I$62:$I$66,"Enigmatic Wisdom",Character!$J$62:$J$66))&gt;=IF(Z268="Yes",0,(Y268+D263)),"Succeeded","Failed"))))</f>
        <v xml:space="preserve"> </v>
      </c>
      <c r="AB268" s="477" t="str">
        <f>IF(AA268=" "," ",IF(NOT(ISBLANK(X268)),VLOOKUP($D$3+X268,Calcs!$A$110:$C$122,3,TRUE),IF(AA268="Failed",VLOOKUP($D$3,Calcs!$A$110:$C$122,3,TRUE),VLOOKUP($D$3-(IF((Character!$B$9+W268)&gt;($D$3+Y268),(Character!$B$9+W268)-($D$3+Y268),0)),Calcs!$A$110:$C$122,3,TRUE))))</f>
        <v xml:space="preserve"> </v>
      </c>
      <c r="AC268" s="489"/>
      <c r="AD268" s="489" t="str">
        <f>IF(IF(AA268=" "," ",IF(NOT(ISBLANK(X268)),VLOOKUP($D$3+X268,Calcs!$A$110:$B$122,2,TRUE),IF(AA268="Failed",VLOOKUP($D$3,Calcs!$A$110:$B$122,2,TRUE),VLOOKUP($D$3-(IF((Character!$B$9+W268)&gt;($D$3+Y268),(Character!$B$9+W268)-($D$3+Y268),0)),Calcs!$A$110:$B$122,2,TRUE))))=Calcs!$B$120,IF(ISBLANK(AC268)," ",CONCATENATE(AC268+7," Years")),IF(AA268=" "," ",IF(NOT(ISBLANK(X268)),VLOOKUP($D$3+X268,Calcs!$A$110:$B$122,2,TRUE),IF(AA268="Failed",VLOOKUP($D$3,Calcs!$A$110:$B$122,2,TRUE),VLOOKUP($D$3-(IF((Character!$B$9+W268)&gt;($D$3+Y268),(Character!$B$9+W268)-($D$3+Y268),0)),Calcs!$A$110:$B$122,2,TRUE)))))</f>
        <v xml:space="preserve"> </v>
      </c>
      <c r="AE268" s="490"/>
      <c r="AF268" s="879"/>
      <c r="AG268" s="491"/>
    </row>
    <row r="269" spans="1:33" x14ac:dyDescent="0.2">
      <c r="A269" s="415">
        <f t="shared" si="6"/>
        <v>1277</v>
      </c>
      <c r="B269" s="419" t="str">
        <f t="shared" si="7"/>
        <v>Spring</v>
      </c>
      <c r="C269" s="455"/>
      <c r="D269" s="504"/>
      <c r="E269" s="455"/>
      <c r="F269" s="504"/>
      <c r="G269" s="455"/>
      <c r="H269" s="504"/>
      <c r="I269" s="455"/>
      <c r="J269" s="504"/>
      <c r="L269" s="472"/>
      <c r="M269" s="468"/>
      <c r="N269" s="468"/>
      <c r="O269" s="468"/>
      <c r="P269" s="468"/>
      <c r="Q269" s="473"/>
      <c r="R269" s="477" t="str">
        <f>IF(AND(COUNTIF('Start Character'!$I$63:$M$77,"Twilight Prone")=1,NOT(ISERROR(FIND("Magical Botch",M269)))),"Yes",IF(P269&gt;1,"Yes","No"))</f>
        <v>No</v>
      </c>
      <c r="S269" s="501"/>
      <c r="T269" s="478"/>
      <c r="U269" s="501"/>
      <c r="V269" s="479" t="str">
        <f>IF(R269="No","No Twilight",IF(T269="Yes","Uncomprehended Twilight",IF((Character!$B$14+IF(Character!$B$53="Yes",0,Character!$B$53)+IF(Magic!$C$5="Yes",2,0)+ROUNDUP((Magic!$B$30+IF(Magic!$C$30="Yes",3,0))/5,0)+S269)&gt;=($D$3+P269+SUMIF(Character!$I$62:$I$66,"Enigmatic Wisdom",Character!$J$62:$J$66)+Q269+U269),"No Twilight","Twilight")))</f>
        <v>No Twilight</v>
      </c>
      <c r="W269" s="483"/>
      <c r="X269" s="478"/>
      <c r="Y269" s="484"/>
      <c r="Z269" s="478"/>
      <c r="AA269" s="485" t="str">
        <f>IF(V269="Uncomprehended Twilight","Failed",IF(OR(ISBLANK(W269),ISBLANK(Y269))," ",IF(NOT(ISBLANK(X269)),"Failed",IF((W269+Character!$B$9+SUMIF(Character!$I$62:$I$66,"Enigmatic Wisdom",Character!$J$62:$J$66))&gt;=IF(Z269="Yes",0,(Y269+D264)),"Succeeded","Failed"))))</f>
        <v xml:space="preserve"> </v>
      </c>
      <c r="AB269" s="477" t="str">
        <f>IF(AA269=" "," ",IF(NOT(ISBLANK(X269)),VLOOKUP($D$3+X269,Calcs!$A$110:$C$122,3,TRUE),IF(AA269="Failed",VLOOKUP($D$3,Calcs!$A$110:$C$122,3,TRUE),VLOOKUP($D$3-(IF((Character!$B$9+W269)&gt;($D$3+Y269),(Character!$B$9+W269)-($D$3+Y269),0)),Calcs!$A$110:$C$122,3,TRUE))))</f>
        <v xml:space="preserve"> </v>
      </c>
      <c r="AC269" s="489"/>
      <c r="AD269" s="489" t="str">
        <f>IF(IF(AA269=" "," ",IF(NOT(ISBLANK(X269)),VLOOKUP($D$3+X269,Calcs!$A$110:$B$122,2,TRUE),IF(AA269="Failed",VLOOKUP($D$3,Calcs!$A$110:$B$122,2,TRUE),VLOOKUP($D$3-(IF((Character!$B$9+W269)&gt;($D$3+Y269),(Character!$B$9+W269)-($D$3+Y269),0)),Calcs!$A$110:$B$122,2,TRUE))))=Calcs!$B$120,IF(ISBLANK(AC269)," ",CONCATENATE(AC269+7," Years")),IF(AA269=" "," ",IF(NOT(ISBLANK(X269)),VLOOKUP($D$3+X269,Calcs!$A$110:$B$122,2,TRUE),IF(AA269="Failed",VLOOKUP($D$3,Calcs!$A$110:$B$122,2,TRUE),VLOOKUP($D$3-(IF((Character!$B$9+W269)&gt;($D$3+Y269),(Character!$B$9+W269)-($D$3+Y269),0)),Calcs!$A$110:$B$122,2,TRUE)))))</f>
        <v xml:space="preserve"> </v>
      </c>
      <c r="AE269" s="490"/>
      <c r="AF269" s="879"/>
      <c r="AG269" s="491"/>
    </row>
    <row r="270" spans="1:33" x14ac:dyDescent="0.2">
      <c r="A270" s="415">
        <f t="shared" si="6"/>
        <v>1277</v>
      </c>
      <c r="B270" s="419" t="str">
        <f t="shared" si="7"/>
        <v>Summer</v>
      </c>
      <c r="C270" s="455"/>
      <c r="D270" s="504"/>
      <c r="E270" s="455"/>
      <c r="F270" s="504"/>
      <c r="G270" s="455"/>
      <c r="H270" s="504"/>
      <c r="I270" s="455"/>
      <c r="J270" s="504"/>
      <c r="L270" s="472"/>
      <c r="M270" s="468"/>
      <c r="N270" s="468"/>
      <c r="O270" s="468"/>
      <c r="P270" s="468"/>
      <c r="Q270" s="473"/>
      <c r="R270" s="477" t="str">
        <f>IF(AND(COUNTIF('Start Character'!$I$63:$M$77,"Twilight Prone")=1,NOT(ISERROR(FIND("Magical Botch",M270)))),"Yes",IF(P270&gt;1,"Yes","No"))</f>
        <v>No</v>
      </c>
      <c r="S270" s="501"/>
      <c r="T270" s="478"/>
      <c r="U270" s="501"/>
      <c r="V270" s="479" t="str">
        <f>IF(R270="No","No Twilight",IF(T270="Yes","Uncomprehended Twilight",IF((Character!$B$14+IF(Character!$B$53="Yes",0,Character!$B$53)+IF(Magic!$C$5="Yes",2,0)+ROUNDUP((Magic!$B$30+IF(Magic!$C$30="Yes",3,0))/5,0)+S270)&gt;=($D$3+P270+SUMIF(Character!$I$62:$I$66,"Enigmatic Wisdom",Character!$J$62:$J$66)+Q270+U270),"No Twilight","Twilight")))</f>
        <v>No Twilight</v>
      </c>
      <c r="W270" s="483"/>
      <c r="X270" s="478"/>
      <c r="Y270" s="484"/>
      <c r="Z270" s="478"/>
      <c r="AA270" s="485" t="str">
        <f>IF(V270="Uncomprehended Twilight","Failed",IF(OR(ISBLANK(W270),ISBLANK(Y270))," ",IF(NOT(ISBLANK(X270)),"Failed",IF((W270+Character!$B$9+SUMIF(Character!$I$62:$I$66,"Enigmatic Wisdom",Character!$J$62:$J$66))&gt;=IF(Z270="Yes",0,(Y270+D265)),"Succeeded","Failed"))))</f>
        <v xml:space="preserve"> </v>
      </c>
      <c r="AB270" s="477" t="str">
        <f>IF(AA270=" "," ",IF(NOT(ISBLANK(X270)),VLOOKUP($D$3+X270,Calcs!$A$110:$C$122,3,TRUE),IF(AA270="Failed",VLOOKUP($D$3,Calcs!$A$110:$C$122,3,TRUE),VLOOKUP($D$3-(IF((Character!$B$9+W270)&gt;($D$3+Y270),(Character!$B$9+W270)-($D$3+Y270),0)),Calcs!$A$110:$C$122,3,TRUE))))</f>
        <v xml:space="preserve"> </v>
      </c>
      <c r="AC270" s="489"/>
      <c r="AD270" s="489" t="str">
        <f>IF(IF(AA270=" "," ",IF(NOT(ISBLANK(X270)),VLOOKUP($D$3+X270,Calcs!$A$110:$B$122,2,TRUE),IF(AA270="Failed",VLOOKUP($D$3,Calcs!$A$110:$B$122,2,TRUE),VLOOKUP($D$3-(IF((Character!$B$9+W270)&gt;($D$3+Y270),(Character!$B$9+W270)-($D$3+Y270),0)),Calcs!$A$110:$B$122,2,TRUE))))=Calcs!$B$120,IF(ISBLANK(AC270)," ",CONCATENATE(AC270+7," Years")),IF(AA270=" "," ",IF(NOT(ISBLANK(X270)),VLOOKUP($D$3+X270,Calcs!$A$110:$B$122,2,TRUE),IF(AA270="Failed",VLOOKUP($D$3,Calcs!$A$110:$B$122,2,TRUE),VLOOKUP($D$3-(IF((Character!$B$9+W270)&gt;($D$3+Y270),(Character!$B$9+W270)-($D$3+Y270),0)),Calcs!$A$110:$B$122,2,TRUE)))))</f>
        <v xml:space="preserve"> </v>
      </c>
      <c r="AE270" s="490"/>
      <c r="AF270" s="879"/>
      <c r="AG270" s="491"/>
    </row>
    <row r="271" spans="1:33" x14ac:dyDescent="0.2">
      <c r="A271" s="415">
        <f t="shared" si="6"/>
        <v>1277</v>
      </c>
      <c r="B271" s="419" t="str">
        <f t="shared" si="7"/>
        <v>Autumn</v>
      </c>
      <c r="C271" s="455"/>
      <c r="D271" s="504"/>
      <c r="E271" s="455"/>
      <c r="F271" s="504"/>
      <c r="G271" s="455"/>
      <c r="H271" s="504"/>
      <c r="I271" s="455"/>
      <c r="J271" s="504"/>
      <c r="L271" s="472"/>
      <c r="M271" s="468"/>
      <c r="N271" s="468"/>
      <c r="O271" s="468"/>
      <c r="P271" s="468"/>
      <c r="Q271" s="473"/>
      <c r="R271" s="477" t="str">
        <f>IF(AND(COUNTIF('Start Character'!$I$63:$M$77,"Twilight Prone")=1,NOT(ISERROR(FIND("Magical Botch",M271)))),"Yes",IF(P271&gt;1,"Yes","No"))</f>
        <v>No</v>
      </c>
      <c r="S271" s="501"/>
      <c r="T271" s="478"/>
      <c r="U271" s="501"/>
      <c r="V271" s="479" t="str">
        <f>IF(R271="No","No Twilight",IF(T271="Yes","Uncomprehended Twilight",IF((Character!$B$14+IF(Character!$B$53="Yes",0,Character!$B$53)+IF(Magic!$C$5="Yes",2,0)+ROUNDUP((Magic!$B$30+IF(Magic!$C$30="Yes",3,0))/5,0)+S271)&gt;=($D$3+P271+SUMIF(Character!$I$62:$I$66,"Enigmatic Wisdom",Character!$J$62:$J$66)+Q271+U271),"No Twilight","Twilight")))</f>
        <v>No Twilight</v>
      </c>
      <c r="W271" s="483"/>
      <c r="X271" s="478"/>
      <c r="Y271" s="484"/>
      <c r="Z271" s="478"/>
      <c r="AA271" s="485" t="str">
        <f>IF(V271="Uncomprehended Twilight","Failed",IF(OR(ISBLANK(W271),ISBLANK(Y271))," ",IF(NOT(ISBLANK(X271)),"Failed",IF((W271+Character!$B$9+SUMIF(Character!$I$62:$I$66,"Enigmatic Wisdom",Character!$J$62:$J$66))&gt;=IF(Z271="Yes",0,(Y271+D266)),"Succeeded","Failed"))))</f>
        <v xml:space="preserve"> </v>
      </c>
      <c r="AB271" s="477" t="str">
        <f>IF(AA271=" "," ",IF(NOT(ISBLANK(X271)),VLOOKUP($D$3+X271,Calcs!$A$110:$C$122,3,TRUE),IF(AA271="Failed",VLOOKUP($D$3,Calcs!$A$110:$C$122,3,TRUE),VLOOKUP($D$3-(IF((Character!$B$9+W271)&gt;($D$3+Y271),(Character!$B$9+W271)-($D$3+Y271),0)),Calcs!$A$110:$C$122,3,TRUE))))</f>
        <v xml:space="preserve"> </v>
      </c>
      <c r="AC271" s="489"/>
      <c r="AD271" s="489" t="str">
        <f>IF(IF(AA271=" "," ",IF(NOT(ISBLANK(X271)),VLOOKUP($D$3+X271,Calcs!$A$110:$B$122,2,TRUE),IF(AA271="Failed",VLOOKUP($D$3,Calcs!$A$110:$B$122,2,TRUE),VLOOKUP($D$3-(IF((Character!$B$9+W271)&gt;($D$3+Y271),(Character!$B$9+W271)-($D$3+Y271),0)),Calcs!$A$110:$B$122,2,TRUE))))=Calcs!$B$120,IF(ISBLANK(AC271)," ",CONCATENATE(AC271+7," Years")),IF(AA271=" "," ",IF(NOT(ISBLANK(X271)),VLOOKUP($D$3+X271,Calcs!$A$110:$B$122,2,TRUE),IF(AA271="Failed",VLOOKUP($D$3,Calcs!$A$110:$B$122,2,TRUE),VLOOKUP($D$3-(IF((Character!$B$9+W271)&gt;($D$3+Y271),(Character!$B$9+W271)-($D$3+Y271),0)),Calcs!$A$110:$B$122,2,TRUE)))))</f>
        <v xml:space="preserve"> </v>
      </c>
      <c r="AE271" s="490"/>
      <c r="AF271" s="879"/>
      <c r="AG271" s="491"/>
    </row>
    <row r="272" spans="1:33" x14ac:dyDescent="0.2">
      <c r="A272" s="415">
        <f t="shared" si="6"/>
        <v>1278</v>
      </c>
      <c r="B272" s="419" t="str">
        <f t="shared" si="7"/>
        <v>Winter</v>
      </c>
      <c r="C272" s="455"/>
      <c r="D272" s="504"/>
      <c r="E272" s="455"/>
      <c r="F272" s="504"/>
      <c r="G272" s="455"/>
      <c r="H272" s="504"/>
      <c r="I272" s="455"/>
      <c r="J272" s="504"/>
      <c r="L272" s="472"/>
      <c r="M272" s="468"/>
      <c r="N272" s="468"/>
      <c r="O272" s="468"/>
      <c r="P272" s="468"/>
      <c r="Q272" s="473"/>
      <c r="R272" s="477" t="str">
        <f>IF(AND(COUNTIF('Start Character'!$I$63:$M$77,"Twilight Prone")=1,NOT(ISERROR(FIND("Magical Botch",M272)))),"Yes",IF(P272&gt;1,"Yes","No"))</f>
        <v>No</v>
      </c>
      <c r="S272" s="501"/>
      <c r="T272" s="478"/>
      <c r="U272" s="501"/>
      <c r="V272" s="479" t="str">
        <f>IF(R272="No","No Twilight",IF(T272="Yes","Uncomprehended Twilight",IF((Character!$B$14+IF(Character!$B$53="Yes",0,Character!$B$53)+IF(Magic!$C$5="Yes",2,0)+ROUNDUP((Magic!$B$30+IF(Magic!$C$30="Yes",3,0))/5,0)+S272)&gt;=($D$3+P272+SUMIF(Character!$I$62:$I$66,"Enigmatic Wisdom",Character!$J$62:$J$66)+Q272+U272),"No Twilight","Twilight")))</f>
        <v>No Twilight</v>
      </c>
      <c r="W272" s="483"/>
      <c r="X272" s="478"/>
      <c r="Y272" s="484"/>
      <c r="Z272" s="478"/>
      <c r="AA272" s="485" t="str">
        <f>IF(V272="Uncomprehended Twilight","Failed",IF(OR(ISBLANK(W272),ISBLANK(Y272))," ",IF(NOT(ISBLANK(X272)),"Failed",IF((W272+Character!$B$9+SUMIF(Character!$I$62:$I$66,"Enigmatic Wisdom",Character!$J$62:$J$66))&gt;=IF(Z272="Yes",0,(Y272+D267)),"Succeeded","Failed"))))</f>
        <v xml:space="preserve"> </v>
      </c>
      <c r="AB272" s="477" t="str">
        <f>IF(AA272=" "," ",IF(NOT(ISBLANK(X272)),VLOOKUP($D$3+X272,Calcs!$A$110:$C$122,3,TRUE),IF(AA272="Failed",VLOOKUP($D$3,Calcs!$A$110:$C$122,3,TRUE),VLOOKUP($D$3-(IF((Character!$B$9+W272)&gt;($D$3+Y272),(Character!$B$9+W272)-($D$3+Y272),0)),Calcs!$A$110:$C$122,3,TRUE))))</f>
        <v xml:space="preserve"> </v>
      </c>
      <c r="AC272" s="489"/>
      <c r="AD272" s="489" t="str">
        <f>IF(IF(AA272=" "," ",IF(NOT(ISBLANK(X272)),VLOOKUP($D$3+X272,Calcs!$A$110:$B$122,2,TRUE),IF(AA272="Failed",VLOOKUP($D$3,Calcs!$A$110:$B$122,2,TRUE),VLOOKUP($D$3-(IF((Character!$B$9+W272)&gt;($D$3+Y272),(Character!$B$9+W272)-($D$3+Y272),0)),Calcs!$A$110:$B$122,2,TRUE))))=Calcs!$B$120,IF(ISBLANK(AC272)," ",CONCATENATE(AC272+7," Years")),IF(AA272=" "," ",IF(NOT(ISBLANK(X272)),VLOOKUP($D$3+X272,Calcs!$A$110:$B$122,2,TRUE),IF(AA272="Failed",VLOOKUP($D$3,Calcs!$A$110:$B$122,2,TRUE),VLOOKUP($D$3-(IF((Character!$B$9+W272)&gt;($D$3+Y272),(Character!$B$9+W272)-($D$3+Y272),0)),Calcs!$A$110:$B$122,2,TRUE)))))</f>
        <v xml:space="preserve"> </v>
      </c>
      <c r="AE272" s="490"/>
      <c r="AF272" s="879"/>
      <c r="AG272" s="491"/>
    </row>
    <row r="273" spans="1:33" x14ac:dyDescent="0.2">
      <c r="A273" s="415">
        <f t="shared" si="6"/>
        <v>1278</v>
      </c>
      <c r="B273" s="419" t="str">
        <f t="shared" si="7"/>
        <v>Spring</v>
      </c>
      <c r="C273" s="455"/>
      <c r="D273" s="504"/>
      <c r="E273" s="455"/>
      <c r="F273" s="504"/>
      <c r="G273" s="455"/>
      <c r="H273" s="504"/>
      <c r="I273" s="455"/>
      <c r="J273" s="504"/>
      <c r="L273" s="472"/>
      <c r="M273" s="468"/>
      <c r="N273" s="468"/>
      <c r="O273" s="468"/>
      <c r="P273" s="468"/>
      <c r="Q273" s="473"/>
      <c r="R273" s="477" t="str">
        <f>IF(AND(COUNTIF('Start Character'!$I$63:$M$77,"Twilight Prone")=1,NOT(ISERROR(FIND("Magical Botch",M273)))),"Yes",IF(P273&gt;1,"Yes","No"))</f>
        <v>No</v>
      </c>
      <c r="S273" s="501"/>
      <c r="T273" s="478"/>
      <c r="U273" s="501"/>
      <c r="V273" s="479" t="str">
        <f>IF(R273="No","No Twilight",IF(T273="Yes","Uncomprehended Twilight",IF((Character!$B$14+IF(Character!$B$53="Yes",0,Character!$B$53)+IF(Magic!$C$5="Yes",2,0)+ROUNDUP((Magic!$B$30+IF(Magic!$C$30="Yes",3,0))/5,0)+S273)&gt;=($D$3+P273+SUMIF(Character!$I$62:$I$66,"Enigmatic Wisdom",Character!$J$62:$J$66)+Q273+U273),"No Twilight","Twilight")))</f>
        <v>No Twilight</v>
      </c>
      <c r="W273" s="483"/>
      <c r="X273" s="478"/>
      <c r="Y273" s="484"/>
      <c r="Z273" s="478"/>
      <c r="AA273" s="485" t="str">
        <f>IF(V273="Uncomprehended Twilight","Failed",IF(OR(ISBLANK(W273),ISBLANK(Y273))," ",IF(NOT(ISBLANK(X273)),"Failed",IF((W273+Character!$B$9+SUMIF(Character!$I$62:$I$66,"Enigmatic Wisdom",Character!$J$62:$J$66))&gt;=IF(Z273="Yes",0,(Y273+D268)),"Succeeded","Failed"))))</f>
        <v xml:space="preserve"> </v>
      </c>
      <c r="AB273" s="477" t="str">
        <f>IF(AA273=" "," ",IF(NOT(ISBLANK(X273)),VLOOKUP($D$3+X273,Calcs!$A$110:$C$122,3,TRUE),IF(AA273="Failed",VLOOKUP($D$3,Calcs!$A$110:$C$122,3,TRUE),VLOOKUP($D$3-(IF((Character!$B$9+W273)&gt;($D$3+Y273),(Character!$B$9+W273)-($D$3+Y273),0)),Calcs!$A$110:$C$122,3,TRUE))))</f>
        <v xml:space="preserve"> </v>
      </c>
      <c r="AC273" s="489"/>
      <c r="AD273" s="489" t="str">
        <f>IF(IF(AA273=" "," ",IF(NOT(ISBLANK(X273)),VLOOKUP($D$3+X273,Calcs!$A$110:$B$122,2,TRUE),IF(AA273="Failed",VLOOKUP($D$3,Calcs!$A$110:$B$122,2,TRUE),VLOOKUP($D$3-(IF((Character!$B$9+W273)&gt;($D$3+Y273),(Character!$B$9+W273)-($D$3+Y273),0)),Calcs!$A$110:$B$122,2,TRUE))))=Calcs!$B$120,IF(ISBLANK(AC273)," ",CONCATENATE(AC273+7," Years")),IF(AA273=" "," ",IF(NOT(ISBLANK(X273)),VLOOKUP($D$3+X273,Calcs!$A$110:$B$122,2,TRUE),IF(AA273="Failed",VLOOKUP($D$3,Calcs!$A$110:$B$122,2,TRUE),VLOOKUP($D$3-(IF((Character!$B$9+W273)&gt;($D$3+Y273),(Character!$B$9+W273)-($D$3+Y273),0)),Calcs!$A$110:$B$122,2,TRUE)))))</f>
        <v xml:space="preserve"> </v>
      </c>
      <c r="AE273" s="490"/>
      <c r="AF273" s="879"/>
      <c r="AG273" s="491"/>
    </row>
    <row r="274" spans="1:33" x14ac:dyDescent="0.2">
      <c r="A274" s="415">
        <f t="shared" si="6"/>
        <v>1278</v>
      </c>
      <c r="B274" s="419" t="str">
        <f t="shared" si="7"/>
        <v>Summer</v>
      </c>
      <c r="C274" s="455"/>
      <c r="D274" s="504"/>
      <c r="E274" s="455"/>
      <c r="F274" s="504"/>
      <c r="G274" s="455"/>
      <c r="H274" s="504"/>
      <c r="I274" s="455"/>
      <c r="J274" s="504"/>
      <c r="L274" s="472"/>
      <c r="M274" s="468"/>
      <c r="N274" s="468"/>
      <c r="O274" s="468"/>
      <c r="P274" s="468"/>
      <c r="Q274" s="473"/>
      <c r="R274" s="477" t="str">
        <f>IF(AND(COUNTIF('Start Character'!$I$63:$M$77,"Twilight Prone")=1,NOT(ISERROR(FIND("Magical Botch",M274)))),"Yes",IF(P274&gt;1,"Yes","No"))</f>
        <v>No</v>
      </c>
      <c r="S274" s="501"/>
      <c r="T274" s="478"/>
      <c r="U274" s="501"/>
      <c r="V274" s="479" t="str">
        <f>IF(R274="No","No Twilight",IF(T274="Yes","Uncomprehended Twilight",IF((Character!$B$14+IF(Character!$B$53="Yes",0,Character!$B$53)+IF(Magic!$C$5="Yes",2,0)+ROUNDUP((Magic!$B$30+IF(Magic!$C$30="Yes",3,0))/5,0)+S274)&gt;=($D$3+P274+SUMIF(Character!$I$62:$I$66,"Enigmatic Wisdom",Character!$J$62:$J$66)+Q274+U274),"No Twilight","Twilight")))</f>
        <v>No Twilight</v>
      </c>
      <c r="W274" s="483"/>
      <c r="X274" s="478"/>
      <c r="Y274" s="484"/>
      <c r="Z274" s="478"/>
      <c r="AA274" s="485" t="str">
        <f>IF(V274="Uncomprehended Twilight","Failed",IF(OR(ISBLANK(W274),ISBLANK(Y274))," ",IF(NOT(ISBLANK(X274)),"Failed",IF((W274+Character!$B$9+SUMIF(Character!$I$62:$I$66,"Enigmatic Wisdom",Character!$J$62:$J$66))&gt;=IF(Z274="Yes",0,(Y274+D269)),"Succeeded","Failed"))))</f>
        <v xml:space="preserve"> </v>
      </c>
      <c r="AB274" s="477" t="str">
        <f>IF(AA274=" "," ",IF(NOT(ISBLANK(X274)),VLOOKUP($D$3+X274,Calcs!$A$110:$C$122,3,TRUE),IF(AA274="Failed",VLOOKUP($D$3,Calcs!$A$110:$C$122,3,TRUE),VLOOKUP($D$3-(IF((Character!$B$9+W274)&gt;($D$3+Y274),(Character!$B$9+W274)-($D$3+Y274),0)),Calcs!$A$110:$C$122,3,TRUE))))</f>
        <v xml:space="preserve"> </v>
      </c>
      <c r="AC274" s="489"/>
      <c r="AD274" s="489" t="str">
        <f>IF(IF(AA274=" "," ",IF(NOT(ISBLANK(X274)),VLOOKUP($D$3+X274,Calcs!$A$110:$B$122,2,TRUE),IF(AA274="Failed",VLOOKUP($D$3,Calcs!$A$110:$B$122,2,TRUE),VLOOKUP($D$3-(IF((Character!$B$9+W274)&gt;($D$3+Y274),(Character!$B$9+W274)-($D$3+Y274),0)),Calcs!$A$110:$B$122,2,TRUE))))=Calcs!$B$120,IF(ISBLANK(AC274)," ",CONCATENATE(AC274+7," Years")),IF(AA274=" "," ",IF(NOT(ISBLANK(X274)),VLOOKUP($D$3+X274,Calcs!$A$110:$B$122,2,TRUE),IF(AA274="Failed",VLOOKUP($D$3,Calcs!$A$110:$B$122,2,TRUE),VLOOKUP($D$3-(IF((Character!$B$9+W274)&gt;($D$3+Y274),(Character!$B$9+W274)-($D$3+Y274),0)),Calcs!$A$110:$B$122,2,TRUE)))))</f>
        <v xml:space="preserve"> </v>
      </c>
      <c r="AE274" s="490"/>
      <c r="AF274" s="879"/>
      <c r="AG274" s="491"/>
    </row>
    <row r="275" spans="1:33" x14ac:dyDescent="0.2">
      <c r="A275" s="415">
        <f t="shared" si="6"/>
        <v>1278</v>
      </c>
      <c r="B275" s="419" t="str">
        <f t="shared" si="7"/>
        <v>Autumn</v>
      </c>
      <c r="C275" s="455"/>
      <c r="D275" s="504"/>
      <c r="E275" s="455"/>
      <c r="F275" s="504"/>
      <c r="G275" s="455"/>
      <c r="H275" s="504"/>
      <c r="I275" s="455"/>
      <c r="J275" s="504"/>
      <c r="L275" s="472"/>
      <c r="M275" s="468"/>
      <c r="N275" s="468"/>
      <c r="O275" s="468"/>
      <c r="P275" s="468"/>
      <c r="Q275" s="473"/>
      <c r="R275" s="477" t="str">
        <f>IF(AND(COUNTIF('Start Character'!$I$63:$M$77,"Twilight Prone")=1,NOT(ISERROR(FIND("Magical Botch",M275)))),"Yes",IF(P275&gt;1,"Yes","No"))</f>
        <v>No</v>
      </c>
      <c r="S275" s="501"/>
      <c r="T275" s="478"/>
      <c r="U275" s="501"/>
      <c r="V275" s="479" t="str">
        <f>IF(R275="No","No Twilight",IF(T275="Yes","Uncomprehended Twilight",IF((Character!$B$14+IF(Character!$B$53="Yes",0,Character!$B$53)+IF(Magic!$C$5="Yes",2,0)+ROUNDUP((Magic!$B$30+IF(Magic!$C$30="Yes",3,0))/5,0)+S275)&gt;=($D$3+P275+SUMIF(Character!$I$62:$I$66,"Enigmatic Wisdom",Character!$J$62:$J$66)+Q275+U275),"No Twilight","Twilight")))</f>
        <v>No Twilight</v>
      </c>
      <c r="W275" s="483"/>
      <c r="X275" s="478"/>
      <c r="Y275" s="484"/>
      <c r="Z275" s="478"/>
      <c r="AA275" s="485" t="str">
        <f>IF(V275="Uncomprehended Twilight","Failed",IF(OR(ISBLANK(W275),ISBLANK(Y275))," ",IF(NOT(ISBLANK(X275)),"Failed",IF((W275+Character!$B$9+SUMIF(Character!$I$62:$I$66,"Enigmatic Wisdom",Character!$J$62:$J$66))&gt;=IF(Z275="Yes",0,(Y275+D270)),"Succeeded","Failed"))))</f>
        <v xml:space="preserve"> </v>
      </c>
      <c r="AB275" s="477" t="str">
        <f>IF(AA275=" "," ",IF(NOT(ISBLANK(X275)),VLOOKUP($D$3+X275,Calcs!$A$110:$C$122,3,TRUE),IF(AA275="Failed",VLOOKUP($D$3,Calcs!$A$110:$C$122,3,TRUE),VLOOKUP($D$3-(IF((Character!$B$9+W275)&gt;($D$3+Y275),(Character!$B$9+W275)-($D$3+Y275),0)),Calcs!$A$110:$C$122,3,TRUE))))</f>
        <v xml:space="preserve"> </v>
      </c>
      <c r="AC275" s="489"/>
      <c r="AD275" s="489" t="str">
        <f>IF(IF(AA275=" "," ",IF(NOT(ISBLANK(X275)),VLOOKUP($D$3+X275,Calcs!$A$110:$B$122,2,TRUE),IF(AA275="Failed",VLOOKUP($D$3,Calcs!$A$110:$B$122,2,TRUE),VLOOKUP($D$3-(IF((Character!$B$9+W275)&gt;($D$3+Y275),(Character!$B$9+W275)-($D$3+Y275),0)),Calcs!$A$110:$B$122,2,TRUE))))=Calcs!$B$120,IF(ISBLANK(AC275)," ",CONCATENATE(AC275+7," Years")),IF(AA275=" "," ",IF(NOT(ISBLANK(X275)),VLOOKUP($D$3+X275,Calcs!$A$110:$B$122,2,TRUE),IF(AA275="Failed",VLOOKUP($D$3,Calcs!$A$110:$B$122,2,TRUE),VLOOKUP($D$3-(IF((Character!$B$9+W275)&gt;($D$3+Y275),(Character!$B$9+W275)-($D$3+Y275),0)),Calcs!$A$110:$B$122,2,TRUE)))))</f>
        <v xml:space="preserve"> </v>
      </c>
      <c r="AE275" s="490"/>
      <c r="AF275" s="879"/>
      <c r="AG275" s="491"/>
    </row>
    <row r="276" spans="1:33" x14ac:dyDescent="0.2">
      <c r="A276" s="415">
        <f t="shared" si="6"/>
        <v>1279</v>
      </c>
      <c r="B276" s="419" t="str">
        <f t="shared" si="7"/>
        <v>Winter</v>
      </c>
      <c r="C276" s="455"/>
      <c r="D276" s="504"/>
      <c r="E276" s="455"/>
      <c r="F276" s="504"/>
      <c r="G276" s="455"/>
      <c r="H276" s="504"/>
      <c r="I276" s="455"/>
      <c r="J276" s="504"/>
      <c r="L276" s="472"/>
      <c r="M276" s="468"/>
      <c r="N276" s="468"/>
      <c r="O276" s="468"/>
      <c r="P276" s="468"/>
      <c r="Q276" s="473"/>
      <c r="R276" s="477" t="str">
        <f>IF(AND(COUNTIF('Start Character'!$I$63:$M$77,"Twilight Prone")=1,NOT(ISERROR(FIND("Magical Botch",M276)))),"Yes",IF(P276&gt;1,"Yes","No"))</f>
        <v>No</v>
      </c>
      <c r="S276" s="501"/>
      <c r="T276" s="478"/>
      <c r="U276" s="501"/>
      <c r="V276" s="479" t="str">
        <f>IF(R276="No","No Twilight",IF(T276="Yes","Uncomprehended Twilight",IF((Character!$B$14+IF(Character!$B$53="Yes",0,Character!$B$53)+IF(Magic!$C$5="Yes",2,0)+ROUNDUP((Magic!$B$30+IF(Magic!$C$30="Yes",3,0))/5,0)+S276)&gt;=($D$3+P276+SUMIF(Character!$I$62:$I$66,"Enigmatic Wisdom",Character!$J$62:$J$66)+Q276+U276),"No Twilight","Twilight")))</f>
        <v>No Twilight</v>
      </c>
      <c r="W276" s="483"/>
      <c r="X276" s="478"/>
      <c r="Y276" s="484"/>
      <c r="Z276" s="478"/>
      <c r="AA276" s="485" t="str">
        <f>IF(V276="Uncomprehended Twilight","Failed",IF(OR(ISBLANK(W276),ISBLANK(Y276))," ",IF(NOT(ISBLANK(X276)),"Failed",IF((W276+Character!$B$9+SUMIF(Character!$I$62:$I$66,"Enigmatic Wisdom",Character!$J$62:$J$66))&gt;=IF(Z276="Yes",0,(Y276+D271)),"Succeeded","Failed"))))</f>
        <v xml:space="preserve"> </v>
      </c>
      <c r="AB276" s="477" t="str">
        <f>IF(AA276=" "," ",IF(NOT(ISBLANK(X276)),VLOOKUP($D$3+X276,Calcs!$A$110:$C$122,3,TRUE),IF(AA276="Failed",VLOOKUP($D$3,Calcs!$A$110:$C$122,3,TRUE),VLOOKUP($D$3-(IF((Character!$B$9+W276)&gt;($D$3+Y276),(Character!$B$9+W276)-($D$3+Y276),0)),Calcs!$A$110:$C$122,3,TRUE))))</f>
        <v xml:space="preserve"> </v>
      </c>
      <c r="AC276" s="489"/>
      <c r="AD276" s="489" t="str">
        <f>IF(IF(AA276=" "," ",IF(NOT(ISBLANK(X276)),VLOOKUP($D$3+X276,Calcs!$A$110:$B$122,2,TRUE),IF(AA276="Failed",VLOOKUP($D$3,Calcs!$A$110:$B$122,2,TRUE),VLOOKUP($D$3-(IF((Character!$B$9+W276)&gt;($D$3+Y276),(Character!$B$9+W276)-($D$3+Y276),0)),Calcs!$A$110:$B$122,2,TRUE))))=Calcs!$B$120,IF(ISBLANK(AC276)," ",CONCATENATE(AC276+7," Years")),IF(AA276=" "," ",IF(NOT(ISBLANK(X276)),VLOOKUP($D$3+X276,Calcs!$A$110:$B$122,2,TRUE),IF(AA276="Failed",VLOOKUP($D$3,Calcs!$A$110:$B$122,2,TRUE),VLOOKUP($D$3-(IF((Character!$B$9+W276)&gt;($D$3+Y276),(Character!$B$9+W276)-($D$3+Y276),0)),Calcs!$A$110:$B$122,2,TRUE)))))</f>
        <v xml:space="preserve"> </v>
      </c>
      <c r="AE276" s="490"/>
      <c r="AF276" s="879"/>
      <c r="AG276" s="491"/>
    </row>
    <row r="277" spans="1:33" x14ac:dyDescent="0.2">
      <c r="A277" s="415">
        <f t="shared" si="6"/>
        <v>1279</v>
      </c>
      <c r="B277" s="419" t="str">
        <f t="shared" si="7"/>
        <v>Spring</v>
      </c>
      <c r="C277" s="455"/>
      <c r="D277" s="504"/>
      <c r="E277" s="455"/>
      <c r="F277" s="504"/>
      <c r="G277" s="455"/>
      <c r="H277" s="504"/>
      <c r="I277" s="455"/>
      <c r="J277" s="504"/>
      <c r="L277" s="472"/>
      <c r="M277" s="468"/>
      <c r="N277" s="468"/>
      <c r="O277" s="468"/>
      <c r="P277" s="468"/>
      <c r="Q277" s="473"/>
      <c r="R277" s="477" t="str">
        <f>IF(AND(COUNTIF('Start Character'!$I$63:$M$77,"Twilight Prone")=1,NOT(ISERROR(FIND("Magical Botch",M277)))),"Yes",IF(P277&gt;1,"Yes","No"))</f>
        <v>No</v>
      </c>
      <c r="S277" s="501"/>
      <c r="T277" s="478"/>
      <c r="U277" s="501"/>
      <c r="V277" s="479" t="str">
        <f>IF(R277="No","No Twilight",IF(T277="Yes","Uncomprehended Twilight",IF((Character!$B$14+IF(Character!$B$53="Yes",0,Character!$B$53)+IF(Magic!$C$5="Yes",2,0)+ROUNDUP((Magic!$B$30+IF(Magic!$C$30="Yes",3,0))/5,0)+S277)&gt;=($D$3+P277+SUMIF(Character!$I$62:$I$66,"Enigmatic Wisdom",Character!$J$62:$J$66)+Q277+U277),"No Twilight","Twilight")))</f>
        <v>No Twilight</v>
      </c>
      <c r="W277" s="483"/>
      <c r="X277" s="478"/>
      <c r="Y277" s="484"/>
      <c r="Z277" s="478"/>
      <c r="AA277" s="485" t="str">
        <f>IF(V277="Uncomprehended Twilight","Failed",IF(OR(ISBLANK(W277),ISBLANK(Y277))," ",IF(NOT(ISBLANK(X277)),"Failed",IF((W277+Character!$B$9+SUMIF(Character!$I$62:$I$66,"Enigmatic Wisdom",Character!$J$62:$J$66))&gt;=IF(Z277="Yes",0,(Y277+D272)),"Succeeded","Failed"))))</f>
        <v xml:space="preserve"> </v>
      </c>
      <c r="AB277" s="477" t="str">
        <f>IF(AA277=" "," ",IF(NOT(ISBLANK(X277)),VLOOKUP($D$3+X277,Calcs!$A$110:$C$122,3,TRUE),IF(AA277="Failed",VLOOKUP($D$3,Calcs!$A$110:$C$122,3,TRUE),VLOOKUP($D$3-(IF((Character!$B$9+W277)&gt;($D$3+Y277),(Character!$B$9+W277)-($D$3+Y277),0)),Calcs!$A$110:$C$122,3,TRUE))))</f>
        <v xml:space="preserve"> </v>
      </c>
      <c r="AC277" s="489"/>
      <c r="AD277" s="489" t="str">
        <f>IF(IF(AA277=" "," ",IF(NOT(ISBLANK(X277)),VLOOKUP($D$3+X277,Calcs!$A$110:$B$122,2,TRUE),IF(AA277="Failed",VLOOKUP($D$3,Calcs!$A$110:$B$122,2,TRUE),VLOOKUP($D$3-(IF((Character!$B$9+W277)&gt;($D$3+Y277),(Character!$B$9+W277)-($D$3+Y277),0)),Calcs!$A$110:$B$122,2,TRUE))))=Calcs!$B$120,IF(ISBLANK(AC277)," ",CONCATENATE(AC277+7," Years")),IF(AA277=" "," ",IF(NOT(ISBLANK(X277)),VLOOKUP($D$3+X277,Calcs!$A$110:$B$122,2,TRUE),IF(AA277="Failed",VLOOKUP($D$3,Calcs!$A$110:$B$122,2,TRUE),VLOOKUP($D$3-(IF((Character!$B$9+W277)&gt;($D$3+Y277),(Character!$B$9+W277)-($D$3+Y277),0)),Calcs!$A$110:$B$122,2,TRUE)))))</f>
        <v xml:space="preserve"> </v>
      </c>
      <c r="AE277" s="490"/>
      <c r="AF277" s="879"/>
      <c r="AG277" s="491"/>
    </row>
    <row r="278" spans="1:33" x14ac:dyDescent="0.2">
      <c r="A278" s="415">
        <f t="shared" si="6"/>
        <v>1279</v>
      </c>
      <c r="B278" s="419" t="str">
        <f t="shared" si="7"/>
        <v>Summer</v>
      </c>
      <c r="C278" s="455"/>
      <c r="D278" s="504"/>
      <c r="E278" s="455"/>
      <c r="F278" s="504"/>
      <c r="G278" s="455"/>
      <c r="H278" s="504"/>
      <c r="I278" s="455"/>
      <c r="J278" s="504"/>
      <c r="L278" s="472"/>
      <c r="M278" s="468"/>
      <c r="N278" s="468"/>
      <c r="O278" s="468"/>
      <c r="P278" s="468"/>
      <c r="Q278" s="473"/>
      <c r="R278" s="477" t="str">
        <f>IF(AND(COUNTIF('Start Character'!$I$63:$M$77,"Twilight Prone")=1,NOT(ISERROR(FIND("Magical Botch",M278)))),"Yes",IF(P278&gt;1,"Yes","No"))</f>
        <v>No</v>
      </c>
      <c r="S278" s="501"/>
      <c r="T278" s="478"/>
      <c r="U278" s="501"/>
      <c r="V278" s="479" t="str">
        <f>IF(R278="No","No Twilight",IF(T278="Yes","Uncomprehended Twilight",IF((Character!$B$14+IF(Character!$B$53="Yes",0,Character!$B$53)+IF(Magic!$C$5="Yes",2,0)+ROUNDUP((Magic!$B$30+IF(Magic!$C$30="Yes",3,0))/5,0)+S278)&gt;=($D$3+P278+SUMIF(Character!$I$62:$I$66,"Enigmatic Wisdom",Character!$J$62:$J$66)+Q278+U278),"No Twilight","Twilight")))</f>
        <v>No Twilight</v>
      </c>
      <c r="W278" s="483"/>
      <c r="X278" s="478"/>
      <c r="Y278" s="484"/>
      <c r="Z278" s="478"/>
      <c r="AA278" s="485" t="str">
        <f>IF(V278="Uncomprehended Twilight","Failed",IF(OR(ISBLANK(W278),ISBLANK(Y278))," ",IF(NOT(ISBLANK(X278)),"Failed",IF((W278+Character!$B$9+SUMIF(Character!$I$62:$I$66,"Enigmatic Wisdom",Character!$J$62:$J$66))&gt;=IF(Z278="Yes",0,(Y278+D273)),"Succeeded","Failed"))))</f>
        <v xml:space="preserve"> </v>
      </c>
      <c r="AB278" s="477" t="str">
        <f>IF(AA278=" "," ",IF(NOT(ISBLANK(X278)),VLOOKUP($D$3+X278,Calcs!$A$110:$C$122,3,TRUE),IF(AA278="Failed",VLOOKUP($D$3,Calcs!$A$110:$C$122,3,TRUE),VLOOKUP($D$3-(IF((Character!$B$9+W278)&gt;($D$3+Y278),(Character!$B$9+W278)-($D$3+Y278),0)),Calcs!$A$110:$C$122,3,TRUE))))</f>
        <v xml:space="preserve"> </v>
      </c>
      <c r="AC278" s="489"/>
      <c r="AD278" s="489" t="str">
        <f>IF(IF(AA278=" "," ",IF(NOT(ISBLANK(X278)),VLOOKUP($D$3+X278,Calcs!$A$110:$B$122,2,TRUE),IF(AA278="Failed",VLOOKUP($D$3,Calcs!$A$110:$B$122,2,TRUE),VLOOKUP($D$3-(IF((Character!$B$9+W278)&gt;($D$3+Y278),(Character!$B$9+W278)-($D$3+Y278),0)),Calcs!$A$110:$B$122,2,TRUE))))=Calcs!$B$120,IF(ISBLANK(AC278)," ",CONCATENATE(AC278+7," Years")),IF(AA278=" "," ",IF(NOT(ISBLANK(X278)),VLOOKUP($D$3+X278,Calcs!$A$110:$B$122,2,TRUE),IF(AA278="Failed",VLOOKUP($D$3,Calcs!$A$110:$B$122,2,TRUE),VLOOKUP($D$3-(IF((Character!$B$9+W278)&gt;($D$3+Y278),(Character!$B$9+W278)-($D$3+Y278),0)),Calcs!$A$110:$B$122,2,TRUE)))))</f>
        <v xml:space="preserve"> </v>
      </c>
      <c r="AE278" s="490"/>
      <c r="AF278" s="879"/>
      <c r="AG278" s="491"/>
    </row>
    <row r="279" spans="1:33" x14ac:dyDescent="0.2">
      <c r="A279" s="415">
        <f t="shared" si="6"/>
        <v>1279</v>
      </c>
      <c r="B279" s="419" t="str">
        <f t="shared" si="7"/>
        <v>Autumn</v>
      </c>
      <c r="C279" s="455"/>
      <c r="D279" s="504"/>
      <c r="E279" s="455"/>
      <c r="F279" s="504"/>
      <c r="G279" s="455"/>
      <c r="H279" s="504"/>
      <c r="I279" s="455"/>
      <c r="J279" s="504"/>
      <c r="L279" s="472"/>
      <c r="M279" s="468"/>
      <c r="N279" s="468"/>
      <c r="O279" s="468"/>
      <c r="P279" s="468"/>
      <c r="Q279" s="473"/>
      <c r="R279" s="477" t="str">
        <f>IF(AND(COUNTIF('Start Character'!$I$63:$M$77,"Twilight Prone")=1,NOT(ISERROR(FIND("Magical Botch",M279)))),"Yes",IF(P279&gt;1,"Yes","No"))</f>
        <v>No</v>
      </c>
      <c r="S279" s="501"/>
      <c r="T279" s="478"/>
      <c r="U279" s="501"/>
      <c r="V279" s="479" t="str">
        <f>IF(R279="No","No Twilight",IF(T279="Yes","Uncomprehended Twilight",IF((Character!$B$14+IF(Character!$B$53="Yes",0,Character!$B$53)+IF(Magic!$C$5="Yes",2,0)+ROUNDUP((Magic!$B$30+IF(Magic!$C$30="Yes",3,0))/5,0)+S279)&gt;=($D$3+P279+SUMIF(Character!$I$62:$I$66,"Enigmatic Wisdom",Character!$J$62:$J$66)+Q279+U279),"No Twilight","Twilight")))</f>
        <v>No Twilight</v>
      </c>
      <c r="W279" s="483"/>
      <c r="X279" s="478"/>
      <c r="Y279" s="484"/>
      <c r="Z279" s="478"/>
      <c r="AA279" s="485" t="str">
        <f>IF(V279="Uncomprehended Twilight","Failed",IF(OR(ISBLANK(W279),ISBLANK(Y279))," ",IF(NOT(ISBLANK(X279)),"Failed",IF((W279+Character!$B$9+SUMIF(Character!$I$62:$I$66,"Enigmatic Wisdom",Character!$J$62:$J$66))&gt;=IF(Z279="Yes",0,(Y279+D274)),"Succeeded","Failed"))))</f>
        <v xml:space="preserve"> </v>
      </c>
      <c r="AB279" s="477" t="str">
        <f>IF(AA279=" "," ",IF(NOT(ISBLANK(X279)),VLOOKUP($D$3+X279,Calcs!$A$110:$C$122,3,TRUE),IF(AA279="Failed",VLOOKUP($D$3,Calcs!$A$110:$C$122,3,TRUE),VLOOKUP($D$3-(IF((Character!$B$9+W279)&gt;($D$3+Y279),(Character!$B$9+W279)-($D$3+Y279),0)),Calcs!$A$110:$C$122,3,TRUE))))</f>
        <v xml:space="preserve"> </v>
      </c>
      <c r="AC279" s="489"/>
      <c r="AD279" s="489" t="str">
        <f>IF(IF(AA279=" "," ",IF(NOT(ISBLANK(X279)),VLOOKUP($D$3+X279,Calcs!$A$110:$B$122,2,TRUE),IF(AA279="Failed",VLOOKUP($D$3,Calcs!$A$110:$B$122,2,TRUE),VLOOKUP($D$3-(IF((Character!$B$9+W279)&gt;($D$3+Y279),(Character!$B$9+W279)-($D$3+Y279),0)),Calcs!$A$110:$B$122,2,TRUE))))=Calcs!$B$120,IF(ISBLANK(AC279)," ",CONCATENATE(AC279+7," Years")),IF(AA279=" "," ",IF(NOT(ISBLANK(X279)),VLOOKUP($D$3+X279,Calcs!$A$110:$B$122,2,TRUE),IF(AA279="Failed",VLOOKUP($D$3,Calcs!$A$110:$B$122,2,TRUE),VLOOKUP($D$3-(IF((Character!$B$9+W279)&gt;($D$3+Y279),(Character!$B$9+W279)-($D$3+Y279),0)),Calcs!$A$110:$B$122,2,TRUE)))))</f>
        <v xml:space="preserve"> </v>
      </c>
      <c r="AE279" s="490"/>
      <c r="AF279" s="879"/>
      <c r="AG279" s="491"/>
    </row>
    <row r="280" spans="1:33" x14ac:dyDescent="0.2">
      <c r="A280" s="415">
        <f t="shared" si="6"/>
        <v>1280</v>
      </c>
      <c r="B280" s="419" t="str">
        <f t="shared" si="7"/>
        <v>Winter</v>
      </c>
      <c r="C280" s="455"/>
      <c r="D280" s="504"/>
      <c r="E280" s="455"/>
      <c r="F280" s="504"/>
      <c r="G280" s="455"/>
      <c r="H280" s="504"/>
      <c r="I280" s="455"/>
      <c r="J280" s="504"/>
      <c r="L280" s="472"/>
      <c r="M280" s="468"/>
      <c r="N280" s="468"/>
      <c r="O280" s="468"/>
      <c r="P280" s="468"/>
      <c r="Q280" s="473"/>
      <c r="R280" s="477" t="str">
        <f>IF(AND(COUNTIF('Start Character'!$I$63:$M$77,"Twilight Prone")=1,NOT(ISERROR(FIND("Magical Botch",M280)))),"Yes",IF(P280&gt;1,"Yes","No"))</f>
        <v>No</v>
      </c>
      <c r="S280" s="501"/>
      <c r="T280" s="478"/>
      <c r="U280" s="501"/>
      <c r="V280" s="479" t="str">
        <f>IF(R280="No","No Twilight",IF(T280="Yes","Uncomprehended Twilight",IF((Character!$B$14+IF(Character!$B$53="Yes",0,Character!$B$53)+IF(Magic!$C$5="Yes",2,0)+ROUNDUP((Magic!$B$30+IF(Magic!$C$30="Yes",3,0))/5,0)+S280)&gt;=($D$3+P280+SUMIF(Character!$I$62:$I$66,"Enigmatic Wisdom",Character!$J$62:$J$66)+Q280+U280),"No Twilight","Twilight")))</f>
        <v>No Twilight</v>
      </c>
      <c r="W280" s="483"/>
      <c r="X280" s="478"/>
      <c r="Y280" s="484"/>
      <c r="Z280" s="478"/>
      <c r="AA280" s="485" t="str">
        <f>IF(V280="Uncomprehended Twilight","Failed",IF(OR(ISBLANK(W280),ISBLANK(Y280))," ",IF(NOT(ISBLANK(X280)),"Failed",IF((W280+Character!$B$9+SUMIF(Character!$I$62:$I$66,"Enigmatic Wisdom",Character!$J$62:$J$66))&gt;=IF(Z280="Yes",0,(Y280+D275)),"Succeeded","Failed"))))</f>
        <v xml:space="preserve"> </v>
      </c>
      <c r="AB280" s="477" t="str">
        <f>IF(AA280=" "," ",IF(NOT(ISBLANK(X280)),VLOOKUP($D$3+X280,Calcs!$A$110:$C$122,3,TRUE),IF(AA280="Failed",VLOOKUP($D$3,Calcs!$A$110:$C$122,3,TRUE),VLOOKUP($D$3-(IF((Character!$B$9+W280)&gt;($D$3+Y280),(Character!$B$9+W280)-($D$3+Y280),0)),Calcs!$A$110:$C$122,3,TRUE))))</f>
        <v xml:space="preserve"> </v>
      </c>
      <c r="AC280" s="489"/>
      <c r="AD280" s="489" t="str">
        <f>IF(IF(AA280=" "," ",IF(NOT(ISBLANK(X280)),VLOOKUP($D$3+X280,Calcs!$A$110:$B$122,2,TRUE),IF(AA280="Failed",VLOOKUP($D$3,Calcs!$A$110:$B$122,2,TRUE),VLOOKUP($D$3-(IF((Character!$B$9+W280)&gt;($D$3+Y280),(Character!$B$9+W280)-($D$3+Y280),0)),Calcs!$A$110:$B$122,2,TRUE))))=Calcs!$B$120,IF(ISBLANK(AC280)," ",CONCATENATE(AC280+7," Years")),IF(AA280=" "," ",IF(NOT(ISBLANK(X280)),VLOOKUP($D$3+X280,Calcs!$A$110:$B$122,2,TRUE),IF(AA280="Failed",VLOOKUP($D$3,Calcs!$A$110:$B$122,2,TRUE),VLOOKUP($D$3-(IF((Character!$B$9+W280)&gt;($D$3+Y280),(Character!$B$9+W280)-($D$3+Y280),0)),Calcs!$A$110:$B$122,2,TRUE)))))</f>
        <v xml:space="preserve"> </v>
      </c>
      <c r="AE280" s="490"/>
      <c r="AF280" s="879"/>
      <c r="AG280" s="491"/>
    </row>
    <row r="281" spans="1:33" x14ac:dyDescent="0.2">
      <c r="A281" s="415">
        <f t="shared" si="6"/>
        <v>1280</v>
      </c>
      <c r="B281" s="419" t="str">
        <f t="shared" si="7"/>
        <v>Spring</v>
      </c>
      <c r="C281" s="455"/>
      <c r="D281" s="504"/>
      <c r="E281" s="455"/>
      <c r="F281" s="504"/>
      <c r="G281" s="455"/>
      <c r="H281" s="504"/>
      <c r="I281" s="455"/>
      <c r="J281" s="504"/>
      <c r="L281" s="472"/>
      <c r="M281" s="468"/>
      <c r="N281" s="468"/>
      <c r="O281" s="468"/>
      <c r="P281" s="468"/>
      <c r="Q281" s="473"/>
      <c r="R281" s="477" t="str">
        <f>IF(AND(COUNTIF('Start Character'!$I$63:$M$77,"Twilight Prone")=1,NOT(ISERROR(FIND("Magical Botch",M281)))),"Yes",IF(P281&gt;1,"Yes","No"))</f>
        <v>No</v>
      </c>
      <c r="S281" s="501"/>
      <c r="T281" s="478"/>
      <c r="U281" s="501"/>
      <c r="V281" s="479" t="str">
        <f>IF(R281="No","No Twilight",IF(T281="Yes","Uncomprehended Twilight",IF((Character!$B$14+IF(Character!$B$53="Yes",0,Character!$B$53)+IF(Magic!$C$5="Yes",2,0)+ROUNDUP((Magic!$B$30+IF(Magic!$C$30="Yes",3,0))/5,0)+S281)&gt;=($D$3+P281+SUMIF(Character!$I$62:$I$66,"Enigmatic Wisdom",Character!$J$62:$J$66)+Q281+U281),"No Twilight","Twilight")))</f>
        <v>No Twilight</v>
      </c>
      <c r="W281" s="483"/>
      <c r="X281" s="478"/>
      <c r="Y281" s="484"/>
      <c r="Z281" s="478"/>
      <c r="AA281" s="485" t="str">
        <f>IF(V281="Uncomprehended Twilight","Failed",IF(OR(ISBLANK(W281),ISBLANK(Y281))," ",IF(NOT(ISBLANK(X281)),"Failed",IF((W281+Character!$B$9+SUMIF(Character!$I$62:$I$66,"Enigmatic Wisdom",Character!$J$62:$J$66))&gt;=IF(Z281="Yes",0,(Y281+D276)),"Succeeded","Failed"))))</f>
        <v xml:space="preserve"> </v>
      </c>
      <c r="AB281" s="477" t="str">
        <f>IF(AA281=" "," ",IF(NOT(ISBLANK(X281)),VLOOKUP($D$3+X281,Calcs!$A$110:$C$122,3,TRUE),IF(AA281="Failed",VLOOKUP($D$3,Calcs!$A$110:$C$122,3,TRUE),VLOOKUP($D$3-(IF((Character!$B$9+W281)&gt;($D$3+Y281),(Character!$B$9+W281)-($D$3+Y281),0)),Calcs!$A$110:$C$122,3,TRUE))))</f>
        <v xml:space="preserve"> </v>
      </c>
      <c r="AC281" s="489"/>
      <c r="AD281" s="489" t="str">
        <f>IF(IF(AA281=" "," ",IF(NOT(ISBLANK(X281)),VLOOKUP($D$3+X281,Calcs!$A$110:$B$122,2,TRUE),IF(AA281="Failed",VLOOKUP($D$3,Calcs!$A$110:$B$122,2,TRUE),VLOOKUP($D$3-(IF((Character!$B$9+W281)&gt;($D$3+Y281),(Character!$B$9+W281)-($D$3+Y281),0)),Calcs!$A$110:$B$122,2,TRUE))))=Calcs!$B$120,IF(ISBLANK(AC281)," ",CONCATENATE(AC281+7," Years")),IF(AA281=" "," ",IF(NOT(ISBLANK(X281)),VLOOKUP($D$3+X281,Calcs!$A$110:$B$122,2,TRUE),IF(AA281="Failed",VLOOKUP($D$3,Calcs!$A$110:$B$122,2,TRUE),VLOOKUP($D$3-(IF((Character!$B$9+W281)&gt;($D$3+Y281),(Character!$B$9+W281)-($D$3+Y281),0)),Calcs!$A$110:$B$122,2,TRUE)))))</f>
        <v xml:space="preserve"> </v>
      </c>
      <c r="AE281" s="490"/>
      <c r="AF281" s="879"/>
      <c r="AG281" s="491"/>
    </row>
    <row r="282" spans="1:33" x14ac:dyDescent="0.2">
      <c r="A282" s="415">
        <f t="shared" si="6"/>
        <v>1280</v>
      </c>
      <c r="B282" s="419" t="str">
        <f t="shared" si="7"/>
        <v>Summer</v>
      </c>
      <c r="C282" s="455"/>
      <c r="D282" s="504"/>
      <c r="E282" s="455"/>
      <c r="F282" s="504"/>
      <c r="G282" s="455"/>
      <c r="H282" s="504"/>
      <c r="I282" s="455"/>
      <c r="J282" s="504"/>
      <c r="L282" s="472"/>
      <c r="M282" s="468"/>
      <c r="N282" s="468"/>
      <c r="O282" s="468"/>
      <c r="P282" s="468"/>
      <c r="Q282" s="473"/>
      <c r="R282" s="477" t="str">
        <f>IF(AND(COUNTIF('Start Character'!$I$63:$M$77,"Twilight Prone")=1,NOT(ISERROR(FIND("Magical Botch",M282)))),"Yes",IF(P282&gt;1,"Yes","No"))</f>
        <v>No</v>
      </c>
      <c r="S282" s="501"/>
      <c r="T282" s="478"/>
      <c r="U282" s="501"/>
      <c r="V282" s="479" t="str">
        <f>IF(R282="No","No Twilight",IF(T282="Yes","Uncomprehended Twilight",IF((Character!$B$14+IF(Character!$B$53="Yes",0,Character!$B$53)+IF(Magic!$C$5="Yes",2,0)+ROUNDUP((Magic!$B$30+IF(Magic!$C$30="Yes",3,0))/5,0)+S282)&gt;=($D$3+P282+SUMIF(Character!$I$62:$I$66,"Enigmatic Wisdom",Character!$J$62:$J$66)+Q282+U282),"No Twilight","Twilight")))</f>
        <v>No Twilight</v>
      </c>
      <c r="W282" s="483"/>
      <c r="X282" s="478"/>
      <c r="Y282" s="484"/>
      <c r="Z282" s="478"/>
      <c r="AA282" s="485" t="str">
        <f>IF(V282="Uncomprehended Twilight","Failed",IF(OR(ISBLANK(W282),ISBLANK(Y282))," ",IF(NOT(ISBLANK(X282)),"Failed",IF((W282+Character!$B$9+SUMIF(Character!$I$62:$I$66,"Enigmatic Wisdom",Character!$J$62:$J$66))&gt;=IF(Z282="Yes",0,(Y282+D277)),"Succeeded","Failed"))))</f>
        <v xml:space="preserve"> </v>
      </c>
      <c r="AB282" s="477" t="str">
        <f>IF(AA282=" "," ",IF(NOT(ISBLANK(X282)),VLOOKUP($D$3+X282,Calcs!$A$110:$C$122,3,TRUE),IF(AA282="Failed",VLOOKUP($D$3,Calcs!$A$110:$C$122,3,TRUE),VLOOKUP($D$3-(IF((Character!$B$9+W282)&gt;($D$3+Y282),(Character!$B$9+W282)-($D$3+Y282),0)),Calcs!$A$110:$C$122,3,TRUE))))</f>
        <v xml:space="preserve"> </v>
      </c>
      <c r="AC282" s="489"/>
      <c r="AD282" s="489" t="str">
        <f>IF(IF(AA282=" "," ",IF(NOT(ISBLANK(X282)),VLOOKUP($D$3+X282,Calcs!$A$110:$B$122,2,TRUE),IF(AA282="Failed",VLOOKUP($D$3,Calcs!$A$110:$B$122,2,TRUE),VLOOKUP($D$3-(IF((Character!$B$9+W282)&gt;($D$3+Y282),(Character!$B$9+W282)-($D$3+Y282),0)),Calcs!$A$110:$B$122,2,TRUE))))=Calcs!$B$120,IF(ISBLANK(AC282)," ",CONCATENATE(AC282+7," Years")),IF(AA282=" "," ",IF(NOT(ISBLANK(X282)),VLOOKUP($D$3+X282,Calcs!$A$110:$B$122,2,TRUE),IF(AA282="Failed",VLOOKUP($D$3,Calcs!$A$110:$B$122,2,TRUE),VLOOKUP($D$3-(IF((Character!$B$9+W282)&gt;($D$3+Y282),(Character!$B$9+W282)-($D$3+Y282),0)),Calcs!$A$110:$B$122,2,TRUE)))))</f>
        <v xml:space="preserve"> </v>
      </c>
      <c r="AE282" s="490"/>
      <c r="AF282" s="879"/>
      <c r="AG282" s="491"/>
    </row>
    <row r="283" spans="1:33" x14ac:dyDescent="0.2">
      <c r="A283" s="415">
        <f t="shared" si="6"/>
        <v>1280</v>
      </c>
      <c r="B283" s="419" t="str">
        <f t="shared" si="7"/>
        <v>Autumn</v>
      </c>
      <c r="C283" s="455"/>
      <c r="D283" s="504"/>
      <c r="E283" s="455"/>
      <c r="F283" s="504"/>
      <c r="G283" s="455"/>
      <c r="H283" s="504"/>
      <c r="I283" s="455"/>
      <c r="J283" s="504"/>
      <c r="L283" s="472"/>
      <c r="M283" s="468"/>
      <c r="N283" s="468"/>
      <c r="O283" s="468"/>
      <c r="P283" s="468"/>
      <c r="Q283" s="473"/>
      <c r="R283" s="477" t="str">
        <f>IF(AND(COUNTIF('Start Character'!$I$63:$M$77,"Twilight Prone")=1,NOT(ISERROR(FIND("Magical Botch",M283)))),"Yes",IF(P283&gt;1,"Yes","No"))</f>
        <v>No</v>
      </c>
      <c r="S283" s="501"/>
      <c r="T283" s="478"/>
      <c r="U283" s="501"/>
      <c r="V283" s="479" t="str">
        <f>IF(R283="No","No Twilight",IF(T283="Yes","Uncomprehended Twilight",IF((Character!$B$14+IF(Character!$B$53="Yes",0,Character!$B$53)+IF(Magic!$C$5="Yes",2,0)+ROUNDUP((Magic!$B$30+IF(Magic!$C$30="Yes",3,0))/5,0)+S283)&gt;=($D$3+P283+SUMIF(Character!$I$62:$I$66,"Enigmatic Wisdom",Character!$J$62:$J$66)+Q283+U283),"No Twilight","Twilight")))</f>
        <v>No Twilight</v>
      </c>
      <c r="W283" s="483"/>
      <c r="X283" s="478"/>
      <c r="Y283" s="484"/>
      <c r="Z283" s="478"/>
      <c r="AA283" s="485" t="str">
        <f>IF(V283="Uncomprehended Twilight","Failed",IF(OR(ISBLANK(W283),ISBLANK(Y283))," ",IF(NOT(ISBLANK(X283)),"Failed",IF((W283+Character!$B$9+SUMIF(Character!$I$62:$I$66,"Enigmatic Wisdom",Character!$J$62:$J$66))&gt;=IF(Z283="Yes",0,(Y283+D278)),"Succeeded","Failed"))))</f>
        <v xml:space="preserve"> </v>
      </c>
      <c r="AB283" s="477" t="str">
        <f>IF(AA283=" "," ",IF(NOT(ISBLANK(X283)),VLOOKUP($D$3+X283,Calcs!$A$110:$C$122,3,TRUE),IF(AA283="Failed",VLOOKUP($D$3,Calcs!$A$110:$C$122,3,TRUE),VLOOKUP($D$3-(IF((Character!$B$9+W283)&gt;($D$3+Y283),(Character!$B$9+W283)-($D$3+Y283),0)),Calcs!$A$110:$C$122,3,TRUE))))</f>
        <v xml:space="preserve"> </v>
      </c>
      <c r="AC283" s="489"/>
      <c r="AD283" s="489" t="str">
        <f>IF(IF(AA283=" "," ",IF(NOT(ISBLANK(X283)),VLOOKUP($D$3+X283,Calcs!$A$110:$B$122,2,TRUE),IF(AA283="Failed",VLOOKUP($D$3,Calcs!$A$110:$B$122,2,TRUE),VLOOKUP($D$3-(IF((Character!$B$9+W283)&gt;($D$3+Y283),(Character!$B$9+W283)-($D$3+Y283),0)),Calcs!$A$110:$B$122,2,TRUE))))=Calcs!$B$120,IF(ISBLANK(AC283)," ",CONCATENATE(AC283+7," Years")),IF(AA283=" "," ",IF(NOT(ISBLANK(X283)),VLOOKUP($D$3+X283,Calcs!$A$110:$B$122,2,TRUE),IF(AA283="Failed",VLOOKUP($D$3,Calcs!$A$110:$B$122,2,TRUE),VLOOKUP($D$3-(IF((Character!$B$9+W283)&gt;($D$3+Y283),(Character!$B$9+W283)-($D$3+Y283),0)),Calcs!$A$110:$B$122,2,TRUE)))))</f>
        <v xml:space="preserve"> </v>
      </c>
      <c r="AE283" s="490"/>
      <c r="AF283" s="879"/>
      <c r="AG283" s="491"/>
    </row>
    <row r="284" spans="1:33" x14ac:dyDescent="0.2">
      <c r="A284" s="415">
        <f t="shared" si="6"/>
        <v>1281</v>
      </c>
      <c r="B284" s="419" t="str">
        <f t="shared" si="7"/>
        <v>Winter</v>
      </c>
      <c r="C284" s="455"/>
      <c r="D284" s="504"/>
      <c r="E284" s="455"/>
      <c r="F284" s="504"/>
      <c r="G284" s="455"/>
      <c r="H284" s="504"/>
      <c r="I284" s="455"/>
      <c r="J284" s="504"/>
      <c r="L284" s="472"/>
      <c r="M284" s="468"/>
      <c r="N284" s="468"/>
      <c r="O284" s="468"/>
      <c r="P284" s="468"/>
      <c r="Q284" s="473"/>
      <c r="R284" s="477" t="str">
        <f>IF(AND(COUNTIF('Start Character'!$I$63:$M$77,"Twilight Prone")=1,NOT(ISERROR(FIND("Magical Botch",M284)))),"Yes",IF(P284&gt;1,"Yes","No"))</f>
        <v>No</v>
      </c>
      <c r="S284" s="501"/>
      <c r="T284" s="478"/>
      <c r="U284" s="501"/>
      <c r="V284" s="479" t="str">
        <f>IF(R284="No","No Twilight",IF(T284="Yes","Uncomprehended Twilight",IF((Character!$B$14+IF(Character!$B$53="Yes",0,Character!$B$53)+IF(Magic!$C$5="Yes",2,0)+ROUNDUP((Magic!$B$30+IF(Magic!$C$30="Yes",3,0))/5,0)+S284)&gt;=($D$3+P284+SUMIF(Character!$I$62:$I$66,"Enigmatic Wisdom",Character!$J$62:$J$66)+Q284+U284),"No Twilight","Twilight")))</f>
        <v>No Twilight</v>
      </c>
      <c r="W284" s="483"/>
      <c r="X284" s="478"/>
      <c r="Y284" s="484"/>
      <c r="Z284" s="478"/>
      <c r="AA284" s="485" t="str">
        <f>IF(V284="Uncomprehended Twilight","Failed",IF(OR(ISBLANK(W284),ISBLANK(Y284))," ",IF(NOT(ISBLANK(X284)),"Failed",IF((W284+Character!$B$9+SUMIF(Character!$I$62:$I$66,"Enigmatic Wisdom",Character!$J$62:$J$66))&gt;=IF(Z284="Yes",0,(Y284+D279)),"Succeeded","Failed"))))</f>
        <v xml:space="preserve"> </v>
      </c>
      <c r="AB284" s="477" t="str">
        <f>IF(AA284=" "," ",IF(NOT(ISBLANK(X284)),VLOOKUP($D$3+X284,Calcs!$A$110:$C$122,3,TRUE),IF(AA284="Failed",VLOOKUP($D$3,Calcs!$A$110:$C$122,3,TRUE),VLOOKUP($D$3-(IF((Character!$B$9+W284)&gt;($D$3+Y284),(Character!$B$9+W284)-($D$3+Y284),0)),Calcs!$A$110:$C$122,3,TRUE))))</f>
        <v xml:space="preserve"> </v>
      </c>
      <c r="AC284" s="489"/>
      <c r="AD284" s="489" t="str">
        <f>IF(IF(AA284=" "," ",IF(NOT(ISBLANK(X284)),VLOOKUP($D$3+X284,Calcs!$A$110:$B$122,2,TRUE),IF(AA284="Failed",VLOOKUP($D$3,Calcs!$A$110:$B$122,2,TRUE),VLOOKUP($D$3-(IF((Character!$B$9+W284)&gt;($D$3+Y284),(Character!$B$9+W284)-($D$3+Y284),0)),Calcs!$A$110:$B$122,2,TRUE))))=Calcs!$B$120,IF(ISBLANK(AC284)," ",CONCATENATE(AC284+7," Years")),IF(AA284=" "," ",IF(NOT(ISBLANK(X284)),VLOOKUP($D$3+X284,Calcs!$A$110:$B$122,2,TRUE),IF(AA284="Failed",VLOOKUP($D$3,Calcs!$A$110:$B$122,2,TRUE),VLOOKUP($D$3-(IF((Character!$B$9+W284)&gt;($D$3+Y284),(Character!$B$9+W284)-($D$3+Y284),0)),Calcs!$A$110:$B$122,2,TRUE)))))</f>
        <v xml:space="preserve"> </v>
      </c>
      <c r="AE284" s="490"/>
      <c r="AF284" s="879"/>
      <c r="AG284" s="491"/>
    </row>
    <row r="285" spans="1:33" x14ac:dyDescent="0.2">
      <c r="A285" s="415">
        <f t="shared" ref="A285:A348" si="8">IF(B284="Autumn",A284+1,A284)</f>
        <v>1281</v>
      </c>
      <c r="B285" s="419" t="str">
        <f t="shared" ref="B285:B348" si="9">IF(B284="spring","Summer",IF(B284="Summer","Autumn",IF(B284="Autumn","Winter",IF(B284="Winter","Spring"," "))))</f>
        <v>Spring</v>
      </c>
      <c r="C285" s="455"/>
      <c r="D285" s="504"/>
      <c r="E285" s="455"/>
      <c r="F285" s="504"/>
      <c r="G285" s="455"/>
      <c r="H285" s="504"/>
      <c r="I285" s="455"/>
      <c r="J285" s="504"/>
      <c r="L285" s="472"/>
      <c r="M285" s="468"/>
      <c r="N285" s="468"/>
      <c r="O285" s="468"/>
      <c r="P285" s="468"/>
      <c r="Q285" s="473"/>
      <c r="R285" s="477" t="str">
        <f>IF(AND(COUNTIF('Start Character'!$I$63:$M$77,"Twilight Prone")=1,NOT(ISERROR(FIND("Magical Botch",M285)))),"Yes",IF(P285&gt;1,"Yes","No"))</f>
        <v>No</v>
      </c>
      <c r="S285" s="501"/>
      <c r="T285" s="478"/>
      <c r="U285" s="501"/>
      <c r="V285" s="479" t="str">
        <f>IF(R285="No","No Twilight",IF(T285="Yes","Uncomprehended Twilight",IF((Character!$B$14+IF(Character!$B$53="Yes",0,Character!$B$53)+IF(Magic!$C$5="Yes",2,0)+ROUNDUP((Magic!$B$30+IF(Magic!$C$30="Yes",3,0))/5,0)+S285)&gt;=($D$3+P285+SUMIF(Character!$I$62:$I$66,"Enigmatic Wisdom",Character!$J$62:$J$66)+Q285+U285),"No Twilight","Twilight")))</f>
        <v>No Twilight</v>
      </c>
      <c r="W285" s="483"/>
      <c r="X285" s="478"/>
      <c r="Y285" s="484"/>
      <c r="Z285" s="478"/>
      <c r="AA285" s="485" t="str">
        <f>IF(V285="Uncomprehended Twilight","Failed",IF(OR(ISBLANK(W285),ISBLANK(Y285))," ",IF(NOT(ISBLANK(X285)),"Failed",IF((W285+Character!$B$9+SUMIF(Character!$I$62:$I$66,"Enigmatic Wisdom",Character!$J$62:$J$66))&gt;=IF(Z285="Yes",0,(Y285+D280)),"Succeeded","Failed"))))</f>
        <v xml:space="preserve"> </v>
      </c>
      <c r="AB285" s="477" t="str">
        <f>IF(AA285=" "," ",IF(NOT(ISBLANK(X285)),VLOOKUP($D$3+X285,Calcs!$A$110:$C$122,3,TRUE),IF(AA285="Failed",VLOOKUP($D$3,Calcs!$A$110:$C$122,3,TRUE),VLOOKUP($D$3-(IF((Character!$B$9+W285)&gt;($D$3+Y285),(Character!$B$9+W285)-($D$3+Y285),0)),Calcs!$A$110:$C$122,3,TRUE))))</f>
        <v xml:space="preserve"> </v>
      </c>
      <c r="AC285" s="489"/>
      <c r="AD285" s="489" t="str">
        <f>IF(IF(AA285=" "," ",IF(NOT(ISBLANK(X285)),VLOOKUP($D$3+X285,Calcs!$A$110:$B$122,2,TRUE),IF(AA285="Failed",VLOOKUP($D$3,Calcs!$A$110:$B$122,2,TRUE),VLOOKUP($D$3-(IF((Character!$B$9+W285)&gt;($D$3+Y285),(Character!$B$9+W285)-($D$3+Y285),0)),Calcs!$A$110:$B$122,2,TRUE))))=Calcs!$B$120,IF(ISBLANK(AC285)," ",CONCATENATE(AC285+7," Years")),IF(AA285=" "," ",IF(NOT(ISBLANK(X285)),VLOOKUP($D$3+X285,Calcs!$A$110:$B$122,2,TRUE),IF(AA285="Failed",VLOOKUP($D$3,Calcs!$A$110:$B$122,2,TRUE),VLOOKUP($D$3-(IF((Character!$B$9+W285)&gt;($D$3+Y285),(Character!$B$9+W285)-($D$3+Y285),0)),Calcs!$A$110:$B$122,2,TRUE)))))</f>
        <v xml:space="preserve"> </v>
      </c>
      <c r="AE285" s="490"/>
      <c r="AF285" s="879"/>
      <c r="AG285" s="491"/>
    </row>
    <row r="286" spans="1:33" x14ac:dyDescent="0.2">
      <c r="A286" s="415">
        <f t="shared" si="8"/>
        <v>1281</v>
      </c>
      <c r="B286" s="419" t="str">
        <f t="shared" si="9"/>
        <v>Summer</v>
      </c>
      <c r="C286" s="455"/>
      <c r="D286" s="504"/>
      <c r="E286" s="455"/>
      <c r="F286" s="504"/>
      <c r="G286" s="455"/>
      <c r="H286" s="504"/>
      <c r="I286" s="455"/>
      <c r="J286" s="504"/>
      <c r="L286" s="472"/>
      <c r="M286" s="468"/>
      <c r="N286" s="468"/>
      <c r="O286" s="468"/>
      <c r="P286" s="468"/>
      <c r="Q286" s="473"/>
      <c r="R286" s="477" t="str">
        <f>IF(AND(COUNTIF('Start Character'!$I$63:$M$77,"Twilight Prone")=1,NOT(ISERROR(FIND("Magical Botch",M286)))),"Yes",IF(P286&gt;1,"Yes","No"))</f>
        <v>No</v>
      </c>
      <c r="S286" s="501"/>
      <c r="T286" s="478"/>
      <c r="U286" s="501"/>
      <c r="V286" s="479" t="str">
        <f>IF(R286="No","No Twilight",IF(T286="Yes","Uncomprehended Twilight",IF((Character!$B$14+IF(Character!$B$53="Yes",0,Character!$B$53)+IF(Magic!$C$5="Yes",2,0)+ROUNDUP((Magic!$B$30+IF(Magic!$C$30="Yes",3,0))/5,0)+S286)&gt;=($D$3+P286+SUMIF(Character!$I$62:$I$66,"Enigmatic Wisdom",Character!$J$62:$J$66)+Q286+U286),"No Twilight","Twilight")))</f>
        <v>No Twilight</v>
      </c>
      <c r="W286" s="483"/>
      <c r="X286" s="478"/>
      <c r="Y286" s="484"/>
      <c r="Z286" s="478"/>
      <c r="AA286" s="485" t="str">
        <f>IF(V286="Uncomprehended Twilight","Failed",IF(OR(ISBLANK(W286),ISBLANK(Y286))," ",IF(NOT(ISBLANK(X286)),"Failed",IF((W286+Character!$B$9+SUMIF(Character!$I$62:$I$66,"Enigmatic Wisdom",Character!$J$62:$J$66))&gt;=IF(Z286="Yes",0,(Y286+D281)),"Succeeded","Failed"))))</f>
        <v xml:space="preserve"> </v>
      </c>
      <c r="AB286" s="477" t="str">
        <f>IF(AA286=" "," ",IF(NOT(ISBLANK(X286)),VLOOKUP($D$3+X286,Calcs!$A$110:$C$122,3,TRUE),IF(AA286="Failed",VLOOKUP($D$3,Calcs!$A$110:$C$122,3,TRUE),VLOOKUP($D$3-(IF((Character!$B$9+W286)&gt;($D$3+Y286),(Character!$B$9+W286)-($D$3+Y286),0)),Calcs!$A$110:$C$122,3,TRUE))))</f>
        <v xml:space="preserve"> </v>
      </c>
      <c r="AC286" s="489"/>
      <c r="AD286" s="489" t="str">
        <f>IF(IF(AA286=" "," ",IF(NOT(ISBLANK(X286)),VLOOKUP($D$3+X286,Calcs!$A$110:$B$122,2,TRUE),IF(AA286="Failed",VLOOKUP($D$3,Calcs!$A$110:$B$122,2,TRUE),VLOOKUP($D$3-(IF((Character!$B$9+W286)&gt;($D$3+Y286),(Character!$B$9+W286)-($D$3+Y286),0)),Calcs!$A$110:$B$122,2,TRUE))))=Calcs!$B$120,IF(ISBLANK(AC286)," ",CONCATENATE(AC286+7," Years")),IF(AA286=" "," ",IF(NOT(ISBLANK(X286)),VLOOKUP($D$3+X286,Calcs!$A$110:$B$122,2,TRUE),IF(AA286="Failed",VLOOKUP($D$3,Calcs!$A$110:$B$122,2,TRUE),VLOOKUP($D$3-(IF((Character!$B$9+W286)&gt;($D$3+Y286),(Character!$B$9+W286)-($D$3+Y286),0)),Calcs!$A$110:$B$122,2,TRUE)))))</f>
        <v xml:space="preserve"> </v>
      </c>
      <c r="AE286" s="490"/>
      <c r="AF286" s="879"/>
      <c r="AG286" s="491"/>
    </row>
    <row r="287" spans="1:33" x14ac:dyDescent="0.2">
      <c r="A287" s="415">
        <f t="shared" si="8"/>
        <v>1281</v>
      </c>
      <c r="B287" s="419" t="str">
        <f t="shared" si="9"/>
        <v>Autumn</v>
      </c>
      <c r="C287" s="455"/>
      <c r="D287" s="504"/>
      <c r="E287" s="455"/>
      <c r="F287" s="504"/>
      <c r="G287" s="455"/>
      <c r="H287" s="504"/>
      <c r="I287" s="455"/>
      <c r="J287" s="504"/>
      <c r="L287" s="472"/>
      <c r="M287" s="468"/>
      <c r="N287" s="468"/>
      <c r="O287" s="468"/>
      <c r="P287" s="468"/>
      <c r="Q287" s="473"/>
      <c r="R287" s="477" t="str">
        <f>IF(AND(COUNTIF('Start Character'!$I$63:$M$77,"Twilight Prone")=1,NOT(ISERROR(FIND("Magical Botch",M287)))),"Yes",IF(P287&gt;1,"Yes","No"))</f>
        <v>No</v>
      </c>
      <c r="S287" s="501"/>
      <c r="T287" s="478"/>
      <c r="U287" s="501"/>
      <c r="V287" s="479" t="str">
        <f>IF(R287="No","No Twilight",IF(T287="Yes","Uncomprehended Twilight",IF((Character!$B$14+IF(Character!$B$53="Yes",0,Character!$B$53)+IF(Magic!$C$5="Yes",2,0)+ROUNDUP((Magic!$B$30+IF(Magic!$C$30="Yes",3,0))/5,0)+S287)&gt;=($D$3+P287+SUMIF(Character!$I$62:$I$66,"Enigmatic Wisdom",Character!$J$62:$J$66)+Q287+U287),"No Twilight","Twilight")))</f>
        <v>No Twilight</v>
      </c>
      <c r="W287" s="483"/>
      <c r="X287" s="478"/>
      <c r="Y287" s="484"/>
      <c r="Z287" s="478"/>
      <c r="AA287" s="485" t="str">
        <f>IF(V287="Uncomprehended Twilight","Failed",IF(OR(ISBLANK(W287),ISBLANK(Y287))," ",IF(NOT(ISBLANK(X287)),"Failed",IF((W287+Character!$B$9+SUMIF(Character!$I$62:$I$66,"Enigmatic Wisdom",Character!$J$62:$J$66))&gt;=IF(Z287="Yes",0,(Y287+D282)),"Succeeded","Failed"))))</f>
        <v xml:space="preserve"> </v>
      </c>
      <c r="AB287" s="477" t="str">
        <f>IF(AA287=" "," ",IF(NOT(ISBLANK(X287)),VLOOKUP($D$3+X287,Calcs!$A$110:$C$122,3,TRUE),IF(AA287="Failed",VLOOKUP($D$3,Calcs!$A$110:$C$122,3,TRUE),VLOOKUP($D$3-(IF((Character!$B$9+W287)&gt;($D$3+Y287),(Character!$B$9+W287)-($D$3+Y287),0)),Calcs!$A$110:$C$122,3,TRUE))))</f>
        <v xml:space="preserve"> </v>
      </c>
      <c r="AC287" s="489"/>
      <c r="AD287" s="489" t="str">
        <f>IF(IF(AA287=" "," ",IF(NOT(ISBLANK(X287)),VLOOKUP($D$3+X287,Calcs!$A$110:$B$122,2,TRUE),IF(AA287="Failed",VLOOKUP($D$3,Calcs!$A$110:$B$122,2,TRUE),VLOOKUP($D$3-(IF((Character!$B$9+W287)&gt;($D$3+Y287),(Character!$B$9+W287)-($D$3+Y287),0)),Calcs!$A$110:$B$122,2,TRUE))))=Calcs!$B$120,IF(ISBLANK(AC287)," ",CONCATENATE(AC287+7," Years")),IF(AA287=" "," ",IF(NOT(ISBLANK(X287)),VLOOKUP($D$3+X287,Calcs!$A$110:$B$122,2,TRUE),IF(AA287="Failed",VLOOKUP($D$3,Calcs!$A$110:$B$122,2,TRUE),VLOOKUP($D$3-(IF((Character!$B$9+W287)&gt;($D$3+Y287),(Character!$B$9+W287)-($D$3+Y287),0)),Calcs!$A$110:$B$122,2,TRUE)))))</f>
        <v xml:space="preserve"> </v>
      </c>
      <c r="AE287" s="490"/>
      <c r="AF287" s="879"/>
      <c r="AG287" s="491"/>
    </row>
    <row r="288" spans="1:33" x14ac:dyDescent="0.2">
      <c r="A288" s="415">
        <f t="shared" si="8"/>
        <v>1282</v>
      </c>
      <c r="B288" s="419" t="str">
        <f t="shared" si="9"/>
        <v>Winter</v>
      </c>
      <c r="C288" s="455"/>
      <c r="D288" s="504"/>
      <c r="E288" s="455"/>
      <c r="F288" s="504"/>
      <c r="G288" s="455"/>
      <c r="H288" s="504"/>
      <c r="I288" s="455"/>
      <c r="J288" s="504"/>
      <c r="L288" s="472"/>
      <c r="M288" s="468"/>
      <c r="N288" s="468"/>
      <c r="O288" s="468"/>
      <c r="P288" s="468"/>
      <c r="Q288" s="473"/>
      <c r="R288" s="477" t="str">
        <f>IF(AND(COUNTIF('Start Character'!$I$63:$M$77,"Twilight Prone")=1,NOT(ISERROR(FIND("Magical Botch",M288)))),"Yes",IF(P288&gt;1,"Yes","No"))</f>
        <v>No</v>
      </c>
      <c r="S288" s="501"/>
      <c r="T288" s="478"/>
      <c r="U288" s="501"/>
      <c r="V288" s="479" t="str">
        <f>IF(R288="No","No Twilight",IF(T288="Yes","Uncomprehended Twilight",IF((Character!$B$14+IF(Character!$B$53="Yes",0,Character!$B$53)+IF(Magic!$C$5="Yes",2,0)+ROUNDUP((Magic!$B$30+IF(Magic!$C$30="Yes",3,0))/5,0)+S288)&gt;=($D$3+P288+SUMIF(Character!$I$62:$I$66,"Enigmatic Wisdom",Character!$J$62:$J$66)+Q288+U288),"No Twilight","Twilight")))</f>
        <v>No Twilight</v>
      </c>
      <c r="W288" s="483"/>
      <c r="X288" s="478"/>
      <c r="Y288" s="484"/>
      <c r="Z288" s="478"/>
      <c r="AA288" s="485" t="str">
        <f>IF(V288="Uncomprehended Twilight","Failed",IF(OR(ISBLANK(W288),ISBLANK(Y288))," ",IF(NOT(ISBLANK(X288)),"Failed",IF((W288+Character!$B$9+SUMIF(Character!$I$62:$I$66,"Enigmatic Wisdom",Character!$J$62:$J$66))&gt;=IF(Z288="Yes",0,(Y288+D283)),"Succeeded","Failed"))))</f>
        <v xml:space="preserve"> </v>
      </c>
      <c r="AB288" s="477" t="str">
        <f>IF(AA288=" "," ",IF(NOT(ISBLANK(X288)),VLOOKUP($D$3+X288,Calcs!$A$110:$C$122,3,TRUE),IF(AA288="Failed",VLOOKUP($D$3,Calcs!$A$110:$C$122,3,TRUE),VLOOKUP($D$3-(IF((Character!$B$9+W288)&gt;($D$3+Y288),(Character!$B$9+W288)-($D$3+Y288),0)),Calcs!$A$110:$C$122,3,TRUE))))</f>
        <v xml:space="preserve"> </v>
      </c>
      <c r="AC288" s="489"/>
      <c r="AD288" s="489" t="str">
        <f>IF(IF(AA288=" "," ",IF(NOT(ISBLANK(X288)),VLOOKUP($D$3+X288,Calcs!$A$110:$B$122,2,TRUE),IF(AA288="Failed",VLOOKUP($D$3,Calcs!$A$110:$B$122,2,TRUE),VLOOKUP($D$3-(IF((Character!$B$9+W288)&gt;($D$3+Y288),(Character!$B$9+W288)-($D$3+Y288),0)),Calcs!$A$110:$B$122,2,TRUE))))=Calcs!$B$120,IF(ISBLANK(AC288)," ",CONCATENATE(AC288+7," Years")),IF(AA288=" "," ",IF(NOT(ISBLANK(X288)),VLOOKUP($D$3+X288,Calcs!$A$110:$B$122,2,TRUE),IF(AA288="Failed",VLOOKUP($D$3,Calcs!$A$110:$B$122,2,TRUE),VLOOKUP($D$3-(IF((Character!$B$9+W288)&gt;($D$3+Y288),(Character!$B$9+W288)-($D$3+Y288),0)),Calcs!$A$110:$B$122,2,TRUE)))))</f>
        <v xml:space="preserve"> </v>
      </c>
      <c r="AE288" s="490"/>
      <c r="AF288" s="879"/>
      <c r="AG288" s="491"/>
    </row>
    <row r="289" spans="1:33" x14ac:dyDescent="0.2">
      <c r="A289" s="415">
        <f t="shared" si="8"/>
        <v>1282</v>
      </c>
      <c r="B289" s="419" t="str">
        <f t="shared" si="9"/>
        <v>Spring</v>
      </c>
      <c r="C289" s="455"/>
      <c r="D289" s="504"/>
      <c r="E289" s="455"/>
      <c r="F289" s="504"/>
      <c r="G289" s="455"/>
      <c r="H289" s="504"/>
      <c r="I289" s="455"/>
      <c r="J289" s="504"/>
      <c r="L289" s="472"/>
      <c r="M289" s="468"/>
      <c r="N289" s="468"/>
      <c r="O289" s="468"/>
      <c r="P289" s="468"/>
      <c r="Q289" s="473"/>
      <c r="R289" s="477" t="str">
        <f>IF(AND(COUNTIF('Start Character'!$I$63:$M$77,"Twilight Prone")=1,NOT(ISERROR(FIND("Magical Botch",M289)))),"Yes",IF(P289&gt;1,"Yes","No"))</f>
        <v>No</v>
      </c>
      <c r="S289" s="501"/>
      <c r="T289" s="478"/>
      <c r="U289" s="501"/>
      <c r="V289" s="479" t="str">
        <f>IF(R289="No","No Twilight",IF(T289="Yes","Uncomprehended Twilight",IF((Character!$B$14+IF(Character!$B$53="Yes",0,Character!$B$53)+IF(Magic!$C$5="Yes",2,0)+ROUNDUP((Magic!$B$30+IF(Magic!$C$30="Yes",3,0))/5,0)+S289)&gt;=($D$3+P289+SUMIF(Character!$I$62:$I$66,"Enigmatic Wisdom",Character!$J$62:$J$66)+Q289+U289),"No Twilight","Twilight")))</f>
        <v>No Twilight</v>
      </c>
      <c r="W289" s="483"/>
      <c r="X289" s="478"/>
      <c r="Y289" s="484"/>
      <c r="Z289" s="478"/>
      <c r="AA289" s="485" t="str">
        <f>IF(V289="Uncomprehended Twilight","Failed",IF(OR(ISBLANK(W289),ISBLANK(Y289))," ",IF(NOT(ISBLANK(X289)),"Failed",IF((W289+Character!$B$9+SUMIF(Character!$I$62:$I$66,"Enigmatic Wisdom",Character!$J$62:$J$66))&gt;=IF(Z289="Yes",0,(Y289+D284)),"Succeeded","Failed"))))</f>
        <v xml:space="preserve"> </v>
      </c>
      <c r="AB289" s="477" t="str">
        <f>IF(AA289=" "," ",IF(NOT(ISBLANK(X289)),VLOOKUP($D$3+X289,Calcs!$A$110:$C$122,3,TRUE),IF(AA289="Failed",VLOOKUP($D$3,Calcs!$A$110:$C$122,3,TRUE),VLOOKUP($D$3-(IF((Character!$B$9+W289)&gt;($D$3+Y289),(Character!$B$9+W289)-($D$3+Y289),0)),Calcs!$A$110:$C$122,3,TRUE))))</f>
        <v xml:space="preserve"> </v>
      </c>
      <c r="AC289" s="489"/>
      <c r="AD289" s="489" t="str">
        <f>IF(IF(AA289=" "," ",IF(NOT(ISBLANK(X289)),VLOOKUP($D$3+X289,Calcs!$A$110:$B$122,2,TRUE),IF(AA289="Failed",VLOOKUP($D$3,Calcs!$A$110:$B$122,2,TRUE),VLOOKUP($D$3-(IF((Character!$B$9+W289)&gt;($D$3+Y289),(Character!$B$9+W289)-($D$3+Y289),0)),Calcs!$A$110:$B$122,2,TRUE))))=Calcs!$B$120,IF(ISBLANK(AC289)," ",CONCATENATE(AC289+7," Years")),IF(AA289=" "," ",IF(NOT(ISBLANK(X289)),VLOOKUP($D$3+X289,Calcs!$A$110:$B$122,2,TRUE),IF(AA289="Failed",VLOOKUP($D$3,Calcs!$A$110:$B$122,2,TRUE),VLOOKUP($D$3-(IF((Character!$B$9+W289)&gt;($D$3+Y289),(Character!$B$9+W289)-($D$3+Y289),0)),Calcs!$A$110:$B$122,2,TRUE)))))</f>
        <v xml:space="preserve"> </v>
      </c>
      <c r="AE289" s="490"/>
      <c r="AF289" s="879"/>
      <c r="AG289" s="491"/>
    </row>
    <row r="290" spans="1:33" x14ac:dyDescent="0.2">
      <c r="A290" s="415">
        <f t="shared" si="8"/>
        <v>1282</v>
      </c>
      <c r="B290" s="419" t="str">
        <f t="shared" si="9"/>
        <v>Summer</v>
      </c>
      <c r="C290" s="455"/>
      <c r="D290" s="504"/>
      <c r="E290" s="455"/>
      <c r="F290" s="504"/>
      <c r="G290" s="455"/>
      <c r="H290" s="504"/>
      <c r="I290" s="455"/>
      <c r="J290" s="504"/>
      <c r="L290" s="472"/>
      <c r="M290" s="468"/>
      <c r="N290" s="468"/>
      <c r="O290" s="468"/>
      <c r="P290" s="468"/>
      <c r="Q290" s="473"/>
      <c r="R290" s="477" t="str">
        <f>IF(AND(COUNTIF('Start Character'!$I$63:$M$77,"Twilight Prone")=1,NOT(ISERROR(FIND("Magical Botch",M290)))),"Yes",IF(P290&gt;1,"Yes","No"))</f>
        <v>No</v>
      </c>
      <c r="S290" s="501"/>
      <c r="T290" s="478"/>
      <c r="U290" s="501"/>
      <c r="V290" s="479" t="str">
        <f>IF(R290="No","No Twilight",IF(T290="Yes","Uncomprehended Twilight",IF((Character!$B$14+IF(Character!$B$53="Yes",0,Character!$B$53)+IF(Magic!$C$5="Yes",2,0)+ROUNDUP((Magic!$B$30+IF(Magic!$C$30="Yes",3,0))/5,0)+S290)&gt;=($D$3+P290+SUMIF(Character!$I$62:$I$66,"Enigmatic Wisdom",Character!$J$62:$J$66)+Q290+U290),"No Twilight","Twilight")))</f>
        <v>No Twilight</v>
      </c>
      <c r="W290" s="483"/>
      <c r="X290" s="478"/>
      <c r="Y290" s="484"/>
      <c r="Z290" s="478"/>
      <c r="AA290" s="485" t="str">
        <f>IF(V290="Uncomprehended Twilight","Failed",IF(OR(ISBLANK(W290),ISBLANK(Y290))," ",IF(NOT(ISBLANK(X290)),"Failed",IF((W290+Character!$B$9+SUMIF(Character!$I$62:$I$66,"Enigmatic Wisdom",Character!$J$62:$J$66))&gt;=IF(Z290="Yes",0,(Y290+D285)),"Succeeded","Failed"))))</f>
        <v xml:space="preserve"> </v>
      </c>
      <c r="AB290" s="477" t="str">
        <f>IF(AA290=" "," ",IF(NOT(ISBLANK(X290)),VLOOKUP($D$3+X290,Calcs!$A$110:$C$122,3,TRUE),IF(AA290="Failed",VLOOKUP($D$3,Calcs!$A$110:$C$122,3,TRUE),VLOOKUP($D$3-(IF((Character!$B$9+W290)&gt;($D$3+Y290),(Character!$B$9+W290)-($D$3+Y290),0)),Calcs!$A$110:$C$122,3,TRUE))))</f>
        <v xml:space="preserve"> </v>
      </c>
      <c r="AC290" s="489"/>
      <c r="AD290" s="489" t="str">
        <f>IF(IF(AA290=" "," ",IF(NOT(ISBLANK(X290)),VLOOKUP($D$3+X290,Calcs!$A$110:$B$122,2,TRUE),IF(AA290="Failed",VLOOKUP($D$3,Calcs!$A$110:$B$122,2,TRUE),VLOOKUP($D$3-(IF((Character!$B$9+W290)&gt;($D$3+Y290),(Character!$B$9+W290)-($D$3+Y290),0)),Calcs!$A$110:$B$122,2,TRUE))))=Calcs!$B$120,IF(ISBLANK(AC290)," ",CONCATENATE(AC290+7," Years")),IF(AA290=" "," ",IF(NOT(ISBLANK(X290)),VLOOKUP($D$3+X290,Calcs!$A$110:$B$122,2,TRUE),IF(AA290="Failed",VLOOKUP($D$3,Calcs!$A$110:$B$122,2,TRUE),VLOOKUP($D$3-(IF((Character!$B$9+W290)&gt;($D$3+Y290),(Character!$B$9+W290)-($D$3+Y290),0)),Calcs!$A$110:$B$122,2,TRUE)))))</f>
        <v xml:space="preserve"> </v>
      </c>
      <c r="AE290" s="490"/>
      <c r="AF290" s="879"/>
      <c r="AG290" s="491"/>
    </row>
    <row r="291" spans="1:33" x14ac:dyDescent="0.2">
      <c r="A291" s="415">
        <f t="shared" si="8"/>
        <v>1282</v>
      </c>
      <c r="B291" s="419" t="str">
        <f t="shared" si="9"/>
        <v>Autumn</v>
      </c>
      <c r="C291" s="455"/>
      <c r="D291" s="504"/>
      <c r="E291" s="455"/>
      <c r="F291" s="504"/>
      <c r="G291" s="455"/>
      <c r="H291" s="504"/>
      <c r="I291" s="455"/>
      <c r="J291" s="504"/>
      <c r="L291" s="472"/>
      <c r="M291" s="468"/>
      <c r="N291" s="468"/>
      <c r="O291" s="468"/>
      <c r="P291" s="468"/>
      <c r="Q291" s="473"/>
      <c r="R291" s="477" t="str">
        <f>IF(AND(COUNTIF('Start Character'!$I$63:$M$77,"Twilight Prone")=1,NOT(ISERROR(FIND("Magical Botch",M291)))),"Yes",IF(P291&gt;1,"Yes","No"))</f>
        <v>No</v>
      </c>
      <c r="S291" s="501"/>
      <c r="T291" s="478"/>
      <c r="U291" s="501"/>
      <c r="V291" s="479" t="str">
        <f>IF(R291="No","No Twilight",IF(T291="Yes","Uncomprehended Twilight",IF((Character!$B$14+IF(Character!$B$53="Yes",0,Character!$B$53)+IF(Magic!$C$5="Yes",2,0)+ROUNDUP((Magic!$B$30+IF(Magic!$C$30="Yes",3,0))/5,0)+S291)&gt;=($D$3+P291+SUMIF(Character!$I$62:$I$66,"Enigmatic Wisdom",Character!$J$62:$J$66)+Q291+U291),"No Twilight","Twilight")))</f>
        <v>No Twilight</v>
      </c>
      <c r="W291" s="483"/>
      <c r="X291" s="478"/>
      <c r="Y291" s="484"/>
      <c r="Z291" s="478"/>
      <c r="AA291" s="485" t="str">
        <f>IF(V291="Uncomprehended Twilight","Failed",IF(OR(ISBLANK(W291),ISBLANK(Y291))," ",IF(NOT(ISBLANK(X291)),"Failed",IF((W291+Character!$B$9+SUMIF(Character!$I$62:$I$66,"Enigmatic Wisdom",Character!$J$62:$J$66))&gt;=IF(Z291="Yes",0,(Y291+D286)),"Succeeded","Failed"))))</f>
        <v xml:space="preserve"> </v>
      </c>
      <c r="AB291" s="477" t="str">
        <f>IF(AA291=" "," ",IF(NOT(ISBLANK(X291)),VLOOKUP($D$3+X291,Calcs!$A$110:$C$122,3,TRUE),IF(AA291="Failed",VLOOKUP($D$3,Calcs!$A$110:$C$122,3,TRUE),VLOOKUP($D$3-(IF((Character!$B$9+W291)&gt;($D$3+Y291),(Character!$B$9+W291)-($D$3+Y291),0)),Calcs!$A$110:$C$122,3,TRUE))))</f>
        <v xml:space="preserve"> </v>
      </c>
      <c r="AC291" s="489"/>
      <c r="AD291" s="489" t="str">
        <f>IF(IF(AA291=" "," ",IF(NOT(ISBLANK(X291)),VLOOKUP($D$3+X291,Calcs!$A$110:$B$122,2,TRUE),IF(AA291="Failed",VLOOKUP($D$3,Calcs!$A$110:$B$122,2,TRUE),VLOOKUP($D$3-(IF((Character!$B$9+W291)&gt;($D$3+Y291),(Character!$B$9+W291)-($D$3+Y291),0)),Calcs!$A$110:$B$122,2,TRUE))))=Calcs!$B$120,IF(ISBLANK(AC291)," ",CONCATENATE(AC291+7," Years")),IF(AA291=" "," ",IF(NOT(ISBLANK(X291)),VLOOKUP($D$3+X291,Calcs!$A$110:$B$122,2,TRUE),IF(AA291="Failed",VLOOKUP($D$3,Calcs!$A$110:$B$122,2,TRUE),VLOOKUP($D$3-(IF((Character!$B$9+W291)&gt;($D$3+Y291),(Character!$B$9+W291)-($D$3+Y291),0)),Calcs!$A$110:$B$122,2,TRUE)))))</f>
        <v xml:space="preserve"> </v>
      </c>
      <c r="AE291" s="490"/>
      <c r="AF291" s="879"/>
      <c r="AG291" s="491"/>
    </row>
    <row r="292" spans="1:33" x14ac:dyDescent="0.2">
      <c r="A292" s="415">
        <f t="shared" si="8"/>
        <v>1283</v>
      </c>
      <c r="B292" s="419" t="str">
        <f t="shared" si="9"/>
        <v>Winter</v>
      </c>
      <c r="C292" s="455"/>
      <c r="D292" s="504"/>
      <c r="E292" s="455"/>
      <c r="F292" s="504"/>
      <c r="G292" s="455"/>
      <c r="H292" s="504"/>
      <c r="I292" s="455"/>
      <c r="J292" s="504"/>
      <c r="L292" s="472"/>
      <c r="M292" s="468"/>
      <c r="N292" s="468"/>
      <c r="O292" s="468"/>
      <c r="P292" s="468"/>
      <c r="Q292" s="473"/>
      <c r="R292" s="477" t="str">
        <f>IF(AND(COUNTIF('Start Character'!$I$63:$M$77,"Twilight Prone")=1,NOT(ISERROR(FIND("Magical Botch",M292)))),"Yes",IF(P292&gt;1,"Yes","No"))</f>
        <v>No</v>
      </c>
      <c r="S292" s="501"/>
      <c r="T292" s="478"/>
      <c r="U292" s="501"/>
      <c r="V292" s="479" t="str">
        <f>IF(R292="No","No Twilight",IF(T292="Yes","Uncomprehended Twilight",IF((Character!$B$14+IF(Character!$B$53="Yes",0,Character!$B$53)+IF(Magic!$C$5="Yes",2,0)+ROUNDUP((Magic!$B$30+IF(Magic!$C$30="Yes",3,0))/5,0)+S292)&gt;=($D$3+P292+SUMIF(Character!$I$62:$I$66,"Enigmatic Wisdom",Character!$J$62:$J$66)+Q292+U292),"No Twilight","Twilight")))</f>
        <v>No Twilight</v>
      </c>
      <c r="W292" s="483"/>
      <c r="X292" s="478"/>
      <c r="Y292" s="484"/>
      <c r="Z292" s="478"/>
      <c r="AA292" s="485" t="str">
        <f>IF(V292="Uncomprehended Twilight","Failed",IF(OR(ISBLANK(W292),ISBLANK(Y292))," ",IF(NOT(ISBLANK(X292)),"Failed",IF((W292+Character!$B$9+SUMIF(Character!$I$62:$I$66,"Enigmatic Wisdom",Character!$J$62:$J$66))&gt;=IF(Z292="Yes",0,(Y292+D287)),"Succeeded","Failed"))))</f>
        <v xml:space="preserve"> </v>
      </c>
      <c r="AB292" s="477" t="str">
        <f>IF(AA292=" "," ",IF(NOT(ISBLANK(X292)),VLOOKUP($D$3+X292,Calcs!$A$110:$C$122,3,TRUE),IF(AA292="Failed",VLOOKUP($D$3,Calcs!$A$110:$C$122,3,TRUE),VLOOKUP($D$3-(IF((Character!$B$9+W292)&gt;($D$3+Y292),(Character!$B$9+W292)-($D$3+Y292),0)),Calcs!$A$110:$C$122,3,TRUE))))</f>
        <v xml:space="preserve"> </v>
      </c>
      <c r="AC292" s="489"/>
      <c r="AD292" s="489" t="str">
        <f>IF(IF(AA292=" "," ",IF(NOT(ISBLANK(X292)),VLOOKUP($D$3+X292,Calcs!$A$110:$B$122,2,TRUE),IF(AA292="Failed",VLOOKUP($D$3,Calcs!$A$110:$B$122,2,TRUE),VLOOKUP($D$3-(IF((Character!$B$9+W292)&gt;($D$3+Y292),(Character!$B$9+W292)-($D$3+Y292),0)),Calcs!$A$110:$B$122,2,TRUE))))=Calcs!$B$120,IF(ISBLANK(AC292)," ",CONCATENATE(AC292+7," Years")),IF(AA292=" "," ",IF(NOT(ISBLANK(X292)),VLOOKUP($D$3+X292,Calcs!$A$110:$B$122,2,TRUE),IF(AA292="Failed",VLOOKUP($D$3,Calcs!$A$110:$B$122,2,TRUE),VLOOKUP($D$3-(IF((Character!$B$9+W292)&gt;($D$3+Y292),(Character!$B$9+W292)-($D$3+Y292),0)),Calcs!$A$110:$B$122,2,TRUE)))))</f>
        <v xml:space="preserve"> </v>
      </c>
      <c r="AE292" s="490"/>
      <c r="AF292" s="879"/>
      <c r="AG292" s="491"/>
    </row>
    <row r="293" spans="1:33" x14ac:dyDescent="0.2">
      <c r="A293" s="415">
        <f t="shared" si="8"/>
        <v>1283</v>
      </c>
      <c r="B293" s="419" t="str">
        <f t="shared" si="9"/>
        <v>Spring</v>
      </c>
      <c r="C293" s="455"/>
      <c r="D293" s="504"/>
      <c r="E293" s="455"/>
      <c r="F293" s="504"/>
      <c r="G293" s="455"/>
      <c r="H293" s="504"/>
      <c r="I293" s="455"/>
      <c r="J293" s="504"/>
      <c r="L293" s="472"/>
      <c r="M293" s="468"/>
      <c r="N293" s="468"/>
      <c r="O293" s="468"/>
      <c r="P293" s="468"/>
      <c r="Q293" s="473"/>
      <c r="R293" s="477" t="str">
        <f>IF(AND(COUNTIF('Start Character'!$I$63:$M$77,"Twilight Prone")=1,NOT(ISERROR(FIND("Magical Botch",M293)))),"Yes",IF(P293&gt;1,"Yes","No"))</f>
        <v>No</v>
      </c>
      <c r="S293" s="501"/>
      <c r="T293" s="478"/>
      <c r="U293" s="501"/>
      <c r="V293" s="479" t="str">
        <f>IF(R293="No","No Twilight",IF(T293="Yes","Uncomprehended Twilight",IF((Character!$B$14+IF(Character!$B$53="Yes",0,Character!$B$53)+IF(Magic!$C$5="Yes",2,0)+ROUNDUP((Magic!$B$30+IF(Magic!$C$30="Yes",3,0))/5,0)+S293)&gt;=($D$3+P293+SUMIF(Character!$I$62:$I$66,"Enigmatic Wisdom",Character!$J$62:$J$66)+Q293+U293),"No Twilight","Twilight")))</f>
        <v>No Twilight</v>
      </c>
      <c r="W293" s="483"/>
      <c r="X293" s="478"/>
      <c r="Y293" s="484"/>
      <c r="Z293" s="478"/>
      <c r="AA293" s="485" t="str">
        <f>IF(V293="Uncomprehended Twilight","Failed",IF(OR(ISBLANK(W293),ISBLANK(Y293))," ",IF(NOT(ISBLANK(X293)),"Failed",IF((W293+Character!$B$9+SUMIF(Character!$I$62:$I$66,"Enigmatic Wisdom",Character!$J$62:$J$66))&gt;=IF(Z293="Yes",0,(Y293+D288)),"Succeeded","Failed"))))</f>
        <v xml:space="preserve"> </v>
      </c>
      <c r="AB293" s="477" t="str">
        <f>IF(AA293=" "," ",IF(NOT(ISBLANK(X293)),VLOOKUP($D$3+X293,Calcs!$A$110:$C$122,3,TRUE),IF(AA293="Failed",VLOOKUP($D$3,Calcs!$A$110:$C$122,3,TRUE),VLOOKUP($D$3-(IF((Character!$B$9+W293)&gt;($D$3+Y293),(Character!$B$9+W293)-($D$3+Y293),0)),Calcs!$A$110:$C$122,3,TRUE))))</f>
        <v xml:space="preserve"> </v>
      </c>
      <c r="AC293" s="489"/>
      <c r="AD293" s="489" t="str">
        <f>IF(IF(AA293=" "," ",IF(NOT(ISBLANK(X293)),VLOOKUP($D$3+X293,Calcs!$A$110:$B$122,2,TRUE),IF(AA293="Failed",VLOOKUP($D$3,Calcs!$A$110:$B$122,2,TRUE),VLOOKUP($D$3-(IF((Character!$B$9+W293)&gt;($D$3+Y293),(Character!$B$9+W293)-($D$3+Y293),0)),Calcs!$A$110:$B$122,2,TRUE))))=Calcs!$B$120,IF(ISBLANK(AC293)," ",CONCATENATE(AC293+7," Years")),IF(AA293=" "," ",IF(NOT(ISBLANK(X293)),VLOOKUP($D$3+X293,Calcs!$A$110:$B$122,2,TRUE),IF(AA293="Failed",VLOOKUP($D$3,Calcs!$A$110:$B$122,2,TRUE),VLOOKUP($D$3-(IF((Character!$B$9+W293)&gt;($D$3+Y293),(Character!$B$9+W293)-($D$3+Y293),0)),Calcs!$A$110:$B$122,2,TRUE)))))</f>
        <v xml:space="preserve"> </v>
      </c>
      <c r="AE293" s="490"/>
      <c r="AF293" s="879"/>
      <c r="AG293" s="491"/>
    </row>
    <row r="294" spans="1:33" x14ac:dyDescent="0.2">
      <c r="A294" s="415">
        <f t="shared" si="8"/>
        <v>1283</v>
      </c>
      <c r="B294" s="419" t="str">
        <f t="shared" si="9"/>
        <v>Summer</v>
      </c>
      <c r="C294" s="455"/>
      <c r="D294" s="504"/>
      <c r="E294" s="455"/>
      <c r="F294" s="504"/>
      <c r="G294" s="455"/>
      <c r="H294" s="504"/>
      <c r="I294" s="455"/>
      <c r="J294" s="504"/>
      <c r="L294" s="472"/>
      <c r="M294" s="468"/>
      <c r="N294" s="468"/>
      <c r="O294" s="468"/>
      <c r="P294" s="468"/>
      <c r="Q294" s="473"/>
      <c r="R294" s="477" t="str">
        <f>IF(AND(COUNTIF('Start Character'!$I$63:$M$77,"Twilight Prone")=1,NOT(ISERROR(FIND("Magical Botch",M294)))),"Yes",IF(P294&gt;1,"Yes","No"))</f>
        <v>No</v>
      </c>
      <c r="S294" s="501"/>
      <c r="T294" s="478"/>
      <c r="U294" s="501"/>
      <c r="V294" s="479" t="str">
        <f>IF(R294="No","No Twilight",IF(T294="Yes","Uncomprehended Twilight",IF((Character!$B$14+IF(Character!$B$53="Yes",0,Character!$B$53)+IF(Magic!$C$5="Yes",2,0)+ROUNDUP((Magic!$B$30+IF(Magic!$C$30="Yes",3,0))/5,0)+S294)&gt;=($D$3+P294+SUMIF(Character!$I$62:$I$66,"Enigmatic Wisdom",Character!$J$62:$J$66)+Q294+U294),"No Twilight","Twilight")))</f>
        <v>No Twilight</v>
      </c>
      <c r="W294" s="483"/>
      <c r="X294" s="478"/>
      <c r="Y294" s="484"/>
      <c r="Z294" s="478"/>
      <c r="AA294" s="485" t="str">
        <f>IF(V294="Uncomprehended Twilight","Failed",IF(OR(ISBLANK(W294),ISBLANK(Y294))," ",IF(NOT(ISBLANK(X294)),"Failed",IF((W294+Character!$B$9+SUMIF(Character!$I$62:$I$66,"Enigmatic Wisdom",Character!$J$62:$J$66))&gt;=IF(Z294="Yes",0,(Y294+D289)),"Succeeded","Failed"))))</f>
        <v xml:space="preserve"> </v>
      </c>
      <c r="AB294" s="477" t="str">
        <f>IF(AA294=" "," ",IF(NOT(ISBLANK(X294)),VLOOKUP($D$3+X294,Calcs!$A$110:$C$122,3,TRUE),IF(AA294="Failed",VLOOKUP($D$3,Calcs!$A$110:$C$122,3,TRUE),VLOOKUP($D$3-(IF((Character!$B$9+W294)&gt;($D$3+Y294),(Character!$B$9+W294)-($D$3+Y294),0)),Calcs!$A$110:$C$122,3,TRUE))))</f>
        <v xml:space="preserve"> </v>
      </c>
      <c r="AC294" s="489"/>
      <c r="AD294" s="489" t="str">
        <f>IF(IF(AA294=" "," ",IF(NOT(ISBLANK(X294)),VLOOKUP($D$3+X294,Calcs!$A$110:$B$122,2,TRUE),IF(AA294="Failed",VLOOKUP($D$3,Calcs!$A$110:$B$122,2,TRUE),VLOOKUP($D$3-(IF((Character!$B$9+W294)&gt;($D$3+Y294),(Character!$B$9+W294)-($D$3+Y294),0)),Calcs!$A$110:$B$122,2,TRUE))))=Calcs!$B$120,IF(ISBLANK(AC294)," ",CONCATENATE(AC294+7," Years")),IF(AA294=" "," ",IF(NOT(ISBLANK(X294)),VLOOKUP($D$3+X294,Calcs!$A$110:$B$122,2,TRUE),IF(AA294="Failed",VLOOKUP($D$3,Calcs!$A$110:$B$122,2,TRUE),VLOOKUP($D$3-(IF((Character!$B$9+W294)&gt;($D$3+Y294),(Character!$B$9+W294)-($D$3+Y294),0)),Calcs!$A$110:$B$122,2,TRUE)))))</f>
        <v xml:space="preserve"> </v>
      </c>
      <c r="AE294" s="490"/>
      <c r="AF294" s="879"/>
      <c r="AG294" s="491"/>
    </row>
    <row r="295" spans="1:33" x14ac:dyDescent="0.2">
      <c r="A295" s="415">
        <f t="shared" si="8"/>
        <v>1283</v>
      </c>
      <c r="B295" s="419" t="str">
        <f t="shared" si="9"/>
        <v>Autumn</v>
      </c>
      <c r="C295" s="455"/>
      <c r="D295" s="504"/>
      <c r="E295" s="455"/>
      <c r="F295" s="504"/>
      <c r="G295" s="455"/>
      <c r="H295" s="504"/>
      <c r="I295" s="455"/>
      <c r="J295" s="504"/>
      <c r="L295" s="472"/>
      <c r="M295" s="468"/>
      <c r="N295" s="468"/>
      <c r="O295" s="468"/>
      <c r="P295" s="468"/>
      <c r="Q295" s="473"/>
      <c r="R295" s="477" t="str">
        <f>IF(AND(COUNTIF('Start Character'!$I$63:$M$77,"Twilight Prone")=1,NOT(ISERROR(FIND("Magical Botch",M295)))),"Yes",IF(P295&gt;1,"Yes","No"))</f>
        <v>No</v>
      </c>
      <c r="S295" s="501"/>
      <c r="T295" s="478"/>
      <c r="U295" s="501"/>
      <c r="V295" s="479" t="str">
        <f>IF(R295="No","No Twilight",IF(T295="Yes","Uncomprehended Twilight",IF((Character!$B$14+IF(Character!$B$53="Yes",0,Character!$B$53)+IF(Magic!$C$5="Yes",2,0)+ROUNDUP((Magic!$B$30+IF(Magic!$C$30="Yes",3,0))/5,0)+S295)&gt;=($D$3+P295+SUMIF(Character!$I$62:$I$66,"Enigmatic Wisdom",Character!$J$62:$J$66)+Q295+U295),"No Twilight","Twilight")))</f>
        <v>No Twilight</v>
      </c>
      <c r="W295" s="483"/>
      <c r="X295" s="478"/>
      <c r="Y295" s="484"/>
      <c r="Z295" s="478"/>
      <c r="AA295" s="485" t="str">
        <f>IF(V295="Uncomprehended Twilight","Failed",IF(OR(ISBLANK(W295),ISBLANK(Y295))," ",IF(NOT(ISBLANK(X295)),"Failed",IF((W295+Character!$B$9+SUMIF(Character!$I$62:$I$66,"Enigmatic Wisdom",Character!$J$62:$J$66))&gt;=IF(Z295="Yes",0,(Y295+D290)),"Succeeded","Failed"))))</f>
        <v xml:space="preserve"> </v>
      </c>
      <c r="AB295" s="477" t="str">
        <f>IF(AA295=" "," ",IF(NOT(ISBLANK(X295)),VLOOKUP($D$3+X295,Calcs!$A$110:$C$122,3,TRUE),IF(AA295="Failed",VLOOKUP($D$3,Calcs!$A$110:$C$122,3,TRUE),VLOOKUP($D$3-(IF((Character!$B$9+W295)&gt;($D$3+Y295),(Character!$B$9+W295)-($D$3+Y295),0)),Calcs!$A$110:$C$122,3,TRUE))))</f>
        <v xml:space="preserve"> </v>
      </c>
      <c r="AC295" s="489"/>
      <c r="AD295" s="489" t="str">
        <f>IF(IF(AA295=" "," ",IF(NOT(ISBLANK(X295)),VLOOKUP($D$3+X295,Calcs!$A$110:$B$122,2,TRUE),IF(AA295="Failed",VLOOKUP($D$3,Calcs!$A$110:$B$122,2,TRUE),VLOOKUP($D$3-(IF((Character!$B$9+W295)&gt;($D$3+Y295),(Character!$B$9+W295)-($D$3+Y295),0)),Calcs!$A$110:$B$122,2,TRUE))))=Calcs!$B$120,IF(ISBLANK(AC295)," ",CONCATENATE(AC295+7," Years")),IF(AA295=" "," ",IF(NOT(ISBLANK(X295)),VLOOKUP($D$3+X295,Calcs!$A$110:$B$122,2,TRUE),IF(AA295="Failed",VLOOKUP($D$3,Calcs!$A$110:$B$122,2,TRUE),VLOOKUP($D$3-(IF((Character!$B$9+W295)&gt;($D$3+Y295),(Character!$B$9+W295)-($D$3+Y295),0)),Calcs!$A$110:$B$122,2,TRUE)))))</f>
        <v xml:space="preserve"> </v>
      </c>
      <c r="AE295" s="490"/>
      <c r="AF295" s="879"/>
      <c r="AG295" s="491"/>
    </row>
    <row r="296" spans="1:33" x14ac:dyDescent="0.2">
      <c r="A296" s="415">
        <f t="shared" si="8"/>
        <v>1284</v>
      </c>
      <c r="B296" s="419" t="str">
        <f t="shared" si="9"/>
        <v>Winter</v>
      </c>
      <c r="C296" s="455"/>
      <c r="D296" s="504"/>
      <c r="E296" s="455"/>
      <c r="F296" s="504"/>
      <c r="G296" s="455"/>
      <c r="H296" s="504"/>
      <c r="I296" s="455"/>
      <c r="J296" s="504"/>
      <c r="L296" s="472"/>
      <c r="M296" s="468"/>
      <c r="N296" s="468"/>
      <c r="O296" s="468"/>
      <c r="P296" s="468"/>
      <c r="Q296" s="473"/>
      <c r="R296" s="477" t="str">
        <f>IF(AND(COUNTIF('Start Character'!$I$63:$M$77,"Twilight Prone")=1,NOT(ISERROR(FIND("Magical Botch",M296)))),"Yes",IF(P296&gt;1,"Yes","No"))</f>
        <v>No</v>
      </c>
      <c r="S296" s="501"/>
      <c r="T296" s="478"/>
      <c r="U296" s="501"/>
      <c r="V296" s="479" t="str">
        <f>IF(R296="No","No Twilight",IF(T296="Yes","Uncomprehended Twilight",IF((Character!$B$14+IF(Character!$B$53="Yes",0,Character!$B$53)+IF(Magic!$C$5="Yes",2,0)+ROUNDUP((Magic!$B$30+IF(Magic!$C$30="Yes",3,0))/5,0)+S296)&gt;=($D$3+P296+SUMIF(Character!$I$62:$I$66,"Enigmatic Wisdom",Character!$J$62:$J$66)+Q296+U296),"No Twilight","Twilight")))</f>
        <v>No Twilight</v>
      </c>
      <c r="W296" s="483"/>
      <c r="X296" s="478"/>
      <c r="Y296" s="484"/>
      <c r="Z296" s="478"/>
      <c r="AA296" s="485" t="str">
        <f>IF(V296="Uncomprehended Twilight","Failed",IF(OR(ISBLANK(W296),ISBLANK(Y296))," ",IF(NOT(ISBLANK(X296)),"Failed",IF((W296+Character!$B$9+SUMIF(Character!$I$62:$I$66,"Enigmatic Wisdom",Character!$J$62:$J$66))&gt;=IF(Z296="Yes",0,(Y296+D291)),"Succeeded","Failed"))))</f>
        <v xml:space="preserve"> </v>
      </c>
      <c r="AB296" s="477" t="str">
        <f>IF(AA296=" "," ",IF(NOT(ISBLANK(X296)),VLOOKUP($D$3+X296,Calcs!$A$110:$C$122,3,TRUE),IF(AA296="Failed",VLOOKUP($D$3,Calcs!$A$110:$C$122,3,TRUE),VLOOKUP($D$3-(IF((Character!$B$9+W296)&gt;($D$3+Y296),(Character!$B$9+W296)-($D$3+Y296),0)),Calcs!$A$110:$C$122,3,TRUE))))</f>
        <v xml:space="preserve"> </v>
      </c>
      <c r="AC296" s="489"/>
      <c r="AD296" s="489" t="str">
        <f>IF(IF(AA296=" "," ",IF(NOT(ISBLANK(X296)),VLOOKUP($D$3+X296,Calcs!$A$110:$B$122,2,TRUE),IF(AA296="Failed",VLOOKUP($D$3,Calcs!$A$110:$B$122,2,TRUE),VLOOKUP($D$3-(IF((Character!$B$9+W296)&gt;($D$3+Y296),(Character!$B$9+W296)-($D$3+Y296),0)),Calcs!$A$110:$B$122,2,TRUE))))=Calcs!$B$120,IF(ISBLANK(AC296)," ",CONCATENATE(AC296+7," Years")),IF(AA296=" "," ",IF(NOT(ISBLANK(X296)),VLOOKUP($D$3+X296,Calcs!$A$110:$B$122,2,TRUE),IF(AA296="Failed",VLOOKUP($D$3,Calcs!$A$110:$B$122,2,TRUE),VLOOKUP($D$3-(IF((Character!$B$9+W296)&gt;($D$3+Y296),(Character!$B$9+W296)-($D$3+Y296),0)),Calcs!$A$110:$B$122,2,TRUE)))))</f>
        <v xml:space="preserve"> </v>
      </c>
      <c r="AE296" s="490"/>
      <c r="AF296" s="879"/>
      <c r="AG296" s="491"/>
    </row>
    <row r="297" spans="1:33" x14ac:dyDescent="0.2">
      <c r="A297" s="415">
        <f t="shared" si="8"/>
        <v>1284</v>
      </c>
      <c r="B297" s="419" t="str">
        <f t="shared" si="9"/>
        <v>Spring</v>
      </c>
      <c r="C297" s="455"/>
      <c r="D297" s="504"/>
      <c r="E297" s="455"/>
      <c r="F297" s="504"/>
      <c r="G297" s="455"/>
      <c r="H297" s="504"/>
      <c r="I297" s="455"/>
      <c r="J297" s="504"/>
      <c r="L297" s="472"/>
      <c r="M297" s="468"/>
      <c r="N297" s="468"/>
      <c r="O297" s="468"/>
      <c r="P297" s="468"/>
      <c r="Q297" s="473"/>
      <c r="R297" s="477" t="str">
        <f>IF(AND(COUNTIF('Start Character'!$I$63:$M$77,"Twilight Prone")=1,NOT(ISERROR(FIND("Magical Botch",M297)))),"Yes",IF(P297&gt;1,"Yes","No"))</f>
        <v>No</v>
      </c>
      <c r="S297" s="501"/>
      <c r="T297" s="478"/>
      <c r="U297" s="501"/>
      <c r="V297" s="479" t="str">
        <f>IF(R297="No","No Twilight",IF(T297="Yes","Uncomprehended Twilight",IF((Character!$B$14+IF(Character!$B$53="Yes",0,Character!$B$53)+IF(Magic!$C$5="Yes",2,0)+ROUNDUP((Magic!$B$30+IF(Magic!$C$30="Yes",3,0))/5,0)+S297)&gt;=($D$3+P297+SUMIF(Character!$I$62:$I$66,"Enigmatic Wisdom",Character!$J$62:$J$66)+Q297+U297),"No Twilight","Twilight")))</f>
        <v>No Twilight</v>
      </c>
      <c r="W297" s="483"/>
      <c r="X297" s="478"/>
      <c r="Y297" s="484"/>
      <c r="Z297" s="478"/>
      <c r="AA297" s="485" t="str">
        <f>IF(V297="Uncomprehended Twilight","Failed",IF(OR(ISBLANK(W297),ISBLANK(Y297))," ",IF(NOT(ISBLANK(X297)),"Failed",IF((W297+Character!$B$9+SUMIF(Character!$I$62:$I$66,"Enigmatic Wisdom",Character!$J$62:$J$66))&gt;=IF(Z297="Yes",0,(Y297+D292)),"Succeeded","Failed"))))</f>
        <v xml:space="preserve"> </v>
      </c>
      <c r="AB297" s="477" t="str">
        <f>IF(AA297=" "," ",IF(NOT(ISBLANK(X297)),VLOOKUP($D$3+X297,Calcs!$A$110:$C$122,3,TRUE),IF(AA297="Failed",VLOOKUP($D$3,Calcs!$A$110:$C$122,3,TRUE),VLOOKUP($D$3-(IF((Character!$B$9+W297)&gt;($D$3+Y297),(Character!$B$9+W297)-($D$3+Y297),0)),Calcs!$A$110:$C$122,3,TRUE))))</f>
        <v xml:space="preserve"> </v>
      </c>
      <c r="AC297" s="489"/>
      <c r="AD297" s="489" t="str">
        <f>IF(IF(AA297=" "," ",IF(NOT(ISBLANK(X297)),VLOOKUP($D$3+X297,Calcs!$A$110:$B$122,2,TRUE),IF(AA297="Failed",VLOOKUP($D$3,Calcs!$A$110:$B$122,2,TRUE),VLOOKUP($D$3-(IF((Character!$B$9+W297)&gt;($D$3+Y297),(Character!$B$9+W297)-($D$3+Y297),0)),Calcs!$A$110:$B$122,2,TRUE))))=Calcs!$B$120,IF(ISBLANK(AC297)," ",CONCATENATE(AC297+7," Years")),IF(AA297=" "," ",IF(NOT(ISBLANK(X297)),VLOOKUP($D$3+X297,Calcs!$A$110:$B$122,2,TRUE),IF(AA297="Failed",VLOOKUP($D$3,Calcs!$A$110:$B$122,2,TRUE),VLOOKUP($D$3-(IF((Character!$B$9+W297)&gt;($D$3+Y297),(Character!$B$9+W297)-($D$3+Y297),0)),Calcs!$A$110:$B$122,2,TRUE)))))</f>
        <v xml:space="preserve"> </v>
      </c>
      <c r="AE297" s="490"/>
      <c r="AF297" s="879"/>
      <c r="AG297" s="491"/>
    </row>
    <row r="298" spans="1:33" x14ac:dyDescent="0.2">
      <c r="A298" s="415">
        <f t="shared" si="8"/>
        <v>1284</v>
      </c>
      <c r="B298" s="419" t="str">
        <f t="shared" si="9"/>
        <v>Summer</v>
      </c>
      <c r="C298" s="455"/>
      <c r="D298" s="504"/>
      <c r="E298" s="455"/>
      <c r="F298" s="504"/>
      <c r="G298" s="455"/>
      <c r="H298" s="504"/>
      <c r="I298" s="455"/>
      <c r="J298" s="504"/>
      <c r="L298" s="472"/>
      <c r="M298" s="468"/>
      <c r="N298" s="468"/>
      <c r="O298" s="468"/>
      <c r="P298" s="468"/>
      <c r="Q298" s="473"/>
      <c r="R298" s="477" t="str">
        <f>IF(AND(COUNTIF('Start Character'!$I$63:$M$77,"Twilight Prone")=1,NOT(ISERROR(FIND("Magical Botch",M298)))),"Yes",IF(P298&gt;1,"Yes","No"))</f>
        <v>No</v>
      </c>
      <c r="S298" s="501"/>
      <c r="T298" s="478"/>
      <c r="U298" s="501"/>
      <c r="V298" s="479" t="str">
        <f>IF(R298="No","No Twilight",IF(T298="Yes","Uncomprehended Twilight",IF((Character!$B$14+IF(Character!$B$53="Yes",0,Character!$B$53)+IF(Magic!$C$5="Yes",2,0)+ROUNDUP((Magic!$B$30+IF(Magic!$C$30="Yes",3,0))/5,0)+S298)&gt;=($D$3+P298+SUMIF(Character!$I$62:$I$66,"Enigmatic Wisdom",Character!$J$62:$J$66)+Q298+U298),"No Twilight","Twilight")))</f>
        <v>No Twilight</v>
      </c>
      <c r="W298" s="483"/>
      <c r="X298" s="478"/>
      <c r="Y298" s="484"/>
      <c r="Z298" s="478"/>
      <c r="AA298" s="485" t="str">
        <f>IF(V298="Uncomprehended Twilight","Failed",IF(OR(ISBLANK(W298),ISBLANK(Y298))," ",IF(NOT(ISBLANK(X298)),"Failed",IF((W298+Character!$B$9+SUMIF(Character!$I$62:$I$66,"Enigmatic Wisdom",Character!$J$62:$J$66))&gt;=IF(Z298="Yes",0,(Y298+D293)),"Succeeded","Failed"))))</f>
        <v xml:space="preserve"> </v>
      </c>
      <c r="AB298" s="477" t="str">
        <f>IF(AA298=" "," ",IF(NOT(ISBLANK(X298)),VLOOKUP($D$3+X298,Calcs!$A$110:$C$122,3,TRUE),IF(AA298="Failed",VLOOKUP($D$3,Calcs!$A$110:$C$122,3,TRUE),VLOOKUP($D$3-(IF((Character!$B$9+W298)&gt;($D$3+Y298),(Character!$B$9+W298)-($D$3+Y298),0)),Calcs!$A$110:$C$122,3,TRUE))))</f>
        <v xml:space="preserve"> </v>
      </c>
      <c r="AC298" s="489"/>
      <c r="AD298" s="489" t="str">
        <f>IF(IF(AA298=" "," ",IF(NOT(ISBLANK(X298)),VLOOKUP($D$3+X298,Calcs!$A$110:$B$122,2,TRUE),IF(AA298="Failed",VLOOKUP($D$3,Calcs!$A$110:$B$122,2,TRUE),VLOOKUP($D$3-(IF((Character!$B$9+W298)&gt;($D$3+Y298),(Character!$B$9+W298)-($D$3+Y298),0)),Calcs!$A$110:$B$122,2,TRUE))))=Calcs!$B$120,IF(ISBLANK(AC298)," ",CONCATENATE(AC298+7," Years")),IF(AA298=" "," ",IF(NOT(ISBLANK(X298)),VLOOKUP($D$3+X298,Calcs!$A$110:$B$122,2,TRUE),IF(AA298="Failed",VLOOKUP($D$3,Calcs!$A$110:$B$122,2,TRUE),VLOOKUP($D$3-(IF((Character!$B$9+W298)&gt;($D$3+Y298),(Character!$B$9+W298)-($D$3+Y298),0)),Calcs!$A$110:$B$122,2,TRUE)))))</f>
        <v xml:space="preserve"> </v>
      </c>
      <c r="AE298" s="490"/>
      <c r="AF298" s="879"/>
      <c r="AG298" s="491"/>
    </row>
    <row r="299" spans="1:33" x14ac:dyDescent="0.2">
      <c r="A299" s="415">
        <f t="shared" si="8"/>
        <v>1284</v>
      </c>
      <c r="B299" s="419" t="str">
        <f t="shared" si="9"/>
        <v>Autumn</v>
      </c>
      <c r="C299" s="455"/>
      <c r="D299" s="504"/>
      <c r="E299" s="455"/>
      <c r="F299" s="504"/>
      <c r="G299" s="455"/>
      <c r="H299" s="504"/>
      <c r="I299" s="455"/>
      <c r="J299" s="504"/>
      <c r="L299" s="472"/>
      <c r="M299" s="468"/>
      <c r="N299" s="468"/>
      <c r="O299" s="468"/>
      <c r="P299" s="468"/>
      <c r="Q299" s="473"/>
      <c r="R299" s="477" t="str">
        <f>IF(AND(COUNTIF('Start Character'!$I$63:$M$77,"Twilight Prone")=1,NOT(ISERROR(FIND("Magical Botch",M299)))),"Yes",IF(P299&gt;1,"Yes","No"))</f>
        <v>No</v>
      </c>
      <c r="S299" s="501"/>
      <c r="T299" s="478"/>
      <c r="U299" s="501"/>
      <c r="V299" s="479" t="str">
        <f>IF(R299="No","No Twilight",IF(T299="Yes","Uncomprehended Twilight",IF((Character!$B$14+IF(Character!$B$53="Yes",0,Character!$B$53)+IF(Magic!$C$5="Yes",2,0)+ROUNDUP((Magic!$B$30+IF(Magic!$C$30="Yes",3,0))/5,0)+S299)&gt;=($D$3+P299+SUMIF(Character!$I$62:$I$66,"Enigmatic Wisdom",Character!$J$62:$J$66)+Q299+U299),"No Twilight","Twilight")))</f>
        <v>No Twilight</v>
      </c>
      <c r="W299" s="483"/>
      <c r="X299" s="478"/>
      <c r="Y299" s="484"/>
      <c r="Z299" s="478"/>
      <c r="AA299" s="485" t="str">
        <f>IF(V299="Uncomprehended Twilight","Failed",IF(OR(ISBLANK(W299),ISBLANK(Y299))," ",IF(NOT(ISBLANK(X299)),"Failed",IF((W299+Character!$B$9+SUMIF(Character!$I$62:$I$66,"Enigmatic Wisdom",Character!$J$62:$J$66))&gt;=IF(Z299="Yes",0,(Y299+D294)),"Succeeded","Failed"))))</f>
        <v xml:space="preserve"> </v>
      </c>
      <c r="AB299" s="477" t="str">
        <f>IF(AA299=" "," ",IF(NOT(ISBLANK(X299)),VLOOKUP($D$3+X299,Calcs!$A$110:$C$122,3,TRUE),IF(AA299="Failed",VLOOKUP($D$3,Calcs!$A$110:$C$122,3,TRUE),VLOOKUP($D$3-(IF((Character!$B$9+W299)&gt;($D$3+Y299),(Character!$B$9+W299)-($D$3+Y299),0)),Calcs!$A$110:$C$122,3,TRUE))))</f>
        <v xml:space="preserve"> </v>
      </c>
      <c r="AC299" s="489"/>
      <c r="AD299" s="489" t="str">
        <f>IF(IF(AA299=" "," ",IF(NOT(ISBLANK(X299)),VLOOKUP($D$3+X299,Calcs!$A$110:$B$122,2,TRUE),IF(AA299="Failed",VLOOKUP($D$3,Calcs!$A$110:$B$122,2,TRUE),VLOOKUP($D$3-(IF((Character!$B$9+W299)&gt;($D$3+Y299),(Character!$B$9+W299)-($D$3+Y299),0)),Calcs!$A$110:$B$122,2,TRUE))))=Calcs!$B$120,IF(ISBLANK(AC299)," ",CONCATENATE(AC299+7," Years")),IF(AA299=" "," ",IF(NOT(ISBLANK(X299)),VLOOKUP($D$3+X299,Calcs!$A$110:$B$122,2,TRUE),IF(AA299="Failed",VLOOKUP($D$3,Calcs!$A$110:$B$122,2,TRUE),VLOOKUP($D$3-(IF((Character!$B$9+W299)&gt;($D$3+Y299),(Character!$B$9+W299)-($D$3+Y299),0)),Calcs!$A$110:$B$122,2,TRUE)))))</f>
        <v xml:space="preserve"> </v>
      </c>
      <c r="AE299" s="490"/>
      <c r="AF299" s="879"/>
      <c r="AG299" s="491"/>
    </row>
    <row r="300" spans="1:33" x14ac:dyDescent="0.2">
      <c r="A300" s="415">
        <f t="shared" si="8"/>
        <v>1285</v>
      </c>
      <c r="B300" s="419" t="str">
        <f t="shared" si="9"/>
        <v>Winter</v>
      </c>
      <c r="C300" s="455"/>
      <c r="D300" s="504"/>
      <c r="E300" s="455"/>
      <c r="F300" s="504"/>
      <c r="G300" s="455"/>
      <c r="H300" s="504"/>
      <c r="I300" s="455"/>
      <c r="J300" s="504"/>
      <c r="L300" s="472"/>
      <c r="M300" s="468"/>
      <c r="N300" s="468"/>
      <c r="O300" s="468"/>
      <c r="P300" s="468"/>
      <c r="Q300" s="473"/>
      <c r="R300" s="477" t="str">
        <f>IF(AND(COUNTIF('Start Character'!$I$63:$M$77,"Twilight Prone")=1,NOT(ISERROR(FIND("Magical Botch",M300)))),"Yes",IF(P300&gt;1,"Yes","No"))</f>
        <v>No</v>
      </c>
      <c r="S300" s="501"/>
      <c r="T300" s="478"/>
      <c r="U300" s="501"/>
      <c r="V300" s="479" t="str">
        <f>IF(R300="No","No Twilight",IF(T300="Yes","Uncomprehended Twilight",IF((Character!$B$14+IF(Character!$B$53="Yes",0,Character!$B$53)+IF(Magic!$C$5="Yes",2,0)+ROUNDUP((Magic!$B$30+IF(Magic!$C$30="Yes",3,0))/5,0)+S300)&gt;=($D$3+P300+SUMIF(Character!$I$62:$I$66,"Enigmatic Wisdom",Character!$J$62:$J$66)+Q300+U300),"No Twilight","Twilight")))</f>
        <v>No Twilight</v>
      </c>
      <c r="W300" s="483"/>
      <c r="X300" s="478"/>
      <c r="Y300" s="484"/>
      <c r="Z300" s="478"/>
      <c r="AA300" s="485" t="str">
        <f>IF(V300="Uncomprehended Twilight","Failed",IF(OR(ISBLANK(W300),ISBLANK(Y300))," ",IF(NOT(ISBLANK(X300)),"Failed",IF((W300+Character!$B$9+SUMIF(Character!$I$62:$I$66,"Enigmatic Wisdom",Character!$J$62:$J$66))&gt;=IF(Z300="Yes",0,(Y300+D295)),"Succeeded","Failed"))))</f>
        <v xml:space="preserve"> </v>
      </c>
      <c r="AB300" s="477" t="str">
        <f>IF(AA300=" "," ",IF(NOT(ISBLANK(X300)),VLOOKUP($D$3+X300,Calcs!$A$110:$C$122,3,TRUE),IF(AA300="Failed",VLOOKUP($D$3,Calcs!$A$110:$C$122,3,TRUE),VLOOKUP($D$3-(IF((Character!$B$9+W300)&gt;($D$3+Y300),(Character!$B$9+W300)-($D$3+Y300),0)),Calcs!$A$110:$C$122,3,TRUE))))</f>
        <v xml:space="preserve"> </v>
      </c>
      <c r="AC300" s="489"/>
      <c r="AD300" s="489" t="str">
        <f>IF(IF(AA300=" "," ",IF(NOT(ISBLANK(X300)),VLOOKUP($D$3+X300,Calcs!$A$110:$B$122,2,TRUE),IF(AA300="Failed",VLOOKUP($D$3,Calcs!$A$110:$B$122,2,TRUE),VLOOKUP($D$3-(IF((Character!$B$9+W300)&gt;($D$3+Y300),(Character!$B$9+W300)-($D$3+Y300),0)),Calcs!$A$110:$B$122,2,TRUE))))=Calcs!$B$120,IF(ISBLANK(AC300)," ",CONCATENATE(AC300+7," Years")),IF(AA300=" "," ",IF(NOT(ISBLANK(X300)),VLOOKUP($D$3+X300,Calcs!$A$110:$B$122,2,TRUE),IF(AA300="Failed",VLOOKUP($D$3,Calcs!$A$110:$B$122,2,TRUE),VLOOKUP($D$3-(IF((Character!$B$9+W300)&gt;($D$3+Y300),(Character!$B$9+W300)-($D$3+Y300),0)),Calcs!$A$110:$B$122,2,TRUE)))))</f>
        <v xml:space="preserve"> </v>
      </c>
      <c r="AE300" s="490"/>
      <c r="AF300" s="879"/>
      <c r="AG300" s="491"/>
    </row>
    <row r="301" spans="1:33" x14ac:dyDescent="0.2">
      <c r="A301" s="415">
        <f t="shared" si="8"/>
        <v>1285</v>
      </c>
      <c r="B301" s="419" t="str">
        <f t="shared" si="9"/>
        <v>Spring</v>
      </c>
      <c r="C301" s="455"/>
      <c r="D301" s="504"/>
      <c r="E301" s="455"/>
      <c r="F301" s="504"/>
      <c r="G301" s="455"/>
      <c r="H301" s="504"/>
      <c r="I301" s="455"/>
      <c r="J301" s="504"/>
      <c r="L301" s="472"/>
      <c r="M301" s="468"/>
      <c r="N301" s="468"/>
      <c r="O301" s="468"/>
      <c r="P301" s="468"/>
      <c r="Q301" s="473"/>
      <c r="R301" s="477" t="str">
        <f>IF(AND(COUNTIF('Start Character'!$I$63:$M$77,"Twilight Prone")=1,NOT(ISERROR(FIND("Magical Botch",M301)))),"Yes",IF(P301&gt;1,"Yes","No"))</f>
        <v>No</v>
      </c>
      <c r="S301" s="501"/>
      <c r="T301" s="478"/>
      <c r="U301" s="501"/>
      <c r="V301" s="479" t="str">
        <f>IF(R301="No","No Twilight",IF(T301="Yes","Uncomprehended Twilight",IF((Character!$B$14+IF(Character!$B$53="Yes",0,Character!$B$53)+IF(Magic!$C$5="Yes",2,0)+ROUNDUP((Magic!$B$30+IF(Magic!$C$30="Yes",3,0))/5,0)+S301)&gt;=($D$3+P301+SUMIF(Character!$I$62:$I$66,"Enigmatic Wisdom",Character!$J$62:$J$66)+Q301+U301),"No Twilight","Twilight")))</f>
        <v>No Twilight</v>
      </c>
      <c r="W301" s="483"/>
      <c r="X301" s="478"/>
      <c r="Y301" s="484"/>
      <c r="Z301" s="478"/>
      <c r="AA301" s="485" t="str">
        <f>IF(V301="Uncomprehended Twilight","Failed",IF(OR(ISBLANK(W301),ISBLANK(Y301))," ",IF(NOT(ISBLANK(X301)),"Failed",IF((W301+Character!$B$9+SUMIF(Character!$I$62:$I$66,"Enigmatic Wisdom",Character!$J$62:$J$66))&gt;=IF(Z301="Yes",0,(Y301+D296)),"Succeeded","Failed"))))</f>
        <v xml:space="preserve"> </v>
      </c>
      <c r="AB301" s="477" t="str">
        <f>IF(AA301=" "," ",IF(NOT(ISBLANK(X301)),VLOOKUP($D$3+X301,Calcs!$A$110:$C$122,3,TRUE),IF(AA301="Failed",VLOOKUP($D$3,Calcs!$A$110:$C$122,3,TRUE),VLOOKUP($D$3-(IF((Character!$B$9+W301)&gt;($D$3+Y301),(Character!$B$9+W301)-($D$3+Y301),0)),Calcs!$A$110:$C$122,3,TRUE))))</f>
        <v xml:space="preserve"> </v>
      </c>
      <c r="AC301" s="489"/>
      <c r="AD301" s="489" t="str">
        <f>IF(IF(AA301=" "," ",IF(NOT(ISBLANK(X301)),VLOOKUP($D$3+X301,Calcs!$A$110:$B$122,2,TRUE),IF(AA301="Failed",VLOOKUP($D$3,Calcs!$A$110:$B$122,2,TRUE),VLOOKUP($D$3-(IF((Character!$B$9+W301)&gt;($D$3+Y301),(Character!$B$9+W301)-($D$3+Y301),0)),Calcs!$A$110:$B$122,2,TRUE))))=Calcs!$B$120,IF(ISBLANK(AC301)," ",CONCATENATE(AC301+7," Years")),IF(AA301=" "," ",IF(NOT(ISBLANK(X301)),VLOOKUP($D$3+X301,Calcs!$A$110:$B$122,2,TRUE),IF(AA301="Failed",VLOOKUP($D$3,Calcs!$A$110:$B$122,2,TRUE),VLOOKUP($D$3-(IF((Character!$B$9+W301)&gt;($D$3+Y301),(Character!$B$9+W301)-($D$3+Y301),0)),Calcs!$A$110:$B$122,2,TRUE)))))</f>
        <v xml:space="preserve"> </v>
      </c>
      <c r="AE301" s="490"/>
      <c r="AF301" s="879"/>
      <c r="AG301" s="491"/>
    </row>
    <row r="302" spans="1:33" x14ac:dyDescent="0.2">
      <c r="A302" s="415">
        <f t="shared" si="8"/>
        <v>1285</v>
      </c>
      <c r="B302" s="419" t="str">
        <f t="shared" si="9"/>
        <v>Summer</v>
      </c>
      <c r="C302" s="455"/>
      <c r="D302" s="504"/>
      <c r="E302" s="455"/>
      <c r="F302" s="504"/>
      <c r="G302" s="455"/>
      <c r="H302" s="504"/>
      <c r="I302" s="455"/>
      <c r="J302" s="504"/>
      <c r="L302" s="472"/>
      <c r="M302" s="468"/>
      <c r="N302" s="468"/>
      <c r="O302" s="468"/>
      <c r="P302" s="468"/>
      <c r="Q302" s="473"/>
      <c r="R302" s="477" t="str">
        <f>IF(AND(COUNTIF('Start Character'!$I$63:$M$77,"Twilight Prone")=1,NOT(ISERROR(FIND("Magical Botch",M302)))),"Yes",IF(P302&gt;1,"Yes","No"))</f>
        <v>No</v>
      </c>
      <c r="S302" s="501"/>
      <c r="T302" s="478"/>
      <c r="U302" s="501"/>
      <c r="V302" s="479" t="str">
        <f>IF(R302="No","No Twilight",IF(T302="Yes","Uncomprehended Twilight",IF((Character!$B$14+IF(Character!$B$53="Yes",0,Character!$B$53)+IF(Magic!$C$5="Yes",2,0)+ROUNDUP((Magic!$B$30+IF(Magic!$C$30="Yes",3,0))/5,0)+S302)&gt;=($D$3+P302+SUMIF(Character!$I$62:$I$66,"Enigmatic Wisdom",Character!$J$62:$J$66)+Q302+U302),"No Twilight","Twilight")))</f>
        <v>No Twilight</v>
      </c>
      <c r="W302" s="483"/>
      <c r="X302" s="478"/>
      <c r="Y302" s="484"/>
      <c r="Z302" s="478"/>
      <c r="AA302" s="485" t="str">
        <f>IF(V302="Uncomprehended Twilight","Failed",IF(OR(ISBLANK(W302),ISBLANK(Y302))," ",IF(NOT(ISBLANK(X302)),"Failed",IF((W302+Character!$B$9+SUMIF(Character!$I$62:$I$66,"Enigmatic Wisdom",Character!$J$62:$J$66))&gt;=IF(Z302="Yes",0,(Y302+D297)),"Succeeded","Failed"))))</f>
        <v xml:space="preserve"> </v>
      </c>
      <c r="AB302" s="477" t="str">
        <f>IF(AA302=" "," ",IF(NOT(ISBLANK(X302)),VLOOKUP($D$3+X302,Calcs!$A$110:$C$122,3,TRUE),IF(AA302="Failed",VLOOKUP($D$3,Calcs!$A$110:$C$122,3,TRUE),VLOOKUP($D$3-(IF((Character!$B$9+W302)&gt;($D$3+Y302),(Character!$B$9+W302)-($D$3+Y302),0)),Calcs!$A$110:$C$122,3,TRUE))))</f>
        <v xml:space="preserve"> </v>
      </c>
      <c r="AC302" s="489"/>
      <c r="AD302" s="489" t="str">
        <f>IF(IF(AA302=" "," ",IF(NOT(ISBLANK(X302)),VLOOKUP($D$3+X302,Calcs!$A$110:$B$122,2,TRUE),IF(AA302="Failed",VLOOKUP($D$3,Calcs!$A$110:$B$122,2,TRUE),VLOOKUP($D$3-(IF((Character!$B$9+W302)&gt;($D$3+Y302),(Character!$B$9+W302)-($D$3+Y302),0)),Calcs!$A$110:$B$122,2,TRUE))))=Calcs!$B$120,IF(ISBLANK(AC302)," ",CONCATENATE(AC302+7," Years")),IF(AA302=" "," ",IF(NOT(ISBLANK(X302)),VLOOKUP($D$3+X302,Calcs!$A$110:$B$122,2,TRUE),IF(AA302="Failed",VLOOKUP($D$3,Calcs!$A$110:$B$122,2,TRUE),VLOOKUP($D$3-(IF((Character!$B$9+W302)&gt;($D$3+Y302),(Character!$B$9+W302)-($D$3+Y302),0)),Calcs!$A$110:$B$122,2,TRUE)))))</f>
        <v xml:space="preserve"> </v>
      </c>
      <c r="AE302" s="490"/>
      <c r="AF302" s="879"/>
      <c r="AG302" s="491"/>
    </row>
    <row r="303" spans="1:33" x14ac:dyDescent="0.2">
      <c r="A303" s="415">
        <f t="shared" si="8"/>
        <v>1285</v>
      </c>
      <c r="B303" s="419" t="str">
        <f t="shared" si="9"/>
        <v>Autumn</v>
      </c>
      <c r="C303" s="455"/>
      <c r="D303" s="504"/>
      <c r="E303" s="455"/>
      <c r="F303" s="504"/>
      <c r="G303" s="455"/>
      <c r="H303" s="504"/>
      <c r="I303" s="455"/>
      <c r="J303" s="504"/>
      <c r="L303" s="472"/>
      <c r="M303" s="468"/>
      <c r="N303" s="468"/>
      <c r="O303" s="468"/>
      <c r="P303" s="468"/>
      <c r="Q303" s="473"/>
      <c r="R303" s="477" t="str">
        <f>IF(AND(COUNTIF('Start Character'!$I$63:$M$77,"Twilight Prone")=1,NOT(ISERROR(FIND("Magical Botch",M303)))),"Yes",IF(P303&gt;1,"Yes","No"))</f>
        <v>No</v>
      </c>
      <c r="S303" s="501"/>
      <c r="T303" s="478"/>
      <c r="U303" s="501"/>
      <c r="V303" s="479" t="str">
        <f>IF(R303="No","No Twilight",IF(T303="Yes","Uncomprehended Twilight",IF((Character!$B$14+IF(Character!$B$53="Yes",0,Character!$B$53)+IF(Magic!$C$5="Yes",2,0)+ROUNDUP((Magic!$B$30+IF(Magic!$C$30="Yes",3,0))/5,0)+S303)&gt;=($D$3+P303+SUMIF(Character!$I$62:$I$66,"Enigmatic Wisdom",Character!$J$62:$J$66)+Q303+U303),"No Twilight","Twilight")))</f>
        <v>No Twilight</v>
      </c>
      <c r="W303" s="483"/>
      <c r="X303" s="478"/>
      <c r="Y303" s="484"/>
      <c r="Z303" s="478"/>
      <c r="AA303" s="485" t="str">
        <f>IF(V303="Uncomprehended Twilight","Failed",IF(OR(ISBLANK(W303),ISBLANK(Y303))," ",IF(NOT(ISBLANK(X303)),"Failed",IF((W303+Character!$B$9+SUMIF(Character!$I$62:$I$66,"Enigmatic Wisdom",Character!$J$62:$J$66))&gt;=IF(Z303="Yes",0,(Y303+D298)),"Succeeded","Failed"))))</f>
        <v xml:space="preserve"> </v>
      </c>
      <c r="AB303" s="477" t="str">
        <f>IF(AA303=" "," ",IF(NOT(ISBLANK(X303)),VLOOKUP($D$3+X303,Calcs!$A$110:$C$122,3,TRUE),IF(AA303="Failed",VLOOKUP($D$3,Calcs!$A$110:$C$122,3,TRUE),VLOOKUP($D$3-(IF((Character!$B$9+W303)&gt;($D$3+Y303),(Character!$B$9+W303)-($D$3+Y303),0)),Calcs!$A$110:$C$122,3,TRUE))))</f>
        <v xml:space="preserve"> </v>
      </c>
      <c r="AC303" s="489"/>
      <c r="AD303" s="489" t="str">
        <f>IF(IF(AA303=" "," ",IF(NOT(ISBLANK(X303)),VLOOKUP($D$3+X303,Calcs!$A$110:$B$122,2,TRUE),IF(AA303="Failed",VLOOKUP($D$3,Calcs!$A$110:$B$122,2,TRUE),VLOOKUP($D$3-(IF((Character!$B$9+W303)&gt;($D$3+Y303),(Character!$B$9+W303)-($D$3+Y303),0)),Calcs!$A$110:$B$122,2,TRUE))))=Calcs!$B$120,IF(ISBLANK(AC303)," ",CONCATENATE(AC303+7," Years")),IF(AA303=" "," ",IF(NOT(ISBLANK(X303)),VLOOKUP($D$3+X303,Calcs!$A$110:$B$122,2,TRUE),IF(AA303="Failed",VLOOKUP($D$3,Calcs!$A$110:$B$122,2,TRUE),VLOOKUP($D$3-(IF((Character!$B$9+W303)&gt;($D$3+Y303),(Character!$B$9+W303)-($D$3+Y303),0)),Calcs!$A$110:$B$122,2,TRUE)))))</f>
        <v xml:space="preserve"> </v>
      </c>
      <c r="AE303" s="490"/>
      <c r="AF303" s="879"/>
      <c r="AG303" s="491"/>
    </row>
    <row r="304" spans="1:33" x14ac:dyDescent="0.2">
      <c r="A304" s="415">
        <f t="shared" si="8"/>
        <v>1286</v>
      </c>
      <c r="B304" s="419" t="str">
        <f t="shared" si="9"/>
        <v>Winter</v>
      </c>
      <c r="C304" s="455"/>
      <c r="D304" s="504"/>
      <c r="E304" s="455"/>
      <c r="F304" s="504"/>
      <c r="G304" s="455"/>
      <c r="H304" s="504"/>
      <c r="I304" s="455"/>
      <c r="J304" s="504"/>
      <c r="L304" s="472"/>
      <c r="M304" s="468"/>
      <c r="N304" s="468"/>
      <c r="O304" s="468"/>
      <c r="P304" s="468"/>
      <c r="Q304" s="473"/>
      <c r="R304" s="477" t="str">
        <f>IF(AND(COUNTIF('Start Character'!$I$63:$M$77,"Twilight Prone")=1,NOT(ISERROR(FIND("Magical Botch",M304)))),"Yes",IF(P304&gt;1,"Yes","No"))</f>
        <v>No</v>
      </c>
      <c r="S304" s="501"/>
      <c r="T304" s="478"/>
      <c r="U304" s="501"/>
      <c r="V304" s="479" t="str">
        <f>IF(R304="No","No Twilight",IF(T304="Yes","Uncomprehended Twilight",IF((Character!$B$14+IF(Character!$B$53="Yes",0,Character!$B$53)+IF(Magic!$C$5="Yes",2,0)+ROUNDUP((Magic!$B$30+IF(Magic!$C$30="Yes",3,0))/5,0)+S304)&gt;=($D$3+P304+SUMIF(Character!$I$62:$I$66,"Enigmatic Wisdom",Character!$J$62:$J$66)+Q304+U304),"No Twilight","Twilight")))</f>
        <v>No Twilight</v>
      </c>
      <c r="W304" s="483"/>
      <c r="X304" s="478"/>
      <c r="Y304" s="484"/>
      <c r="Z304" s="478"/>
      <c r="AA304" s="485" t="str">
        <f>IF(V304="Uncomprehended Twilight","Failed",IF(OR(ISBLANK(W304),ISBLANK(Y304))," ",IF(NOT(ISBLANK(X304)),"Failed",IF((W304+Character!$B$9+SUMIF(Character!$I$62:$I$66,"Enigmatic Wisdom",Character!$J$62:$J$66))&gt;=IF(Z304="Yes",0,(Y304+D299)),"Succeeded","Failed"))))</f>
        <v xml:space="preserve"> </v>
      </c>
      <c r="AB304" s="477" t="str">
        <f>IF(AA304=" "," ",IF(NOT(ISBLANK(X304)),VLOOKUP($D$3+X304,Calcs!$A$110:$C$122,3,TRUE),IF(AA304="Failed",VLOOKUP($D$3,Calcs!$A$110:$C$122,3,TRUE),VLOOKUP($D$3-(IF((Character!$B$9+W304)&gt;($D$3+Y304),(Character!$B$9+W304)-($D$3+Y304),0)),Calcs!$A$110:$C$122,3,TRUE))))</f>
        <v xml:space="preserve"> </v>
      </c>
      <c r="AC304" s="489"/>
      <c r="AD304" s="489" t="str">
        <f>IF(IF(AA304=" "," ",IF(NOT(ISBLANK(X304)),VLOOKUP($D$3+X304,Calcs!$A$110:$B$122,2,TRUE),IF(AA304="Failed",VLOOKUP($D$3,Calcs!$A$110:$B$122,2,TRUE),VLOOKUP($D$3-(IF((Character!$B$9+W304)&gt;($D$3+Y304),(Character!$B$9+W304)-($D$3+Y304),0)),Calcs!$A$110:$B$122,2,TRUE))))=Calcs!$B$120,IF(ISBLANK(AC304)," ",CONCATENATE(AC304+7," Years")),IF(AA304=" "," ",IF(NOT(ISBLANK(X304)),VLOOKUP($D$3+X304,Calcs!$A$110:$B$122,2,TRUE),IF(AA304="Failed",VLOOKUP($D$3,Calcs!$A$110:$B$122,2,TRUE),VLOOKUP($D$3-(IF((Character!$B$9+W304)&gt;($D$3+Y304),(Character!$B$9+W304)-($D$3+Y304),0)),Calcs!$A$110:$B$122,2,TRUE)))))</f>
        <v xml:space="preserve"> </v>
      </c>
      <c r="AE304" s="490"/>
      <c r="AF304" s="879"/>
      <c r="AG304" s="491"/>
    </row>
    <row r="305" spans="1:33" x14ac:dyDescent="0.2">
      <c r="A305" s="415">
        <f t="shared" si="8"/>
        <v>1286</v>
      </c>
      <c r="B305" s="419" t="str">
        <f t="shared" si="9"/>
        <v>Spring</v>
      </c>
      <c r="C305" s="455"/>
      <c r="D305" s="504"/>
      <c r="E305" s="455"/>
      <c r="F305" s="504"/>
      <c r="G305" s="455"/>
      <c r="H305" s="504"/>
      <c r="I305" s="455"/>
      <c r="J305" s="504"/>
      <c r="L305" s="472"/>
      <c r="M305" s="468"/>
      <c r="N305" s="468"/>
      <c r="O305" s="468"/>
      <c r="P305" s="468"/>
      <c r="Q305" s="473"/>
      <c r="R305" s="477" t="str">
        <f>IF(AND(COUNTIF('Start Character'!$I$63:$M$77,"Twilight Prone")=1,NOT(ISERROR(FIND("Magical Botch",M305)))),"Yes",IF(P305&gt;1,"Yes","No"))</f>
        <v>No</v>
      </c>
      <c r="S305" s="501"/>
      <c r="T305" s="478"/>
      <c r="U305" s="501"/>
      <c r="V305" s="479" t="str">
        <f>IF(R305="No","No Twilight",IF(T305="Yes","Uncomprehended Twilight",IF((Character!$B$14+IF(Character!$B$53="Yes",0,Character!$B$53)+IF(Magic!$C$5="Yes",2,0)+ROUNDUP((Magic!$B$30+IF(Magic!$C$30="Yes",3,0))/5,0)+S305)&gt;=($D$3+P305+SUMIF(Character!$I$62:$I$66,"Enigmatic Wisdom",Character!$J$62:$J$66)+Q305+U305),"No Twilight","Twilight")))</f>
        <v>No Twilight</v>
      </c>
      <c r="W305" s="483"/>
      <c r="X305" s="478"/>
      <c r="Y305" s="484"/>
      <c r="Z305" s="478"/>
      <c r="AA305" s="485" t="str">
        <f>IF(V305="Uncomprehended Twilight","Failed",IF(OR(ISBLANK(W305),ISBLANK(Y305))," ",IF(NOT(ISBLANK(X305)),"Failed",IF((W305+Character!$B$9+SUMIF(Character!$I$62:$I$66,"Enigmatic Wisdom",Character!$J$62:$J$66))&gt;=IF(Z305="Yes",0,(Y305+D300)),"Succeeded","Failed"))))</f>
        <v xml:space="preserve"> </v>
      </c>
      <c r="AB305" s="477" t="str">
        <f>IF(AA305=" "," ",IF(NOT(ISBLANK(X305)),VLOOKUP($D$3+X305,Calcs!$A$110:$C$122,3,TRUE),IF(AA305="Failed",VLOOKUP($D$3,Calcs!$A$110:$C$122,3,TRUE),VLOOKUP($D$3-(IF((Character!$B$9+W305)&gt;($D$3+Y305),(Character!$B$9+W305)-($D$3+Y305),0)),Calcs!$A$110:$C$122,3,TRUE))))</f>
        <v xml:space="preserve"> </v>
      </c>
      <c r="AC305" s="489"/>
      <c r="AD305" s="489" t="str">
        <f>IF(IF(AA305=" "," ",IF(NOT(ISBLANK(X305)),VLOOKUP($D$3+X305,Calcs!$A$110:$B$122,2,TRUE),IF(AA305="Failed",VLOOKUP($D$3,Calcs!$A$110:$B$122,2,TRUE),VLOOKUP($D$3-(IF((Character!$B$9+W305)&gt;($D$3+Y305),(Character!$B$9+W305)-($D$3+Y305),0)),Calcs!$A$110:$B$122,2,TRUE))))=Calcs!$B$120,IF(ISBLANK(AC305)," ",CONCATENATE(AC305+7," Years")),IF(AA305=" "," ",IF(NOT(ISBLANK(X305)),VLOOKUP($D$3+X305,Calcs!$A$110:$B$122,2,TRUE),IF(AA305="Failed",VLOOKUP($D$3,Calcs!$A$110:$B$122,2,TRUE),VLOOKUP($D$3-(IF((Character!$B$9+W305)&gt;($D$3+Y305),(Character!$B$9+W305)-($D$3+Y305),0)),Calcs!$A$110:$B$122,2,TRUE)))))</f>
        <v xml:space="preserve"> </v>
      </c>
      <c r="AE305" s="490"/>
      <c r="AF305" s="879"/>
      <c r="AG305" s="491"/>
    </row>
    <row r="306" spans="1:33" x14ac:dyDescent="0.2">
      <c r="A306" s="415">
        <f t="shared" si="8"/>
        <v>1286</v>
      </c>
      <c r="B306" s="419" t="str">
        <f t="shared" si="9"/>
        <v>Summer</v>
      </c>
      <c r="C306" s="455"/>
      <c r="D306" s="504"/>
      <c r="E306" s="455"/>
      <c r="F306" s="504"/>
      <c r="G306" s="455"/>
      <c r="H306" s="504"/>
      <c r="I306" s="455"/>
      <c r="J306" s="504"/>
      <c r="L306" s="472"/>
      <c r="M306" s="468"/>
      <c r="N306" s="468"/>
      <c r="O306" s="468"/>
      <c r="P306" s="468"/>
      <c r="Q306" s="473"/>
      <c r="R306" s="477" t="str">
        <f>IF(AND(COUNTIF('Start Character'!$I$63:$M$77,"Twilight Prone")=1,NOT(ISERROR(FIND("Magical Botch",M306)))),"Yes",IF(P306&gt;1,"Yes","No"))</f>
        <v>No</v>
      </c>
      <c r="S306" s="501"/>
      <c r="T306" s="478"/>
      <c r="U306" s="501"/>
      <c r="V306" s="479" t="str">
        <f>IF(R306="No","No Twilight",IF(T306="Yes","Uncomprehended Twilight",IF((Character!$B$14+IF(Character!$B$53="Yes",0,Character!$B$53)+IF(Magic!$C$5="Yes",2,0)+ROUNDUP((Magic!$B$30+IF(Magic!$C$30="Yes",3,0))/5,0)+S306)&gt;=($D$3+P306+SUMIF(Character!$I$62:$I$66,"Enigmatic Wisdom",Character!$J$62:$J$66)+Q306+U306),"No Twilight","Twilight")))</f>
        <v>No Twilight</v>
      </c>
      <c r="W306" s="483"/>
      <c r="X306" s="478"/>
      <c r="Y306" s="484"/>
      <c r="Z306" s="478"/>
      <c r="AA306" s="485" t="str">
        <f>IF(V306="Uncomprehended Twilight","Failed",IF(OR(ISBLANK(W306),ISBLANK(Y306))," ",IF(NOT(ISBLANK(X306)),"Failed",IF((W306+Character!$B$9+SUMIF(Character!$I$62:$I$66,"Enigmatic Wisdom",Character!$J$62:$J$66))&gt;=IF(Z306="Yes",0,(Y306+D301)),"Succeeded","Failed"))))</f>
        <v xml:space="preserve"> </v>
      </c>
      <c r="AB306" s="477" t="str">
        <f>IF(AA306=" "," ",IF(NOT(ISBLANK(X306)),VLOOKUP($D$3+X306,Calcs!$A$110:$C$122,3,TRUE),IF(AA306="Failed",VLOOKUP($D$3,Calcs!$A$110:$C$122,3,TRUE),VLOOKUP($D$3-(IF((Character!$B$9+W306)&gt;($D$3+Y306),(Character!$B$9+W306)-($D$3+Y306),0)),Calcs!$A$110:$C$122,3,TRUE))))</f>
        <v xml:space="preserve"> </v>
      </c>
      <c r="AC306" s="489"/>
      <c r="AD306" s="489" t="str">
        <f>IF(IF(AA306=" "," ",IF(NOT(ISBLANK(X306)),VLOOKUP($D$3+X306,Calcs!$A$110:$B$122,2,TRUE),IF(AA306="Failed",VLOOKUP($D$3,Calcs!$A$110:$B$122,2,TRUE),VLOOKUP($D$3-(IF((Character!$B$9+W306)&gt;($D$3+Y306),(Character!$B$9+W306)-($D$3+Y306),0)),Calcs!$A$110:$B$122,2,TRUE))))=Calcs!$B$120,IF(ISBLANK(AC306)," ",CONCATENATE(AC306+7," Years")),IF(AA306=" "," ",IF(NOT(ISBLANK(X306)),VLOOKUP($D$3+X306,Calcs!$A$110:$B$122,2,TRUE),IF(AA306="Failed",VLOOKUP($D$3,Calcs!$A$110:$B$122,2,TRUE),VLOOKUP($D$3-(IF((Character!$B$9+W306)&gt;($D$3+Y306),(Character!$B$9+W306)-($D$3+Y306),0)),Calcs!$A$110:$B$122,2,TRUE)))))</f>
        <v xml:space="preserve"> </v>
      </c>
      <c r="AE306" s="490"/>
      <c r="AF306" s="879"/>
      <c r="AG306" s="491"/>
    </row>
    <row r="307" spans="1:33" x14ac:dyDescent="0.2">
      <c r="A307" s="415">
        <f t="shared" si="8"/>
        <v>1286</v>
      </c>
      <c r="B307" s="419" t="str">
        <f t="shared" si="9"/>
        <v>Autumn</v>
      </c>
      <c r="C307" s="455"/>
      <c r="D307" s="504"/>
      <c r="E307" s="455"/>
      <c r="F307" s="504"/>
      <c r="G307" s="455"/>
      <c r="H307" s="504"/>
      <c r="I307" s="455"/>
      <c r="J307" s="504"/>
      <c r="L307" s="472"/>
      <c r="M307" s="468"/>
      <c r="N307" s="468"/>
      <c r="O307" s="468"/>
      <c r="P307" s="468"/>
      <c r="Q307" s="473"/>
      <c r="R307" s="477" t="str">
        <f>IF(AND(COUNTIF('Start Character'!$I$63:$M$77,"Twilight Prone")=1,NOT(ISERROR(FIND("Magical Botch",M307)))),"Yes",IF(P307&gt;1,"Yes","No"))</f>
        <v>No</v>
      </c>
      <c r="S307" s="501"/>
      <c r="T307" s="478"/>
      <c r="U307" s="501"/>
      <c r="V307" s="479" t="str">
        <f>IF(R307="No","No Twilight",IF(T307="Yes","Uncomprehended Twilight",IF((Character!$B$14+IF(Character!$B$53="Yes",0,Character!$B$53)+IF(Magic!$C$5="Yes",2,0)+ROUNDUP((Magic!$B$30+IF(Magic!$C$30="Yes",3,0))/5,0)+S307)&gt;=($D$3+P307+SUMIF(Character!$I$62:$I$66,"Enigmatic Wisdom",Character!$J$62:$J$66)+Q307+U307),"No Twilight","Twilight")))</f>
        <v>No Twilight</v>
      </c>
      <c r="W307" s="483"/>
      <c r="X307" s="478"/>
      <c r="Y307" s="484"/>
      <c r="Z307" s="478"/>
      <c r="AA307" s="485" t="str">
        <f>IF(V307="Uncomprehended Twilight","Failed",IF(OR(ISBLANK(W307),ISBLANK(Y307))," ",IF(NOT(ISBLANK(X307)),"Failed",IF((W307+Character!$B$9+SUMIF(Character!$I$62:$I$66,"Enigmatic Wisdom",Character!$J$62:$J$66))&gt;=IF(Z307="Yes",0,(Y307+D302)),"Succeeded","Failed"))))</f>
        <v xml:space="preserve"> </v>
      </c>
      <c r="AB307" s="477" t="str">
        <f>IF(AA307=" "," ",IF(NOT(ISBLANK(X307)),VLOOKUP($D$3+X307,Calcs!$A$110:$C$122,3,TRUE),IF(AA307="Failed",VLOOKUP($D$3,Calcs!$A$110:$C$122,3,TRUE),VLOOKUP($D$3-(IF((Character!$B$9+W307)&gt;($D$3+Y307),(Character!$B$9+W307)-($D$3+Y307),0)),Calcs!$A$110:$C$122,3,TRUE))))</f>
        <v xml:space="preserve"> </v>
      </c>
      <c r="AC307" s="489"/>
      <c r="AD307" s="489" t="str">
        <f>IF(IF(AA307=" "," ",IF(NOT(ISBLANK(X307)),VLOOKUP($D$3+X307,Calcs!$A$110:$B$122,2,TRUE),IF(AA307="Failed",VLOOKUP($D$3,Calcs!$A$110:$B$122,2,TRUE),VLOOKUP($D$3-(IF((Character!$B$9+W307)&gt;($D$3+Y307),(Character!$B$9+W307)-($D$3+Y307),0)),Calcs!$A$110:$B$122,2,TRUE))))=Calcs!$B$120,IF(ISBLANK(AC307)," ",CONCATENATE(AC307+7," Years")),IF(AA307=" "," ",IF(NOT(ISBLANK(X307)),VLOOKUP($D$3+X307,Calcs!$A$110:$B$122,2,TRUE),IF(AA307="Failed",VLOOKUP($D$3,Calcs!$A$110:$B$122,2,TRUE),VLOOKUP($D$3-(IF((Character!$B$9+W307)&gt;($D$3+Y307),(Character!$B$9+W307)-($D$3+Y307),0)),Calcs!$A$110:$B$122,2,TRUE)))))</f>
        <v xml:space="preserve"> </v>
      </c>
      <c r="AE307" s="490"/>
      <c r="AF307" s="879"/>
      <c r="AG307" s="491"/>
    </row>
    <row r="308" spans="1:33" x14ac:dyDescent="0.2">
      <c r="A308" s="415">
        <f t="shared" si="8"/>
        <v>1287</v>
      </c>
      <c r="B308" s="419" t="str">
        <f t="shared" si="9"/>
        <v>Winter</v>
      </c>
      <c r="C308" s="455"/>
      <c r="D308" s="504"/>
      <c r="E308" s="455"/>
      <c r="F308" s="504"/>
      <c r="G308" s="455"/>
      <c r="H308" s="504"/>
      <c r="I308" s="455"/>
      <c r="J308" s="504"/>
      <c r="L308" s="472"/>
      <c r="M308" s="468"/>
      <c r="N308" s="468"/>
      <c r="O308" s="468"/>
      <c r="P308" s="468"/>
      <c r="Q308" s="473"/>
      <c r="R308" s="477" t="str">
        <f>IF(AND(COUNTIF('Start Character'!$I$63:$M$77,"Twilight Prone")=1,NOT(ISERROR(FIND("Magical Botch",M308)))),"Yes",IF(P308&gt;1,"Yes","No"))</f>
        <v>No</v>
      </c>
      <c r="S308" s="501"/>
      <c r="T308" s="478"/>
      <c r="U308" s="501"/>
      <c r="V308" s="479" t="str">
        <f>IF(R308="No","No Twilight",IF(T308="Yes","Uncomprehended Twilight",IF((Character!$B$14+IF(Character!$B$53="Yes",0,Character!$B$53)+IF(Magic!$C$5="Yes",2,0)+ROUNDUP((Magic!$B$30+IF(Magic!$C$30="Yes",3,0))/5,0)+S308)&gt;=($D$3+P308+SUMIF(Character!$I$62:$I$66,"Enigmatic Wisdom",Character!$J$62:$J$66)+Q308+U308),"No Twilight","Twilight")))</f>
        <v>No Twilight</v>
      </c>
      <c r="W308" s="483"/>
      <c r="X308" s="478"/>
      <c r="Y308" s="484"/>
      <c r="Z308" s="478"/>
      <c r="AA308" s="485" t="str">
        <f>IF(V308="Uncomprehended Twilight","Failed",IF(OR(ISBLANK(W308),ISBLANK(Y308))," ",IF(NOT(ISBLANK(X308)),"Failed",IF((W308+Character!$B$9+SUMIF(Character!$I$62:$I$66,"Enigmatic Wisdom",Character!$J$62:$J$66))&gt;=IF(Z308="Yes",0,(Y308+D303)),"Succeeded","Failed"))))</f>
        <v xml:space="preserve"> </v>
      </c>
      <c r="AB308" s="477" t="str">
        <f>IF(AA308=" "," ",IF(NOT(ISBLANK(X308)),VLOOKUP($D$3+X308,Calcs!$A$110:$C$122,3,TRUE),IF(AA308="Failed",VLOOKUP($D$3,Calcs!$A$110:$C$122,3,TRUE),VLOOKUP($D$3-(IF((Character!$B$9+W308)&gt;($D$3+Y308),(Character!$B$9+W308)-($D$3+Y308),0)),Calcs!$A$110:$C$122,3,TRUE))))</f>
        <v xml:space="preserve"> </v>
      </c>
      <c r="AC308" s="489"/>
      <c r="AD308" s="489" t="str">
        <f>IF(IF(AA308=" "," ",IF(NOT(ISBLANK(X308)),VLOOKUP($D$3+X308,Calcs!$A$110:$B$122,2,TRUE),IF(AA308="Failed",VLOOKUP($D$3,Calcs!$A$110:$B$122,2,TRUE),VLOOKUP($D$3-(IF((Character!$B$9+W308)&gt;($D$3+Y308),(Character!$B$9+W308)-($D$3+Y308),0)),Calcs!$A$110:$B$122,2,TRUE))))=Calcs!$B$120,IF(ISBLANK(AC308)," ",CONCATENATE(AC308+7," Years")),IF(AA308=" "," ",IF(NOT(ISBLANK(X308)),VLOOKUP($D$3+X308,Calcs!$A$110:$B$122,2,TRUE),IF(AA308="Failed",VLOOKUP($D$3,Calcs!$A$110:$B$122,2,TRUE),VLOOKUP($D$3-(IF((Character!$B$9+W308)&gt;($D$3+Y308),(Character!$B$9+W308)-($D$3+Y308),0)),Calcs!$A$110:$B$122,2,TRUE)))))</f>
        <v xml:space="preserve"> </v>
      </c>
      <c r="AE308" s="490"/>
      <c r="AF308" s="879"/>
      <c r="AG308" s="491"/>
    </row>
    <row r="309" spans="1:33" x14ac:dyDescent="0.2">
      <c r="A309" s="415">
        <f t="shared" si="8"/>
        <v>1287</v>
      </c>
      <c r="B309" s="419" t="str">
        <f t="shared" si="9"/>
        <v>Spring</v>
      </c>
      <c r="C309" s="455"/>
      <c r="D309" s="504"/>
      <c r="E309" s="455"/>
      <c r="F309" s="504"/>
      <c r="G309" s="455"/>
      <c r="H309" s="504"/>
      <c r="I309" s="455"/>
      <c r="J309" s="504"/>
      <c r="L309" s="472"/>
      <c r="M309" s="468"/>
      <c r="N309" s="468"/>
      <c r="O309" s="468"/>
      <c r="P309" s="468"/>
      <c r="Q309" s="473"/>
      <c r="R309" s="477" t="str">
        <f>IF(AND(COUNTIF('Start Character'!$I$63:$M$77,"Twilight Prone")=1,NOT(ISERROR(FIND("Magical Botch",M309)))),"Yes",IF(P309&gt;1,"Yes","No"))</f>
        <v>No</v>
      </c>
      <c r="S309" s="501"/>
      <c r="T309" s="478"/>
      <c r="U309" s="501"/>
      <c r="V309" s="479" t="str">
        <f>IF(R309="No","No Twilight",IF(T309="Yes","Uncomprehended Twilight",IF((Character!$B$14+IF(Character!$B$53="Yes",0,Character!$B$53)+IF(Magic!$C$5="Yes",2,0)+ROUNDUP((Magic!$B$30+IF(Magic!$C$30="Yes",3,0))/5,0)+S309)&gt;=($D$3+P309+SUMIF(Character!$I$62:$I$66,"Enigmatic Wisdom",Character!$J$62:$J$66)+Q309+U309),"No Twilight","Twilight")))</f>
        <v>No Twilight</v>
      </c>
      <c r="W309" s="483"/>
      <c r="X309" s="478"/>
      <c r="Y309" s="484"/>
      <c r="Z309" s="478"/>
      <c r="AA309" s="485" t="str">
        <f>IF(V309="Uncomprehended Twilight","Failed",IF(OR(ISBLANK(W309),ISBLANK(Y309))," ",IF(NOT(ISBLANK(X309)),"Failed",IF((W309+Character!$B$9+SUMIF(Character!$I$62:$I$66,"Enigmatic Wisdom",Character!$J$62:$J$66))&gt;=IF(Z309="Yes",0,(Y309+D304)),"Succeeded","Failed"))))</f>
        <v xml:space="preserve"> </v>
      </c>
      <c r="AB309" s="477" t="str">
        <f>IF(AA309=" "," ",IF(NOT(ISBLANK(X309)),VLOOKUP($D$3+X309,Calcs!$A$110:$C$122,3,TRUE),IF(AA309="Failed",VLOOKUP($D$3,Calcs!$A$110:$C$122,3,TRUE),VLOOKUP($D$3-(IF((Character!$B$9+W309)&gt;($D$3+Y309),(Character!$B$9+W309)-($D$3+Y309),0)),Calcs!$A$110:$C$122,3,TRUE))))</f>
        <v xml:space="preserve"> </v>
      </c>
      <c r="AC309" s="489"/>
      <c r="AD309" s="489" t="str">
        <f>IF(IF(AA309=" "," ",IF(NOT(ISBLANK(X309)),VLOOKUP($D$3+X309,Calcs!$A$110:$B$122,2,TRUE),IF(AA309="Failed",VLOOKUP($D$3,Calcs!$A$110:$B$122,2,TRUE),VLOOKUP($D$3-(IF((Character!$B$9+W309)&gt;($D$3+Y309),(Character!$B$9+W309)-($D$3+Y309),0)),Calcs!$A$110:$B$122,2,TRUE))))=Calcs!$B$120,IF(ISBLANK(AC309)," ",CONCATENATE(AC309+7," Years")),IF(AA309=" "," ",IF(NOT(ISBLANK(X309)),VLOOKUP($D$3+X309,Calcs!$A$110:$B$122,2,TRUE),IF(AA309="Failed",VLOOKUP($D$3,Calcs!$A$110:$B$122,2,TRUE),VLOOKUP($D$3-(IF((Character!$B$9+W309)&gt;($D$3+Y309),(Character!$B$9+W309)-($D$3+Y309),0)),Calcs!$A$110:$B$122,2,TRUE)))))</f>
        <v xml:space="preserve"> </v>
      </c>
      <c r="AE309" s="490"/>
      <c r="AF309" s="879"/>
      <c r="AG309" s="491"/>
    </row>
    <row r="310" spans="1:33" x14ac:dyDescent="0.2">
      <c r="A310" s="415">
        <f t="shared" si="8"/>
        <v>1287</v>
      </c>
      <c r="B310" s="419" t="str">
        <f t="shared" si="9"/>
        <v>Summer</v>
      </c>
      <c r="C310" s="455"/>
      <c r="D310" s="504"/>
      <c r="E310" s="455"/>
      <c r="F310" s="504"/>
      <c r="G310" s="455"/>
      <c r="H310" s="504"/>
      <c r="I310" s="455"/>
      <c r="J310" s="504"/>
      <c r="L310" s="472"/>
      <c r="M310" s="468"/>
      <c r="N310" s="468"/>
      <c r="O310" s="468"/>
      <c r="P310" s="468"/>
      <c r="Q310" s="473"/>
      <c r="R310" s="477" t="str">
        <f>IF(AND(COUNTIF('Start Character'!$I$63:$M$77,"Twilight Prone")=1,NOT(ISERROR(FIND("Magical Botch",M310)))),"Yes",IF(P310&gt;1,"Yes","No"))</f>
        <v>No</v>
      </c>
      <c r="S310" s="501"/>
      <c r="T310" s="478"/>
      <c r="U310" s="501"/>
      <c r="V310" s="479" t="str">
        <f>IF(R310="No","No Twilight",IF(T310="Yes","Uncomprehended Twilight",IF((Character!$B$14+IF(Character!$B$53="Yes",0,Character!$B$53)+IF(Magic!$C$5="Yes",2,0)+ROUNDUP((Magic!$B$30+IF(Magic!$C$30="Yes",3,0))/5,0)+S310)&gt;=($D$3+P310+SUMIF(Character!$I$62:$I$66,"Enigmatic Wisdom",Character!$J$62:$J$66)+Q310+U310),"No Twilight","Twilight")))</f>
        <v>No Twilight</v>
      </c>
      <c r="W310" s="483"/>
      <c r="X310" s="478"/>
      <c r="Y310" s="484"/>
      <c r="Z310" s="478"/>
      <c r="AA310" s="485" t="str">
        <f>IF(V310="Uncomprehended Twilight","Failed",IF(OR(ISBLANK(W310),ISBLANK(Y310))," ",IF(NOT(ISBLANK(X310)),"Failed",IF((W310+Character!$B$9+SUMIF(Character!$I$62:$I$66,"Enigmatic Wisdom",Character!$J$62:$J$66))&gt;=IF(Z310="Yes",0,(Y310+D305)),"Succeeded","Failed"))))</f>
        <v xml:space="preserve"> </v>
      </c>
      <c r="AB310" s="477" t="str">
        <f>IF(AA310=" "," ",IF(NOT(ISBLANK(X310)),VLOOKUP($D$3+X310,Calcs!$A$110:$C$122,3,TRUE),IF(AA310="Failed",VLOOKUP($D$3,Calcs!$A$110:$C$122,3,TRUE),VLOOKUP($D$3-(IF((Character!$B$9+W310)&gt;($D$3+Y310),(Character!$B$9+W310)-($D$3+Y310),0)),Calcs!$A$110:$C$122,3,TRUE))))</f>
        <v xml:space="preserve"> </v>
      </c>
      <c r="AC310" s="489"/>
      <c r="AD310" s="489" t="str">
        <f>IF(IF(AA310=" "," ",IF(NOT(ISBLANK(X310)),VLOOKUP($D$3+X310,Calcs!$A$110:$B$122,2,TRUE),IF(AA310="Failed",VLOOKUP($D$3,Calcs!$A$110:$B$122,2,TRUE),VLOOKUP($D$3-(IF((Character!$B$9+W310)&gt;($D$3+Y310),(Character!$B$9+W310)-($D$3+Y310),0)),Calcs!$A$110:$B$122,2,TRUE))))=Calcs!$B$120,IF(ISBLANK(AC310)," ",CONCATENATE(AC310+7," Years")),IF(AA310=" "," ",IF(NOT(ISBLANK(X310)),VLOOKUP($D$3+X310,Calcs!$A$110:$B$122,2,TRUE),IF(AA310="Failed",VLOOKUP($D$3,Calcs!$A$110:$B$122,2,TRUE),VLOOKUP($D$3-(IF((Character!$B$9+W310)&gt;($D$3+Y310),(Character!$B$9+W310)-($D$3+Y310),0)),Calcs!$A$110:$B$122,2,TRUE)))))</f>
        <v xml:space="preserve"> </v>
      </c>
      <c r="AE310" s="490"/>
      <c r="AF310" s="879"/>
      <c r="AG310" s="491"/>
    </row>
    <row r="311" spans="1:33" x14ac:dyDescent="0.2">
      <c r="A311" s="415">
        <f t="shared" si="8"/>
        <v>1287</v>
      </c>
      <c r="B311" s="419" t="str">
        <f t="shared" si="9"/>
        <v>Autumn</v>
      </c>
      <c r="C311" s="455"/>
      <c r="D311" s="504"/>
      <c r="E311" s="455"/>
      <c r="F311" s="504"/>
      <c r="G311" s="455"/>
      <c r="H311" s="504"/>
      <c r="I311" s="455"/>
      <c r="J311" s="504"/>
      <c r="L311" s="472"/>
      <c r="M311" s="468"/>
      <c r="N311" s="468"/>
      <c r="O311" s="468"/>
      <c r="P311" s="468"/>
      <c r="Q311" s="473"/>
      <c r="R311" s="477" t="str">
        <f>IF(AND(COUNTIF('Start Character'!$I$63:$M$77,"Twilight Prone")=1,NOT(ISERROR(FIND("Magical Botch",M311)))),"Yes",IF(P311&gt;1,"Yes","No"))</f>
        <v>No</v>
      </c>
      <c r="S311" s="501"/>
      <c r="T311" s="478"/>
      <c r="U311" s="501"/>
      <c r="V311" s="479" t="str">
        <f>IF(R311="No","No Twilight",IF(T311="Yes","Uncomprehended Twilight",IF((Character!$B$14+IF(Character!$B$53="Yes",0,Character!$B$53)+IF(Magic!$C$5="Yes",2,0)+ROUNDUP((Magic!$B$30+IF(Magic!$C$30="Yes",3,0))/5,0)+S311)&gt;=($D$3+P311+SUMIF(Character!$I$62:$I$66,"Enigmatic Wisdom",Character!$J$62:$J$66)+Q311+U311),"No Twilight","Twilight")))</f>
        <v>No Twilight</v>
      </c>
      <c r="W311" s="483"/>
      <c r="X311" s="478"/>
      <c r="Y311" s="484"/>
      <c r="Z311" s="478"/>
      <c r="AA311" s="485" t="str">
        <f>IF(V311="Uncomprehended Twilight","Failed",IF(OR(ISBLANK(W311),ISBLANK(Y311))," ",IF(NOT(ISBLANK(X311)),"Failed",IF((W311+Character!$B$9+SUMIF(Character!$I$62:$I$66,"Enigmatic Wisdom",Character!$J$62:$J$66))&gt;=IF(Z311="Yes",0,(Y311+D306)),"Succeeded","Failed"))))</f>
        <v xml:space="preserve"> </v>
      </c>
      <c r="AB311" s="477" t="str">
        <f>IF(AA311=" "," ",IF(NOT(ISBLANK(X311)),VLOOKUP($D$3+X311,Calcs!$A$110:$C$122,3,TRUE),IF(AA311="Failed",VLOOKUP($D$3,Calcs!$A$110:$C$122,3,TRUE),VLOOKUP($D$3-(IF((Character!$B$9+W311)&gt;($D$3+Y311),(Character!$B$9+W311)-($D$3+Y311),0)),Calcs!$A$110:$C$122,3,TRUE))))</f>
        <v xml:space="preserve"> </v>
      </c>
      <c r="AC311" s="489"/>
      <c r="AD311" s="489" t="str">
        <f>IF(IF(AA311=" "," ",IF(NOT(ISBLANK(X311)),VLOOKUP($D$3+X311,Calcs!$A$110:$B$122,2,TRUE),IF(AA311="Failed",VLOOKUP($D$3,Calcs!$A$110:$B$122,2,TRUE),VLOOKUP($D$3-(IF((Character!$B$9+W311)&gt;($D$3+Y311),(Character!$B$9+W311)-($D$3+Y311),0)),Calcs!$A$110:$B$122,2,TRUE))))=Calcs!$B$120,IF(ISBLANK(AC311)," ",CONCATENATE(AC311+7," Years")),IF(AA311=" "," ",IF(NOT(ISBLANK(X311)),VLOOKUP($D$3+X311,Calcs!$A$110:$B$122,2,TRUE),IF(AA311="Failed",VLOOKUP($D$3,Calcs!$A$110:$B$122,2,TRUE),VLOOKUP($D$3-(IF((Character!$B$9+W311)&gt;($D$3+Y311),(Character!$B$9+W311)-($D$3+Y311),0)),Calcs!$A$110:$B$122,2,TRUE)))))</f>
        <v xml:space="preserve"> </v>
      </c>
      <c r="AE311" s="490"/>
      <c r="AF311" s="879"/>
      <c r="AG311" s="491"/>
    </row>
    <row r="312" spans="1:33" x14ac:dyDescent="0.2">
      <c r="A312" s="415">
        <f t="shared" si="8"/>
        <v>1288</v>
      </c>
      <c r="B312" s="419" t="str">
        <f t="shared" si="9"/>
        <v>Winter</v>
      </c>
      <c r="C312" s="455"/>
      <c r="D312" s="504"/>
      <c r="E312" s="455"/>
      <c r="F312" s="504"/>
      <c r="G312" s="455"/>
      <c r="H312" s="504"/>
      <c r="I312" s="455"/>
      <c r="J312" s="504"/>
      <c r="L312" s="472"/>
      <c r="M312" s="468"/>
      <c r="N312" s="468"/>
      <c r="O312" s="468"/>
      <c r="P312" s="468"/>
      <c r="Q312" s="473"/>
      <c r="R312" s="477" t="str">
        <f>IF(AND(COUNTIF('Start Character'!$I$63:$M$77,"Twilight Prone")=1,NOT(ISERROR(FIND("Magical Botch",M312)))),"Yes",IF(P312&gt;1,"Yes","No"))</f>
        <v>No</v>
      </c>
      <c r="S312" s="501"/>
      <c r="T312" s="478"/>
      <c r="U312" s="501"/>
      <c r="V312" s="479" t="str">
        <f>IF(R312="No","No Twilight",IF(T312="Yes","Uncomprehended Twilight",IF((Character!$B$14+IF(Character!$B$53="Yes",0,Character!$B$53)+IF(Magic!$C$5="Yes",2,0)+ROUNDUP((Magic!$B$30+IF(Magic!$C$30="Yes",3,0))/5,0)+S312)&gt;=($D$3+P312+SUMIF(Character!$I$62:$I$66,"Enigmatic Wisdom",Character!$J$62:$J$66)+Q312+U312),"No Twilight","Twilight")))</f>
        <v>No Twilight</v>
      </c>
      <c r="W312" s="483"/>
      <c r="X312" s="478"/>
      <c r="Y312" s="484"/>
      <c r="Z312" s="478"/>
      <c r="AA312" s="485" t="str">
        <f>IF(V312="Uncomprehended Twilight","Failed",IF(OR(ISBLANK(W312),ISBLANK(Y312))," ",IF(NOT(ISBLANK(X312)),"Failed",IF((W312+Character!$B$9+SUMIF(Character!$I$62:$I$66,"Enigmatic Wisdom",Character!$J$62:$J$66))&gt;=IF(Z312="Yes",0,(Y312+D307)),"Succeeded","Failed"))))</f>
        <v xml:space="preserve"> </v>
      </c>
      <c r="AB312" s="477" t="str">
        <f>IF(AA312=" "," ",IF(NOT(ISBLANK(X312)),VLOOKUP($D$3+X312,Calcs!$A$110:$C$122,3,TRUE),IF(AA312="Failed",VLOOKUP($D$3,Calcs!$A$110:$C$122,3,TRUE),VLOOKUP($D$3-(IF((Character!$B$9+W312)&gt;($D$3+Y312),(Character!$B$9+W312)-($D$3+Y312),0)),Calcs!$A$110:$C$122,3,TRUE))))</f>
        <v xml:space="preserve"> </v>
      </c>
      <c r="AC312" s="489"/>
      <c r="AD312" s="489" t="str">
        <f>IF(IF(AA312=" "," ",IF(NOT(ISBLANK(X312)),VLOOKUP($D$3+X312,Calcs!$A$110:$B$122,2,TRUE),IF(AA312="Failed",VLOOKUP($D$3,Calcs!$A$110:$B$122,2,TRUE),VLOOKUP($D$3-(IF((Character!$B$9+W312)&gt;($D$3+Y312),(Character!$B$9+W312)-($D$3+Y312),0)),Calcs!$A$110:$B$122,2,TRUE))))=Calcs!$B$120,IF(ISBLANK(AC312)," ",CONCATENATE(AC312+7," Years")),IF(AA312=" "," ",IF(NOT(ISBLANK(X312)),VLOOKUP($D$3+X312,Calcs!$A$110:$B$122,2,TRUE),IF(AA312="Failed",VLOOKUP($D$3,Calcs!$A$110:$B$122,2,TRUE),VLOOKUP($D$3-(IF((Character!$B$9+W312)&gt;($D$3+Y312),(Character!$B$9+W312)-($D$3+Y312),0)),Calcs!$A$110:$B$122,2,TRUE)))))</f>
        <v xml:space="preserve"> </v>
      </c>
      <c r="AE312" s="490"/>
      <c r="AF312" s="879"/>
      <c r="AG312" s="491"/>
    </row>
    <row r="313" spans="1:33" x14ac:dyDescent="0.2">
      <c r="A313" s="415">
        <f t="shared" si="8"/>
        <v>1288</v>
      </c>
      <c r="B313" s="419" t="str">
        <f t="shared" si="9"/>
        <v>Spring</v>
      </c>
      <c r="C313" s="455"/>
      <c r="D313" s="504"/>
      <c r="E313" s="455"/>
      <c r="F313" s="504"/>
      <c r="G313" s="455"/>
      <c r="H313" s="504"/>
      <c r="I313" s="455"/>
      <c r="J313" s="504"/>
      <c r="L313" s="472"/>
      <c r="M313" s="468"/>
      <c r="N313" s="468"/>
      <c r="O313" s="468"/>
      <c r="P313" s="468"/>
      <c r="Q313" s="473"/>
      <c r="R313" s="477" t="str">
        <f>IF(AND(COUNTIF('Start Character'!$I$63:$M$77,"Twilight Prone")=1,NOT(ISERROR(FIND("Magical Botch",M313)))),"Yes",IF(P313&gt;1,"Yes","No"))</f>
        <v>No</v>
      </c>
      <c r="S313" s="501"/>
      <c r="T313" s="478"/>
      <c r="U313" s="501"/>
      <c r="V313" s="479" t="str">
        <f>IF(R313="No","No Twilight",IF(T313="Yes","Uncomprehended Twilight",IF((Character!$B$14+IF(Character!$B$53="Yes",0,Character!$B$53)+IF(Magic!$C$5="Yes",2,0)+ROUNDUP((Magic!$B$30+IF(Magic!$C$30="Yes",3,0))/5,0)+S313)&gt;=($D$3+P313+SUMIF(Character!$I$62:$I$66,"Enigmatic Wisdom",Character!$J$62:$J$66)+Q313+U313),"No Twilight","Twilight")))</f>
        <v>No Twilight</v>
      </c>
      <c r="W313" s="483"/>
      <c r="X313" s="478"/>
      <c r="Y313" s="484"/>
      <c r="Z313" s="478"/>
      <c r="AA313" s="485" t="str">
        <f>IF(V313="Uncomprehended Twilight","Failed",IF(OR(ISBLANK(W313),ISBLANK(Y313))," ",IF(NOT(ISBLANK(X313)),"Failed",IF((W313+Character!$B$9+SUMIF(Character!$I$62:$I$66,"Enigmatic Wisdom",Character!$J$62:$J$66))&gt;=IF(Z313="Yes",0,(Y313+D308)),"Succeeded","Failed"))))</f>
        <v xml:space="preserve"> </v>
      </c>
      <c r="AB313" s="477" t="str">
        <f>IF(AA313=" "," ",IF(NOT(ISBLANK(X313)),VLOOKUP($D$3+X313,Calcs!$A$110:$C$122,3,TRUE),IF(AA313="Failed",VLOOKUP($D$3,Calcs!$A$110:$C$122,3,TRUE),VLOOKUP($D$3-(IF((Character!$B$9+W313)&gt;($D$3+Y313),(Character!$B$9+W313)-($D$3+Y313),0)),Calcs!$A$110:$C$122,3,TRUE))))</f>
        <v xml:space="preserve"> </v>
      </c>
      <c r="AC313" s="489"/>
      <c r="AD313" s="489" t="str">
        <f>IF(IF(AA313=" "," ",IF(NOT(ISBLANK(X313)),VLOOKUP($D$3+X313,Calcs!$A$110:$B$122,2,TRUE),IF(AA313="Failed",VLOOKUP($D$3,Calcs!$A$110:$B$122,2,TRUE),VLOOKUP($D$3-(IF((Character!$B$9+W313)&gt;($D$3+Y313),(Character!$B$9+W313)-($D$3+Y313),0)),Calcs!$A$110:$B$122,2,TRUE))))=Calcs!$B$120,IF(ISBLANK(AC313)," ",CONCATENATE(AC313+7," Years")),IF(AA313=" "," ",IF(NOT(ISBLANK(X313)),VLOOKUP($D$3+X313,Calcs!$A$110:$B$122,2,TRUE),IF(AA313="Failed",VLOOKUP($D$3,Calcs!$A$110:$B$122,2,TRUE),VLOOKUP($D$3-(IF((Character!$B$9+W313)&gt;($D$3+Y313),(Character!$B$9+W313)-($D$3+Y313),0)),Calcs!$A$110:$B$122,2,TRUE)))))</f>
        <v xml:space="preserve"> </v>
      </c>
      <c r="AE313" s="490"/>
      <c r="AF313" s="879"/>
      <c r="AG313" s="491"/>
    </row>
    <row r="314" spans="1:33" x14ac:dyDescent="0.2">
      <c r="A314" s="415">
        <f t="shared" si="8"/>
        <v>1288</v>
      </c>
      <c r="B314" s="419" t="str">
        <f t="shared" si="9"/>
        <v>Summer</v>
      </c>
      <c r="C314" s="455"/>
      <c r="D314" s="504"/>
      <c r="E314" s="455"/>
      <c r="F314" s="504"/>
      <c r="G314" s="455"/>
      <c r="H314" s="504"/>
      <c r="I314" s="455"/>
      <c r="J314" s="504"/>
      <c r="L314" s="472"/>
      <c r="M314" s="468"/>
      <c r="N314" s="468"/>
      <c r="O314" s="468"/>
      <c r="P314" s="468"/>
      <c r="Q314" s="473"/>
      <c r="R314" s="477" t="str">
        <f>IF(AND(COUNTIF('Start Character'!$I$63:$M$77,"Twilight Prone")=1,NOT(ISERROR(FIND("Magical Botch",M314)))),"Yes",IF(P314&gt;1,"Yes","No"))</f>
        <v>No</v>
      </c>
      <c r="S314" s="501"/>
      <c r="T314" s="478"/>
      <c r="U314" s="501"/>
      <c r="V314" s="479" t="str">
        <f>IF(R314="No","No Twilight",IF(T314="Yes","Uncomprehended Twilight",IF((Character!$B$14+IF(Character!$B$53="Yes",0,Character!$B$53)+IF(Magic!$C$5="Yes",2,0)+ROUNDUP((Magic!$B$30+IF(Magic!$C$30="Yes",3,0))/5,0)+S314)&gt;=($D$3+P314+SUMIF(Character!$I$62:$I$66,"Enigmatic Wisdom",Character!$J$62:$J$66)+Q314+U314),"No Twilight","Twilight")))</f>
        <v>No Twilight</v>
      </c>
      <c r="W314" s="483"/>
      <c r="X314" s="478"/>
      <c r="Y314" s="484"/>
      <c r="Z314" s="478"/>
      <c r="AA314" s="485" t="str">
        <f>IF(V314="Uncomprehended Twilight","Failed",IF(OR(ISBLANK(W314),ISBLANK(Y314))," ",IF(NOT(ISBLANK(X314)),"Failed",IF((W314+Character!$B$9+SUMIF(Character!$I$62:$I$66,"Enigmatic Wisdom",Character!$J$62:$J$66))&gt;=IF(Z314="Yes",0,(Y314+D309)),"Succeeded","Failed"))))</f>
        <v xml:space="preserve"> </v>
      </c>
      <c r="AB314" s="477" t="str">
        <f>IF(AA314=" "," ",IF(NOT(ISBLANK(X314)),VLOOKUP($D$3+X314,Calcs!$A$110:$C$122,3,TRUE),IF(AA314="Failed",VLOOKUP($D$3,Calcs!$A$110:$C$122,3,TRUE),VLOOKUP($D$3-(IF((Character!$B$9+W314)&gt;($D$3+Y314),(Character!$B$9+W314)-($D$3+Y314),0)),Calcs!$A$110:$C$122,3,TRUE))))</f>
        <v xml:space="preserve"> </v>
      </c>
      <c r="AC314" s="489"/>
      <c r="AD314" s="489" t="str">
        <f>IF(IF(AA314=" "," ",IF(NOT(ISBLANK(X314)),VLOOKUP($D$3+X314,Calcs!$A$110:$B$122,2,TRUE),IF(AA314="Failed",VLOOKUP($D$3,Calcs!$A$110:$B$122,2,TRUE),VLOOKUP($D$3-(IF((Character!$B$9+W314)&gt;($D$3+Y314),(Character!$B$9+W314)-($D$3+Y314),0)),Calcs!$A$110:$B$122,2,TRUE))))=Calcs!$B$120,IF(ISBLANK(AC314)," ",CONCATENATE(AC314+7," Years")),IF(AA314=" "," ",IF(NOT(ISBLANK(X314)),VLOOKUP($D$3+X314,Calcs!$A$110:$B$122,2,TRUE),IF(AA314="Failed",VLOOKUP($D$3,Calcs!$A$110:$B$122,2,TRUE),VLOOKUP($D$3-(IF((Character!$B$9+W314)&gt;($D$3+Y314),(Character!$B$9+W314)-($D$3+Y314),0)),Calcs!$A$110:$B$122,2,TRUE)))))</f>
        <v xml:space="preserve"> </v>
      </c>
      <c r="AE314" s="490"/>
      <c r="AF314" s="879"/>
      <c r="AG314" s="491"/>
    </row>
    <row r="315" spans="1:33" x14ac:dyDescent="0.2">
      <c r="A315" s="415">
        <f t="shared" si="8"/>
        <v>1288</v>
      </c>
      <c r="B315" s="419" t="str">
        <f t="shared" si="9"/>
        <v>Autumn</v>
      </c>
      <c r="C315" s="455"/>
      <c r="D315" s="504"/>
      <c r="E315" s="455"/>
      <c r="F315" s="504"/>
      <c r="G315" s="455"/>
      <c r="H315" s="504"/>
      <c r="I315" s="455"/>
      <c r="J315" s="504"/>
      <c r="L315" s="472"/>
      <c r="M315" s="468"/>
      <c r="N315" s="468"/>
      <c r="O315" s="468"/>
      <c r="P315" s="468"/>
      <c r="Q315" s="473"/>
      <c r="R315" s="477" t="str">
        <f>IF(AND(COUNTIF('Start Character'!$I$63:$M$77,"Twilight Prone")=1,NOT(ISERROR(FIND("Magical Botch",M315)))),"Yes",IF(P315&gt;1,"Yes","No"))</f>
        <v>No</v>
      </c>
      <c r="S315" s="501"/>
      <c r="T315" s="478"/>
      <c r="U315" s="501"/>
      <c r="V315" s="479" t="str">
        <f>IF(R315="No","No Twilight",IF(T315="Yes","Uncomprehended Twilight",IF((Character!$B$14+IF(Character!$B$53="Yes",0,Character!$B$53)+IF(Magic!$C$5="Yes",2,0)+ROUNDUP((Magic!$B$30+IF(Magic!$C$30="Yes",3,0))/5,0)+S315)&gt;=($D$3+P315+SUMIF(Character!$I$62:$I$66,"Enigmatic Wisdom",Character!$J$62:$J$66)+Q315+U315),"No Twilight","Twilight")))</f>
        <v>No Twilight</v>
      </c>
      <c r="W315" s="483"/>
      <c r="X315" s="478"/>
      <c r="Y315" s="484"/>
      <c r="Z315" s="478"/>
      <c r="AA315" s="485" t="str">
        <f>IF(V315="Uncomprehended Twilight","Failed",IF(OR(ISBLANK(W315),ISBLANK(Y315))," ",IF(NOT(ISBLANK(X315)),"Failed",IF((W315+Character!$B$9+SUMIF(Character!$I$62:$I$66,"Enigmatic Wisdom",Character!$J$62:$J$66))&gt;=IF(Z315="Yes",0,(Y315+D310)),"Succeeded","Failed"))))</f>
        <v xml:space="preserve"> </v>
      </c>
      <c r="AB315" s="477" t="str">
        <f>IF(AA315=" "," ",IF(NOT(ISBLANK(X315)),VLOOKUP($D$3+X315,Calcs!$A$110:$C$122,3,TRUE),IF(AA315="Failed",VLOOKUP($D$3,Calcs!$A$110:$C$122,3,TRUE),VLOOKUP($D$3-(IF((Character!$B$9+W315)&gt;($D$3+Y315),(Character!$B$9+W315)-($D$3+Y315),0)),Calcs!$A$110:$C$122,3,TRUE))))</f>
        <v xml:space="preserve"> </v>
      </c>
      <c r="AC315" s="489"/>
      <c r="AD315" s="489" t="str">
        <f>IF(IF(AA315=" "," ",IF(NOT(ISBLANK(X315)),VLOOKUP($D$3+X315,Calcs!$A$110:$B$122,2,TRUE),IF(AA315="Failed",VLOOKUP($D$3,Calcs!$A$110:$B$122,2,TRUE),VLOOKUP($D$3-(IF((Character!$B$9+W315)&gt;($D$3+Y315),(Character!$B$9+W315)-($D$3+Y315),0)),Calcs!$A$110:$B$122,2,TRUE))))=Calcs!$B$120,IF(ISBLANK(AC315)," ",CONCATENATE(AC315+7," Years")),IF(AA315=" "," ",IF(NOT(ISBLANK(X315)),VLOOKUP($D$3+X315,Calcs!$A$110:$B$122,2,TRUE),IF(AA315="Failed",VLOOKUP($D$3,Calcs!$A$110:$B$122,2,TRUE),VLOOKUP($D$3-(IF((Character!$B$9+W315)&gt;($D$3+Y315),(Character!$B$9+W315)-($D$3+Y315),0)),Calcs!$A$110:$B$122,2,TRUE)))))</f>
        <v xml:space="preserve"> </v>
      </c>
      <c r="AE315" s="490"/>
      <c r="AF315" s="879"/>
      <c r="AG315" s="491"/>
    </row>
    <row r="316" spans="1:33" x14ac:dyDescent="0.2">
      <c r="A316" s="415">
        <f t="shared" si="8"/>
        <v>1289</v>
      </c>
      <c r="B316" s="419" t="str">
        <f t="shared" si="9"/>
        <v>Winter</v>
      </c>
      <c r="C316" s="455"/>
      <c r="D316" s="504"/>
      <c r="E316" s="455"/>
      <c r="F316" s="504"/>
      <c r="G316" s="455"/>
      <c r="H316" s="504"/>
      <c r="I316" s="455"/>
      <c r="J316" s="504"/>
      <c r="L316" s="472"/>
      <c r="M316" s="468"/>
      <c r="N316" s="468"/>
      <c r="O316" s="468"/>
      <c r="P316" s="468"/>
      <c r="Q316" s="473"/>
      <c r="R316" s="477" t="str">
        <f>IF(AND(COUNTIF('Start Character'!$I$63:$M$77,"Twilight Prone")=1,NOT(ISERROR(FIND("Magical Botch",M316)))),"Yes",IF(P316&gt;1,"Yes","No"))</f>
        <v>No</v>
      </c>
      <c r="S316" s="501"/>
      <c r="T316" s="478"/>
      <c r="U316" s="501"/>
      <c r="V316" s="479" t="str">
        <f>IF(R316="No","No Twilight",IF(T316="Yes","Uncomprehended Twilight",IF((Character!$B$14+IF(Character!$B$53="Yes",0,Character!$B$53)+IF(Magic!$C$5="Yes",2,0)+ROUNDUP((Magic!$B$30+IF(Magic!$C$30="Yes",3,0))/5,0)+S316)&gt;=($D$3+P316+SUMIF(Character!$I$62:$I$66,"Enigmatic Wisdom",Character!$J$62:$J$66)+Q316+U316),"No Twilight","Twilight")))</f>
        <v>No Twilight</v>
      </c>
      <c r="W316" s="483"/>
      <c r="X316" s="478"/>
      <c r="Y316" s="484"/>
      <c r="Z316" s="478"/>
      <c r="AA316" s="485" t="str">
        <f>IF(V316="Uncomprehended Twilight","Failed",IF(OR(ISBLANK(W316),ISBLANK(Y316))," ",IF(NOT(ISBLANK(X316)),"Failed",IF((W316+Character!$B$9+SUMIF(Character!$I$62:$I$66,"Enigmatic Wisdom",Character!$J$62:$J$66))&gt;=IF(Z316="Yes",0,(Y316+D311)),"Succeeded","Failed"))))</f>
        <v xml:space="preserve"> </v>
      </c>
      <c r="AB316" s="477" t="str">
        <f>IF(AA316=" "," ",IF(NOT(ISBLANK(X316)),VLOOKUP($D$3+X316,Calcs!$A$110:$C$122,3,TRUE),IF(AA316="Failed",VLOOKUP($D$3,Calcs!$A$110:$C$122,3,TRUE),VLOOKUP($D$3-(IF((Character!$B$9+W316)&gt;($D$3+Y316),(Character!$B$9+W316)-($D$3+Y316),0)),Calcs!$A$110:$C$122,3,TRUE))))</f>
        <v xml:space="preserve"> </v>
      </c>
      <c r="AC316" s="489"/>
      <c r="AD316" s="489" t="str">
        <f>IF(IF(AA316=" "," ",IF(NOT(ISBLANK(X316)),VLOOKUP($D$3+X316,Calcs!$A$110:$B$122,2,TRUE),IF(AA316="Failed",VLOOKUP($D$3,Calcs!$A$110:$B$122,2,TRUE),VLOOKUP($D$3-(IF((Character!$B$9+W316)&gt;($D$3+Y316),(Character!$B$9+W316)-($D$3+Y316),0)),Calcs!$A$110:$B$122,2,TRUE))))=Calcs!$B$120,IF(ISBLANK(AC316)," ",CONCATENATE(AC316+7," Years")),IF(AA316=" "," ",IF(NOT(ISBLANK(X316)),VLOOKUP($D$3+X316,Calcs!$A$110:$B$122,2,TRUE),IF(AA316="Failed",VLOOKUP($D$3,Calcs!$A$110:$B$122,2,TRUE),VLOOKUP($D$3-(IF((Character!$B$9+W316)&gt;($D$3+Y316),(Character!$B$9+W316)-($D$3+Y316),0)),Calcs!$A$110:$B$122,2,TRUE)))))</f>
        <v xml:space="preserve"> </v>
      </c>
      <c r="AE316" s="490"/>
      <c r="AF316" s="879"/>
      <c r="AG316" s="491"/>
    </row>
    <row r="317" spans="1:33" x14ac:dyDescent="0.2">
      <c r="A317" s="415">
        <f t="shared" si="8"/>
        <v>1289</v>
      </c>
      <c r="B317" s="419" t="str">
        <f t="shared" si="9"/>
        <v>Spring</v>
      </c>
      <c r="C317" s="455"/>
      <c r="D317" s="504"/>
      <c r="E317" s="455"/>
      <c r="F317" s="504"/>
      <c r="G317" s="455"/>
      <c r="H317" s="504"/>
      <c r="I317" s="455"/>
      <c r="J317" s="504"/>
      <c r="L317" s="472"/>
      <c r="M317" s="468"/>
      <c r="N317" s="468"/>
      <c r="O317" s="468"/>
      <c r="P317" s="468"/>
      <c r="Q317" s="473"/>
      <c r="R317" s="477" t="str">
        <f>IF(AND(COUNTIF('Start Character'!$I$63:$M$77,"Twilight Prone")=1,NOT(ISERROR(FIND("Magical Botch",M317)))),"Yes",IF(P317&gt;1,"Yes","No"))</f>
        <v>No</v>
      </c>
      <c r="S317" s="501"/>
      <c r="T317" s="478"/>
      <c r="U317" s="501"/>
      <c r="V317" s="479" t="str">
        <f>IF(R317="No","No Twilight",IF(T317="Yes","Uncomprehended Twilight",IF((Character!$B$14+IF(Character!$B$53="Yes",0,Character!$B$53)+IF(Magic!$C$5="Yes",2,0)+ROUNDUP((Magic!$B$30+IF(Magic!$C$30="Yes",3,0))/5,0)+S317)&gt;=($D$3+P317+SUMIF(Character!$I$62:$I$66,"Enigmatic Wisdom",Character!$J$62:$J$66)+Q317+U317),"No Twilight","Twilight")))</f>
        <v>No Twilight</v>
      </c>
      <c r="W317" s="483"/>
      <c r="X317" s="478"/>
      <c r="Y317" s="484"/>
      <c r="Z317" s="478"/>
      <c r="AA317" s="485" t="str">
        <f>IF(V317="Uncomprehended Twilight","Failed",IF(OR(ISBLANK(W317),ISBLANK(Y317))," ",IF(NOT(ISBLANK(X317)),"Failed",IF((W317+Character!$B$9+SUMIF(Character!$I$62:$I$66,"Enigmatic Wisdom",Character!$J$62:$J$66))&gt;=IF(Z317="Yes",0,(Y317+D312)),"Succeeded","Failed"))))</f>
        <v xml:space="preserve"> </v>
      </c>
      <c r="AB317" s="477" t="str">
        <f>IF(AA317=" "," ",IF(NOT(ISBLANK(X317)),VLOOKUP($D$3+X317,Calcs!$A$110:$C$122,3,TRUE),IF(AA317="Failed",VLOOKUP($D$3,Calcs!$A$110:$C$122,3,TRUE),VLOOKUP($D$3-(IF((Character!$B$9+W317)&gt;($D$3+Y317),(Character!$B$9+W317)-($D$3+Y317),0)),Calcs!$A$110:$C$122,3,TRUE))))</f>
        <v xml:space="preserve"> </v>
      </c>
      <c r="AC317" s="489"/>
      <c r="AD317" s="489" t="str">
        <f>IF(IF(AA317=" "," ",IF(NOT(ISBLANK(X317)),VLOOKUP($D$3+X317,Calcs!$A$110:$B$122,2,TRUE),IF(AA317="Failed",VLOOKUP($D$3,Calcs!$A$110:$B$122,2,TRUE),VLOOKUP($D$3-(IF((Character!$B$9+W317)&gt;($D$3+Y317),(Character!$B$9+W317)-($D$3+Y317),0)),Calcs!$A$110:$B$122,2,TRUE))))=Calcs!$B$120,IF(ISBLANK(AC317)," ",CONCATENATE(AC317+7," Years")),IF(AA317=" "," ",IF(NOT(ISBLANK(X317)),VLOOKUP($D$3+X317,Calcs!$A$110:$B$122,2,TRUE),IF(AA317="Failed",VLOOKUP($D$3,Calcs!$A$110:$B$122,2,TRUE),VLOOKUP($D$3-(IF((Character!$B$9+W317)&gt;($D$3+Y317),(Character!$B$9+W317)-($D$3+Y317),0)),Calcs!$A$110:$B$122,2,TRUE)))))</f>
        <v xml:space="preserve"> </v>
      </c>
      <c r="AE317" s="490"/>
      <c r="AF317" s="879"/>
      <c r="AG317" s="491"/>
    </row>
    <row r="318" spans="1:33" x14ac:dyDescent="0.2">
      <c r="A318" s="415">
        <f t="shared" si="8"/>
        <v>1289</v>
      </c>
      <c r="B318" s="419" t="str">
        <f t="shared" si="9"/>
        <v>Summer</v>
      </c>
      <c r="C318" s="455"/>
      <c r="D318" s="504"/>
      <c r="E318" s="455"/>
      <c r="F318" s="504"/>
      <c r="G318" s="455"/>
      <c r="H318" s="504"/>
      <c r="I318" s="455"/>
      <c r="J318" s="504"/>
      <c r="L318" s="472"/>
      <c r="M318" s="468"/>
      <c r="N318" s="468"/>
      <c r="O318" s="468"/>
      <c r="P318" s="468"/>
      <c r="Q318" s="473"/>
      <c r="R318" s="477" t="str">
        <f>IF(AND(COUNTIF('Start Character'!$I$63:$M$77,"Twilight Prone")=1,NOT(ISERROR(FIND("Magical Botch",M318)))),"Yes",IF(P318&gt;1,"Yes","No"))</f>
        <v>No</v>
      </c>
      <c r="S318" s="501"/>
      <c r="T318" s="478"/>
      <c r="U318" s="501"/>
      <c r="V318" s="479" t="str">
        <f>IF(R318="No","No Twilight",IF(T318="Yes","Uncomprehended Twilight",IF((Character!$B$14+IF(Character!$B$53="Yes",0,Character!$B$53)+IF(Magic!$C$5="Yes",2,0)+ROUNDUP((Magic!$B$30+IF(Magic!$C$30="Yes",3,0))/5,0)+S318)&gt;=($D$3+P318+SUMIF(Character!$I$62:$I$66,"Enigmatic Wisdom",Character!$J$62:$J$66)+Q318+U318),"No Twilight","Twilight")))</f>
        <v>No Twilight</v>
      </c>
      <c r="W318" s="483"/>
      <c r="X318" s="478"/>
      <c r="Y318" s="484"/>
      <c r="Z318" s="478"/>
      <c r="AA318" s="485" t="str">
        <f>IF(V318="Uncomprehended Twilight","Failed",IF(OR(ISBLANK(W318),ISBLANK(Y318))," ",IF(NOT(ISBLANK(X318)),"Failed",IF((W318+Character!$B$9+SUMIF(Character!$I$62:$I$66,"Enigmatic Wisdom",Character!$J$62:$J$66))&gt;=IF(Z318="Yes",0,(Y318+D313)),"Succeeded","Failed"))))</f>
        <v xml:space="preserve"> </v>
      </c>
      <c r="AB318" s="477" t="str">
        <f>IF(AA318=" "," ",IF(NOT(ISBLANK(X318)),VLOOKUP($D$3+X318,Calcs!$A$110:$C$122,3,TRUE),IF(AA318="Failed",VLOOKUP($D$3,Calcs!$A$110:$C$122,3,TRUE),VLOOKUP($D$3-(IF((Character!$B$9+W318)&gt;($D$3+Y318),(Character!$B$9+W318)-($D$3+Y318),0)),Calcs!$A$110:$C$122,3,TRUE))))</f>
        <v xml:space="preserve"> </v>
      </c>
      <c r="AC318" s="489"/>
      <c r="AD318" s="489" t="str">
        <f>IF(IF(AA318=" "," ",IF(NOT(ISBLANK(X318)),VLOOKUP($D$3+X318,Calcs!$A$110:$B$122,2,TRUE),IF(AA318="Failed",VLOOKUP($D$3,Calcs!$A$110:$B$122,2,TRUE),VLOOKUP($D$3-(IF((Character!$B$9+W318)&gt;($D$3+Y318),(Character!$B$9+W318)-($D$3+Y318),0)),Calcs!$A$110:$B$122,2,TRUE))))=Calcs!$B$120,IF(ISBLANK(AC318)," ",CONCATENATE(AC318+7," Years")),IF(AA318=" "," ",IF(NOT(ISBLANK(X318)),VLOOKUP($D$3+X318,Calcs!$A$110:$B$122,2,TRUE),IF(AA318="Failed",VLOOKUP($D$3,Calcs!$A$110:$B$122,2,TRUE),VLOOKUP($D$3-(IF((Character!$B$9+W318)&gt;($D$3+Y318),(Character!$B$9+W318)-($D$3+Y318),0)),Calcs!$A$110:$B$122,2,TRUE)))))</f>
        <v xml:space="preserve"> </v>
      </c>
      <c r="AE318" s="490"/>
      <c r="AF318" s="879"/>
      <c r="AG318" s="491"/>
    </row>
    <row r="319" spans="1:33" x14ac:dyDescent="0.2">
      <c r="A319" s="415">
        <f t="shared" si="8"/>
        <v>1289</v>
      </c>
      <c r="B319" s="419" t="str">
        <f t="shared" si="9"/>
        <v>Autumn</v>
      </c>
      <c r="C319" s="455"/>
      <c r="D319" s="504"/>
      <c r="E319" s="455"/>
      <c r="F319" s="504"/>
      <c r="G319" s="455"/>
      <c r="H319" s="504"/>
      <c r="I319" s="455"/>
      <c r="J319" s="504"/>
      <c r="L319" s="472"/>
      <c r="M319" s="468"/>
      <c r="N319" s="468"/>
      <c r="O319" s="468"/>
      <c r="P319" s="468"/>
      <c r="Q319" s="473"/>
      <c r="R319" s="477" t="str">
        <f>IF(AND(COUNTIF('Start Character'!$I$63:$M$77,"Twilight Prone")=1,NOT(ISERROR(FIND("Magical Botch",M319)))),"Yes",IF(P319&gt;1,"Yes","No"))</f>
        <v>No</v>
      </c>
      <c r="S319" s="501"/>
      <c r="T319" s="478"/>
      <c r="U319" s="501"/>
      <c r="V319" s="479" t="str">
        <f>IF(R319="No","No Twilight",IF(T319="Yes","Uncomprehended Twilight",IF((Character!$B$14+IF(Character!$B$53="Yes",0,Character!$B$53)+IF(Magic!$C$5="Yes",2,0)+ROUNDUP((Magic!$B$30+IF(Magic!$C$30="Yes",3,0))/5,0)+S319)&gt;=($D$3+P319+SUMIF(Character!$I$62:$I$66,"Enigmatic Wisdom",Character!$J$62:$J$66)+Q319+U319),"No Twilight","Twilight")))</f>
        <v>No Twilight</v>
      </c>
      <c r="W319" s="483"/>
      <c r="X319" s="478"/>
      <c r="Y319" s="484"/>
      <c r="Z319" s="478"/>
      <c r="AA319" s="485" t="str">
        <f>IF(V319="Uncomprehended Twilight","Failed",IF(OR(ISBLANK(W319),ISBLANK(Y319))," ",IF(NOT(ISBLANK(X319)),"Failed",IF((W319+Character!$B$9+SUMIF(Character!$I$62:$I$66,"Enigmatic Wisdom",Character!$J$62:$J$66))&gt;=IF(Z319="Yes",0,(Y319+D314)),"Succeeded","Failed"))))</f>
        <v xml:space="preserve"> </v>
      </c>
      <c r="AB319" s="477" t="str">
        <f>IF(AA319=" "," ",IF(NOT(ISBLANK(X319)),VLOOKUP($D$3+X319,Calcs!$A$110:$C$122,3,TRUE),IF(AA319="Failed",VLOOKUP($D$3,Calcs!$A$110:$C$122,3,TRUE),VLOOKUP($D$3-(IF((Character!$B$9+W319)&gt;($D$3+Y319),(Character!$B$9+W319)-($D$3+Y319),0)),Calcs!$A$110:$C$122,3,TRUE))))</f>
        <v xml:space="preserve"> </v>
      </c>
      <c r="AC319" s="489"/>
      <c r="AD319" s="489" t="str">
        <f>IF(IF(AA319=" "," ",IF(NOT(ISBLANK(X319)),VLOOKUP($D$3+X319,Calcs!$A$110:$B$122,2,TRUE),IF(AA319="Failed",VLOOKUP($D$3,Calcs!$A$110:$B$122,2,TRUE),VLOOKUP($D$3-(IF((Character!$B$9+W319)&gt;($D$3+Y319),(Character!$B$9+W319)-($D$3+Y319),0)),Calcs!$A$110:$B$122,2,TRUE))))=Calcs!$B$120,IF(ISBLANK(AC319)," ",CONCATENATE(AC319+7," Years")),IF(AA319=" "," ",IF(NOT(ISBLANK(X319)),VLOOKUP($D$3+X319,Calcs!$A$110:$B$122,2,TRUE),IF(AA319="Failed",VLOOKUP($D$3,Calcs!$A$110:$B$122,2,TRUE),VLOOKUP($D$3-(IF((Character!$B$9+W319)&gt;($D$3+Y319),(Character!$B$9+W319)-($D$3+Y319),0)),Calcs!$A$110:$B$122,2,TRUE)))))</f>
        <v xml:space="preserve"> </v>
      </c>
      <c r="AE319" s="490"/>
      <c r="AF319" s="879"/>
      <c r="AG319" s="491"/>
    </row>
    <row r="320" spans="1:33" x14ac:dyDescent="0.2">
      <c r="A320" s="415">
        <f t="shared" si="8"/>
        <v>1290</v>
      </c>
      <c r="B320" s="419" t="str">
        <f t="shared" si="9"/>
        <v>Winter</v>
      </c>
      <c r="C320" s="455"/>
      <c r="D320" s="504"/>
      <c r="E320" s="455"/>
      <c r="F320" s="504"/>
      <c r="G320" s="455"/>
      <c r="H320" s="504"/>
      <c r="I320" s="455"/>
      <c r="J320" s="504"/>
      <c r="L320" s="472"/>
      <c r="M320" s="468"/>
      <c r="N320" s="468"/>
      <c r="O320" s="468"/>
      <c r="P320" s="468"/>
      <c r="Q320" s="473"/>
      <c r="R320" s="477" t="str">
        <f>IF(AND(COUNTIF('Start Character'!$I$63:$M$77,"Twilight Prone")=1,NOT(ISERROR(FIND("Magical Botch",M320)))),"Yes",IF(P320&gt;1,"Yes","No"))</f>
        <v>No</v>
      </c>
      <c r="S320" s="501"/>
      <c r="T320" s="478"/>
      <c r="U320" s="501"/>
      <c r="V320" s="479" t="str">
        <f>IF(R320="No","No Twilight",IF(T320="Yes","Uncomprehended Twilight",IF((Character!$B$14+IF(Character!$B$53="Yes",0,Character!$B$53)+IF(Magic!$C$5="Yes",2,0)+ROUNDUP((Magic!$B$30+IF(Magic!$C$30="Yes",3,0))/5,0)+S320)&gt;=($D$3+P320+SUMIF(Character!$I$62:$I$66,"Enigmatic Wisdom",Character!$J$62:$J$66)+Q320+U320),"No Twilight","Twilight")))</f>
        <v>No Twilight</v>
      </c>
      <c r="W320" s="483"/>
      <c r="X320" s="478"/>
      <c r="Y320" s="484"/>
      <c r="Z320" s="478"/>
      <c r="AA320" s="485" t="str">
        <f>IF(V320="Uncomprehended Twilight","Failed",IF(OR(ISBLANK(W320),ISBLANK(Y320))," ",IF(NOT(ISBLANK(X320)),"Failed",IF((W320+Character!$B$9+SUMIF(Character!$I$62:$I$66,"Enigmatic Wisdom",Character!$J$62:$J$66))&gt;=IF(Z320="Yes",0,(Y320+D315)),"Succeeded","Failed"))))</f>
        <v xml:space="preserve"> </v>
      </c>
      <c r="AB320" s="477" t="str">
        <f>IF(AA320=" "," ",IF(NOT(ISBLANK(X320)),VLOOKUP($D$3+X320,Calcs!$A$110:$C$122,3,TRUE),IF(AA320="Failed",VLOOKUP($D$3,Calcs!$A$110:$C$122,3,TRUE),VLOOKUP($D$3-(IF((Character!$B$9+W320)&gt;($D$3+Y320),(Character!$B$9+W320)-($D$3+Y320),0)),Calcs!$A$110:$C$122,3,TRUE))))</f>
        <v xml:space="preserve"> </v>
      </c>
      <c r="AC320" s="489"/>
      <c r="AD320" s="489" t="str">
        <f>IF(IF(AA320=" "," ",IF(NOT(ISBLANK(X320)),VLOOKUP($D$3+X320,Calcs!$A$110:$B$122,2,TRUE),IF(AA320="Failed",VLOOKUP($D$3,Calcs!$A$110:$B$122,2,TRUE),VLOOKUP($D$3-(IF((Character!$B$9+W320)&gt;($D$3+Y320),(Character!$B$9+W320)-($D$3+Y320),0)),Calcs!$A$110:$B$122,2,TRUE))))=Calcs!$B$120,IF(ISBLANK(AC320)," ",CONCATENATE(AC320+7," Years")),IF(AA320=" "," ",IF(NOT(ISBLANK(X320)),VLOOKUP($D$3+X320,Calcs!$A$110:$B$122,2,TRUE),IF(AA320="Failed",VLOOKUP($D$3,Calcs!$A$110:$B$122,2,TRUE),VLOOKUP($D$3-(IF((Character!$B$9+W320)&gt;($D$3+Y320),(Character!$B$9+W320)-($D$3+Y320),0)),Calcs!$A$110:$B$122,2,TRUE)))))</f>
        <v xml:space="preserve"> </v>
      </c>
      <c r="AE320" s="490"/>
      <c r="AF320" s="879"/>
      <c r="AG320" s="491"/>
    </row>
    <row r="321" spans="1:33" x14ac:dyDescent="0.2">
      <c r="A321" s="415">
        <f t="shared" si="8"/>
        <v>1290</v>
      </c>
      <c r="B321" s="419" t="str">
        <f t="shared" si="9"/>
        <v>Spring</v>
      </c>
      <c r="C321" s="455"/>
      <c r="D321" s="504"/>
      <c r="E321" s="455"/>
      <c r="F321" s="504"/>
      <c r="G321" s="455"/>
      <c r="H321" s="504"/>
      <c r="I321" s="455"/>
      <c r="J321" s="504"/>
      <c r="L321" s="472"/>
      <c r="M321" s="468"/>
      <c r="N321" s="468"/>
      <c r="O321" s="468"/>
      <c r="P321" s="468"/>
      <c r="Q321" s="473"/>
      <c r="R321" s="477" t="str">
        <f>IF(AND(COUNTIF('Start Character'!$I$63:$M$77,"Twilight Prone")=1,NOT(ISERROR(FIND("Magical Botch",M321)))),"Yes",IF(P321&gt;1,"Yes","No"))</f>
        <v>No</v>
      </c>
      <c r="S321" s="501"/>
      <c r="T321" s="478"/>
      <c r="U321" s="501"/>
      <c r="V321" s="479" t="str">
        <f>IF(R321="No","No Twilight",IF(T321="Yes","Uncomprehended Twilight",IF((Character!$B$14+IF(Character!$B$53="Yes",0,Character!$B$53)+IF(Magic!$C$5="Yes",2,0)+ROUNDUP((Magic!$B$30+IF(Magic!$C$30="Yes",3,0))/5,0)+S321)&gt;=($D$3+P321+SUMIF(Character!$I$62:$I$66,"Enigmatic Wisdom",Character!$J$62:$J$66)+Q321+U321),"No Twilight","Twilight")))</f>
        <v>No Twilight</v>
      </c>
      <c r="W321" s="483"/>
      <c r="X321" s="478"/>
      <c r="Y321" s="484"/>
      <c r="Z321" s="478"/>
      <c r="AA321" s="485" t="str">
        <f>IF(V321="Uncomprehended Twilight","Failed",IF(OR(ISBLANK(W321),ISBLANK(Y321))," ",IF(NOT(ISBLANK(X321)),"Failed",IF((W321+Character!$B$9+SUMIF(Character!$I$62:$I$66,"Enigmatic Wisdom",Character!$J$62:$J$66))&gt;=IF(Z321="Yes",0,(Y321+D316)),"Succeeded","Failed"))))</f>
        <v xml:space="preserve"> </v>
      </c>
      <c r="AB321" s="477" t="str">
        <f>IF(AA321=" "," ",IF(NOT(ISBLANK(X321)),VLOOKUP($D$3+X321,Calcs!$A$110:$C$122,3,TRUE),IF(AA321="Failed",VLOOKUP($D$3,Calcs!$A$110:$C$122,3,TRUE),VLOOKUP($D$3-(IF((Character!$B$9+W321)&gt;($D$3+Y321),(Character!$B$9+W321)-($D$3+Y321),0)),Calcs!$A$110:$C$122,3,TRUE))))</f>
        <v xml:space="preserve"> </v>
      </c>
      <c r="AC321" s="489"/>
      <c r="AD321" s="489" t="str">
        <f>IF(IF(AA321=" "," ",IF(NOT(ISBLANK(X321)),VLOOKUP($D$3+X321,Calcs!$A$110:$B$122,2,TRUE),IF(AA321="Failed",VLOOKUP($D$3,Calcs!$A$110:$B$122,2,TRUE),VLOOKUP($D$3-(IF((Character!$B$9+W321)&gt;($D$3+Y321),(Character!$B$9+W321)-($D$3+Y321),0)),Calcs!$A$110:$B$122,2,TRUE))))=Calcs!$B$120,IF(ISBLANK(AC321)," ",CONCATENATE(AC321+7," Years")),IF(AA321=" "," ",IF(NOT(ISBLANK(X321)),VLOOKUP($D$3+X321,Calcs!$A$110:$B$122,2,TRUE),IF(AA321="Failed",VLOOKUP($D$3,Calcs!$A$110:$B$122,2,TRUE),VLOOKUP($D$3-(IF((Character!$B$9+W321)&gt;($D$3+Y321),(Character!$B$9+W321)-($D$3+Y321),0)),Calcs!$A$110:$B$122,2,TRUE)))))</f>
        <v xml:space="preserve"> </v>
      </c>
      <c r="AE321" s="490"/>
      <c r="AF321" s="879"/>
      <c r="AG321" s="491"/>
    </row>
    <row r="322" spans="1:33" x14ac:dyDescent="0.2">
      <c r="A322" s="415">
        <f t="shared" si="8"/>
        <v>1290</v>
      </c>
      <c r="B322" s="419" t="str">
        <f t="shared" si="9"/>
        <v>Summer</v>
      </c>
      <c r="C322" s="455"/>
      <c r="D322" s="504"/>
      <c r="E322" s="455"/>
      <c r="F322" s="504"/>
      <c r="G322" s="455"/>
      <c r="H322" s="504"/>
      <c r="I322" s="455"/>
      <c r="J322" s="504"/>
      <c r="L322" s="472"/>
      <c r="M322" s="468"/>
      <c r="N322" s="468"/>
      <c r="O322" s="468"/>
      <c r="P322" s="468"/>
      <c r="Q322" s="473"/>
      <c r="R322" s="477" t="str">
        <f>IF(AND(COUNTIF('Start Character'!$I$63:$M$77,"Twilight Prone")=1,NOT(ISERROR(FIND("Magical Botch",M322)))),"Yes",IF(P322&gt;1,"Yes","No"))</f>
        <v>No</v>
      </c>
      <c r="S322" s="501"/>
      <c r="T322" s="478"/>
      <c r="U322" s="501"/>
      <c r="V322" s="479" t="str">
        <f>IF(R322="No","No Twilight",IF(T322="Yes","Uncomprehended Twilight",IF((Character!$B$14+IF(Character!$B$53="Yes",0,Character!$B$53)+IF(Magic!$C$5="Yes",2,0)+ROUNDUP((Magic!$B$30+IF(Magic!$C$30="Yes",3,0))/5,0)+S322)&gt;=($D$3+P322+SUMIF(Character!$I$62:$I$66,"Enigmatic Wisdom",Character!$J$62:$J$66)+Q322+U322),"No Twilight","Twilight")))</f>
        <v>No Twilight</v>
      </c>
      <c r="W322" s="483"/>
      <c r="X322" s="478"/>
      <c r="Y322" s="484"/>
      <c r="Z322" s="478"/>
      <c r="AA322" s="485" t="str">
        <f>IF(V322="Uncomprehended Twilight","Failed",IF(OR(ISBLANK(W322),ISBLANK(Y322))," ",IF(NOT(ISBLANK(X322)),"Failed",IF((W322+Character!$B$9+SUMIF(Character!$I$62:$I$66,"Enigmatic Wisdom",Character!$J$62:$J$66))&gt;=IF(Z322="Yes",0,(Y322+D317)),"Succeeded","Failed"))))</f>
        <v xml:space="preserve"> </v>
      </c>
      <c r="AB322" s="477" t="str">
        <f>IF(AA322=" "," ",IF(NOT(ISBLANK(X322)),VLOOKUP($D$3+X322,Calcs!$A$110:$C$122,3,TRUE),IF(AA322="Failed",VLOOKUP($D$3,Calcs!$A$110:$C$122,3,TRUE),VLOOKUP($D$3-(IF((Character!$B$9+W322)&gt;($D$3+Y322),(Character!$B$9+W322)-($D$3+Y322),0)),Calcs!$A$110:$C$122,3,TRUE))))</f>
        <v xml:space="preserve"> </v>
      </c>
      <c r="AC322" s="489"/>
      <c r="AD322" s="489" t="str">
        <f>IF(IF(AA322=" "," ",IF(NOT(ISBLANK(X322)),VLOOKUP($D$3+X322,Calcs!$A$110:$B$122,2,TRUE),IF(AA322="Failed",VLOOKUP($D$3,Calcs!$A$110:$B$122,2,TRUE),VLOOKUP($D$3-(IF((Character!$B$9+W322)&gt;($D$3+Y322),(Character!$B$9+W322)-($D$3+Y322),0)),Calcs!$A$110:$B$122,2,TRUE))))=Calcs!$B$120,IF(ISBLANK(AC322)," ",CONCATENATE(AC322+7," Years")),IF(AA322=" "," ",IF(NOT(ISBLANK(X322)),VLOOKUP($D$3+X322,Calcs!$A$110:$B$122,2,TRUE),IF(AA322="Failed",VLOOKUP($D$3,Calcs!$A$110:$B$122,2,TRUE),VLOOKUP($D$3-(IF((Character!$B$9+W322)&gt;($D$3+Y322),(Character!$B$9+W322)-($D$3+Y322),0)),Calcs!$A$110:$B$122,2,TRUE)))))</f>
        <v xml:space="preserve"> </v>
      </c>
      <c r="AE322" s="490"/>
      <c r="AF322" s="879"/>
      <c r="AG322" s="491"/>
    </row>
    <row r="323" spans="1:33" x14ac:dyDescent="0.2">
      <c r="A323" s="415">
        <f t="shared" si="8"/>
        <v>1290</v>
      </c>
      <c r="B323" s="419" t="str">
        <f t="shared" si="9"/>
        <v>Autumn</v>
      </c>
      <c r="C323" s="455"/>
      <c r="D323" s="504"/>
      <c r="E323" s="455"/>
      <c r="F323" s="504"/>
      <c r="G323" s="455"/>
      <c r="H323" s="504"/>
      <c r="I323" s="455"/>
      <c r="J323" s="504"/>
      <c r="L323" s="472"/>
      <c r="M323" s="468"/>
      <c r="N323" s="468"/>
      <c r="O323" s="468"/>
      <c r="P323" s="468"/>
      <c r="Q323" s="473"/>
      <c r="R323" s="477" t="str">
        <f>IF(AND(COUNTIF('Start Character'!$I$63:$M$77,"Twilight Prone")=1,NOT(ISERROR(FIND("Magical Botch",M323)))),"Yes",IF(P323&gt;1,"Yes","No"))</f>
        <v>No</v>
      </c>
      <c r="S323" s="501"/>
      <c r="T323" s="478"/>
      <c r="U323" s="501"/>
      <c r="V323" s="479" t="str">
        <f>IF(R323="No","No Twilight",IF(T323="Yes","Uncomprehended Twilight",IF((Character!$B$14+IF(Character!$B$53="Yes",0,Character!$B$53)+IF(Magic!$C$5="Yes",2,0)+ROUNDUP((Magic!$B$30+IF(Magic!$C$30="Yes",3,0))/5,0)+S323)&gt;=($D$3+P323+SUMIF(Character!$I$62:$I$66,"Enigmatic Wisdom",Character!$J$62:$J$66)+Q323+U323),"No Twilight","Twilight")))</f>
        <v>No Twilight</v>
      </c>
      <c r="W323" s="483"/>
      <c r="X323" s="478"/>
      <c r="Y323" s="484"/>
      <c r="Z323" s="478"/>
      <c r="AA323" s="485" t="str">
        <f>IF(V323="Uncomprehended Twilight","Failed",IF(OR(ISBLANK(W323),ISBLANK(Y323))," ",IF(NOT(ISBLANK(X323)),"Failed",IF((W323+Character!$B$9+SUMIF(Character!$I$62:$I$66,"Enigmatic Wisdom",Character!$J$62:$J$66))&gt;=IF(Z323="Yes",0,(Y323+D318)),"Succeeded","Failed"))))</f>
        <v xml:space="preserve"> </v>
      </c>
      <c r="AB323" s="477" t="str">
        <f>IF(AA323=" "," ",IF(NOT(ISBLANK(X323)),VLOOKUP($D$3+X323,Calcs!$A$110:$C$122,3,TRUE),IF(AA323="Failed",VLOOKUP($D$3,Calcs!$A$110:$C$122,3,TRUE),VLOOKUP($D$3-(IF((Character!$B$9+W323)&gt;($D$3+Y323),(Character!$B$9+W323)-($D$3+Y323),0)),Calcs!$A$110:$C$122,3,TRUE))))</f>
        <v xml:space="preserve"> </v>
      </c>
      <c r="AC323" s="489"/>
      <c r="AD323" s="489" t="str">
        <f>IF(IF(AA323=" "," ",IF(NOT(ISBLANK(X323)),VLOOKUP($D$3+X323,Calcs!$A$110:$B$122,2,TRUE),IF(AA323="Failed",VLOOKUP($D$3,Calcs!$A$110:$B$122,2,TRUE),VLOOKUP($D$3-(IF((Character!$B$9+W323)&gt;($D$3+Y323),(Character!$B$9+W323)-($D$3+Y323),0)),Calcs!$A$110:$B$122,2,TRUE))))=Calcs!$B$120,IF(ISBLANK(AC323)," ",CONCATENATE(AC323+7," Years")),IF(AA323=" "," ",IF(NOT(ISBLANK(X323)),VLOOKUP($D$3+X323,Calcs!$A$110:$B$122,2,TRUE),IF(AA323="Failed",VLOOKUP($D$3,Calcs!$A$110:$B$122,2,TRUE),VLOOKUP($D$3-(IF((Character!$B$9+W323)&gt;($D$3+Y323),(Character!$B$9+W323)-($D$3+Y323),0)),Calcs!$A$110:$B$122,2,TRUE)))))</f>
        <v xml:space="preserve"> </v>
      </c>
      <c r="AE323" s="490"/>
      <c r="AF323" s="879"/>
      <c r="AG323" s="491"/>
    </row>
    <row r="324" spans="1:33" x14ac:dyDescent="0.2">
      <c r="A324" s="415">
        <f t="shared" si="8"/>
        <v>1291</v>
      </c>
      <c r="B324" s="419" t="str">
        <f t="shared" si="9"/>
        <v>Winter</v>
      </c>
      <c r="C324" s="455"/>
      <c r="D324" s="504"/>
      <c r="E324" s="455"/>
      <c r="F324" s="504"/>
      <c r="G324" s="455"/>
      <c r="H324" s="504"/>
      <c r="I324" s="455"/>
      <c r="J324" s="504"/>
      <c r="L324" s="472"/>
      <c r="M324" s="468"/>
      <c r="N324" s="468"/>
      <c r="O324" s="468"/>
      <c r="P324" s="468"/>
      <c r="Q324" s="473"/>
      <c r="R324" s="477" t="str">
        <f>IF(AND(COUNTIF('Start Character'!$I$63:$M$77,"Twilight Prone")=1,NOT(ISERROR(FIND("Magical Botch",M324)))),"Yes",IF(P324&gt;1,"Yes","No"))</f>
        <v>No</v>
      </c>
      <c r="S324" s="501"/>
      <c r="T324" s="478"/>
      <c r="U324" s="501"/>
      <c r="V324" s="479" t="str">
        <f>IF(R324="No","No Twilight",IF(T324="Yes","Uncomprehended Twilight",IF((Character!$B$14+IF(Character!$B$53="Yes",0,Character!$B$53)+IF(Magic!$C$5="Yes",2,0)+ROUNDUP((Magic!$B$30+IF(Magic!$C$30="Yes",3,0))/5,0)+S324)&gt;=($D$3+P324+SUMIF(Character!$I$62:$I$66,"Enigmatic Wisdom",Character!$J$62:$J$66)+Q324+U324),"No Twilight","Twilight")))</f>
        <v>No Twilight</v>
      </c>
      <c r="W324" s="483"/>
      <c r="X324" s="478"/>
      <c r="Y324" s="484"/>
      <c r="Z324" s="478"/>
      <c r="AA324" s="485" t="str">
        <f>IF(V324="Uncomprehended Twilight","Failed",IF(OR(ISBLANK(W324),ISBLANK(Y324))," ",IF(NOT(ISBLANK(X324)),"Failed",IF((W324+Character!$B$9+SUMIF(Character!$I$62:$I$66,"Enigmatic Wisdom",Character!$J$62:$J$66))&gt;=IF(Z324="Yes",0,(Y324+D319)),"Succeeded","Failed"))))</f>
        <v xml:space="preserve"> </v>
      </c>
      <c r="AB324" s="477" t="str">
        <f>IF(AA324=" "," ",IF(NOT(ISBLANK(X324)),VLOOKUP($D$3+X324,Calcs!$A$110:$C$122,3,TRUE),IF(AA324="Failed",VLOOKUP($D$3,Calcs!$A$110:$C$122,3,TRUE),VLOOKUP($D$3-(IF((Character!$B$9+W324)&gt;($D$3+Y324),(Character!$B$9+W324)-($D$3+Y324),0)),Calcs!$A$110:$C$122,3,TRUE))))</f>
        <v xml:space="preserve"> </v>
      </c>
      <c r="AC324" s="489"/>
      <c r="AD324" s="489" t="str">
        <f>IF(IF(AA324=" "," ",IF(NOT(ISBLANK(X324)),VLOOKUP($D$3+X324,Calcs!$A$110:$B$122,2,TRUE),IF(AA324="Failed",VLOOKUP($D$3,Calcs!$A$110:$B$122,2,TRUE),VLOOKUP($D$3-(IF((Character!$B$9+W324)&gt;($D$3+Y324),(Character!$B$9+W324)-($D$3+Y324),0)),Calcs!$A$110:$B$122,2,TRUE))))=Calcs!$B$120,IF(ISBLANK(AC324)," ",CONCATENATE(AC324+7," Years")),IF(AA324=" "," ",IF(NOT(ISBLANK(X324)),VLOOKUP($D$3+X324,Calcs!$A$110:$B$122,2,TRUE),IF(AA324="Failed",VLOOKUP($D$3,Calcs!$A$110:$B$122,2,TRUE),VLOOKUP($D$3-(IF((Character!$B$9+W324)&gt;($D$3+Y324),(Character!$B$9+W324)-($D$3+Y324),0)),Calcs!$A$110:$B$122,2,TRUE)))))</f>
        <v xml:space="preserve"> </v>
      </c>
      <c r="AE324" s="490"/>
      <c r="AF324" s="879"/>
      <c r="AG324" s="491"/>
    </row>
    <row r="325" spans="1:33" x14ac:dyDescent="0.2">
      <c r="A325" s="415">
        <f t="shared" si="8"/>
        <v>1291</v>
      </c>
      <c r="B325" s="419" t="str">
        <f t="shared" si="9"/>
        <v>Spring</v>
      </c>
      <c r="C325" s="455"/>
      <c r="D325" s="504"/>
      <c r="E325" s="455"/>
      <c r="F325" s="504"/>
      <c r="G325" s="455"/>
      <c r="H325" s="504"/>
      <c r="I325" s="455"/>
      <c r="J325" s="504"/>
      <c r="L325" s="472"/>
      <c r="M325" s="468"/>
      <c r="N325" s="468"/>
      <c r="O325" s="468"/>
      <c r="P325" s="468"/>
      <c r="Q325" s="473"/>
      <c r="R325" s="477" t="str">
        <f>IF(AND(COUNTIF('Start Character'!$I$63:$M$77,"Twilight Prone")=1,NOT(ISERROR(FIND("Magical Botch",M325)))),"Yes",IF(P325&gt;1,"Yes","No"))</f>
        <v>No</v>
      </c>
      <c r="S325" s="501"/>
      <c r="T325" s="478"/>
      <c r="U325" s="501"/>
      <c r="V325" s="479" t="str">
        <f>IF(R325="No","No Twilight",IF(T325="Yes","Uncomprehended Twilight",IF((Character!$B$14+IF(Character!$B$53="Yes",0,Character!$B$53)+IF(Magic!$C$5="Yes",2,0)+ROUNDUP((Magic!$B$30+IF(Magic!$C$30="Yes",3,0))/5,0)+S325)&gt;=($D$3+P325+SUMIF(Character!$I$62:$I$66,"Enigmatic Wisdom",Character!$J$62:$J$66)+Q325+U325),"No Twilight","Twilight")))</f>
        <v>No Twilight</v>
      </c>
      <c r="W325" s="483"/>
      <c r="X325" s="478"/>
      <c r="Y325" s="484"/>
      <c r="Z325" s="478"/>
      <c r="AA325" s="485" t="str">
        <f>IF(V325="Uncomprehended Twilight","Failed",IF(OR(ISBLANK(W325),ISBLANK(Y325))," ",IF(NOT(ISBLANK(X325)),"Failed",IF((W325+Character!$B$9+SUMIF(Character!$I$62:$I$66,"Enigmatic Wisdom",Character!$J$62:$J$66))&gt;=IF(Z325="Yes",0,(Y325+D320)),"Succeeded","Failed"))))</f>
        <v xml:space="preserve"> </v>
      </c>
      <c r="AB325" s="477" t="str">
        <f>IF(AA325=" "," ",IF(NOT(ISBLANK(X325)),VLOOKUP($D$3+X325,Calcs!$A$110:$C$122,3,TRUE),IF(AA325="Failed",VLOOKUP($D$3,Calcs!$A$110:$C$122,3,TRUE),VLOOKUP($D$3-(IF((Character!$B$9+W325)&gt;($D$3+Y325),(Character!$B$9+W325)-($D$3+Y325),0)),Calcs!$A$110:$C$122,3,TRUE))))</f>
        <v xml:space="preserve"> </v>
      </c>
      <c r="AC325" s="489"/>
      <c r="AD325" s="489" t="str">
        <f>IF(IF(AA325=" "," ",IF(NOT(ISBLANK(X325)),VLOOKUP($D$3+X325,Calcs!$A$110:$B$122,2,TRUE),IF(AA325="Failed",VLOOKUP($D$3,Calcs!$A$110:$B$122,2,TRUE),VLOOKUP($D$3-(IF((Character!$B$9+W325)&gt;($D$3+Y325),(Character!$B$9+W325)-($D$3+Y325),0)),Calcs!$A$110:$B$122,2,TRUE))))=Calcs!$B$120,IF(ISBLANK(AC325)," ",CONCATENATE(AC325+7," Years")),IF(AA325=" "," ",IF(NOT(ISBLANK(X325)),VLOOKUP($D$3+X325,Calcs!$A$110:$B$122,2,TRUE),IF(AA325="Failed",VLOOKUP($D$3,Calcs!$A$110:$B$122,2,TRUE),VLOOKUP($D$3-(IF((Character!$B$9+W325)&gt;($D$3+Y325),(Character!$B$9+W325)-($D$3+Y325),0)),Calcs!$A$110:$B$122,2,TRUE)))))</f>
        <v xml:space="preserve"> </v>
      </c>
      <c r="AE325" s="490"/>
      <c r="AF325" s="879"/>
      <c r="AG325" s="491"/>
    </row>
    <row r="326" spans="1:33" x14ac:dyDescent="0.2">
      <c r="A326" s="415">
        <f t="shared" si="8"/>
        <v>1291</v>
      </c>
      <c r="B326" s="419" t="str">
        <f t="shared" si="9"/>
        <v>Summer</v>
      </c>
      <c r="C326" s="455"/>
      <c r="D326" s="504"/>
      <c r="E326" s="455"/>
      <c r="F326" s="504"/>
      <c r="G326" s="455"/>
      <c r="H326" s="504"/>
      <c r="I326" s="455"/>
      <c r="J326" s="504"/>
      <c r="L326" s="472"/>
      <c r="M326" s="468"/>
      <c r="N326" s="468"/>
      <c r="O326" s="468"/>
      <c r="P326" s="468"/>
      <c r="Q326" s="473"/>
      <c r="R326" s="477" t="str">
        <f>IF(AND(COUNTIF('Start Character'!$I$63:$M$77,"Twilight Prone")=1,NOT(ISERROR(FIND("Magical Botch",M326)))),"Yes",IF(P326&gt;1,"Yes","No"))</f>
        <v>No</v>
      </c>
      <c r="S326" s="501"/>
      <c r="T326" s="478"/>
      <c r="U326" s="501"/>
      <c r="V326" s="479" t="str">
        <f>IF(R326="No","No Twilight",IF(T326="Yes","Uncomprehended Twilight",IF((Character!$B$14+IF(Character!$B$53="Yes",0,Character!$B$53)+IF(Magic!$C$5="Yes",2,0)+ROUNDUP((Magic!$B$30+IF(Magic!$C$30="Yes",3,0))/5,0)+S326)&gt;=($D$3+P326+SUMIF(Character!$I$62:$I$66,"Enigmatic Wisdom",Character!$J$62:$J$66)+Q326+U326),"No Twilight","Twilight")))</f>
        <v>No Twilight</v>
      </c>
      <c r="W326" s="483"/>
      <c r="X326" s="478"/>
      <c r="Y326" s="484"/>
      <c r="Z326" s="478"/>
      <c r="AA326" s="485" t="str">
        <f>IF(V326="Uncomprehended Twilight","Failed",IF(OR(ISBLANK(W326),ISBLANK(Y326))," ",IF(NOT(ISBLANK(X326)),"Failed",IF((W326+Character!$B$9+SUMIF(Character!$I$62:$I$66,"Enigmatic Wisdom",Character!$J$62:$J$66))&gt;=IF(Z326="Yes",0,(Y326+D321)),"Succeeded","Failed"))))</f>
        <v xml:space="preserve"> </v>
      </c>
      <c r="AB326" s="477" t="str">
        <f>IF(AA326=" "," ",IF(NOT(ISBLANK(X326)),VLOOKUP($D$3+X326,Calcs!$A$110:$C$122,3,TRUE),IF(AA326="Failed",VLOOKUP($D$3,Calcs!$A$110:$C$122,3,TRUE),VLOOKUP($D$3-(IF((Character!$B$9+W326)&gt;($D$3+Y326),(Character!$B$9+W326)-($D$3+Y326),0)),Calcs!$A$110:$C$122,3,TRUE))))</f>
        <v xml:space="preserve"> </v>
      </c>
      <c r="AC326" s="489"/>
      <c r="AD326" s="489" t="str">
        <f>IF(IF(AA326=" "," ",IF(NOT(ISBLANK(X326)),VLOOKUP($D$3+X326,Calcs!$A$110:$B$122,2,TRUE),IF(AA326="Failed",VLOOKUP($D$3,Calcs!$A$110:$B$122,2,TRUE),VLOOKUP($D$3-(IF((Character!$B$9+W326)&gt;($D$3+Y326),(Character!$B$9+W326)-($D$3+Y326),0)),Calcs!$A$110:$B$122,2,TRUE))))=Calcs!$B$120,IF(ISBLANK(AC326)," ",CONCATENATE(AC326+7," Years")),IF(AA326=" "," ",IF(NOT(ISBLANK(X326)),VLOOKUP($D$3+X326,Calcs!$A$110:$B$122,2,TRUE),IF(AA326="Failed",VLOOKUP($D$3,Calcs!$A$110:$B$122,2,TRUE),VLOOKUP($D$3-(IF((Character!$B$9+W326)&gt;($D$3+Y326),(Character!$B$9+W326)-($D$3+Y326),0)),Calcs!$A$110:$B$122,2,TRUE)))))</f>
        <v xml:space="preserve"> </v>
      </c>
      <c r="AE326" s="490"/>
      <c r="AF326" s="879"/>
      <c r="AG326" s="491"/>
    </row>
    <row r="327" spans="1:33" x14ac:dyDescent="0.2">
      <c r="A327" s="415">
        <f t="shared" si="8"/>
        <v>1291</v>
      </c>
      <c r="B327" s="419" t="str">
        <f t="shared" si="9"/>
        <v>Autumn</v>
      </c>
      <c r="C327" s="455"/>
      <c r="D327" s="504"/>
      <c r="E327" s="455"/>
      <c r="F327" s="504"/>
      <c r="G327" s="455"/>
      <c r="H327" s="504"/>
      <c r="I327" s="455"/>
      <c r="J327" s="504"/>
      <c r="L327" s="472"/>
      <c r="M327" s="468"/>
      <c r="N327" s="468"/>
      <c r="O327" s="468"/>
      <c r="P327" s="468"/>
      <c r="Q327" s="473"/>
      <c r="R327" s="477" t="str">
        <f>IF(AND(COUNTIF('Start Character'!$I$63:$M$77,"Twilight Prone")=1,NOT(ISERROR(FIND("Magical Botch",M327)))),"Yes",IF(P327&gt;1,"Yes","No"))</f>
        <v>No</v>
      </c>
      <c r="S327" s="501"/>
      <c r="T327" s="478"/>
      <c r="U327" s="501"/>
      <c r="V327" s="479" t="str">
        <f>IF(R327="No","No Twilight",IF(T327="Yes","Uncomprehended Twilight",IF((Character!$B$14+IF(Character!$B$53="Yes",0,Character!$B$53)+IF(Magic!$C$5="Yes",2,0)+ROUNDUP((Magic!$B$30+IF(Magic!$C$30="Yes",3,0))/5,0)+S327)&gt;=($D$3+P327+SUMIF(Character!$I$62:$I$66,"Enigmatic Wisdom",Character!$J$62:$J$66)+Q327+U327),"No Twilight","Twilight")))</f>
        <v>No Twilight</v>
      </c>
      <c r="W327" s="483"/>
      <c r="X327" s="478"/>
      <c r="Y327" s="484"/>
      <c r="Z327" s="478"/>
      <c r="AA327" s="485" t="str">
        <f>IF(V327="Uncomprehended Twilight","Failed",IF(OR(ISBLANK(W327),ISBLANK(Y327))," ",IF(NOT(ISBLANK(X327)),"Failed",IF((W327+Character!$B$9+SUMIF(Character!$I$62:$I$66,"Enigmatic Wisdom",Character!$J$62:$J$66))&gt;=IF(Z327="Yes",0,(Y327+D322)),"Succeeded","Failed"))))</f>
        <v xml:space="preserve"> </v>
      </c>
      <c r="AB327" s="477" t="str">
        <f>IF(AA327=" "," ",IF(NOT(ISBLANK(X327)),VLOOKUP($D$3+X327,Calcs!$A$110:$C$122,3,TRUE),IF(AA327="Failed",VLOOKUP($D$3,Calcs!$A$110:$C$122,3,TRUE),VLOOKUP($D$3-(IF((Character!$B$9+W327)&gt;($D$3+Y327),(Character!$B$9+W327)-($D$3+Y327),0)),Calcs!$A$110:$C$122,3,TRUE))))</f>
        <v xml:space="preserve"> </v>
      </c>
      <c r="AC327" s="489"/>
      <c r="AD327" s="489" t="str">
        <f>IF(IF(AA327=" "," ",IF(NOT(ISBLANK(X327)),VLOOKUP($D$3+X327,Calcs!$A$110:$B$122,2,TRUE),IF(AA327="Failed",VLOOKUP($D$3,Calcs!$A$110:$B$122,2,TRUE),VLOOKUP($D$3-(IF((Character!$B$9+W327)&gt;($D$3+Y327),(Character!$B$9+W327)-($D$3+Y327),0)),Calcs!$A$110:$B$122,2,TRUE))))=Calcs!$B$120,IF(ISBLANK(AC327)," ",CONCATENATE(AC327+7," Years")),IF(AA327=" "," ",IF(NOT(ISBLANK(X327)),VLOOKUP($D$3+X327,Calcs!$A$110:$B$122,2,TRUE),IF(AA327="Failed",VLOOKUP($D$3,Calcs!$A$110:$B$122,2,TRUE),VLOOKUP($D$3-(IF((Character!$B$9+W327)&gt;($D$3+Y327),(Character!$B$9+W327)-($D$3+Y327),0)),Calcs!$A$110:$B$122,2,TRUE)))))</f>
        <v xml:space="preserve"> </v>
      </c>
      <c r="AE327" s="490"/>
      <c r="AF327" s="879"/>
      <c r="AG327" s="491"/>
    </row>
    <row r="328" spans="1:33" x14ac:dyDescent="0.2">
      <c r="A328" s="415">
        <f t="shared" si="8"/>
        <v>1292</v>
      </c>
      <c r="B328" s="419" t="str">
        <f t="shared" si="9"/>
        <v>Winter</v>
      </c>
      <c r="C328" s="455"/>
      <c r="D328" s="504"/>
      <c r="E328" s="455"/>
      <c r="F328" s="504"/>
      <c r="G328" s="455"/>
      <c r="H328" s="504"/>
      <c r="I328" s="455"/>
      <c r="J328" s="504"/>
      <c r="L328" s="472"/>
      <c r="M328" s="468"/>
      <c r="N328" s="468"/>
      <c r="O328" s="468"/>
      <c r="P328" s="468"/>
      <c r="Q328" s="473"/>
      <c r="R328" s="477" t="str">
        <f>IF(AND(COUNTIF('Start Character'!$I$63:$M$77,"Twilight Prone")=1,NOT(ISERROR(FIND("Magical Botch",M328)))),"Yes",IF(P328&gt;1,"Yes","No"))</f>
        <v>No</v>
      </c>
      <c r="S328" s="501"/>
      <c r="T328" s="478"/>
      <c r="U328" s="501"/>
      <c r="V328" s="479" t="str">
        <f>IF(R328="No","No Twilight",IF(T328="Yes","Uncomprehended Twilight",IF((Character!$B$14+IF(Character!$B$53="Yes",0,Character!$B$53)+IF(Magic!$C$5="Yes",2,0)+ROUNDUP((Magic!$B$30+IF(Magic!$C$30="Yes",3,0))/5,0)+S328)&gt;=($D$3+P328+SUMIF(Character!$I$62:$I$66,"Enigmatic Wisdom",Character!$J$62:$J$66)+Q328+U328),"No Twilight","Twilight")))</f>
        <v>No Twilight</v>
      </c>
      <c r="W328" s="483"/>
      <c r="X328" s="478"/>
      <c r="Y328" s="484"/>
      <c r="Z328" s="478"/>
      <c r="AA328" s="485" t="str">
        <f>IF(V328="Uncomprehended Twilight","Failed",IF(OR(ISBLANK(W328),ISBLANK(Y328))," ",IF(NOT(ISBLANK(X328)),"Failed",IF((W328+Character!$B$9+SUMIF(Character!$I$62:$I$66,"Enigmatic Wisdom",Character!$J$62:$J$66))&gt;=IF(Z328="Yes",0,(Y328+D323)),"Succeeded","Failed"))))</f>
        <v xml:space="preserve"> </v>
      </c>
      <c r="AB328" s="477" t="str">
        <f>IF(AA328=" "," ",IF(NOT(ISBLANK(X328)),VLOOKUP($D$3+X328,Calcs!$A$110:$C$122,3,TRUE),IF(AA328="Failed",VLOOKUP($D$3,Calcs!$A$110:$C$122,3,TRUE),VLOOKUP($D$3-(IF((Character!$B$9+W328)&gt;($D$3+Y328),(Character!$B$9+W328)-($D$3+Y328),0)),Calcs!$A$110:$C$122,3,TRUE))))</f>
        <v xml:space="preserve"> </v>
      </c>
      <c r="AC328" s="489"/>
      <c r="AD328" s="489" t="str">
        <f>IF(IF(AA328=" "," ",IF(NOT(ISBLANK(X328)),VLOOKUP($D$3+X328,Calcs!$A$110:$B$122,2,TRUE),IF(AA328="Failed",VLOOKUP($D$3,Calcs!$A$110:$B$122,2,TRUE),VLOOKUP($D$3-(IF((Character!$B$9+W328)&gt;($D$3+Y328),(Character!$B$9+W328)-($D$3+Y328),0)),Calcs!$A$110:$B$122,2,TRUE))))=Calcs!$B$120,IF(ISBLANK(AC328)," ",CONCATENATE(AC328+7," Years")),IF(AA328=" "," ",IF(NOT(ISBLANK(X328)),VLOOKUP($D$3+X328,Calcs!$A$110:$B$122,2,TRUE),IF(AA328="Failed",VLOOKUP($D$3,Calcs!$A$110:$B$122,2,TRUE),VLOOKUP($D$3-(IF((Character!$B$9+W328)&gt;($D$3+Y328),(Character!$B$9+W328)-($D$3+Y328),0)),Calcs!$A$110:$B$122,2,TRUE)))))</f>
        <v xml:space="preserve"> </v>
      </c>
      <c r="AE328" s="490"/>
      <c r="AF328" s="879"/>
      <c r="AG328" s="491"/>
    </row>
    <row r="329" spans="1:33" x14ac:dyDescent="0.2">
      <c r="A329" s="415">
        <f t="shared" si="8"/>
        <v>1292</v>
      </c>
      <c r="B329" s="419" t="str">
        <f t="shared" si="9"/>
        <v>Spring</v>
      </c>
      <c r="C329" s="455"/>
      <c r="D329" s="504"/>
      <c r="E329" s="455"/>
      <c r="F329" s="504"/>
      <c r="G329" s="455"/>
      <c r="H329" s="504"/>
      <c r="I329" s="455"/>
      <c r="J329" s="504"/>
      <c r="L329" s="472"/>
      <c r="M329" s="468"/>
      <c r="N329" s="468"/>
      <c r="O329" s="468"/>
      <c r="P329" s="468"/>
      <c r="Q329" s="473"/>
      <c r="R329" s="477" t="str">
        <f>IF(AND(COUNTIF('Start Character'!$I$63:$M$77,"Twilight Prone")=1,NOT(ISERROR(FIND("Magical Botch",M329)))),"Yes",IF(P329&gt;1,"Yes","No"))</f>
        <v>No</v>
      </c>
      <c r="S329" s="501"/>
      <c r="T329" s="478"/>
      <c r="U329" s="501"/>
      <c r="V329" s="479" t="str">
        <f>IF(R329="No","No Twilight",IF(T329="Yes","Uncomprehended Twilight",IF((Character!$B$14+IF(Character!$B$53="Yes",0,Character!$B$53)+IF(Magic!$C$5="Yes",2,0)+ROUNDUP((Magic!$B$30+IF(Magic!$C$30="Yes",3,0))/5,0)+S329)&gt;=($D$3+P329+SUMIF(Character!$I$62:$I$66,"Enigmatic Wisdom",Character!$J$62:$J$66)+Q329+U329),"No Twilight","Twilight")))</f>
        <v>No Twilight</v>
      </c>
      <c r="W329" s="483"/>
      <c r="X329" s="478"/>
      <c r="Y329" s="484"/>
      <c r="Z329" s="478"/>
      <c r="AA329" s="485" t="str">
        <f>IF(V329="Uncomprehended Twilight","Failed",IF(OR(ISBLANK(W329),ISBLANK(Y329))," ",IF(NOT(ISBLANK(X329)),"Failed",IF((W329+Character!$B$9+SUMIF(Character!$I$62:$I$66,"Enigmatic Wisdom",Character!$J$62:$J$66))&gt;=IF(Z329="Yes",0,(Y329+D324)),"Succeeded","Failed"))))</f>
        <v xml:space="preserve"> </v>
      </c>
      <c r="AB329" s="477" t="str">
        <f>IF(AA329=" "," ",IF(NOT(ISBLANK(X329)),VLOOKUP($D$3+X329,Calcs!$A$110:$C$122,3,TRUE),IF(AA329="Failed",VLOOKUP($D$3,Calcs!$A$110:$C$122,3,TRUE),VLOOKUP($D$3-(IF((Character!$B$9+W329)&gt;($D$3+Y329),(Character!$B$9+W329)-($D$3+Y329),0)),Calcs!$A$110:$C$122,3,TRUE))))</f>
        <v xml:space="preserve"> </v>
      </c>
      <c r="AC329" s="489"/>
      <c r="AD329" s="489" t="str">
        <f>IF(IF(AA329=" "," ",IF(NOT(ISBLANK(X329)),VLOOKUP($D$3+X329,Calcs!$A$110:$B$122,2,TRUE),IF(AA329="Failed",VLOOKUP($D$3,Calcs!$A$110:$B$122,2,TRUE),VLOOKUP($D$3-(IF((Character!$B$9+W329)&gt;($D$3+Y329),(Character!$B$9+W329)-($D$3+Y329),0)),Calcs!$A$110:$B$122,2,TRUE))))=Calcs!$B$120,IF(ISBLANK(AC329)," ",CONCATENATE(AC329+7," Years")),IF(AA329=" "," ",IF(NOT(ISBLANK(X329)),VLOOKUP($D$3+X329,Calcs!$A$110:$B$122,2,TRUE),IF(AA329="Failed",VLOOKUP($D$3,Calcs!$A$110:$B$122,2,TRUE),VLOOKUP($D$3-(IF((Character!$B$9+W329)&gt;($D$3+Y329),(Character!$B$9+W329)-($D$3+Y329),0)),Calcs!$A$110:$B$122,2,TRUE)))))</f>
        <v xml:space="preserve"> </v>
      </c>
      <c r="AE329" s="490"/>
      <c r="AF329" s="879"/>
      <c r="AG329" s="491"/>
    </row>
    <row r="330" spans="1:33" x14ac:dyDescent="0.2">
      <c r="A330" s="415">
        <f t="shared" si="8"/>
        <v>1292</v>
      </c>
      <c r="B330" s="419" t="str">
        <f t="shared" si="9"/>
        <v>Summer</v>
      </c>
      <c r="C330" s="455"/>
      <c r="D330" s="504"/>
      <c r="E330" s="455"/>
      <c r="F330" s="504"/>
      <c r="G330" s="455"/>
      <c r="H330" s="504"/>
      <c r="I330" s="455"/>
      <c r="J330" s="504"/>
      <c r="L330" s="472"/>
      <c r="M330" s="468"/>
      <c r="N330" s="468"/>
      <c r="O330" s="468"/>
      <c r="P330" s="468"/>
      <c r="Q330" s="473"/>
      <c r="R330" s="477" t="str">
        <f>IF(AND(COUNTIF('Start Character'!$I$63:$M$77,"Twilight Prone")=1,NOT(ISERROR(FIND("Magical Botch",M330)))),"Yes",IF(P330&gt;1,"Yes","No"))</f>
        <v>No</v>
      </c>
      <c r="S330" s="501"/>
      <c r="T330" s="478"/>
      <c r="U330" s="501"/>
      <c r="V330" s="479" t="str">
        <f>IF(R330="No","No Twilight",IF(T330="Yes","Uncomprehended Twilight",IF((Character!$B$14+IF(Character!$B$53="Yes",0,Character!$B$53)+IF(Magic!$C$5="Yes",2,0)+ROUNDUP((Magic!$B$30+IF(Magic!$C$30="Yes",3,0))/5,0)+S330)&gt;=($D$3+P330+SUMIF(Character!$I$62:$I$66,"Enigmatic Wisdom",Character!$J$62:$J$66)+Q330+U330),"No Twilight","Twilight")))</f>
        <v>No Twilight</v>
      </c>
      <c r="W330" s="483"/>
      <c r="X330" s="478"/>
      <c r="Y330" s="484"/>
      <c r="Z330" s="478"/>
      <c r="AA330" s="485" t="str">
        <f>IF(V330="Uncomprehended Twilight","Failed",IF(OR(ISBLANK(W330),ISBLANK(Y330))," ",IF(NOT(ISBLANK(X330)),"Failed",IF((W330+Character!$B$9+SUMIF(Character!$I$62:$I$66,"Enigmatic Wisdom",Character!$J$62:$J$66))&gt;=IF(Z330="Yes",0,(Y330+D325)),"Succeeded","Failed"))))</f>
        <v xml:space="preserve"> </v>
      </c>
      <c r="AB330" s="477" t="str">
        <f>IF(AA330=" "," ",IF(NOT(ISBLANK(X330)),VLOOKUP($D$3+X330,Calcs!$A$110:$C$122,3,TRUE),IF(AA330="Failed",VLOOKUP($D$3,Calcs!$A$110:$C$122,3,TRUE),VLOOKUP($D$3-(IF((Character!$B$9+W330)&gt;($D$3+Y330),(Character!$B$9+W330)-($D$3+Y330),0)),Calcs!$A$110:$C$122,3,TRUE))))</f>
        <v xml:space="preserve"> </v>
      </c>
      <c r="AC330" s="489"/>
      <c r="AD330" s="489" t="str">
        <f>IF(IF(AA330=" "," ",IF(NOT(ISBLANK(X330)),VLOOKUP($D$3+X330,Calcs!$A$110:$B$122,2,TRUE),IF(AA330="Failed",VLOOKUP($D$3,Calcs!$A$110:$B$122,2,TRUE),VLOOKUP($D$3-(IF((Character!$B$9+W330)&gt;($D$3+Y330),(Character!$B$9+W330)-($D$3+Y330),0)),Calcs!$A$110:$B$122,2,TRUE))))=Calcs!$B$120,IF(ISBLANK(AC330)," ",CONCATENATE(AC330+7," Years")),IF(AA330=" "," ",IF(NOT(ISBLANK(X330)),VLOOKUP($D$3+X330,Calcs!$A$110:$B$122,2,TRUE),IF(AA330="Failed",VLOOKUP($D$3,Calcs!$A$110:$B$122,2,TRUE),VLOOKUP($D$3-(IF((Character!$B$9+W330)&gt;($D$3+Y330),(Character!$B$9+W330)-($D$3+Y330),0)),Calcs!$A$110:$B$122,2,TRUE)))))</f>
        <v xml:space="preserve"> </v>
      </c>
      <c r="AE330" s="490"/>
      <c r="AF330" s="879"/>
      <c r="AG330" s="491"/>
    </row>
    <row r="331" spans="1:33" x14ac:dyDescent="0.2">
      <c r="A331" s="415">
        <f t="shared" si="8"/>
        <v>1292</v>
      </c>
      <c r="B331" s="419" t="str">
        <f t="shared" si="9"/>
        <v>Autumn</v>
      </c>
      <c r="C331" s="455"/>
      <c r="D331" s="504"/>
      <c r="E331" s="455"/>
      <c r="F331" s="504"/>
      <c r="G331" s="455"/>
      <c r="H331" s="504"/>
      <c r="I331" s="455"/>
      <c r="J331" s="504"/>
      <c r="L331" s="472"/>
      <c r="M331" s="468"/>
      <c r="N331" s="468"/>
      <c r="O331" s="468"/>
      <c r="P331" s="468"/>
      <c r="Q331" s="473"/>
      <c r="R331" s="477" t="str">
        <f>IF(AND(COUNTIF('Start Character'!$I$63:$M$77,"Twilight Prone")=1,NOT(ISERROR(FIND("Magical Botch",M331)))),"Yes",IF(P331&gt;1,"Yes","No"))</f>
        <v>No</v>
      </c>
      <c r="S331" s="501"/>
      <c r="T331" s="478"/>
      <c r="U331" s="501"/>
      <c r="V331" s="479" t="str">
        <f>IF(R331="No","No Twilight",IF(T331="Yes","Uncomprehended Twilight",IF((Character!$B$14+IF(Character!$B$53="Yes",0,Character!$B$53)+IF(Magic!$C$5="Yes",2,0)+ROUNDUP((Magic!$B$30+IF(Magic!$C$30="Yes",3,0))/5,0)+S331)&gt;=($D$3+P331+SUMIF(Character!$I$62:$I$66,"Enigmatic Wisdom",Character!$J$62:$J$66)+Q331+U331),"No Twilight","Twilight")))</f>
        <v>No Twilight</v>
      </c>
      <c r="W331" s="483"/>
      <c r="X331" s="478"/>
      <c r="Y331" s="484"/>
      <c r="Z331" s="478"/>
      <c r="AA331" s="485" t="str">
        <f>IF(V331="Uncomprehended Twilight","Failed",IF(OR(ISBLANK(W331),ISBLANK(Y331))," ",IF(NOT(ISBLANK(X331)),"Failed",IF((W331+Character!$B$9+SUMIF(Character!$I$62:$I$66,"Enigmatic Wisdom",Character!$J$62:$J$66))&gt;=IF(Z331="Yes",0,(Y331+D326)),"Succeeded","Failed"))))</f>
        <v xml:space="preserve"> </v>
      </c>
      <c r="AB331" s="477" t="str">
        <f>IF(AA331=" "," ",IF(NOT(ISBLANK(X331)),VLOOKUP($D$3+X331,Calcs!$A$110:$C$122,3,TRUE),IF(AA331="Failed",VLOOKUP($D$3,Calcs!$A$110:$C$122,3,TRUE),VLOOKUP($D$3-(IF((Character!$B$9+W331)&gt;($D$3+Y331),(Character!$B$9+W331)-($D$3+Y331),0)),Calcs!$A$110:$C$122,3,TRUE))))</f>
        <v xml:space="preserve"> </v>
      </c>
      <c r="AC331" s="489"/>
      <c r="AD331" s="489" t="str">
        <f>IF(IF(AA331=" "," ",IF(NOT(ISBLANK(X331)),VLOOKUP($D$3+X331,Calcs!$A$110:$B$122,2,TRUE),IF(AA331="Failed",VLOOKUP($D$3,Calcs!$A$110:$B$122,2,TRUE),VLOOKUP($D$3-(IF((Character!$B$9+W331)&gt;($D$3+Y331),(Character!$B$9+W331)-($D$3+Y331),0)),Calcs!$A$110:$B$122,2,TRUE))))=Calcs!$B$120,IF(ISBLANK(AC331)," ",CONCATENATE(AC331+7," Years")),IF(AA331=" "," ",IF(NOT(ISBLANK(X331)),VLOOKUP($D$3+X331,Calcs!$A$110:$B$122,2,TRUE),IF(AA331="Failed",VLOOKUP($D$3,Calcs!$A$110:$B$122,2,TRUE),VLOOKUP($D$3-(IF((Character!$B$9+W331)&gt;($D$3+Y331),(Character!$B$9+W331)-($D$3+Y331),0)),Calcs!$A$110:$B$122,2,TRUE)))))</f>
        <v xml:space="preserve"> </v>
      </c>
      <c r="AE331" s="490"/>
      <c r="AF331" s="879"/>
      <c r="AG331" s="491"/>
    </row>
    <row r="332" spans="1:33" x14ac:dyDescent="0.2">
      <c r="A332" s="415">
        <f t="shared" si="8"/>
        <v>1293</v>
      </c>
      <c r="B332" s="419" t="str">
        <f t="shared" si="9"/>
        <v>Winter</v>
      </c>
      <c r="C332" s="455"/>
      <c r="D332" s="504"/>
      <c r="E332" s="455"/>
      <c r="F332" s="504"/>
      <c r="G332" s="455"/>
      <c r="H332" s="504"/>
      <c r="I332" s="455"/>
      <c r="J332" s="504"/>
      <c r="L332" s="472"/>
      <c r="M332" s="468"/>
      <c r="N332" s="468"/>
      <c r="O332" s="468"/>
      <c r="P332" s="468"/>
      <c r="Q332" s="473"/>
      <c r="R332" s="477" t="str">
        <f>IF(AND(COUNTIF('Start Character'!$I$63:$M$77,"Twilight Prone")=1,NOT(ISERROR(FIND("Magical Botch",M332)))),"Yes",IF(P332&gt;1,"Yes","No"))</f>
        <v>No</v>
      </c>
      <c r="S332" s="501"/>
      <c r="T332" s="478"/>
      <c r="U332" s="501"/>
      <c r="V332" s="479" t="str">
        <f>IF(R332="No","No Twilight",IF(T332="Yes","Uncomprehended Twilight",IF((Character!$B$14+IF(Character!$B$53="Yes",0,Character!$B$53)+IF(Magic!$C$5="Yes",2,0)+ROUNDUP((Magic!$B$30+IF(Magic!$C$30="Yes",3,0))/5,0)+S332)&gt;=($D$3+P332+SUMIF(Character!$I$62:$I$66,"Enigmatic Wisdom",Character!$J$62:$J$66)+Q332+U332),"No Twilight","Twilight")))</f>
        <v>No Twilight</v>
      </c>
      <c r="W332" s="483"/>
      <c r="X332" s="478"/>
      <c r="Y332" s="484"/>
      <c r="Z332" s="478"/>
      <c r="AA332" s="485" t="str">
        <f>IF(V332="Uncomprehended Twilight","Failed",IF(OR(ISBLANK(W332),ISBLANK(Y332))," ",IF(NOT(ISBLANK(X332)),"Failed",IF((W332+Character!$B$9+SUMIF(Character!$I$62:$I$66,"Enigmatic Wisdom",Character!$J$62:$J$66))&gt;=IF(Z332="Yes",0,(Y332+D327)),"Succeeded","Failed"))))</f>
        <v xml:space="preserve"> </v>
      </c>
      <c r="AB332" s="477" t="str">
        <f>IF(AA332=" "," ",IF(NOT(ISBLANK(X332)),VLOOKUP($D$3+X332,Calcs!$A$110:$C$122,3,TRUE),IF(AA332="Failed",VLOOKUP($D$3,Calcs!$A$110:$C$122,3,TRUE),VLOOKUP($D$3-(IF((Character!$B$9+W332)&gt;($D$3+Y332),(Character!$B$9+W332)-($D$3+Y332),0)),Calcs!$A$110:$C$122,3,TRUE))))</f>
        <v xml:space="preserve"> </v>
      </c>
      <c r="AC332" s="489"/>
      <c r="AD332" s="489" t="str">
        <f>IF(IF(AA332=" "," ",IF(NOT(ISBLANK(X332)),VLOOKUP($D$3+X332,Calcs!$A$110:$B$122,2,TRUE),IF(AA332="Failed",VLOOKUP($D$3,Calcs!$A$110:$B$122,2,TRUE),VLOOKUP($D$3-(IF((Character!$B$9+W332)&gt;($D$3+Y332),(Character!$B$9+W332)-($D$3+Y332),0)),Calcs!$A$110:$B$122,2,TRUE))))=Calcs!$B$120,IF(ISBLANK(AC332)," ",CONCATENATE(AC332+7," Years")),IF(AA332=" "," ",IF(NOT(ISBLANK(X332)),VLOOKUP($D$3+X332,Calcs!$A$110:$B$122,2,TRUE),IF(AA332="Failed",VLOOKUP($D$3,Calcs!$A$110:$B$122,2,TRUE),VLOOKUP($D$3-(IF((Character!$B$9+W332)&gt;($D$3+Y332),(Character!$B$9+W332)-($D$3+Y332),0)),Calcs!$A$110:$B$122,2,TRUE)))))</f>
        <v xml:space="preserve"> </v>
      </c>
      <c r="AE332" s="490"/>
      <c r="AF332" s="879"/>
      <c r="AG332" s="491"/>
    </row>
    <row r="333" spans="1:33" x14ac:dyDescent="0.2">
      <c r="A333" s="415">
        <f t="shared" si="8"/>
        <v>1293</v>
      </c>
      <c r="B333" s="419" t="str">
        <f t="shared" si="9"/>
        <v>Spring</v>
      </c>
      <c r="C333" s="455"/>
      <c r="D333" s="504"/>
      <c r="E333" s="455"/>
      <c r="F333" s="504"/>
      <c r="G333" s="455"/>
      <c r="H333" s="504"/>
      <c r="I333" s="455"/>
      <c r="J333" s="504"/>
      <c r="L333" s="472"/>
      <c r="M333" s="468"/>
      <c r="N333" s="468"/>
      <c r="O333" s="468"/>
      <c r="P333" s="468"/>
      <c r="Q333" s="473"/>
      <c r="R333" s="477" t="str">
        <f>IF(AND(COUNTIF('Start Character'!$I$63:$M$77,"Twilight Prone")=1,NOT(ISERROR(FIND("Magical Botch",M333)))),"Yes",IF(P333&gt;1,"Yes","No"))</f>
        <v>No</v>
      </c>
      <c r="S333" s="501"/>
      <c r="T333" s="478"/>
      <c r="U333" s="501"/>
      <c r="V333" s="479" t="str">
        <f>IF(R333="No","No Twilight",IF(T333="Yes","Uncomprehended Twilight",IF((Character!$B$14+IF(Character!$B$53="Yes",0,Character!$B$53)+IF(Magic!$C$5="Yes",2,0)+ROUNDUP((Magic!$B$30+IF(Magic!$C$30="Yes",3,0))/5,0)+S333)&gt;=($D$3+P333+SUMIF(Character!$I$62:$I$66,"Enigmatic Wisdom",Character!$J$62:$J$66)+Q333+U333),"No Twilight","Twilight")))</f>
        <v>No Twilight</v>
      </c>
      <c r="W333" s="483"/>
      <c r="X333" s="478"/>
      <c r="Y333" s="484"/>
      <c r="Z333" s="478"/>
      <c r="AA333" s="485" t="str">
        <f>IF(V333="Uncomprehended Twilight","Failed",IF(OR(ISBLANK(W333),ISBLANK(Y333))," ",IF(NOT(ISBLANK(X333)),"Failed",IF((W333+Character!$B$9+SUMIF(Character!$I$62:$I$66,"Enigmatic Wisdom",Character!$J$62:$J$66))&gt;=IF(Z333="Yes",0,(Y333+D328)),"Succeeded","Failed"))))</f>
        <v xml:space="preserve"> </v>
      </c>
      <c r="AB333" s="477" t="str">
        <f>IF(AA333=" "," ",IF(NOT(ISBLANK(X333)),VLOOKUP($D$3+X333,Calcs!$A$110:$C$122,3,TRUE),IF(AA333="Failed",VLOOKUP($D$3,Calcs!$A$110:$C$122,3,TRUE),VLOOKUP($D$3-(IF((Character!$B$9+W333)&gt;($D$3+Y333),(Character!$B$9+W333)-($D$3+Y333),0)),Calcs!$A$110:$C$122,3,TRUE))))</f>
        <v xml:space="preserve"> </v>
      </c>
      <c r="AC333" s="489"/>
      <c r="AD333" s="489" t="str">
        <f>IF(IF(AA333=" "," ",IF(NOT(ISBLANK(X333)),VLOOKUP($D$3+X333,Calcs!$A$110:$B$122,2,TRUE),IF(AA333="Failed",VLOOKUP($D$3,Calcs!$A$110:$B$122,2,TRUE),VLOOKUP($D$3-(IF((Character!$B$9+W333)&gt;($D$3+Y333),(Character!$B$9+W333)-($D$3+Y333),0)),Calcs!$A$110:$B$122,2,TRUE))))=Calcs!$B$120,IF(ISBLANK(AC333)," ",CONCATENATE(AC333+7," Years")),IF(AA333=" "," ",IF(NOT(ISBLANK(X333)),VLOOKUP($D$3+X333,Calcs!$A$110:$B$122,2,TRUE),IF(AA333="Failed",VLOOKUP($D$3,Calcs!$A$110:$B$122,2,TRUE),VLOOKUP($D$3-(IF((Character!$B$9+W333)&gt;($D$3+Y333),(Character!$B$9+W333)-($D$3+Y333),0)),Calcs!$A$110:$B$122,2,TRUE)))))</f>
        <v xml:space="preserve"> </v>
      </c>
      <c r="AE333" s="490"/>
      <c r="AF333" s="879"/>
      <c r="AG333" s="491"/>
    </row>
    <row r="334" spans="1:33" x14ac:dyDescent="0.2">
      <c r="A334" s="415">
        <f t="shared" si="8"/>
        <v>1293</v>
      </c>
      <c r="B334" s="419" t="str">
        <f t="shared" si="9"/>
        <v>Summer</v>
      </c>
      <c r="C334" s="455"/>
      <c r="D334" s="504"/>
      <c r="E334" s="455"/>
      <c r="F334" s="504"/>
      <c r="G334" s="455"/>
      <c r="H334" s="504"/>
      <c r="I334" s="455"/>
      <c r="J334" s="504"/>
      <c r="L334" s="472"/>
      <c r="M334" s="468"/>
      <c r="N334" s="468"/>
      <c r="O334" s="468"/>
      <c r="P334" s="468"/>
      <c r="Q334" s="473"/>
      <c r="R334" s="477" t="str">
        <f>IF(AND(COUNTIF('Start Character'!$I$63:$M$77,"Twilight Prone")=1,NOT(ISERROR(FIND("Magical Botch",M334)))),"Yes",IF(P334&gt;1,"Yes","No"))</f>
        <v>No</v>
      </c>
      <c r="S334" s="501"/>
      <c r="T334" s="478"/>
      <c r="U334" s="501"/>
      <c r="V334" s="479" t="str">
        <f>IF(R334="No","No Twilight",IF(T334="Yes","Uncomprehended Twilight",IF((Character!$B$14+IF(Character!$B$53="Yes",0,Character!$B$53)+IF(Magic!$C$5="Yes",2,0)+ROUNDUP((Magic!$B$30+IF(Magic!$C$30="Yes",3,0))/5,0)+S334)&gt;=($D$3+P334+SUMIF(Character!$I$62:$I$66,"Enigmatic Wisdom",Character!$J$62:$J$66)+Q334+U334),"No Twilight","Twilight")))</f>
        <v>No Twilight</v>
      </c>
      <c r="W334" s="483"/>
      <c r="X334" s="478"/>
      <c r="Y334" s="484"/>
      <c r="Z334" s="478"/>
      <c r="AA334" s="485" t="str">
        <f>IF(V334="Uncomprehended Twilight","Failed",IF(OR(ISBLANK(W334),ISBLANK(Y334))," ",IF(NOT(ISBLANK(X334)),"Failed",IF((W334+Character!$B$9+SUMIF(Character!$I$62:$I$66,"Enigmatic Wisdom",Character!$J$62:$J$66))&gt;=IF(Z334="Yes",0,(Y334+D329)),"Succeeded","Failed"))))</f>
        <v xml:space="preserve"> </v>
      </c>
      <c r="AB334" s="477" t="str">
        <f>IF(AA334=" "," ",IF(NOT(ISBLANK(X334)),VLOOKUP($D$3+X334,Calcs!$A$110:$C$122,3,TRUE),IF(AA334="Failed",VLOOKUP($D$3,Calcs!$A$110:$C$122,3,TRUE),VLOOKUP($D$3-(IF((Character!$B$9+W334)&gt;($D$3+Y334),(Character!$B$9+W334)-($D$3+Y334),0)),Calcs!$A$110:$C$122,3,TRUE))))</f>
        <v xml:space="preserve"> </v>
      </c>
      <c r="AC334" s="489"/>
      <c r="AD334" s="489" t="str">
        <f>IF(IF(AA334=" "," ",IF(NOT(ISBLANK(X334)),VLOOKUP($D$3+X334,Calcs!$A$110:$B$122,2,TRUE),IF(AA334="Failed",VLOOKUP($D$3,Calcs!$A$110:$B$122,2,TRUE),VLOOKUP($D$3-(IF((Character!$B$9+W334)&gt;($D$3+Y334),(Character!$B$9+W334)-($D$3+Y334),0)),Calcs!$A$110:$B$122,2,TRUE))))=Calcs!$B$120,IF(ISBLANK(AC334)," ",CONCATENATE(AC334+7," Years")),IF(AA334=" "," ",IF(NOT(ISBLANK(X334)),VLOOKUP($D$3+X334,Calcs!$A$110:$B$122,2,TRUE),IF(AA334="Failed",VLOOKUP($D$3,Calcs!$A$110:$B$122,2,TRUE),VLOOKUP($D$3-(IF((Character!$B$9+W334)&gt;($D$3+Y334),(Character!$B$9+W334)-($D$3+Y334),0)),Calcs!$A$110:$B$122,2,TRUE)))))</f>
        <v xml:space="preserve"> </v>
      </c>
      <c r="AE334" s="490"/>
      <c r="AF334" s="879"/>
      <c r="AG334" s="491"/>
    </row>
    <row r="335" spans="1:33" x14ac:dyDescent="0.2">
      <c r="A335" s="415">
        <f t="shared" si="8"/>
        <v>1293</v>
      </c>
      <c r="B335" s="419" t="str">
        <f t="shared" si="9"/>
        <v>Autumn</v>
      </c>
      <c r="C335" s="455"/>
      <c r="D335" s="504"/>
      <c r="E335" s="455"/>
      <c r="F335" s="504"/>
      <c r="G335" s="455"/>
      <c r="H335" s="504"/>
      <c r="I335" s="455"/>
      <c r="J335" s="504"/>
      <c r="L335" s="472"/>
      <c r="M335" s="468"/>
      <c r="N335" s="468"/>
      <c r="O335" s="468"/>
      <c r="P335" s="468"/>
      <c r="Q335" s="473"/>
      <c r="R335" s="477" t="str">
        <f>IF(AND(COUNTIF('Start Character'!$I$63:$M$77,"Twilight Prone")=1,NOT(ISERROR(FIND("Magical Botch",M335)))),"Yes",IF(P335&gt;1,"Yes","No"))</f>
        <v>No</v>
      </c>
      <c r="S335" s="501"/>
      <c r="T335" s="478"/>
      <c r="U335" s="501"/>
      <c r="V335" s="479" t="str">
        <f>IF(R335="No","No Twilight",IF(T335="Yes","Uncomprehended Twilight",IF((Character!$B$14+IF(Character!$B$53="Yes",0,Character!$B$53)+IF(Magic!$C$5="Yes",2,0)+ROUNDUP((Magic!$B$30+IF(Magic!$C$30="Yes",3,0))/5,0)+S335)&gt;=($D$3+P335+SUMIF(Character!$I$62:$I$66,"Enigmatic Wisdom",Character!$J$62:$J$66)+Q335+U335),"No Twilight","Twilight")))</f>
        <v>No Twilight</v>
      </c>
      <c r="W335" s="483"/>
      <c r="X335" s="478"/>
      <c r="Y335" s="484"/>
      <c r="Z335" s="478"/>
      <c r="AA335" s="485" t="str">
        <f>IF(V335="Uncomprehended Twilight","Failed",IF(OR(ISBLANK(W335),ISBLANK(Y335))," ",IF(NOT(ISBLANK(X335)),"Failed",IF((W335+Character!$B$9+SUMIF(Character!$I$62:$I$66,"Enigmatic Wisdom",Character!$J$62:$J$66))&gt;=IF(Z335="Yes",0,(Y335+D330)),"Succeeded","Failed"))))</f>
        <v xml:space="preserve"> </v>
      </c>
      <c r="AB335" s="477" t="str">
        <f>IF(AA335=" "," ",IF(NOT(ISBLANK(X335)),VLOOKUP($D$3+X335,Calcs!$A$110:$C$122,3,TRUE),IF(AA335="Failed",VLOOKUP($D$3,Calcs!$A$110:$C$122,3,TRUE),VLOOKUP($D$3-(IF((Character!$B$9+W335)&gt;($D$3+Y335),(Character!$B$9+W335)-($D$3+Y335),0)),Calcs!$A$110:$C$122,3,TRUE))))</f>
        <v xml:space="preserve"> </v>
      </c>
      <c r="AC335" s="489"/>
      <c r="AD335" s="489" t="str">
        <f>IF(IF(AA335=" "," ",IF(NOT(ISBLANK(X335)),VLOOKUP($D$3+X335,Calcs!$A$110:$B$122,2,TRUE),IF(AA335="Failed",VLOOKUP($D$3,Calcs!$A$110:$B$122,2,TRUE),VLOOKUP($D$3-(IF((Character!$B$9+W335)&gt;($D$3+Y335),(Character!$B$9+W335)-($D$3+Y335),0)),Calcs!$A$110:$B$122,2,TRUE))))=Calcs!$B$120,IF(ISBLANK(AC335)," ",CONCATENATE(AC335+7," Years")),IF(AA335=" "," ",IF(NOT(ISBLANK(X335)),VLOOKUP($D$3+X335,Calcs!$A$110:$B$122,2,TRUE),IF(AA335="Failed",VLOOKUP($D$3,Calcs!$A$110:$B$122,2,TRUE),VLOOKUP($D$3-(IF((Character!$B$9+W335)&gt;($D$3+Y335),(Character!$B$9+W335)-($D$3+Y335),0)),Calcs!$A$110:$B$122,2,TRUE)))))</f>
        <v xml:space="preserve"> </v>
      </c>
      <c r="AE335" s="490"/>
      <c r="AF335" s="879"/>
      <c r="AG335" s="491"/>
    </row>
    <row r="336" spans="1:33" x14ac:dyDescent="0.2">
      <c r="A336" s="415">
        <f t="shared" si="8"/>
        <v>1294</v>
      </c>
      <c r="B336" s="419" t="str">
        <f t="shared" si="9"/>
        <v>Winter</v>
      </c>
      <c r="C336" s="455"/>
      <c r="D336" s="504"/>
      <c r="E336" s="455"/>
      <c r="F336" s="504"/>
      <c r="G336" s="455"/>
      <c r="H336" s="504"/>
      <c r="I336" s="455"/>
      <c r="J336" s="504"/>
      <c r="L336" s="472"/>
      <c r="M336" s="468"/>
      <c r="N336" s="468"/>
      <c r="O336" s="468"/>
      <c r="P336" s="468"/>
      <c r="Q336" s="473"/>
      <c r="R336" s="477" t="str">
        <f>IF(AND(COUNTIF('Start Character'!$I$63:$M$77,"Twilight Prone")=1,NOT(ISERROR(FIND("Magical Botch",M336)))),"Yes",IF(P336&gt;1,"Yes","No"))</f>
        <v>No</v>
      </c>
      <c r="S336" s="501"/>
      <c r="T336" s="478"/>
      <c r="U336" s="501"/>
      <c r="V336" s="479" t="str">
        <f>IF(R336="No","No Twilight",IF(T336="Yes","Uncomprehended Twilight",IF((Character!$B$14+IF(Character!$B$53="Yes",0,Character!$B$53)+IF(Magic!$C$5="Yes",2,0)+ROUNDUP((Magic!$B$30+IF(Magic!$C$30="Yes",3,0))/5,0)+S336)&gt;=($D$3+P336+SUMIF(Character!$I$62:$I$66,"Enigmatic Wisdom",Character!$J$62:$J$66)+Q336+U336),"No Twilight","Twilight")))</f>
        <v>No Twilight</v>
      </c>
      <c r="W336" s="483"/>
      <c r="X336" s="478"/>
      <c r="Y336" s="484"/>
      <c r="Z336" s="478"/>
      <c r="AA336" s="485" t="str">
        <f>IF(V336="Uncomprehended Twilight","Failed",IF(OR(ISBLANK(W336),ISBLANK(Y336))," ",IF(NOT(ISBLANK(X336)),"Failed",IF((W336+Character!$B$9+SUMIF(Character!$I$62:$I$66,"Enigmatic Wisdom",Character!$J$62:$J$66))&gt;=IF(Z336="Yes",0,(Y336+D331)),"Succeeded","Failed"))))</f>
        <v xml:space="preserve"> </v>
      </c>
      <c r="AB336" s="477" t="str">
        <f>IF(AA336=" "," ",IF(NOT(ISBLANK(X336)),VLOOKUP($D$3+X336,Calcs!$A$110:$C$122,3,TRUE),IF(AA336="Failed",VLOOKUP($D$3,Calcs!$A$110:$C$122,3,TRUE),VLOOKUP($D$3-(IF((Character!$B$9+W336)&gt;($D$3+Y336),(Character!$B$9+W336)-($D$3+Y336),0)),Calcs!$A$110:$C$122,3,TRUE))))</f>
        <v xml:space="preserve"> </v>
      </c>
      <c r="AC336" s="489"/>
      <c r="AD336" s="489" t="str">
        <f>IF(IF(AA336=" "," ",IF(NOT(ISBLANK(X336)),VLOOKUP($D$3+X336,Calcs!$A$110:$B$122,2,TRUE),IF(AA336="Failed",VLOOKUP($D$3,Calcs!$A$110:$B$122,2,TRUE),VLOOKUP($D$3-(IF((Character!$B$9+W336)&gt;($D$3+Y336),(Character!$B$9+W336)-($D$3+Y336),0)),Calcs!$A$110:$B$122,2,TRUE))))=Calcs!$B$120,IF(ISBLANK(AC336)," ",CONCATENATE(AC336+7," Years")),IF(AA336=" "," ",IF(NOT(ISBLANK(X336)),VLOOKUP($D$3+X336,Calcs!$A$110:$B$122,2,TRUE),IF(AA336="Failed",VLOOKUP($D$3,Calcs!$A$110:$B$122,2,TRUE),VLOOKUP($D$3-(IF((Character!$B$9+W336)&gt;($D$3+Y336),(Character!$B$9+W336)-($D$3+Y336),0)),Calcs!$A$110:$B$122,2,TRUE)))))</f>
        <v xml:space="preserve"> </v>
      </c>
      <c r="AE336" s="490"/>
      <c r="AF336" s="879"/>
      <c r="AG336" s="491"/>
    </row>
    <row r="337" spans="1:33" x14ac:dyDescent="0.2">
      <c r="A337" s="415">
        <f t="shared" si="8"/>
        <v>1294</v>
      </c>
      <c r="B337" s="419" t="str">
        <f t="shared" si="9"/>
        <v>Spring</v>
      </c>
      <c r="C337" s="455"/>
      <c r="D337" s="504"/>
      <c r="E337" s="455"/>
      <c r="F337" s="504"/>
      <c r="G337" s="455"/>
      <c r="H337" s="504"/>
      <c r="I337" s="455"/>
      <c r="J337" s="504"/>
      <c r="L337" s="472"/>
      <c r="M337" s="468"/>
      <c r="N337" s="468"/>
      <c r="O337" s="468"/>
      <c r="P337" s="468"/>
      <c r="Q337" s="473"/>
      <c r="R337" s="477" t="str">
        <f>IF(AND(COUNTIF('Start Character'!$I$63:$M$77,"Twilight Prone")=1,NOT(ISERROR(FIND("Magical Botch",M337)))),"Yes",IF(P337&gt;1,"Yes","No"))</f>
        <v>No</v>
      </c>
      <c r="S337" s="501"/>
      <c r="T337" s="478"/>
      <c r="U337" s="501"/>
      <c r="V337" s="479" t="str">
        <f>IF(R337="No","No Twilight",IF(T337="Yes","Uncomprehended Twilight",IF((Character!$B$14+IF(Character!$B$53="Yes",0,Character!$B$53)+IF(Magic!$C$5="Yes",2,0)+ROUNDUP((Magic!$B$30+IF(Magic!$C$30="Yes",3,0))/5,0)+S337)&gt;=($D$3+P337+SUMIF(Character!$I$62:$I$66,"Enigmatic Wisdom",Character!$J$62:$J$66)+Q337+U337),"No Twilight","Twilight")))</f>
        <v>No Twilight</v>
      </c>
      <c r="W337" s="483"/>
      <c r="X337" s="478"/>
      <c r="Y337" s="484"/>
      <c r="Z337" s="478"/>
      <c r="AA337" s="485" t="str">
        <f>IF(V337="Uncomprehended Twilight","Failed",IF(OR(ISBLANK(W337),ISBLANK(Y337))," ",IF(NOT(ISBLANK(X337)),"Failed",IF((W337+Character!$B$9+SUMIF(Character!$I$62:$I$66,"Enigmatic Wisdom",Character!$J$62:$J$66))&gt;=IF(Z337="Yes",0,(Y337+D332)),"Succeeded","Failed"))))</f>
        <v xml:space="preserve"> </v>
      </c>
      <c r="AB337" s="477" t="str">
        <f>IF(AA337=" "," ",IF(NOT(ISBLANK(X337)),VLOOKUP($D$3+X337,Calcs!$A$110:$C$122,3,TRUE),IF(AA337="Failed",VLOOKUP($D$3,Calcs!$A$110:$C$122,3,TRUE),VLOOKUP($D$3-(IF((Character!$B$9+W337)&gt;($D$3+Y337),(Character!$B$9+W337)-($D$3+Y337),0)),Calcs!$A$110:$C$122,3,TRUE))))</f>
        <v xml:space="preserve"> </v>
      </c>
      <c r="AC337" s="489"/>
      <c r="AD337" s="489" t="str">
        <f>IF(IF(AA337=" "," ",IF(NOT(ISBLANK(X337)),VLOOKUP($D$3+X337,Calcs!$A$110:$B$122,2,TRUE),IF(AA337="Failed",VLOOKUP($D$3,Calcs!$A$110:$B$122,2,TRUE),VLOOKUP($D$3-(IF((Character!$B$9+W337)&gt;($D$3+Y337),(Character!$B$9+W337)-($D$3+Y337),0)),Calcs!$A$110:$B$122,2,TRUE))))=Calcs!$B$120,IF(ISBLANK(AC337)," ",CONCATENATE(AC337+7," Years")),IF(AA337=" "," ",IF(NOT(ISBLANK(X337)),VLOOKUP($D$3+X337,Calcs!$A$110:$B$122,2,TRUE),IF(AA337="Failed",VLOOKUP($D$3,Calcs!$A$110:$B$122,2,TRUE),VLOOKUP($D$3-(IF((Character!$B$9+W337)&gt;($D$3+Y337),(Character!$B$9+W337)-($D$3+Y337),0)),Calcs!$A$110:$B$122,2,TRUE)))))</f>
        <v xml:space="preserve"> </v>
      </c>
      <c r="AE337" s="490"/>
      <c r="AF337" s="879"/>
      <c r="AG337" s="491"/>
    </row>
    <row r="338" spans="1:33" x14ac:dyDescent="0.2">
      <c r="A338" s="415">
        <f t="shared" si="8"/>
        <v>1294</v>
      </c>
      <c r="B338" s="419" t="str">
        <f t="shared" si="9"/>
        <v>Summer</v>
      </c>
      <c r="C338" s="455"/>
      <c r="D338" s="504"/>
      <c r="E338" s="455"/>
      <c r="F338" s="504"/>
      <c r="G338" s="455"/>
      <c r="H338" s="504"/>
      <c r="I338" s="455"/>
      <c r="J338" s="504"/>
      <c r="L338" s="472"/>
      <c r="M338" s="468"/>
      <c r="N338" s="468"/>
      <c r="O338" s="468"/>
      <c r="P338" s="468"/>
      <c r="Q338" s="473"/>
      <c r="R338" s="477" t="str">
        <f>IF(AND(COUNTIF('Start Character'!$I$63:$M$77,"Twilight Prone")=1,NOT(ISERROR(FIND("Magical Botch",M338)))),"Yes",IF(P338&gt;1,"Yes","No"))</f>
        <v>No</v>
      </c>
      <c r="S338" s="501"/>
      <c r="T338" s="478"/>
      <c r="U338" s="501"/>
      <c r="V338" s="479" t="str">
        <f>IF(R338="No","No Twilight",IF(T338="Yes","Uncomprehended Twilight",IF((Character!$B$14+IF(Character!$B$53="Yes",0,Character!$B$53)+IF(Magic!$C$5="Yes",2,0)+ROUNDUP((Magic!$B$30+IF(Magic!$C$30="Yes",3,0))/5,0)+S338)&gt;=($D$3+P338+SUMIF(Character!$I$62:$I$66,"Enigmatic Wisdom",Character!$J$62:$J$66)+Q338+U338),"No Twilight","Twilight")))</f>
        <v>No Twilight</v>
      </c>
      <c r="W338" s="483"/>
      <c r="X338" s="478"/>
      <c r="Y338" s="484"/>
      <c r="Z338" s="478"/>
      <c r="AA338" s="485" t="str">
        <f>IF(V338="Uncomprehended Twilight","Failed",IF(OR(ISBLANK(W338),ISBLANK(Y338))," ",IF(NOT(ISBLANK(X338)),"Failed",IF((W338+Character!$B$9+SUMIF(Character!$I$62:$I$66,"Enigmatic Wisdom",Character!$J$62:$J$66))&gt;=IF(Z338="Yes",0,(Y338+D333)),"Succeeded","Failed"))))</f>
        <v xml:space="preserve"> </v>
      </c>
      <c r="AB338" s="477" t="str">
        <f>IF(AA338=" "," ",IF(NOT(ISBLANK(X338)),VLOOKUP($D$3+X338,Calcs!$A$110:$C$122,3,TRUE),IF(AA338="Failed",VLOOKUP($D$3,Calcs!$A$110:$C$122,3,TRUE),VLOOKUP($D$3-(IF((Character!$B$9+W338)&gt;($D$3+Y338),(Character!$B$9+W338)-($D$3+Y338),0)),Calcs!$A$110:$C$122,3,TRUE))))</f>
        <v xml:space="preserve"> </v>
      </c>
      <c r="AC338" s="489"/>
      <c r="AD338" s="489" t="str">
        <f>IF(IF(AA338=" "," ",IF(NOT(ISBLANK(X338)),VLOOKUP($D$3+X338,Calcs!$A$110:$B$122,2,TRUE),IF(AA338="Failed",VLOOKUP($D$3,Calcs!$A$110:$B$122,2,TRUE),VLOOKUP($D$3-(IF((Character!$B$9+W338)&gt;($D$3+Y338),(Character!$B$9+W338)-($D$3+Y338),0)),Calcs!$A$110:$B$122,2,TRUE))))=Calcs!$B$120,IF(ISBLANK(AC338)," ",CONCATENATE(AC338+7," Years")),IF(AA338=" "," ",IF(NOT(ISBLANK(X338)),VLOOKUP($D$3+X338,Calcs!$A$110:$B$122,2,TRUE),IF(AA338="Failed",VLOOKUP($D$3,Calcs!$A$110:$B$122,2,TRUE),VLOOKUP($D$3-(IF((Character!$B$9+W338)&gt;($D$3+Y338),(Character!$B$9+W338)-($D$3+Y338),0)),Calcs!$A$110:$B$122,2,TRUE)))))</f>
        <v xml:space="preserve"> </v>
      </c>
      <c r="AE338" s="490"/>
      <c r="AF338" s="879"/>
      <c r="AG338" s="491"/>
    </row>
    <row r="339" spans="1:33" x14ac:dyDescent="0.2">
      <c r="A339" s="415">
        <f t="shared" si="8"/>
        <v>1294</v>
      </c>
      <c r="B339" s="419" t="str">
        <f t="shared" si="9"/>
        <v>Autumn</v>
      </c>
      <c r="C339" s="455"/>
      <c r="D339" s="504"/>
      <c r="E339" s="455"/>
      <c r="F339" s="504"/>
      <c r="G339" s="455"/>
      <c r="H339" s="504"/>
      <c r="I339" s="455"/>
      <c r="J339" s="504"/>
      <c r="L339" s="472"/>
      <c r="M339" s="468"/>
      <c r="N339" s="468"/>
      <c r="O339" s="468"/>
      <c r="P339" s="468"/>
      <c r="Q339" s="473"/>
      <c r="R339" s="477" t="str">
        <f>IF(AND(COUNTIF('Start Character'!$I$63:$M$77,"Twilight Prone")=1,NOT(ISERROR(FIND("Magical Botch",M339)))),"Yes",IF(P339&gt;1,"Yes","No"))</f>
        <v>No</v>
      </c>
      <c r="S339" s="501"/>
      <c r="T339" s="478"/>
      <c r="U339" s="501"/>
      <c r="V339" s="479" t="str">
        <f>IF(R339="No","No Twilight",IF(T339="Yes","Uncomprehended Twilight",IF((Character!$B$14+IF(Character!$B$53="Yes",0,Character!$B$53)+IF(Magic!$C$5="Yes",2,0)+ROUNDUP((Magic!$B$30+IF(Magic!$C$30="Yes",3,0))/5,0)+S339)&gt;=($D$3+P339+SUMIF(Character!$I$62:$I$66,"Enigmatic Wisdom",Character!$J$62:$J$66)+Q339+U339),"No Twilight","Twilight")))</f>
        <v>No Twilight</v>
      </c>
      <c r="W339" s="483"/>
      <c r="X339" s="478"/>
      <c r="Y339" s="484"/>
      <c r="Z339" s="478"/>
      <c r="AA339" s="485" t="str">
        <f>IF(V339="Uncomprehended Twilight","Failed",IF(OR(ISBLANK(W339),ISBLANK(Y339))," ",IF(NOT(ISBLANK(X339)),"Failed",IF((W339+Character!$B$9+SUMIF(Character!$I$62:$I$66,"Enigmatic Wisdom",Character!$J$62:$J$66))&gt;=IF(Z339="Yes",0,(Y339+D334)),"Succeeded","Failed"))))</f>
        <v xml:space="preserve"> </v>
      </c>
      <c r="AB339" s="477" t="str">
        <f>IF(AA339=" "," ",IF(NOT(ISBLANK(X339)),VLOOKUP($D$3+X339,Calcs!$A$110:$C$122,3,TRUE),IF(AA339="Failed",VLOOKUP($D$3,Calcs!$A$110:$C$122,3,TRUE),VLOOKUP($D$3-(IF((Character!$B$9+W339)&gt;($D$3+Y339),(Character!$B$9+W339)-($D$3+Y339),0)),Calcs!$A$110:$C$122,3,TRUE))))</f>
        <v xml:space="preserve"> </v>
      </c>
      <c r="AC339" s="489"/>
      <c r="AD339" s="489" t="str">
        <f>IF(IF(AA339=" "," ",IF(NOT(ISBLANK(X339)),VLOOKUP($D$3+X339,Calcs!$A$110:$B$122,2,TRUE),IF(AA339="Failed",VLOOKUP($D$3,Calcs!$A$110:$B$122,2,TRUE),VLOOKUP($D$3-(IF((Character!$B$9+W339)&gt;($D$3+Y339),(Character!$B$9+W339)-($D$3+Y339),0)),Calcs!$A$110:$B$122,2,TRUE))))=Calcs!$B$120,IF(ISBLANK(AC339)," ",CONCATENATE(AC339+7," Years")),IF(AA339=" "," ",IF(NOT(ISBLANK(X339)),VLOOKUP($D$3+X339,Calcs!$A$110:$B$122,2,TRUE),IF(AA339="Failed",VLOOKUP($D$3,Calcs!$A$110:$B$122,2,TRUE),VLOOKUP($D$3-(IF((Character!$B$9+W339)&gt;($D$3+Y339),(Character!$B$9+W339)-($D$3+Y339),0)),Calcs!$A$110:$B$122,2,TRUE)))))</f>
        <v xml:space="preserve"> </v>
      </c>
      <c r="AE339" s="490"/>
      <c r="AF339" s="879"/>
      <c r="AG339" s="491"/>
    </row>
    <row r="340" spans="1:33" x14ac:dyDescent="0.2">
      <c r="A340" s="415">
        <f t="shared" si="8"/>
        <v>1295</v>
      </c>
      <c r="B340" s="419" t="str">
        <f t="shared" si="9"/>
        <v>Winter</v>
      </c>
      <c r="C340" s="455"/>
      <c r="D340" s="504"/>
      <c r="E340" s="455"/>
      <c r="F340" s="504"/>
      <c r="G340" s="455"/>
      <c r="H340" s="504"/>
      <c r="I340" s="455"/>
      <c r="J340" s="504"/>
      <c r="L340" s="472"/>
      <c r="M340" s="468"/>
      <c r="N340" s="468"/>
      <c r="O340" s="468"/>
      <c r="P340" s="468"/>
      <c r="Q340" s="473"/>
      <c r="R340" s="477" t="str">
        <f>IF(AND(COUNTIF('Start Character'!$I$63:$M$77,"Twilight Prone")=1,NOT(ISERROR(FIND("Magical Botch",M340)))),"Yes",IF(P340&gt;1,"Yes","No"))</f>
        <v>No</v>
      </c>
      <c r="S340" s="501"/>
      <c r="T340" s="478"/>
      <c r="U340" s="501"/>
      <c r="V340" s="479" t="str">
        <f>IF(R340="No","No Twilight",IF(T340="Yes","Uncomprehended Twilight",IF((Character!$B$14+IF(Character!$B$53="Yes",0,Character!$B$53)+IF(Magic!$C$5="Yes",2,0)+ROUNDUP((Magic!$B$30+IF(Magic!$C$30="Yes",3,0))/5,0)+S340)&gt;=($D$3+P340+SUMIF(Character!$I$62:$I$66,"Enigmatic Wisdom",Character!$J$62:$J$66)+Q340+U340),"No Twilight","Twilight")))</f>
        <v>No Twilight</v>
      </c>
      <c r="W340" s="483"/>
      <c r="X340" s="478"/>
      <c r="Y340" s="484"/>
      <c r="Z340" s="478"/>
      <c r="AA340" s="485" t="str">
        <f>IF(V340="Uncomprehended Twilight","Failed",IF(OR(ISBLANK(W340),ISBLANK(Y340))," ",IF(NOT(ISBLANK(X340)),"Failed",IF((W340+Character!$B$9+SUMIF(Character!$I$62:$I$66,"Enigmatic Wisdom",Character!$J$62:$J$66))&gt;=IF(Z340="Yes",0,(Y340+D335)),"Succeeded","Failed"))))</f>
        <v xml:space="preserve"> </v>
      </c>
      <c r="AB340" s="477" t="str">
        <f>IF(AA340=" "," ",IF(NOT(ISBLANK(X340)),VLOOKUP($D$3+X340,Calcs!$A$110:$C$122,3,TRUE),IF(AA340="Failed",VLOOKUP($D$3,Calcs!$A$110:$C$122,3,TRUE),VLOOKUP($D$3-(IF((Character!$B$9+W340)&gt;($D$3+Y340),(Character!$B$9+W340)-($D$3+Y340),0)),Calcs!$A$110:$C$122,3,TRUE))))</f>
        <v xml:space="preserve"> </v>
      </c>
      <c r="AC340" s="489"/>
      <c r="AD340" s="489" t="str">
        <f>IF(IF(AA340=" "," ",IF(NOT(ISBLANK(X340)),VLOOKUP($D$3+X340,Calcs!$A$110:$B$122,2,TRUE),IF(AA340="Failed",VLOOKUP($D$3,Calcs!$A$110:$B$122,2,TRUE),VLOOKUP($D$3-(IF((Character!$B$9+W340)&gt;($D$3+Y340),(Character!$B$9+W340)-($D$3+Y340),0)),Calcs!$A$110:$B$122,2,TRUE))))=Calcs!$B$120,IF(ISBLANK(AC340)," ",CONCATENATE(AC340+7," Years")),IF(AA340=" "," ",IF(NOT(ISBLANK(X340)),VLOOKUP($D$3+X340,Calcs!$A$110:$B$122,2,TRUE),IF(AA340="Failed",VLOOKUP($D$3,Calcs!$A$110:$B$122,2,TRUE),VLOOKUP($D$3-(IF((Character!$B$9+W340)&gt;($D$3+Y340),(Character!$B$9+W340)-($D$3+Y340),0)),Calcs!$A$110:$B$122,2,TRUE)))))</f>
        <v xml:space="preserve"> </v>
      </c>
      <c r="AE340" s="490"/>
      <c r="AF340" s="879"/>
      <c r="AG340" s="491"/>
    </row>
    <row r="341" spans="1:33" x14ac:dyDescent="0.2">
      <c r="A341" s="415">
        <f t="shared" si="8"/>
        <v>1295</v>
      </c>
      <c r="B341" s="419" t="str">
        <f t="shared" si="9"/>
        <v>Spring</v>
      </c>
      <c r="C341" s="455"/>
      <c r="D341" s="504"/>
      <c r="E341" s="455"/>
      <c r="F341" s="504"/>
      <c r="G341" s="455"/>
      <c r="H341" s="504"/>
      <c r="I341" s="455"/>
      <c r="J341" s="504"/>
      <c r="L341" s="472"/>
      <c r="M341" s="468"/>
      <c r="N341" s="468"/>
      <c r="O341" s="468"/>
      <c r="P341" s="468"/>
      <c r="Q341" s="473"/>
      <c r="R341" s="477" t="str">
        <f>IF(AND(COUNTIF('Start Character'!$I$63:$M$77,"Twilight Prone")=1,NOT(ISERROR(FIND("Magical Botch",M341)))),"Yes",IF(P341&gt;1,"Yes","No"))</f>
        <v>No</v>
      </c>
      <c r="S341" s="501"/>
      <c r="T341" s="478"/>
      <c r="U341" s="501"/>
      <c r="V341" s="479" t="str">
        <f>IF(R341="No","No Twilight",IF(T341="Yes","Uncomprehended Twilight",IF((Character!$B$14+IF(Character!$B$53="Yes",0,Character!$B$53)+IF(Magic!$C$5="Yes",2,0)+ROUNDUP((Magic!$B$30+IF(Magic!$C$30="Yes",3,0))/5,0)+S341)&gt;=($D$3+P341+SUMIF(Character!$I$62:$I$66,"Enigmatic Wisdom",Character!$J$62:$J$66)+Q341+U341),"No Twilight","Twilight")))</f>
        <v>No Twilight</v>
      </c>
      <c r="W341" s="483"/>
      <c r="X341" s="478"/>
      <c r="Y341" s="484"/>
      <c r="Z341" s="478"/>
      <c r="AA341" s="485" t="str">
        <f>IF(V341="Uncomprehended Twilight","Failed",IF(OR(ISBLANK(W341),ISBLANK(Y341))," ",IF(NOT(ISBLANK(X341)),"Failed",IF((W341+Character!$B$9+SUMIF(Character!$I$62:$I$66,"Enigmatic Wisdom",Character!$J$62:$J$66))&gt;=IF(Z341="Yes",0,(Y341+D336)),"Succeeded","Failed"))))</f>
        <v xml:space="preserve"> </v>
      </c>
      <c r="AB341" s="477" t="str">
        <f>IF(AA341=" "," ",IF(NOT(ISBLANK(X341)),VLOOKUP($D$3+X341,Calcs!$A$110:$C$122,3,TRUE),IF(AA341="Failed",VLOOKUP($D$3,Calcs!$A$110:$C$122,3,TRUE),VLOOKUP($D$3-(IF((Character!$B$9+W341)&gt;($D$3+Y341),(Character!$B$9+W341)-($D$3+Y341),0)),Calcs!$A$110:$C$122,3,TRUE))))</f>
        <v xml:space="preserve"> </v>
      </c>
      <c r="AC341" s="489"/>
      <c r="AD341" s="489" t="str">
        <f>IF(IF(AA341=" "," ",IF(NOT(ISBLANK(X341)),VLOOKUP($D$3+X341,Calcs!$A$110:$B$122,2,TRUE),IF(AA341="Failed",VLOOKUP($D$3,Calcs!$A$110:$B$122,2,TRUE),VLOOKUP($D$3-(IF((Character!$B$9+W341)&gt;($D$3+Y341),(Character!$B$9+W341)-($D$3+Y341),0)),Calcs!$A$110:$B$122,2,TRUE))))=Calcs!$B$120,IF(ISBLANK(AC341)," ",CONCATENATE(AC341+7," Years")),IF(AA341=" "," ",IF(NOT(ISBLANK(X341)),VLOOKUP($D$3+X341,Calcs!$A$110:$B$122,2,TRUE),IF(AA341="Failed",VLOOKUP($D$3,Calcs!$A$110:$B$122,2,TRUE),VLOOKUP($D$3-(IF((Character!$B$9+W341)&gt;($D$3+Y341),(Character!$B$9+W341)-($D$3+Y341),0)),Calcs!$A$110:$B$122,2,TRUE)))))</f>
        <v xml:space="preserve"> </v>
      </c>
      <c r="AE341" s="490"/>
      <c r="AF341" s="879"/>
      <c r="AG341" s="491"/>
    </row>
    <row r="342" spans="1:33" x14ac:dyDescent="0.2">
      <c r="A342" s="415">
        <f t="shared" si="8"/>
        <v>1295</v>
      </c>
      <c r="B342" s="419" t="str">
        <f t="shared" si="9"/>
        <v>Summer</v>
      </c>
      <c r="C342" s="455"/>
      <c r="D342" s="504"/>
      <c r="E342" s="455"/>
      <c r="F342" s="504"/>
      <c r="G342" s="455"/>
      <c r="H342" s="504"/>
      <c r="I342" s="455"/>
      <c r="J342" s="504"/>
      <c r="L342" s="472"/>
      <c r="M342" s="468"/>
      <c r="N342" s="468"/>
      <c r="O342" s="468"/>
      <c r="P342" s="468"/>
      <c r="Q342" s="473"/>
      <c r="R342" s="477" t="str">
        <f>IF(AND(COUNTIF('Start Character'!$I$63:$M$77,"Twilight Prone")=1,NOT(ISERROR(FIND("Magical Botch",M342)))),"Yes",IF(P342&gt;1,"Yes","No"))</f>
        <v>No</v>
      </c>
      <c r="S342" s="501"/>
      <c r="T342" s="478"/>
      <c r="U342" s="501"/>
      <c r="V342" s="479" t="str">
        <f>IF(R342="No","No Twilight",IF(T342="Yes","Uncomprehended Twilight",IF((Character!$B$14+IF(Character!$B$53="Yes",0,Character!$B$53)+IF(Magic!$C$5="Yes",2,0)+ROUNDUP((Magic!$B$30+IF(Magic!$C$30="Yes",3,0))/5,0)+S342)&gt;=($D$3+P342+SUMIF(Character!$I$62:$I$66,"Enigmatic Wisdom",Character!$J$62:$J$66)+Q342+U342),"No Twilight","Twilight")))</f>
        <v>No Twilight</v>
      </c>
      <c r="W342" s="483"/>
      <c r="X342" s="478"/>
      <c r="Y342" s="484"/>
      <c r="Z342" s="478"/>
      <c r="AA342" s="485" t="str">
        <f>IF(V342="Uncomprehended Twilight","Failed",IF(OR(ISBLANK(W342),ISBLANK(Y342))," ",IF(NOT(ISBLANK(X342)),"Failed",IF((W342+Character!$B$9+SUMIF(Character!$I$62:$I$66,"Enigmatic Wisdom",Character!$J$62:$J$66))&gt;=IF(Z342="Yes",0,(Y342+D337)),"Succeeded","Failed"))))</f>
        <v xml:space="preserve"> </v>
      </c>
      <c r="AB342" s="477" t="str">
        <f>IF(AA342=" "," ",IF(NOT(ISBLANK(X342)),VLOOKUP($D$3+X342,Calcs!$A$110:$C$122,3,TRUE),IF(AA342="Failed",VLOOKUP($D$3,Calcs!$A$110:$C$122,3,TRUE),VLOOKUP($D$3-(IF((Character!$B$9+W342)&gt;($D$3+Y342),(Character!$B$9+W342)-($D$3+Y342),0)),Calcs!$A$110:$C$122,3,TRUE))))</f>
        <v xml:space="preserve"> </v>
      </c>
      <c r="AC342" s="489"/>
      <c r="AD342" s="489" t="str">
        <f>IF(IF(AA342=" "," ",IF(NOT(ISBLANK(X342)),VLOOKUP($D$3+X342,Calcs!$A$110:$B$122,2,TRUE),IF(AA342="Failed",VLOOKUP($D$3,Calcs!$A$110:$B$122,2,TRUE),VLOOKUP($D$3-(IF((Character!$B$9+W342)&gt;($D$3+Y342),(Character!$B$9+W342)-($D$3+Y342),0)),Calcs!$A$110:$B$122,2,TRUE))))=Calcs!$B$120,IF(ISBLANK(AC342)," ",CONCATENATE(AC342+7," Years")),IF(AA342=" "," ",IF(NOT(ISBLANK(X342)),VLOOKUP($D$3+X342,Calcs!$A$110:$B$122,2,TRUE),IF(AA342="Failed",VLOOKUP($D$3,Calcs!$A$110:$B$122,2,TRUE),VLOOKUP($D$3-(IF((Character!$B$9+W342)&gt;($D$3+Y342),(Character!$B$9+W342)-($D$3+Y342),0)),Calcs!$A$110:$B$122,2,TRUE)))))</f>
        <v xml:space="preserve"> </v>
      </c>
      <c r="AE342" s="490"/>
      <c r="AF342" s="879"/>
      <c r="AG342" s="491"/>
    </row>
    <row r="343" spans="1:33" x14ac:dyDescent="0.2">
      <c r="A343" s="415">
        <f t="shared" si="8"/>
        <v>1295</v>
      </c>
      <c r="B343" s="419" t="str">
        <f t="shared" si="9"/>
        <v>Autumn</v>
      </c>
      <c r="C343" s="455"/>
      <c r="D343" s="504"/>
      <c r="E343" s="455"/>
      <c r="F343" s="504"/>
      <c r="G343" s="455"/>
      <c r="H343" s="504"/>
      <c r="I343" s="455"/>
      <c r="J343" s="504"/>
      <c r="L343" s="472"/>
      <c r="M343" s="468"/>
      <c r="N343" s="468"/>
      <c r="O343" s="468"/>
      <c r="P343" s="468"/>
      <c r="Q343" s="473"/>
      <c r="R343" s="477" t="str">
        <f>IF(AND(COUNTIF('Start Character'!$I$63:$M$77,"Twilight Prone")=1,NOT(ISERROR(FIND("Magical Botch",M343)))),"Yes",IF(P343&gt;1,"Yes","No"))</f>
        <v>No</v>
      </c>
      <c r="S343" s="501"/>
      <c r="T343" s="478"/>
      <c r="U343" s="501"/>
      <c r="V343" s="479" t="str">
        <f>IF(R343="No","No Twilight",IF(T343="Yes","Uncomprehended Twilight",IF((Character!$B$14+IF(Character!$B$53="Yes",0,Character!$B$53)+IF(Magic!$C$5="Yes",2,0)+ROUNDUP((Magic!$B$30+IF(Magic!$C$30="Yes",3,0))/5,0)+S343)&gt;=($D$3+P343+SUMIF(Character!$I$62:$I$66,"Enigmatic Wisdom",Character!$J$62:$J$66)+Q343+U343),"No Twilight","Twilight")))</f>
        <v>No Twilight</v>
      </c>
      <c r="W343" s="483"/>
      <c r="X343" s="478"/>
      <c r="Y343" s="484"/>
      <c r="Z343" s="478"/>
      <c r="AA343" s="485" t="str">
        <f>IF(V343="Uncomprehended Twilight","Failed",IF(OR(ISBLANK(W343),ISBLANK(Y343))," ",IF(NOT(ISBLANK(X343)),"Failed",IF((W343+Character!$B$9+SUMIF(Character!$I$62:$I$66,"Enigmatic Wisdom",Character!$J$62:$J$66))&gt;=IF(Z343="Yes",0,(Y343+D338)),"Succeeded","Failed"))))</f>
        <v xml:space="preserve"> </v>
      </c>
      <c r="AB343" s="477" t="str">
        <f>IF(AA343=" "," ",IF(NOT(ISBLANK(X343)),VLOOKUP($D$3+X343,Calcs!$A$110:$C$122,3,TRUE),IF(AA343="Failed",VLOOKUP($D$3,Calcs!$A$110:$C$122,3,TRUE),VLOOKUP($D$3-(IF((Character!$B$9+W343)&gt;($D$3+Y343),(Character!$B$9+W343)-($D$3+Y343),0)),Calcs!$A$110:$C$122,3,TRUE))))</f>
        <v xml:space="preserve"> </v>
      </c>
      <c r="AC343" s="489"/>
      <c r="AD343" s="489" t="str">
        <f>IF(IF(AA343=" "," ",IF(NOT(ISBLANK(X343)),VLOOKUP($D$3+X343,Calcs!$A$110:$B$122,2,TRUE),IF(AA343="Failed",VLOOKUP($D$3,Calcs!$A$110:$B$122,2,TRUE),VLOOKUP($D$3-(IF((Character!$B$9+W343)&gt;($D$3+Y343),(Character!$B$9+W343)-($D$3+Y343),0)),Calcs!$A$110:$B$122,2,TRUE))))=Calcs!$B$120,IF(ISBLANK(AC343)," ",CONCATENATE(AC343+7," Years")),IF(AA343=" "," ",IF(NOT(ISBLANK(X343)),VLOOKUP($D$3+X343,Calcs!$A$110:$B$122,2,TRUE),IF(AA343="Failed",VLOOKUP($D$3,Calcs!$A$110:$B$122,2,TRUE),VLOOKUP($D$3-(IF((Character!$B$9+W343)&gt;($D$3+Y343),(Character!$B$9+W343)-($D$3+Y343),0)),Calcs!$A$110:$B$122,2,TRUE)))))</f>
        <v xml:space="preserve"> </v>
      </c>
      <c r="AE343" s="490"/>
      <c r="AF343" s="879"/>
      <c r="AG343" s="491"/>
    </row>
    <row r="344" spans="1:33" x14ac:dyDescent="0.2">
      <c r="A344" s="415">
        <f t="shared" si="8"/>
        <v>1296</v>
      </c>
      <c r="B344" s="419" t="str">
        <f t="shared" si="9"/>
        <v>Winter</v>
      </c>
      <c r="C344" s="455"/>
      <c r="D344" s="504"/>
      <c r="E344" s="455"/>
      <c r="F344" s="504"/>
      <c r="G344" s="455"/>
      <c r="H344" s="504"/>
      <c r="I344" s="455"/>
      <c r="J344" s="504"/>
      <c r="L344" s="472"/>
      <c r="M344" s="468"/>
      <c r="N344" s="468"/>
      <c r="O344" s="468"/>
      <c r="P344" s="468"/>
      <c r="Q344" s="473"/>
      <c r="R344" s="477" t="str">
        <f>IF(AND(COUNTIF('Start Character'!$I$63:$M$77,"Twilight Prone")=1,NOT(ISERROR(FIND("Magical Botch",M344)))),"Yes",IF(P344&gt;1,"Yes","No"))</f>
        <v>No</v>
      </c>
      <c r="S344" s="501"/>
      <c r="T344" s="478"/>
      <c r="U344" s="501"/>
      <c r="V344" s="479" t="str">
        <f>IF(R344="No","No Twilight",IF(T344="Yes","Uncomprehended Twilight",IF((Character!$B$14+IF(Character!$B$53="Yes",0,Character!$B$53)+IF(Magic!$C$5="Yes",2,0)+ROUNDUP((Magic!$B$30+IF(Magic!$C$30="Yes",3,0))/5,0)+S344)&gt;=($D$3+P344+SUMIF(Character!$I$62:$I$66,"Enigmatic Wisdom",Character!$J$62:$J$66)+Q344+U344),"No Twilight","Twilight")))</f>
        <v>No Twilight</v>
      </c>
      <c r="W344" s="483"/>
      <c r="X344" s="478"/>
      <c r="Y344" s="484"/>
      <c r="Z344" s="478"/>
      <c r="AA344" s="485" t="str">
        <f>IF(V344="Uncomprehended Twilight","Failed",IF(OR(ISBLANK(W344),ISBLANK(Y344))," ",IF(NOT(ISBLANK(X344)),"Failed",IF((W344+Character!$B$9+SUMIF(Character!$I$62:$I$66,"Enigmatic Wisdom",Character!$J$62:$J$66))&gt;=IF(Z344="Yes",0,(Y344+D339)),"Succeeded","Failed"))))</f>
        <v xml:space="preserve"> </v>
      </c>
      <c r="AB344" s="477" t="str">
        <f>IF(AA344=" "," ",IF(NOT(ISBLANK(X344)),VLOOKUP($D$3+X344,Calcs!$A$110:$C$122,3,TRUE),IF(AA344="Failed",VLOOKUP($D$3,Calcs!$A$110:$C$122,3,TRUE),VLOOKUP($D$3-(IF((Character!$B$9+W344)&gt;($D$3+Y344),(Character!$B$9+W344)-($D$3+Y344),0)),Calcs!$A$110:$C$122,3,TRUE))))</f>
        <v xml:space="preserve"> </v>
      </c>
      <c r="AC344" s="489"/>
      <c r="AD344" s="489" t="str">
        <f>IF(IF(AA344=" "," ",IF(NOT(ISBLANK(X344)),VLOOKUP($D$3+X344,Calcs!$A$110:$B$122,2,TRUE),IF(AA344="Failed",VLOOKUP($D$3,Calcs!$A$110:$B$122,2,TRUE),VLOOKUP($D$3-(IF((Character!$B$9+W344)&gt;($D$3+Y344),(Character!$B$9+W344)-($D$3+Y344),0)),Calcs!$A$110:$B$122,2,TRUE))))=Calcs!$B$120,IF(ISBLANK(AC344)," ",CONCATENATE(AC344+7," Years")),IF(AA344=" "," ",IF(NOT(ISBLANK(X344)),VLOOKUP($D$3+X344,Calcs!$A$110:$B$122,2,TRUE),IF(AA344="Failed",VLOOKUP($D$3,Calcs!$A$110:$B$122,2,TRUE),VLOOKUP($D$3-(IF((Character!$B$9+W344)&gt;($D$3+Y344),(Character!$B$9+W344)-($D$3+Y344),0)),Calcs!$A$110:$B$122,2,TRUE)))))</f>
        <v xml:space="preserve"> </v>
      </c>
      <c r="AE344" s="490"/>
      <c r="AF344" s="879"/>
      <c r="AG344" s="491"/>
    </row>
    <row r="345" spans="1:33" x14ac:dyDescent="0.2">
      <c r="A345" s="415">
        <f t="shared" si="8"/>
        <v>1296</v>
      </c>
      <c r="B345" s="419" t="str">
        <f t="shared" si="9"/>
        <v>Spring</v>
      </c>
      <c r="C345" s="455"/>
      <c r="D345" s="504"/>
      <c r="E345" s="455"/>
      <c r="F345" s="504"/>
      <c r="G345" s="455"/>
      <c r="H345" s="504"/>
      <c r="I345" s="455"/>
      <c r="J345" s="504"/>
      <c r="L345" s="472"/>
      <c r="M345" s="468"/>
      <c r="N345" s="468"/>
      <c r="O345" s="468"/>
      <c r="P345" s="468"/>
      <c r="Q345" s="473"/>
      <c r="R345" s="477" t="str">
        <f>IF(AND(COUNTIF('Start Character'!$I$63:$M$77,"Twilight Prone")=1,NOT(ISERROR(FIND("Magical Botch",M345)))),"Yes",IF(P345&gt;1,"Yes","No"))</f>
        <v>No</v>
      </c>
      <c r="S345" s="501"/>
      <c r="T345" s="478"/>
      <c r="U345" s="501"/>
      <c r="V345" s="479" t="str">
        <f>IF(R345="No","No Twilight",IF(T345="Yes","Uncomprehended Twilight",IF((Character!$B$14+IF(Character!$B$53="Yes",0,Character!$B$53)+IF(Magic!$C$5="Yes",2,0)+ROUNDUP((Magic!$B$30+IF(Magic!$C$30="Yes",3,0))/5,0)+S345)&gt;=($D$3+P345+SUMIF(Character!$I$62:$I$66,"Enigmatic Wisdom",Character!$J$62:$J$66)+Q345+U345),"No Twilight","Twilight")))</f>
        <v>No Twilight</v>
      </c>
      <c r="W345" s="483"/>
      <c r="X345" s="478"/>
      <c r="Y345" s="484"/>
      <c r="Z345" s="478"/>
      <c r="AA345" s="485" t="str">
        <f>IF(V345="Uncomprehended Twilight","Failed",IF(OR(ISBLANK(W345),ISBLANK(Y345))," ",IF(NOT(ISBLANK(X345)),"Failed",IF((W345+Character!$B$9+SUMIF(Character!$I$62:$I$66,"Enigmatic Wisdom",Character!$J$62:$J$66))&gt;=IF(Z345="Yes",0,(Y345+D340)),"Succeeded","Failed"))))</f>
        <v xml:space="preserve"> </v>
      </c>
      <c r="AB345" s="477" t="str">
        <f>IF(AA345=" "," ",IF(NOT(ISBLANK(X345)),VLOOKUP($D$3+X345,Calcs!$A$110:$C$122,3,TRUE),IF(AA345="Failed",VLOOKUP($D$3,Calcs!$A$110:$C$122,3,TRUE),VLOOKUP($D$3-(IF((Character!$B$9+W345)&gt;($D$3+Y345),(Character!$B$9+W345)-($D$3+Y345),0)),Calcs!$A$110:$C$122,3,TRUE))))</f>
        <v xml:space="preserve"> </v>
      </c>
      <c r="AC345" s="489"/>
      <c r="AD345" s="489" t="str">
        <f>IF(IF(AA345=" "," ",IF(NOT(ISBLANK(X345)),VLOOKUP($D$3+X345,Calcs!$A$110:$B$122,2,TRUE),IF(AA345="Failed",VLOOKUP($D$3,Calcs!$A$110:$B$122,2,TRUE),VLOOKUP($D$3-(IF((Character!$B$9+W345)&gt;($D$3+Y345),(Character!$B$9+W345)-($D$3+Y345),0)),Calcs!$A$110:$B$122,2,TRUE))))=Calcs!$B$120,IF(ISBLANK(AC345)," ",CONCATENATE(AC345+7," Years")),IF(AA345=" "," ",IF(NOT(ISBLANK(X345)),VLOOKUP($D$3+X345,Calcs!$A$110:$B$122,2,TRUE),IF(AA345="Failed",VLOOKUP($D$3,Calcs!$A$110:$B$122,2,TRUE),VLOOKUP($D$3-(IF((Character!$B$9+W345)&gt;($D$3+Y345),(Character!$B$9+W345)-($D$3+Y345),0)),Calcs!$A$110:$B$122,2,TRUE)))))</f>
        <v xml:space="preserve"> </v>
      </c>
      <c r="AE345" s="490"/>
      <c r="AF345" s="879"/>
      <c r="AG345" s="491"/>
    </row>
    <row r="346" spans="1:33" x14ac:dyDescent="0.2">
      <c r="A346" s="415">
        <f t="shared" si="8"/>
        <v>1296</v>
      </c>
      <c r="B346" s="419" t="str">
        <f t="shared" si="9"/>
        <v>Summer</v>
      </c>
      <c r="C346" s="455"/>
      <c r="D346" s="504"/>
      <c r="E346" s="455"/>
      <c r="F346" s="504"/>
      <c r="G346" s="455"/>
      <c r="H346" s="504"/>
      <c r="I346" s="455"/>
      <c r="J346" s="504"/>
      <c r="L346" s="472"/>
      <c r="M346" s="468"/>
      <c r="N346" s="468"/>
      <c r="O346" s="468"/>
      <c r="P346" s="468"/>
      <c r="Q346" s="473"/>
      <c r="R346" s="477" t="str">
        <f>IF(AND(COUNTIF('Start Character'!$I$63:$M$77,"Twilight Prone")=1,NOT(ISERROR(FIND("Magical Botch",M346)))),"Yes",IF(P346&gt;1,"Yes","No"))</f>
        <v>No</v>
      </c>
      <c r="S346" s="501"/>
      <c r="T346" s="478"/>
      <c r="U346" s="501"/>
      <c r="V346" s="479" t="str">
        <f>IF(R346="No","No Twilight",IF(T346="Yes","Uncomprehended Twilight",IF((Character!$B$14+IF(Character!$B$53="Yes",0,Character!$B$53)+IF(Magic!$C$5="Yes",2,0)+ROUNDUP((Magic!$B$30+IF(Magic!$C$30="Yes",3,0))/5,0)+S346)&gt;=($D$3+P346+SUMIF(Character!$I$62:$I$66,"Enigmatic Wisdom",Character!$J$62:$J$66)+Q346+U346),"No Twilight","Twilight")))</f>
        <v>No Twilight</v>
      </c>
      <c r="W346" s="483"/>
      <c r="X346" s="478"/>
      <c r="Y346" s="484"/>
      <c r="Z346" s="478"/>
      <c r="AA346" s="485" t="str">
        <f>IF(V346="Uncomprehended Twilight","Failed",IF(OR(ISBLANK(W346),ISBLANK(Y346))," ",IF(NOT(ISBLANK(X346)),"Failed",IF((W346+Character!$B$9+SUMIF(Character!$I$62:$I$66,"Enigmatic Wisdom",Character!$J$62:$J$66))&gt;=IF(Z346="Yes",0,(Y346+D341)),"Succeeded","Failed"))))</f>
        <v xml:space="preserve"> </v>
      </c>
      <c r="AB346" s="477" t="str">
        <f>IF(AA346=" "," ",IF(NOT(ISBLANK(X346)),VLOOKUP($D$3+X346,Calcs!$A$110:$C$122,3,TRUE),IF(AA346="Failed",VLOOKUP($D$3,Calcs!$A$110:$C$122,3,TRUE),VLOOKUP($D$3-(IF((Character!$B$9+W346)&gt;($D$3+Y346),(Character!$B$9+W346)-($D$3+Y346),0)),Calcs!$A$110:$C$122,3,TRUE))))</f>
        <v xml:space="preserve"> </v>
      </c>
      <c r="AC346" s="489"/>
      <c r="AD346" s="489" t="str">
        <f>IF(IF(AA346=" "," ",IF(NOT(ISBLANK(X346)),VLOOKUP($D$3+X346,Calcs!$A$110:$B$122,2,TRUE),IF(AA346="Failed",VLOOKUP($D$3,Calcs!$A$110:$B$122,2,TRUE),VLOOKUP($D$3-(IF((Character!$B$9+W346)&gt;($D$3+Y346),(Character!$B$9+W346)-($D$3+Y346),0)),Calcs!$A$110:$B$122,2,TRUE))))=Calcs!$B$120,IF(ISBLANK(AC346)," ",CONCATENATE(AC346+7," Years")),IF(AA346=" "," ",IF(NOT(ISBLANK(X346)),VLOOKUP($D$3+X346,Calcs!$A$110:$B$122,2,TRUE),IF(AA346="Failed",VLOOKUP($D$3,Calcs!$A$110:$B$122,2,TRUE),VLOOKUP($D$3-(IF((Character!$B$9+W346)&gt;($D$3+Y346),(Character!$B$9+W346)-($D$3+Y346),0)),Calcs!$A$110:$B$122,2,TRUE)))))</f>
        <v xml:space="preserve"> </v>
      </c>
      <c r="AE346" s="490"/>
      <c r="AF346" s="879"/>
      <c r="AG346" s="491"/>
    </row>
    <row r="347" spans="1:33" x14ac:dyDescent="0.2">
      <c r="A347" s="415">
        <f t="shared" si="8"/>
        <v>1296</v>
      </c>
      <c r="B347" s="419" t="str">
        <f t="shared" si="9"/>
        <v>Autumn</v>
      </c>
      <c r="C347" s="455"/>
      <c r="D347" s="504"/>
      <c r="E347" s="455"/>
      <c r="F347" s="504"/>
      <c r="G347" s="455"/>
      <c r="H347" s="504"/>
      <c r="I347" s="455"/>
      <c r="J347" s="504"/>
      <c r="L347" s="472"/>
      <c r="M347" s="468"/>
      <c r="N347" s="468"/>
      <c r="O347" s="468"/>
      <c r="P347" s="468"/>
      <c r="Q347" s="473"/>
      <c r="R347" s="477" t="str">
        <f>IF(AND(COUNTIF('Start Character'!$I$63:$M$77,"Twilight Prone")=1,NOT(ISERROR(FIND("Magical Botch",M347)))),"Yes",IF(P347&gt;1,"Yes","No"))</f>
        <v>No</v>
      </c>
      <c r="S347" s="501"/>
      <c r="T347" s="478"/>
      <c r="U347" s="501"/>
      <c r="V347" s="479" t="str">
        <f>IF(R347="No","No Twilight",IF(T347="Yes","Uncomprehended Twilight",IF((Character!$B$14+IF(Character!$B$53="Yes",0,Character!$B$53)+IF(Magic!$C$5="Yes",2,0)+ROUNDUP((Magic!$B$30+IF(Magic!$C$30="Yes",3,0))/5,0)+S347)&gt;=($D$3+P347+SUMIF(Character!$I$62:$I$66,"Enigmatic Wisdom",Character!$J$62:$J$66)+Q347+U347),"No Twilight","Twilight")))</f>
        <v>No Twilight</v>
      </c>
      <c r="W347" s="483"/>
      <c r="X347" s="478"/>
      <c r="Y347" s="484"/>
      <c r="Z347" s="478"/>
      <c r="AA347" s="485" t="str">
        <f>IF(V347="Uncomprehended Twilight","Failed",IF(OR(ISBLANK(W347),ISBLANK(Y347))," ",IF(NOT(ISBLANK(X347)),"Failed",IF((W347+Character!$B$9+SUMIF(Character!$I$62:$I$66,"Enigmatic Wisdom",Character!$J$62:$J$66))&gt;=IF(Z347="Yes",0,(Y347+D342)),"Succeeded","Failed"))))</f>
        <v xml:space="preserve"> </v>
      </c>
      <c r="AB347" s="477" t="str">
        <f>IF(AA347=" "," ",IF(NOT(ISBLANK(X347)),VLOOKUP($D$3+X347,Calcs!$A$110:$C$122,3,TRUE),IF(AA347="Failed",VLOOKUP($D$3,Calcs!$A$110:$C$122,3,TRUE),VLOOKUP($D$3-(IF((Character!$B$9+W347)&gt;($D$3+Y347),(Character!$B$9+W347)-($D$3+Y347),0)),Calcs!$A$110:$C$122,3,TRUE))))</f>
        <v xml:space="preserve"> </v>
      </c>
      <c r="AC347" s="489"/>
      <c r="AD347" s="489" t="str">
        <f>IF(IF(AA347=" "," ",IF(NOT(ISBLANK(X347)),VLOOKUP($D$3+X347,Calcs!$A$110:$B$122,2,TRUE),IF(AA347="Failed",VLOOKUP($D$3,Calcs!$A$110:$B$122,2,TRUE),VLOOKUP($D$3-(IF((Character!$B$9+W347)&gt;($D$3+Y347),(Character!$B$9+W347)-($D$3+Y347),0)),Calcs!$A$110:$B$122,2,TRUE))))=Calcs!$B$120,IF(ISBLANK(AC347)," ",CONCATENATE(AC347+7," Years")),IF(AA347=" "," ",IF(NOT(ISBLANK(X347)),VLOOKUP($D$3+X347,Calcs!$A$110:$B$122,2,TRUE),IF(AA347="Failed",VLOOKUP($D$3,Calcs!$A$110:$B$122,2,TRUE),VLOOKUP($D$3-(IF((Character!$B$9+W347)&gt;($D$3+Y347),(Character!$B$9+W347)-($D$3+Y347),0)),Calcs!$A$110:$B$122,2,TRUE)))))</f>
        <v xml:space="preserve"> </v>
      </c>
      <c r="AE347" s="490"/>
      <c r="AF347" s="879"/>
      <c r="AG347" s="491"/>
    </row>
    <row r="348" spans="1:33" x14ac:dyDescent="0.2">
      <c r="A348" s="415">
        <f t="shared" si="8"/>
        <v>1297</v>
      </c>
      <c r="B348" s="419" t="str">
        <f t="shared" si="9"/>
        <v>Winter</v>
      </c>
      <c r="C348" s="455"/>
      <c r="D348" s="504"/>
      <c r="E348" s="455"/>
      <c r="F348" s="504"/>
      <c r="G348" s="455"/>
      <c r="H348" s="504"/>
      <c r="I348" s="455"/>
      <c r="J348" s="504"/>
      <c r="L348" s="472"/>
      <c r="M348" s="468"/>
      <c r="N348" s="468"/>
      <c r="O348" s="468"/>
      <c r="P348" s="468"/>
      <c r="Q348" s="473"/>
      <c r="R348" s="477" t="str">
        <f>IF(AND(COUNTIF('Start Character'!$I$63:$M$77,"Twilight Prone")=1,NOT(ISERROR(FIND("Magical Botch",M348)))),"Yes",IF(P348&gt;1,"Yes","No"))</f>
        <v>No</v>
      </c>
      <c r="S348" s="501"/>
      <c r="T348" s="478"/>
      <c r="U348" s="501"/>
      <c r="V348" s="479" t="str">
        <f>IF(R348="No","No Twilight",IF(T348="Yes","Uncomprehended Twilight",IF((Character!$B$14+IF(Character!$B$53="Yes",0,Character!$B$53)+IF(Magic!$C$5="Yes",2,0)+ROUNDUP((Magic!$B$30+IF(Magic!$C$30="Yes",3,0))/5,0)+S348)&gt;=($D$3+P348+SUMIF(Character!$I$62:$I$66,"Enigmatic Wisdom",Character!$J$62:$J$66)+Q348+U348),"No Twilight","Twilight")))</f>
        <v>No Twilight</v>
      </c>
      <c r="W348" s="483"/>
      <c r="X348" s="478"/>
      <c r="Y348" s="484"/>
      <c r="Z348" s="478"/>
      <c r="AA348" s="485" t="str">
        <f>IF(V348="Uncomprehended Twilight","Failed",IF(OR(ISBLANK(W348),ISBLANK(Y348))," ",IF(NOT(ISBLANK(X348)),"Failed",IF((W348+Character!$B$9+SUMIF(Character!$I$62:$I$66,"Enigmatic Wisdom",Character!$J$62:$J$66))&gt;=IF(Z348="Yes",0,(Y348+D343)),"Succeeded","Failed"))))</f>
        <v xml:space="preserve"> </v>
      </c>
      <c r="AB348" s="477" t="str">
        <f>IF(AA348=" "," ",IF(NOT(ISBLANK(X348)),VLOOKUP($D$3+X348,Calcs!$A$110:$C$122,3,TRUE),IF(AA348="Failed",VLOOKUP($D$3,Calcs!$A$110:$C$122,3,TRUE),VLOOKUP($D$3-(IF((Character!$B$9+W348)&gt;($D$3+Y348),(Character!$B$9+W348)-($D$3+Y348),0)),Calcs!$A$110:$C$122,3,TRUE))))</f>
        <v xml:space="preserve"> </v>
      </c>
      <c r="AC348" s="489"/>
      <c r="AD348" s="489" t="str">
        <f>IF(IF(AA348=" "," ",IF(NOT(ISBLANK(X348)),VLOOKUP($D$3+X348,Calcs!$A$110:$B$122,2,TRUE),IF(AA348="Failed",VLOOKUP($D$3,Calcs!$A$110:$B$122,2,TRUE),VLOOKUP($D$3-(IF((Character!$B$9+W348)&gt;($D$3+Y348),(Character!$B$9+W348)-($D$3+Y348),0)),Calcs!$A$110:$B$122,2,TRUE))))=Calcs!$B$120,IF(ISBLANK(AC348)," ",CONCATENATE(AC348+7," Years")),IF(AA348=" "," ",IF(NOT(ISBLANK(X348)),VLOOKUP($D$3+X348,Calcs!$A$110:$B$122,2,TRUE),IF(AA348="Failed",VLOOKUP($D$3,Calcs!$A$110:$B$122,2,TRUE),VLOOKUP($D$3-(IF((Character!$B$9+W348)&gt;($D$3+Y348),(Character!$B$9+W348)-($D$3+Y348),0)),Calcs!$A$110:$B$122,2,TRUE)))))</f>
        <v xml:space="preserve"> </v>
      </c>
      <c r="AE348" s="490"/>
      <c r="AF348" s="879"/>
      <c r="AG348" s="491"/>
    </row>
    <row r="349" spans="1:33" x14ac:dyDescent="0.2">
      <c r="A349" s="415">
        <f t="shared" ref="A349:A412" si="10">IF(B348="Autumn",A348+1,A348)</f>
        <v>1297</v>
      </c>
      <c r="B349" s="419" t="str">
        <f t="shared" ref="B349:B412" si="11">IF(B348="spring","Summer",IF(B348="Summer","Autumn",IF(B348="Autumn","Winter",IF(B348="Winter","Spring"," "))))</f>
        <v>Spring</v>
      </c>
      <c r="C349" s="455"/>
      <c r="D349" s="504"/>
      <c r="E349" s="455"/>
      <c r="F349" s="504"/>
      <c r="G349" s="455"/>
      <c r="H349" s="504"/>
      <c r="I349" s="455"/>
      <c r="J349" s="504"/>
      <c r="L349" s="472"/>
      <c r="M349" s="468"/>
      <c r="N349" s="468"/>
      <c r="O349" s="468"/>
      <c r="P349" s="468"/>
      <c r="Q349" s="473"/>
      <c r="R349" s="477" t="str">
        <f>IF(AND(COUNTIF('Start Character'!$I$63:$M$77,"Twilight Prone")=1,NOT(ISERROR(FIND("Magical Botch",M349)))),"Yes",IF(P349&gt;1,"Yes","No"))</f>
        <v>No</v>
      </c>
      <c r="S349" s="501"/>
      <c r="T349" s="478"/>
      <c r="U349" s="501"/>
      <c r="V349" s="479" t="str">
        <f>IF(R349="No","No Twilight",IF(T349="Yes","Uncomprehended Twilight",IF((Character!$B$14+IF(Character!$B$53="Yes",0,Character!$B$53)+IF(Magic!$C$5="Yes",2,0)+ROUNDUP((Magic!$B$30+IF(Magic!$C$30="Yes",3,0))/5,0)+S349)&gt;=($D$3+P349+SUMIF(Character!$I$62:$I$66,"Enigmatic Wisdom",Character!$J$62:$J$66)+Q349+U349),"No Twilight","Twilight")))</f>
        <v>No Twilight</v>
      </c>
      <c r="W349" s="483"/>
      <c r="X349" s="478"/>
      <c r="Y349" s="484"/>
      <c r="Z349" s="478"/>
      <c r="AA349" s="485" t="str">
        <f>IF(V349="Uncomprehended Twilight","Failed",IF(OR(ISBLANK(W349),ISBLANK(Y349))," ",IF(NOT(ISBLANK(X349)),"Failed",IF((W349+Character!$B$9+SUMIF(Character!$I$62:$I$66,"Enigmatic Wisdom",Character!$J$62:$J$66))&gt;=IF(Z349="Yes",0,(Y349+D344)),"Succeeded","Failed"))))</f>
        <v xml:space="preserve"> </v>
      </c>
      <c r="AB349" s="477" t="str">
        <f>IF(AA349=" "," ",IF(NOT(ISBLANK(X349)),VLOOKUP($D$3+X349,Calcs!$A$110:$C$122,3,TRUE),IF(AA349="Failed",VLOOKUP($D$3,Calcs!$A$110:$C$122,3,TRUE),VLOOKUP($D$3-(IF((Character!$B$9+W349)&gt;($D$3+Y349),(Character!$B$9+W349)-($D$3+Y349),0)),Calcs!$A$110:$C$122,3,TRUE))))</f>
        <v xml:space="preserve"> </v>
      </c>
      <c r="AC349" s="489"/>
      <c r="AD349" s="489" t="str">
        <f>IF(IF(AA349=" "," ",IF(NOT(ISBLANK(X349)),VLOOKUP($D$3+X349,Calcs!$A$110:$B$122,2,TRUE),IF(AA349="Failed",VLOOKUP($D$3,Calcs!$A$110:$B$122,2,TRUE),VLOOKUP($D$3-(IF((Character!$B$9+W349)&gt;($D$3+Y349),(Character!$B$9+W349)-($D$3+Y349),0)),Calcs!$A$110:$B$122,2,TRUE))))=Calcs!$B$120,IF(ISBLANK(AC349)," ",CONCATENATE(AC349+7," Years")),IF(AA349=" "," ",IF(NOT(ISBLANK(X349)),VLOOKUP($D$3+X349,Calcs!$A$110:$B$122,2,TRUE),IF(AA349="Failed",VLOOKUP($D$3,Calcs!$A$110:$B$122,2,TRUE),VLOOKUP($D$3-(IF((Character!$B$9+W349)&gt;($D$3+Y349),(Character!$B$9+W349)-($D$3+Y349),0)),Calcs!$A$110:$B$122,2,TRUE)))))</f>
        <v xml:space="preserve"> </v>
      </c>
      <c r="AE349" s="490"/>
      <c r="AF349" s="879"/>
      <c r="AG349" s="491"/>
    </row>
    <row r="350" spans="1:33" x14ac:dyDescent="0.2">
      <c r="A350" s="415">
        <f t="shared" si="10"/>
        <v>1297</v>
      </c>
      <c r="B350" s="419" t="str">
        <f t="shared" si="11"/>
        <v>Summer</v>
      </c>
      <c r="C350" s="455"/>
      <c r="D350" s="504"/>
      <c r="E350" s="455"/>
      <c r="F350" s="504"/>
      <c r="G350" s="455"/>
      <c r="H350" s="504"/>
      <c r="I350" s="455"/>
      <c r="J350" s="504"/>
      <c r="L350" s="472"/>
      <c r="M350" s="468"/>
      <c r="N350" s="468"/>
      <c r="O350" s="468"/>
      <c r="P350" s="468"/>
      <c r="Q350" s="473"/>
      <c r="R350" s="477" t="str">
        <f>IF(AND(COUNTIF('Start Character'!$I$63:$M$77,"Twilight Prone")=1,NOT(ISERROR(FIND("Magical Botch",M350)))),"Yes",IF(P350&gt;1,"Yes","No"))</f>
        <v>No</v>
      </c>
      <c r="S350" s="501"/>
      <c r="T350" s="478"/>
      <c r="U350" s="501"/>
      <c r="V350" s="479" t="str">
        <f>IF(R350="No","No Twilight",IF(T350="Yes","Uncomprehended Twilight",IF((Character!$B$14+IF(Character!$B$53="Yes",0,Character!$B$53)+IF(Magic!$C$5="Yes",2,0)+ROUNDUP((Magic!$B$30+IF(Magic!$C$30="Yes",3,0))/5,0)+S350)&gt;=($D$3+P350+SUMIF(Character!$I$62:$I$66,"Enigmatic Wisdom",Character!$J$62:$J$66)+Q350+U350),"No Twilight","Twilight")))</f>
        <v>No Twilight</v>
      </c>
      <c r="W350" s="483"/>
      <c r="X350" s="478"/>
      <c r="Y350" s="484"/>
      <c r="Z350" s="478"/>
      <c r="AA350" s="485" t="str">
        <f>IF(V350="Uncomprehended Twilight","Failed",IF(OR(ISBLANK(W350),ISBLANK(Y350))," ",IF(NOT(ISBLANK(X350)),"Failed",IF((W350+Character!$B$9+SUMIF(Character!$I$62:$I$66,"Enigmatic Wisdom",Character!$J$62:$J$66))&gt;=IF(Z350="Yes",0,(Y350+D345)),"Succeeded","Failed"))))</f>
        <v xml:space="preserve"> </v>
      </c>
      <c r="AB350" s="477" t="str">
        <f>IF(AA350=" "," ",IF(NOT(ISBLANK(X350)),VLOOKUP($D$3+X350,Calcs!$A$110:$C$122,3,TRUE),IF(AA350="Failed",VLOOKUP($D$3,Calcs!$A$110:$C$122,3,TRUE),VLOOKUP($D$3-(IF((Character!$B$9+W350)&gt;($D$3+Y350),(Character!$B$9+W350)-($D$3+Y350),0)),Calcs!$A$110:$C$122,3,TRUE))))</f>
        <v xml:space="preserve"> </v>
      </c>
      <c r="AC350" s="489"/>
      <c r="AD350" s="489" t="str">
        <f>IF(IF(AA350=" "," ",IF(NOT(ISBLANK(X350)),VLOOKUP($D$3+X350,Calcs!$A$110:$B$122,2,TRUE),IF(AA350="Failed",VLOOKUP($D$3,Calcs!$A$110:$B$122,2,TRUE),VLOOKUP($D$3-(IF((Character!$B$9+W350)&gt;($D$3+Y350),(Character!$B$9+W350)-($D$3+Y350),0)),Calcs!$A$110:$B$122,2,TRUE))))=Calcs!$B$120,IF(ISBLANK(AC350)," ",CONCATENATE(AC350+7," Years")),IF(AA350=" "," ",IF(NOT(ISBLANK(X350)),VLOOKUP($D$3+X350,Calcs!$A$110:$B$122,2,TRUE),IF(AA350="Failed",VLOOKUP($D$3,Calcs!$A$110:$B$122,2,TRUE),VLOOKUP($D$3-(IF((Character!$B$9+W350)&gt;($D$3+Y350),(Character!$B$9+W350)-($D$3+Y350),0)),Calcs!$A$110:$B$122,2,TRUE)))))</f>
        <v xml:space="preserve"> </v>
      </c>
      <c r="AE350" s="490"/>
      <c r="AF350" s="879"/>
      <c r="AG350" s="491"/>
    </row>
    <row r="351" spans="1:33" x14ac:dyDescent="0.2">
      <c r="A351" s="415">
        <f t="shared" si="10"/>
        <v>1297</v>
      </c>
      <c r="B351" s="419" t="str">
        <f t="shared" si="11"/>
        <v>Autumn</v>
      </c>
      <c r="C351" s="455"/>
      <c r="D351" s="504"/>
      <c r="E351" s="455"/>
      <c r="F351" s="504"/>
      <c r="G351" s="455"/>
      <c r="H351" s="504"/>
      <c r="I351" s="455"/>
      <c r="J351" s="504"/>
      <c r="L351" s="472"/>
      <c r="M351" s="468"/>
      <c r="N351" s="468"/>
      <c r="O351" s="468"/>
      <c r="P351" s="468"/>
      <c r="Q351" s="473"/>
      <c r="R351" s="477" t="str">
        <f>IF(AND(COUNTIF('Start Character'!$I$63:$M$77,"Twilight Prone")=1,NOT(ISERROR(FIND("Magical Botch",M351)))),"Yes",IF(P351&gt;1,"Yes","No"))</f>
        <v>No</v>
      </c>
      <c r="S351" s="501"/>
      <c r="T351" s="478"/>
      <c r="U351" s="501"/>
      <c r="V351" s="479" t="str">
        <f>IF(R351="No","No Twilight",IF(T351="Yes","Uncomprehended Twilight",IF((Character!$B$14+IF(Character!$B$53="Yes",0,Character!$B$53)+IF(Magic!$C$5="Yes",2,0)+ROUNDUP((Magic!$B$30+IF(Magic!$C$30="Yes",3,0))/5,0)+S351)&gt;=($D$3+P351+SUMIF(Character!$I$62:$I$66,"Enigmatic Wisdom",Character!$J$62:$J$66)+Q351+U351),"No Twilight","Twilight")))</f>
        <v>No Twilight</v>
      </c>
      <c r="W351" s="483"/>
      <c r="X351" s="478"/>
      <c r="Y351" s="484"/>
      <c r="Z351" s="478"/>
      <c r="AA351" s="485" t="str">
        <f>IF(V351="Uncomprehended Twilight","Failed",IF(OR(ISBLANK(W351),ISBLANK(Y351))," ",IF(NOT(ISBLANK(X351)),"Failed",IF((W351+Character!$B$9+SUMIF(Character!$I$62:$I$66,"Enigmatic Wisdom",Character!$J$62:$J$66))&gt;=IF(Z351="Yes",0,(Y351+D346)),"Succeeded","Failed"))))</f>
        <v xml:space="preserve"> </v>
      </c>
      <c r="AB351" s="477" t="str">
        <f>IF(AA351=" "," ",IF(NOT(ISBLANK(X351)),VLOOKUP($D$3+X351,Calcs!$A$110:$C$122,3,TRUE),IF(AA351="Failed",VLOOKUP($D$3,Calcs!$A$110:$C$122,3,TRUE),VLOOKUP($D$3-(IF((Character!$B$9+W351)&gt;($D$3+Y351),(Character!$B$9+W351)-($D$3+Y351),0)),Calcs!$A$110:$C$122,3,TRUE))))</f>
        <v xml:space="preserve"> </v>
      </c>
      <c r="AC351" s="489"/>
      <c r="AD351" s="489" t="str">
        <f>IF(IF(AA351=" "," ",IF(NOT(ISBLANK(X351)),VLOOKUP($D$3+X351,Calcs!$A$110:$B$122,2,TRUE),IF(AA351="Failed",VLOOKUP($D$3,Calcs!$A$110:$B$122,2,TRUE),VLOOKUP($D$3-(IF((Character!$B$9+W351)&gt;($D$3+Y351),(Character!$B$9+W351)-($D$3+Y351),0)),Calcs!$A$110:$B$122,2,TRUE))))=Calcs!$B$120,IF(ISBLANK(AC351)," ",CONCATENATE(AC351+7," Years")),IF(AA351=" "," ",IF(NOT(ISBLANK(X351)),VLOOKUP($D$3+X351,Calcs!$A$110:$B$122,2,TRUE),IF(AA351="Failed",VLOOKUP($D$3,Calcs!$A$110:$B$122,2,TRUE),VLOOKUP($D$3-(IF((Character!$B$9+W351)&gt;($D$3+Y351),(Character!$B$9+W351)-($D$3+Y351),0)),Calcs!$A$110:$B$122,2,TRUE)))))</f>
        <v xml:space="preserve"> </v>
      </c>
      <c r="AE351" s="490"/>
      <c r="AF351" s="879"/>
      <c r="AG351" s="491"/>
    </row>
    <row r="352" spans="1:33" x14ac:dyDescent="0.2">
      <c r="A352" s="415">
        <f t="shared" si="10"/>
        <v>1298</v>
      </c>
      <c r="B352" s="419" t="str">
        <f t="shared" si="11"/>
        <v>Winter</v>
      </c>
      <c r="C352" s="455"/>
      <c r="D352" s="504"/>
      <c r="E352" s="455"/>
      <c r="F352" s="504"/>
      <c r="G352" s="455"/>
      <c r="H352" s="504"/>
      <c r="I352" s="455"/>
      <c r="J352" s="504"/>
      <c r="L352" s="472"/>
      <c r="M352" s="468"/>
      <c r="N352" s="468"/>
      <c r="O352" s="468"/>
      <c r="P352" s="468"/>
      <c r="Q352" s="473"/>
      <c r="R352" s="477" t="str">
        <f>IF(AND(COUNTIF('Start Character'!$I$63:$M$77,"Twilight Prone")=1,NOT(ISERROR(FIND("Magical Botch",M352)))),"Yes",IF(P352&gt;1,"Yes","No"))</f>
        <v>No</v>
      </c>
      <c r="S352" s="501"/>
      <c r="T352" s="478"/>
      <c r="U352" s="501"/>
      <c r="V352" s="479" t="str">
        <f>IF(R352="No","No Twilight",IF(T352="Yes","Uncomprehended Twilight",IF((Character!$B$14+IF(Character!$B$53="Yes",0,Character!$B$53)+IF(Magic!$C$5="Yes",2,0)+ROUNDUP((Magic!$B$30+IF(Magic!$C$30="Yes",3,0))/5,0)+S352)&gt;=($D$3+P352+SUMIF(Character!$I$62:$I$66,"Enigmatic Wisdom",Character!$J$62:$J$66)+Q352+U352),"No Twilight","Twilight")))</f>
        <v>No Twilight</v>
      </c>
      <c r="W352" s="483"/>
      <c r="X352" s="478"/>
      <c r="Y352" s="484"/>
      <c r="Z352" s="478"/>
      <c r="AA352" s="485" t="str">
        <f>IF(V352="Uncomprehended Twilight","Failed",IF(OR(ISBLANK(W352),ISBLANK(Y352))," ",IF(NOT(ISBLANK(X352)),"Failed",IF((W352+Character!$B$9+SUMIF(Character!$I$62:$I$66,"Enigmatic Wisdom",Character!$J$62:$J$66))&gt;=IF(Z352="Yes",0,(Y352+D347)),"Succeeded","Failed"))))</f>
        <v xml:space="preserve"> </v>
      </c>
      <c r="AB352" s="477" t="str">
        <f>IF(AA352=" "," ",IF(NOT(ISBLANK(X352)),VLOOKUP($D$3+X352,Calcs!$A$110:$C$122,3,TRUE),IF(AA352="Failed",VLOOKUP($D$3,Calcs!$A$110:$C$122,3,TRUE),VLOOKUP($D$3-(IF((Character!$B$9+W352)&gt;($D$3+Y352),(Character!$B$9+W352)-($D$3+Y352),0)),Calcs!$A$110:$C$122,3,TRUE))))</f>
        <v xml:space="preserve"> </v>
      </c>
      <c r="AC352" s="489"/>
      <c r="AD352" s="489" t="str">
        <f>IF(IF(AA352=" "," ",IF(NOT(ISBLANK(X352)),VLOOKUP($D$3+X352,Calcs!$A$110:$B$122,2,TRUE),IF(AA352="Failed",VLOOKUP($D$3,Calcs!$A$110:$B$122,2,TRUE),VLOOKUP($D$3-(IF((Character!$B$9+W352)&gt;($D$3+Y352),(Character!$B$9+W352)-($D$3+Y352),0)),Calcs!$A$110:$B$122,2,TRUE))))=Calcs!$B$120,IF(ISBLANK(AC352)," ",CONCATENATE(AC352+7," Years")),IF(AA352=" "," ",IF(NOT(ISBLANK(X352)),VLOOKUP($D$3+X352,Calcs!$A$110:$B$122,2,TRUE),IF(AA352="Failed",VLOOKUP($D$3,Calcs!$A$110:$B$122,2,TRUE),VLOOKUP($D$3-(IF((Character!$B$9+W352)&gt;($D$3+Y352),(Character!$B$9+W352)-($D$3+Y352),0)),Calcs!$A$110:$B$122,2,TRUE)))))</f>
        <v xml:space="preserve"> </v>
      </c>
      <c r="AE352" s="490"/>
      <c r="AF352" s="879"/>
      <c r="AG352" s="491"/>
    </row>
    <row r="353" spans="1:33" x14ac:dyDescent="0.2">
      <c r="A353" s="415">
        <f t="shared" si="10"/>
        <v>1298</v>
      </c>
      <c r="B353" s="419" t="str">
        <f t="shared" si="11"/>
        <v>Spring</v>
      </c>
      <c r="C353" s="455"/>
      <c r="D353" s="504"/>
      <c r="E353" s="455"/>
      <c r="F353" s="504"/>
      <c r="G353" s="455"/>
      <c r="H353" s="504"/>
      <c r="I353" s="455"/>
      <c r="J353" s="504"/>
      <c r="L353" s="472"/>
      <c r="M353" s="468"/>
      <c r="N353" s="468"/>
      <c r="O353" s="468"/>
      <c r="P353" s="468"/>
      <c r="Q353" s="473"/>
      <c r="R353" s="477" t="str">
        <f>IF(AND(COUNTIF('Start Character'!$I$63:$M$77,"Twilight Prone")=1,NOT(ISERROR(FIND("Magical Botch",M353)))),"Yes",IF(P353&gt;1,"Yes","No"))</f>
        <v>No</v>
      </c>
      <c r="S353" s="501"/>
      <c r="T353" s="478"/>
      <c r="U353" s="501"/>
      <c r="V353" s="479" t="str">
        <f>IF(R353="No","No Twilight",IF(T353="Yes","Uncomprehended Twilight",IF((Character!$B$14+IF(Character!$B$53="Yes",0,Character!$B$53)+IF(Magic!$C$5="Yes",2,0)+ROUNDUP((Magic!$B$30+IF(Magic!$C$30="Yes",3,0))/5,0)+S353)&gt;=($D$3+P353+SUMIF(Character!$I$62:$I$66,"Enigmatic Wisdom",Character!$J$62:$J$66)+Q353+U353),"No Twilight","Twilight")))</f>
        <v>No Twilight</v>
      </c>
      <c r="W353" s="483"/>
      <c r="X353" s="478"/>
      <c r="Y353" s="484"/>
      <c r="Z353" s="478"/>
      <c r="AA353" s="485" t="str">
        <f>IF(V353="Uncomprehended Twilight","Failed",IF(OR(ISBLANK(W353),ISBLANK(Y353))," ",IF(NOT(ISBLANK(X353)),"Failed",IF((W353+Character!$B$9+SUMIF(Character!$I$62:$I$66,"Enigmatic Wisdom",Character!$J$62:$J$66))&gt;=IF(Z353="Yes",0,(Y353+D348)),"Succeeded","Failed"))))</f>
        <v xml:space="preserve"> </v>
      </c>
      <c r="AB353" s="477" t="str">
        <f>IF(AA353=" "," ",IF(NOT(ISBLANK(X353)),VLOOKUP($D$3+X353,Calcs!$A$110:$C$122,3,TRUE),IF(AA353="Failed",VLOOKUP($D$3,Calcs!$A$110:$C$122,3,TRUE),VLOOKUP($D$3-(IF((Character!$B$9+W353)&gt;($D$3+Y353),(Character!$B$9+W353)-($D$3+Y353),0)),Calcs!$A$110:$C$122,3,TRUE))))</f>
        <v xml:space="preserve"> </v>
      </c>
      <c r="AC353" s="489"/>
      <c r="AD353" s="489" t="str">
        <f>IF(IF(AA353=" "," ",IF(NOT(ISBLANK(X353)),VLOOKUP($D$3+X353,Calcs!$A$110:$B$122,2,TRUE),IF(AA353="Failed",VLOOKUP($D$3,Calcs!$A$110:$B$122,2,TRUE),VLOOKUP($D$3-(IF((Character!$B$9+W353)&gt;($D$3+Y353),(Character!$B$9+W353)-($D$3+Y353),0)),Calcs!$A$110:$B$122,2,TRUE))))=Calcs!$B$120,IF(ISBLANK(AC353)," ",CONCATENATE(AC353+7," Years")),IF(AA353=" "," ",IF(NOT(ISBLANK(X353)),VLOOKUP($D$3+X353,Calcs!$A$110:$B$122,2,TRUE),IF(AA353="Failed",VLOOKUP($D$3,Calcs!$A$110:$B$122,2,TRUE),VLOOKUP($D$3-(IF((Character!$B$9+W353)&gt;($D$3+Y353),(Character!$B$9+W353)-($D$3+Y353),0)),Calcs!$A$110:$B$122,2,TRUE)))))</f>
        <v xml:space="preserve"> </v>
      </c>
      <c r="AE353" s="490"/>
      <c r="AF353" s="879"/>
      <c r="AG353" s="491"/>
    </row>
    <row r="354" spans="1:33" x14ac:dyDescent="0.2">
      <c r="A354" s="415">
        <f t="shared" si="10"/>
        <v>1298</v>
      </c>
      <c r="B354" s="419" t="str">
        <f t="shared" si="11"/>
        <v>Summer</v>
      </c>
      <c r="C354" s="455"/>
      <c r="D354" s="504"/>
      <c r="E354" s="455"/>
      <c r="F354" s="504"/>
      <c r="G354" s="455"/>
      <c r="H354" s="504"/>
      <c r="I354" s="455"/>
      <c r="J354" s="504"/>
      <c r="L354" s="472"/>
      <c r="M354" s="468"/>
      <c r="N354" s="468"/>
      <c r="O354" s="468"/>
      <c r="P354" s="468"/>
      <c r="Q354" s="473"/>
      <c r="R354" s="477" t="str">
        <f>IF(AND(COUNTIF('Start Character'!$I$63:$M$77,"Twilight Prone")=1,NOT(ISERROR(FIND("Magical Botch",M354)))),"Yes",IF(P354&gt;1,"Yes","No"))</f>
        <v>No</v>
      </c>
      <c r="S354" s="501"/>
      <c r="T354" s="478"/>
      <c r="U354" s="501"/>
      <c r="V354" s="479" t="str">
        <f>IF(R354="No","No Twilight",IF(T354="Yes","Uncomprehended Twilight",IF((Character!$B$14+IF(Character!$B$53="Yes",0,Character!$B$53)+IF(Magic!$C$5="Yes",2,0)+ROUNDUP((Magic!$B$30+IF(Magic!$C$30="Yes",3,0))/5,0)+S354)&gt;=($D$3+P354+SUMIF(Character!$I$62:$I$66,"Enigmatic Wisdom",Character!$J$62:$J$66)+Q354+U354),"No Twilight","Twilight")))</f>
        <v>No Twilight</v>
      </c>
      <c r="W354" s="483"/>
      <c r="X354" s="478"/>
      <c r="Y354" s="484"/>
      <c r="Z354" s="478"/>
      <c r="AA354" s="485" t="str">
        <f>IF(V354="Uncomprehended Twilight","Failed",IF(OR(ISBLANK(W354),ISBLANK(Y354))," ",IF(NOT(ISBLANK(X354)),"Failed",IF((W354+Character!$B$9+SUMIF(Character!$I$62:$I$66,"Enigmatic Wisdom",Character!$J$62:$J$66))&gt;=IF(Z354="Yes",0,(Y354+D349)),"Succeeded","Failed"))))</f>
        <v xml:space="preserve"> </v>
      </c>
      <c r="AB354" s="477" t="str">
        <f>IF(AA354=" "," ",IF(NOT(ISBLANK(X354)),VLOOKUP($D$3+X354,Calcs!$A$110:$C$122,3,TRUE),IF(AA354="Failed",VLOOKUP($D$3,Calcs!$A$110:$C$122,3,TRUE),VLOOKUP($D$3-(IF((Character!$B$9+W354)&gt;($D$3+Y354),(Character!$B$9+W354)-($D$3+Y354),0)),Calcs!$A$110:$C$122,3,TRUE))))</f>
        <v xml:space="preserve"> </v>
      </c>
      <c r="AC354" s="489"/>
      <c r="AD354" s="489" t="str">
        <f>IF(IF(AA354=" "," ",IF(NOT(ISBLANK(X354)),VLOOKUP($D$3+X354,Calcs!$A$110:$B$122,2,TRUE),IF(AA354="Failed",VLOOKUP($D$3,Calcs!$A$110:$B$122,2,TRUE),VLOOKUP($D$3-(IF((Character!$B$9+W354)&gt;($D$3+Y354),(Character!$B$9+W354)-($D$3+Y354),0)),Calcs!$A$110:$B$122,2,TRUE))))=Calcs!$B$120,IF(ISBLANK(AC354)," ",CONCATENATE(AC354+7," Years")),IF(AA354=" "," ",IF(NOT(ISBLANK(X354)),VLOOKUP($D$3+X354,Calcs!$A$110:$B$122,2,TRUE),IF(AA354="Failed",VLOOKUP($D$3,Calcs!$A$110:$B$122,2,TRUE),VLOOKUP($D$3-(IF((Character!$B$9+W354)&gt;($D$3+Y354),(Character!$B$9+W354)-($D$3+Y354),0)),Calcs!$A$110:$B$122,2,TRUE)))))</f>
        <v xml:space="preserve"> </v>
      </c>
      <c r="AE354" s="490"/>
      <c r="AF354" s="879"/>
      <c r="AG354" s="491"/>
    </row>
    <row r="355" spans="1:33" x14ac:dyDescent="0.2">
      <c r="A355" s="415">
        <f t="shared" si="10"/>
        <v>1298</v>
      </c>
      <c r="B355" s="419" t="str">
        <f t="shared" si="11"/>
        <v>Autumn</v>
      </c>
      <c r="C355" s="455"/>
      <c r="D355" s="504"/>
      <c r="E355" s="455"/>
      <c r="F355" s="504"/>
      <c r="G355" s="455"/>
      <c r="H355" s="504"/>
      <c r="I355" s="455"/>
      <c r="J355" s="504"/>
      <c r="L355" s="472"/>
      <c r="M355" s="468"/>
      <c r="N355" s="468"/>
      <c r="O355" s="468"/>
      <c r="P355" s="468"/>
      <c r="Q355" s="473"/>
      <c r="R355" s="477" t="str">
        <f>IF(AND(COUNTIF('Start Character'!$I$63:$M$77,"Twilight Prone")=1,NOT(ISERROR(FIND("Magical Botch",M355)))),"Yes",IF(P355&gt;1,"Yes","No"))</f>
        <v>No</v>
      </c>
      <c r="S355" s="501"/>
      <c r="T355" s="478"/>
      <c r="U355" s="501"/>
      <c r="V355" s="479" t="str">
        <f>IF(R355="No","No Twilight",IF(T355="Yes","Uncomprehended Twilight",IF((Character!$B$14+IF(Character!$B$53="Yes",0,Character!$B$53)+IF(Magic!$C$5="Yes",2,0)+ROUNDUP((Magic!$B$30+IF(Magic!$C$30="Yes",3,0))/5,0)+S355)&gt;=($D$3+P355+SUMIF(Character!$I$62:$I$66,"Enigmatic Wisdom",Character!$J$62:$J$66)+Q355+U355),"No Twilight","Twilight")))</f>
        <v>No Twilight</v>
      </c>
      <c r="W355" s="483"/>
      <c r="X355" s="478"/>
      <c r="Y355" s="484"/>
      <c r="Z355" s="478"/>
      <c r="AA355" s="485" t="str">
        <f>IF(V355="Uncomprehended Twilight","Failed",IF(OR(ISBLANK(W355),ISBLANK(Y355))," ",IF(NOT(ISBLANK(X355)),"Failed",IF((W355+Character!$B$9+SUMIF(Character!$I$62:$I$66,"Enigmatic Wisdom",Character!$J$62:$J$66))&gt;=IF(Z355="Yes",0,(Y355+D350)),"Succeeded","Failed"))))</f>
        <v xml:space="preserve"> </v>
      </c>
      <c r="AB355" s="477" t="str">
        <f>IF(AA355=" "," ",IF(NOT(ISBLANK(X355)),VLOOKUP($D$3+X355,Calcs!$A$110:$C$122,3,TRUE),IF(AA355="Failed",VLOOKUP($D$3,Calcs!$A$110:$C$122,3,TRUE),VLOOKUP($D$3-(IF((Character!$B$9+W355)&gt;($D$3+Y355),(Character!$B$9+W355)-($D$3+Y355),0)),Calcs!$A$110:$C$122,3,TRUE))))</f>
        <v xml:space="preserve"> </v>
      </c>
      <c r="AC355" s="489"/>
      <c r="AD355" s="489" t="str">
        <f>IF(IF(AA355=" "," ",IF(NOT(ISBLANK(X355)),VLOOKUP($D$3+X355,Calcs!$A$110:$B$122,2,TRUE),IF(AA355="Failed",VLOOKUP($D$3,Calcs!$A$110:$B$122,2,TRUE),VLOOKUP($D$3-(IF((Character!$B$9+W355)&gt;($D$3+Y355),(Character!$B$9+W355)-($D$3+Y355),0)),Calcs!$A$110:$B$122,2,TRUE))))=Calcs!$B$120,IF(ISBLANK(AC355)," ",CONCATENATE(AC355+7," Years")),IF(AA355=" "," ",IF(NOT(ISBLANK(X355)),VLOOKUP($D$3+X355,Calcs!$A$110:$B$122,2,TRUE),IF(AA355="Failed",VLOOKUP($D$3,Calcs!$A$110:$B$122,2,TRUE),VLOOKUP($D$3-(IF((Character!$B$9+W355)&gt;($D$3+Y355),(Character!$B$9+W355)-($D$3+Y355),0)),Calcs!$A$110:$B$122,2,TRUE)))))</f>
        <v xml:space="preserve"> </v>
      </c>
      <c r="AE355" s="490"/>
      <c r="AF355" s="879"/>
      <c r="AG355" s="491"/>
    </row>
    <row r="356" spans="1:33" x14ac:dyDescent="0.2">
      <c r="A356" s="415">
        <f t="shared" si="10"/>
        <v>1299</v>
      </c>
      <c r="B356" s="419" t="str">
        <f t="shared" si="11"/>
        <v>Winter</v>
      </c>
      <c r="C356" s="455"/>
      <c r="D356" s="504"/>
      <c r="E356" s="455"/>
      <c r="F356" s="504"/>
      <c r="G356" s="455"/>
      <c r="H356" s="504"/>
      <c r="I356" s="455"/>
      <c r="J356" s="504"/>
      <c r="L356" s="472"/>
      <c r="M356" s="468"/>
      <c r="N356" s="468"/>
      <c r="O356" s="468"/>
      <c r="P356" s="468"/>
      <c r="Q356" s="473"/>
      <c r="R356" s="477" t="str">
        <f>IF(AND(COUNTIF('Start Character'!$I$63:$M$77,"Twilight Prone")=1,NOT(ISERROR(FIND("Magical Botch",M356)))),"Yes",IF(P356&gt;1,"Yes","No"))</f>
        <v>No</v>
      </c>
      <c r="S356" s="501"/>
      <c r="T356" s="478"/>
      <c r="U356" s="501"/>
      <c r="V356" s="479" t="str">
        <f>IF(R356="No","No Twilight",IF(T356="Yes","Uncomprehended Twilight",IF((Character!$B$14+IF(Character!$B$53="Yes",0,Character!$B$53)+IF(Magic!$C$5="Yes",2,0)+ROUNDUP((Magic!$B$30+IF(Magic!$C$30="Yes",3,0))/5,0)+S356)&gt;=($D$3+P356+SUMIF(Character!$I$62:$I$66,"Enigmatic Wisdom",Character!$J$62:$J$66)+Q356+U356),"No Twilight","Twilight")))</f>
        <v>No Twilight</v>
      </c>
      <c r="W356" s="483"/>
      <c r="X356" s="478"/>
      <c r="Y356" s="484"/>
      <c r="Z356" s="478"/>
      <c r="AA356" s="485" t="str">
        <f>IF(V356="Uncomprehended Twilight","Failed",IF(OR(ISBLANK(W356),ISBLANK(Y356))," ",IF(NOT(ISBLANK(X356)),"Failed",IF((W356+Character!$B$9+SUMIF(Character!$I$62:$I$66,"Enigmatic Wisdom",Character!$J$62:$J$66))&gt;=IF(Z356="Yes",0,(Y356+D351)),"Succeeded","Failed"))))</f>
        <v xml:space="preserve"> </v>
      </c>
      <c r="AB356" s="477" t="str">
        <f>IF(AA356=" "," ",IF(NOT(ISBLANK(X356)),VLOOKUP($D$3+X356,Calcs!$A$110:$C$122,3,TRUE),IF(AA356="Failed",VLOOKUP($D$3,Calcs!$A$110:$C$122,3,TRUE),VLOOKUP($D$3-(IF((Character!$B$9+W356)&gt;($D$3+Y356),(Character!$B$9+W356)-($D$3+Y356),0)),Calcs!$A$110:$C$122,3,TRUE))))</f>
        <v xml:space="preserve"> </v>
      </c>
      <c r="AC356" s="489"/>
      <c r="AD356" s="489" t="str">
        <f>IF(IF(AA356=" "," ",IF(NOT(ISBLANK(X356)),VLOOKUP($D$3+X356,Calcs!$A$110:$B$122,2,TRUE),IF(AA356="Failed",VLOOKUP($D$3,Calcs!$A$110:$B$122,2,TRUE),VLOOKUP($D$3-(IF((Character!$B$9+W356)&gt;($D$3+Y356),(Character!$B$9+W356)-($D$3+Y356),0)),Calcs!$A$110:$B$122,2,TRUE))))=Calcs!$B$120,IF(ISBLANK(AC356)," ",CONCATENATE(AC356+7," Years")),IF(AA356=" "," ",IF(NOT(ISBLANK(X356)),VLOOKUP($D$3+X356,Calcs!$A$110:$B$122,2,TRUE),IF(AA356="Failed",VLOOKUP($D$3,Calcs!$A$110:$B$122,2,TRUE),VLOOKUP($D$3-(IF((Character!$B$9+W356)&gt;($D$3+Y356),(Character!$B$9+W356)-($D$3+Y356),0)),Calcs!$A$110:$B$122,2,TRUE)))))</f>
        <v xml:space="preserve"> </v>
      </c>
      <c r="AE356" s="490"/>
      <c r="AF356" s="879"/>
      <c r="AG356" s="491"/>
    </row>
    <row r="357" spans="1:33" x14ac:dyDescent="0.2">
      <c r="A357" s="415">
        <f t="shared" si="10"/>
        <v>1299</v>
      </c>
      <c r="B357" s="419" t="str">
        <f t="shared" si="11"/>
        <v>Spring</v>
      </c>
      <c r="C357" s="455"/>
      <c r="D357" s="504"/>
      <c r="E357" s="455"/>
      <c r="F357" s="504"/>
      <c r="G357" s="455"/>
      <c r="H357" s="504"/>
      <c r="I357" s="455"/>
      <c r="J357" s="504"/>
      <c r="L357" s="472"/>
      <c r="M357" s="468"/>
      <c r="N357" s="468"/>
      <c r="O357" s="468"/>
      <c r="P357" s="468"/>
      <c r="Q357" s="473"/>
      <c r="R357" s="477" t="str">
        <f>IF(AND(COUNTIF('Start Character'!$I$63:$M$77,"Twilight Prone")=1,NOT(ISERROR(FIND("Magical Botch",M357)))),"Yes",IF(P357&gt;1,"Yes","No"))</f>
        <v>No</v>
      </c>
      <c r="S357" s="501"/>
      <c r="T357" s="478"/>
      <c r="U357" s="501"/>
      <c r="V357" s="479" t="str">
        <f>IF(R357="No","No Twilight",IF(T357="Yes","Uncomprehended Twilight",IF((Character!$B$14+IF(Character!$B$53="Yes",0,Character!$B$53)+IF(Magic!$C$5="Yes",2,0)+ROUNDUP((Magic!$B$30+IF(Magic!$C$30="Yes",3,0))/5,0)+S357)&gt;=($D$3+P357+SUMIF(Character!$I$62:$I$66,"Enigmatic Wisdom",Character!$J$62:$J$66)+Q357+U357),"No Twilight","Twilight")))</f>
        <v>No Twilight</v>
      </c>
      <c r="W357" s="483"/>
      <c r="X357" s="478"/>
      <c r="Y357" s="484"/>
      <c r="Z357" s="478"/>
      <c r="AA357" s="485" t="str">
        <f>IF(V357="Uncomprehended Twilight","Failed",IF(OR(ISBLANK(W357),ISBLANK(Y357))," ",IF(NOT(ISBLANK(X357)),"Failed",IF((W357+Character!$B$9+SUMIF(Character!$I$62:$I$66,"Enigmatic Wisdom",Character!$J$62:$J$66))&gt;=IF(Z357="Yes",0,(Y357+D352)),"Succeeded","Failed"))))</f>
        <v xml:space="preserve"> </v>
      </c>
      <c r="AB357" s="477" t="str">
        <f>IF(AA357=" "," ",IF(NOT(ISBLANK(X357)),VLOOKUP($D$3+X357,Calcs!$A$110:$C$122,3,TRUE),IF(AA357="Failed",VLOOKUP($D$3,Calcs!$A$110:$C$122,3,TRUE),VLOOKUP($D$3-(IF((Character!$B$9+W357)&gt;($D$3+Y357),(Character!$B$9+W357)-($D$3+Y357),0)),Calcs!$A$110:$C$122,3,TRUE))))</f>
        <v xml:space="preserve"> </v>
      </c>
      <c r="AC357" s="489"/>
      <c r="AD357" s="489" t="str">
        <f>IF(IF(AA357=" "," ",IF(NOT(ISBLANK(X357)),VLOOKUP($D$3+X357,Calcs!$A$110:$B$122,2,TRUE),IF(AA357="Failed",VLOOKUP($D$3,Calcs!$A$110:$B$122,2,TRUE),VLOOKUP($D$3-(IF((Character!$B$9+W357)&gt;($D$3+Y357),(Character!$B$9+W357)-($D$3+Y357),0)),Calcs!$A$110:$B$122,2,TRUE))))=Calcs!$B$120,IF(ISBLANK(AC357)," ",CONCATENATE(AC357+7," Years")),IF(AA357=" "," ",IF(NOT(ISBLANK(X357)),VLOOKUP($D$3+X357,Calcs!$A$110:$B$122,2,TRUE),IF(AA357="Failed",VLOOKUP($D$3,Calcs!$A$110:$B$122,2,TRUE),VLOOKUP($D$3-(IF((Character!$B$9+W357)&gt;($D$3+Y357),(Character!$B$9+W357)-($D$3+Y357),0)),Calcs!$A$110:$B$122,2,TRUE)))))</f>
        <v xml:space="preserve"> </v>
      </c>
      <c r="AE357" s="490"/>
      <c r="AF357" s="879"/>
      <c r="AG357" s="491"/>
    </row>
    <row r="358" spans="1:33" x14ac:dyDescent="0.2">
      <c r="A358" s="415">
        <f t="shared" si="10"/>
        <v>1299</v>
      </c>
      <c r="B358" s="419" t="str">
        <f t="shared" si="11"/>
        <v>Summer</v>
      </c>
      <c r="C358" s="455"/>
      <c r="D358" s="504"/>
      <c r="E358" s="455"/>
      <c r="F358" s="504"/>
      <c r="G358" s="455"/>
      <c r="H358" s="504"/>
      <c r="I358" s="455"/>
      <c r="J358" s="504"/>
      <c r="L358" s="472"/>
      <c r="M358" s="468"/>
      <c r="N358" s="468"/>
      <c r="O358" s="468"/>
      <c r="P358" s="468"/>
      <c r="Q358" s="473"/>
      <c r="R358" s="477" t="str">
        <f>IF(AND(COUNTIF('Start Character'!$I$63:$M$77,"Twilight Prone")=1,NOT(ISERROR(FIND("Magical Botch",M358)))),"Yes",IF(P358&gt;1,"Yes","No"))</f>
        <v>No</v>
      </c>
      <c r="S358" s="501"/>
      <c r="T358" s="478"/>
      <c r="U358" s="501"/>
      <c r="V358" s="479" t="str">
        <f>IF(R358="No","No Twilight",IF(T358="Yes","Uncomprehended Twilight",IF((Character!$B$14+IF(Character!$B$53="Yes",0,Character!$B$53)+IF(Magic!$C$5="Yes",2,0)+ROUNDUP((Magic!$B$30+IF(Magic!$C$30="Yes",3,0))/5,0)+S358)&gt;=($D$3+P358+SUMIF(Character!$I$62:$I$66,"Enigmatic Wisdom",Character!$J$62:$J$66)+Q358+U358),"No Twilight","Twilight")))</f>
        <v>No Twilight</v>
      </c>
      <c r="W358" s="483"/>
      <c r="X358" s="478"/>
      <c r="Y358" s="484"/>
      <c r="Z358" s="478"/>
      <c r="AA358" s="485" t="str">
        <f>IF(V358="Uncomprehended Twilight","Failed",IF(OR(ISBLANK(W358),ISBLANK(Y358))," ",IF(NOT(ISBLANK(X358)),"Failed",IF((W358+Character!$B$9+SUMIF(Character!$I$62:$I$66,"Enigmatic Wisdom",Character!$J$62:$J$66))&gt;=IF(Z358="Yes",0,(Y358+D353)),"Succeeded","Failed"))))</f>
        <v xml:space="preserve"> </v>
      </c>
      <c r="AB358" s="477" t="str">
        <f>IF(AA358=" "," ",IF(NOT(ISBLANK(X358)),VLOOKUP($D$3+X358,Calcs!$A$110:$C$122,3,TRUE),IF(AA358="Failed",VLOOKUP($D$3,Calcs!$A$110:$C$122,3,TRUE),VLOOKUP($D$3-(IF((Character!$B$9+W358)&gt;($D$3+Y358),(Character!$B$9+W358)-($D$3+Y358),0)),Calcs!$A$110:$C$122,3,TRUE))))</f>
        <v xml:space="preserve"> </v>
      </c>
      <c r="AC358" s="489"/>
      <c r="AD358" s="489" t="str">
        <f>IF(IF(AA358=" "," ",IF(NOT(ISBLANK(X358)),VLOOKUP($D$3+X358,Calcs!$A$110:$B$122,2,TRUE),IF(AA358="Failed",VLOOKUP($D$3,Calcs!$A$110:$B$122,2,TRUE),VLOOKUP($D$3-(IF((Character!$B$9+W358)&gt;($D$3+Y358),(Character!$B$9+W358)-($D$3+Y358),0)),Calcs!$A$110:$B$122,2,TRUE))))=Calcs!$B$120,IF(ISBLANK(AC358)," ",CONCATENATE(AC358+7," Years")),IF(AA358=" "," ",IF(NOT(ISBLANK(X358)),VLOOKUP($D$3+X358,Calcs!$A$110:$B$122,2,TRUE),IF(AA358="Failed",VLOOKUP($D$3,Calcs!$A$110:$B$122,2,TRUE),VLOOKUP($D$3-(IF((Character!$B$9+W358)&gt;($D$3+Y358),(Character!$B$9+W358)-($D$3+Y358),0)),Calcs!$A$110:$B$122,2,TRUE)))))</f>
        <v xml:space="preserve"> </v>
      </c>
      <c r="AE358" s="490"/>
      <c r="AF358" s="879"/>
      <c r="AG358" s="491"/>
    </row>
    <row r="359" spans="1:33" x14ac:dyDescent="0.2">
      <c r="A359" s="415">
        <f t="shared" si="10"/>
        <v>1299</v>
      </c>
      <c r="B359" s="419" t="str">
        <f t="shared" si="11"/>
        <v>Autumn</v>
      </c>
      <c r="C359" s="455"/>
      <c r="D359" s="504"/>
      <c r="E359" s="455"/>
      <c r="F359" s="504"/>
      <c r="G359" s="455"/>
      <c r="H359" s="504"/>
      <c r="I359" s="455"/>
      <c r="J359" s="504"/>
      <c r="L359" s="472"/>
      <c r="M359" s="468"/>
      <c r="N359" s="468"/>
      <c r="O359" s="468"/>
      <c r="P359" s="468"/>
      <c r="Q359" s="473"/>
      <c r="R359" s="477" t="str">
        <f>IF(AND(COUNTIF('Start Character'!$I$63:$M$77,"Twilight Prone")=1,NOT(ISERROR(FIND("Magical Botch",M359)))),"Yes",IF(P359&gt;1,"Yes","No"))</f>
        <v>No</v>
      </c>
      <c r="S359" s="501"/>
      <c r="T359" s="478"/>
      <c r="U359" s="501"/>
      <c r="V359" s="479" t="str">
        <f>IF(R359="No","No Twilight",IF(T359="Yes","Uncomprehended Twilight",IF((Character!$B$14+IF(Character!$B$53="Yes",0,Character!$B$53)+IF(Magic!$C$5="Yes",2,0)+ROUNDUP((Magic!$B$30+IF(Magic!$C$30="Yes",3,0))/5,0)+S359)&gt;=($D$3+P359+SUMIF(Character!$I$62:$I$66,"Enigmatic Wisdom",Character!$J$62:$J$66)+Q359+U359),"No Twilight","Twilight")))</f>
        <v>No Twilight</v>
      </c>
      <c r="W359" s="483"/>
      <c r="X359" s="478"/>
      <c r="Y359" s="484"/>
      <c r="Z359" s="478"/>
      <c r="AA359" s="485" t="str">
        <f>IF(V359="Uncomprehended Twilight","Failed",IF(OR(ISBLANK(W359),ISBLANK(Y359))," ",IF(NOT(ISBLANK(X359)),"Failed",IF((W359+Character!$B$9+SUMIF(Character!$I$62:$I$66,"Enigmatic Wisdom",Character!$J$62:$J$66))&gt;=IF(Z359="Yes",0,(Y359+D354)),"Succeeded","Failed"))))</f>
        <v xml:space="preserve"> </v>
      </c>
      <c r="AB359" s="477" t="str">
        <f>IF(AA359=" "," ",IF(NOT(ISBLANK(X359)),VLOOKUP($D$3+X359,Calcs!$A$110:$C$122,3,TRUE),IF(AA359="Failed",VLOOKUP($D$3,Calcs!$A$110:$C$122,3,TRUE),VLOOKUP($D$3-(IF((Character!$B$9+W359)&gt;($D$3+Y359),(Character!$B$9+W359)-($D$3+Y359),0)),Calcs!$A$110:$C$122,3,TRUE))))</f>
        <v xml:space="preserve"> </v>
      </c>
      <c r="AC359" s="489"/>
      <c r="AD359" s="489" t="str">
        <f>IF(IF(AA359=" "," ",IF(NOT(ISBLANK(X359)),VLOOKUP($D$3+X359,Calcs!$A$110:$B$122,2,TRUE),IF(AA359="Failed",VLOOKUP($D$3,Calcs!$A$110:$B$122,2,TRUE),VLOOKUP($D$3-(IF((Character!$B$9+W359)&gt;($D$3+Y359),(Character!$B$9+W359)-($D$3+Y359),0)),Calcs!$A$110:$B$122,2,TRUE))))=Calcs!$B$120,IF(ISBLANK(AC359)," ",CONCATENATE(AC359+7," Years")),IF(AA359=" "," ",IF(NOT(ISBLANK(X359)),VLOOKUP($D$3+X359,Calcs!$A$110:$B$122,2,TRUE),IF(AA359="Failed",VLOOKUP($D$3,Calcs!$A$110:$B$122,2,TRUE),VLOOKUP($D$3-(IF((Character!$B$9+W359)&gt;($D$3+Y359),(Character!$B$9+W359)-($D$3+Y359),0)),Calcs!$A$110:$B$122,2,TRUE)))))</f>
        <v xml:space="preserve"> </v>
      </c>
      <c r="AE359" s="490"/>
      <c r="AF359" s="879"/>
      <c r="AG359" s="491"/>
    </row>
    <row r="360" spans="1:33" x14ac:dyDescent="0.2">
      <c r="A360" s="415">
        <f t="shared" si="10"/>
        <v>1300</v>
      </c>
      <c r="B360" s="419" t="str">
        <f t="shared" si="11"/>
        <v>Winter</v>
      </c>
      <c r="C360" s="455"/>
      <c r="D360" s="504"/>
      <c r="E360" s="455"/>
      <c r="F360" s="504"/>
      <c r="G360" s="455"/>
      <c r="H360" s="504"/>
      <c r="I360" s="455"/>
      <c r="J360" s="504"/>
      <c r="L360" s="472"/>
      <c r="M360" s="468"/>
      <c r="N360" s="468"/>
      <c r="O360" s="468"/>
      <c r="P360" s="468"/>
      <c r="Q360" s="473"/>
      <c r="R360" s="477" t="str">
        <f>IF(AND(COUNTIF('Start Character'!$I$63:$M$77,"Twilight Prone")=1,NOT(ISERROR(FIND("Magical Botch",M360)))),"Yes",IF(P360&gt;1,"Yes","No"))</f>
        <v>No</v>
      </c>
      <c r="S360" s="501"/>
      <c r="T360" s="478"/>
      <c r="U360" s="501"/>
      <c r="V360" s="479" t="str">
        <f>IF(R360="No","No Twilight",IF(T360="Yes","Uncomprehended Twilight",IF((Character!$B$14+IF(Character!$B$53="Yes",0,Character!$B$53)+IF(Magic!$C$5="Yes",2,0)+ROUNDUP((Magic!$B$30+IF(Magic!$C$30="Yes",3,0))/5,0)+S360)&gt;=($D$3+P360+SUMIF(Character!$I$62:$I$66,"Enigmatic Wisdom",Character!$J$62:$J$66)+Q360+U360),"No Twilight","Twilight")))</f>
        <v>No Twilight</v>
      </c>
      <c r="W360" s="483"/>
      <c r="X360" s="478"/>
      <c r="Y360" s="484"/>
      <c r="Z360" s="478"/>
      <c r="AA360" s="485" t="str">
        <f>IF(V360="Uncomprehended Twilight","Failed",IF(OR(ISBLANK(W360),ISBLANK(Y360))," ",IF(NOT(ISBLANK(X360)),"Failed",IF((W360+Character!$B$9+SUMIF(Character!$I$62:$I$66,"Enigmatic Wisdom",Character!$J$62:$J$66))&gt;=IF(Z360="Yes",0,(Y360+D355)),"Succeeded","Failed"))))</f>
        <v xml:space="preserve"> </v>
      </c>
      <c r="AB360" s="477" t="str">
        <f>IF(AA360=" "," ",IF(NOT(ISBLANK(X360)),VLOOKUP($D$3+X360,Calcs!$A$110:$C$122,3,TRUE),IF(AA360="Failed",VLOOKUP($D$3,Calcs!$A$110:$C$122,3,TRUE),VLOOKUP($D$3-(IF((Character!$B$9+W360)&gt;($D$3+Y360),(Character!$B$9+W360)-($D$3+Y360),0)),Calcs!$A$110:$C$122,3,TRUE))))</f>
        <v xml:space="preserve"> </v>
      </c>
      <c r="AC360" s="489"/>
      <c r="AD360" s="489" t="str">
        <f>IF(IF(AA360=" "," ",IF(NOT(ISBLANK(X360)),VLOOKUP($D$3+X360,Calcs!$A$110:$B$122,2,TRUE),IF(AA360="Failed",VLOOKUP($D$3,Calcs!$A$110:$B$122,2,TRUE),VLOOKUP($D$3-(IF((Character!$B$9+W360)&gt;($D$3+Y360),(Character!$B$9+W360)-($D$3+Y360),0)),Calcs!$A$110:$B$122,2,TRUE))))=Calcs!$B$120,IF(ISBLANK(AC360)," ",CONCATENATE(AC360+7," Years")),IF(AA360=" "," ",IF(NOT(ISBLANK(X360)),VLOOKUP($D$3+X360,Calcs!$A$110:$B$122,2,TRUE),IF(AA360="Failed",VLOOKUP($D$3,Calcs!$A$110:$B$122,2,TRUE),VLOOKUP($D$3-(IF((Character!$B$9+W360)&gt;($D$3+Y360),(Character!$B$9+W360)-($D$3+Y360),0)),Calcs!$A$110:$B$122,2,TRUE)))))</f>
        <v xml:space="preserve"> </v>
      </c>
      <c r="AE360" s="490"/>
      <c r="AF360" s="879"/>
      <c r="AG360" s="491"/>
    </row>
    <row r="361" spans="1:33" x14ac:dyDescent="0.2">
      <c r="A361" s="415">
        <f t="shared" si="10"/>
        <v>1300</v>
      </c>
      <c r="B361" s="419" t="str">
        <f t="shared" si="11"/>
        <v>Spring</v>
      </c>
      <c r="C361" s="455"/>
      <c r="D361" s="504"/>
      <c r="E361" s="455"/>
      <c r="F361" s="504"/>
      <c r="G361" s="455"/>
      <c r="H361" s="504"/>
      <c r="I361" s="455"/>
      <c r="J361" s="504"/>
      <c r="L361" s="472"/>
      <c r="M361" s="468"/>
      <c r="N361" s="468"/>
      <c r="O361" s="468"/>
      <c r="P361" s="468"/>
      <c r="Q361" s="473"/>
      <c r="R361" s="477" t="str">
        <f>IF(AND(COUNTIF('Start Character'!$I$63:$M$77,"Twilight Prone")=1,NOT(ISERROR(FIND("Magical Botch",M361)))),"Yes",IF(P361&gt;1,"Yes","No"))</f>
        <v>No</v>
      </c>
      <c r="S361" s="501"/>
      <c r="T361" s="478"/>
      <c r="U361" s="501"/>
      <c r="V361" s="479" t="str">
        <f>IF(R361="No","No Twilight",IF(T361="Yes","Uncomprehended Twilight",IF((Character!$B$14+IF(Character!$B$53="Yes",0,Character!$B$53)+IF(Magic!$C$5="Yes",2,0)+ROUNDUP((Magic!$B$30+IF(Magic!$C$30="Yes",3,0))/5,0)+S361)&gt;=($D$3+P361+SUMIF(Character!$I$62:$I$66,"Enigmatic Wisdom",Character!$J$62:$J$66)+Q361+U361),"No Twilight","Twilight")))</f>
        <v>No Twilight</v>
      </c>
      <c r="W361" s="483"/>
      <c r="X361" s="478"/>
      <c r="Y361" s="484"/>
      <c r="Z361" s="478"/>
      <c r="AA361" s="485" t="str">
        <f>IF(V361="Uncomprehended Twilight","Failed",IF(OR(ISBLANK(W361),ISBLANK(Y361))," ",IF(NOT(ISBLANK(X361)),"Failed",IF((W361+Character!$B$9+SUMIF(Character!$I$62:$I$66,"Enigmatic Wisdom",Character!$J$62:$J$66))&gt;=IF(Z361="Yes",0,(Y361+D356)),"Succeeded","Failed"))))</f>
        <v xml:space="preserve"> </v>
      </c>
      <c r="AB361" s="477" t="str">
        <f>IF(AA361=" "," ",IF(NOT(ISBLANK(X361)),VLOOKUP($D$3+X361,Calcs!$A$110:$C$122,3,TRUE),IF(AA361="Failed",VLOOKUP($D$3,Calcs!$A$110:$C$122,3,TRUE),VLOOKUP($D$3-(IF((Character!$B$9+W361)&gt;($D$3+Y361),(Character!$B$9+W361)-($D$3+Y361),0)),Calcs!$A$110:$C$122,3,TRUE))))</f>
        <v xml:space="preserve"> </v>
      </c>
      <c r="AC361" s="489"/>
      <c r="AD361" s="489" t="str">
        <f>IF(IF(AA361=" "," ",IF(NOT(ISBLANK(X361)),VLOOKUP($D$3+X361,Calcs!$A$110:$B$122,2,TRUE),IF(AA361="Failed",VLOOKUP($D$3,Calcs!$A$110:$B$122,2,TRUE),VLOOKUP($D$3-(IF((Character!$B$9+W361)&gt;($D$3+Y361),(Character!$B$9+W361)-($D$3+Y361),0)),Calcs!$A$110:$B$122,2,TRUE))))=Calcs!$B$120,IF(ISBLANK(AC361)," ",CONCATENATE(AC361+7," Years")),IF(AA361=" "," ",IF(NOT(ISBLANK(X361)),VLOOKUP($D$3+X361,Calcs!$A$110:$B$122,2,TRUE),IF(AA361="Failed",VLOOKUP($D$3,Calcs!$A$110:$B$122,2,TRUE),VLOOKUP($D$3-(IF((Character!$B$9+W361)&gt;($D$3+Y361),(Character!$B$9+W361)-($D$3+Y361),0)),Calcs!$A$110:$B$122,2,TRUE)))))</f>
        <v xml:space="preserve"> </v>
      </c>
      <c r="AE361" s="490"/>
      <c r="AF361" s="879"/>
      <c r="AG361" s="491"/>
    </row>
    <row r="362" spans="1:33" x14ac:dyDescent="0.2">
      <c r="A362" s="415">
        <f t="shared" si="10"/>
        <v>1300</v>
      </c>
      <c r="B362" s="419" t="str">
        <f t="shared" si="11"/>
        <v>Summer</v>
      </c>
      <c r="C362" s="455"/>
      <c r="D362" s="504"/>
      <c r="E362" s="455"/>
      <c r="F362" s="504"/>
      <c r="G362" s="455"/>
      <c r="H362" s="504"/>
      <c r="I362" s="455"/>
      <c r="J362" s="504"/>
      <c r="L362" s="472"/>
      <c r="M362" s="468"/>
      <c r="N362" s="468"/>
      <c r="O362" s="468"/>
      <c r="P362" s="468"/>
      <c r="Q362" s="473"/>
      <c r="R362" s="477" t="str">
        <f>IF(AND(COUNTIF('Start Character'!$I$63:$M$77,"Twilight Prone")=1,NOT(ISERROR(FIND("Magical Botch",M362)))),"Yes",IF(P362&gt;1,"Yes","No"))</f>
        <v>No</v>
      </c>
      <c r="S362" s="501"/>
      <c r="T362" s="478"/>
      <c r="U362" s="501"/>
      <c r="V362" s="479" t="str">
        <f>IF(R362="No","No Twilight",IF(T362="Yes","Uncomprehended Twilight",IF((Character!$B$14+IF(Character!$B$53="Yes",0,Character!$B$53)+IF(Magic!$C$5="Yes",2,0)+ROUNDUP((Magic!$B$30+IF(Magic!$C$30="Yes",3,0))/5,0)+S362)&gt;=($D$3+P362+SUMIF(Character!$I$62:$I$66,"Enigmatic Wisdom",Character!$J$62:$J$66)+Q362+U362),"No Twilight","Twilight")))</f>
        <v>No Twilight</v>
      </c>
      <c r="W362" s="483"/>
      <c r="X362" s="478"/>
      <c r="Y362" s="484"/>
      <c r="Z362" s="478"/>
      <c r="AA362" s="485" t="str">
        <f>IF(V362="Uncomprehended Twilight","Failed",IF(OR(ISBLANK(W362),ISBLANK(Y362))," ",IF(NOT(ISBLANK(X362)),"Failed",IF((W362+Character!$B$9+SUMIF(Character!$I$62:$I$66,"Enigmatic Wisdom",Character!$J$62:$J$66))&gt;=IF(Z362="Yes",0,(Y362+D357)),"Succeeded","Failed"))))</f>
        <v xml:space="preserve"> </v>
      </c>
      <c r="AB362" s="477" t="str">
        <f>IF(AA362=" "," ",IF(NOT(ISBLANK(X362)),VLOOKUP($D$3+X362,Calcs!$A$110:$C$122,3,TRUE),IF(AA362="Failed",VLOOKUP($D$3,Calcs!$A$110:$C$122,3,TRUE),VLOOKUP($D$3-(IF((Character!$B$9+W362)&gt;($D$3+Y362),(Character!$B$9+W362)-($D$3+Y362),0)),Calcs!$A$110:$C$122,3,TRUE))))</f>
        <v xml:space="preserve"> </v>
      </c>
      <c r="AC362" s="489"/>
      <c r="AD362" s="489" t="str">
        <f>IF(IF(AA362=" "," ",IF(NOT(ISBLANK(X362)),VLOOKUP($D$3+X362,Calcs!$A$110:$B$122,2,TRUE),IF(AA362="Failed",VLOOKUP($D$3,Calcs!$A$110:$B$122,2,TRUE),VLOOKUP($D$3-(IF((Character!$B$9+W362)&gt;($D$3+Y362),(Character!$B$9+W362)-($D$3+Y362),0)),Calcs!$A$110:$B$122,2,TRUE))))=Calcs!$B$120,IF(ISBLANK(AC362)," ",CONCATENATE(AC362+7," Years")),IF(AA362=" "," ",IF(NOT(ISBLANK(X362)),VLOOKUP($D$3+X362,Calcs!$A$110:$B$122,2,TRUE),IF(AA362="Failed",VLOOKUP($D$3,Calcs!$A$110:$B$122,2,TRUE),VLOOKUP($D$3-(IF((Character!$B$9+W362)&gt;($D$3+Y362),(Character!$B$9+W362)-($D$3+Y362),0)),Calcs!$A$110:$B$122,2,TRUE)))))</f>
        <v xml:space="preserve"> </v>
      </c>
      <c r="AE362" s="490"/>
      <c r="AF362" s="879"/>
      <c r="AG362" s="491"/>
    </row>
    <row r="363" spans="1:33" x14ac:dyDescent="0.2">
      <c r="A363" s="415">
        <f t="shared" si="10"/>
        <v>1300</v>
      </c>
      <c r="B363" s="419" t="str">
        <f t="shared" si="11"/>
        <v>Autumn</v>
      </c>
      <c r="C363" s="455"/>
      <c r="D363" s="504"/>
      <c r="E363" s="455"/>
      <c r="F363" s="504"/>
      <c r="G363" s="455"/>
      <c r="H363" s="504"/>
      <c r="I363" s="455"/>
      <c r="J363" s="504"/>
      <c r="L363" s="472"/>
      <c r="M363" s="468"/>
      <c r="N363" s="468"/>
      <c r="O363" s="468"/>
      <c r="P363" s="468"/>
      <c r="Q363" s="473"/>
      <c r="R363" s="477" t="str">
        <f>IF(AND(COUNTIF('Start Character'!$I$63:$M$77,"Twilight Prone")=1,NOT(ISERROR(FIND("Magical Botch",M363)))),"Yes",IF(P363&gt;1,"Yes","No"))</f>
        <v>No</v>
      </c>
      <c r="S363" s="501"/>
      <c r="T363" s="478"/>
      <c r="U363" s="501"/>
      <c r="V363" s="479" t="str">
        <f>IF(R363="No","No Twilight",IF(T363="Yes","Uncomprehended Twilight",IF((Character!$B$14+IF(Character!$B$53="Yes",0,Character!$B$53)+IF(Magic!$C$5="Yes",2,0)+ROUNDUP((Magic!$B$30+IF(Magic!$C$30="Yes",3,0))/5,0)+S363)&gt;=($D$3+P363+SUMIF(Character!$I$62:$I$66,"Enigmatic Wisdom",Character!$J$62:$J$66)+Q363+U363),"No Twilight","Twilight")))</f>
        <v>No Twilight</v>
      </c>
      <c r="W363" s="483"/>
      <c r="X363" s="478"/>
      <c r="Y363" s="484"/>
      <c r="Z363" s="478"/>
      <c r="AA363" s="485" t="str">
        <f>IF(V363="Uncomprehended Twilight","Failed",IF(OR(ISBLANK(W363),ISBLANK(Y363))," ",IF(NOT(ISBLANK(X363)),"Failed",IF((W363+Character!$B$9+SUMIF(Character!$I$62:$I$66,"Enigmatic Wisdom",Character!$J$62:$J$66))&gt;=IF(Z363="Yes",0,(Y363+D358)),"Succeeded","Failed"))))</f>
        <v xml:space="preserve"> </v>
      </c>
      <c r="AB363" s="477" t="str">
        <f>IF(AA363=" "," ",IF(NOT(ISBLANK(X363)),VLOOKUP($D$3+X363,Calcs!$A$110:$C$122,3,TRUE),IF(AA363="Failed",VLOOKUP($D$3,Calcs!$A$110:$C$122,3,TRUE),VLOOKUP($D$3-(IF((Character!$B$9+W363)&gt;($D$3+Y363),(Character!$B$9+W363)-($D$3+Y363),0)),Calcs!$A$110:$C$122,3,TRUE))))</f>
        <v xml:space="preserve"> </v>
      </c>
      <c r="AC363" s="489"/>
      <c r="AD363" s="489" t="str">
        <f>IF(IF(AA363=" "," ",IF(NOT(ISBLANK(X363)),VLOOKUP($D$3+X363,Calcs!$A$110:$B$122,2,TRUE),IF(AA363="Failed",VLOOKUP($D$3,Calcs!$A$110:$B$122,2,TRUE),VLOOKUP($D$3-(IF((Character!$B$9+W363)&gt;($D$3+Y363),(Character!$B$9+W363)-($D$3+Y363),0)),Calcs!$A$110:$B$122,2,TRUE))))=Calcs!$B$120,IF(ISBLANK(AC363)," ",CONCATENATE(AC363+7," Years")),IF(AA363=" "," ",IF(NOT(ISBLANK(X363)),VLOOKUP($D$3+X363,Calcs!$A$110:$B$122,2,TRUE),IF(AA363="Failed",VLOOKUP($D$3,Calcs!$A$110:$B$122,2,TRUE),VLOOKUP($D$3-(IF((Character!$B$9+W363)&gt;($D$3+Y363),(Character!$B$9+W363)-($D$3+Y363),0)),Calcs!$A$110:$B$122,2,TRUE)))))</f>
        <v xml:space="preserve"> </v>
      </c>
      <c r="AE363" s="490"/>
      <c r="AF363" s="879"/>
      <c r="AG363" s="491"/>
    </row>
    <row r="364" spans="1:33" x14ac:dyDescent="0.2">
      <c r="A364" s="415">
        <f t="shared" si="10"/>
        <v>1301</v>
      </c>
      <c r="B364" s="419" t="str">
        <f t="shared" si="11"/>
        <v>Winter</v>
      </c>
      <c r="C364" s="455"/>
      <c r="D364" s="504"/>
      <c r="E364" s="455"/>
      <c r="F364" s="504"/>
      <c r="G364" s="455"/>
      <c r="H364" s="504"/>
      <c r="I364" s="455"/>
      <c r="J364" s="504"/>
      <c r="L364" s="472"/>
      <c r="M364" s="468"/>
      <c r="N364" s="468"/>
      <c r="O364" s="468"/>
      <c r="P364" s="468"/>
      <c r="Q364" s="473"/>
      <c r="R364" s="477" t="str">
        <f>IF(AND(COUNTIF('Start Character'!$I$63:$M$77,"Twilight Prone")=1,NOT(ISERROR(FIND("Magical Botch",M364)))),"Yes",IF(P364&gt;1,"Yes","No"))</f>
        <v>No</v>
      </c>
      <c r="S364" s="501"/>
      <c r="T364" s="478"/>
      <c r="U364" s="501"/>
      <c r="V364" s="479" t="str">
        <f>IF(R364="No","No Twilight",IF(T364="Yes","Uncomprehended Twilight",IF((Character!$B$14+IF(Character!$B$53="Yes",0,Character!$B$53)+IF(Magic!$C$5="Yes",2,0)+ROUNDUP((Magic!$B$30+IF(Magic!$C$30="Yes",3,0))/5,0)+S364)&gt;=($D$3+P364+SUMIF(Character!$I$62:$I$66,"Enigmatic Wisdom",Character!$J$62:$J$66)+Q364+U364),"No Twilight","Twilight")))</f>
        <v>No Twilight</v>
      </c>
      <c r="W364" s="483"/>
      <c r="X364" s="478"/>
      <c r="Y364" s="484"/>
      <c r="Z364" s="478"/>
      <c r="AA364" s="485" t="str">
        <f>IF(V364="Uncomprehended Twilight","Failed",IF(OR(ISBLANK(W364),ISBLANK(Y364))," ",IF(NOT(ISBLANK(X364)),"Failed",IF((W364+Character!$B$9+SUMIF(Character!$I$62:$I$66,"Enigmatic Wisdom",Character!$J$62:$J$66))&gt;=IF(Z364="Yes",0,(Y364+D359)),"Succeeded","Failed"))))</f>
        <v xml:space="preserve"> </v>
      </c>
      <c r="AB364" s="477" t="str">
        <f>IF(AA364=" "," ",IF(NOT(ISBLANK(X364)),VLOOKUP($D$3+X364,Calcs!$A$110:$C$122,3,TRUE),IF(AA364="Failed",VLOOKUP($D$3,Calcs!$A$110:$C$122,3,TRUE),VLOOKUP($D$3-(IF((Character!$B$9+W364)&gt;($D$3+Y364),(Character!$B$9+W364)-($D$3+Y364),0)),Calcs!$A$110:$C$122,3,TRUE))))</f>
        <v xml:space="preserve"> </v>
      </c>
      <c r="AC364" s="489"/>
      <c r="AD364" s="489" t="str">
        <f>IF(IF(AA364=" "," ",IF(NOT(ISBLANK(X364)),VLOOKUP($D$3+X364,Calcs!$A$110:$B$122,2,TRUE),IF(AA364="Failed",VLOOKUP($D$3,Calcs!$A$110:$B$122,2,TRUE),VLOOKUP($D$3-(IF((Character!$B$9+W364)&gt;($D$3+Y364),(Character!$B$9+W364)-($D$3+Y364),0)),Calcs!$A$110:$B$122,2,TRUE))))=Calcs!$B$120,IF(ISBLANK(AC364)," ",CONCATENATE(AC364+7," Years")),IF(AA364=" "," ",IF(NOT(ISBLANK(X364)),VLOOKUP($D$3+X364,Calcs!$A$110:$B$122,2,TRUE),IF(AA364="Failed",VLOOKUP($D$3,Calcs!$A$110:$B$122,2,TRUE),VLOOKUP($D$3-(IF((Character!$B$9+W364)&gt;($D$3+Y364),(Character!$B$9+W364)-($D$3+Y364),0)),Calcs!$A$110:$B$122,2,TRUE)))))</f>
        <v xml:space="preserve"> </v>
      </c>
      <c r="AE364" s="490"/>
      <c r="AF364" s="879"/>
      <c r="AG364" s="491"/>
    </row>
    <row r="365" spans="1:33" x14ac:dyDescent="0.2">
      <c r="A365" s="415">
        <f t="shared" si="10"/>
        <v>1301</v>
      </c>
      <c r="B365" s="419" t="str">
        <f t="shared" si="11"/>
        <v>Spring</v>
      </c>
      <c r="C365" s="455"/>
      <c r="D365" s="504"/>
      <c r="E365" s="455"/>
      <c r="F365" s="504"/>
      <c r="G365" s="455"/>
      <c r="H365" s="504"/>
      <c r="I365" s="455"/>
      <c r="J365" s="504"/>
      <c r="L365" s="472"/>
      <c r="M365" s="468"/>
      <c r="N365" s="468"/>
      <c r="O365" s="468"/>
      <c r="P365" s="468"/>
      <c r="Q365" s="473"/>
      <c r="R365" s="477" t="str">
        <f>IF(AND(COUNTIF('Start Character'!$I$63:$M$77,"Twilight Prone")=1,NOT(ISERROR(FIND("Magical Botch",M365)))),"Yes",IF(P365&gt;1,"Yes","No"))</f>
        <v>No</v>
      </c>
      <c r="S365" s="501"/>
      <c r="T365" s="478"/>
      <c r="U365" s="501"/>
      <c r="V365" s="479" t="str">
        <f>IF(R365="No","No Twilight",IF(T365="Yes","Uncomprehended Twilight",IF((Character!$B$14+IF(Character!$B$53="Yes",0,Character!$B$53)+IF(Magic!$C$5="Yes",2,0)+ROUNDUP((Magic!$B$30+IF(Magic!$C$30="Yes",3,0))/5,0)+S365)&gt;=($D$3+P365+SUMIF(Character!$I$62:$I$66,"Enigmatic Wisdom",Character!$J$62:$J$66)+Q365+U365),"No Twilight","Twilight")))</f>
        <v>No Twilight</v>
      </c>
      <c r="W365" s="483"/>
      <c r="X365" s="478"/>
      <c r="Y365" s="484"/>
      <c r="Z365" s="478"/>
      <c r="AA365" s="485" t="str">
        <f>IF(V365="Uncomprehended Twilight","Failed",IF(OR(ISBLANK(W365),ISBLANK(Y365))," ",IF(NOT(ISBLANK(X365)),"Failed",IF((W365+Character!$B$9+SUMIF(Character!$I$62:$I$66,"Enigmatic Wisdom",Character!$J$62:$J$66))&gt;=IF(Z365="Yes",0,(Y365+D360)),"Succeeded","Failed"))))</f>
        <v xml:space="preserve"> </v>
      </c>
      <c r="AB365" s="477" t="str">
        <f>IF(AA365=" "," ",IF(NOT(ISBLANK(X365)),VLOOKUP($D$3+X365,Calcs!$A$110:$C$122,3,TRUE),IF(AA365="Failed",VLOOKUP($D$3,Calcs!$A$110:$C$122,3,TRUE),VLOOKUP($D$3-(IF((Character!$B$9+W365)&gt;($D$3+Y365),(Character!$B$9+W365)-($D$3+Y365),0)),Calcs!$A$110:$C$122,3,TRUE))))</f>
        <v xml:space="preserve"> </v>
      </c>
      <c r="AC365" s="489"/>
      <c r="AD365" s="489" t="str">
        <f>IF(IF(AA365=" "," ",IF(NOT(ISBLANK(X365)),VLOOKUP($D$3+X365,Calcs!$A$110:$B$122,2,TRUE),IF(AA365="Failed",VLOOKUP($D$3,Calcs!$A$110:$B$122,2,TRUE),VLOOKUP($D$3-(IF((Character!$B$9+W365)&gt;($D$3+Y365),(Character!$B$9+W365)-($D$3+Y365),0)),Calcs!$A$110:$B$122,2,TRUE))))=Calcs!$B$120,IF(ISBLANK(AC365)," ",CONCATENATE(AC365+7," Years")),IF(AA365=" "," ",IF(NOT(ISBLANK(X365)),VLOOKUP($D$3+X365,Calcs!$A$110:$B$122,2,TRUE),IF(AA365="Failed",VLOOKUP($D$3,Calcs!$A$110:$B$122,2,TRUE),VLOOKUP($D$3-(IF((Character!$B$9+W365)&gt;($D$3+Y365),(Character!$B$9+W365)-($D$3+Y365),0)),Calcs!$A$110:$B$122,2,TRUE)))))</f>
        <v xml:space="preserve"> </v>
      </c>
      <c r="AE365" s="490"/>
      <c r="AF365" s="879"/>
      <c r="AG365" s="491"/>
    </row>
    <row r="366" spans="1:33" x14ac:dyDescent="0.2">
      <c r="A366" s="415">
        <f t="shared" si="10"/>
        <v>1301</v>
      </c>
      <c r="B366" s="419" t="str">
        <f t="shared" si="11"/>
        <v>Summer</v>
      </c>
      <c r="C366" s="455"/>
      <c r="D366" s="504"/>
      <c r="E366" s="455"/>
      <c r="F366" s="504"/>
      <c r="G366" s="455"/>
      <c r="H366" s="504"/>
      <c r="I366" s="455"/>
      <c r="J366" s="504"/>
      <c r="L366" s="472"/>
      <c r="M366" s="468"/>
      <c r="N366" s="468"/>
      <c r="O366" s="468"/>
      <c r="P366" s="468"/>
      <c r="Q366" s="473"/>
      <c r="R366" s="477" t="str">
        <f>IF(AND(COUNTIF('Start Character'!$I$63:$M$77,"Twilight Prone")=1,NOT(ISERROR(FIND("Magical Botch",M366)))),"Yes",IF(P366&gt;1,"Yes","No"))</f>
        <v>No</v>
      </c>
      <c r="S366" s="501"/>
      <c r="T366" s="478"/>
      <c r="U366" s="501"/>
      <c r="V366" s="479" t="str">
        <f>IF(R366="No","No Twilight",IF(T366="Yes","Uncomprehended Twilight",IF((Character!$B$14+IF(Character!$B$53="Yes",0,Character!$B$53)+IF(Magic!$C$5="Yes",2,0)+ROUNDUP((Magic!$B$30+IF(Magic!$C$30="Yes",3,0))/5,0)+S366)&gt;=($D$3+P366+SUMIF(Character!$I$62:$I$66,"Enigmatic Wisdom",Character!$J$62:$J$66)+Q366+U366),"No Twilight","Twilight")))</f>
        <v>No Twilight</v>
      </c>
      <c r="W366" s="483"/>
      <c r="X366" s="478"/>
      <c r="Y366" s="484"/>
      <c r="Z366" s="478"/>
      <c r="AA366" s="485" t="str">
        <f>IF(V366="Uncomprehended Twilight","Failed",IF(OR(ISBLANK(W366),ISBLANK(Y366))," ",IF(NOT(ISBLANK(X366)),"Failed",IF((W366+Character!$B$9+SUMIF(Character!$I$62:$I$66,"Enigmatic Wisdom",Character!$J$62:$J$66))&gt;=IF(Z366="Yes",0,(Y366+D361)),"Succeeded","Failed"))))</f>
        <v xml:space="preserve"> </v>
      </c>
      <c r="AB366" s="477" t="str">
        <f>IF(AA366=" "," ",IF(NOT(ISBLANK(X366)),VLOOKUP($D$3+X366,Calcs!$A$110:$C$122,3,TRUE),IF(AA366="Failed",VLOOKUP($D$3,Calcs!$A$110:$C$122,3,TRUE),VLOOKUP($D$3-(IF((Character!$B$9+W366)&gt;($D$3+Y366),(Character!$B$9+W366)-($D$3+Y366),0)),Calcs!$A$110:$C$122,3,TRUE))))</f>
        <v xml:space="preserve"> </v>
      </c>
      <c r="AC366" s="489"/>
      <c r="AD366" s="489" t="str">
        <f>IF(IF(AA366=" "," ",IF(NOT(ISBLANK(X366)),VLOOKUP($D$3+X366,Calcs!$A$110:$B$122,2,TRUE),IF(AA366="Failed",VLOOKUP($D$3,Calcs!$A$110:$B$122,2,TRUE),VLOOKUP($D$3-(IF((Character!$B$9+W366)&gt;($D$3+Y366),(Character!$B$9+W366)-($D$3+Y366),0)),Calcs!$A$110:$B$122,2,TRUE))))=Calcs!$B$120,IF(ISBLANK(AC366)," ",CONCATENATE(AC366+7," Years")),IF(AA366=" "," ",IF(NOT(ISBLANK(X366)),VLOOKUP($D$3+X366,Calcs!$A$110:$B$122,2,TRUE),IF(AA366="Failed",VLOOKUP($D$3,Calcs!$A$110:$B$122,2,TRUE),VLOOKUP($D$3-(IF((Character!$B$9+W366)&gt;($D$3+Y366),(Character!$B$9+W366)-($D$3+Y366),0)),Calcs!$A$110:$B$122,2,TRUE)))))</f>
        <v xml:space="preserve"> </v>
      </c>
      <c r="AE366" s="490"/>
      <c r="AF366" s="879"/>
      <c r="AG366" s="491"/>
    </row>
    <row r="367" spans="1:33" x14ac:dyDescent="0.2">
      <c r="A367" s="415">
        <f t="shared" si="10"/>
        <v>1301</v>
      </c>
      <c r="B367" s="419" t="str">
        <f t="shared" si="11"/>
        <v>Autumn</v>
      </c>
      <c r="C367" s="455"/>
      <c r="D367" s="504"/>
      <c r="E367" s="455"/>
      <c r="F367" s="504"/>
      <c r="G367" s="455"/>
      <c r="H367" s="504"/>
      <c r="I367" s="455"/>
      <c r="J367" s="504"/>
      <c r="L367" s="472"/>
      <c r="M367" s="468"/>
      <c r="N367" s="468"/>
      <c r="O367" s="468"/>
      <c r="P367" s="468"/>
      <c r="Q367" s="473"/>
      <c r="R367" s="477" t="str">
        <f>IF(AND(COUNTIF('Start Character'!$I$63:$M$77,"Twilight Prone")=1,NOT(ISERROR(FIND("Magical Botch",M367)))),"Yes",IF(P367&gt;1,"Yes","No"))</f>
        <v>No</v>
      </c>
      <c r="S367" s="501"/>
      <c r="T367" s="478"/>
      <c r="U367" s="501"/>
      <c r="V367" s="479" t="str">
        <f>IF(R367="No","No Twilight",IF(T367="Yes","Uncomprehended Twilight",IF((Character!$B$14+IF(Character!$B$53="Yes",0,Character!$B$53)+IF(Magic!$C$5="Yes",2,0)+ROUNDUP((Magic!$B$30+IF(Magic!$C$30="Yes",3,0))/5,0)+S367)&gt;=($D$3+P367+SUMIF(Character!$I$62:$I$66,"Enigmatic Wisdom",Character!$J$62:$J$66)+Q367+U367),"No Twilight","Twilight")))</f>
        <v>No Twilight</v>
      </c>
      <c r="W367" s="483"/>
      <c r="X367" s="478"/>
      <c r="Y367" s="484"/>
      <c r="Z367" s="478"/>
      <c r="AA367" s="485" t="str">
        <f>IF(V367="Uncomprehended Twilight","Failed",IF(OR(ISBLANK(W367),ISBLANK(Y367))," ",IF(NOT(ISBLANK(X367)),"Failed",IF((W367+Character!$B$9+SUMIF(Character!$I$62:$I$66,"Enigmatic Wisdom",Character!$J$62:$J$66))&gt;=IF(Z367="Yes",0,(Y367+D362)),"Succeeded","Failed"))))</f>
        <v xml:space="preserve"> </v>
      </c>
      <c r="AB367" s="477" t="str">
        <f>IF(AA367=" "," ",IF(NOT(ISBLANK(X367)),VLOOKUP($D$3+X367,Calcs!$A$110:$C$122,3,TRUE),IF(AA367="Failed",VLOOKUP($D$3,Calcs!$A$110:$C$122,3,TRUE),VLOOKUP($D$3-(IF((Character!$B$9+W367)&gt;($D$3+Y367),(Character!$B$9+W367)-($D$3+Y367),0)),Calcs!$A$110:$C$122,3,TRUE))))</f>
        <v xml:space="preserve"> </v>
      </c>
      <c r="AC367" s="489"/>
      <c r="AD367" s="489" t="str">
        <f>IF(IF(AA367=" "," ",IF(NOT(ISBLANK(X367)),VLOOKUP($D$3+X367,Calcs!$A$110:$B$122,2,TRUE),IF(AA367="Failed",VLOOKUP($D$3,Calcs!$A$110:$B$122,2,TRUE),VLOOKUP($D$3-(IF((Character!$B$9+W367)&gt;($D$3+Y367),(Character!$B$9+W367)-($D$3+Y367),0)),Calcs!$A$110:$B$122,2,TRUE))))=Calcs!$B$120,IF(ISBLANK(AC367)," ",CONCATENATE(AC367+7," Years")),IF(AA367=" "," ",IF(NOT(ISBLANK(X367)),VLOOKUP($D$3+X367,Calcs!$A$110:$B$122,2,TRUE),IF(AA367="Failed",VLOOKUP($D$3,Calcs!$A$110:$B$122,2,TRUE),VLOOKUP($D$3-(IF((Character!$B$9+W367)&gt;($D$3+Y367),(Character!$B$9+W367)-($D$3+Y367),0)),Calcs!$A$110:$B$122,2,TRUE)))))</f>
        <v xml:space="preserve"> </v>
      </c>
      <c r="AE367" s="490"/>
      <c r="AF367" s="879"/>
      <c r="AG367" s="491"/>
    </row>
    <row r="368" spans="1:33" x14ac:dyDescent="0.2">
      <c r="A368" s="415">
        <f t="shared" si="10"/>
        <v>1302</v>
      </c>
      <c r="B368" s="419" t="str">
        <f t="shared" si="11"/>
        <v>Winter</v>
      </c>
      <c r="C368" s="455"/>
      <c r="D368" s="504"/>
      <c r="E368" s="455"/>
      <c r="F368" s="504"/>
      <c r="G368" s="455"/>
      <c r="H368" s="504"/>
      <c r="I368" s="455"/>
      <c r="J368" s="504"/>
      <c r="L368" s="472"/>
      <c r="M368" s="468"/>
      <c r="N368" s="468"/>
      <c r="O368" s="468"/>
      <c r="P368" s="468"/>
      <c r="Q368" s="473"/>
      <c r="R368" s="477" t="str">
        <f>IF(AND(COUNTIF('Start Character'!$I$63:$M$77,"Twilight Prone")=1,NOT(ISERROR(FIND("Magical Botch",M368)))),"Yes",IF(P368&gt;1,"Yes","No"))</f>
        <v>No</v>
      </c>
      <c r="S368" s="501"/>
      <c r="T368" s="478"/>
      <c r="U368" s="501"/>
      <c r="V368" s="479" t="str">
        <f>IF(R368="No","No Twilight",IF(T368="Yes","Uncomprehended Twilight",IF((Character!$B$14+IF(Character!$B$53="Yes",0,Character!$B$53)+IF(Magic!$C$5="Yes",2,0)+ROUNDUP((Magic!$B$30+IF(Magic!$C$30="Yes",3,0))/5,0)+S368)&gt;=($D$3+P368+SUMIF(Character!$I$62:$I$66,"Enigmatic Wisdom",Character!$J$62:$J$66)+Q368+U368),"No Twilight","Twilight")))</f>
        <v>No Twilight</v>
      </c>
      <c r="W368" s="483"/>
      <c r="X368" s="478"/>
      <c r="Y368" s="484"/>
      <c r="Z368" s="478"/>
      <c r="AA368" s="485" t="str">
        <f>IF(V368="Uncomprehended Twilight","Failed",IF(OR(ISBLANK(W368),ISBLANK(Y368))," ",IF(NOT(ISBLANK(X368)),"Failed",IF((W368+Character!$B$9+SUMIF(Character!$I$62:$I$66,"Enigmatic Wisdom",Character!$J$62:$J$66))&gt;=IF(Z368="Yes",0,(Y368+D363)),"Succeeded","Failed"))))</f>
        <v xml:space="preserve"> </v>
      </c>
      <c r="AB368" s="477" t="str">
        <f>IF(AA368=" "," ",IF(NOT(ISBLANK(X368)),VLOOKUP($D$3+X368,Calcs!$A$110:$C$122,3,TRUE),IF(AA368="Failed",VLOOKUP($D$3,Calcs!$A$110:$C$122,3,TRUE),VLOOKUP($D$3-(IF((Character!$B$9+W368)&gt;($D$3+Y368),(Character!$B$9+W368)-($D$3+Y368),0)),Calcs!$A$110:$C$122,3,TRUE))))</f>
        <v xml:space="preserve"> </v>
      </c>
      <c r="AC368" s="489"/>
      <c r="AD368" s="489" t="str">
        <f>IF(IF(AA368=" "," ",IF(NOT(ISBLANK(X368)),VLOOKUP($D$3+X368,Calcs!$A$110:$B$122,2,TRUE),IF(AA368="Failed",VLOOKUP($D$3,Calcs!$A$110:$B$122,2,TRUE),VLOOKUP($D$3-(IF((Character!$B$9+W368)&gt;($D$3+Y368),(Character!$B$9+W368)-($D$3+Y368),0)),Calcs!$A$110:$B$122,2,TRUE))))=Calcs!$B$120,IF(ISBLANK(AC368)," ",CONCATENATE(AC368+7," Years")),IF(AA368=" "," ",IF(NOT(ISBLANK(X368)),VLOOKUP($D$3+X368,Calcs!$A$110:$B$122,2,TRUE),IF(AA368="Failed",VLOOKUP($D$3,Calcs!$A$110:$B$122,2,TRUE),VLOOKUP($D$3-(IF((Character!$B$9+W368)&gt;($D$3+Y368),(Character!$B$9+W368)-($D$3+Y368),0)),Calcs!$A$110:$B$122,2,TRUE)))))</f>
        <v xml:space="preserve"> </v>
      </c>
      <c r="AE368" s="490"/>
      <c r="AF368" s="879"/>
      <c r="AG368" s="491"/>
    </row>
    <row r="369" spans="1:33" x14ac:dyDescent="0.2">
      <c r="A369" s="415">
        <f t="shared" si="10"/>
        <v>1302</v>
      </c>
      <c r="B369" s="419" t="str">
        <f t="shared" si="11"/>
        <v>Spring</v>
      </c>
      <c r="C369" s="455"/>
      <c r="D369" s="504"/>
      <c r="E369" s="455"/>
      <c r="F369" s="504"/>
      <c r="G369" s="455"/>
      <c r="H369" s="504"/>
      <c r="I369" s="455"/>
      <c r="J369" s="504"/>
      <c r="L369" s="472"/>
      <c r="M369" s="468"/>
      <c r="N369" s="468"/>
      <c r="O369" s="468"/>
      <c r="P369" s="468"/>
      <c r="Q369" s="473"/>
      <c r="R369" s="477" t="str">
        <f>IF(AND(COUNTIF('Start Character'!$I$63:$M$77,"Twilight Prone")=1,NOT(ISERROR(FIND("Magical Botch",M369)))),"Yes",IF(P369&gt;1,"Yes","No"))</f>
        <v>No</v>
      </c>
      <c r="S369" s="501"/>
      <c r="T369" s="478"/>
      <c r="U369" s="501"/>
      <c r="V369" s="479" t="str">
        <f>IF(R369="No","No Twilight",IF(T369="Yes","Uncomprehended Twilight",IF((Character!$B$14+IF(Character!$B$53="Yes",0,Character!$B$53)+IF(Magic!$C$5="Yes",2,0)+ROUNDUP((Magic!$B$30+IF(Magic!$C$30="Yes",3,0))/5,0)+S369)&gt;=($D$3+P369+SUMIF(Character!$I$62:$I$66,"Enigmatic Wisdom",Character!$J$62:$J$66)+Q369+U369),"No Twilight","Twilight")))</f>
        <v>No Twilight</v>
      </c>
      <c r="W369" s="483"/>
      <c r="X369" s="478"/>
      <c r="Y369" s="484"/>
      <c r="Z369" s="478"/>
      <c r="AA369" s="485" t="str">
        <f>IF(V369="Uncomprehended Twilight","Failed",IF(OR(ISBLANK(W369),ISBLANK(Y369))," ",IF(NOT(ISBLANK(X369)),"Failed",IF((W369+Character!$B$9+SUMIF(Character!$I$62:$I$66,"Enigmatic Wisdom",Character!$J$62:$J$66))&gt;=IF(Z369="Yes",0,(Y369+D364)),"Succeeded","Failed"))))</f>
        <v xml:space="preserve"> </v>
      </c>
      <c r="AB369" s="477" t="str">
        <f>IF(AA369=" "," ",IF(NOT(ISBLANK(X369)),VLOOKUP($D$3+X369,Calcs!$A$110:$C$122,3,TRUE),IF(AA369="Failed",VLOOKUP($D$3,Calcs!$A$110:$C$122,3,TRUE),VLOOKUP($D$3-(IF((Character!$B$9+W369)&gt;($D$3+Y369),(Character!$B$9+W369)-($D$3+Y369),0)),Calcs!$A$110:$C$122,3,TRUE))))</f>
        <v xml:space="preserve"> </v>
      </c>
      <c r="AC369" s="489"/>
      <c r="AD369" s="489" t="str">
        <f>IF(IF(AA369=" "," ",IF(NOT(ISBLANK(X369)),VLOOKUP($D$3+X369,Calcs!$A$110:$B$122,2,TRUE),IF(AA369="Failed",VLOOKUP($D$3,Calcs!$A$110:$B$122,2,TRUE),VLOOKUP($D$3-(IF((Character!$B$9+W369)&gt;($D$3+Y369),(Character!$B$9+W369)-($D$3+Y369),0)),Calcs!$A$110:$B$122,2,TRUE))))=Calcs!$B$120,IF(ISBLANK(AC369)," ",CONCATENATE(AC369+7," Years")),IF(AA369=" "," ",IF(NOT(ISBLANK(X369)),VLOOKUP($D$3+X369,Calcs!$A$110:$B$122,2,TRUE),IF(AA369="Failed",VLOOKUP($D$3,Calcs!$A$110:$B$122,2,TRUE),VLOOKUP($D$3-(IF((Character!$B$9+W369)&gt;($D$3+Y369),(Character!$B$9+W369)-($D$3+Y369),0)),Calcs!$A$110:$B$122,2,TRUE)))))</f>
        <v xml:space="preserve"> </v>
      </c>
      <c r="AE369" s="490"/>
      <c r="AF369" s="879"/>
      <c r="AG369" s="491"/>
    </row>
    <row r="370" spans="1:33" x14ac:dyDescent="0.2">
      <c r="A370" s="415">
        <f t="shared" si="10"/>
        <v>1302</v>
      </c>
      <c r="B370" s="419" t="str">
        <f t="shared" si="11"/>
        <v>Summer</v>
      </c>
      <c r="C370" s="455"/>
      <c r="D370" s="504"/>
      <c r="E370" s="455"/>
      <c r="F370" s="504"/>
      <c r="G370" s="455"/>
      <c r="H370" s="504"/>
      <c r="I370" s="455"/>
      <c r="J370" s="504"/>
      <c r="L370" s="472"/>
      <c r="M370" s="468"/>
      <c r="N370" s="468"/>
      <c r="O370" s="468"/>
      <c r="P370" s="468"/>
      <c r="Q370" s="473"/>
      <c r="R370" s="477" t="str">
        <f>IF(AND(COUNTIF('Start Character'!$I$63:$M$77,"Twilight Prone")=1,NOT(ISERROR(FIND("Magical Botch",M370)))),"Yes",IF(P370&gt;1,"Yes","No"))</f>
        <v>No</v>
      </c>
      <c r="S370" s="501"/>
      <c r="T370" s="478"/>
      <c r="U370" s="501"/>
      <c r="V370" s="479" t="str">
        <f>IF(R370="No","No Twilight",IF(T370="Yes","Uncomprehended Twilight",IF((Character!$B$14+IF(Character!$B$53="Yes",0,Character!$B$53)+IF(Magic!$C$5="Yes",2,0)+ROUNDUP((Magic!$B$30+IF(Magic!$C$30="Yes",3,0))/5,0)+S370)&gt;=($D$3+P370+SUMIF(Character!$I$62:$I$66,"Enigmatic Wisdom",Character!$J$62:$J$66)+Q370+U370),"No Twilight","Twilight")))</f>
        <v>No Twilight</v>
      </c>
      <c r="W370" s="483"/>
      <c r="X370" s="478"/>
      <c r="Y370" s="484"/>
      <c r="Z370" s="478"/>
      <c r="AA370" s="485" t="str">
        <f>IF(V370="Uncomprehended Twilight","Failed",IF(OR(ISBLANK(W370),ISBLANK(Y370))," ",IF(NOT(ISBLANK(X370)),"Failed",IF((W370+Character!$B$9+SUMIF(Character!$I$62:$I$66,"Enigmatic Wisdom",Character!$J$62:$J$66))&gt;=IF(Z370="Yes",0,(Y370+D365)),"Succeeded","Failed"))))</f>
        <v xml:space="preserve"> </v>
      </c>
      <c r="AB370" s="477" t="str">
        <f>IF(AA370=" "," ",IF(NOT(ISBLANK(X370)),VLOOKUP($D$3+X370,Calcs!$A$110:$C$122,3,TRUE),IF(AA370="Failed",VLOOKUP($D$3,Calcs!$A$110:$C$122,3,TRUE),VLOOKUP($D$3-(IF((Character!$B$9+W370)&gt;($D$3+Y370),(Character!$B$9+W370)-($D$3+Y370),0)),Calcs!$A$110:$C$122,3,TRUE))))</f>
        <v xml:space="preserve"> </v>
      </c>
      <c r="AC370" s="489"/>
      <c r="AD370" s="489" t="str">
        <f>IF(IF(AA370=" "," ",IF(NOT(ISBLANK(X370)),VLOOKUP($D$3+X370,Calcs!$A$110:$B$122,2,TRUE),IF(AA370="Failed",VLOOKUP($D$3,Calcs!$A$110:$B$122,2,TRUE),VLOOKUP($D$3-(IF((Character!$B$9+W370)&gt;($D$3+Y370),(Character!$B$9+W370)-($D$3+Y370),0)),Calcs!$A$110:$B$122,2,TRUE))))=Calcs!$B$120,IF(ISBLANK(AC370)," ",CONCATENATE(AC370+7," Years")),IF(AA370=" "," ",IF(NOT(ISBLANK(X370)),VLOOKUP($D$3+X370,Calcs!$A$110:$B$122,2,TRUE),IF(AA370="Failed",VLOOKUP($D$3,Calcs!$A$110:$B$122,2,TRUE),VLOOKUP($D$3-(IF((Character!$B$9+W370)&gt;($D$3+Y370),(Character!$B$9+W370)-($D$3+Y370),0)),Calcs!$A$110:$B$122,2,TRUE)))))</f>
        <v xml:space="preserve"> </v>
      </c>
      <c r="AE370" s="490"/>
      <c r="AF370" s="879"/>
      <c r="AG370" s="491"/>
    </row>
    <row r="371" spans="1:33" x14ac:dyDescent="0.2">
      <c r="A371" s="415">
        <f t="shared" si="10"/>
        <v>1302</v>
      </c>
      <c r="B371" s="419" t="str">
        <f t="shared" si="11"/>
        <v>Autumn</v>
      </c>
      <c r="C371" s="455"/>
      <c r="D371" s="504"/>
      <c r="E371" s="455"/>
      <c r="F371" s="504"/>
      <c r="G371" s="455"/>
      <c r="H371" s="504"/>
      <c r="I371" s="455"/>
      <c r="J371" s="504"/>
      <c r="L371" s="472"/>
      <c r="M371" s="468"/>
      <c r="N371" s="468"/>
      <c r="O371" s="468"/>
      <c r="P371" s="468"/>
      <c r="Q371" s="473"/>
      <c r="R371" s="477" t="str">
        <f>IF(AND(COUNTIF('Start Character'!$I$63:$M$77,"Twilight Prone")=1,NOT(ISERROR(FIND("Magical Botch",M371)))),"Yes",IF(P371&gt;1,"Yes","No"))</f>
        <v>No</v>
      </c>
      <c r="S371" s="501"/>
      <c r="T371" s="478"/>
      <c r="U371" s="501"/>
      <c r="V371" s="479" t="str">
        <f>IF(R371="No","No Twilight",IF(T371="Yes","Uncomprehended Twilight",IF((Character!$B$14+IF(Character!$B$53="Yes",0,Character!$B$53)+IF(Magic!$C$5="Yes",2,0)+ROUNDUP((Magic!$B$30+IF(Magic!$C$30="Yes",3,0))/5,0)+S371)&gt;=($D$3+P371+SUMIF(Character!$I$62:$I$66,"Enigmatic Wisdom",Character!$J$62:$J$66)+Q371+U371),"No Twilight","Twilight")))</f>
        <v>No Twilight</v>
      </c>
      <c r="W371" s="483"/>
      <c r="X371" s="478"/>
      <c r="Y371" s="484"/>
      <c r="Z371" s="478"/>
      <c r="AA371" s="485" t="str">
        <f>IF(V371="Uncomprehended Twilight","Failed",IF(OR(ISBLANK(W371),ISBLANK(Y371))," ",IF(NOT(ISBLANK(X371)),"Failed",IF((W371+Character!$B$9+SUMIF(Character!$I$62:$I$66,"Enigmatic Wisdom",Character!$J$62:$J$66))&gt;=IF(Z371="Yes",0,(Y371+D366)),"Succeeded","Failed"))))</f>
        <v xml:space="preserve"> </v>
      </c>
      <c r="AB371" s="477" t="str">
        <f>IF(AA371=" "," ",IF(NOT(ISBLANK(X371)),VLOOKUP($D$3+X371,Calcs!$A$110:$C$122,3,TRUE),IF(AA371="Failed",VLOOKUP($D$3,Calcs!$A$110:$C$122,3,TRUE),VLOOKUP($D$3-(IF((Character!$B$9+W371)&gt;($D$3+Y371),(Character!$B$9+W371)-($D$3+Y371),0)),Calcs!$A$110:$C$122,3,TRUE))))</f>
        <v xml:space="preserve"> </v>
      </c>
      <c r="AC371" s="489"/>
      <c r="AD371" s="489" t="str">
        <f>IF(IF(AA371=" "," ",IF(NOT(ISBLANK(X371)),VLOOKUP($D$3+X371,Calcs!$A$110:$B$122,2,TRUE),IF(AA371="Failed",VLOOKUP($D$3,Calcs!$A$110:$B$122,2,TRUE),VLOOKUP($D$3-(IF((Character!$B$9+W371)&gt;($D$3+Y371),(Character!$B$9+W371)-($D$3+Y371),0)),Calcs!$A$110:$B$122,2,TRUE))))=Calcs!$B$120,IF(ISBLANK(AC371)," ",CONCATENATE(AC371+7," Years")),IF(AA371=" "," ",IF(NOT(ISBLANK(X371)),VLOOKUP($D$3+X371,Calcs!$A$110:$B$122,2,TRUE),IF(AA371="Failed",VLOOKUP($D$3,Calcs!$A$110:$B$122,2,TRUE),VLOOKUP($D$3-(IF((Character!$B$9+W371)&gt;($D$3+Y371),(Character!$B$9+W371)-($D$3+Y371),0)),Calcs!$A$110:$B$122,2,TRUE)))))</f>
        <v xml:space="preserve"> </v>
      </c>
      <c r="AE371" s="490"/>
      <c r="AF371" s="879"/>
      <c r="AG371" s="491"/>
    </row>
    <row r="372" spans="1:33" x14ac:dyDescent="0.2">
      <c r="A372" s="415">
        <f t="shared" si="10"/>
        <v>1303</v>
      </c>
      <c r="B372" s="419" t="str">
        <f t="shared" si="11"/>
        <v>Winter</v>
      </c>
      <c r="C372" s="455"/>
      <c r="D372" s="504"/>
      <c r="E372" s="455"/>
      <c r="F372" s="504"/>
      <c r="G372" s="455"/>
      <c r="H372" s="504"/>
      <c r="I372" s="455"/>
      <c r="J372" s="504"/>
      <c r="L372" s="472"/>
      <c r="M372" s="468"/>
      <c r="N372" s="468"/>
      <c r="O372" s="468"/>
      <c r="P372" s="468"/>
      <c r="Q372" s="473"/>
      <c r="R372" s="477" t="str">
        <f>IF(AND(COUNTIF('Start Character'!$I$63:$M$77,"Twilight Prone")=1,NOT(ISERROR(FIND("Magical Botch",M372)))),"Yes",IF(P372&gt;1,"Yes","No"))</f>
        <v>No</v>
      </c>
      <c r="S372" s="501"/>
      <c r="T372" s="478"/>
      <c r="U372" s="501"/>
      <c r="V372" s="479" t="str">
        <f>IF(R372="No","No Twilight",IF(T372="Yes","Uncomprehended Twilight",IF((Character!$B$14+IF(Character!$B$53="Yes",0,Character!$B$53)+IF(Magic!$C$5="Yes",2,0)+ROUNDUP((Magic!$B$30+IF(Magic!$C$30="Yes",3,0))/5,0)+S372)&gt;=($D$3+P372+SUMIF(Character!$I$62:$I$66,"Enigmatic Wisdom",Character!$J$62:$J$66)+Q372+U372),"No Twilight","Twilight")))</f>
        <v>No Twilight</v>
      </c>
      <c r="W372" s="483"/>
      <c r="X372" s="478"/>
      <c r="Y372" s="484"/>
      <c r="Z372" s="478"/>
      <c r="AA372" s="485" t="str">
        <f>IF(V372="Uncomprehended Twilight","Failed",IF(OR(ISBLANK(W372),ISBLANK(Y372))," ",IF(NOT(ISBLANK(X372)),"Failed",IF((W372+Character!$B$9+SUMIF(Character!$I$62:$I$66,"Enigmatic Wisdom",Character!$J$62:$J$66))&gt;=IF(Z372="Yes",0,(Y372+D367)),"Succeeded","Failed"))))</f>
        <v xml:space="preserve"> </v>
      </c>
      <c r="AB372" s="477" t="str">
        <f>IF(AA372=" "," ",IF(NOT(ISBLANK(X372)),VLOOKUP($D$3+X372,Calcs!$A$110:$C$122,3,TRUE),IF(AA372="Failed",VLOOKUP($D$3,Calcs!$A$110:$C$122,3,TRUE),VLOOKUP($D$3-(IF((Character!$B$9+W372)&gt;($D$3+Y372),(Character!$B$9+W372)-($D$3+Y372),0)),Calcs!$A$110:$C$122,3,TRUE))))</f>
        <v xml:space="preserve"> </v>
      </c>
      <c r="AC372" s="489"/>
      <c r="AD372" s="489" t="str">
        <f>IF(IF(AA372=" "," ",IF(NOT(ISBLANK(X372)),VLOOKUP($D$3+X372,Calcs!$A$110:$B$122,2,TRUE),IF(AA372="Failed",VLOOKUP($D$3,Calcs!$A$110:$B$122,2,TRUE),VLOOKUP($D$3-(IF((Character!$B$9+W372)&gt;($D$3+Y372),(Character!$B$9+W372)-($D$3+Y372),0)),Calcs!$A$110:$B$122,2,TRUE))))=Calcs!$B$120,IF(ISBLANK(AC372)," ",CONCATENATE(AC372+7," Years")),IF(AA372=" "," ",IF(NOT(ISBLANK(X372)),VLOOKUP($D$3+X372,Calcs!$A$110:$B$122,2,TRUE),IF(AA372="Failed",VLOOKUP($D$3,Calcs!$A$110:$B$122,2,TRUE),VLOOKUP($D$3-(IF((Character!$B$9+W372)&gt;($D$3+Y372),(Character!$B$9+W372)-($D$3+Y372),0)),Calcs!$A$110:$B$122,2,TRUE)))))</f>
        <v xml:space="preserve"> </v>
      </c>
      <c r="AE372" s="490"/>
      <c r="AF372" s="879"/>
      <c r="AG372" s="491"/>
    </row>
    <row r="373" spans="1:33" x14ac:dyDescent="0.2">
      <c r="A373" s="415">
        <f t="shared" si="10"/>
        <v>1303</v>
      </c>
      <c r="B373" s="419" t="str">
        <f t="shared" si="11"/>
        <v>Spring</v>
      </c>
      <c r="C373" s="455"/>
      <c r="D373" s="504"/>
      <c r="E373" s="455"/>
      <c r="F373" s="504"/>
      <c r="G373" s="455"/>
      <c r="H373" s="504"/>
      <c r="I373" s="455"/>
      <c r="J373" s="504"/>
      <c r="L373" s="472"/>
      <c r="M373" s="468"/>
      <c r="N373" s="468"/>
      <c r="O373" s="468"/>
      <c r="P373" s="468"/>
      <c r="Q373" s="473"/>
      <c r="R373" s="477" t="str">
        <f>IF(AND(COUNTIF('Start Character'!$I$63:$M$77,"Twilight Prone")=1,NOT(ISERROR(FIND("Magical Botch",M373)))),"Yes",IF(P373&gt;1,"Yes","No"))</f>
        <v>No</v>
      </c>
      <c r="S373" s="501"/>
      <c r="T373" s="478"/>
      <c r="U373" s="501"/>
      <c r="V373" s="479" t="str">
        <f>IF(R373="No","No Twilight",IF(T373="Yes","Uncomprehended Twilight",IF((Character!$B$14+IF(Character!$B$53="Yes",0,Character!$B$53)+IF(Magic!$C$5="Yes",2,0)+ROUNDUP((Magic!$B$30+IF(Magic!$C$30="Yes",3,0))/5,0)+S373)&gt;=($D$3+P373+SUMIF(Character!$I$62:$I$66,"Enigmatic Wisdom",Character!$J$62:$J$66)+Q373+U373),"No Twilight","Twilight")))</f>
        <v>No Twilight</v>
      </c>
      <c r="W373" s="483"/>
      <c r="X373" s="478"/>
      <c r="Y373" s="484"/>
      <c r="Z373" s="478"/>
      <c r="AA373" s="485" t="str">
        <f>IF(V373="Uncomprehended Twilight","Failed",IF(OR(ISBLANK(W373),ISBLANK(Y373))," ",IF(NOT(ISBLANK(X373)),"Failed",IF((W373+Character!$B$9+SUMIF(Character!$I$62:$I$66,"Enigmatic Wisdom",Character!$J$62:$J$66))&gt;=IF(Z373="Yes",0,(Y373+D368)),"Succeeded","Failed"))))</f>
        <v xml:space="preserve"> </v>
      </c>
      <c r="AB373" s="477" t="str">
        <f>IF(AA373=" "," ",IF(NOT(ISBLANK(X373)),VLOOKUP($D$3+X373,Calcs!$A$110:$C$122,3,TRUE),IF(AA373="Failed",VLOOKUP($D$3,Calcs!$A$110:$C$122,3,TRUE),VLOOKUP($D$3-(IF((Character!$B$9+W373)&gt;($D$3+Y373),(Character!$B$9+W373)-($D$3+Y373),0)),Calcs!$A$110:$C$122,3,TRUE))))</f>
        <v xml:space="preserve"> </v>
      </c>
      <c r="AC373" s="489"/>
      <c r="AD373" s="489" t="str">
        <f>IF(IF(AA373=" "," ",IF(NOT(ISBLANK(X373)),VLOOKUP($D$3+X373,Calcs!$A$110:$B$122,2,TRUE),IF(AA373="Failed",VLOOKUP($D$3,Calcs!$A$110:$B$122,2,TRUE),VLOOKUP($D$3-(IF((Character!$B$9+W373)&gt;($D$3+Y373),(Character!$B$9+W373)-($D$3+Y373),0)),Calcs!$A$110:$B$122,2,TRUE))))=Calcs!$B$120,IF(ISBLANK(AC373)," ",CONCATENATE(AC373+7," Years")),IF(AA373=" "," ",IF(NOT(ISBLANK(X373)),VLOOKUP($D$3+X373,Calcs!$A$110:$B$122,2,TRUE),IF(AA373="Failed",VLOOKUP($D$3,Calcs!$A$110:$B$122,2,TRUE),VLOOKUP($D$3-(IF((Character!$B$9+W373)&gt;($D$3+Y373),(Character!$B$9+W373)-($D$3+Y373),0)),Calcs!$A$110:$B$122,2,TRUE)))))</f>
        <v xml:space="preserve"> </v>
      </c>
      <c r="AE373" s="490"/>
      <c r="AF373" s="879"/>
      <c r="AG373" s="491"/>
    </row>
    <row r="374" spans="1:33" x14ac:dyDescent="0.2">
      <c r="A374" s="415">
        <f t="shared" si="10"/>
        <v>1303</v>
      </c>
      <c r="B374" s="419" t="str">
        <f t="shared" si="11"/>
        <v>Summer</v>
      </c>
      <c r="C374" s="455"/>
      <c r="D374" s="504"/>
      <c r="E374" s="455"/>
      <c r="F374" s="504"/>
      <c r="G374" s="455"/>
      <c r="H374" s="504"/>
      <c r="I374" s="455"/>
      <c r="J374" s="504"/>
      <c r="L374" s="472"/>
      <c r="M374" s="468"/>
      <c r="N374" s="468"/>
      <c r="O374" s="468"/>
      <c r="P374" s="468"/>
      <c r="Q374" s="473"/>
      <c r="R374" s="477" t="str">
        <f>IF(AND(COUNTIF('Start Character'!$I$63:$M$77,"Twilight Prone")=1,NOT(ISERROR(FIND("Magical Botch",M374)))),"Yes",IF(P374&gt;1,"Yes","No"))</f>
        <v>No</v>
      </c>
      <c r="S374" s="501"/>
      <c r="T374" s="478"/>
      <c r="U374" s="501"/>
      <c r="V374" s="479" t="str">
        <f>IF(R374="No","No Twilight",IF(T374="Yes","Uncomprehended Twilight",IF((Character!$B$14+IF(Character!$B$53="Yes",0,Character!$B$53)+IF(Magic!$C$5="Yes",2,0)+ROUNDUP((Magic!$B$30+IF(Magic!$C$30="Yes",3,0))/5,0)+S374)&gt;=($D$3+P374+SUMIF(Character!$I$62:$I$66,"Enigmatic Wisdom",Character!$J$62:$J$66)+Q374+U374),"No Twilight","Twilight")))</f>
        <v>No Twilight</v>
      </c>
      <c r="W374" s="483"/>
      <c r="X374" s="478"/>
      <c r="Y374" s="484"/>
      <c r="Z374" s="478"/>
      <c r="AA374" s="485" t="str">
        <f>IF(V374="Uncomprehended Twilight","Failed",IF(OR(ISBLANK(W374),ISBLANK(Y374))," ",IF(NOT(ISBLANK(X374)),"Failed",IF((W374+Character!$B$9+SUMIF(Character!$I$62:$I$66,"Enigmatic Wisdom",Character!$J$62:$J$66))&gt;=IF(Z374="Yes",0,(Y374+D369)),"Succeeded","Failed"))))</f>
        <v xml:space="preserve"> </v>
      </c>
      <c r="AB374" s="477" t="str">
        <f>IF(AA374=" "," ",IF(NOT(ISBLANK(X374)),VLOOKUP($D$3+X374,Calcs!$A$110:$C$122,3,TRUE),IF(AA374="Failed",VLOOKUP($D$3,Calcs!$A$110:$C$122,3,TRUE),VLOOKUP($D$3-(IF((Character!$B$9+W374)&gt;($D$3+Y374),(Character!$B$9+W374)-($D$3+Y374),0)),Calcs!$A$110:$C$122,3,TRUE))))</f>
        <v xml:space="preserve"> </v>
      </c>
      <c r="AC374" s="489"/>
      <c r="AD374" s="489" t="str">
        <f>IF(IF(AA374=" "," ",IF(NOT(ISBLANK(X374)),VLOOKUP($D$3+X374,Calcs!$A$110:$B$122,2,TRUE),IF(AA374="Failed",VLOOKUP($D$3,Calcs!$A$110:$B$122,2,TRUE),VLOOKUP($D$3-(IF((Character!$B$9+W374)&gt;($D$3+Y374),(Character!$B$9+W374)-($D$3+Y374),0)),Calcs!$A$110:$B$122,2,TRUE))))=Calcs!$B$120,IF(ISBLANK(AC374)," ",CONCATENATE(AC374+7," Years")),IF(AA374=" "," ",IF(NOT(ISBLANK(X374)),VLOOKUP($D$3+X374,Calcs!$A$110:$B$122,2,TRUE),IF(AA374="Failed",VLOOKUP($D$3,Calcs!$A$110:$B$122,2,TRUE),VLOOKUP($D$3-(IF((Character!$B$9+W374)&gt;($D$3+Y374),(Character!$B$9+W374)-($D$3+Y374),0)),Calcs!$A$110:$B$122,2,TRUE)))))</f>
        <v xml:space="preserve"> </v>
      </c>
      <c r="AE374" s="490"/>
      <c r="AF374" s="879"/>
      <c r="AG374" s="491"/>
    </row>
    <row r="375" spans="1:33" x14ac:dyDescent="0.2">
      <c r="A375" s="415">
        <f t="shared" si="10"/>
        <v>1303</v>
      </c>
      <c r="B375" s="419" t="str">
        <f t="shared" si="11"/>
        <v>Autumn</v>
      </c>
      <c r="C375" s="455"/>
      <c r="D375" s="504"/>
      <c r="E375" s="455"/>
      <c r="F375" s="504"/>
      <c r="G375" s="455"/>
      <c r="H375" s="504"/>
      <c r="I375" s="455"/>
      <c r="J375" s="504"/>
      <c r="L375" s="472"/>
      <c r="M375" s="468"/>
      <c r="N375" s="468"/>
      <c r="O375" s="468"/>
      <c r="P375" s="468"/>
      <c r="Q375" s="473"/>
      <c r="R375" s="477" t="str">
        <f>IF(AND(COUNTIF('Start Character'!$I$63:$M$77,"Twilight Prone")=1,NOT(ISERROR(FIND("Magical Botch",M375)))),"Yes",IF(P375&gt;1,"Yes","No"))</f>
        <v>No</v>
      </c>
      <c r="S375" s="501"/>
      <c r="T375" s="478"/>
      <c r="U375" s="501"/>
      <c r="V375" s="479" t="str">
        <f>IF(R375="No","No Twilight",IF(T375="Yes","Uncomprehended Twilight",IF((Character!$B$14+IF(Character!$B$53="Yes",0,Character!$B$53)+IF(Magic!$C$5="Yes",2,0)+ROUNDUP((Magic!$B$30+IF(Magic!$C$30="Yes",3,0))/5,0)+S375)&gt;=($D$3+P375+SUMIF(Character!$I$62:$I$66,"Enigmatic Wisdom",Character!$J$62:$J$66)+Q375+U375),"No Twilight","Twilight")))</f>
        <v>No Twilight</v>
      </c>
      <c r="W375" s="483"/>
      <c r="X375" s="478"/>
      <c r="Y375" s="484"/>
      <c r="Z375" s="478"/>
      <c r="AA375" s="485" t="str">
        <f>IF(V375="Uncomprehended Twilight","Failed",IF(OR(ISBLANK(W375),ISBLANK(Y375))," ",IF(NOT(ISBLANK(X375)),"Failed",IF((W375+Character!$B$9+SUMIF(Character!$I$62:$I$66,"Enigmatic Wisdom",Character!$J$62:$J$66))&gt;=IF(Z375="Yes",0,(Y375+D370)),"Succeeded","Failed"))))</f>
        <v xml:space="preserve"> </v>
      </c>
      <c r="AB375" s="477" t="str">
        <f>IF(AA375=" "," ",IF(NOT(ISBLANK(X375)),VLOOKUP($D$3+X375,Calcs!$A$110:$C$122,3,TRUE),IF(AA375="Failed",VLOOKUP($D$3,Calcs!$A$110:$C$122,3,TRUE),VLOOKUP($D$3-(IF((Character!$B$9+W375)&gt;($D$3+Y375),(Character!$B$9+W375)-($D$3+Y375),0)),Calcs!$A$110:$C$122,3,TRUE))))</f>
        <v xml:space="preserve"> </v>
      </c>
      <c r="AC375" s="489"/>
      <c r="AD375" s="489" t="str">
        <f>IF(IF(AA375=" "," ",IF(NOT(ISBLANK(X375)),VLOOKUP($D$3+X375,Calcs!$A$110:$B$122,2,TRUE),IF(AA375="Failed",VLOOKUP($D$3,Calcs!$A$110:$B$122,2,TRUE),VLOOKUP($D$3-(IF((Character!$B$9+W375)&gt;($D$3+Y375),(Character!$B$9+W375)-($D$3+Y375),0)),Calcs!$A$110:$B$122,2,TRUE))))=Calcs!$B$120,IF(ISBLANK(AC375)," ",CONCATENATE(AC375+7," Years")),IF(AA375=" "," ",IF(NOT(ISBLANK(X375)),VLOOKUP($D$3+X375,Calcs!$A$110:$B$122,2,TRUE),IF(AA375="Failed",VLOOKUP($D$3,Calcs!$A$110:$B$122,2,TRUE),VLOOKUP($D$3-(IF((Character!$B$9+W375)&gt;($D$3+Y375),(Character!$B$9+W375)-($D$3+Y375),0)),Calcs!$A$110:$B$122,2,TRUE)))))</f>
        <v xml:space="preserve"> </v>
      </c>
      <c r="AE375" s="490"/>
      <c r="AF375" s="879"/>
      <c r="AG375" s="491"/>
    </row>
    <row r="376" spans="1:33" x14ac:dyDescent="0.2">
      <c r="A376" s="415">
        <f t="shared" si="10"/>
        <v>1304</v>
      </c>
      <c r="B376" s="419" t="str">
        <f t="shared" si="11"/>
        <v>Winter</v>
      </c>
      <c r="C376" s="455"/>
      <c r="D376" s="504"/>
      <c r="E376" s="455"/>
      <c r="F376" s="504"/>
      <c r="G376" s="455"/>
      <c r="H376" s="504"/>
      <c r="I376" s="455"/>
      <c r="J376" s="504"/>
      <c r="L376" s="472"/>
      <c r="M376" s="468"/>
      <c r="N376" s="468"/>
      <c r="O376" s="468"/>
      <c r="P376" s="468"/>
      <c r="Q376" s="473"/>
      <c r="R376" s="477" t="str">
        <f>IF(AND(COUNTIF('Start Character'!$I$63:$M$77,"Twilight Prone")=1,NOT(ISERROR(FIND("Magical Botch",M376)))),"Yes",IF(P376&gt;1,"Yes","No"))</f>
        <v>No</v>
      </c>
      <c r="S376" s="501"/>
      <c r="T376" s="478"/>
      <c r="U376" s="501"/>
      <c r="V376" s="479" t="str">
        <f>IF(R376="No","No Twilight",IF(T376="Yes","Uncomprehended Twilight",IF((Character!$B$14+IF(Character!$B$53="Yes",0,Character!$B$53)+IF(Magic!$C$5="Yes",2,0)+ROUNDUP((Magic!$B$30+IF(Magic!$C$30="Yes",3,0))/5,0)+S376)&gt;=($D$3+P376+SUMIF(Character!$I$62:$I$66,"Enigmatic Wisdom",Character!$J$62:$J$66)+Q376+U376),"No Twilight","Twilight")))</f>
        <v>No Twilight</v>
      </c>
      <c r="W376" s="483"/>
      <c r="X376" s="478"/>
      <c r="Y376" s="484"/>
      <c r="Z376" s="478"/>
      <c r="AA376" s="485" t="str">
        <f>IF(V376="Uncomprehended Twilight","Failed",IF(OR(ISBLANK(W376),ISBLANK(Y376))," ",IF(NOT(ISBLANK(X376)),"Failed",IF((W376+Character!$B$9+SUMIF(Character!$I$62:$I$66,"Enigmatic Wisdom",Character!$J$62:$J$66))&gt;=IF(Z376="Yes",0,(Y376+D371)),"Succeeded","Failed"))))</f>
        <v xml:space="preserve"> </v>
      </c>
      <c r="AB376" s="477" t="str">
        <f>IF(AA376=" "," ",IF(NOT(ISBLANK(X376)),VLOOKUP($D$3+X376,Calcs!$A$110:$C$122,3,TRUE),IF(AA376="Failed",VLOOKUP($D$3,Calcs!$A$110:$C$122,3,TRUE),VLOOKUP($D$3-(IF((Character!$B$9+W376)&gt;($D$3+Y376),(Character!$B$9+W376)-($D$3+Y376),0)),Calcs!$A$110:$C$122,3,TRUE))))</f>
        <v xml:space="preserve"> </v>
      </c>
      <c r="AC376" s="489"/>
      <c r="AD376" s="489" t="str">
        <f>IF(IF(AA376=" "," ",IF(NOT(ISBLANK(X376)),VLOOKUP($D$3+X376,Calcs!$A$110:$B$122,2,TRUE),IF(AA376="Failed",VLOOKUP($D$3,Calcs!$A$110:$B$122,2,TRUE),VLOOKUP($D$3-(IF((Character!$B$9+W376)&gt;($D$3+Y376),(Character!$B$9+W376)-($D$3+Y376),0)),Calcs!$A$110:$B$122,2,TRUE))))=Calcs!$B$120,IF(ISBLANK(AC376)," ",CONCATENATE(AC376+7," Years")),IF(AA376=" "," ",IF(NOT(ISBLANK(X376)),VLOOKUP($D$3+X376,Calcs!$A$110:$B$122,2,TRUE),IF(AA376="Failed",VLOOKUP($D$3,Calcs!$A$110:$B$122,2,TRUE),VLOOKUP($D$3-(IF((Character!$B$9+W376)&gt;($D$3+Y376),(Character!$B$9+W376)-($D$3+Y376),0)),Calcs!$A$110:$B$122,2,TRUE)))))</f>
        <v xml:space="preserve"> </v>
      </c>
      <c r="AE376" s="490"/>
      <c r="AF376" s="879"/>
      <c r="AG376" s="491"/>
    </row>
    <row r="377" spans="1:33" x14ac:dyDescent="0.2">
      <c r="A377" s="415">
        <f t="shared" si="10"/>
        <v>1304</v>
      </c>
      <c r="B377" s="419" t="str">
        <f t="shared" si="11"/>
        <v>Spring</v>
      </c>
      <c r="C377" s="455"/>
      <c r="D377" s="504"/>
      <c r="E377" s="455"/>
      <c r="F377" s="504"/>
      <c r="G377" s="455"/>
      <c r="H377" s="504"/>
      <c r="I377" s="455"/>
      <c r="J377" s="504"/>
      <c r="L377" s="472"/>
      <c r="M377" s="468"/>
      <c r="N377" s="468"/>
      <c r="O377" s="468"/>
      <c r="P377" s="468"/>
      <c r="Q377" s="473"/>
      <c r="R377" s="477" t="str">
        <f>IF(AND(COUNTIF('Start Character'!$I$63:$M$77,"Twilight Prone")=1,NOT(ISERROR(FIND("Magical Botch",M377)))),"Yes",IF(P377&gt;1,"Yes","No"))</f>
        <v>No</v>
      </c>
      <c r="S377" s="501"/>
      <c r="T377" s="478"/>
      <c r="U377" s="501"/>
      <c r="V377" s="479" t="str">
        <f>IF(R377="No","No Twilight",IF(T377="Yes","Uncomprehended Twilight",IF((Character!$B$14+IF(Character!$B$53="Yes",0,Character!$B$53)+IF(Magic!$C$5="Yes",2,0)+ROUNDUP((Magic!$B$30+IF(Magic!$C$30="Yes",3,0))/5,0)+S377)&gt;=($D$3+P377+SUMIF(Character!$I$62:$I$66,"Enigmatic Wisdom",Character!$J$62:$J$66)+Q377+U377),"No Twilight","Twilight")))</f>
        <v>No Twilight</v>
      </c>
      <c r="W377" s="483"/>
      <c r="X377" s="478"/>
      <c r="Y377" s="484"/>
      <c r="Z377" s="478"/>
      <c r="AA377" s="485" t="str">
        <f>IF(V377="Uncomprehended Twilight","Failed",IF(OR(ISBLANK(W377),ISBLANK(Y377))," ",IF(NOT(ISBLANK(X377)),"Failed",IF((W377+Character!$B$9+SUMIF(Character!$I$62:$I$66,"Enigmatic Wisdom",Character!$J$62:$J$66))&gt;=IF(Z377="Yes",0,(Y377+D372)),"Succeeded","Failed"))))</f>
        <v xml:space="preserve"> </v>
      </c>
      <c r="AB377" s="477" t="str">
        <f>IF(AA377=" "," ",IF(NOT(ISBLANK(X377)),VLOOKUP($D$3+X377,Calcs!$A$110:$C$122,3,TRUE),IF(AA377="Failed",VLOOKUP($D$3,Calcs!$A$110:$C$122,3,TRUE),VLOOKUP($D$3-(IF((Character!$B$9+W377)&gt;($D$3+Y377),(Character!$B$9+W377)-($D$3+Y377),0)),Calcs!$A$110:$C$122,3,TRUE))))</f>
        <v xml:space="preserve"> </v>
      </c>
      <c r="AC377" s="489"/>
      <c r="AD377" s="489" t="str">
        <f>IF(IF(AA377=" "," ",IF(NOT(ISBLANK(X377)),VLOOKUP($D$3+X377,Calcs!$A$110:$B$122,2,TRUE),IF(AA377="Failed",VLOOKUP($D$3,Calcs!$A$110:$B$122,2,TRUE),VLOOKUP($D$3-(IF((Character!$B$9+W377)&gt;($D$3+Y377),(Character!$B$9+W377)-($D$3+Y377),0)),Calcs!$A$110:$B$122,2,TRUE))))=Calcs!$B$120,IF(ISBLANK(AC377)," ",CONCATENATE(AC377+7," Years")),IF(AA377=" "," ",IF(NOT(ISBLANK(X377)),VLOOKUP($D$3+X377,Calcs!$A$110:$B$122,2,TRUE),IF(AA377="Failed",VLOOKUP($D$3,Calcs!$A$110:$B$122,2,TRUE),VLOOKUP($D$3-(IF((Character!$B$9+W377)&gt;($D$3+Y377),(Character!$B$9+W377)-($D$3+Y377),0)),Calcs!$A$110:$B$122,2,TRUE)))))</f>
        <v xml:space="preserve"> </v>
      </c>
      <c r="AE377" s="490"/>
      <c r="AF377" s="879"/>
      <c r="AG377" s="491"/>
    </row>
    <row r="378" spans="1:33" x14ac:dyDescent="0.2">
      <c r="A378" s="415">
        <f t="shared" si="10"/>
        <v>1304</v>
      </c>
      <c r="B378" s="419" t="str">
        <f t="shared" si="11"/>
        <v>Summer</v>
      </c>
      <c r="C378" s="455"/>
      <c r="D378" s="504"/>
      <c r="E378" s="455"/>
      <c r="F378" s="504"/>
      <c r="G378" s="455"/>
      <c r="H378" s="504"/>
      <c r="I378" s="455"/>
      <c r="J378" s="504"/>
      <c r="L378" s="472"/>
      <c r="M378" s="468"/>
      <c r="N378" s="468"/>
      <c r="O378" s="468"/>
      <c r="P378" s="468"/>
      <c r="Q378" s="473"/>
      <c r="R378" s="477" t="str">
        <f>IF(AND(COUNTIF('Start Character'!$I$63:$M$77,"Twilight Prone")=1,NOT(ISERROR(FIND("Magical Botch",M378)))),"Yes",IF(P378&gt;1,"Yes","No"))</f>
        <v>No</v>
      </c>
      <c r="S378" s="501"/>
      <c r="T378" s="478"/>
      <c r="U378" s="501"/>
      <c r="V378" s="479" t="str">
        <f>IF(R378="No","No Twilight",IF(T378="Yes","Uncomprehended Twilight",IF((Character!$B$14+IF(Character!$B$53="Yes",0,Character!$B$53)+IF(Magic!$C$5="Yes",2,0)+ROUNDUP((Magic!$B$30+IF(Magic!$C$30="Yes",3,0))/5,0)+S378)&gt;=($D$3+P378+SUMIF(Character!$I$62:$I$66,"Enigmatic Wisdom",Character!$J$62:$J$66)+Q378+U378),"No Twilight","Twilight")))</f>
        <v>No Twilight</v>
      </c>
      <c r="W378" s="483"/>
      <c r="X378" s="478"/>
      <c r="Y378" s="484"/>
      <c r="Z378" s="478"/>
      <c r="AA378" s="485" t="str">
        <f>IF(V378="Uncomprehended Twilight","Failed",IF(OR(ISBLANK(W378),ISBLANK(Y378))," ",IF(NOT(ISBLANK(X378)),"Failed",IF((W378+Character!$B$9+SUMIF(Character!$I$62:$I$66,"Enigmatic Wisdom",Character!$J$62:$J$66))&gt;=IF(Z378="Yes",0,(Y378+D373)),"Succeeded","Failed"))))</f>
        <v xml:space="preserve"> </v>
      </c>
      <c r="AB378" s="477" t="str">
        <f>IF(AA378=" "," ",IF(NOT(ISBLANK(X378)),VLOOKUP($D$3+X378,Calcs!$A$110:$C$122,3,TRUE),IF(AA378="Failed",VLOOKUP($D$3,Calcs!$A$110:$C$122,3,TRUE),VLOOKUP($D$3-(IF((Character!$B$9+W378)&gt;($D$3+Y378),(Character!$B$9+W378)-($D$3+Y378),0)),Calcs!$A$110:$C$122,3,TRUE))))</f>
        <v xml:space="preserve"> </v>
      </c>
      <c r="AC378" s="489"/>
      <c r="AD378" s="489" t="str">
        <f>IF(IF(AA378=" "," ",IF(NOT(ISBLANK(X378)),VLOOKUP($D$3+X378,Calcs!$A$110:$B$122,2,TRUE),IF(AA378="Failed",VLOOKUP($D$3,Calcs!$A$110:$B$122,2,TRUE),VLOOKUP($D$3-(IF((Character!$B$9+W378)&gt;($D$3+Y378),(Character!$B$9+W378)-($D$3+Y378),0)),Calcs!$A$110:$B$122,2,TRUE))))=Calcs!$B$120,IF(ISBLANK(AC378)," ",CONCATENATE(AC378+7," Years")),IF(AA378=" "," ",IF(NOT(ISBLANK(X378)),VLOOKUP($D$3+X378,Calcs!$A$110:$B$122,2,TRUE),IF(AA378="Failed",VLOOKUP($D$3,Calcs!$A$110:$B$122,2,TRUE),VLOOKUP($D$3-(IF((Character!$B$9+W378)&gt;($D$3+Y378),(Character!$B$9+W378)-($D$3+Y378),0)),Calcs!$A$110:$B$122,2,TRUE)))))</f>
        <v xml:space="preserve"> </v>
      </c>
      <c r="AE378" s="490"/>
      <c r="AF378" s="879"/>
      <c r="AG378" s="491"/>
    </row>
    <row r="379" spans="1:33" x14ac:dyDescent="0.2">
      <c r="A379" s="415">
        <f t="shared" si="10"/>
        <v>1304</v>
      </c>
      <c r="B379" s="419" t="str">
        <f t="shared" si="11"/>
        <v>Autumn</v>
      </c>
      <c r="C379" s="455"/>
      <c r="D379" s="504"/>
      <c r="E379" s="455"/>
      <c r="F379" s="504"/>
      <c r="G379" s="455"/>
      <c r="H379" s="504"/>
      <c r="I379" s="455"/>
      <c r="J379" s="504"/>
      <c r="L379" s="472"/>
      <c r="M379" s="468"/>
      <c r="N379" s="468"/>
      <c r="O379" s="468"/>
      <c r="P379" s="468"/>
      <c r="Q379" s="473"/>
      <c r="R379" s="477" t="str">
        <f>IF(AND(COUNTIF('Start Character'!$I$63:$M$77,"Twilight Prone")=1,NOT(ISERROR(FIND("Magical Botch",M379)))),"Yes",IF(P379&gt;1,"Yes","No"))</f>
        <v>No</v>
      </c>
      <c r="S379" s="501"/>
      <c r="T379" s="478"/>
      <c r="U379" s="501"/>
      <c r="V379" s="479" t="str">
        <f>IF(R379="No","No Twilight",IF(T379="Yes","Uncomprehended Twilight",IF((Character!$B$14+IF(Character!$B$53="Yes",0,Character!$B$53)+IF(Magic!$C$5="Yes",2,0)+ROUNDUP((Magic!$B$30+IF(Magic!$C$30="Yes",3,0))/5,0)+S379)&gt;=($D$3+P379+SUMIF(Character!$I$62:$I$66,"Enigmatic Wisdom",Character!$J$62:$J$66)+Q379+U379),"No Twilight","Twilight")))</f>
        <v>No Twilight</v>
      </c>
      <c r="W379" s="483"/>
      <c r="X379" s="478"/>
      <c r="Y379" s="484"/>
      <c r="Z379" s="478"/>
      <c r="AA379" s="485" t="str">
        <f>IF(V379="Uncomprehended Twilight","Failed",IF(OR(ISBLANK(W379),ISBLANK(Y379))," ",IF(NOT(ISBLANK(X379)),"Failed",IF((W379+Character!$B$9+SUMIF(Character!$I$62:$I$66,"Enigmatic Wisdom",Character!$J$62:$J$66))&gt;=IF(Z379="Yes",0,(Y379+D374)),"Succeeded","Failed"))))</f>
        <v xml:space="preserve"> </v>
      </c>
      <c r="AB379" s="477" t="str">
        <f>IF(AA379=" "," ",IF(NOT(ISBLANK(X379)),VLOOKUP($D$3+X379,Calcs!$A$110:$C$122,3,TRUE),IF(AA379="Failed",VLOOKUP($D$3,Calcs!$A$110:$C$122,3,TRUE),VLOOKUP($D$3-(IF((Character!$B$9+W379)&gt;($D$3+Y379),(Character!$B$9+W379)-($D$3+Y379),0)),Calcs!$A$110:$C$122,3,TRUE))))</f>
        <v xml:space="preserve"> </v>
      </c>
      <c r="AC379" s="489"/>
      <c r="AD379" s="489" t="str">
        <f>IF(IF(AA379=" "," ",IF(NOT(ISBLANK(X379)),VLOOKUP($D$3+X379,Calcs!$A$110:$B$122,2,TRUE),IF(AA379="Failed",VLOOKUP($D$3,Calcs!$A$110:$B$122,2,TRUE),VLOOKUP($D$3-(IF((Character!$B$9+W379)&gt;($D$3+Y379),(Character!$B$9+W379)-($D$3+Y379),0)),Calcs!$A$110:$B$122,2,TRUE))))=Calcs!$B$120,IF(ISBLANK(AC379)," ",CONCATENATE(AC379+7," Years")),IF(AA379=" "," ",IF(NOT(ISBLANK(X379)),VLOOKUP($D$3+X379,Calcs!$A$110:$B$122,2,TRUE),IF(AA379="Failed",VLOOKUP($D$3,Calcs!$A$110:$B$122,2,TRUE),VLOOKUP($D$3-(IF((Character!$B$9+W379)&gt;($D$3+Y379),(Character!$B$9+W379)-($D$3+Y379),0)),Calcs!$A$110:$B$122,2,TRUE)))))</f>
        <v xml:space="preserve"> </v>
      </c>
      <c r="AE379" s="490"/>
      <c r="AF379" s="879"/>
      <c r="AG379" s="491"/>
    </row>
    <row r="380" spans="1:33" x14ac:dyDescent="0.2">
      <c r="A380" s="415">
        <f t="shared" si="10"/>
        <v>1305</v>
      </c>
      <c r="B380" s="419" t="str">
        <f t="shared" si="11"/>
        <v>Winter</v>
      </c>
      <c r="C380" s="455"/>
      <c r="D380" s="504"/>
      <c r="E380" s="455"/>
      <c r="F380" s="504"/>
      <c r="G380" s="455"/>
      <c r="H380" s="504"/>
      <c r="I380" s="455"/>
      <c r="J380" s="504"/>
      <c r="L380" s="472"/>
      <c r="M380" s="468"/>
      <c r="N380" s="468"/>
      <c r="O380" s="468"/>
      <c r="P380" s="468"/>
      <c r="Q380" s="473"/>
      <c r="R380" s="477" t="str">
        <f>IF(AND(COUNTIF('Start Character'!$I$63:$M$77,"Twilight Prone")=1,NOT(ISERROR(FIND("Magical Botch",M380)))),"Yes",IF(P380&gt;1,"Yes","No"))</f>
        <v>No</v>
      </c>
      <c r="S380" s="501"/>
      <c r="T380" s="478"/>
      <c r="U380" s="501"/>
      <c r="V380" s="479" t="str">
        <f>IF(R380="No","No Twilight",IF(T380="Yes","Uncomprehended Twilight",IF((Character!$B$14+IF(Character!$B$53="Yes",0,Character!$B$53)+IF(Magic!$C$5="Yes",2,0)+ROUNDUP((Magic!$B$30+IF(Magic!$C$30="Yes",3,0))/5,0)+S380)&gt;=($D$3+P380+SUMIF(Character!$I$62:$I$66,"Enigmatic Wisdom",Character!$J$62:$J$66)+Q380+U380),"No Twilight","Twilight")))</f>
        <v>No Twilight</v>
      </c>
      <c r="W380" s="483"/>
      <c r="X380" s="478"/>
      <c r="Y380" s="484"/>
      <c r="Z380" s="478"/>
      <c r="AA380" s="485" t="str">
        <f>IF(V380="Uncomprehended Twilight","Failed",IF(OR(ISBLANK(W380),ISBLANK(Y380))," ",IF(NOT(ISBLANK(X380)),"Failed",IF((W380+Character!$B$9+SUMIF(Character!$I$62:$I$66,"Enigmatic Wisdom",Character!$J$62:$J$66))&gt;=IF(Z380="Yes",0,(Y380+D375)),"Succeeded","Failed"))))</f>
        <v xml:space="preserve"> </v>
      </c>
      <c r="AB380" s="477" t="str">
        <f>IF(AA380=" "," ",IF(NOT(ISBLANK(X380)),VLOOKUP($D$3+X380,Calcs!$A$110:$C$122,3,TRUE),IF(AA380="Failed",VLOOKUP($D$3,Calcs!$A$110:$C$122,3,TRUE),VLOOKUP($D$3-(IF((Character!$B$9+W380)&gt;($D$3+Y380),(Character!$B$9+W380)-($D$3+Y380),0)),Calcs!$A$110:$C$122,3,TRUE))))</f>
        <v xml:space="preserve"> </v>
      </c>
      <c r="AC380" s="489"/>
      <c r="AD380" s="489" t="str">
        <f>IF(IF(AA380=" "," ",IF(NOT(ISBLANK(X380)),VLOOKUP($D$3+X380,Calcs!$A$110:$B$122,2,TRUE),IF(AA380="Failed",VLOOKUP($D$3,Calcs!$A$110:$B$122,2,TRUE),VLOOKUP($D$3-(IF((Character!$B$9+W380)&gt;($D$3+Y380),(Character!$B$9+W380)-($D$3+Y380),0)),Calcs!$A$110:$B$122,2,TRUE))))=Calcs!$B$120,IF(ISBLANK(AC380)," ",CONCATENATE(AC380+7," Years")),IF(AA380=" "," ",IF(NOT(ISBLANK(X380)),VLOOKUP($D$3+X380,Calcs!$A$110:$B$122,2,TRUE),IF(AA380="Failed",VLOOKUP($D$3,Calcs!$A$110:$B$122,2,TRUE),VLOOKUP($D$3-(IF((Character!$B$9+W380)&gt;($D$3+Y380),(Character!$B$9+W380)-($D$3+Y380),0)),Calcs!$A$110:$B$122,2,TRUE)))))</f>
        <v xml:space="preserve"> </v>
      </c>
      <c r="AE380" s="490"/>
      <c r="AF380" s="879"/>
      <c r="AG380" s="491"/>
    </row>
    <row r="381" spans="1:33" x14ac:dyDescent="0.2">
      <c r="A381" s="415">
        <f t="shared" si="10"/>
        <v>1305</v>
      </c>
      <c r="B381" s="419" t="str">
        <f t="shared" si="11"/>
        <v>Spring</v>
      </c>
      <c r="C381" s="455"/>
      <c r="D381" s="504"/>
      <c r="E381" s="455"/>
      <c r="F381" s="504"/>
      <c r="G381" s="455"/>
      <c r="H381" s="504"/>
      <c r="I381" s="455"/>
      <c r="J381" s="504"/>
      <c r="L381" s="472"/>
      <c r="M381" s="468"/>
      <c r="N381" s="468"/>
      <c r="O381" s="468"/>
      <c r="P381" s="468"/>
      <c r="Q381" s="473"/>
      <c r="R381" s="477" t="str">
        <f>IF(AND(COUNTIF('Start Character'!$I$63:$M$77,"Twilight Prone")=1,NOT(ISERROR(FIND("Magical Botch",M381)))),"Yes",IF(P381&gt;1,"Yes","No"))</f>
        <v>No</v>
      </c>
      <c r="S381" s="501"/>
      <c r="T381" s="478"/>
      <c r="U381" s="501"/>
      <c r="V381" s="479" t="str">
        <f>IF(R381="No","No Twilight",IF(T381="Yes","Uncomprehended Twilight",IF((Character!$B$14+IF(Character!$B$53="Yes",0,Character!$B$53)+IF(Magic!$C$5="Yes",2,0)+ROUNDUP((Magic!$B$30+IF(Magic!$C$30="Yes",3,0))/5,0)+S381)&gt;=($D$3+P381+SUMIF(Character!$I$62:$I$66,"Enigmatic Wisdom",Character!$J$62:$J$66)+Q381+U381),"No Twilight","Twilight")))</f>
        <v>No Twilight</v>
      </c>
      <c r="W381" s="483"/>
      <c r="X381" s="478"/>
      <c r="Y381" s="484"/>
      <c r="Z381" s="478"/>
      <c r="AA381" s="485" t="str">
        <f>IF(V381="Uncomprehended Twilight","Failed",IF(OR(ISBLANK(W381),ISBLANK(Y381))," ",IF(NOT(ISBLANK(X381)),"Failed",IF((W381+Character!$B$9+SUMIF(Character!$I$62:$I$66,"Enigmatic Wisdom",Character!$J$62:$J$66))&gt;=IF(Z381="Yes",0,(Y381+D376)),"Succeeded","Failed"))))</f>
        <v xml:space="preserve"> </v>
      </c>
      <c r="AB381" s="477" t="str">
        <f>IF(AA381=" "," ",IF(NOT(ISBLANK(X381)),VLOOKUP($D$3+X381,Calcs!$A$110:$C$122,3,TRUE),IF(AA381="Failed",VLOOKUP($D$3,Calcs!$A$110:$C$122,3,TRUE),VLOOKUP($D$3-(IF((Character!$B$9+W381)&gt;($D$3+Y381),(Character!$B$9+W381)-($D$3+Y381),0)),Calcs!$A$110:$C$122,3,TRUE))))</f>
        <v xml:space="preserve"> </v>
      </c>
      <c r="AC381" s="489"/>
      <c r="AD381" s="489" t="str">
        <f>IF(IF(AA381=" "," ",IF(NOT(ISBLANK(X381)),VLOOKUP($D$3+X381,Calcs!$A$110:$B$122,2,TRUE),IF(AA381="Failed",VLOOKUP($D$3,Calcs!$A$110:$B$122,2,TRUE),VLOOKUP($D$3-(IF((Character!$B$9+W381)&gt;($D$3+Y381),(Character!$B$9+W381)-($D$3+Y381),0)),Calcs!$A$110:$B$122,2,TRUE))))=Calcs!$B$120,IF(ISBLANK(AC381)," ",CONCATENATE(AC381+7," Years")),IF(AA381=" "," ",IF(NOT(ISBLANK(X381)),VLOOKUP($D$3+X381,Calcs!$A$110:$B$122,2,TRUE),IF(AA381="Failed",VLOOKUP($D$3,Calcs!$A$110:$B$122,2,TRUE),VLOOKUP($D$3-(IF((Character!$B$9+W381)&gt;($D$3+Y381),(Character!$B$9+W381)-($D$3+Y381),0)),Calcs!$A$110:$B$122,2,TRUE)))))</f>
        <v xml:space="preserve"> </v>
      </c>
      <c r="AE381" s="490"/>
      <c r="AF381" s="879"/>
      <c r="AG381" s="491"/>
    </row>
    <row r="382" spans="1:33" x14ac:dyDescent="0.2">
      <c r="A382" s="415">
        <f t="shared" si="10"/>
        <v>1305</v>
      </c>
      <c r="B382" s="419" t="str">
        <f t="shared" si="11"/>
        <v>Summer</v>
      </c>
      <c r="C382" s="455"/>
      <c r="D382" s="504"/>
      <c r="E382" s="455"/>
      <c r="F382" s="504"/>
      <c r="G382" s="455"/>
      <c r="H382" s="504"/>
      <c r="I382" s="455"/>
      <c r="J382" s="504"/>
      <c r="L382" s="472"/>
      <c r="M382" s="468"/>
      <c r="N382" s="468"/>
      <c r="O382" s="468"/>
      <c r="P382" s="468"/>
      <c r="Q382" s="473"/>
      <c r="R382" s="477" t="str">
        <f>IF(AND(COUNTIF('Start Character'!$I$63:$M$77,"Twilight Prone")=1,NOT(ISERROR(FIND("Magical Botch",M382)))),"Yes",IF(P382&gt;1,"Yes","No"))</f>
        <v>No</v>
      </c>
      <c r="S382" s="501"/>
      <c r="T382" s="478"/>
      <c r="U382" s="501"/>
      <c r="V382" s="479" t="str">
        <f>IF(R382="No","No Twilight",IF(T382="Yes","Uncomprehended Twilight",IF((Character!$B$14+IF(Character!$B$53="Yes",0,Character!$B$53)+IF(Magic!$C$5="Yes",2,0)+ROUNDUP((Magic!$B$30+IF(Magic!$C$30="Yes",3,0))/5,0)+S382)&gt;=($D$3+P382+SUMIF(Character!$I$62:$I$66,"Enigmatic Wisdom",Character!$J$62:$J$66)+Q382+U382),"No Twilight","Twilight")))</f>
        <v>No Twilight</v>
      </c>
      <c r="W382" s="483"/>
      <c r="X382" s="478"/>
      <c r="Y382" s="484"/>
      <c r="Z382" s="478"/>
      <c r="AA382" s="485" t="str">
        <f>IF(V382="Uncomprehended Twilight","Failed",IF(OR(ISBLANK(W382),ISBLANK(Y382))," ",IF(NOT(ISBLANK(X382)),"Failed",IF((W382+Character!$B$9+SUMIF(Character!$I$62:$I$66,"Enigmatic Wisdom",Character!$J$62:$J$66))&gt;=IF(Z382="Yes",0,(Y382+D377)),"Succeeded","Failed"))))</f>
        <v xml:space="preserve"> </v>
      </c>
      <c r="AB382" s="477" t="str">
        <f>IF(AA382=" "," ",IF(NOT(ISBLANK(X382)),VLOOKUP($D$3+X382,Calcs!$A$110:$C$122,3,TRUE),IF(AA382="Failed",VLOOKUP($D$3,Calcs!$A$110:$C$122,3,TRUE),VLOOKUP($D$3-(IF((Character!$B$9+W382)&gt;($D$3+Y382),(Character!$B$9+W382)-($D$3+Y382),0)),Calcs!$A$110:$C$122,3,TRUE))))</f>
        <v xml:space="preserve"> </v>
      </c>
      <c r="AC382" s="489"/>
      <c r="AD382" s="489" t="str">
        <f>IF(IF(AA382=" "," ",IF(NOT(ISBLANK(X382)),VLOOKUP($D$3+X382,Calcs!$A$110:$B$122,2,TRUE),IF(AA382="Failed",VLOOKUP($D$3,Calcs!$A$110:$B$122,2,TRUE),VLOOKUP($D$3-(IF((Character!$B$9+W382)&gt;($D$3+Y382),(Character!$B$9+W382)-($D$3+Y382),0)),Calcs!$A$110:$B$122,2,TRUE))))=Calcs!$B$120,IF(ISBLANK(AC382)," ",CONCATENATE(AC382+7," Years")),IF(AA382=" "," ",IF(NOT(ISBLANK(X382)),VLOOKUP($D$3+X382,Calcs!$A$110:$B$122,2,TRUE),IF(AA382="Failed",VLOOKUP($D$3,Calcs!$A$110:$B$122,2,TRUE),VLOOKUP($D$3-(IF((Character!$B$9+W382)&gt;($D$3+Y382),(Character!$B$9+W382)-($D$3+Y382),0)),Calcs!$A$110:$B$122,2,TRUE)))))</f>
        <v xml:space="preserve"> </v>
      </c>
      <c r="AE382" s="490"/>
      <c r="AF382" s="879"/>
      <c r="AG382" s="491"/>
    </row>
    <row r="383" spans="1:33" x14ac:dyDescent="0.2">
      <c r="A383" s="415">
        <f t="shared" si="10"/>
        <v>1305</v>
      </c>
      <c r="B383" s="419" t="str">
        <f t="shared" si="11"/>
        <v>Autumn</v>
      </c>
      <c r="C383" s="455"/>
      <c r="D383" s="504"/>
      <c r="E383" s="455"/>
      <c r="F383" s="504"/>
      <c r="G383" s="455"/>
      <c r="H383" s="504"/>
      <c r="I383" s="455"/>
      <c r="J383" s="504"/>
      <c r="L383" s="472"/>
      <c r="M383" s="468"/>
      <c r="N383" s="468"/>
      <c r="O383" s="468"/>
      <c r="P383" s="468"/>
      <c r="Q383" s="473"/>
      <c r="R383" s="477" t="str">
        <f>IF(AND(COUNTIF('Start Character'!$I$63:$M$77,"Twilight Prone")=1,NOT(ISERROR(FIND("Magical Botch",M383)))),"Yes",IF(P383&gt;1,"Yes","No"))</f>
        <v>No</v>
      </c>
      <c r="S383" s="501"/>
      <c r="T383" s="478"/>
      <c r="U383" s="501"/>
      <c r="V383" s="479" t="str">
        <f>IF(R383="No","No Twilight",IF(T383="Yes","Uncomprehended Twilight",IF((Character!$B$14+IF(Character!$B$53="Yes",0,Character!$B$53)+IF(Magic!$C$5="Yes",2,0)+ROUNDUP((Magic!$B$30+IF(Magic!$C$30="Yes",3,0))/5,0)+S383)&gt;=($D$3+P383+SUMIF(Character!$I$62:$I$66,"Enigmatic Wisdom",Character!$J$62:$J$66)+Q383+U383),"No Twilight","Twilight")))</f>
        <v>No Twilight</v>
      </c>
      <c r="W383" s="483"/>
      <c r="X383" s="478"/>
      <c r="Y383" s="484"/>
      <c r="Z383" s="478"/>
      <c r="AA383" s="485" t="str">
        <f>IF(V383="Uncomprehended Twilight","Failed",IF(OR(ISBLANK(W383),ISBLANK(Y383))," ",IF(NOT(ISBLANK(X383)),"Failed",IF((W383+Character!$B$9+SUMIF(Character!$I$62:$I$66,"Enigmatic Wisdom",Character!$J$62:$J$66))&gt;=IF(Z383="Yes",0,(Y383+D378)),"Succeeded","Failed"))))</f>
        <v xml:space="preserve"> </v>
      </c>
      <c r="AB383" s="477" t="str">
        <f>IF(AA383=" "," ",IF(NOT(ISBLANK(X383)),VLOOKUP($D$3+X383,Calcs!$A$110:$C$122,3,TRUE),IF(AA383="Failed",VLOOKUP($D$3,Calcs!$A$110:$C$122,3,TRUE),VLOOKUP($D$3-(IF((Character!$B$9+W383)&gt;($D$3+Y383),(Character!$B$9+W383)-($D$3+Y383),0)),Calcs!$A$110:$C$122,3,TRUE))))</f>
        <v xml:space="preserve"> </v>
      </c>
      <c r="AC383" s="489"/>
      <c r="AD383" s="489" t="str">
        <f>IF(IF(AA383=" "," ",IF(NOT(ISBLANK(X383)),VLOOKUP($D$3+X383,Calcs!$A$110:$B$122,2,TRUE),IF(AA383="Failed",VLOOKUP($D$3,Calcs!$A$110:$B$122,2,TRUE),VLOOKUP($D$3-(IF((Character!$B$9+W383)&gt;($D$3+Y383),(Character!$B$9+W383)-($D$3+Y383),0)),Calcs!$A$110:$B$122,2,TRUE))))=Calcs!$B$120,IF(ISBLANK(AC383)," ",CONCATENATE(AC383+7," Years")),IF(AA383=" "," ",IF(NOT(ISBLANK(X383)),VLOOKUP($D$3+X383,Calcs!$A$110:$B$122,2,TRUE),IF(AA383="Failed",VLOOKUP($D$3,Calcs!$A$110:$B$122,2,TRUE),VLOOKUP($D$3-(IF((Character!$B$9+W383)&gt;($D$3+Y383),(Character!$B$9+W383)-($D$3+Y383),0)),Calcs!$A$110:$B$122,2,TRUE)))))</f>
        <v xml:space="preserve"> </v>
      </c>
      <c r="AE383" s="490"/>
      <c r="AF383" s="879"/>
      <c r="AG383" s="491"/>
    </row>
    <row r="384" spans="1:33" x14ac:dyDescent="0.2">
      <c r="A384" s="415">
        <f t="shared" si="10"/>
        <v>1306</v>
      </c>
      <c r="B384" s="419" t="str">
        <f t="shared" si="11"/>
        <v>Winter</v>
      </c>
      <c r="C384" s="455"/>
      <c r="D384" s="504"/>
      <c r="E384" s="455"/>
      <c r="F384" s="504"/>
      <c r="G384" s="455"/>
      <c r="H384" s="504"/>
      <c r="I384" s="455"/>
      <c r="J384" s="504"/>
      <c r="L384" s="472"/>
      <c r="M384" s="468"/>
      <c r="N384" s="468"/>
      <c r="O384" s="468"/>
      <c r="P384" s="468"/>
      <c r="Q384" s="473"/>
      <c r="R384" s="477" t="str">
        <f>IF(AND(COUNTIF('Start Character'!$I$63:$M$77,"Twilight Prone")=1,NOT(ISERROR(FIND("Magical Botch",M384)))),"Yes",IF(P384&gt;1,"Yes","No"))</f>
        <v>No</v>
      </c>
      <c r="S384" s="501"/>
      <c r="T384" s="478"/>
      <c r="U384" s="501"/>
      <c r="V384" s="479" t="str">
        <f>IF(R384="No","No Twilight",IF(T384="Yes","Uncomprehended Twilight",IF((Character!$B$14+IF(Character!$B$53="Yes",0,Character!$B$53)+IF(Magic!$C$5="Yes",2,0)+ROUNDUP((Magic!$B$30+IF(Magic!$C$30="Yes",3,0))/5,0)+S384)&gt;=($D$3+P384+SUMIF(Character!$I$62:$I$66,"Enigmatic Wisdom",Character!$J$62:$J$66)+Q384+U384),"No Twilight","Twilight")))</f>
        <v>No Twilight</v>
      </c>
      <c r="W384" s="483"/>
      <c r="X384" s="478"/>
      <c r="Y384" s="484"/>
      <c r="Z384" s="478"/>
      <c r="AA384" s="485" t="str">
        <f>IF(V384="Uncomprehended Twilight","Failed",IF(OR(ISBLANK(W384),ISBLANK(Y384))," ",IF(NOT(ISBLANK(X384)),"Failed",IF((W384+Character!$B$9+SUMIF(Character!$I$62:$I$66,"Enigmatic Wisdom",Character!$J$62:$J$66))&gt;=IF(Z384="Yes",0,(Y384+D379)),"Succeeded","Failed"))))</f>
        <v xml:space="preserve"> </v>
      </c>
      <c r="AB384" s="477" t="str">
        <f>IF(AA384=" "," ",IF(NOT(ISBLANK(X384)),VLOOKUP($D$3+X384,Calcs!$A$110:$C$122,3,TRUE),IF(AA384="Failed",VLOOKUP($D$3,Calcs!$A$110:$C$122,3,TRUE),VLOOKUP($D$3-(IF((Character!$B$9+W384)&gt;($D$3+Y384),(Character!$B$9+W384)-($D$3+Y384),0)),Calcs!$A$110:$C$122,3,TRUE))))</f>
        <v xml:space="preserve"> </v>
      </c>
      <c r="AC384" s="489"/>
      <c r="AD384" s="489" t="str">
        <f>IF(IF(AA384=" "," ",IF(NOT(ISBLANK(X384)),VLOOKUP($D$3+X384,Calcs!$A$110:$B$122,2,TRUE),IF(AA384="Failed",VLOOKUP($D$3,Calcs!$A$110:$B$122,2,TRUE),VLOOKUP($D$3-(IF((Character!$B$9+W384)&gt;($D$3+Y384),(Character!$B$9+W384)-($D$3+Y384),0)),Calcs!$A$110:$B$122,2,TRUE))))=Calcs!$B$120,IF(ISBLANK(AC384)," ",CONCATENATE(AC384+7," Years")),IF(AA384=" "," ",IF(NOT(ISBLANK(X384)),VLOOKUP($D$3+X384,Calcs!$A$110:$B$122,2,TRUE),IF(AA384="Failed",VLOOKUP($D$3,Calcs!$A$110:$B$122,2,TRUE),VLOOKUP($D$3-(IF((Character!$B$9+W384)&gt;($D$3+Y384),(Character!$B$9+W384)-($D$3+Y384),0)),Calcs!$A$110:$B$122,2,TRUE)))))</f>
        <v xml:space="preserve"> </v>
      </c>
      <c r="AE384" s="490"/>
      <c r="AF384" s="879"/>
      <c r="AG384" s="491"/>
    </row>
    <row r="385" spans="1:33" x14ac:dyDescent="0.2">
      <c r="A385" s="415">
        <f t="shared" si="10"/>
        <v>1306</v>
      </c>
      <c r="B385" s="419" t="str">
        <f t="shared" si="11"/>
        <v>Spring</v>
      </c>
      <c r="C385" s="455"/>
      <c r="D385" s="504"/>
      <c r="E385" s="455"/>
      <c r="F385" s="504"/>
      <c r="G385" s="455"/>
      <c r="H385" s="504"/>
      <c r="I385" s="455"/>
      <c r="J385" s="504"/>
      <c r="L385" s="472"/>
      <c r="M385" s="468"/>
      <c r="N385" s="468"/>
      <c r="O385" s="468"/>
      <c r="P385" s="468"/>
      <c r="Q385" s="473"/>
      <c r="R385" s="477" t="str">
        <f>IF(AND(COUNTIF('Start Character'!$I$63:$M$77,"Twilight Prone")=1,NOT(ISERROR(FIND("Magical Botch",M385)))),"Yes",IF(P385&gt;1,"Yes","No"))</f>
        <v>No</v>
      </c>
      <c r="S385" s="501"/>
      <c r="T385" s="478"/>
      <c r="U385" s="501"/>
      <c r="V385" s="479" t="str">
        <f>IF(R385="No","No Twilight",IF(T385="Yes","Uncomprehended Twilight",IF((Character!$B$14+IF(Character!$B$53="Yes",0,Character!$B$53)+IF(Magic!$C$5="Yes",2,0)+ROUNDUP((Magic!$B$30+IF(Magic!$C$30="Yes",3,0))/5,0)+S385)&gt;=($D$3+P385+SUMIF(Character!$I$62:$I$66,"Enigmatic Wisdom",Character!$J$62:$J$66)+Q385+U385),"No Twilight","Twilight")))</f>
        <v>No Twilight</v>
      </c>
      <c r="W385" s="483"/>
      <c r="X385" s="478"/>
      <c r="Y385" s="484"/>
      <c r="Z385" s="478"/>
      <c r="AA385" s="485" t="str">
        <f>IF(V385="Uncomprehended Twilight","Failed",IF(OR(ISBLANK(W385),ISBLANK(Y385))," ",IF(NOT(ISBLANK(X385)),"Failed",IF((W385+Character!$B$9+SUMIF(Character!$I$62:$I$66,"Enigmatic Wisdom",Character!$J$62:$J$66))&gt;=IF(Z385="Yes",0,(Y385+D380)),"Succeeded","Failed"))))</f>
        <v xml:space="preserve"> </v>
      </c>
      <c r="AB385" s="477" t="str">
        <f>IF(AA385=" "," ",IF(NOT(ISBLANK(X385)),VLOOKUP($D$3+X385,Calcs!$A$110:$C$122,3,TRUE),IF(AA385="Failed",VLOOKUP($D$3,Calcs!$A$110:$C$122,3,TRUE),VLOOKUP($D$3-(IF((Character!$B$9+W385)&gt;($D$3+Y385),(Character!$B$9+W385)-($D$3+Y385),0)),Calcs!$A$110:$C$122,3,TRUE))))</f>
        <v xml:space="preserve"> </v>
      </c>
      <c r="AC385" s="489"/>
      <c r="AD385" s="489" t="str">
        <f>IF(IF(AA385=" "," ",IF(NOT(ISBLANK(X385)),VLOOKUP($D$3+X385,Calcs!$A$110:$B$122,2,TRUE),IF(AA385="Failed",VLOOKUP($D$3,Calcs!$A$110:$B$122,2,TRUE),VLOOKUP($D$3-(IF((Character!$B$9+W385)&gt;($D$3+Y385),(Character!$B$9+W385)-($D$3+Y385),0)),Calcs!$A$110:$B$122,2,TRUE))))=Calcs!$B$120,IF(ISBLANK(AC385)," ",CONCATENATE(AC385+7," Years")),IF(AA385=" "," ",IF(NOT(ISBLANK(X385)),VLOOKUP($D$3+X385,Calcs!$A$110:$B$122,2,TRUE),IF(AA385="Failed",VLOOKUP($D$3,Calcs!$A$110:$B$122,2,TRUE),VLOOKUP($D$3-(IF((Character!$B$9+W385)&gt;($D$3+Y385),(Character!$B$9+W385)-($D$3+Y385),0)),Calcs!$A$110:$B$122,2,TRUE)))))</f>
        <v xml:space="preserve"> </v>
      </c>
      <c r="AE385" s="490"/>
      <c r="AF385" s="879"/>
      <c r="AG385" s="491"/>
    </row>
    <row r="386" spans="1:33" x14ac:dyDescent="0.2">
      <c r="A386" s="415">
        <f t="shared" si="10"/>
        <v>1306</v>
      </c>
      <c r="B386" s="419" t="str">
        <f t="shared" si="11"/>
        <v>Summer</v>
      </c>
      <c r="C386" s="455"/>
      <c r="D386" s="504"/>
      <c r="E386" s="455"/>
      <c r="F386" s="504"/>
      <c r="G386" s="455"/>
      <c r="H386" s="504"/>
      <c r="I386" s="455"/>
      <c r="J386" s="504"/>
      <c r="L386" s="472"/>
      <c r="M386" s="468"/>
      <c r="N386" s="468"/>
      <c r="O386" s="468"/>
      <c r="P386" s="468"/>
      <c r="Q386" s="473"/>
      <c r="R386" s="477" t="str">
        <f>IF(AND(COUNTIF('Start Character'!$I$63:$M$77,"Twilight Prone")=1,NOT(ISERROR(FIND("Magical Botch",M386)))),"Yes",IF(P386&gt;1,"Yes","No"))</f>
        <v>No</v>
      </c>
      <c r="S386" s="501"/>
      <c r="T386" s="478"/>
      <c r="U386" s="501"/>
      <c r="V386" s="479" t="str">
        <f>IF(R386="No","No Twilight",IF(T386="Yes","Uncomprehended Twilight",IF((Character!$B$14+IF(Character!$B$53="Yes",0,Character!$B$53)+IF(Magic!$C$5="Yes",2,0)+ROUNDUP((Magic!$B$30+IF(Magic!$C$30="Yes",3,0))/5,0)+S386)&gt;=($D$3+P386+SUMIF(Character!$I$62:$I$66,"Enigmatic Wisdom",Character!$J$62:$J$66)+Q386+U386),"No Twilight","Twilight")))</f>
        <v>No Twilight</v>
      </c>
      <c r="W386" s="483"/>
      <c r="X386" s="478"/>
      <c r="Y386" s="484"/>
      <c r="Z386" s="478"/>
      <c r="AA386" s="485" t="str">
        <f>IF(V386="Uncomprehended Twilight","Failed",IF(OR(ISBLANK(W386),ISBLANK(Y386))," ",IF(NOT(ISBLANK(X386)),"Failed",IF((W386+Character!$B$9+SUMIF(Character!$I$62:$I$66,"Enigmatic Wisdom",Character!$J$62:$J$66))&gt;=IF(Z386="Yes",0,(Y386+D381)),"Succeeded","Failed"))))</f>
        <v xml:space="preserve"> </v>
      </c>
      <c r="AB386" s="477" t="str">
        <f>IF(AA386=" "," ",IF(NOT(ISBLANK(X386)),VLOOKUP($D$3+X386,Calcs!$A$110:$C$122,3,TRUE),IF(AA386="Failed",VLOOKUP($D$3,Calcs!$A$110:$C$122,3,TRUE),VLOOKUP($D$3-(IF((Character!$B$9+W386)&gt;($D$3+Y386),(Character!$B$9+W386)-($D$3+Y386),0)),Calcs!$A$110:$C$122,3,TRUE))))</f>
        <v xml:space="preserve"> </v>
      </c>
      <c r="AC386" s="489"/>
      <c r="AD386" s="489" t="str">
        <f>IF(IF(AA386=" "," ",IF(NOT(ISBLANK(X386)),VLOOKUP($D$3+X386,Calcs!$A$110:$B$122,2,TRUE),IF(AA386="Failed",VLOOKUP($D$3,Calcs!$A$110:$B$122,2,TRUE),VLOOKUP($D$3-(IF((Character!$B$9+W386)&gt;($D$3+Y386),(Character!$B$9+W386)-($D$3+Y386),0)),Calcs!$A$110:$B$122,2,TRUE))))=Calcs!$B$120,IF(ISBLANK(AC386)," ",CONCATENATE(AC386+7," Years")),IF(AA386=" "," ",IF(NOT(ISBLANK(X386)),VLOOKUP($D$3+X386,Calcs!$A$110:$B$122,2,TRUE),IF(AA386="Failed",VLOOKUP($D$3,Calcs!$A$110:$B$122,2,TRUE),VLOOKUP($D$3-(IF((Character!$B$9+W386)&gt;($D$3+Y386),(Character!$B$9+W386)-($D$3+Y386),0)),Calcs!$A$110:$B$122,2,TRUE)))))</f>
        <v xml:space="preserve"> </v>
      </c>
      <c r="AE386" s="490"/>
      <c r="AF386" s="879"/>
      <c r="AG386" s="491"/>
    </row>
    <row r="387" spans="1:33" x14ac:dyDescent="0.2">
      <c r="A387" s="415">
        <f t="shared" si="10"/>
        <v>1306</v>
      </c>
      <c r="B387" s="419" t="str">
        <f t="shared" si="11"/>
        <v>Autumn</v>
      </c>
      <c r="C387" s="455"/>
      <c r="D387" s="504"/>
      <c r="E387" s="455"/>
      <c r="F387" s="504"/>
      <c r="G387" s="455"/>
      <c r="H387" s="504"/>
      <c r="I387" s="455"/>
      <c r="J387" s="504"/>
      <c r="L387" s="472"/>
      <c r="M387" s="468"/>
      <c r="N387" s="468"/>
      <c r="O387" s="468"/>
      <c r="P387" s="468"/>
      <c r="Q387" s="473"/>
      <c r="R387" s="477" t="str">
        <f>IF(AND(COUNTIF('Start Character'!$I$63:$M$77,"Twilight Prone")=1,NOT(ISERROR(FIND("Magical Botch",M387)))),"Yes",IF(P387&gt;1,"Yes","No"))</f>
        <v>No</v>
      </c>
      <c r="S387" s="501"/>
      <c r="T387" s="478"/>
      <c r="U387" s="501"/>
      <c r="V387" s="479" t="str">
        <f>IF(R387="No","No Twilight",IF(T387="Yes","Uncomprehended Twilight",IF((Character!$B$14+IF(Character!$B$53="Yes",0,Character!$B$53)+IF(Magic!$C$5="Yes",2,0)+ROUNDUP((Magic!$B$30+IF(Magic!$C$30="Yes",3,0))/5,0)+S387)&gt;=($D$3+P387+SUMIF(Character!$I$62:$I$66,"Enigmatic Wisdom",Character!$J$62:$J$66)+Q387+U387),"No Twilight","Twilight")))</f>
        <v>No Twilight</v>
      </c>
      <c r="W387" s="483"/>
      <c r="X387" s="478"/>
      <c r="Y387" s="484"/>
      <c r="Z387" s="478"/>
      <c r="AA387" s="485" t="str">
        <f>IF(V387="Uncomprehended Twilight","Failed",IF(OR(ISBLANK(W387),ISBLANK(Y387))," ",IF(NOT(ISBLANK(X387)),"Failed",IF((W387+Character!$B$9+SUMIF(Character!$I$62:$I$66,"Enigmatic Wisdom",Character!$J$62:$J$66))&gt;=IF(Z387="Yes",0,(Y387+D382)),"Succeeded","Failed"))))</f>
        <v xml:space="preserve"> </v>
      </c>
      <c r="AB387" s="477" t="str">
        <f>IF(AA387=" "," ",IF(NOT(ISBLANK(X387)),VLOOKUP($D$3+X387,Calcs!$A$110:$C$122,3,TRUE),IF(AA387="Failed",VLOOKUP($D$3,Calcs!$A$110:$C$122,3,TRUE),VLOOKUP($D$3-(IF((Character!$B$9+W387)&gt;($D$3+Y387),(Character!$B$9+W387)-($D$3+Y387),0)),Calcs!$A$110:$C$122,3,TRUE))))</f>
        <v xml:space="preserve"> </v>
      </c>
      <c r="AC387" s="489"/>
      <c r="AD387" s="489" t="str">
        <f>IF(IF(AA387=" "," ",IF(NOT(ISBLANK(X387)),VLOOKUP($D$3+X387,Calcs!$A$110:$B$122,2,TRUE),IF(AA387="Failed",VLOOKUP($D$3,Calcs!$A$110:$B$122,2,TRUE),VLOOKUP($D$3-(IF((Character!$B$9+W387)&gt;($D$3+Y387),(Character!$B$9+W387)-($D$3+Y387),0)),Calcs!$A$110:$B$122,2,TRUE))))=Calcs!$B$120,IF(ISBLANK(AC387)," ",CONCATENATE(AC387+7," Years")),IF(AA387=" "," ",IF(NOT(ISBLANK(X387)),VLOOKUP($D$3+X387,Calcs!$A$110:$B$122,2,TRUE),IF(AA387="Failed",VLOOKUP($D$3,Calcs!$A$110:$B$122,2,TRUE),VLOOKUP($D$3-(IF((Character!$B$9+W387)&gt;($D$3+Y387),(Character!$B$9+W387)-($D$3+Y387),0)),Calcs!$A$110:$B$122,2,TRUE)))))</f>
        <v xml:space="preserve"> </v>
      </c>
      <c r="AE387" s="490"/>
      <c r="AF387" s="879"/>
      <c r="AG387" s="491"/>
    </row>
    <row r="388" spans="1:33" x14ac:dyDescent="0.2">
      <c r="A388" s="415">
        <f t="shared" si="10"/>
        <v>1307</v>
      </c>
      <c r="B388" s="419" t="str">
        <f t="shared" si="11"/>
        <v>Winter</v>
      </c>
      <c r="C388" s="455"/>
      <c r="D388" s="504"/>
      <c r="E388" s="455"/>
      <c r="F388" s="504"/>
      <c r="G388" s="455"/>
      <c r="H388" s="504"/>
      <c r="I388" s="455"/>
      <c r="J388" s="504"/>
      <c r="L388" s="472"/>
      <c r="M388" s="468"/>
      <c r="N388" s="468"/>
      <c r="O388" s="468"/>
      <c r="P388" s="468"/>
      <c r="Q388" s="473"/>
      <c r="R388" s="477" t="str">
        <f>IF(AND(COUNTIF('Start Character'!$I$63:$M$77,"Twilight Prone")=1,NOT(ISERROR(FIND("Magical Botch",M388)))),"Yes",IF(P388&gt;1,"Yes","No"))</f>
        <v>No</v>
      </c>
      <c r="S388" s="501"/>
      <c r="T388" s="478"/>
      <c r="U388" s="501"/>
      <c r="V388" s="479" t="str">
        <f>IF(R388="No","No Twilight",IF(T388="Yes","Uncomprehended Twilight",IF((Character!$B$14+IF(Character!$B$53="Yes",0,Character!$B$53)+IF(Magic!$C$5="Yes",2,0)+ROUNDUP((Magic!$B$30+IF(Magic!$C$30="Yes",3,0))/5,0)+S388)&gt;=($D$3+P388+SUMIF(Character!$I$62:$I$66,"Enigmatic Wisdom",Character!$J$62:$J$66)+Q388+U388),"No Twilight","Twilight")))</f>
        <v>No Twilight</v>
      </c>
      <c r="W388" s="483"/>
      <c r="X388" s="478"/>
      <c r="Y388" s="484"/>
      <c r="Z388" s="478"/>
      <c r="AA388" s="485" t="str">
        <f>IF(V388="Uncomprehended Twilight","Failed",IF(OR(ISBLANK(W388),ISBLANK(Y388))," ",IF(NOT(ISBLANK(X388)),"Failed",IF((W388+Character!$B$9+SUMIF(Character!$I$62:$I$66,"Enigmatic Wisdom",Character!$J$62:$J$66))&gt;=IF(Z388="Yes",0,(Y388+D383)),"Succeeded","Failed"))))</f>
        <v xml:space="preserve"> </v>
      </c>
      <c r="AB388" s="477" t="str">
        <f>IF(AA388=" "," ",IF(NOT(ISBLANK(X388)),VLOOKUP($D$3+X388,Calcs!$A$110:$C$122,3,TRUE),IF(AA388="Failed",VLOOKUP($D$3,Calcs!$A$110:$C$122,3,TRUE),VLOOKUP($D$3-(IF((Character!$B$9+W388)&gt;($D$3+Y388),(Character!$B$9+W388)-($D$3+Y388),0)),Calcs!$A$110:$C$122,3,TRUE))))</f>
        <v xml:space="preserve"> </v>
      </c>
      <c r="AC388" s="489"/>
      <c r="AD388" s="489" t="str">
        <f>IF(IF(AA388=" "," ",IF(NOT(ISBLANK(X388)),VLOOKUP($D$3+X388,Calcs!$A$110:$B$122,2,TRUE),IF(AA388="Failed",VLOOKUP($D$3,Calcs!$A$110:$B$122,2,TRUE),VLOOKUP($D$3-(IF((Character!$B$9+W388)&gt;($D$3+Y388),(Character!$B$9+W388)-($D$3+Y388),0)),Calcs!$A$110:$B$122,2,TRUE))))=Calcs!$B$120,IF(ISBLANK(AC388)," ",CONCATENATE(AC388+7," Years")),IF(AA388=" "," ",IF(NOT(ISBLANK(X388)),VLOOKUP($D$3+X388,Calcs!$A$110:$B$122,2,TRUE),IF(AA388="Failed",VLOOKUP($D$3,Calcs!$A$110:$B$122,2,TRUE),VLOOKUP($D$3-(IF((Character!$B$9+W388)&gt;($D$3+Y388),(Character!$B$9+W388)-($D$3+Y388),0)),Calcs!$A$110:$B$122,2,TRUE)))))</f>
        <v xml:space="preserve"> </v>
      </c>
      <c r="AE388" s="490"/>
      <c r="AF388" s="879"/>
      <c r="AG388" s="491"/>
    </row>
    <row r="389" spans="1:33" x14ac:dyDescent="0.2">
      <c r="A389" s="415">
        <f t="shared" si="10"/>
        <v>1307</v>
      </c>
      <c r="B389" s="419" t="str">
        <f t="shared" si="11"/>
        <v>Spring</v>
      </c>
      <c r="C389" s="455"/>
      <c r="D389" s="504"/>
      <c r="E389" s="455"/>
      <c r="F389" s="504"/>
      <c r="G389" s="455"/>
      <c r="H389" s="504"/>
      <c r="I389" s="455"/>
      <c r="J389" s="504"/>
      <c r="L389" s="472"/>
      <c r="M389" s="468"/>
      <c r="N389" s="468"/>
      <c r="O389" s="468"/>
      <c r="P389" s="468"/>
      <c r="Q389" s="473"/>
      <c r="R389" s="477" t="str">
        <f>IF(AND(COUNTIF('Start Character'!$I$63:$M$77,"Twilight Prone")=1,NOT(ISERROR(FIND("Magical Botch",M389)))),"Yes",IF(P389&gt;1,"Yes","No"))</f>
        <v>No</v>
      </c>
      <c r="S389" s="501"/>
      <c r="T389" s="478"/>
      <c r="U389" s="501"/>
      <c r="V389" s="479" t="str">
        <f>IF(R389="No","No Twilight",IF(T389="Yes","Uncomprehended Twilight",IF((Character!$B$14+IF(Character!$B$53="Yes",0,Character!$B$53)+IF(Magic!$C$5="Yes",2,0)+ROUNDUP((Magic!$B$30+IF(Magic!$C$30="Yes",3,0))/5,0)+S389)&gt;=($D$3+P389+SUMIF(Character!$I$62:$I$66,"Enigmatic Wisdom",Character!$J$62:$J$66)+Q389+U389),"No Twilight","Twilight")))</f>
        <v>No Twilight</v>
      </c>
      <c r="W389" s="483"/>
      <c r="X389" s="478"/>
      <c r="Y389" s="484"/>
      <c r="Z389" s="478"/>
      <c r="AA389" s="485" t="str">
        <f>IF(V389="Uncomprehended Twilight","Failed",IF(OR(ISBLANK(W389),ISBLANK(Y389))," ",IF(NOT(ISBLANK(X389)),"Failed",IF((W389+Character!$B$9+SUMIF(Character!$I$62:$I$66,"Enigmatic Wisdom",Character!$J$62:$J$66))&gt;=IF(Z389="Yes",0,(Y389+D384)),"Succeeded","Failed"))))</f>
        <v xml:space="preserve"> </v>
      </c>
      <c r="AB389" s="477" t="str">
        <f>IF(AA389=" "," ",IF(NOT(ISBLANK(X389)),VLOOKUP($D$3+X389,Calcs!$A$110:$C$122,3,TRUE),IF(AA389="Failed",VLOOKUP($D$3,Calcs!$A$110:$C$122,3,TRUE),VLOOKUP($D$3-(IF((Character!$B$9+W389)&gt;($D$3+Y389),(Character!$B$9+W389)-($D$3+Y389),0)),Calcs!$A$110:$C$122,3,TRUE))))</f>
        <v xml:space="preserve"> </v>
      </c>
      <c r="AC389" s="489"/>
      <c r="AD389" s="489" t="str">
        <f>IF(IF(AA389=" "," ",IF(NOT(ISBLANK(X389)),VLOOKUP($D$3+X389,Calcs!$A$110:$B$122,2,TRUE),IF(AA389="Failed",VLOOKUP($D$3,Calcs!$A$110:$B$122,2,TRUE),VLOOKUP($D$3-(IF((Character!$B$9+W389)&gt;($D$3+Y389),(Character!$B$9+W389)-($D$3+Y389),0)),Calcs!$A$110:$B$122,2,TRUE))))=Calcs!$B$120,IF(ISBLANK(AC389)," ",CONCATENATE(AC389+7," Years")),IF(AA389=" "," ",IF(NOT(ISBLANK(X389)),VLOOKUP($D$3+X389,Calcs!$A$110:$B$122,2,TRUE),IF(AA389="Failed",VLOOKUP($D$3,Calcs!$A$110:$B$122,2,TRUE),VLOOKUP($D$3-(IF((Character!$B$9+W389)&gt;($D$3+Y389),(Character!$B$9+W389)-($D$3+Y389),0)),Calcs!$A$110:$B$122,2,TRUE)))))</f>
        <v xml:space="preserve"> </v>
      </c>
      <c r="AE389" s="490"/>
      <c r="AF389" s="879"/>
      <c r="AG389" s="491"/>
    </row>
    <row r="390" spans="1:33" x14ac:dyDescent="0.2">
      <c r="A390" s="415">
        <f t="shared" si="10"/>
        <v>1307</v>
      </c>
      <c r="B390" s="419" t="str">
        <f t="shared" si="11"/>
        <v>Summer</v>
      </c>
      <c r="C390" s="455"/>
      <c r="D390" s="504"/>
      <c r="E390" s="455"/>
      <c r="F390" s="504"/>
      <c r="G390" s="455"/>
      <c r="H390" s="504"/>
      <c r="I390" s="455"/>
      <c r="J390" s="504"/>
      <c r="L390" s="472"/>
      <c r="M390" s="468"/>
      <c r="N390" s="468"/>
      <c r="O390" s="468"/>
      <c r="P390" s="468"/>
      <c r="Q390" s="473"/>
      <c r="R390" s="477" t="str">
        <f>IF(AND(COUNTIF('Start Character'!$I$63:$M$77,"Twilight Prone")=1,NOT(ISERROR(FIND("Magical Botch",M390)))),"Yes",IF(P390&gt;1,"Yes","No"))</f>
        <v>No</v>
      </c>
      <c r="S390" s="501"/>
      <c r="T390" s="478"/>
      <c r="U390" s="501"/>
      <c r="V390" s="479" t="str">
        <f>IF(R390="No","No Twilight",IF(T390="Yes","Uncomprehended Twilight",IF((Character!$B$14+IF(Character!$B$53="Yes",0,Character!$B$53)+IF(Magic!$C$5="Yes",2,0)+ROUNDUP((Magic!$B$30+IF(Magic!$C$30="Yes",3,0))/5,0)+S390)&gt;=($D$3+P390+SUMIF(Character!$I$62:$I$66,"Enigmatic Wisdom",Character!$J$62:$J$66)+Q390+U390),"No Twilight","Twilight")))</f>
        <v>No Twilight</v>
      </c>
      <c r="W390" s="483"/>
      <c r="X390" s="478"/>
      <c r="Y390" s="484"/>
      <c r="Z390" s="478"/>
      <c r="AA390" s="485" t="str">
        <f>IF(V390="Uncomprehended Twilight","Failed",IF(OR(ISBLANK(W390),ISBLANK(Y390))," ",IF(NOT(ISBLANK(X390)),"Failed",IF((W390+Character!$B$9+SUMIF(Character!$I$62:$I$66,"Enigmatic Wisdom",Character!$J$62:$J$66))&gt;=IF(Z390="Yes",0,(Y390+D385)),"Succeeded","Failed"))))</f>
        <v xml:space="preserve"> </v>
      </c>
      <c r="AB390" s="477" t="str">
        <f>IF(AA390=" "," ",IF(NOT(ISBLANK(X390)),VLOOKUP($D$3+X390,Calcs!$A$110:$C$122,3,TRUE),IF(AA390="Failed",VLOOKUP($D$3,Calcs!$A$110:$C$122,3,TRUE),VLOOKUP($D$3-(IF((Character!$B$9+W390)&gt;($D$3+Y390),(Character!$B$9+W390)-($D$3+Y390),0)),Calcs!$A$110:$C$122,3,TRUE))))</f>
        <v xml:space="preserve"> </v>
      </c>
      <c r="AC390" s="489"/>
      <c r="AD390" s="489" t="str">
        <f>IF(IF(AA390=" "," ",IF(NOT(ISBLANK(X390)),VLOOKUP($D$3+X390,Calcs!$A$110:$B$122,2,TRUE),IF(AA390="Failed",VLOOKUP($D$3,Calcs!$A$110:$B$122,2,TRUE),VLOOKUP($D$3-(IF((Character!$B$9+W390)&gt;($D$3+Y390),(Character!$B$9+W390)-($D$3+Y390),0)),Calcs!$A$110:$B$122,2,TRUE))))=Calcs!$B$120,IF(ISBLANK(AC390)," ",CONCATENATE(AC390+7," Years")),IF(AA390=" "," ",IF(NOT(ISBLANK(X390)),VLOOKUP($D$3+X390,Calcs!$A$110:$B$122,2,TRUE),IF(AA390="Failed",VLOOKUP($D$3,Calcs!$A$110:$B$122,2,TRUE),VLOOKUP($D$3-(IF((Character!$B$9+W390)&gt;($D$3+Y390),(Character!$B$9+W390)-($D$3+Y390),0)),Calcs!$A$110:$B$122,2,TRUE)))))</f>
        <v xml:space="preserve"> </v>
      </c>
      <c r="AE390" s="490"/>
      <c r="AF390" s="879"/>
      <c r="AG390" s="491"/>
    </row>
    <row r="391" spans="1:33" x14ac:dyDescent="0.2">
      <c r="A391" s="415">
        <f t="shared" si="10"/>
        <v>1307</v>
      </c>
      <c r="B391" s="419" t="str">
        <f t="shared" si="11"/>
        <v>Autumn</v>
      </c>
      <c r="C391" s="455"/>
      <c r="D391" s="504"/>
      <c r="E391" s="455"/>
      <c r="F391" s="504"/>
      <c r="G391" s="455"/>
      <c r="H391" s="504"/>
      <c r="I391" s="455"/>
      <c r="J391" s="504"/>
      <c r="L391" s="472"/>
      <c r="M391" s="468"/>
      <c r="N391" s="468"/>
      <c r="O391" s="468"/>
      <c r="P391" s="468"/>
      <c r="Q391" s="473"/>
      <c r="R391" s="477" t="str">
        <f>IF(AND(COUNTIF('Start Character'!$I$63:$M$77,"Twilight Prone")=1,NOT(ISERROR(FIND("Magical Botch",M391)))),"Yes",IF(P391&gt;1,"Yes","No"))</f>
        <v>No</v>
      </c>
      <c r="S391" s="501"/>
      <c r="T391" s="478"/>
      <c r="U391" s="501"/>
      <c r="V391" s="479" t="str">
        <f>IF(R391="No","No Twilight",IF(T391="Yes","Uncomprehended Twilight",IF((Character!$B$14+IF(Character!$B$53="Yes",0,Character!$B$53)+IF(Magic!$C$5="Yes",2,0)+ROUNDUP((Magic!$B$30+IF(Magic!$C$30="Yes",3,0))/5,0)+S391)&gt;=($D$3+P391+SUMIF(Character!$I$62:$I$66,"Enigmatic Wisdom",Character!$J$62:$J$66)+Q391+U391),"No Twilight","Twilight")))</f>
        <v>No Twilight</v>
      </c>
      <c r="W391" s="483"/>
      <c r="X391" s="478"/>
      <c r="Y391" s="484"/>
      <c r="Z391" s="478"/>
      <c r="AA391" s="485" t="str">
        <f>IF(V391="Uncomprehended Twilight","Failed",IF(OR(ISBLANK(W391),ISBLANK(Y391))," ",IF(NOT(ISBLANK(X391)),"Failed",IF((W391+Character!$B$9+SUMIF(Character!$I$62:$I$66,"Enigmatic Wisdom",Character!$J$62:$J$66))&gt;=IF(Z391="Yes",0,(Y391+D386)),"Succeeded","Failed"))))</f>
        <v xml:space="preserve"> </v>
      </c>
      <c r="AB391" s="477" t="str">
        <f>IF(AA391=" "," ",IF(NOT(ISBLANK(X391)),VLOOKUP($D$3+X391,Calcs!$A$110:$C$122,3,TRUE),IF(AA391="Failed",VLOOKUP($D$3,Calcs!$A$110:$C$122,3,TRUE),VLOOKUP($D$3-(IF((Character!$B$9+W391)&gt;($D$3+Y391),(Character!$B$9+W391)-($D$3+Y391),0)),Calcs!$A$110:$C$122,3,TRUE))))</f>
        <v xml:space="preserve"> </v>
      </c>
      <c r="AC391" s="489"/>
      <c r="AD391" s="489" t="str">
        <f>IF(IF(AA391=" "," ",IF(NOT(ISBLANK(X391)),VLOOKUP($D$3+X391,Calcs!$A$110:$B$122,2,TRUE),IF(AA391="Failed",VLOOKUP($D$3,Calcs!$A$110:$B$122,2,TRUE),VLOOKUP($D$3-(IF((Character!$B$9+W391)&gt;($D$3+Y391),(Character!$B$9+W391)-($D$3+Y391),0)),Calcs!$A$110:$B$122,2,TRUE))))=Calcs!$B$120,IF(ISBLANK(AC391)," ",CONCATENATE(AC391+7," Years")),IF(AA391=" "," ",IF(NOT(ISBLANK(X391)),VLOOKUP($D$3+X391,Calcs!$A$110:$B$122,2,TRUE),IF(AA391="Failed",VLOOKUP($D$3,Calcs!$A$110:$B$122,2,TRUE),VLOOKUP($D$3-(IF((Character!$B$9+W391)&gt;($D$3+Y391),(Character!$B$9+W391)-($D$3+Y391),0)),Calcs!$A$110:$B$122,2,TRUE)))))</f>
        <v xml:space="preserve"> </v>
      </c>
      <c r="AE391" s="490"/>
      <c r="AF391" s="879"/>
      <c r="AG391" s="491"/>
    </row>
    <row r="392" spans="1:33" x14ac:dyDescent="0.2">
      <c r="A392" s="415">
        <f t="shared" si="10"/>
        <v>1308</v>
      </c>
      <c r="B392" s="419" t="str">
        <f t="shared" si="11"/>
        <v>Winter</v>
      </c>
      <c r="C392" s="455"/>
      <c r="D392" s="504"/>
      <c r="E392" s="455"/>
      <c r="F392" s="504"/>
      <c r="G392" s="455"/>
      <c r="H392" s="504"/>
      <c r="I392" s="455"/>
      <c r="J392" s="504"/>
      <c r="L392" s="472"/>
      <c r="M392" s="468"/>
      <c r="N392" s="468"/>
      <c r="O392" s="468"/>
      <c r="P392" s="468"/>
      <c r="Q392" s="473"/>
      <c r="R392" s="477" t="str">
        <f>IF(AND(COUNTIF('Start Character'!$I$63:$M$77,"Twilight Prone")=1,NOT(ISERROR(FIND("Magical Botch",M392)))),"Yes",IF(P392&gt;1,"Yes","No"))</f>
        <v>No</v>
      </c>
      <c r="S392" s="501"/>
      <c r="T392" s="478"/>
      <c r="U392" s="501"/>
      <c r="V392" s="479" t="str">
        <f>IF(R392="No","No Twilight",IF(T392="Yes","Uncomprehended Twilight",IF((Character!$B$14+IF(Character!$B$53="Yes",0,Character!$B$53)+IF(Magic!$C$5="Yes",2,0)+ROUNDUP((Magic!$B$30+IF(Magic!$C$30="Yes",3,0))/5,0)+S392)&gt;=($D$3+P392+SUMIF(Character!$I$62:$I$66,"Enigmatic Wisdom",Character!$J$62:$J$66)+Q392+U392),"No Twilight","Twilight")))</f>
        <v>No Twilight</v>
      </c>
      <c r="W392" s="483"/>
      <c r="X392" s="478"/>
      <c r="Y392" s="484"/>
      <c r="Z392" s="478"/>
      <c r="AA392" s="485" t="str">
        <f>IF(V392="Uncomprehended Twilight","Failed",IF(OR(ISBLANK(W392),ISBLANK(Y392))," ",IF(NOT(ISBLANK(X392)),"Failed",IF((W392+Character!$B$9+SUMIF(Character!$I$62:$I$66,"Enigmatic Wisdom",Character!$J$62:$J$66))&gt;=IF(Z392="Yes",0,(Y392+D387)),"Succeeded","Failed"))))</f>
        <v xml:space="preserve"> </v>
      </c>
      <c r="AB392" s="477" t="str">
        <f>IF(AA392=" "," ",IF(NOT(ISBLANK(X392)),VLOOKUP($D$3+X392,Calcs!$A$110:$C$122,3,TRUE),IF(AA392="Failed",VLOOKUP($D$3,Calcs!$A$110:$C$122,3,TRUE),VLOOKUP($D$3-(IF((Character!$B$9+W392)&gt;($D$3+Y392),(Character!$B$9+W392)-($D$3+Y392),0)),Calcs!$A$110:$C$122,3,TRUE))))</f>
        <v xml:space="preserve"> </v>
      </c>
      <c r="AC392" s="489"/>
      <c r="AD392" s="489" t="str">
        <f>IF(IF(AA392=" "," ",IF(NOT(ISBLANK(X392)),VLOOKUP($D$3+X392,Calcs!$A$110:$B$122,2,TRUE),IF(AA392="Failed",VLOOKUP($D$3,Calcs!$A$110:$B$122,2,TRUE),VLOOKUP($D$3-(IF((Character!$B$9+W392)&gt;($D$3+Y392),(Character!$B$9+W392)-($D$3+Y392),0)),Calcs!$A$110:$B$122,2,TRUE))))=Calcs!$B$120,IF(ISBLANK(AC392)," ",CONCATENATE(AC392+7," Years")),IF(AA392=" "," ",IF(NOT(ISBLANK(X392)),VLOOKUP($D$3+X392,Calcs!$A$110:$B$122,2,TRUE),IF(AA392="Failed",VLOOKUP($D$3,Calcs!$A$110:$B$122,2,TRUE),VLOOKUP($D$3-(IF((Character!$B$9+W392)&gt;($D$3+Y392),(Character!$B$9+W392)-($D$3+Y392),0)),Calcs!$A$110:$B$122,2,TRUE)))))</f>
        <v xml:space="preserve"> </v>
      </c>
      <c r="AE392" s="490"/>
      <c r="AF392" s="879"/>
      <c r="AG392" s="491"/>
    </row>
    <row r="393" spans="1:33" x14ac:dyDescent="0.2">
      <c r="A393" s="415">
        <f t="shared" si="10"/>
        <v>1308</v>
      </c>
      <c r="B393" s="419" t="str">
        <f t="shared" si="11"/>
        <v>Spring</v>
      </c>
      <c r="C393" s="455"/>
      <c r="D393" s="504"/>
      <c r="E393" s="455"/>
      <c r="F393" s="504"/>
      <c r="G393" s="455"/>
      <c r="H393" s="504"/>
      <c r="I393" s="455"/>
      <c r="J393" s="504"/>
      <c r="L393" s="472"/>
      <c r="M393" s="468"/>
      <c r="N393" s="468"/>
      <c r="O393" s="468"/>
      <c r="P393" s="468"/>
      <c r="Q393" s="473"/>
      <c r="R393" s="477" t="str">
        <f>IF(AND(COUNTIF('Start Character'!$I$63:$M$77,"Twilight Prone")=1,NOT(ISERROR(FIND("Magical Botch",M393)))),"Yes",IF(P393&gt;1,"Yes","No"))</f>
        <v>No</v>
      </c>
      <c r="S393" s="501"/>
      <c r="T393" s="478"/>
      <c r="U393" s="501"/>
      <c r="V393" s="479" t="str">
        <f>IF(R393="No","No Twilight",IF(T393="Yes","Uncomprehended Twilight",IF((Character!$B$14+IF(Character!$B$53="Yes",0,Character!$B$53)+IF(Magic!$C$5="Yes",2,0)+ROUNDUP((Magic!$B$30+IF(Magic!$C$30="Yes",3,0))/5,0)+S393)&gt;=($D$3+P393+SUMIF(Character!$I$62:$I$66,"Enigmatic Wisdom",Character!$J$62:$J$66)+Q393+U393),"No Twilight","Twilight")))</f>
        <v>No Twilight</v>
      </c>
      <c r="W393" s="483"/>
      <c r="X393" s="478"/>
      <c r="Y393" s="484"/>
      <c r="Z393" s="478"/>
      <c r="AA393" s="485" t="str">
        <f>IF(V393="Uncomprehended Twilight","Failed",IF(OR(ISBLANK(W393),ISBLANK(Y393))," ",IF(NOT(ISBLANK(X393)),"Failed",IF((W393+Character!$B$9+SUMIF(Character!$I$62:$I$66,"Enigmatic Wisdom",Character!$J$62:$J$66))&gt;=IF(Z393="Yes",0,(Y393+D388)),"Succeeded","Failed"))))</f>
        <v xml:space="preserve"> </v>
      </c>
      <c r="AB393" s="477" t="str">
        <f>IF(AA393=" "," ",IF(NOT(ISBLANK(X393)),VLOOKUP($D$3+X393,Calcs!$A$110:$C$122,3,TRUE),IF(AA393="Failed",VLOOKUP($D$3,Calcs!$A$110:$C$122,3,TRUE),VLOOKUP($D$3-(IF((Character!$B$9+W393)&gt;($D$3+Y393),(Character!$B$9+W393)-($D$3+Y393),0)),Calcs!$A$110:$C$122,3,TRUE))))</f>
        <v xml:space="preserve"> </v>
      </c>
      <c r="AC393" s="489"/>
      <c r="AD393" s="489" t="str">
        <f>IF(IF(AA393=" "," ",IF(NOT(ISBLANK(X393)),VLOOKUP($D$3+X393,Calcs!$A$110:$B$122,2,TRUE),IF(AA393="Failed",VLOOKUP($D$3,Calcs!$A$110:$B$122,2,TRUE),VLOOKUP($D$3-(IF((Character!$B$9+W393)&gt;($D$3+Y393),(Character!$B$9+W393)-($D$3+Y393),0)),Calcs!$A$110:$B$122,2,TRUE))))=Calcs!$B$120,IF(ISBLANK(AC393)," ",CONCATENATE(AC393+7," Years")),IF(AA393=" "," ",IF(NOT(ISBLANK(X393)),VLOOKUP($D$3+X393,Calcs!$A$110:$B$122,2,TRUE),IF(AA393="Failed",VLOOKUP($D$3,Calcs!$A$110:$B$122,2,TRUE),VLOOKUP($D$3-(IF((Character!$B$9+W393)&gt;($D$3+Y393),(Character!$B$9+W393)-($D$3+Y393),0)),Calcs!$A$110:$B$122,2,TRUE)))))</f>
        <v xml:space="preserve"> </v>
      </c>
      <c r="AE393" s="490"/>
      <c r="AF393" s="879"/>
      <c r="AG393" s="491"/>
    </row>
    <row r="394" spans="1:33" x14ac:dyDescent="0.2">
      <c r="A394" s="415">
        <f t="shared" si="10"/>
        <v>1308</v>
      </c>
      <c r="B394" s="419" t="str">
        <f t="shared" si="11"/>
        <v>Summer</v>
      </c>
      <c r="C394" s="455"/>
      <c r="D394" s="504"/>
      <c r="E394" s="455"/>
      <c r="F394" s="504"/>
      <c r="G394" s="455"/>
      <c r="H394" s="504"/>
      <c r="I394" s="455"/>
      <c r="J394" s="504"/>
      <c r="L394" s="472"/>
      <c r="M394" s="468"/>
      <c r="N394" s="468"/>
      <c r="O394" s="468"/>
      <c r="P394" s="468"/>
      <c r="Q394" s="473"/>
      <c r="R394" s="477" t="str">
        <f>IF(AND(COUNTIF('Start Character'!$I$63:$M$77,"Twilight Prone")=1,NOT(ISERROR(FIND("Magical Botch",M394)))),"Yes",IF(P394&gt;1,"Yes","No"))</f>
        <v>No</v>
      </c>
      <c r="S394" s="501"/>
      <c r="T394" s="478"/>
      <c r="U394" s="501"/>
      <c r="V394" s="479" t="str">
        <f>IF(R394="No","No Twilight",IF(T394="Yes","Uncomprehended Twilight",IF((Character!$B$14+IF(Character!$B$53="Yes",0,Character!$B$53)+IF(Magic!$C$5="Yes",2,0)+ROUNDUP((Magic!$B$30+IF(Magic!$C$30="Yes",3,0))/5,0)+S394)&gt;=($D$3+P394+SUMIF(Character!$I$62:$I$66,"Enigmatic Wisdom",Character!$J$62:$J$66)+Q394+U394),"No Twilight","Twilight")))</f>
        <v>No Twilight</v>
      </c>
      <c r="W394" s="483"/>
      <c r="X394" s="478"/>
      <c r="Y394" s="484"/>
      <c r="Z394" s="478"/>
      <c r="AA394" s="485" t="str">
        <f>IF(V394="Uncomprehended Twilight","Failed",IF(OR(ISBLANK(W394),ISBLANK(Y394))," ",IF(NOT(ISBLANK(X394)),"Failed",IF((W394+Character!$B$9+SUMIF(Character!$I$62:$I$66,"Enigmatic Wisdom",Character!$J$62:$J$66))&gt;=IF(Z394="Yes",0,(Y394+D389)),"Succeeded","Failed"))))</f>
        <v xml:space="preserve"> </v>
      </c>
      <c r="AB394" s="477" t="str">
        <f>IF(AA394=" "," ",IF(NOT(ISBLANK(X394)),VLOOKUP($D$3+X394,Calcs!$A$110:$C$122,3,TRUE),IF(AA394="Failed",VLOOKUP($D$3,Calcs!$A$110:$C$122,3,TRUE),VLOOKUP($D$3-(IF((Character!$B$9+W394)&gt;($D$3+Y394),(Character!$B$9+W394)-($D$3+Y394),0)),Calcs!$A$110:$C$122,3,TRUE))))</f>
        <v xml:space="preserve"> </v>
      </c>
      <c r="AC394" s="489"/>
      <c r="AD394" s="489" t="str">
        <f>IF(IF(AA394=" "," ",IF(NOT(ISBLANK(X394)),VLOOKUP($D$3+X394,Calcs!$A$110:$B$122,2,TRUE),IF(AA394="Failed",VLOOKUP($D$3,Calcs!$A$110:$B$122,2,TRUE),VLOOKUP($D$3-(IF((Character!$B$9+W394)&gt;($D$3+Y394),(Character!$B$9+W394)-($D$3+Y394),0)),Calcs!$A$110:$B$122,2,TRUE))))=Calcs!$B$120,IF(ISBLANK(AC394)," ",CONCATENATE(AC394+7," Years")),IF(AA394=" "," ",IF(NOT(ISBLANK(X394)),VLOOKUP($D$3+X394,Calcs!$A$110:$B$122,2,TRUE),IF(AA394="Failed",VLOOKUP($D$3,Calcs!$A$110:$B$122,2,TRUE),VLOOKUP($D$3-(IF((Character!$B$9+W394)&gt;($D$3+Y394),(Character!$B$9+W394)-($D$3+Y394),0)),Calcs!$A$110:$B$122,2,TRUE)))))</f>
        <v xml:space="preserve"> </v>
      </c>
      <c r="AE394" s="490"/>
      <c r="AF394" s="879"/>
      <c r="AG394" s="491"/>
    </row>
    <row r="395" spans="1:33" x14ac:dyDescent="0.2">
      <c r="A395" s="415">
        <f t="shared" si="10"/>
        <v>1308</v>
      </c>
      <c r="B395" s="419" t="str">
        <f t="shared" si="11"/>
        <v>Autumn</v>
      </c>
      <c r="C395" s="455"/>
      <c r="D395" s="504"/>
      <c r="E395" s="455"/>
      <c r="F395" s="504"/>
      <c r="G395" s="455"/>
      <c r="H395" s="504"/>
      <c r="I395" s="455"/>
      <c r="J395" s="504"/>
      <c r="L395" s="472"/>
      <c r="M395" s="468"/>
      <c r="N395" s="468"/>
      <c r="O395" s="468"/>
      <c r="P395" s="468"/>
      <c r="Q395" s="473"/>
      <c r="R395" s="477" t="str">
        <f>IF(AND(COUNTIF('Start Character'!$I$63:$M$77,"Twilight Prone")=1,NOT(ISERROR(FIND("Magical Botch",M395)))),"Yes",IF(P395&gt;1,"Yes","No"))</f>
        <v>No</v>
      </c>
      <c r="S395" s="501"/>
      <c r="T395" s="478"/>
      <c r="U395" s="501"/>
      <c r="V395" s="479" t="str">
        <f>IF(R395="No","No Twilight",IF(T395="Yes","Uncomprehended Twilight",IF((Character!$B$14+IF(Character!$B$53="Yes",0,Character!$B$53)+IF(Magic!$C$5="Yes",2,0)+ROUNDUP((Magic!$B$30+IF(Magic!$C$30="Yes",3,0))/5,0)+S395)&gt;=($D$3+P395+SUMIF(Character!$I$62:$I$66,"Enigmatic Wisdom",Character!$J$62:$J$66)+Q395+U395),"No Twilight","Twilight")))</f>
        <v>No Twilight</v>
      </c>
      <c r="W395" s="483"/>
      <c r="X395" s="478"/>
      <c r="Y395" s="484"/>
      <c r="Z395" s="478"/>
      <c r="AA395" s="485" t="str">
        <f>IF(V395="Uncomprehended Twilight","Failed",IF(OR(ISBLANK(W395),ISBLANK(Y395))," ",IF(NOT(ISBLANK(X395)),"Failed",IF((W395+Character!$B$9+SUMIF(Character!$I$62:$I$66,"Enigmatic Wisdom",Character!$J$62:$J$66))&gt;=IF(Z395="Yes",0,(Y395+D390)),"Succeeded","Failed"))))</f>
        <v xml:space="preserve"> </v>
      </c>
      <c r="AB395" s="477" t="str">
        <f>IF(AA395=" "," ",IF(NOT(ISBLANK(X395)),VLOOKUP($D$3+X395,Calcs!$A$110:$C$122,3,TRUE),IF(AA395="Failed",VLOOKUP($D$3,Calcs!$A$110:$C$122,3,TRUE),VLOOKUP($D$3-(IF((Character!$B$9+W395)&gt;($D$3+Y395),(Character!$B$9+W395)-($D$3+Y395),0)),Calcs!$A$110:$C$122,3,TRUE))))</f>
        <v xml:space="preserve"> </v>
      </c>
      <c r="AC395" s="489"/>
      <c r="AD395" s="489" t="str">
        <f>IF(IF(AA395=" "," ",IF(NOT(ISBLANK(X395)),VLOOKUP($D$3+X395,Calcs!$A$110:$B$122,2,TRUE),IF(AA395="Failed",VLOOKUP($D$3,Calcs!$A$110:$B$122,2,TRUE),VLOOKUP($D$3-(IF((Character!$B$9+W395)&gt;($D$3+Y395),(Character!$B$9+W395)-($D$3+Y395),0)),Calcs!$A$110:$B$122,2,TRUE))))=Calcs!$B$120,IF(ISBLANK(AC395)," ",CONCATENATE(AC395+7," Years")),IF(AA395=" "," ",IF(NOT(ISBLANK(X395)),VLOOKUP($D$3+X395,Calcs!$A$110:$B$122,2,TRUE),IF(AA395="Failed",VLOOKUP($D$3,Calcs!$A$110:$B$122,2,TRUE),VLOOKUP($D$3-(IF((Character!$B$9+W395)&gt;($D$3+Y395),(Character!$B$9+W395)-($D$3+Y395),0)),Calcs!$A$110:$B$122,2,TRUE)))))</f>
        <v xml:space="preserve"> </v>
      </c>
      <c r="AE395" s="490"/>
      <c r="AF395" s="879"/>
      <c r="AG395" s="491"/>
    </row>
    <row r="396" spans="1:33" x14ac:dyDescent="0.2">
      <c r="A396" s="415">
        <f t="shared" si="10"/>
        <v>1309</v>
      </c>
      <c r="B396" s="419" t="str">
        <f t="shared" si="11"/>
        <v>Winter</v>
      </c>
      <c r="C396" s="455"/>
      <c r="D396" s="504"/>
      <c r="E396" s="455"/>
      <c r="F396" s="504"/>
      <c r="G396" s="455"/>
      <c r="H396" s="504"/>
      <c r="I396" s="455"/>
      <c r="J396" s="504"/>
      <c r="L396" s="472"/>
      <c r="M396" s="468"/>
      <c r="N396" s="468"/>
      <c r="O396" s="468"/>
      <c r="P396" s="468"/>
      <c r="Q396" s="473"/>
      <c r="R396" s="477" t="str">
        <f>IF(AND(COUNTIF('Start Character'!$I$63:$M$77,"Twilight Prone")=1,NOT(ISERROR(FIND("Magical Botch",M396)))),"Yes",IF(P396&gt;1,"Yes","No"))</f>
        <v>No</v>
      </c>
      <c r="S396" s="501"/>
      <c r="T396" s="478"/>
      <c r="U396" s="501"/>
      <c r="V396" s="479" t="str">
        <f>IF(R396="No","No Twilight",IF(T396="Yes","Uncomprehended Twilight",IF((Character!$B$14+IF(Character!$B$53="Yes",0,Character!$B$53)+IF(Magic!$C$5="Yes",2,0)+ROUNDUP((Magic!$B$30+IF(Magic!$C$30="Yes",3,0))/5,0)+S396)&gt;=($D$3+P396+SUMIF(Character!$I$62:$I$66,"Enigmatic Wisdom",Character!$J$62:$J$66)+Q396+U396),"No Twilight","Twilight")))</f>
        <v>No Twilight</v>
      </c>
      <c r="W396" s="483"/>
      <c r="X396" s="478"/>
      <c r="Y396" s="484"/>
      <c r="Z396" s="478"/>
      <c r="AA396" s="485" t="str">
        <f>IF(V396="Uncomprehended Twilight","Failed",IF(OR(ISBLANK(W396),ISBLANK(Y396))," ",IF(NOT(ISBLANK(X396)),"Failed",IF((W396+Character!$B$9+SUMIF(Character!$I$62:$I$66,"Enigmatic Wisdom",Character!$J$62:$J$66))&gt;=IF(Z396="Yes",0,(Y396+D391)),"Succeeded","Failed"))))</f>
        <v xml:space="preserve"> </v>
      </c>
      <c r="AB396" s="477" t="str">
        <f>IF(AA396=" "," ",IF(NOT(ISBLANK(X396)),VLOOKUP($D$3+X396,Calcs!$A$110:$C$122,3,TRUE),IF(AA396="Failed",VLOOKUP($D$3,Calcs!$A$110:$C$122,3,TRUE),VLOOKUP($D$3-(IF((Character!$B$9+W396)&gt;($D$3+Y396),(Character!$B$9+W396)-($D$3+Y396),0)),Calcs!$A$110:$C$122,3,TRUE))))</f>
        <v xml:space="preserve"> </v>
      </c>
      <c r="AC396" s="489"/>
      <c r="AD396" s="489" t="str">
        <f>IF(IF(AA396=" "," ",IF(NOT(ISBLANK(X396)),VLOOKUP($D$3+X396,Calcs!$A$110:$B$122,2,TRUE),IF(AA396="Failed",VLOOKUP($D$3,Calcs!$A$110:$B$122,2,TRUE),VLOOKUP($D$3-(IF((Character!$B$9+W396)&gt;($D$3+Y396),(Character!$B$9+W396)-($D$3+Y396),0)),Calcs!$A$110:$B$122,2,TRUE))))=Calcs!$B$120,IF(ISBLANK(AC396)," ",CONCATENATE(AC396+7," Years")),IF(AA396=" "," ",IF(NOT(ISBLANK(X396)),VLOOKUP($D$3+X396,Calcs!$A$110:$B$122,2,TRUE),IF(AA396="Failed",VLOOKUP($D$3,Calcs!$A$110:$B$122,2,TRUE),VLOOKUP($D$3-(IF((Character!$B$9+W396)&gt;($D$3+Y396),(Character!$B$9+W396)-($D$3+Y396),0)),Calcs!$A$110:$B$122,2,TRUE)))))</f>
        <v xml:space="preserve"> </v>
      </c>
      <c r="AE396" s="490"/>
      <c r="AF396" s="879"/>
      <c r="AG396" s="491"/>
    </row>
    <row r="397" spans="1:33" x14ac:dyDescent="0.2">
      <c r="A397" s="415">
        <f t="shared" si="10"/>
        <v>1309</v>
      </c>
      <c r="B397" s="419" t="str">
        <f t="shared" si="11"/>
        <v>Spring</v>
      </c>
      <c r="C397" s="455"/>
      <c r="D397" s="504"/>
      <c r="E397" s="455"/>
      <c r="F397" s="504"/>
      <c r="G397" s="455"/>
      <c r="H397" s="504"/>
      <c r="I397" s="455"/>
      <c r="J397" s="504"/>
      <c r="L397" s="472"/>
      <c r="M397" s="468"/>
      <c r="N397" s="468"/>
      <c r="O397" s="468"/>
      <c r="P397" s="468"/>
      <c r="Q397" s="473"/>
      <c r="R397" s="477" t="str">
        <f>IF(AND(COUNTIF('Start Character'!$I$63:$M$77,"Twilight Prone")=1,NOT(ISERROR(FIND("Magical Botch",M397)))),"Yes",IF(P397&gt;1,"Yes","No"))</f>
        <v>No</v>
      </c>
      <c r="S397" s="501"/>
      <c r="T397" s="478"/>
      <c r="U397" s="501"/>
      <c r="V397" s="479" t="str">
        <f>IF(R397="No","No Twilight",IF(T397="Yes","Uncomprehended Twilight",IF((Character!$B$14+IF(Character!$B$53="Yes",0,Character!$B$53)+IF(Magic!$C$5="Yes",2,0)+ROUNDUP((Magic!$B$30+IF(Magic!$C$30="Yes",3,0))/5,0)+S397)&gt;=($D$3+P397+SUMIF(Character!$I$62:$I$66,"Enigmatic Wisdom",Character!$J$62:$J$66)+Q397+U397),"No Twilight","Twilight")))</f>
        <v>No Twilight</v>
      </c>
      <c r="W397" s="483"/>
      <c r="X397" s="478"/>
      <c r="Y397" s="484"/>
      <c r="Z397" s="478"/>
      <c r="AA397" s="485" t="str">
        <f>IF(V397="Uncomprehended Twilight","Failed",IF(OR(ISBLANK(W397),ISBLANK(Y397))," ",IF(NOT(ISBLANK(X397)),"Failed",IF((W397+Character!$B$9+SUMIF(Character!$I$62:$I$66,"Enigmatic Wisdom",Character!$J$62:$J$66))&gt;=IF(Z397="Yes",0,(Y397+D392)),"Succeeded","Failed"))))</f>
        <v xml:space="preserve"> </v>
      </c>
      <c r="AB397" s="477" t="str">
        <f>IF(AA397=" "," ",IF(NOT(ISBLANK(X397)),VLOOKUP($D$3+X397,Calcs!$A$110:$C$122,3,TRUE),IF(AA397="Failed",VLOOKUP($D$3,Calcs!$A$110:$C$122,3,TRUE),VLOOKUP($D$3-(IF((Character!$B$9+W397)&gt;($D$3+Y397),(Character!$B$9+W397)-($D$3+Y397),0)),Calcs!$A$110:$C$122,3,TRUE))))</f>
        <v xml:space="preserve"> </v>
      </c>
      <c r="AC397" s="489"/>
      <c r="AD397" s="489" t="str">
        <f>IF(IF(AA397=" "," ",IF(NOT(ISBLANK(X397)),VLOOKUP($D$3+X397,Calcs!$A$110:$B$122,2,TRUE),IF(AA397="Failed",VLOOKUP($D$3,Calcs!$A$110:$B$122,2,TRUE),VLOOKUP($D$3-(IF((Character!$B$9+W397)&gt;($D$3+Y397),(Character!$B$9+W397)-($D$3+Y397),0)),Calcs!$A$110:$B$122,2,TRUE))))=Calcs!$B$120,IF(ISBLANK(AC397)," ",CONCATENATE(AC397+7," Years")),IF(AA397=" "," ",IF(NOT(ISBLANK(X397)),VLOOKUP($D$3+X397,Calcs!$A$110:$B$122,2,TRUE),IF(AA397="Failed",VLOOKUP($D$3,Calcs!$A$110:$B$122,2,TRUE),VLOOKUP($D$3-(IF((Character!$B$9+W397)&gt;($D$3+Y397),(Character!$B$9+W397)-($D$3+Y397),0)),Calcs!$A$110:$B$122,2,TRUE)))))</f>
        <v xml:space="preserve"> </v>
      </c>
      <c r="AE397" s="490"/>
      <c r="AF397" s="879"/>
      <c r="AG397" s="491"/>
    </row>
    <row r="398" spans="1:33" x14ac:dyDescent="0.2">
      <c r="A398" s="415">
        <f t="shared" si="10"/>
        <v>1309</v>
      </c>
      <c r="B398" s="419" t="str">
        <f t="shared" si="11"/>
        <v>Summer</v>
      </c>
      <c r="C398" s="455"/>
      <c r="D398" s="504"/>
      <c r="E398" s="455"/>
      <c r="F398" s="504"/>
      <c r="G398" s="455"/>
      <c r="H398" s="504"/>
      <c r="I398" s="455"/>
      <c r="J398" s="504"/>
      <c r="L398" s="472"/>
      <c r="M398" s="468"/>
      <c r="N398" s="468"/>
      <c r="O398" s="468"/>
      <c r="P398" s="468"/>
      <c r="Q398" s="473"/>
      <c r="R398" s="477" t="str">
        <f>IF(AND(COUNTIF('Start Character'!$I$63:$M$77,"Twilight Prone")=1,NOT(ISERROR(FIND("Magical Botch",M398)))),"Yes",IF(P398&gt;1,"Yes","No"))</f>
        <v>No</v>
      </c>
      <c r="S398" s="501"/>
      <c r="T398" s="478"/>
      <c r="U398" s="501"/>
      <c r="V398" s="479" t="str">
        <f>IF(R398="No","No Twilight",IF(T398="Yes","Uncomprehended Twilight",IF((Character!$B$14+IF(Character!$B$53="Yes",0,Character!$B$53)+IF(Magic!$C$5="Yes",2,0)+ROUNDUP((Magic!$B$30+IF(Magic!$C$30="Yes",3,0))/5,0)+S398)&gt;=($D$3+P398+SUMIF(Character!$I$62:$I$66,"Enigmatic Wisdom",Character!$J$62:$J$66)+Q398+U398),"No Twilight","Twilight")))</f>
        <v>No Twilight</v>
      </c>
      <c r="W398" s="483"/>
      <c r="X398" s="478"/>
      <c r="Y398" s="484"/>
      <c r="Z398" s="478"/>
      <c r="AA398" s="485" t="str">
        <f>IF(V398="Uncomprehended Twilight","Failed",IF(OR(ISBLANK(W398),ISBLANK(Y398))," ",IF(NOT(ISBLANK(X398)),"Failed",IF((W398+Character!$B$9+SUMIF(Character!$I$62:$I$66,"Enigmatic Wisdom",Character!$J$62:$J$66))&gt;=IF(Z398="Yes",0,(Y398+D393)),"Succeeded","Failed"))))</f>
        <v xml:space="preserve"> </v>
      </c>
      <c r="AB398" s="477" t="str">
        <f>IF(AA398=" "," ",IF(NOT(ISBLANK(X398)),VLOOKUP($D$3+X398,Calcs!$A$110:$C$122,3,TRUE),IF(AA398="Failed",VLOOKUP($D$3,Calcs!$A$110:$C$122,3,TRUE),VLOOKUP($D$3-(IF((Character!$B$9+W398)&gt;($D$3+Y398),(Character!$B$9+W398)-($D$3+Y398),0)),Calcs!$A$110:$C$122,3,TRUE))))</f>
        <v xml:space="preserve"> </v>
      </c>
      <c r="AC398" s="489"/>
      <c r="AD398" s="489" t="str">
        <f>IF(IF(AA398=" "," ",IF(NOT(ISBLANK(X398)),VLOOKUP($D$3+X398,Calcs!$A$110:$B$122,2,TRUE),IF(AA398="Failed",VLOOKUP($D$3,Calcs!$A$110:$B$122,2,TRUE),VLOOKUP($D$3-(IF((Character!$B$9+W398)&gt;($D$3+Y398),(Character!$B$9+W398)-($D$3+Y398),0)),Calcs!$A$110:$B$122,2,TRUE))))=Calcs!$B$120,IF(ISBLANK(AC398)," ",CONCATENATE(AC398+7," Years")),IF(AA398=" "," ",IF(NOT(ISBLANK(X398)),VLOOKUP($D$3+X398,Calcs!$A$110:$B$122,2,TRUE),IF(AA398="Failed",VLOOKUP($D$3,Calcs!$A$110:$B$122,2,TRUE),VLOOKUP($D$3-(IF((Character!$B$9+W398)&gt;($D$3+Y398),(Character!$B$9+W398)-($D$3+Y398),0)),Calcs!$A$110:$B$122,2,TRUE)))))</f>
        <v xml:space="preserve"> </v>
      </c>
      <c r="AE398" s="490"/>
      <c r="AF398" s="879"/>
      <c r="AG398" s="491"/>
    </row>
    <row r="399" spans="1:33" x14ac:dyDescent="0.2">
      <c r="A399" s="415">
        <f t="shared" si="10"/>
        <v>1309</v>
      </c>
      <c r="B399" s="419" t="str">
        <f t="shared" si="11"/>
        <v>Autumn</v>
      </c>
      <c r="C399" s="455"/>
      <c r="D399" s="504"/>
      <c r="E399" s="455"/>
      <c r="F399" s="504"/>
      <c r="G399" s="455"/>
      <c r="H399" s="504"/>
      <c r="I399" s="455"/>
      <c r="J399" s="504"/>
      <c r="L399" s="472"/>
      <c r="M399" s="468"/>
      <c r="N399" s="468"/>
      <c r="O399" s="468"/>
      <c r="P399" s="468"/>
      <c r="Q399" s="473"/>
      <c r="R399" s="477" t="str">
        <f>IF(AND(COUNTIF('Start Character'!$I$63:$M$77,"Twilight Prone")=1,NOT(ISERROR(FIND("Magical Botch",M399)))),"Yes",IF(P399&gt;1,"Yes","No"))</f>
        <v>No</v>
      </c>
      <c r="S399" s="501"/>
      <c r="T399" s="478"/>
      <c r="U399" s="501"/>
      <c r="V399" s="479" t="str">
        <f>IF(R399="No","No Twilight",IF(T399="Yes","Uncomprehended Twilight",IF((Character!$B$14+IF(Character!$B$53="Yes",0,Character!$B$53)+IF(Magic!$C$5="Yes",2,0)+ROUNDUP((Magic!$B$30+IF(Magic!$C$30="Yes",3,0))/5,0)+S399)&gt;=($D$3+P399+SUMIF(Character!$I$62:$I$66,"Enigmatic Wisdom",Character!$J$62:$J$66)+Q399+U399),"No Twilight","Twilight")))</f>
        <v>No Twilight</v>
      </c>
      <c r="W399" s="483"/>
      <c r="X399" s="478"/>
      <c r="Y399" s="484"/>
      <c r="Z399" s="478"/>
      <c r="AA399" s="485" t="str">
        <f>IF(V399="Uncomprehended Twilight","Failed",IF(OR(ISBLANK(W399),ISBLANK(Y399))," ",IF(NOT(ISBLANK(X399)),"Failed",IF((W399+Character!$B$9+SUMIF(Character!$I$62:$I$66,"Enigmatic Wisdom",Character!$J$62:$J$66))&gt;=IF(Z399="Yes",0,(Y399+D394)),"Succeeded","Failed"))))</f>
        <v xml:space="preserve"> </v>
      </c>
      <c r="AB399" s="477" t="str">
        <f>IF(AA399=" "," ",IF(NOT(ISBLANK(X399)),VLOOKUP($D$3+X399,Calcs!$A$110:$C$122,3,TRUE),IF(AA399="Failed",VLOOKUP($D$3,Calcs!$A$110:$C$122,3,TRUE),VLOOKUP($D$3-(IF((Character!$B$9+W399)&gt;($D$3+Y399),(Character!$B$9+W399)-($D$3+Y399),0)),Calcs!$A$110:$C$122,3,TRUE))))</f>
        <v xml:space="preserve"> </v>
      </c>
      <c r="AC399" s="489"/>
      <c r="AD399" s="489" t="str">
        <f>IF(IF(AA399=" "," ",IF(NOT(ISBLANK(X399)),VLOOKUP($D$3+X399,Calcs!$A$110:$B$122,2,TRUE),IF(AA399="Failed",VLOOKUP($D$3,Calcs!$A$110:$B$122,2,TRUE),VLOOKUP($D$3-(IF((Character!$B$9+W399)&gt;($D$3+Y399),(Character!$B$9+W399)-($D$3+Y399),0)),Calcs!$A$110:$B$122,2,TRUE))))=Calcs!$B$120,IF(ISBLANK(AC399)," ",CONCATENATE(AC399+7," Years")),IF(AA399=" "," ",IF(NOT(ISBLANK(X399)),VLOOKUP($D$3+X399,Calcs!$A$110:$B$122,2,TRUE),IF(AA399="Failed",VLOOKUP($D$3,Calcs!$A$110:$B$122,2,TRUE),VLOOKUP($D$3-(IF((Character!$B$9+W399)&gt;($D$3+Y399),(Character!$B$9+W399)-($D$3+Y399),0)),Calcs!$A$110:$B$122,2,TRUE)))))</f>
        <v xml:space="preserve"> </v>
      </c>
      <c r="AE399" s="490"/>
      <c r="AF399" s="879"/>
      <c r="AG399" s="491"/>
    </row>
    <row r="400" spans="1:33" x14ac:dyDescent="0.2">
      <c r="A400" s="415">
        <f t="shared" si="10"/>
        <v>1310</v>
      </c>
      <c r="B400" s="419" t="str">
        <f t="shared" si="11"/>
        <v>Winter</v>
      </c>
      <c r="C400" s="455"/>
      <c r="D400" s="504"/>
      <c r="E400" s="455"/>
      <c r="F400" s="504"/>
      <c r="G400" s="455"/>
      <c r="H400" s="504"/>
      <c r="I400" s="455"/>
      <c r="J400" s="504"/>
      <c r="L400" s="472"/>
      <c r="M400" s="468"/>
      <c r="N400" s="468"/>
      <c r="O400" s="468"/>
      <c r="P400" s="468"/>
      <c r="Q400" s="473"/>
      <c r="R400" s="477" t="str">
        <f>IF(AND(COUNTIF('Start Character'!$I$63:$M$77,"Twilight Prone")=1,NOT(ISERROR(FIND("Magical Botch",M400)))),"Yes",IF(P400&gt;1,"Yes","No"))</f>
        <v>No</v>
      </c>
      <c r="S400" s="501"/>
      <c r="T400" s="478"/>
      <c r="U400" s="501"/>
      <c r="V400" s="479" t="str">
        <f>IF(R400="No","No Twilight",IF(T400="Yes","Uncomprehended Twilight",IF((Character!$B$14+IF(Character!$B$53="Yes",0,Character!$B$53)+IF(Magic!$C$5="Yes",2,0)+ROUNDUP((Magic!$B$30+IF(Magic!$C$30="Yes",3,0))/5,0)+S400)&gt;=($D$3+P400+SUMIF(Character!$I$62:$I$66,"Enigmatic Wisdom",Character!$J$62:$J$66)+Q400+U400),"No Twilight","Twilight")))</f>
        <v>No Twilight</v>
      </c>
      <c r="W400" s="483"/>
      <c r="X400" s="478"/>
      <c r="Y400" s="484"/>
      <c r="Z400" s="478"/>
      <c r="AA400" s="485" t="str">
        <f>IF(V400="Uncomprehended Twilight","Failed",IF(OR(ISBLANK(W400),ISBLANK(Y400))," ",IF(NOT(ISBLANK(X400)),"Failed",IF((W400+Character!$B$9+SUMIF(Character!$I$62:$I$66,"Enigmatic Wisdom",Character!$J$62:$J$66))&gt;=IF(Z400="Yes",0,(Y400+D395)),"Succeeded","Failed"))))</f>
        <v xml:space="preserve"> </v>
      </c>
      <c r="AB400" s="477" t="str">
        <f>IF(AA400=" "," ",IF(NOT(ISBLANK(X400)),VLOOKUP($D$3+X400,Calcs!$A$110:$C$122,3,TRUE),IF(AA400="Failed",VLOOKUP($D$3,Calcs!$A$110:$C$122,3,TRUE),VLOOKUP($D$3-(IF((Character!$B$9+W400)&gt;($D$3+Y400),(Character!$B$9+W400)-($D$3+Y400),0)),Calcs!$A$110:$C$122,3,TRUE))))</f>
        <v xml:space="preserve"> </v>
      </c>
      <c r="AC400" s="489"/>
      <c r="AD400" s="489" t="str">
        <f>IF(IF(AA400=" "," ",IF(NOT(ISBLANK(X400)),VLOOKUP($D$3+X400,Calcs!$A$110:$B$122,2,TRUE),IF(AA400="Failed",VLOOKUP($D$3,Calcs!$A$110:$B$122,2,TRUE),VLOOKUP($D$3-(IF((Character!$B$9+W400)&gt;($D$3+Y400),(Character!$B$9+W400)-($D$3+Y400),0)),Calcs!$A$110:$B$122,2,TRUE))))=Calcs!$B$120,IF(ISBLANK(AC400)," ",CONCATENATE(AC400+7," Years")),IF(AA400=" "," ",IF(NOT(ISBLANK(X400)),VLOOKUP($D$3+X400,Calcs!$A$110:$B$122,2,TRUE),IF(AA400="Failed",VLOOKUP($D$3,Calcs!$A$110:$B$122,2,TRUE),VLOOKUP($D$3-(IF((Character!$B$9+W400)&gt;($D$3+Y400),(Character!$B$9+W400)-($D$3+Y400),0)),Calcs!$A$110:$B$122,2,TRUE)))))</f>
        <v xml:space="preserve"> </v>
      </c>
      <c r="AE400" s="490"/>
      <c r="AF400" s="879"/>
      <c r="AG400" s="491"/>
    </row>
    <row r="401" spans="1:33" x14ac:dyDescent="0.2">
      <c r="A401" s="415">
        <f t="shared" si="10"/>
        <v>1310</v>
      </c>
      <c r="B401" s="419" t="str">
        <f t="shared" si="11"/>
        <v>Spring</v>
      </c>
      <c r="C401" s="455"/>
      <c r="D401" s="504"/>
      <c r="E401" s="455"/>
      <c r="F401" s="504"/>
      <c r="G401" s="455"/>
      <c r="H401" s="504"/>
      <c r="I401" s="455"/>
      <c r="J401" s="504"/>
      <c r="L401" s="472"/>
      <c r="M401" s="468"/>
      <c r="N401" s="468"/>
      <c r="O401" s="468"/>
      <c r="P401" s="468"/>
      <c r="Q401" s="473"/>
      <c r="R401" s="477" t="str">
        <f>IF(AND(COUNTIF('Start Character'!$I$63:$M$77,"Twilight Prone")=1,NOT(ISERROR(FIND("Magical Botch",M401)))),"Yes",IF(P401&gt;1,"Yes","No"))</f>
        <v>No</v>
      </c>
      <c r="S401" s="501"/>
      <c r="T401" s="478"/>
      <c r="U401" s="501"/>
      <c r="V401" s="479" t="str">
        <f>IF(R401="No","No Twilight",IF(T401="Yes","Uncomprehended Twilight",IF((Character!$B$14+IF(Character!$B$53="Yes",0,Character!$B$53)+IF(Magic!$C$5="Yes",2,0)+ROUNDUP((Magic!$B$30+IF(Magic!$C$30="Yes",3,0))/5,0)+S401)&gt;=($D$3+P401+SUMIF(Character!$I$62:$I$66,"Enigmatic Wisdom",Character!$J$62:$J$66)+Q401+U401),"No Twilight","Twilight")))</f>
        <v>No Twilight</v>
      </c>
      <c r="W401" s="483"/>
      <c r="X401" s="478"/>
      <c r="Y401" s="484"/>
      <c r="Z401" s="478"/>
      <c r="AA401" s="485" t="str">
        <f>IF(V401="Uncomprehended Twilight","Failed",IF(OR(ISBLANK(W401),ISBLANK(Y401))," ",IF(NOT(ISBLANK(X401)),"Failed",IF((W401+Character!$B$9+SUMIF(Character!$I$62:$I$66,"Enigmatic Wisdom",Character!$J$62:$J$66))&gt;=IF(Z401="Yes",0,(Y401+D396)),"Succeeded","Failed"))))</f>
        <v xml:space="preserve"> </v>
      </c>
      <c r="AB401" s="477" t="str">
        <f>IF(AA401=" "," ",IF(NOT(ISBLANK(X401)),VLOOKUP($D$3+X401,Calcs!$A$110:$C$122,3,TRUE),IF(AA401="Failed",VLOOKUP($D$3,Calcs!$A$110:$C$122,3,TRUE),VLOOKUP($D$3-(IF((Character!$B$9+W401)&gt;($D$3+Y401),(Character!$B$9+W401)-($D$3+Y401),0)),Calcs!$A$110:$C$122,3,TRUE))))</f>
        <v xml:space="preserve"> </v>
      </c>
      <c r="AC401" s="489"/>
      <c r="AD401" s="489" t="str">
        <f>IF(IF(AA401=" "," ",IF(NOT(ISBLANK(X401)),VLOOKUP($D$3+X401,Calcs!$A$110:$B$122,2,TRUE),IF(AA401="Failed",VLOOKUP($D$3,Calcs!$A$110:$B$122,2,TRUE),VLOOKUP($D$3-(IF((Character!$B$9+W401)&gt;($D$3+Y401),(Character!$B$9+W401)-($D$3+Y401),0)),Calcs!$A$110:$B$122,2,TRUE))))=Calcs!$B$120,IF(ISBLANK(AC401)," ",CONCATENATE(AC401+7," Years")),IF(AA401=" "," ",IF(NOT(ISBLANK(X401)),VLOOKUP($D$3+X401,Calcs!$A$110:$B$122,2,TRUE),IF(AA401="Failed",VLOOKUP($D$3,Calcs!$A$110:$B$122,2,TRUE),VLOOKUP($D$3-(IF((Character!$B$9+W401)&gt;($D$3+Y401),(Character!$B$9+W401)-($D$3+Y401),0)),Calcs!$A$110:$B$122,2,TRUE)))))</f>
        <v xml:space="preserve"> </v>
      </c>
      <c r="AE401" s="490"/>
      <c r="AF401" s="879"/>
      <c r="AG401" s="491"/>
    </row>
    <row r="402" spans="1:33" x14ac:dyDescent="0.2">
      <c r="A402" s="415">
        <f t="shared" si="10"/>
        <v>1310</v>
      </c>
      <c r="B402" s="419" t="str">
        <f t="shared" si="11"/>
        <v>Summer</v>
      </c>
      <c r="C402" s="455"/>
      <c r="D402" s="504"/>
      <c r="E402" s="455"/>
      <c r="F402" s="504"/>
      <c r="G402" s="455"/>
      <c r="H402" s="504"/>
      <c r="I402" s="455"/>
      <c r="J402" s="504"/>
      <c r="L402" s="472"/>
      <c r="M402" s="468"/>
      <c r="N402" s="468"/>
      <c r="O402" s="468"/>
      <c r="P402" s="468"/>
      <c r="Q402" s="473"/>
      <c r="R402" s="477" t="str">
        <f>IF(AND(COUNTIF('Start Character'!$I$63:$M$77,"Twilight Prone")=1,NOT(ISERROR(FIND("Magical Botch",M402)))),"Yes",IF(P402&gt;1,"Yes","No"))</f>
        <v>No</v>
      </c>
      <c r="S402" s="501"/>
      <c r="T402" s="478"/>
      <c r="U402" s="501"/>
      <c r="V402" s="479" t="str">
        <f>IF(R402="No","No Twilight",IF(T402="Yes","Uncomprehended Twilight",IF((Character!$B$14+IF(Character!$B$53="Yes",0,Character!$B$53)+IF(Magic!$C$5="Yes",2,0)+ROUNDUP((Magic!$B$30+IF(Magic!$C$30="Yes",3,0))/5,0)+S402)&gt;=($D$3+P402+SUMIF(Character!$I$62:$I$66,"Enigmatic Wisdom",Character!$J$62:$J$66)+Q402+U402),"No Twilight","Twilight")))</f>
        <v>No Twilight</v>
      </c>
      <c r="W402" s="483"/>
      <c r="X402" s="478"/>
      <c r="Y402" s="484"/>
      <c r="Z402" s="478"/>
      <c r="AA402" s="485" t="str">
        <f>IF(V402="Uncomprehended Twilight","Failed",IF(OR(ISBLANK(W402),ISBLANK(Y402))," ",IF(NOT(ISBLANK(X402)),"Failed",IF((W402+Character!$B$9+SUMIF(Character!$I$62:$I$66,"Enigmatic Wisdom",Character!$J$62:$J$66))&gt;=IF(Z402="Yes",0,(Y402+D397)),"Succeeded","Failed"))))</f>
        <v xml:space="preserve"> </v>
      </c>
      <c r="AB402" s="477" t="str">
        <f>IF(AA402=" "," ",IF(NOT(ISBLANK(X402)),VLOOKUP($D$3+X402,Calcs!$A$110:$C$122,3,TRUE),IF(AA402="Failed",VLOOKUP($D$3,Calcs!$A$110:$C$122,3,TRUE),VLOOKUP($D$3-(IF((Character!$B$9+W402)&gt;($D$3+Y402),(Character!$B$9+W402)-($D$3+Y402),0)),Calcs!$A$110:$C$122,3,TRUE))))</f>
        <v xml:space="preserve"> </v>
      </c>
      <c r="AC402" s="489"/>
      <c r="AD402" s="489" t="str">
        <f>IF(IF(AA402=" "," ",IF(NOT(ISBLANK(X402)),VLOOKUP($D$3+X402,Calcs!$A$110:$B$122,2,TRUE),IF(AA402="Failed",VLOOKUP($D$3,Calcs!$A$110:$B$122,2,TRUE),VLOOKUP($D$3-(IF((Character!$B$9+W402)&gt;($D$3+Y402),(Character!$B$9+W402)-($D$3+Y402),0)),Calcs!$A$110:$B$122,2,TRUE))))=Calcs!$B$120,IF(ISBLANK(AC402)," ",CONCATENATE(AC402+7," Years")),IF(AA402=" "," ",IF(NOT(ISBLANK(X402)),VLOOKUP($D$3+X402,Calcs!$A$110:$B$122,2,TRUE),IF(AA402="Failed",VLOOKUP($D$3,Calcs!$A$110:$B$122,2,TRUE),VLOOKUP($D$3-(IF((Character!$B$9+W402)&gt;($D$3+Y402),(Character!$B$9+W402)-($D$3+Y402),0)),Calcs!$A$110:$B$122,2,TRUE)))))</f>
        <v xml:space="preserve"> </v>
      </c>
      <c r="AE402" s="490"/>
      <c r="AF402" s="879"/>
      <c r="AG402" s="491"/>
    </row>
    <row r="403" spans="1:33" x14ac:dyDescent="0.2">
      <c r="A403" s="415">
        <f t="shared" si="10"/>
        <v>1310</v>
      </c>
      <c r="B403" s="419" t="str">
        <f t="shared" si="11"/>
        <v>Autumn</v>
      </c>
      <c r="C403" s="455"/>
      <c r="D403" s="504"/>
      <c r="E403" s="455"/>
      <c r="F403" s="504"/>
      <c r="G403" s="455"/>
      <c r="H403" s="504"/>
      <c r="I403" s="455"/>
      <c r="J403" s="504"/>
      <c r="L403" s="472"/>
      <c r="M403" s="468"/>
      <c r="N403" s="468"/>
      <c r="O403" s="468"/>
      <c r="P403" s="468"/>
      <c r="Q403" s="473"/>
      <c r="R403" s="477" t="str">
        <f>IF(AND(COUNTIF('Start Character'!$I$63:$M$77,"Twilight Prone")=1,NOT(ISERROR(FIND("Magical Botch",M403)))),"Yes",IF(P403&gt;1,"Yes","No"))</f>
        <v>No</v>
      </c>
      <c r="S403" s="501"/>
      <c r="T403" s="478"/>
      <c r="U403" s="501"/>
      <c r="V403" s="479" t="str">
        <f>IF(R403="No","No Twilight",IF(T403="Yes","Uncomprehended Twilight",IF((Character!$B$14+IF(Character!$B$53="Yes",0,Character!$B$53)+IF(Magic!$C$5="Yes",2,0)+ROUNDUP((Magic!$B$30+IF(Magic!$C$30="Yes",3,0))/5,0)+S403)&gt;=($D$3+P403+SUMIF(Character!$I$62:$I$66,"Enigmatic Wisdom",Character!$J$62:$J$66)+Q403+U403),"No Twilight","Twilight")))</f>
        <v>No Twilight</v>
      </c>
      <c r="W403" s="483"/>
      <c r="X403" s="478"/>
      <c r="Y403" s="484"/>
      <c r="Z403" s="478"/>
      <c r="AA403" s="485" t="str">
        <f>IF(V403="Uncomprehended Twilight","Failed",IF(OR(ISBLANK(W403),ISBLANK(Y403))," ",IF(NOT(ISBLANK(X403)),"Failed",IF((W403+Character!$B$9+SUMIF(Character!$I$62:$I$66,"Enigmatic Wisdom",Character!$J$62:$J$66))&gt;=IF(Z403="Yes",0,(Y403+D398)),"Succeeded","Failed"))))</f>
        <v xml:space="preserve"> </v>
      </c>
      <c r="AB403" s="477" t="str">
        <f>IF(AA403=" "," ",IF(NOT(ISBLANK(X403)),VLOOKUP($D$3+X403,Calcs!$A$110:$C$122,3,TRUE),IF(AA403="Failed",VLOOKUP($D$3,Calcs!$A$110:$C$122,3,TRUE),VLOOKUP($D$3-(IF((Character!$B$9+W403)&gt;($D$3+Y403),(Character!$B$9+W403)-($D$3+Y403),0)),Calcs!$A$110:$C$122,3,TRUE))))</f>
        <v xml:space="preserve"> </v>
      </c>
      <c r="AC403" s="489"/>
      <c r="AD403" s="489" t="str">
        <f>IF(IF(AA403=" "," ",IF(NOT(ISBLANK(X403)),VLOOKUP($D$3+X403,Calcs!$A$110:$B$122,2,TRUE),IF(AA403="Failed",VLOOKUP($D$3,Calcs!$A$110:$B$122,2,TRUE),VLOOKUP($D$3-(IF((Character!$B$9+W403)&gt;($D$3+Y403),(Character!$B$9+W403)-($D$3+Y403),0)),Calcs!$A$110:$B$122,2,TRUE))))=Calcs!$B$120,IF(ISBLANK(AC403)," ",CONCATENATE(AC403+7," Years")),IF(AA403=" "," ",IF(NOT(ISBLANK(X403)),VLOOKUP($D$3+X403,Calcs!$A$110:$B$122,2,TRUE),IF(AA403="Failed",VLOOKUP($D$3,Calcs!$A$110:$B$122,2,TRUE),VLOOKUP($D$3-(IF((Character!$B$9+W403)&gt;($D$3+Y403),(Character!$B$9+W403)-($D$3+Y403),0)),Calcs!$A$110:$B$122,2,TRUE)))))</f>
        <v xml:space="preserve"> </v>
      </c>
      <c r="AE403" s="490"/>
      <c r="AF403" s="879"/>
      <c r="AG403" s="491"/>
    </row>
    <row r="404" spans="1:33" x14ac:dyDescent="0.2">
      <c r="A404" s="415">
        <f t="shared" si="10"/>
        <v>1311</v>
      </c>
      <c r="B404" s="419" t="str">
        <f t="shared" si="11"/>
        <v>Winter</v>
      </c>
      <c r="C404" s="455"/>
      <c r="D404" s="504"/>
      <c r="E404" s="455"/>
      <c r="F404" s="504"/>
      <c r="G404" s="455"/>
      <c r="H404" s="504"/>
      <c r="I404" s="455"/>
      <c r="J404" s="504"/>
      <c r="L404" s="472"/>
      <c r="M404" s="468"/>
      <c r="N404" s="468"/>
      <c r="O404" s="468"/>
      <c r="P404" s="468"/>
      <c r="Q404" s="473"/>
      <c r="R404" s="477" t="str">
        <f>IF(AND(COUNTIF('Start Character'!$I$63:$M$77,"Twilight Prone")=1,NOT(ISERROR(FIND("Magical Botch",M404)))),"Yes",IF(P404&gt;1,"Yes","No"))</f>
        <v>No</v>
      </c>
      <c r="S404" s="501"/>
      <c r="T404" s="478"/>
      <c r="U404" s="501"/>
      <c r="V404" s="479" t="str">
        <f>IF(R404="No","No Twilight",IF(T404="Yes","Uncomprehended Twilight",IF((Character!$B$14+IF(Character!$B$53="Yes",0,Character!$B$53)+IF(Magic!$C$5="Yes",2,0)+ROUNDUP((Magic!$B$30+IF(Magic!$C$30="Yes",3,0))/5,0)+S404)&gt;=($D$3+P404+SUMIF(Character!$I$62:$I$66,"Enigmatic Wisdom",Character!$J$62:$J$66)+Q404+U404),"No Twilight","Twilight")))</f>
        <v>No Twilight</v>
      </c>
      <c r="W404" s="483"/>
      <c r="X404" s="478"/>
      <c r="Y404" s="484"/>
      <c r="Z404" s="478"/>
      <c r="AA404" s="485" t="str">
        <f>IF(V404="Uncomprehended Twilight","Failed",IF(OR(ISBLANK(W404),ISBLANK(Y404))," ",IF(NOT(ISBLANK(X404)),"Failed",IF((W404+Character!$B$9+SUMIF(Character!$I$62:$I$66,"Enigmatic Wisdom",Character!$J$62:$J$66))&gt;=IF(Z404="Yes",0,(Y404+D399)),"Succeeded","Failed"))))</f>
        <v xml:space="preserve"> </v>
      </c>
      <c r="AB404" s="477" t="str">
        <f>IF(AA404=" "," ",IF(NOT(ISBLANK(X404)),VLOOKUP($D$3+X404,Calcs!$A$110:$C$122,3,TRUE),IF(AA404="Failed",VLOOKUP($D$3,Calcs!$A$110:$C$122,3,TRUE),VLOOKUP($D$3-(IF((Character!$B$9+W404)&gt;($D$3+Y404),(Character!$B$9+W404)-($D$3+Y404),0)),Calcs!$A$110:$C$122,3,TRUE))))</f>
        <v xml:space="preserve"> </v>
      </c>
      <c r="AC404" s="489"/>
      <c r="AD404" s="489" t="str">
        <f>IF(IF(AA404=" "," ",IF(NOT(ISBLANK(X404)),VLOOKUP($D$3+X404,Calcs!$A$110:$B$122,2,TRUE),IF(AA404="Failed",VLOOKUP($D$3,Calcs!$A$110:$B$122,2,TRUE),VLOOKUP($D$3-(IF((Character!$B$9+W404)&gt;($D$3+Y404),(Character!$B$9+W404)-($D$3+Y404),0)),Calcs!$A$110:$B$122,2,TRUE))))=Calcs!$B$120,IF(ISBLANK(AC404)," ",CONCATENATE(AC404+7," Years")),IF(AA404=" "," ",IF(NOT(ISBLANK(X404)),VLOOKUP($D$3+X404,Calcs!$A$110:$B$122,2,TRUE),IF(AA404="Failed",VLOOKUP($D$3,Calcs!$A$110:$B$122,2,TRUE),VLOOKUP($D$3-(IF((Character!$B$9+W404)&gt;($D$3+Y404),(Character!$B$9+W404)-($D$3+Y404),0)),Calcs!$A$110:$B$122,2,TRUE)))))</f>
        <v xml:space="preserve"> </v>
      </c>
      <c r="AE404" s="490"/>
      <c r="AF404" s="879"/>
      <c r="AG404" s="491"/>
    </row>
    <row r="405" spans="1:33" x14ac:dyDescent="0.2">
      <c r="A405" s="415">
        <f t="shared" si="10"/>
        <v>1311</v>
      </c>
      <c r="B405" s="419" t="str">
        <f t="shared" si="11"/>
        <v>Spring</v>
      </c>
      <c r="C405" s="455"/>
      <c r="D405" s="504"/>
      <c r="E405" s="455"/>
      <c r="F405" s="504"/>
      <c r="G405" s="455"/>
      <c r="H405" s="504"/>
      <c r="I405" s="455"/>
      <c r="J405" s="504"/>
      <c r="L405" s="472"/>
      <c r="M405" s="468"/>
      <c r="N405" s="468"/>
      <c r="O405" s="468"/>
      <c r="P405" s="468"/>
      <c r="Q405" s="473"/>
      <c r="R405" s="477" t="str">
        <f>IF(AND(COUNTIF('Start Character'!$I$63:$M$77,"Twilight Prone")=1,NOT(ISERROR(FIND("Magical Botch",M405)))),"Yes",IF(P405&gt;1,"Yes","No"))</f>
        <v>No</v>
      </c>
      <c r="S405" s="501"/>
      <c r="T405" s="478"/>
      <c r="U405" s="501"/>
      <c r="V405" s="479" t="str">
        <f>IF(R405="No","No Twilight",IF(T405="Yes","Uncomprehended Twilight",IF((Character!$B$14+IF(Character!$B$53="Yes",0,Character!$B$53)+IF(Magic!$C$5="Yes",2,0)+ROUNDUP((Magic!$B$30+IF(Magic!$C$30="Yes",3,0))/5,0)+S405)&gt;=($D$3+P405+SUMIF(Character!$I$62:$I$66,"Enigmatic Wisdom",Character!$J$62:$J$66)+Q405+U405),"No Twilight","Twilight")))</f>
        <v>No Twilight</v>
      </c>
      <c r="W405" s="483"/>
      <c r="X405" s="478"/>
      <c r="Y405" s="484"/>
      <c r="Z405" s="478"/>
      <c r="AA405" s="485" t="str">
        <f>IF(V405="Uncomprehended Twilight","Failed",IF(OR(ISBLANK(W405),ISBLANK(Y405))," ",IF(NOT(ISBLANK(X405)),"Failed",IF((W405+Character!$B$9+SUMIF(Character!$I$62:$I$66,"Enigmatic Wisdom",Character!$J$62:$J$66))&gt;=IF(Z405="Yes",0,(Y405+D400)),"Succeeded","Failed"))))</f>
        <v xml:space="preserve"> </v>
      </c>
      <c r="AB405" s="477" t="str">
        <f>IF(AA405=" "," ",IF(NOT(ISBLANK(X405)),VLOOKUP($D$3+X405,Calcs!$A$110:$C$122,3,TRUE),IF(AA405="Failed",VLOOKUP($D$3,Calcs!$A$110:$C$122,3,TRUE),VLOOKUP($D$3-(IF((Character!$B$9+W405)&gt;($D$3+Y405),(Character!$B$9+W405)-($D$3+Y405),0)),Calcs!$A$110:$C$122,3,TRUE))))</f>
        <v xml:space="preserve"> </v>
      </c>
      <c r="AC405" s="489"/>
      <c r="AD405" s="489" t="str">
        <f>IF(IF(AA405=" "," ",IF(NOT(ISBLANK(X405)),VLOOKUP($D$3+X405,Calcs!$A$110:$B$122,2,TRUE),IF(AA405="Failed",VLOOKUP($D$3,Calcs!$A$110:$B$122,2,TRUE),VLOOKUP($D$3-(IF((Character!$B$9+W405)&gt;($D$3+Y405),(Character!$B$9+W405)-($D$3+Y405),0)),Calcs!$A$110:$B$122,2,TRUE))))=Calcs!$B$120,IF(ISBLANK(AC405)," ",CONCATENATE(AC405+7," Years")),IF(AA405=" "," ",IF(NOT(ISBLANK(X405)),VLOOKUP($D$3+X405,Calcs!$A$110:$B$122,2,TRUE),IF(AA405="Failed",VLOOKUP($D$3,Calcs!$A$110:$B$122,2,TRUE),VLOOKUP($D$3-(IF((Character!$B$9+W405)&gt;($D$3+Y405),(Character!$B$9+W405)-($D$3+Y405),0)),Calcs!$A$110:$B$122,2,TRUE)))))</f>
        <v xml:space="preserve"> </v>
      </c>
      <c r="AE405" s="490"/>
      <c r="AF405" s="879"/>
      <c r="AG405" s="491"/>
    </row>
    <row r="406" spans="1:33" x14ac:dyDescent="0.2">
      <c r="A406" s="415">
        <f t="shared" si="10"/>
        <v>1311</v>
      </c>
      <c r="B406" s="419" t="str">
        <f t="shared" si="11"/>
        <v>Summer</v>
      </c>
      <c r="C406" s="455"/>
      <c r="D406" s="504"/>
      <c r="E406" s="455"/>
      <c r="F406" s="504"/>
      <c r="G406" s="455"/>
      <c r="H406" s="504"/>
      <c r="I406" s="455"/>
      <c r="J406" s="504"/>
      <c r="L406" s="472"/>
      <c r="M406" s="468"/>
      <c r="N406" s="468"/>
      <c r="O406" s="468"/>
      <c r="P406" s="468"/>
      <c r="Q406" s="473"/>
      <c r="R406" s="477" t="str">
        <f>IF(AND(COUNTIF('Start Character'!$I$63:$M$77,"Twilight Prone")=1,NOT(ISERROR(FIND("Magical Botch",M406)))),"Yes",IF(P406&gt;1,"Yes","No"))</f>
        <v>No</v>
      </c>
      <c r="S406" s="501"/>
      <c r="T406" s="478"/>
      <c r="U406" s="501"/>
      <c r="V406" s="479" t="str">
        <f>IF(R406="No","No Twilight",IF(T406="Yes","Uncomprehended Twilight",IF((Character!$B$14+IF(Character!$B$53="Yes",0,Character!$B$53)+IF(Magic!$C$5="Yes",2,0)+ROUNDUP((Magic!$B$30+IF(Magic!$C$30="Yes",3,0))/5,0)+S406)&gt;=($D$3+P406+SUMIF(Character!$I$62:$I$66,"Enigmatic Wisdom",Character!$J$62:$J$66)+Q406+U406),"No Twilight","Twilight")))</f>
        <v>No Twilight</v>
      </c>
      <c r="W406" s="483"/>
      <c r="X406" s="478"/>
      <c r="Y406" s="484"/>
      <c r="Z406" s="478"/>
      <c r="AA406" s="485" t="str">
        <f>IF(V406="Uncomprehended Twilight","Failed",IF(OR(ISBLANK(W406),ISBLANK(Y406))," ",IF(NOT(ISBLANK(X406)),"Failed",IF((W406+Character!$B$9+SUMIF(Character!$I$62:$I$66,"Enigmatic Wisdom",Character!$J$62:$J$66))&gt;=IF(Z406="Yes",0,(Y406+D401)),"Succeeded","Failed"))))</f>
        <v xml:space="preserve"> </v>
      </c>
      <c r="AB406" s="477" t="str">
        <f>IF(AA406=" "," ",IF(NOT(ISBLANK(X406)),VLOOKUP($D$3+X406,Calcs!$A$110:$C$122,3,TRUE),IF(AA406="Failed",VLOOKUP($D$3,Calcs!$A$110:$C$122,3,TRUE),VLOOKUP($D$3-(IF((Character!$B$9+W406)&gt;($D$3+Y406),(Character!$B$9+W406)-($D$3+Y406),0)),Calcs!$A$110:$C$122,3,TRUE))))</f>
        <v xml:space="preserve"> </v>
      </c>
      <c r="AC406" s="489"/>
      <c r="AD406" s="489" t="str">
        <f>IF(IF(AA406=" "," ",IF(NOT(ISBLANK(X406)),VLOOKUP($D$3+X406,Calcs!$A$110:$B$122,2,TRUE),IF(AA406="Failed",VLOOKUP($D$3,Calcs!$A$110:$B$122,2,TRUE),VLOOKUP($D$3-(IF((Character!$B$9+W406)&gt;($D$3+Y406),(Character!$B$9+W406)-($D$3+Y406),0)),Calcs!$A$110:$B$122,2,TRUE))))=Calcs!$B$120,IF(ISBLANK(AC406)," ",CONCATENATE(AC406+7," Years")),IF(AA406=" "," ",IF(NOT(ISBLANK(X406)),VLOOKUP($D$3+X406,Calcs!$A$110:$B$122,2,TRUE),IF(AA406="Failed",VLOOKUP($D$3,Calcs!$A$110:$B$122,2,TRUE),VLOOKUP($D$3-(IF((Character!$B$9+W406)&gt;($D$3+Y406),(Character!$B$9+W406)-($D$3+Y406),0)),Calcs!$A$110:$B$122,2,TRUE)))))</f>
        <v xml:space="preserve"> </v>
      </c>
      <c r="AE406" s="490"/>
      <c r="AF406" s="879"/>
      <c r="AG406" s="491"/>
    </row>
    <row r="407" spans="1:33" x14ac:dyDescent="0.2">
      <c r="A407" s="415">
        <f t="shared" si="10"/>
        <v>1311</v>
      </c>
      <c r="B407" s="419" t="str">
        <f t="shared" si="11"/>
        <v>Autumn</v>
      </c>
      <c r="C407" s="455"/>
      <c r="D407" s="504"/>
      <c r="E407" s="455"/>
      <c r="F407" s="504"/>
      <c r="G407" s="455"/>
      <c r="H407" s="504"/>
      <c r="I407" s="455"/>
      <c r="J407" s="504"/>
      <c r="L407" s="472"/>
      <c r="M407" s="468"/>
      <c r="N407" s="468"/>
      <c r="O407" s="468"/>
      <c r="P407" s="468"/>
      <c r="Q407" s="473"/>
      <c r="R407" s="477" t="str">
        <f>IF(AND(COUNTIF('Start Character'!$I$63:$M$77,"Twilight Prone")=1,NOT(ISERROR(FIND("Magical Botch",M407)))),"Yes",IF(P407&gt;1,"Yes","No"))</f>
        <v>No</v>
      </c>
      <c r="S407" s="501"/>
      <c r="T407" s="478"/>
      <c r="U407" s="501"/>
      <c r="V407" s="479" t="str">
        <f>IF(R407="No","No Twilight",IF(T407="Yes","Uncomprehended Twilight",IF((Character!$B$14+IF(Character!$B$53="Yes",0,Character!$B$53)+IF(Magic!$C$5="Yes",2,0)+ROUNDUP((Magic!$B$30+IF(Magic!$C$30="Yes",3,0))/5,0)+S407)&gt;=($D$3+P407+SUMIF(Character!$I$62:$I$66,"Enigmatic Wisdom",Character!$J$62:$J$66)+Q407+U407),"No Twilight","Twilight")))</f>
        <v>No Twilight</v>
      </c>
      <c r="W407" s="483"/>
      <c r="X407" s="478"/>
      <c r="Y407" s="484"/>
      <c r="Z407" s="478"/>
      <c r="AA407" s="485" t="str">
        <f>IF(V407="Uncomprehended Twilight","Failed",IF(OR(ISBLANK(W407),ISBLANK(Y407))," ",IF(NOT(ISBLANK(X407)),"Failed",IF((W407+Character!$B$9+SUMIF(Character!$I$62:$I$66,"Enigmatic Wisdom",Character!$J$62:$J$66))&gt;=IF(Z407="Yes",0,(Y407+D402)),"Succeeded","Failed"))))</f>
        <v xml:space="preserve"> </v>
      </c>
      <c r="AB407" s="477" t="str">
        <f>IF(AA407=" "," ",IF(NOT(ISBLANK(X407)),VLOOKUP($D$3+X407,Calcs!$A$110:$C$122,3,TRUE),IF(AA407="Failed",VLOOKUP($D$3,Calcs!$A$110:$C$122,3,TRUE),VLOOKUP($D$3-(IF((Character!$B$9+W407)&gt;($D$3+Y407),(Character!$B$9+W407)-($D$3+Y407),0)),Calcs!$A$110:$C$122,3,TRUE))))</f>
        <v xml:space="preserve"> </v>
      </c>
      <c r="AC407" s="489"/>
      <c r="AD407" s="489" t="str">
        <f>IF(IF(AA407=" "," ",IF(NOT(ISBLANK(X407)),VLOOKUP($D$3+X407,Calcs!$A$110:$B$122,2,TRUE),IF(AA407="Failed",VLOOKUP($D$3,Calcs!$A$110:$B$122,2,TRUE),VLOOKUP($D$3-(IF((Character!$B$9+W407)&gt;($D$3+Y407),(Character!$B$9+W407)-($D$3+Y407),0)),Calcs!$A$110:$B$122,2,TRUE))))=Calcs!$B$120,IF(ISBLANK(AC407)," ",CONCATENATE(AC407+7," Years")),IF(AA407=" "," ",IF(NOT(ISBLANK(X407)),VLOOKUP($D$3+X407,Calcs!$A$110:$B$122,2,TRUE),IF(AA407="Failed",VLOOKUP($D$3,Calcs!$A$110:$B$122,2,TRUE),VLOOKUP($D$3-(IF((Character!$B$9+W407)&gt;($D$3+Y407),(Character!$B$9+W407)-($D$3+Y407),0)),Calcs!$A$110:$B$122,2,TRUE)))))</f>
        <v xml:space="preserve"> </v>
      </c>
      <c r="AE407" s="490"/>
      <c r="AF407" s="879"/>
      <c r="AG407" s="491"/>
    </row>
    <row r="408" spans="1:33" x14ac:dyDescent="0.2">
      <c r="A408" s="415">
        <f t="shared" si="10"/>
        <v>1312</v>
      </c>
      <c r="B408" s="419" t="str">
        <f t="shared" si="11"/>
        <v>Winter</v>
      </c>
      <c r="C408" s="455"/>
      <c r="D408" s="504"/>
      <c r="E408" s="455"/>
      <c r="F408" s="504"/>
      <c r="G408" s="455"/>
      <c r="H408" s="504"/>
      <c r="I408" s="455"/>
      <c r="J408" s="504"/>
      <c r="L408" s="472"/>
      <c r="M408" s="468"/>
      <c r="N408" s="468"/>
      <c r="O408" s="468"/>
      <c r="P408" s="468"/>
      <c r="Q408" s="473"/>
      <c r="R408" s="477" t="str">
        <f>IF(AND(COUNTIF('Start Character'!$I$63:$M$77,"Twilight Prone")=1,NOT(ISERROR(FIND("Magical Botch",M408)))),"Yes",IF(P408&gt;1,"Yes","No"))</f>
        <v>No</v>
      </c>
      <c r="S408" s="501"/>
      <c r="T408" s="478"/>
      <c r="U408" s="501"/>
      <c r="V408" s="479" t="str">
        <f>IF(R408="No","No Twilight",IF(T408="Yes","Uncomprehended Twilight",IF((Character!$B$14+IF(Character!$B$53="Yes",0,Character!$B$53)+IF(Magic!$C$5="Yes",2,0)+ROUNDUP((Magic!$B$30+IF(Magic!$C$30="Yes",3,0))/5,0)+S408)&gt;=($D$3+P408+SUMIF(Character!$I$62:$I$66,"Enigmatic Wisdom",Character!$J$62:$J$66)+Q408+U408),"No Twilight","Twilight")))</f>
        <v>No Twilight</v>
      </c>
      <c r="W408" s="483"/>
      <c r="X408" s="478"/>
      <c r="Y408" s="484"/>
      <c r="Z408" s="478"/>
      <c r="AA408" s="485" t="str">
        <f>IF(V408="Uncomprehended Twilight","Failed",IF(OR(ISBLANK(W408),ISBLANK(Y408))," ",IF(NOT(ISBLANK(X408)),"Failed",IF((W408+Character!$B$9+SUMIF(Character!$I$62:$I$66,"Enigmatic Wisdom",Character!$J$62:$J$66))&gt;=IF(Z408="Yes",0,(Y408+D403)),"Succeeded","Failed"))))</f>
        <v xml:space="preserve"> </v>
      </c>
      <c r="AB408" s="477" t="str">
        <f>IF(AA408=" "," ",IF(NOT(ISBLANK(X408)),VLOOKUP($D$3+X408,Calcs!$A$110:$C$122,3,TRUE),IF(AA408="Failed",VLOOKUP($D$3,Calcs!$A$110:$C$122,3,TRUE),VLOOKUP($D$3-(IF((Character!$B$9+W408)&gt;($D$3+Y408),(Character!$B$9+W408)-($D$3+Y408),0)),Calcs!$A$110:$C$122,3,TRUE))))</f>
        <v xml:space="preserve"> </v>
      </c>
      <c r="AC408" s="489"/>
      <c r="AD408" s="489" t="str">
        <f>IF(IF(AA408=" "," ",IF(NOT(ISBLANK(X408)),VLOOKUP($D$3+X408,Calcs!$A$110:$B$122,2,TRUE),IF(AA408="Failed",VLOOKUP($D$3,Calcs!$A$110:$B$122,2,TRUE),VLOOKUP($D$3-(IF((Character!$B$9+W408)&gt;($D$3+Y408),(Character!$B$9+W408)-($D$3+Y408),0)),Calcs!$A$110:$B$122,2,TRUE))))=Calcs!$B$120,IF(ISBLANK(AC408)," ",CONCATENATE(AC408+7," Years")),IF(AA408=" "," ",IF(NOT(ISBLANK(X408)),VLOOKUP($D$3+X408,Calcs!$A$110:$B$122,2,TRUE),IF(AA408="Failed",VLOOKUP($D$3,Calcs!$A$110:$B$122,2,TRUE),VLOOKUP($D$3-(IF((Character!$B$9+W408)&gt;($D$3+Y408),(Character!$B$9+W408)-($D$3+Y408),0)),Calcs!$A$110:$B$122,2,TRUE)))))</f>
        <v xml:space="preserve"> </v>
      </c>
      <c r="AE408" s="490"/>
      <c r="AF408" s="879"/>
      <c r="AG408" s="491"/>
    </row>
    <row r="409" spans="1:33" x14ac:dyDescent="0.2">
      <c r="A409" s="415">
        <f t="shared" si="10"/>
        <v>1312</v>
      </c>
      <c r="B409" s="419" t="str">
        <f t="shared" si="11"/>
        <v>Spring</v>
      </c>
      <c r="C409" s="455"/>
      <c r="D409" s="504"/>
      <c r="E409" s="455"/>
      <c r="F409" s="504"/>
      <c r="G409" s="455"/>
      <c r="H409" s="504"/>
      <c r="I409" s="455"/>
      <c r="J409" s="504"/>
      <c r="L409" s="472"/>
      <c r="M409" s="468"/>
      <c r="N409" s="468"/>
      <c r="O409" s="468"/>
      <c r="P409" s="468"/>
      <c r="Q409" s="473"/>
      <c r="R409" s="477" t="str">
        <f>IF(AND(COUNTIF('Start Character'!$I$63:$M$77,"Twilight Prone")=1,NOT(ISERROR(FIND("Magical Botch",M409)))),"Yes",IF(P409&gt;1,"Yes","No"))</f>
        <v>No</v>
      </c>
      <c r="S409" s="501"/>
      <c r="T409" s="478"/>
      <c r="U409" s="501"/>
      <c r="V409" s="479" t="str">
        <f>IF(R409="No","No Twilight",IF(T409="Yes","Uncomprehended Twilight",IF((Character!$B$14+IF(Character!$B$53="Yes",0,Character!$B$53)+IF(Magic!$C$5="Yes",2,0)+ROUNDUP((Magic!$B$30+IF(Magic!$C$30="Yes",3,0))/5,0)+S409)&gt;=($D$3+P409+SUMIF(Character!$I$62:$I$66,"Enigmatic Wisdom",Character!$J$62:$J$66)+Q409+U409),"No Twilight","Twilight")))</f>
        <v>No Twilight</v>
      </c>
      <c r="W409" s="483"/>
      <c r="X409" s="478"/>
      <c r="Y409" s="484"/>
      <c r="Z409" s="478"/>
      <c r="AA409" s="485" t="str">
        <f>IF(V409="Uncomprehended Twilight","Failed",IF(OR(ISBLANK(W409),ISBLANK(Y409))," ",IF(NOT(ISBLANK(X409)),"Failed",IF((W409+Character!$B$9+SUMIF(Character!$I$62:$I$66,"Enigmatic Wisdom",Character!$J$62:$J$66))&gt;=IF(Z409="Yes",0,(Y409+D404)),"Succeeded","Failed"))))</f>
        <v xml:space="preserve"> </v>
      </c>
      <c r="AB409" s="477" t="str">
        <f>IF(AA409=" "," ",IF(NOT(ISBLANK(X409)),VLOOKUP($D$3+X409,Calcs!$A$110:$C$122,3,TRUE),IF(AA409="Failed",VLOOKUP($D$3,Calcs!$A$110:$C$122,3,TRUE),VLOOKUP($D$3-(IF((Character!$B$9+W409)&gt;($D$3+Y409),(Character!$B$9+W409)-($D$3+Y409),0)),Calcs!$A$110:$C$122,3,TRUE))))</f>
        <v xml:space="preserve"> </v>
      </c>
      <c r="AC409" s="489"/>
      <c r="AD409" s="489" t="str">
        <f>IF(IF(AA409=" "," ",IF(NOT(ISBLANK(X409)),VLOOKUP($D$3+X409,Calcs!$A$110:$B$122,2,TRUE),IF(AA409="Failed",VLOOKUP($D$3,Calcs!$A$110:$B$122,2,TRUE),VLOOKUP($D$3-(IF((Character!$B$9+W409)&gt;($D$3+Y409),(Character!$B$9+W409)-($D$3+Y409),0)),Calcs!$A$110:$B$122,2,TRUE))))=Calcs!$B$120,IF(ISBLANK(AC409)," ",CONCATENATE(AC409+7," Years")),IF(AA409=" "," ",IF(NOT(ISBLANK(X409)),VLOOKUP($D$3+X409,Calcs!$A$110:$B$122,2,TRUE),IF(AA409="Failed",VLOOKUP($D$3,Calcs!$A$110:$B$122,2,TRUE),VLOOKUP($D$3-(IF((Character!$B$9+W409)&gt;($D$3+Y409),(Character!$B$9+W409)-($D$3+Y409),0)),Calcs!$A$110:$B$122,2,TRUE)))))</f>
        <v xml:space="preserve"> </v>
      </c>
      <c r="AE409" s="490"/>
      <c r="AF409" s="879"/>
      <c r="AG409" s="491"/>
    </row>
    <row r="410" spans="1:33" x14ac:dyDescent="0.2">
      <c r="A410" s="415">
        <f t="shared" si="10"/>
        <v>1312</v>
      </c>
      <c r="B410" s="419" t="str">
        <f t="shared" si="11"/>
        <v>Summer</v>
      </c>
      <c r="C410" s="455"/>
      <c r="D410" s="504"/>
      <c r="E410" s="455"/>
      <c r="F410" s="504"/>
      <c r="G410" s="455"/>
      <c r="H410" s="504"/>
      <c r="I410" s="455"/>
      <c r="J410" s="504"/>
      <c r="L410" s="472"/>
      <c r="M410" s="468"/>
      <c r="N410" s="468"/>
      <c r="O410" s="468"/>
      <c r="P410" s="468"/>
      <c r="Q410" s="473"/>
      <c r="R410" s="477" t="str">
        <f>IF(AND(COUNTIF('Start Character'!$I$63:$M$77,"Twilight Prone")=1,NOT(ISERROR(FIND("Magical Botch",M410)))),"Yes",IF(P410&gt;1,"Yes","No"))</f>
        <v>No</v>
      </c>
      <c r="S410" s="501"/>
      <c r="T410" s="478"/>
      <c r="U410" s="501"/>
      <c r="V410" s="479" t="str">
        <f>IF(R410="No","No Twilight",IF(T410="Yes","Uncomprehended Twilight",IF((Character!$B$14+IF(Character!$B$53="Yes",0,Character!$B$53)+IF(Magic!$C$5="Yes",2,0)+ROUNDUP((Magic!$B$30+IF(Magic!$C$30="Yes",3,0))/5,0)+S410)&gt;=($D$3+P410+SUMIF(Character!$I$62:$I$66,"Enigmatic Wisdom",Character!$J$62:$J$66)+Q410+U410),"No Twilight","Twilight")))</f>
        <v>No Twilight</v>
      </c>
      <c r="W410" s="483"/>
      <c r="X410" s="478"/>
      <c r="Y410" s="484"/>
      <c r="Z410" s="478"/>
      <c r="AA410" s="485" t="str">
        <f>IF(V410="Uncomprehended Twilight","Failed",IF(OR(ISBLANK(W410),ISBLANK(Y410))," ",IF(NOT(ISBLANK(X410)),"Failed",IF((W410+Character!$B$9+SUMIF(Character!$I$62:$I$66,"Enigmatic Wisdom",Character!$J$62:$J$66))&gt;=IF(Z410="Yes",0,(Y410+D405)),"Succeeded","Failed"))))</f>
        <v xml:space="preserve"> </v>
      </c>
      <c r="AB410" s="477" t="str">
        <f>IF(AA410=" "," ",IF(NOT(ISBLANK(X410)),VLOOKUP($D$3+X410,Calcs!$A$110:$C$122,3,TRUE),IF(AA410="Failed",VLOOKUP($D$3,Calcs!$A$110:$C$122,3,TRUE),VLOOKUP($D$3-(IF((Character!$B$9+W410)&gt;($D$3+Y410),(Character!$B$9+W410)-($D$3+Y410),0)),Calcs!$A$110:$C$122,3,TRUE))))</f>
        <v xml:space="preserve"> </v>
      </c>
      <c r="AC410" s="489"/>
      <c r="AD410" s="489" t="str">
        <f>IF(IF(AA410=" "," ",IF(NOT(ISBLANK(X410)),VLOOKUP($D$3+X410,Calcs!$A$110:$B$122,2,TRUE),IF(AA410="Failed",VLOOKUP($D$3,Calcs!$A$110:$B$122,2,TRUE),VLOOKUP($D$3-(IF((Character!$B$9+W410)&gt;($D$3+Y410),(Character!$B$9+W410)-($D$3+Y410),0)),Calcs!$A$110:$B$122,2,TRUE))))=Calcs!$B$120,IF(ISBLANK(AC410)," ",CONCATENATE(AC410+7," Years")),IF(AA410=" "," ",IF(NOT(ISBLANK(X410)),VLOOKUP($D$3+X410,Calcs!$A$110:$B$122,2,TRUE),IF(AA410="Failed",VLOOKUP($D$3,Calcs!$A$110:$B$122,2,TRUE),VLOOKUP($D$3-(IF((Character!$B$9+W410)&gt;($D$3+Y410),(Character!$B$9+W410)-($D$3+Y410),0)),Calcs!$A$110:$B$122,2,TRUE)))))</f>
        <v xml:space="preserve"> </v>
      </c>
      <c r="AE410" s="490"/>
      <c r="AF410" s="879"/>
      <c r="AG410" s="491"/>
    </row>
    <row r="411" spans="1:33" x14ac:dyDescent="0.2">
      <c r="A411" s="415">
        <f t="shared" si="10"/>
        <v>1312</v>
      </c>
      <c r="B411" s="419" t="str">
        <f t="shared" si="11"/>
        <v>Autumn</v>
      </c>
      <c r="C411" s="455"/>
      <c r="D411" s="504"/>
      <c r="E411" s="455"/>
      <c r="F411" s="504"/>
      <c r="G411" s="455"/>
      <c r="H411" s="504"/>
      <c r="I411" s="455"/>
      <c r="J411" s="504"/>
      <c r="L411" s="472"/>
      <c r="M411" s="468"/>
      <c r="N411" s="468"/>
      <c r="O411" s="468"/>
      <c r="P411" s="468"/>
      <c r="Q411" s="473"/>
      <c r="R411" s="477" t="str">
        <f>IF(AND(COUNTIF('Start Character'!$I$63:$M$77,"Twilight Prone")=1,NOT(ISERROR(FIND("Magical Botch",M411)))),"Yes",IF(P411&gt;1,"Yes","No"))</f>
        <v>No</v>
      </c>
      <c r="S411" s="501"/>
      <c r="T411" s="478"/>
      <c r="U411" s="501"/>
      <c r="V411" s="479" t="str">
        <f>IF(R411="No","No Twilight",IF(T411="Yes","Uncomprehended Twilight",IF((Character!$B$14+IF(Character!$B$53="Yes",0,Character!$B$53)+IF(Magic!$C$5="Yes",2,0)+ROUNDUP((Magic!$B$30+IF(Magic!$C$30="Yes",3,0))/5,0)+S411)&gt;=($D$3+P411+SUMIF(Character!$I$62:$I$66,"Enigmatic Wisdom",Character!$J$62:$J$66)+Q411+U411),"No Twilight","Twilight")))</f>
        <v>No Twilight</v>
      </c>
      <c r="W411" s="483"/>
      <c r="X411" s="478"/>
      <c r="Y411" s="484"/>
      <c r="Z411" s="478"/>
      <c r="AA411" s="485" t="str">
        <f>IF(V411="Uncomprehended Twilight","Failed",IF(OR(ISBLANK(W411),ISBLANK(Y411))," ",IF(NOT(ISBLANK(X411)),"Failed",IF((W411+Character!$B$9+SUMIF(Character!$I$62:$I$66,"Enigmatic Wisdom",Character!$J$62:$J$66))&gt;=IF(Z411="Yes",0,(Y411+D406)),"Succeeded","Failed"))))</f>
        <v xml:space="preserve"> </v>
      </c>
      <c r="AB411" s="477" t="str">
        <f>IF(AA411=" "," ",IF(NOT(ISBLANK(X411)),VLOOKUP($D$3+X411,Calcs!$A$110:$C$122,3,TRUE),IF(AA411="Failed",VLOOKUP($D$3,Calcs!$A$110:$C$122,3,TRUE),VLOOKUP($D$3-(IF((Character!$B$9+W411)&gt;($D$3+Y411),(Character!$B$9+W411)-($D$3+Y411),0)),Calcs!$A$110:$C$122,3,TRUE))))</f>
        <v xml:space="preserve"> </v>
      </c>
      <c r="AC411" s="489"/>
      <c r="AD411" s="489" t="str">
        <f>IF(IF(AA411=" "," ",IF(NOT(ISBLANK(X411)),VLOOKUP($D$3+X411,Calcs!$A$110:$B$122,2,TRUE),IF(AA411="Failed",VLOOKUP($D$3,Calcs!$A$110:$B$122,2,TRUE),VLOOKUP($D$3-(IF((Character!$B$9+W411)&gt;($D$3+Y411),(Character!$B$9+W411)-($D$3+Y411),0)),Calcs!$A$110:$B$122,2,TRUE))))=Calcs!$B$120,IF(ISBLANK(AC411)," ",CONCATENATE(AC411+7," Years")),IF(AA411=" "," ",IF(NOT(ISBLANK(X411)),VLOOKUP($D$3+X411,Calcs!$A$110:$B$122,2,TRUE),IF(AA411="Failed",VLOOKUP($D$3,Calcs!$A$110:$B$122,2,TRUE),VLOOKUP($D$3-(IF((Character!$B$9+W411)&gt;($D$3+Y411),(Character!$B$9+W411)-($D$3+Y411),0)),Calcs!$A$110:$B$122,2,TRUE)))))</f>
        <v xml:space="preserve"> </v>
      </c>
      <c r="AE411" s="490"/>
      <c r="AF411" s="879"/>
      <c r="AG411" s="491"/>
    </row>
    <row r="412" spans="1:33" x14ac:dyDescent="0.2">
      <c r="A412" s="415">
        <f t="shared" si="10"/>
        <v>1313</v>
      </c>
      <c r="B412" s="419" t="str">
        <f t="shared" si="11"/>
        <v>Winter</v>
      </c>
      <c r="C412" s="455"/>
      <c r="D412" s="504"/>
      <c r="E412" s="455"/>
      <c r="F412" s="504"/>
      <c r="G412" s="455"/>
      <c r="H412" s="504"/>
      <c r="I412" s="455"/>
      <c r="J412" s="504"/>
      <c r="L412" s="472"/>
      <c r="M412" s="468"/>
      <c r="N412" s="468"/>
      <c r="O412" s="468"/>
      <c r="P412" s="468"/>
      <c r="Q412" s="473"/>
      <c r="R412" s="477" t="str">
        <f>IF(AND(COUNTIF('Start Character'!$I$63:$M$77,"Twilight Prone")=1,NOT(ISERROR(FIND("Magical Botch",M412)))),"Yes",IF(P412&gt;1,"Yes","No"))</f>
        <v>No</v>
      </c>
      <c r="S412" s="501"/>
      <c r="T412" s="478"/>
      <c r="U412" s="501"/>
      <c r="V412" s="479" t="str">
        <f>IF(R412="No","No Twilight",IF(T412="Yes","Uncomprehended Twilight",IF((Character!$B$14+IF(Character!$B$53="Yes",0,Character!$B$53)+IF(Magic!$C$5="Yes",2,0)+ROUNDUP((Magic!$B$30+IF(Magic!$C$30="Yes",3,0))/5,0)+S412)&gt;=($D$3+P412+SUMIF(Character!$I$62:$I$66,"Enigmatic Wisdom",Character!$J$62:$J$66)+Q412+U412),"No Twilight","Twilight")))</f>
        <v>No Twilight</v>
      </c>
      <c r="W412" s="483"/>
      <c r="X412" s="478"/>
      <c r="Y412" s="484"/>
      <c r="Z412" s="478"/>
      <c r="AA412" s="485" t="str">
        <f>IF(V412="Uncomprehended Twilight","Failed",IF(OR(ISBLANK(W412),ISBLANK(Y412))," ",IF(NOT(ISBLANK(X412)),"Failed",IF((W412+Character!$B$9+SUMIF(Character!$I$62:$I$66,"Enigmatic Wisdom",Character!$J$62:$J$66))&gt;=IF(Z412="Yes",0,(Y412+D407)),"Succeeded","Failed"))))</f>
        <v xml:space="preserve"> </v>
      </c>
      <c r="AB412" s="477" t="str">
        <f>IF(AA412=" "," ",IF(NOT(ISBLANK(X412)),VLOOKUP($D$3+X412,Calcs!$A$110:$C$122,3,TRUE),IF(AA412="Failed",VLOOKUP($D$3,Calcs!$A$110:$C$122,3,TRUE),VLOOKUP($D$3-(IF((Character!$B$9+W412)&gt;($D$3+Y412),(Character!$B$9+W412)-($D$3+Y412),0)),Calcs!$A$110:$C$122,3,TRUE))))</f>
        <v xml:space="preserve"> </v>
      </c>
      <c r="AC412" s="489"/>
      <c r="AD412" s="489" t="str">
        <f>IF(IF(AA412=" "," ",IF(NOT(ISBLANK(X412)),VLOOKUP($D$3+X412,Calcs!$A$110:$B$122,2,TRUE),IF(AA412="Failed",VLOOKUP($D$3,Calcs!$A$110:$B$122,2,TRUE),VLOOKUP($D$3-(IF((Character!$B$9+W412)&gt;($D$3+Y412),(Character!$B$9+W412)-($D$3+Y412),0)),Calcs!$A$110:$B$122,2,TRUE))))=Calcs!$B$120,IF(ISBLANK(AC412)," ",CONCATENATE(AC412+7," Years")),IF(AA412=" "," ",IF(NOT(ISBLANK(X412)),VLOOKUP($D$3+X412,Calcs!$A$110:$B$122,2,TRUE),IF(AA412="Failed",VLOOKUP($D$3,Calcs!$A$110:$B$122,2,TRUE),VLOOKUP($D$3-(IF((Character!$B$9+W412)&gt;($D$3+Y412),(Character!$B$9+W412)-($D$3+Y412),0)),Calcs!$A$110:$B$122,2,TRUE)))))</f>
        <v xml:space="preserve"> </v>
      </c>
      <c r="AE412" s="490"/>
      <c r="AF412" s="879"/>
      <c r="AG412" s="491"/>
    </row>
    <row r="413" spans="1:33" x14ac:dyDescent="0.2">
      <c r="A413" s="415">
        <f t="shared" ref="A413:A476" si="12">IF(B412="Autumn",A412+1,A412)</f>
        <v>1313</v>
      </c>
      <c r="B413" s="419" t="str">
        <f t="shared" ref="B413:B476" si="13">IF(B412="spring","Summer",IF(B412="Summer","Autumn",IF(B412="Autumn","Winter",IF(B412="Winter","Spring"," "))))</f>
        <v>Spring</v>
      </c>
      <c r="C413" s="455"/>
      <c r="D413" s="504"/>
      <c r="E413" s="455"/>
      <c r="F413" s="504"/>
      <c r="G413" s="455"/>
      <c r="H413" s="504"/>
      <c r="I413" s="455"/>
      <c r="J413" s="504"/>
      <c r="L413" s="472"/>
      <c r="M413" s="468"/>
      <c r="N413" s="468"/>
      <c r="O413" s="468"/>
      <c r="P413" s="468"/>
      <c r="Q413" s="473"/>
      <c r="R413" s="477" t="str">
        <f>IF(AND(COUNTIF('Start Character'!$I$63:$M$77,"Twilight Prone")=1,NOT(ISERROR(FIND("Magical Botch",M413)))),"Yes",IF(P413&gt;1,"Yes","No"))</f>
        <v>No</v>
      </c>
      <c r="S413" s="501"/>
      <c r="T413" s="478"/>
      <c r="U413" s="501"/>
      <c r="V413" s="479" t="str">
        <f>IF(R413="No","No Twilight",IF(T413="Yes","Uncomprehended Twilight",IF((Character!$B$14+IF(Character!$B$53="Yes",0,Character!$B$53)+IF(Magic!$C$5="Yes",2,0)+ROUNDUP((Magic!$B$30+IF(Magic!$C$30="Yes",3,0))/5,0)+S413)&gt;=($D$3+P413+SUMIF(Character!$I$62:$I$66,"Enigmatic Wisdom",Character!$J$62:$J$66)+Q413+U413),"No Twilight","Twilight")))</f>
        <v>No Twilight</v>
      </c>
      <c r="W413" s="483"/>
      <c r="X413" s="478"/>
      <c r="Y413" s="484"/>
      <c r="Z413" s="478"/>
      <c r="AA413" s="485" t="str">
        <f>IF(V413="Uncomprehended Twilight","Failed",IF(OR(ISBLANK(W413),ISBLANK(Y413))," ",IF(NOT(ISBLANK(X413)),"Failed",IF((W413+Character!$B$9+SUMIF(Character!$I$62:$I$66,"Enigmatic Wisdom",Character!$J$62:$J$66))&gt;=IF(Z413="Yes",0,(Y413+D408)),"Succeeded","Failed"))))</f>
        <v xml:space="preserve"> </v>
      </c>
      <c r="AB413" s="477" t="str">
        <f>IF(AA413=" "," ",IF(NOT(ISBLANK(X413)),VLOOKUP($D$3+X413,Calcs!$A$110:$C$122,3,TRUE),IF(AA413="Failed",VLOOKUP($D$3,Calcs!$A$110:$C$122,3,TRUE),VLOOKUP($D$3-(IF((Character!$B$9+W413)&gt;($D$3+Y413),(Character!$B$9+W413)-($D$3+Y413),0)),Calcs!$A$110:$C$122,3,TRUE))))</f>
        <v xml:space="preserve"> </v>
      </c>
      <c r="AC413" s="489"/>
      <c r="AD413" s="489" t="str">
        <f>IF(IF(AA413=" "," ",IF(NOT(ISBLANK(X413)),VLOOKUP($D$3+X413,Calcs!$A$110:$B$122,2,TRUE),IF(AA413="Failed",VLOOKUP($D$3,Calcs!$A$110:$B$122,2,TRUE),VLOOKUP($D$3-(IF((Character!$B$9+W413)&gt;($D$3+Y413),(Character!$B$9+W413)-($D$3+Y413),0)),Calcs!$A$110:$B$122,2,TRUE))))=Calcs!$B$120,IF(ISBLANK(AC413)," ",CONCATENATE(AC413+7," Years")),IF(AA413=" "," ",IF(NOT(ISBLANK(X413)),VLOOKUP($D$3+X413,Calcs!$A$110:$B$122,2,TRUE),IF(AA413="Failed",VLOOKUP($D$3,Calcs!$A$110:$B$122,2,TRUE),VLOOKUP($D$3-(IF((Character!$B$9+W413)&gt;($D$3+Y413),(Character!$B$9+W413)-($D$3+Y413),0)),Calcs!$A$110:$B$122,2,TRUE)))))</f>
        <v xml:space="preserve"> </v>
      </c>
      <c r="AE413" s="490"/>
      <c r="AF413" s="879"/>
      <c r="AG413" s="491"/>
    </row>
    <row r="414" spans="1:33" x14ac:dyDescent="0.2">
      <c r="A414" s="415">
        <f t="shared" si="12"/>
        <v>1313</v>
      </c>
      <c r="B414" s="419" t="str">
        <f t="shared" si="13"/>
        <v>Summer</v>
      </c>
      <c r="C414" s="455"/>
      <c r="D414" s="504"/>
      <c r="E414" s="455"/>
      <c r="F414" s="504"/>
      <c r="G414" s="455"/>
      <c r="H414" s="504"/>
      <c r="I414" s="455"/>
      <c r="J414" s="504"/>
      <c r="L414" s="472"/>
      <c r="M414" s="468"/>
      <c r="N414" s="468"/>
      <c r="O414" s="468"/>
      <c r="P414" s="468"/>
      <c r="Q414" s="473"/>
      <c r="R414" s="477" t="str">
        <f>IF(AND(COUNTIF('Start Character'!$I$63:$M$77,"Twilight Prone")=1,NOT(ISERROR(FIND("Magical Botch",M414)))),"Yes",IF(P414&gt;1,"Yes","No"))</f>
        <v>No</v>
      </c>
      <c r="S414" s="501"/>
      <c r="T414" s="478"/>
      <c r="U414" s="501"/>
      <c r="V414" s="479" t="str">
        <f>IF(R414="No","No Twilight",IF(T414="Yes","Uncomprehended Twilight",IF((Character!$B$14+IF(Character!$B$53="Yes",0,Character!$B$53)+IF(Magic!$C$5="Yes",2,0)+ROUNDUP((Magic!$B$30+IF(Magic!$C$30="Yes",3,0))/5,0)+S414)&gt;=($D$3+P414+SUMIF(Character!$I$62:$I$66,"Enigmatic Wisdom",Character!$J$62:$J$66)+Q414+U414),"No Twilight","Twilight")))</f>
        <v>No Twilight</v>
      </c>
      <c r="W414" s="483"/>
      <c r="X414" s="478"/>
      <c r="Y414" s="484"/>
      <c r="Z414" s="478"/>
      <c r="AA414" s="485" t="str">
        <f>IF(V414="Uncomprehended Twilight","Failed",IF(OR(ISBLANK(W414),ISBLANK(Y414))," ",IF(NOT(ISBLANK(X414)),"Failed",IF((W414+Character!$B$9+SUMIF(Character!$I$62:$I$66,"Enigmatic Wisdom",Character!$J$62:$J$66))&gt;=IF(Z414="Yes",0,(Y414+D409)),"Succeeded","Failed"))))</f>
        <v xml:space="preserve"> </v>
      </c>
      <c r="AB414" s="477" t="str">
        <f>IF(AA414=" "," ",IF(NOT(ISBLANK(X414)),VLOOKUP($D$3+X414,Calcs!$A$110:$C$122,3,TRUE),IF(AA414="Failed",VLOOKUP($D$3,Calcs!$A$110:$C$122,3,TRUE),VLOOKUP($D$3-(IF((Character!$B$9+W414)&gt;($D$3+Y414),(Character!$B$9+W414)-($D$3+Y414),0)),Calcs!$A$110:$C$122,3,TRUE))))</f>
        <v xml:space="preserve"> </v>
      </c>
      <c r="AC414" s="489"/>
      <c r="AD414" s="489" t="str">
        <f>IF(IF(AA414=" "," ",IF(NOT(ISBLANK(X414)),VLOOKUP($D$3+X414,Calcs!$A$110:$B$122,2,TRUE),IF(AA414="Failed",VLOOKUP($D$3,Calcs!$A$110:$B$122,2,TRUE),VLOOKUP($D$3-(IF((Character!$B$9+W414)&gt;($D$3+Y414),(Character!$B$9+W414)-($D$3+Y414),0)),Calcs!$A$110:$B$122,2,TRUE))))=Calcs!$B$120,IF(ISBLANK(AC414)," ",CONCATENATE(AC414+7," Years")),IF(AA414=" "," ",IF(NOT(ISBLANK(X414)),VLOOKUP($D$3+X414,Calcs!$A$110:$B$122,2,TRUE),IF(AA414="Failed",VLOOKUP($D$3,Calcs!$A$110:$B$122,2,TRUE),VLOOKUP($D$3-(IF((Character!$B$9+W414)&gt;($D$3+Y414),(Character!$B$9+W414)-($D$3+Y414),0)),Calcs!$A$110:$B$122,2,TRUE)))))</f>
        <v xml:space="preserve"> </v>
      </c>
      <c r="AE414" s="490"/>
      <c r="AF414" s="879"/>
      <c r="AG414" s="491"/>
    </row>
    <row r="415" spans="1:33" x14ac:dyDescent="0.2">
      <c r="A415" s="415">
        <f t="shared" si="12"/>
        <v>1313</v>
      </c>
      <c r="B415" s="419" t="str">
        <f t="shared" si="13"/>
        <v>Autumn</v>
      </c>
      <c r="C415" s="455"/>
      <c r="D415" s="504"/>
      <c r="E415" s="455"/>
      <c r="F415" s="504"/>
      <c r="G415" s="455"/>
      <c r="H415" s="504"/>
      <c r="I415" s="455"/>
      <c r="J415" s="504"/>
      <c r="L415" s="472"/>
      <c r="M415" s="468"/>
      <c r="N415" s="468"/>
      <c r="O415" s="468"/>
      <c r="P415" s="468"/>
      <c r="Q415" s="473"/>
      <c r="R415" s="477" t="str">
        <f>IF(AND(COUNTIF('Start Character'!$I$63:$M$77,"Twilight Prone")=1,NOT(ISERROR(FIND("Magical Botch",M415)))),"Yes",IF(P415&gt;1,"Yes","No"))</f>
        <v>No</v>
      </c>
      <c r="S415" s="501"/>
      <c r="T415" s="478"/>
      <c r="U415" s="501"/>
      <c r="V415" s="479" t="str">
        <f>IF(R415="No","No Twilight",IF(T415="Yes","Uncomprehended Twilight",IF((Character!$B$14+IF(Character!$B$53="Yes",0,Character!$B$53)+IF(Magic!$C$5="Yes",2,0)+ROUNDUP((Magic!$B$30+IF(Magic!$C$30="Yes",3,0))/5,0)+S415)&gt;=($D$3+P415+SUMIF(Character!$I$62:$I$66,"Enigmatic Wisdom",Character!$J$62:$J$66)+Q415+U415),"No Twilight","Twilight")))</f>
        <v>No Twilight</v>
      </c>
      <c r="W415" s="483"/>
      <c r="X415" s="478"/>
      <c r="Y415" s="484"/>
      <c r="Z415" s="478"/>
      <c r="AA415" s="485" t="str">
        <f>IF(V415="Uncomprehended Twilight","Failed",IF(OR(ISBLANK(W415),ISBLANK(Y415))," ",IF(NOT(ISBLANK(X415)),"Failed",IF((W415+Character!$B$9+SUMIF(Character!$I$62:$I$66,"Enigmatic Wisdom",Character!$J$62:$J$66))&gt;=IF(Z415="Yes",0,(Y415+D410)),"Succeeded","Failed"))))</f>
        <v xml:space="preserve"> </v>
      </c>
      <c r="AB415" s="477" t="str">
        <f>IF(AA415=" "," ",IF(NOT(ISBLANK(X415)),VLOOKUP($D$3+X415,Calcs!$A$110:$C$122,3,TRUE),IF(AA415="Failed",VLOOKUP($D$3,Calcs!$A$110:$C$122,3,TRUE),VLOOKUP($D$3-(IF((Character!$B$9+W415)&gt;($D$3+Y415),(Character!$B$9+W415)-($D$3+Y415),0)),Calcs!$A$110:$C$122,3,TRUE))))</f>
        <v xml:space="preserve"> </v>
      </c>
      <c r="AC415" s="489"/>
      <c r="AD415" s="489" t="str">
        <f>IF(IF(AA415=" "," ",IF(NOT(ISBLANK(X415)),VLOOKUP($D$3+X415,Calcs!$A$110:$B$122,2,TRUE),IF(AA415="Failed",VLOOKUP($D$3,Calcs!$A$110:$B$122,2,TRUE),VLOOKUP($D$3-(IF((Character!$B$9+W415)&gt;($D$3+Y415),(Character!$B$9+W415)-($D$3+Y415),0)),Calcs!$A$110:$B$122,2,TRUE))))=Calcs!$B$120,IF(ISBLANK(AC415)," ",CONCATENATE(AC415+7," Years")),IF(AA415=" "," ",IF(NOT(ISBLANK(X415)),VLOOKUP($D$3+X415,Calcs!$A$110:$B$122,2,TRUE),IF(AA415="Failed",VLOOKUP($D$3,Calcs!$A$110:$B$122,2,TRUE),VLOOKUP($D$3-(IF((Character!$B$9+W415)&gt;($D$3+Y415),(Character!$B$9+W415)-($D$3+Y415),0)),Calcs!$A$110:$B$122,2,TRUE)))))</f>
        <v xml:space="preserve"> </v>
      </c>
      <c r="AE415" s="490"/>
      <c r="AF415" s="879"/>
      <c r="AG415" s="491"/>
    </row>
    <row r="416" spans="1:33" x14ac:dyDescent="0.2">
      <c r="A416" s="415">
        <f t="shared" si="12"/>
        <v>1314</v>
      </c>
      <c r="B416" s="419" t="str">
        <f t="shared" si="13"/>
        <v>Winter</v>
      </c>
      <c r="C416" s="455"/>
      <c r="D416" s="504"/>
      <c r="E416" s="455"/>
      <c r="F416" s="504"/>
      <c r="G416" s="455"/>
      <c r="H416" s="504"/>
      <c r="I416" s="455"/>
      <c r="J416" s="504"/>
      <c r="L416" s="472"/>
      <c r="M416" s="468"/>
      <c r="N416" s="468"/>
      <c r="O416" s="468"/>
      <c r="P416" s="468"/>
      <c r="Q416" s="473"/>
      <c r="R416" s="477" t="str">
        <f>IF(AND(COUNTIF('Start Character'!$I$63:$M$77,"Twilight Prone")=1,NOT(ISERROR(FIND("Magical Botch",M416)))),"Yes",IF(P416&gt;1,"Yes","No"))</f>
        <v>No</v>
      </c>
      <c r="S416" s="501"/>
      <c r="T416" s="478"/>
      <c r="U416" s="501"/>
      <c r="V416" s="479" t="str">
        <f>IF(R416="No","No Twilight",IF(T416="Yes","Uncomprehended Twilight",IF((Character!$B$14+IF(Character!$B$53="Yes",0,Character!$B$53)+IF(Magic!$C$5="Yes",2,0)+ROUNDUP((Magic!$B$30+IF(Magic!$C$30="Yes",3,0))/5,0)+S416)&gt;=($D$3+P416+SUMIF(Character!$I$62:$I$66,"Enigmatic Wisdom",Character!$J$62:$J$66)+Q416+U416),"No Twilight","Twilight")))</f>
        <v>No Twilight</v>
      </c>
      <c r="W416" s="483"/>
      <c r="X416" s="478"/>
      <c r="Y416" s="484"/>
      <c r="Z416" s="478"/>
      <c r="AA416" s="485" t="str">
        <f>IF(V416="Uncomprehended Twilight","Failed",IF(OR(ISBLANK(W416),ISBLANK(Y416))," ",IF(NOT(ISBLANK(X416)),"Failed",IF((W416+Character!$B$9+SUMIF(Character!$I$62:$I$66,"Enigmatic Wisdom",Character!$J$62:$J$66))&gt;=IF(Z416="Yes",0,(Y416+D411)),"Succeeded","Failed"))))</f>
        <v xml:space="preserve"> </v>
      </c>
      <c r="AB416" s="477" t="str">
        <f>IF(AA416=" "," ",IF(NOT(ISBLANK(X416)),VLOOKUP($D$3+X416,Calcs!$A$110:$C$122,3,TRUE),IF(AA416="Failed",VLOOKUP($D$3,Calcs!$A$110:$C$122,3,TRUE),VLOOKUP($D$3-(IF((Character!$B$9+W416)&gt;($D$3+Y416),(Character!$B$9+W416)-($D$3+Y416),0)),Calcs!$A$110:$C$122,3,TRUE))))</f>
        <v xml:space="preserve"> </v>
      </c>
      <c r="AC416" s="489"/>
      <c r="AD416" s="489" t="str">
        <f>IF(IF(AA416=" "," ",IF(NOT(ISBLANK(X416)),VLOOKUP($D$3+X416,Calcs!$A$110:$B$122,2,TRUE),IF(AA416="Failed",VLOOKUP($D$3,Calcs!$A$110:$B$122,2,TRUE),VLOOKUP($D$3-(IF((Character!$B$9+W416)&gt;($D$3+Y416),(Character!$B$9+W416)-($D$3+Y416),0)),Calcs!$A$110:$B$122,2,TRUE))))=Calcs!$B$120,IF(ISBLANK(AC416)," ",CONCATENATE(AC416+7," Years")),IF(AA416=" "," ",IF(NOT(ISBLANK(X416)),VLOOKUP($D$3+X416,Calcs!$A$110:$B$122,2,TRUE),IF(AA416="Failed",VLOOKUP($D$3,Calcs!$A$110:$B$122,2,TRUE),VLOOKUP($D$3-(IF((Character!$B$9+W416)&gt;($D$3+Y416),(Character!$B$9+W416)-($D$3+Y416),0)),Calcs!$A$110:$B$122,2,TRUE)))))</f>
        <v xml:space="preserve"> </v>
      </c>
      <c r="AE416" s="490"/>
      <c r="AF416" s="879"/>
      <c r="AG416" s="491"/>
    </row>
    <row r="417" spans="1:33" x14ac:dyDescent="0.2">
      <c r="A417" s="415">
        <f t="shared" si="12"/>
        <v>1314</v>
      </c>
      <c r="B417" s="419" t="str">
        <f t="shared" si="13"/>
        <v>Spring</v>
      </c>
      <c r="C417" s="455"/>
      <c r="D417" s="504"/>
      <c r="E417" s="455"/>
      <c r="F417" s="504"/>
      <c r="G417" s="455"/>
      <c r="H417" s="504"/>
      <c r="I417" s="455"/>
      <c r="J417" s="504"/>
      <c r="L417" s="472"/>
      <c r="M417" s="468"/>
      <c r="N417" s="468"/>
      <c r="O417" s="468"/>
      <c r="P417" s="468"/>
      <c r="Q417" s="473"/>
      <c r="R417" s="477" t="str">
        <f>IF(AND(COUNTIF('Start Character'!$I$63:$M$77,"Twilight Prone")=1,NOT(ISERROR(FIND("Magical Botch",M417)))),"Yes",IF(P417&gt;1,"Yes","No"))</f>
        <v>No</v>
      </c>
      <c r="S417" s="501"/>
      <c r="T417" s="478"/>
      <c r="U417" s="501"/>
      <c r="V417" s="479" t="str">
        <f>IF(R417="No","No Twilight",IF(T417="Yes","Uncomprehended Twilight",IF((Character!$B$14+IF(Character!$B$53="Yes",0,Character!$B$53)+IF(Magic!$C$5="Yes",2,0)+ROUNDUP((Magic!$B$30+IF(Magic!$C$30="Yes",3,0))/5,0)+S417)&gt;=($D$3+P417+SUMIF(Character!$I$62:$I$66,"Enigmatic Wisdom",Character!$J$62:$J$66)+Q417+U417),"No Twilight","Twilight")))</f>
        <v>No Twilight</v>
      </c>
      <c r="W417" s="483"/>
      <c r="X417" s="478"/>
      <c r="Y417" s="484"/>
      <c r="Z417" s="478"/>
      <c r="AA417" s="485" t="str">
        <f>IF(V417="Uncomprehended Twilight","Failed",IF(OR(ISBLANK(W417),ISBLANK(Y417))," ",IF(NOT(ISBLANK(X417)),"Failed",IF((W417+Character!$B$9+SUMIF(Character!$I$62:$I$66,"Enigmatic Wisdom",Character!$J$62:$J$66))&gt;=IF(Z417="Yes",0,(Y417+D412)),"Succeeded","Failed"))))</f>
        <v xml:space="preserve"> </v>
      </c>
      <c r="AB417" s="477" t="str">
        <f>IF(AA417=" "," ",IF(NOT(ISBLANK(X417)),VLOOKUP($D$3+X417,Calcs!$A$110:$C$122,3,TRUE),IF(AA417="Failed",VLOOKUP($D$3,Calcs!$A$110:$C$122,3,TRUE),VLOOKUP($D$3-(IF((Character!$B$9+W417)&gt;($D$3+Y417),(Character!$B$9+W417)-($D$3+Y417),0)),Calcs!$A$110:$C$122,3,TRUE))))</f>
        <v xml:space="preserve"> </v>
      </c>
      <c r="AC417" s="489"/>
      <c r="AD417" s="489" t="str">
        <f>IF(IF(AA417=" "," ",IF(NOT(ISBLANK(X417)),VLOOKUP($D$3+X417,Calcs!$A$110:$B$122,2,TRUE),IF(AA417="Failed",VLOOKUP($D$3,Calcs!$A$110:$B$122,2,TRUE),VLOOKUP($D$3-(IF((Character!$B$9+W417)&gt;($D$3+Y417),(Character!$B$9+W417)-($D$3+Y417),0)),Calcs!$A$110:$B$122,2,TRUE))))=Calcs!$B$120,IF(ISBLANK(AC417)," ",CONCATENATE(AC417+7," Years")),IF(AA417=" "," ",IF(NOT(ISBLANK(X417)),VLOOKUP($D$3+X417,Calcs!$A$110:$B$122,2,TRUE),IF(AA417="Failed",VLOOKUP($D$3,Calcs!$A$110:$B$122,2,TRUE),VLOOKUP($D$3-(IF((Character!$B$9+W417)&gt;($D$3+Y417),(Character!$B$9+W417)-($D$3+Y417),0)),Calcs!$A$110:$B$122,2,TRUE)))))</f>
        <v xml:space="preserve"> </v>
      </c>
      <c r="AE417" s="490"/>
      <c r="AF417" s="879"/>
      <c r="AG417" s="491"/>
    </row>
    <row r="418" spans="1:33" x14ac:dyDescent="0.2">
      <c r="A418" s="415">
        <f t="shared" si="12"/>
        <v>1314</v>
      </c>
      <c r="B418" s="419" t="str">
        <f t="shared" si="13"/>
        <v>Summer</v>
      </c>
      <c r="C418" s="455"/>
      <c r="D418" s="504"/>
      <c r="E418" s="455"/>
      <c r="F418" s="504"/>
      <c r="G418" s="455"/>
      <c r="H418" s="504"/>
      <c r="I418" s="455"/>
      <c r="J418" s="504"/>
      <c r="L418" s="472"/>
      <c r="M418" s="468"/>
      <c r="N418" s="468"/>
      <c r="O418" s="468"/>
      <c r="P418" s="468"/>
      <c r="Q418" s="473"/>
      <c r="R418" s="477" t="str">
        <f>IF(AND(COUNTIF('Start Character'!$I$63:$M$77,"Twilight Prone")=1,NOT(ISERROR(FIND("Magical Botch",M418)))),"Yes",IF(P418&gt;1,"Yes","No"))</f>
        <v>No</v>
      </c>
      <c r="S418" s="501"/>
      <c r="T418" s="478"/>
      <c r="U418" s="501"/>
      <c r="V418" s="479" t="str">
        <f>IF(R418="No","No Twilight",IF(T418="Yes","Uncomprehended Twilight",IF((Character!$B$14+IF(Character!$B$53="Yes",0,Character!$B$53)+IF(Magic!$C$5="Yes",2,0)+ROUNDUP((Magic!$B$30+IF(Magic!$C$30="Yes",3,0))/5,0)+S418)&gt;=($D$3+P418+SUMIF(Character!$I$62:$I$66,"Enigmatic Wisdom",Character!$J$62:$J$66)+Q418+U418),"No Twilight","Twilight")))</f>
        <v>No Twilight</v>
      </c>
      <c r="W418" s="483"/>
      <c r="X418" s="478"/>
      <c r="Y418" s="484"/>
      <c r="Z418" s="478"/>
      <c r="AA418" s="485" t="str">
        <f>IF(V418="Uncomprehended Twilight","Failed",IF(OR(ISBLANK(W418),ISBLANK(Y418))," ",IF(NOT(ISBLANK(X418)),"Failed",IF((W418+Character!$B$9+SUMIF(Character!$I$62:$I$66,"Enigmatic Wisdom",Character!$J$62:$J$66))&gt;=IF(Z418="Yes",0,(Y418+D413)),"Succeeded","Failed"))))</f>
        <v xml:space="preserve"> </v>
      </c>
      <c r="AB418" s="477" t="str">
        <f>IF(AA418=" "," ",IF(NOT(ISBLANK(X418)),VLOOKUP($D$3+X418,Calcs!$A$110:$C$122,3,TRUE),IF(AA418="Failed",VLOOKUP($D$3,Calcs!$A$110:$C$122,3,TRUE),VLOOKUP($D$3-(IF((Character!$B$9+W418)&gt;($D$3+Y418),(Character!$B$9+W418)-($D$3+Y418),0)),Calcs!$A$110:$C$122,3,TRUE))))</f>
        <v xml:space="preserve"> </v>
      </c>
      <c r="AC418" s="489"/>
      <c r="AD418" s="489" t="str">
        <f>IF(IF(AA418=" "," ",IF(NOT(ISBLANK(X418)),VLOOKUP($D$3+X418,Calcs!$A$110:$B$122,2,TRUE),IF(AA418="Failed",VLOOKUP($D$3,Calcs!$A$110:$B$122,2,TRUE),VLOOKUP($D$3-(IF((Character!$B$9+W418)&gt;($D$3+Y418),(Character!$B$9+W418)-($D$3+Y418),0)),Calcs!$A$110:$B$122,2,TRUE))))=Calcs!$B$120,IF(ISBLANK(AC418)," ",CONCATENATE(AC418+7," Years")),IF(AA418=" "," ",IF(NOT(ISBLANK(X418)),VLOOKUP($D$3+X418,Calcs!$A$110:$B$122,2,TRUE),IF(AA418="Failed",VLOOKUP($D$3,Calcs!$A$110:$B$122,2,TRUE),VLOOKUP($D$3-(IF((Character!$B$9+W418)&gt;($D$3+Y418),(Character!$B$9+W418)-($D$3+Y418),0)),Calcs!$A$110:$B$122,2,TRUE)))))</f>
        <v xml:space="preserve"> </v>
      </c>
      <c r="AE418" s="490"/>
      <c r="AF418" s="879"/>
      <c r="AG418" s="491"/>
    </row>
    <row r="419" spans="1:33" x14ac:dyDescent="0.2">
      <c r="A419" s="415">
        <f t="shared" si="12"/>
        <v>1314</v>
      </c>
      <c r="B419" s="419" t="str">
        <f t="shared" si="13"/>
        <v>Autumn</v>
      </c>
      <c r="C419" s="455"/>
      <c r="D419" s="504"/>
      <c r="E419" s="455"/>
      <c r="F419" s="504"/>
      <c r="G419" s="455"/>
      <c r="H419" s="504"/>
      <c r="I419" s="455"/>
      <c r="J419" s="504"/>
      <c r="L419" s="472"/>
      <c r="M419" s="468"/>
      <c r="N419" s="468"/>
      <c r="O419" s="468"/>
      <c r="P419" s="468"/>
      <c r="Q419" s="473"/>
      <c r="R419" s="477" t="str">
        <f>IF(AND(COUNTIF('Start Character'!$I$63:$M$77,"Twilight Prone")=1,NOT(ISERROR(FIND("Magical Botch",M419)))),"Yes",IF(P419&gt;1,"Yes","No"))</f>
        <v>No</v>
      </c>
      <c r="S419" s="501"/>
      <c r="T419" s="478"/>
      <c r="U419" s="501"/>
      <c r="V419" s="479" t="str">
        <f>IF(R419="No","No Twilight",IF(T419="Yes","Uncomprehended Twilight",IF((Character!$B$14+IF(Character!$B$53="Yes",0,Character!$B$53)+IF(Magic!$C$5="Yes",2,0)+ROUNDUP((Magic!$B$30+IF(Magic!$C$30="Yes",3,0))/5,0)+S419)&gt;=($D$3+P419+SUMIF(Character!$I$62:$I$66,"Enigmatic Wisdom",Character!$J$62:$J$66)+Q419+U419),"No Twilight","Twilight")))</f>
        <v>No Twilight</v>
      </c>
      <c r="W419" s="483"/>
      <c r="X419" s="478"/>
      <c r="Y419" s="484"/>
      <c r="Z419" s="478"/>
      <c r="AA419" s="485" t="str">
        <f>IF(V419="Uncomprehended Twilight","Failed",IF(OR(ISBLANK(W419),ISBLANK(Y419))," ",IF(NOT(ISBLANK(X419)),"Failed",IF((W419+Character!$B$9+SUMIF(Character!$I$62:$I$66,"Enigmatic Wisdom",Character!$J$62:$J$66))&gt;=IF(Z419="Yes",0,(Y419+D414)),"Succeeded","Failed"))))</f>
        <v xml:space="preserve"> </v>
      </c>
      <c r="AB419" s="477" t="str">
        <f>IF(AA419=" "," ",IF(NOT(ISBLANK(X419)),VLOOKUP($D$3+X419,Calcs!$A$110:$C$122,3,TRUE),IF(AA419="Failed",VLOOKUP($D$3,Calcs!$A$110:$C$122,3,TRUE),VLOOKUP($D$3-(IF((Character!$B$9+W419)&gt;($D$3+Y419),(Character!$B$9+W419)-($D$3+Y419),0)),Calcs!$A$110:$C$122,3,TRUE))))</f>
        <v xml:space="preserve"> </v>
      </c>
      <c r="AC419" s="489"/>
      <c r="AD419" s="489" t="str">
        <f>IF(IF(AA419=" "," ",IF(NOT(ISBLANK(X419)),VLOOKUP($D$3+X419,Calcs!$A$110:$B$122,2,TRUE),IF(AA419="Failed",VLOOKUP($D$3,Calcs!$A$110:$B$122,2,TRUE),VLOOKUP($D$3-(IF((Character!$B$9+W419)&gt;($D$3+Y419),(Character!$B$9+W419)-($D$3+Y419),0)),Calcs!$A$110:$B$122,2,TRUE))))=Calcs!$B$120,IF(ISBLANK(AC419)," ",CONCATENATE(AC419+7," Years")),IF(AA419=" "," ",IF(NOT(ISBLANK(X419)),VLOOKUP($D$3+X419,Calcs!$A$110:$B$122,2,TRUE),IF(AA419="Failed",VLOOKUP($D$3,Calcs!$A$110:$B$122,2,TRUE),VLOOKUP($D$3-(IF((Character!$B$9+W419)&gt;($D$3+Y419),(Character!$B$9+W419)-($D$3+Y419),0)),Calcs!$A$110:$B$122,2,TRUE)))))</f>
        <v xml:space="preserve"> </v>
      </c>
      <c r="AE419" s="490"/>
      <c r="AF419" s="879"/>
      <c r="AG419" s="491"/>
    </row>
    <row r="420" spans="1:33" x14ac:dyDescent="0.2">
      <c r="A420" s="415">
        <f t="shared" si="12"/>
        <v>1315</v>
      </c>
      <c r="B420" s="419" t="str">
        <f t="shared" si="13"/>
        <v>Winter</v>
      </c>
      <c r="C420" s="455"/>
      <c r="D420" s="504"/>
      <c r="E420" s="455"/>
      <c r="F420" s="504"/>
      <c r="G420" s="455"/>
      <c r="H420" s="504"/>
      <c r="I420" s="455"/>
      <c r="J420" s="504"/>
      <c r="L420" s="472"/>
      <c r="M420" s="468"/>
      <c r="N420" s="468"/>
      <c r="O420" s="468"/>
      <c r="P420" s="468"/>
      <c r="Q420" s="473"/>
      <c r="R420" s="477" t="str">
        <f>IF(AND(COUNTIF('Start Character'!$I$63:$M$77,"Twilight Prone")=1,NOT(ISERROR(FIND("Magical Botch",M420)))),"Yes",IF(P420&gt;1,"Yes","No"))</f>
        <v>No</v>
      </c>
      <c r="S420" s="501"/>
      <c r="T420" s="478"/>
      <c r="U420" s="501"/>
      <c r="V420" s="479" t="str">
        <f>IF(R420="No","No Twilight",IF(T420="Yes","Uncomprehended Twilight",IF((Character!$B$14+IF(Character!$B$53="Yes",0,Character!$B$53)+IF(Magic!$C$5="Yes",2,0)+ROUNDUP((Magic!$B$30+IF(Magic!$C$30="Yes",3,0))/5,0)+S420)&gt;=($D$3+P420+SUMIF(Character!$I$62:$I$66,"Enigmatic Wisdom",Character!$J$62:$J$66)+Q420+U420),"No Twilight","Twilight")))</f>
        <v>No Twilight</v>
      </c>
      <c r="W420" s="483"/>
      <c r="X420" s="478"/>
      <c r="Y420" s="484"/>
      <c r="Z420" s="478"/>
      <c r="AA420" s="485" t="str">
        <f>IF(V420="Uncomprehended Twilight","Failed",IF(OR(ISBLANK(W420),ISBLANK(Y420))," ",IF(NOT(ISBLANK(X420)),"Failed",IF((W420+Character!$B$9+SUMIF(Character!$I$62:$I$66,"Enigmatic Wisdom",Character!$J$62:$J$66))&gt;=IF(Z420="Yes",0,(Y420+D415)),"Succeeded","Failed"))))</f>
        <v xml:space="preserve"> </v>
      </c>
      <c r="AB420" s="477" t="str">
        <f>IF(AA420=" "," ",IF(NOT(ISBLANK(X420)),VLOOKUP($D$3+X420,Calcs!$A$110:$C$122,3,TRUE),IF(AA420="Failed",VLOOKUP($D$3,Calcs!$A$110:$C$122,3,TRUE),VLOOKUP($D$3-(IF((Character!$B$9+W420)&gt;($D$3+Y420),(Character!$B$9+W420)-($D$3+Y420),0)),Calcs!$A$110:$C$122,3,TRUE))))</f>
        <v xml:space="preserve"> </v>
      </c>
      <c r="AC420" s="489"/>
      <c r="AD420" s="489" t="str">
        <f>IF(IF(AA420=" "," ",IF(NOT(ISBLANK(X420)),VLOOKUP($D$3+X420,Calcs!$A$110:$B$122,2,TRUE),IF(AA420="Failed",VLOOKUP($D$3,Calcs!$A$110:$B$122,2,TRUE),VLOOKUP($D$3-(IF((Character!$B$9+W420)&gt;($D$3+Y420),(Character!$B$9+W420)-($D$3+Y420),0)),Calcs!$A$110:$B$122,2,TRUE))))=Calcs!$B$120,IF(ISBLANK(AC420)," ",CONCATENATE(AC420+7," Years")),IF(AA420=" "," ",IF(NOT(ISBLANK(X420)),VLOOKUP($D$3+X420,Calcs!$A$110:$B$122,2,TRUE),IF(AA420="Failed",VLOOKUP($D$3,Calcs!$A$110:$B$122,2,TRUE),VLOOKUP($D$3-(IF((Character!$B$9+W420)&gt;($D$3+Y420),(Character!$B$9+W420)-($D$3+Y420),0)),Calcs!$A$110:$B$122,2,TRUE)))))</f>
        <v xml:space="preserve"> </v>
      </c>
      <c r="AE420" s="490"/>
      <c r="AF420" s="879"/>
      <c r="AG420" s="491"/>
    </row>
    <row r="421" spans="1:33" x14ac:dyDescent="0.2">
      <c r="A421" s="415">
        <f t="shared" si="12"/>
        <v>1315</v>
      </c>
      <c r="B421" s="419" t="str">
        <f t="shared" si="13"/>
        <v>Spring</v>
      </c>
      <c r="C421" s="455"/>
      <c r="D421" s="504"/>
      <c r="E421" s="455"/>
      <c r="F421" s="504"/>
      <c r="G421" s="455"/>
      <c r="H421" s="504"/>
      <c r="I421" s="455"/>
      <c r="J421" s="504"/>
      <c r="L421" s="472"/>
      <c r="M421" s="468"/>
      <c r="N421" s="468"/>
      <c r="O421" s="468"/>
      <c r="P421" s="468"/>
      <c r="Q421" s="473"/>
      <c r="R421" s="477" t="str">
        <f>IF(AND(COUNTIF('Start Character'!$I$63:$M$77,"Twilight Prone")=1,NOT(ISERROR(FIND("Magical Botch",M421)))),"Yes",IF(P421&gt;1,"Yes","No"))</f>
        <v>No</v>
      </c>
      <c r="S421" s="501"/>
      <c r="T421" s="478"/>
      <c r="U421" s="501"/>
      <c r="V421" s="479" t="str">
        <f>IF(R421="No","No Twilight",IF(T421="Yes","Uncomprehended Twilight",IF((Character!$B$14+IF(Character!$B$53="Yes",0,Character!$B$53)+IF(Magic!$C$5="Yes",2,0)+ROUNDUP((Magic!$B$30+IF(Magic!$C$30="Yes",3,0))/5,0)+S421)&gt;=($D$3+P421+SUMIF(Character!$I$62:$I$66,"Enigmatic Wisdom",Character!$J$62:$J$66)+Q421+U421),"No Twilight","Twilight")))</f>
        <v>No Twilight</v>
      </c>
      <c r="W421" s="483"/>
      <c r="X421" s="478"/>
      <c r="Y421" s="484"/>
      <c r="Z421" s="478"/>
      <c r="AA421" s="485" t="str">
        <f>IF(V421="Uncomprehended Twilight","Failed",IF(OR(ISBLANK(W421),ISBLANK(Y421))," ",IF(NOT(ISBLANK(X421)),"Failed",IF((W421+Character!$B$9+SUMIF(Character!$I$62:$I$66,"Enigmatic Wisdom",Character!$J$62:$J$66))&gt;=IF(Z421="Yes",0,(Y421+D416)),"Succeeded","Failed"))))</f>
        <v xml:space="preserve"> </v>
      </c>
      <c r="AB421" s="477" t="str">
        <f>IF(AA421=" "," ",IF(NOT(ISBLANK(X421)),VLOOKUP($D$3+X421,Calcs!$A$110:$C$122,3,TRUE),IF(AA421="Failed",VLOOKUP($D$3,Calcs!$A$110:$C$122,3,TRUE),VLOOKUP($D$3-(IF((Character!$B$9+W421)&gt;($D$3+Y421),(Character!$B$9+W421)-($D$3+Y421),0)),Calcs!$A$110:$C$122,3,TRUE))))</f>
        <v xml:space="preserve"> </v>
      </c>
      <c r="AC421" s="489"/>
      <c r="AD421" s="489" t="str">
        <f>IF(IF(AA421=" "," ",IF(NOT(ISBLANK(X421)),VLOOKUP($D$3+X421,Calcs!$A$110:$B$122,2,TRUE),IF(AA421="Failed",VLOOKUP($D$3,Calcs!$A$110:$B$122,2,TRUE),VLOOKUP($D$3-(IF((Character!$B$9+W421)&gt;($D$3+Y421),(Character!$B$9+W421)-($D$3+Y421),0)),Calcs!$A$110:$B$122,2,TRUE))))=Calcs!$B$120,IF(ISBLANK(AC421)," ",CONCATENATE(AC421+7," Years")),IF(AA421=" "," ",IF(NOT(ISBLANK(X421)),VLOOKUP($D$3+X421,Calcs!$A$110:$B$122,2,TRUE),IF(AA421="Failed",VLOOKUP($D$3,Calcs!$A$110:$B$122,2,TRUE),VLOOKUP($D$3-(IF((Character!$B$9+W421)&gt;($D$3+Y421),(Character!$B$9+W421)-($D$3+Y421),0)),Calcs!$A$110:$B$122,2,TRUE)))))</f>
        <v xml:space="preserve"> </v>
      </c>
      <c r="AE421" s="490"/>
      <c r="AF421" s="879"/>
      <c r="AG421" s="491"/>
    </row>
    <row r="422" spans="1:33" x14ac:dyDescent="0.2">
      <c r="A422" s="415">
        <f t="shared" si="12"/>
        <v>1315</v>
      </c>
      <c r="B422" s="419" t="str">
        <f t="shared" si="13"/>
        <v>Summer</v>
      </c>
      <c r="C422" s="455"/>
      <c r="D422" s="504"/>
      <c r="E422" s="455"/>
      <c r="F422" s="504"/>
      <c r="G422" s="455"/>
      <c r="H422" s="504"/>
      <c r="I422" s="455"/>
      <c r="J422" s="504"/>
      <c r="L422" s="472"/>
      <c r="M422" s="468"/>
      <c r="N422" s="468"/>
      <c r="O422" s="468"/>
      <c r="P422" s="468"/>
      <c r="Q422" s="473"/>
      <c r="R422" s="477" t="str">
        <f>IF(AND(COUNTIF('Start Character'!$I$63:$M$77,"Twilight Prone")=1,NOT(ISERROR(FIND("Magical Botch",M422)))),"Yes",IF(P422&gt;1,"Yes","No"))</f>
        <v>No</v>
      </c>
      <c r="S422" s="501"/>
      <c r="T422" s="478"/>
      <c r="U422" s="501"/>
      <c r="V422" s="479" t="str">
        <f>IF(R422="No","No Twilight",IF(T422="Yes","Uncomprehended Twilight",IF((Character!$B$14+IF(Character!$B$53="Yes",0,Character!$B$53)+IF(Magic!$C$5="Yes",2,0)+ROUNDUP((Magic!$B$30+IF(Magic!$C$30="Yes",3,0))/5,0)+S422)&gt;=($D$3+P422+SUMIF(Character!$I$62:$I$66,"Enigmatic Wisdom",Character!$J$62:$J$66)+Q422+U422),"No Twilight","Twilight")))</f>
        <v>No Twilight</v>
      </c>
      <c r="W422" s="483"/>
      <c r="X422" s="478"/>
      <c r="Y422" s="484"/>
      <c r="Z422" s="478"/>
      <c r="AA422" s="485" t="str">
        <f>IF(V422="Uncomprehended Twilight","Failed",IF(OR(ISBLANK(W422),ISBLANK(Y422))," ",IF(NOT(ISBLANK(X422)),"Failed",IF((W422+Character!$B$9+SUMIF(Character!$I$62:$I$66,"Enigmatic Wisdom",Character!$J$62:$J$66))&gt;=IF(Z422="Yes",0,(Y422+D417)),"Succeeded","Failed"))))</f>
        <v xml:space="preserve"> </v>
      </c>
      <c r="AB422" s="477" t="str">
        <f>IF(AA422=" "," ",IF(NOT(ISBLANK(X422)),VLOOKUP($D$3+X422,Calcs!$A$110:$C$122,3,TRUE),IF(AA422="Failed",VLOOKUP($D$3,Calcs!$A$110:$C$122,3,TRUE),VLOOKUP($D$3-(IF((Character!$B$9+W422)&gt;($D$3+Y422),(Character!$B$9+W422)-($D$3+Y422),0)),Calcs!$A$110:$C$122,3,TRUE))))</f>
        <v xml:space="preserve"> </v>
      </c>
      <c r="AC422" s="489"/>
      <c r="AD422" s="489" t="str">
        <f>IF(IF(AA422=" "," ",IF(NOT(ISBLANK(X422)),VLOOKUP($D$3+X422,Calcs!$A$110:$B$122,2,TRUE),IF(AA422="Failed",VLOOKUP($D$3,Calcs!$A$110:$B$122,2,TRUE),VLOOKUP($D$3-(IF((Character!$B$9+W422)&gt;($D$3+Y422),(Character!$B$9+W422)-($D$3+Y422),0)),Calcs!$A$110:$B$122,2,TRUE))))=Calcs!$B$120,IF(ISBLANK(AC422)," ",CONCATENATE(AC422+7," Years")),IF(AA422=" "," ",IF(NOT(ISBLANK(X422)),VLOOKUP($D$3+X422,Calcs!$A$110:$B$122,2,TRUE),IF(AA422="Failed",VLOOKUP($D$3,Calcs!$A$110:$B$122,2,TRUE),VLOOKUP($D$3-(IF((Character!$B$9+W422)&gt;($D$3+Y422),(Character!$B$9+W422)-($D$3+Y422),0)),Calcs!$A$110:$B$122,2,TRUE)))))</f>
        <v xml:space="preserve"> </v>
      </c>
      <c r="AE422" s="490"/>
      <c r="AF422" s="879"/>
      <c r="AG422" s="491"/>
    </row>
    <row r="423" spans="1:33" x14ac:dyDescent="0.2">
      <c r="A423" s="415">
        <f t="shared" si="12"/>
        <v>1315</v>
      </c>
      <c r="B423" s="419" t="str">
        <f t="shared" si="13"/>
        <v>Autumn</v>
      </c>
      <c r="C423" s="455"/>
      <c r="D423" s="504"/>
      <c r="E423" s="455"/>
      <c r="F423" s="504"/>
      <c r="G423" s="455"/>
      <c r="H423" s="504"/>
      <c r="I423" s="455"/>
      <c r="J423" s="504"/>
      <c r="L423" s="472"/>
      <c r="M423" s="468"/>
      <c r="N423" s="468"/>
      <c r="O423" s="468"/>
      <c r="P423" s="468"/>
      <c r="Q423" s="473"/>
      <c r="R423" s="477" t="str">
        <f>IF(AND(COUNTIF('Start Character'!$I$63:$M$77,"Twilight Prone")=1,NOT(ISERROR(FIND("Magical Botch",M423)))),"Yes",IF(P423&gt;1,"Yes","No"))</f>
        <v>No</v>
      </c>
      <c r="S423" s="501"/>
      <c r="T423" s="478"/>
      <c r="U423" s="501"/>
      <c r="V423" s="479" t="str">
        <f>IF(R423="No","No Twilight",IF(T423="Yes","Uncomprehended Twilight",IF((Character!$B$14+IF(Character!$B$53="Yes",0,Character!$B$53)+IF(Magic!$C$5="Yes",2,0)+ROUNDUP((Magic!$B$30+IF(Magic!$C$30="Yes",3,0))/5,0)+S423)&gt;=($D$3+P423+SUMIF(Character!$I$62:$I$66,"Enigmatic Wisdom",Character!$J$62:$J$66)+Q423+U423),"No Twilight","Twilight")))</f>
        <v>No Twilight</v>
      </c>
      <c r="W423" s="483"/>
      <c r="X423" s="478"/>
      <c r="Y423" s="484"/>
      <c r="Z423" s="478"/>
      <c r="AA423" s="485" t="str">
        <f>IF(V423="Uncomprehended Twilight","Failed",IF(OR(ISBLANK(W423),ISBLANK(Y423))," ",IF(NOT(ISBLANK(X423)),"Failed",IF((W423+Character!$B$9+SUMIF(Character!$I$62:$I$66,"Enigmatic Wisdom",Character!$J$62:$J$66))&gt;=IF(Z423="Yes",0,(Y423+D418)),"Succeeded","Failed"))))</f>
        <v xml:space="preserve"> </v>
      </c>
      <c r="AB423" s="477" t="str">
        <f>IF(AA423=" "," ",IF(NOT(ISBLANK(X423)),VLOOKUP($D$3+X423,Calcs!$A$110:$C$122,3,TRUE),IF(AA423="Failed",VLOOKUP($D$3,Calcs!$A$110:$C$122,3,TRUE),VLOOKUP($D$3-(IF((Character!$B$9+W423)&gt;($D$3+Y423),(Character!$B$9+W423)-($D$3+Y423),0)),Calcs!$A$110:$C$122,3,TRUE))))</f>
        <v xml:space="preserve"> </v>
      </c>
      <c r="AC423" s="489"/>
      <c r="AD423" s="489" t="str">
        <f>IF(IF(AA423=" "," ",IF(NOT(ISBLANK(X423)),VLOOKUP($D$3+X423,Calcs!$A$110:$B$122,2,TRUE),IF(AA423="Failed",VLOOKUP($D$3,Calcs!$A$110:$B$122,2,TRUE),VLOOKUP($D$3-(IF((Character!$B$9+W423)&gt;($D$3+Y423),(Character!$B$9+W423)-($D$3+Y423),0)),Calcs!$A$110:$B$122,2,TRUE))))=Calcs!$B$120,IF(ISBLANK(AC423)," ",CONCATENATE(AC423+7," Years")),IF(AA423=" "," ",IF(NOT(ISBLANK(X423)),VLOOKUP($D$3+X423,Calcs!$A$110:$B$122,2,TRUE),IF(AA423="Failed",VLOOKUP($D$3,Calcs!$A$110:$B$122,2,TRUE),VLOOKUP($D$3-(IF((Character!$B$9+W423)&gt;($D$3+Y423),(Character!$B$9+W423)-($D$3+Y423),0)),Calcs!$A$110:$B$122,2,TRUE)))))</f>
        <v xml:space="preserve"> </v>
      </c>
      <c r="AE423" s="490"/>
      <c r="AF423" s="879"/>
      <c r="AG423" s="491"/>
    </row>
    <row r="424" spans="1:33" x14ac:dyDescent="0.2">
      <c r="A424" s="415">
        <f t="shared" si="12"/>
        <v>1316</v>
      </c>
      <c r="B424" s="419" t="str">
        <f t="shared" si="13"/>
        <v>Winter</v>
      </c>
      <c r="C424" s="455"/>
      <c r="D424" s="504"/>
      <c r="E424" s="455"/>
      <c r="F424" s="504"/>
      <c r="G424" s="455"/>
      <c r="H424" s="504"/>
      <c r="I424" s="455"/>
      <c r="J424" s="504"/>
      <c r="L424" s="472"/>
      <c r="M424" s="468"/>
      <c r="N424" s="468"/>
      <c r="O424" s="468"/>
      <c r="P424" s="468"/>
      <c r="Q424" s="473"/>
      <c r="R424" s="477" t="str">
        <f>IF(AND(COUNTIF('Start Character'!$I$63:$M$77,"Twilight Prone")=1,NOT(ISERROR(FIND("Magical Botch",M424)))),"Yes",IF(P424&gt;1,"Yes","No"))</f>
        <v>No</v>
      </c>
      <c r="S424" s="501"/>
      <c r="T424" s="478"/>
      <c r="U424" s="501"/>
      <c r="V424" s="479" t="str">
        <f>IF(R424="No","No Twilight",IF(T424="Yes","Uncomprehended Twilight",IF((Character!$B$14+IF(Character!$B$53="Yes",0,Character!$B$53)+IF(Magic!$C$5="Yes",2,0)+ROUNDUP((Magic!$B$30+IF(Magic!$C$30="Yes",3,0))/5,0)+S424)&gt;=($D$3+P424+SUMIF(Character!$I$62:$I$66,"Enigmatic Wisdom",Character!$J$62:$J$66)+Q424+U424),"No Twilight","Twilight")))</f>
        <v>No Twilight</v>
      </c>
      <c r="W424" s="483"/>
      <c r="X424" s="478"/>
      <c r="Y424" s="484"/>
      <c r="Z424" s="478"/>
      <c r="AA424" s="485" t="str">
        <f>IF(V424="Uncomprehended Twilight","Failed",IF(OR(ISBLANK(W424),ISBLANK(Y424))," ",IF(NOT(ISBLANK(X424)),"Failed",IF((W424+Character!$B$9+SUMIF(Character!$I$62:$I$66,"Enigmatic Wisdom",Character!$J$62:$J$66))&gt;=IF(Z424="Yes",0,(Y424+D419)),"Succeeded","Failed"))))</f>
        <v xml:space="preserve"> </v>
      </c>
      <c r="AB424" s="477" t="str">
        <f>IF(AA424=" "," ",IF(NOT(ISBLANK(X424)),VLOOKUP($D$3+X424,Calcs!$A$110:$C$122,3,TRUE),IF(AA424="Failed",VLOOKUP($D$3,Calcs!$A$110:$C$122,3,TRUE),VLOOKUP($D$3-(IF((Character!$B$9+W424)&gt;($D$3+Y424),(Character!$B$9+W424)-($D$3+Y424),0)),Calcs!$A$110:$C$122,3,TRUE))))</f>
        <v xml:space="preserve"> </v>
      </c>
      <c r="AC424" s="489"/>
      <c r="AD424" s="489" t="str">
        <f>IF(IF(AA424=" "," ",IF(NOT(ISBLANK(X424)),VLOOKUP($D$3+X424,Calcs!$A$110:$B$122,2,TRUE),IF(AA424="Failed",VLOOKUP($D$3,Calcs!$A$110:$B$122,2,TRUE),VLOOKUP($D$3-(IF((Character!$B$9+W424)&gt;($D$3+Y424),(Character!$B$9+W424)-($D$3+Y424),0)),Calcs!$A$110:$B$122,2,TRUE))))=Calcs!$B$120,IF(ISBLANK(AC424)," ",CONCATENATE(AC424+7," Years")),IF(AA424=" "," ",IF(NOT(ISBLANK(X424)),VLOOKUP($D$3+X424,Calcs!$A$110:$B$122,2,TRUE),IF(AA424="Failed",VLOOKUP($D$3,Calcs!$A$110:$B$122,2,TRUE),VLOOKUP($D$3-(IF((Character!$B$9+W424)&gt;($D$3+Y424),(Character!$B$9+W424)-($D$3+Y424),0)),Calcs!$A$110:$B$122,2,TRUE)))))</f>
        <v xml:space="preserve"> </v>
      </c>
      <c r="AE424" s="490"/>
      <c r="AF424" s="879"/>
      <c r="AG424" s="491"/>
    </row>
    <row r="425" spans="1:33" x14ac:dyDescent="0.2">
      <c r="A425" s="415">
        <f t="shared" si="12"/>
        <v>1316</v>
      </c>
      <c r="B425" s="419" t="str">
        <f t="shared" si="13"/>
        <v>Spring</v>
      </c>
      <c r="C425" s="455"/>
      <c r="D425" s="504"/>
      <c r="E425" s="455"/>
      <c r="F425" s="504"/>
      <c r="G425" s="455"/>
      <c r="H425" s="504"/>
      <c r="I425" s="455"/>
      <c r="J425" s="504"/>
      <c r="L425" s="472"/>
      <c r="M425" s="468"/>
      <c r="N425" s="468"/>
      <c r="O425" s="468"/>
      <c r="P425" s="468"/>
      <c r="Q425" s="473"/>
      <c r="R425" s="477" t="str">
        <f>IF(AND(COUNTIF('Start Character'!$I$63:$M$77,"Twilight Prone")=1,NOT(ISERROR(FIND("Magical Botch",M425)))),"Yes",IF(P425&gt;1,"Yes","No"))</f>
        <v>No</v>
      </c>
      <c r="S425" s="501"/>
      <c r="T425" s="478"/>
      <c r="U425" s="501"/>
      <c r="V425" s="479" t="str">
        <f>IF(R425="No","No Twilight",IF(T425="Yes","Uncomprehended Twilight",IF((Character!$B$14+IF(Character!$B$53="Yes",0,Character!$B$53)+IF(Magic!$C$5="Yes",2,0)+ROUNDUP((Magic!$B$30+IF(Magic!$C$30="Yes",3,0))/5,0)+S425)&gt;=($D$3+P425+SUMIF(Character!$I$62:$I$66,"Enigmatic Wisdom",Character!$J$62:$J$66)+Q425+U425),"No Twilight","Twilight")))</f>
        <v>No Twilight</v>
      </c>
      <c r="W425" s="483"/>
      <c r="X425" s="478"/>
      <c r="Y425" s="484"/>
      <c r="Z425" s="478"/>
      <c r="AA425" s="485" t="str">
        <f>IF(V425="Uncomprehended Twilight","Failed",IF(OR(ISBLANK(W425),ISBLANK(Y425))," ",IF(NOT(ISBLANK(X425)),"Failed",IF((W425+Character!$B$9+SUMIF(Character!$I$62:$I$66,"Enigmatic Wisdom",Character!$J$62:$J$66))&gt;=IF(Z425="Yes",0,(Y425+D420)),"Succeeded","Failed"))))</f>
        <v xml:space="preserve"> </v>
      </c>
      <c r="AB425" s="477" t="str">
        <f>IF(AA425=" "," ",IF(NOT(ISBLANK(X425)),VLOOKUP($D$3+X425,Calcs!$A$110:$C$122,3,TRUE),IF(AA425="Failed",VLOOKUP($D$3,Calcs!$A$110:$C$122,3,TRUE),VLOOKUP($D$3-(IF((Character!$B$9+W425)&gt;($D$3+Y425),(Character!$B$9+W425)-($D$3+Y425),0)),Calcs!$A$110:$C$122,3,TRUE))))</f>
        <v xml:space="preserve"> </v>
      </c>
      <c r="AC425" s="489"/>
      <c r="AD425" s="489" t="str">
        <f>IF(IF(AA425=" "," ",IF(NOT(ISBLANK(X425)),VLOOKUP($D$3+X425,Calcs!$A$110:$B$122,2,TRUE),IF(AA425="Failed",VLOOKUP($D$3,Calcs!$A$110:$B$122,2,TRUE),VLOOKUP($D$3-(IF((Character!$B$9+W425)&gt;($D$3+Y425),(Character!$B$9+W425)-($D$3+Y425),0)),Calcs!$A$110:$B$122,2,TRUE))))=Calcs!$B$120,IF(ISBLANK(AC425)," ",CONCATENATE(AC425+7," Years")),IF(AA425=" "," ",IF(NOT(ISBLANK(X425)),VLOOKUP($D$3+X425,Calcs!$A$110:$B$122,2,TRUE),IF(AA425="Failed",VLOOKUP($D$3,Calcs!$A$110:$B$122,2,TRUE),VLOOKUP($D$3-(IF((Character!$B$9+W425)&gt;($D$3+Y425),(Character!$B$9+W425)-($D$3+Y425),0)),Calcs!$A$110:$B$122,2,TRUE)))))</f>
        <v xml:space="preserve"> </v>
      </c>
      <c r="AE425" s="490"/>
      <c r="AF425" s="879"/>
      <c r="AG425" s="491"/>
    </row>
    <row r="426" spans="1:33" x14ac:dyDescent="0.2">
      <c r="A426" s="415">
        <f t="shared" si="12"/>
        <v>1316</v>
      </c>
      <c r="B426" s="419" t="str">
        <f t="shared" si="13"/>
        <v>Summer</v>
      </c>
      <c r="C426" s="455"/>
      <c r="D426" s="504"/>
      <c r="E426" s="455"/>
      <c r="F426" s="504"/>
      <c r="G426" s="455"/>
      <c r="H426" s="504"/>
      <c r="I426" s="455"/>
      <c r="J426" s="504"/>
      <c r="L426" s="472"/>
      <c r="M426" s="468"/>
      <c r="N426" s="468"/>
      <c r="O426" s="468"/>
      <c r="P426" s="468"/>
      <c r="Q426" s="473"/>
      <c r="R426" s="477" t="str">
        <f>IF(AND(COUNTIF('Start Character'!$I$63:$M$77,"Twilight Prone")=1,NOT(ISERROR(FIND("Magical Botch",M426)))),"Yes",IF(P426&gt;1,"Yes","No"))</f>
        <v>No</v>
      </c>
      <c r="S426" s="501"/>
      <c r="T426" s="478"/>
      <c r="U426" s="501"/>
      <c r="V426" s="479" t="str">
        <f>IF(R426="No","No Twilight",IF(T426="Yes","Uncomprehended Twilight",IF((Character!$B$14+IF(Character!$B$53="Yes",0,Character!$B$53)+IF(Magic!$C$5="Yes",2,0)+ROUNDUP((Magic!$B$30+IF(Magic!$C$30="Yes",3,0))/5,0)+S426)&gt;=($D$3+P426+SUMIF(Character!$I$62:$I$66,"Enigmatic Wisdom",Character!$J$62:$J$66)+Q426+U426),"No Twilight","Twilight")))</f>
        <v>No Twilight</v>
      </c>
      <c r="W426" s="483"/>
      <c r="X426" s="478"/>
      <c r="Y426" s="484"/>
      <c r="Z426" s="478"/>
      <c r="AA426" s="485" t="str">
        <f>IF(V426="Uncomprehended Twilight","Failed",IF(OR(ISBLANK(W426),ISBLANK(Y426))," ",IF(NOT(ISBLANK(X426)),"Failed",IF((W426+Character!$B$9+SUMIF(Character!$I$62:$I$66,"Enigmatic Wisdom",Character!$J$62:$J$66))&gt;=IF(Z426="Yes",0,(Y426+D421)),"Succeeded","Failed"))))</f>
        <v xml:space="preserve"> </v>
      </c>
      <c r="AB426" s="477" t="str">
        <f>IF(AA426=" "," ",IF(NOT(ISBLANK(X426)),VLOOKUP($D$3+X426,Calcs!$A$110:$C$122,3,TRUE),IF(AA426="Failed",VLOOKUP($D$3,Calcs!$A$110:$C$122,3,TRUE),VLOOKUP($D$3-(IF((Character!$B$9+W426)&gt;($D$3+Y426),(Character!$B$9+W426)-($D$3+Y426),0)),Calcs!$A$110:$C$122,3,TRUE))))</f>
        <v xml:space="preserve"> </v>
      </c>
      <c r="AC426" s="489"/>
      <c r="AD426" s="489" t="str">
        <f>IF(IF(AA426=" "," ",IF(NOT(ISBLANK(X426)),VLOOKUP($D$3+X426,Calcs!$A$110:$B$122,2,TRUE),IF(AA426="Failed",VLOOKUP($D$3,Calcs!$A$110:$B$122,2,TRUE),VLOOKUP($D$3-(IF((Character!$B$9+W426)&gt;($D$3+Y426),(Character!$B$9+W426)-($D$3+Y426),0)),Calcs!$A$110:$B$122,2,TRUE))))=Calcs!$B$120,IF(ISBLANK(AC426)," ",CONCATENATE(AC426+7," Years")),IF(AA426=" "," ",IF(NOT(ISBLANK(X426)),VLOOKUP($D$3+X426,Calcs!$A$110:$B$122,2,TRUE),IF(AA426="Failed",VLOOKUP($D$3,Calcs!$A$110:$B$122,2,TRUE),VLOOKUP($D$3-(IF((Character!$B$9+W426)&gt;($D$3+Y426),(Character!$B$9+W426)-($D$3+Y426),0)),Calcs!$A$110:$B$122,2,TRUE)))))</f>
        <v xml:space="preserve"> </v>
      </c>
      <c r="AE426" s="490"/>
      <c r="AF426" s="879"/>
      <c r="AG426" s="491"/>
    </row>
    <row r="427" spans="1:33" x14ac:dyDescent="0.2">
      <c r="A427" s="415">
        <f t="shared" si="12"/>
        <v>1316</v>
      </c>
      <c r="B427" s="419" t="str">
        <f t="shared" si="13"/>
        <v>Autumn</v>
      </c>
      <c r="C427" s="455"/>
      <c r="D427" s="504"/>
      <c r="E427" s="455"/>
      <c r="F427" s="504"/>
      <c r="G427" s="455"/>
      <c r="H427" s="504"/>
      <c r="I427" s="455"/>
      <c r="J427" s="504"/>
      <c r="L427" s="472"/>
      <c r="M427" s="468"/>
      <c r="N427" s="468"/>
      <c r="O427" s="468"/>
      <c r="P427" s="468"/>
      <c r="Q427" s="473"/>
      <c r="R427" s="477" t="str">
        <f>IF(AND(COUNTIF('Start Character'!$I$63:$M$77,"Twilight Prone")=1,NOT(ISERROR(FIND("Magical Botch",M427)))),"Yes",IF(P427&gt;1,"Yes","No"))</f>
        <v>No</v>
      </c>
      <c r="S427" s="501"/>
      <c r="T427" s="478"/>
      <c r="U427" s="501"/>
      <c r="V427" s="479" t="str">
        <f>IF(R427="No","No Twilight",IF(T427="Yes","Uncomprehended Twilight",IF((Character!$B$14+IF(Character!$B$53="Yes",0,Character!$B$53)+IF(Magic!$C$5="Yes",2,0)+ROUNDUP((Magic!$B$30+IF(Magic!$C$30="Yes",3,0))/5,0)+S427)&gt;=($D$3+P427+SUMIF(Character!$I$62:$I$66,"Enigmatic Wisdom",Character!$J$62:$J$66)+Q427+U427),"No Twilight","Twilight")))</f>
        <v>No Twilight</v>
      </c>
      <c r="W427" s="483"/>
      <c r="X427" s="478"/>
      <c r="Y427" s="484"/>
      <c r="Z427" s="478"/>
      <c r="AA427" s="485" t="str">
        <f>IF(V427="Uncomprehended Twilight","Failed",IF(OR(ISBLANK(W427),ISBLANK(Y427))," ",IF(NOT(ISBLANK(X427)),"Failed",IF((W427+Character!$B$9+SUMIF(Character!$I$62:$I$66,"Enigmatic Wisdom",Character!$J$62:$J$66))&gt;=IF(Z427="Yes",0,(Y427+D422)),"Succeeded","Failed"))))</f>
        <v xml:space="preserve"> </v>
      </c>
      <c r="AB427" s="477" t="str">
        <f>IF(AA427=" "," ",IF(NOT(ISBLANK(X427)),VLOOKUP($D$3+X427,Calcs!$A$110:$C$122,3,TRUE),IF(AA427="Failed",VLOOKUP($D$3,Calcs!$A$110:$C$122,3,TRUE),VLOOKUP($D$3-(IF((Character!$B$9+W427)&gt;($D$3+Y427),(Character!$B$9+W427)-($D$3+Y427),0)),Calcs!$A$110:$C$122,3,TRUE))))</f>
        <v xml:space="preserve"> </v>
      </c>
      <c r="AC427" s="489"/>
      <c r="AD427" s="489" t="str">
        <f>IF(IF(AA427=" "," ",IF(NOT(ISBLANK(X427)),VLOOKUP($D$3+X427,Calcs!$A$110:$B$122,2,TRUE),IF(AA427="Failed",VLOOKUP($D$3,Calcs!$A$110:$B$122,2,TRUE),VLOOKUP($D$3-(IF((Character!$B$9+W427)&gt;($D$3+Y427),(Character!$B$9+W427)-($D$3+Y427),0)),Calcs!$A$110:$B$122,2,TRUE))))=Calcs!$B$120,IF(ISBLANK(AC427)," ",CONCATENATE(AC427+7," Years")),IF(AA427=" "," ",IF(NOT(ISBLANK(X427)),VLOOKUP($D$3+X427,Calcs!$A$110:$B$122,2,TRUE),IF(AA427="Failed",VLOOKUP($D$3,Calcs!$A$110:$B$122,2,TRUE),VLOOKUP($D$3-(IF((Character!$B$9+W427)&gt;($D$3+Y427),(Character!$B$9+W427)-($D$3+Y427),0)),Calcs!$A$110:$B$122,2,TRUE)))))</f>
        <v xml:space="preserve"> </v>
      </c>
      <c r="AE427" s="490"/>
      <c r="AF427" s="879"/>
      <c r="AG427" s="491"/>
    </row>
    <row r="428" spans="1:33" x14ac:dyDescent="0.2">
      <c r="A428" s="415">
        <f t="shared" si="12"/>
        <v>1317</v>
      </c>
      <c r="B428" s="419" t="str">
        <f t="shared" si="13"/>
        <v>Winter</v>
      </c>
      <c r="C428" s="455"/>
      <c r="D428" s="504"/>
      <c r="E428" s="455"/>
      <c r="F428" s="504"/>
      <c r="G428" s="455"/>
      <c r="H428" s="504"/>
      <c r="I428" s="455"/>
      <c r="J428" s="504"/>
      <c r="L428" s="472"/>
      <c r="M428" s="468"/>
      <c r="N428" s="468"/>
      <c r="O428" s="468"/>
      <c r="P428" s="468"/>
      <c r="Q428" s="473"/>
      <c r="R428" s="477" t="str">
        <f>IF(AND(COUNTIF('Start Character'!$I$63:$M$77,"Twilight Prone")=1,NOT(ISERROR(FIND("Magical Botch",M428)))),"Yes",IF(P428&gt;1,"Yes","No"))</f>
        <v>No</v>
      </c>
      <c r="S428" s="501"/>
      <c r="T428" s="478"/>
      <c r="U428" s="501"/>
      <c r="V428" s="479" t="str">
        <f>IF(R428="No","No Twilight",IF(T428="Yes","Uncomprehended Twilight",IF((Character!$B$14+IF(Character!$B$53="Yes",0,Character!$B$53)+IF(Magic!$C$5="Yes",2,0)+ROUNDUP((Magic!$B$30+IF(Magic!$C$30="Yes",3,0))/5,0)+S428)&gt;=($D$3+P428+SUMIF(Character!$I$62:$I$66,"Enigmatic Wisdom",Character!$J$62:$J$66)+Q428+U428),"No Twilight","Twilight")))</f>
        <v>No Twilight</v>
      </c>
      <c r="W428" s="483"/>
      <c r="X428" s="478"/>
      <c r="Y428" s="484"/>
      <c r="Z428" s="478"/>
      <c r="AA428" s="485" t="str">
        <f>IF(V428="Uncomprehended Twilight","Failed",IF(OR(ISBLANK(W428),ISBLANK(Y428))," ",IF(NOT(ISBLANK(X428)),"Failed",IF((W428+Character!$B$9+SUMIF(Character!$I$62:$I$66,"Enigmatic Wisdom",Character!$J$62:$J$66))&gt;=IF(Z428="Yes",0,(Y428+D423)),"Succeeded","Failed"))))</f>
        <v xml:space="preserve"> </v>
      </c>
      <c r="AB428" s="477" t="str">
        <f>IF(AA428=" "," ",IF(NOT(ISBLANK(X428)),VLOOKUP($D$3+X428,Calcs!$A$110:$C$122,3,TRUE),IF(AA428="Failed",VLOOKUP($D$3,Calcs!$A$110:$C$122,3,TRUE),VLOOKUP($D$3-(IF((Character!$B$9+W428)&gt;($D$3+Y428),(Character!$B$9+W428)-($D$3+Y428),0)),Calcs!$A$110:$C$122,3,TRUE))))</f>
        <v xml:space="preserve"> </v>
      </c>
      <c r="AC428" s="489"/>
      <c r="AD428" s="489" t="str">
        <f>IF(IF(AA428=" "," ",IF(NOT(ISBLANK(X428)),VLOOKUP($D$3+X428,Calcs!$A$110:$B$122,2,TRUE),IF(AA428="Failed",VLOOKUP($D$3,Calcs!$A$110:$B$122,2,TRUE),VLOOKUP($D$3-(IF((Character!$B$9+W428)&gt;($D$3+Y428),(Character!$B$9+W428)-($D$3+Y428),0)),Calcs!$A$110:$B$122,2,TRUE))))=Calcs!$B$120,IF(ISBLANK(AC428)," ",CONCATENATE(AC428+7," Years")),IF(AA428=" "," ",IF(NOT(ISBLANK(X428)),VLOOKUP($D$3+X428,Calcs!$A$110:$B$122,2,TRUE),IF(AA428="Failed",VLOOKUP($D$3,Calcs!$A$110:$B$122,2,TRUE),VLOOKUP($D$3-(IF((Character!$B$9+W428)&gt;($D$3+Y428),(Character!$B$9+W428)-($D$3+Y428),0)),Calcs!$A$110:$B$122,2,TRUE)))))</f>
        <v xml:space="preserve"> </v>
      </c>
      <c r="AE428" s="490"/>
      <c r="AF428" s="879"/>
      <c r="AG428" s="491"/>
    </row>
    <row r="429" spans="1:33" x14ac:dyDescent="0.2">
      <c r="A429" s="415">
        <f t="shared" si="12"/>
        <v>1317</v>
      </c>
      <c r="B429" s="419" t="str">
        <f t="shared" si="13"/>
        <v>Spring</v>
      </c>
      <c r="C429" s="455"/>
      <c r="D429" s="504"/>
      <c r="E429" s="455"/>
      <c r="F429" s="504"/>
      <c r="G429" s="455"/>
      <c r="H429" s="504"/>
      <c r="I429" s="455"/>
      <c r="J429" s="504"/>
      <c r="L429" s="472"/>
      <c r="M429" s="468"/>
      <c r="N429" s="468"/>
      <c r="O429" s="468"/>
      <c r="P429" s="468"/>
      <c r="Q429" s="473"/>
      <c r="R429" s="477" t="str">
        <f>IF(AND(COUNTIF('Start Character'!$I$63:$M$77,"Twilight Prone")=1,NOT(ISERROR(FIND("Magical Botch",M429)))),"Yes",IF(P429&gt;1,"Yes","No"))</f>
        <v>No</v>
      </c>
      <c r="S429" s="501"/>
      <c r="T429" s="478"/>
      <c r="U429" s="501"/>
      <c r="V429" s="479" t="str">
        <f>IF(R429="No","No Twilight",IF(T429="Yes","Uncomprehended Twilight",IF((Character!$B$14+IF(Character!$B$53="Yes",0,Character!$B$53)+IF(Magic!$C$5="Yes",2,0)+ROUNDUP((Magic!$B$30+IF(Magic!$C$30="Yes",3,0))/5,0)+S429)&gt;=($D$3+P429+SUMIF(Character!$I$62:$I$66,"Enigmatic Wisdom",Character!$J$62:$J$66)+Q429+U429),"No Twilight","Twilight")))</f>
        <v>No Twilight</v>
      </c>
      <c r="W429" s="483"/>
      <c r="X429" s="478"/>
      <c r="Y429" s="484"/>
      <c r="Z429" s="478"/>
      <c r="AA429" s="485" t="str">
        <f>IF(V429="Uncomprehended Twilight","Failed",IF(OR(ISBLANK(W429),ISBLANK(Y429))," ",IF(NOT(ISBLANK(X429)),"Failed",IF((W429+Character!$B$9+SUMIF(Character!$I$62:$I$66,"Enigmatic Wisdom",Character!$J$62:$J$66))&gt;=IF(Z429="Yes",0,(Y429+D424)),"Succeeded","Failed"))))</f>
        <v xml:space="preserve"> </v>
      </c>
      <c r="AB429" s="477" t="str">
        <f>IF(AA429=" "," ",IF(NOT(ISBLANK(X429)),VLOOKUP($D$3+X429,Calcs!$A$110:$C$122,3,TRUE),IF(AA429="Failed",VLOOKUP($D$3,Calcs!$A$110:$C$122,3,TRUE),VLOOKUP($D$3-(IF((Character!$B$9+W429)&gt;($D$3+Y429),(Character!$B$9+W429)-($D$3+Y429),0)),Calcs!$A$110:$C$122,3,TRUE))))</f>
        <v xml:space="preserve"> </v>
      </c>
      <c r="AC429" s="489"/>
      <c r="AD429" s="489" t="str">
        <f>IF(IF(AA429=" "," ",IF(NOT(ISBLANK(X429)),VLOOKUP($D$3+X429,Calcs!$A$110:$B$122,2,TRUE),IF(AA429="Failed",VLOOKUP($D$3,Calcs!$A$110:$B$122,2,TRUE),VLOOKUP($D$3-(IF((Character!$B$9+W429)&gt;($D$3+Y429),(Character!$B$9+W429)-($D$3+Y429),0)),Calcs!$A$110:$B$122,2,TRUE))))=Calcs!$B$120,IF(ISBLANK(AC429)," ",CONCATENATE(AC429+7," Years")),IF(AA429=" "," ",IF(NOT(ISBLANK(X429)),VLOOKUP($D$3+X429,Calcs!$A$110:$B$122,2,TRUE),IF(AA429="Failed",VLOOKUP($D$3,Calcs!$A$110:$B$122,2,TRUE),VLOOKUP($D$3-(IF((Character!$B$9+W429)&gt;($D$3+Y429),(Character!$B$9+W429)-($D$3+Y429),0)),Calcs!$A$110:$B$122,2,TRUE)))))</f>
        <v xml:space="preserve"> </v>
      </c>
      <c r="AE429" s="490"/>
      <c r="AF429" s="879"/>
      <c r="AG429" s="491"/>
    </row>
    <row r="430" spans="1:33" x14ac:dyDescent="0.2">
      <c r="A430" s="415">
        <f t="shared" si="12"/>
        <v>1317</v>
      </c>
      <c r="B430" s="419" t="str">
        <f t="shared" si="13"/>
        <v>Summer</v>
      </c>
      <c r="C430" s="455"/>
      <c r="D430" s="504"/>
      <c r="E430" s="455"/>
      <c r="F430" s="504"/>
      <c r="G430" s="455"/>
      <c r="H430" s="504"/>
      <c r="I430" s="455"/>
      <c r="J430" s="504"/>
      <c r="L430" s="472"/>
      <c r="M430" s="468"/>
      <c r="N430" s="468"/>
      <c r="O430" s="468"/>
      <c r="P430" s="468"/>
      <c r="Q430" s="473"/>
      <c r="R430" s="477" t="str">
        <f>IF(AND(COUNTIF('Start Character'!$I$63:$M$77,"Twilight Prone")=1,NOT(ISERROR(FIND("Magical Botch",M430)))),"Yes",IF(P430&gt;1,"Yes","No"))</f>
        <v>No</v>
      </c>
      <c r="S430" s="501"/>
      <c r="T430" s="478"/>
      <c r="U430" s="501"/>
      <c r="V430" s="479" t="str">
        <f>IF(R430="No","No Twilight",IF(T430="Yes","Uncomprehended Twilight",IF((Character!$B$14+IF(Character!$B$53="Yes",0,Character!$B$53)+IF(Magic!$C$5="Yes",2,0)+ROUNDUP((Magic!$B$30+IF(Magic!$C$30="Yes",3,0))/5,0)+S430)&gt;=($D$3+P430+SUMIF(Character!$I$62:$I$66,"Enigmatic Wisdom",Character!$J$62:$J$66)+Q430+U430),"No Twilight","Twilight")))</f>
        <v>No Twilight</v>
      </c>
      <c r="W430" s="483"/>
      <c r="X430" s="478"/>
      <c r="Y430" s="484"/>
      <c r="Z430" s="478"/>
      <c r="AA430" s="485" t="str">
        <f>IF(V430="Uncomprehended Twilight","Failed",IF(OR(ISBLANK(W430),ISBLANK(Y430))," ",IF(NOT(ISBLANK(X430)),"Failed",IF((W430+Character!$B$9+SUMIF(Character!$I$62:$I$66,"Enigmatic Wisdom",Character!$J$62:$J$66))&gt;=IF(Z430="Yes",0,(Y430+D425)),"Succeeded","Failed"))))</f>
        <v xml:space="preserve"> </v>
      </c>
      <c r="AB430" s="477" t="str">
        <f>IF(AA430=" "," ",IF(NOT(ISBLANK(X430)),VLOOKUP($D$3+X430,Calcs!$A$110:$C$122,3,TRUE),IF(AA430="Failed",VLOOKUP($D$3,Calcs!$A$110:$C$122,3,TRUE),VLOOKUP($D$3-(IF((Character!$B$9+W430)&gt;($D$3+Y430),(Character!$B$9+W430)-($D$3+Y430),0)),Calcs!$A$110:$C$122,3,TRUE))))</f>
        <v xml:space="preserve"> </v>
      </c>
      <c r="AC430" s="489"/>
      <c r="AD430" s="489" t="str">
        <f>IF(IF(AA430=" "," ",IF(NOT(ISBLANK(X430)),VLOOKUP($D$3+X430,Calcs!$A$110:$B$122,2,TRUE),IF(AA430="Failed",VLOOKUP($D$3,Calcs!$A$110:$B$122,2,TRUE),VLOOKUP($D$3-(IF((Character!$B$9+W430)&gt;($D$3+Y430),(Character!$B$9+W430)-($D$3+Y430),0)),Calcs!$A$110:$B$122,2,TRUE))))=Calcs!$B$120,IF(ISBLANK(AC430)," ",CONCATENATE(AC430+7," Years")),IF(AA430=" "," ",IF(NOT(ISBLANK(X430)),VLOOKUP($D$3+X430,Calcs!$A$110:$B$122,2,TRUE),IF(AA430="Failed",VLOOKUP($D$3,Calcs!$A$110:$B$122,2,TRUE),VLOOKUP($D$3-(IF((Character!$B$9+W430)&gt;($D$3+Y430),(Character!$B$9+W430)-($D$3+Y430),0)),Calcs!$A$110:$B$122,2,TRUE)))))</f>
        <v xml:space="preserve"> </v>
      </c>
      <c r="AE430" s="490"/>
      <c r="AF430" s="879"/>
      <c r="AG430" s="491"/>
    </row>
    <row r="431" spans="1:33" x14ac:dyDescent="0.2">
      <c r="A431" s="415">
        <f t="shared" si="12"/>
        <v>1317</v>
      </c>
      <c r="B431" s="419" t="str">
        <f t="shared" si="13"/>
        <v>Autumn</v>
      </c>
      <c r="C431" s="455"/>
      <c r="D431" s="504"/>
      <c r="E431" s="455"/>
      <c r="F431" s="504"/>
      <c r="G431" s="455"/>
      <c r="H431" s="504"/>
      <c r="I431" s="455"/>
      <c r="J431" s="504"/>
      <c r="L431" s="472"/>
      <c r="M431" s="468"/>
      <c r="N431" s="468"/>
      <c r="O431" s="468"/>
      <c r="P431" s="468"/>
      <c r="Q431" s="473"/>
      <c r="R431" s="477" t="str">
        <f>IF(AND(COUNTIF('Start Character'!$I$63:$M$77,"Twilight Prone")=1,NOT(ISERROR(FIND("Magical Botch",M431)))),"Yes",IF(P431&gt;1,"Yes","No"))</f>
        <v>No</v>
      </c>
      <c r="S431" s="501"/>
      <c r="T431" s="478"/>
      <c r="U431" s="501"/>
      <c r="V431" s="479" t="str">
        <f>IF(R431="No","No Twilight",IF(T431="Yes","Uncomprehended Twilight",IF((Character!$B$14+IF(Character!$B$53="Yes",0,Character!$B$53)+IF(Magic!$C$5="Yes",2,0)+ROUNDUP((Magic!$B$30+IF(Magic!$C$30="Yes",3,0))/5,0)+S431)&gt;=($D$3+P431+SUMIF(Character!$I$62:$I$66,"Enigmatic Wisdom",Character!$J$62:$J$66)+Q431+U431),"No Twilight","Twilight")))</f>
        <v>No Twilight</v>
      </c>
      <c r="W431" s="483"/>
      <c r="X431" s="478"/>
      <c r="Y431" s="484"/>
      <c r="Z431" s="478"/>
      <c r="AA431" s="485" t="str">
        <f>IF(V431="Uncomprehended Twilight","Failed",IF(OR(ISBLANK(W431),ISBLANK(Y431))," ",IF(NOT(ISBLANK(X431)),"Failed",IF((W431+Character!$B$9+SUMIF(Character!$I$62:$I$66,"Enigmatic Wisdom",Character!$J$62:$J$66))&gt;=IF(Z431="Yes",0,(Y431+D426)),"Succeeded","Failed"))))</f>
        <v xml:space="preserve"> </v>
      </c>
      <c r="AB431" s="477" t="str">
        <f>IF(AA431=" "," ",IF(NOT(ISBLANK(X431)),VLOOKUP($D$3+X431,Calcs!$A$110:$C$122,3,TRUE),IF(AA431="Failed",VLOOKUP($D$3,Calcs!$A$110:$C$122,3,TRUE),VLOOKUP($D$3-(IF((Character!$B$9+W431)&gt;($D$3+Y431),(Character!$B$9+W431)-($D$3+Y431),0)),Calcs!$A$110:$C$122,3,TRUE))))</f>
        <v xml:space="preserve"> </v>
      </c>
      <c r="AC431" s="489"/>
      <c r="AD431" s="489" t="str">
        <f>IF(IF(AA431=" "," ",IF(NOT(ISBLANK(X431)),VLOOKUP($D$3+X431,Calcs!$A$110:$B$122,2,TRUE),IF(AA431="Failed",VLOOKUP($D$3,Calcs!$A$110:$B$122,2,TRUE),VLOOKUP($D$3-(IF((Character!$B$9+W431)&gt;($D$3+Y431),(Character!$B$9+W431)-($D$3+Y431),0)),Calcs!$A$110:$B$122,2,TRUE))))=Calcs!$B$120,IF(ISBLANK(AC431)," ",CONCATENATE(AC431+7," Years")),IF(AA431=" "," ",IF(NOT(ISBLANK(X431)),VLOOKUP($D$3+X431,Calcs!$A$110:$B$122,2,TRUE),IF(AA431="Failed",VLOOKUP($D$3,Calcs!$A$110:$B$122,2,TRUE),VLOOKUP($D$3-(IF((Character!$B$9+W431)&gt;($D$3+Y431),(Character!$B$9+W431)-($D$3+Y431),0)),Calcs!$A$110:$B$122,2,TRUE)))))</f>
        <v xml:space="preserve"> </v>
      </c>
      <c r="AE431" s="490"/>
      <c r="AF431" s="879"/>
      <c r="AG431" s="491"/>
    </row>
    <row r="432" spans="1:33" x14ac:dyDescent="0.2">
      <c r="A432" s="415">
        <f t="shared" si="12"/>
        <v>1318</v>
      </c>
      <c r="B432" s="419" t="str">
        <f t="shared" si="13"/>
        <v>Winter</v>
      </c>
      <c r="C432" s="455"/>
      <c r="D432" s="504"/>
      <c r="E432" s="455"/>
      <c r="F432" s="504"/>
      <c r="G432" s="455"/>
      <c r="H432" s="504"/>
      <c r="I432" s="455"/>
      <c r="J432" s="504"/>
      <c r="L432" s="472"/>
      <c r="M432" s="468"/>
      <c r="N432" s="468"/>
      <c r="O432" s="468"/>
      <c r="P432" s="468"/>
      <c r="Q432" s="473"/>
      <c r="R432" s="477" t="str">
        <f>IF(AND(COUNTIF('Start Character'!$I$63:$M$77,"Twilight Prone")=1,NOT(ISERROR(FIND("Magical Botch",M432)))),"Yes",IF(P432&gt;1,"Yes","No"))</f>
        <v>No</v>
      </c>
      <c r="S432" s="501"/>
      <c r="T432" s="478"/>
      <c r="U432" s="501"/>
      <c r="V432" s="479" t="str">
        <f>IF(R432="No","No Twilight",IF(T432="Yes","Uncomprehended Twilight",IF((Character!$B$14+IF(Character!$B$53="Yes",0,Character!$B$53)+IF(Magic!$C$5="Yes",2,0)+ROUNDUP((Magic!$B$30+IF(Magic!$C$30="Yes",3,0))/5,0)+S432)&gt;=($D$3+P432+SUMIF(Character!$I$62:$I$66,"Enigmatic Wisdom",Character!$J$62:$J$66)+Q432+U432),"No Twilight","Twilight")))</f>
        <v>No Twilight</v>
      </c>
      <c r="W432" s="483"/>
      <c r="X432" s="478"/>
      <c r="Y432" s="484"/>
      <c r="Z432" s="478"/>
      <c r="AA432" s="485" t="str">
        <f>IF(V432="Uncomprehended Twilight","Failed",IF(OR(ISBLANK(W432),ISBLANK(Y432))," ",IF(NOT(ISBLANK(X432)),"Failed",IF((W432+Character!$B$9+SUMIF(Character!$I$62:$I$66,"Enigmatic Wisdom",Character!$J$62:$J$66))&gt;=IF(Z432="Yes",0,(Y432+D427)),"Succeeded","Failed"))))</f>
        <v xml:space="preserve"> </v>
      </c>
      <c r="AB432" s="477" t="str">
        <f>IF(AA432=" "," ",IF(NOT(ISBLANK(X432)),VLOOKUP($D$3+X432,Calcs!$A$110:$C$122,3,TRUE),IF(AA432="Failed",VLOOKUP($D$3,Calcs!$A$110:$C$122,3,TRUE),VLOOKUP($D$3-(IF((Character!$B$9+W432)&gt;($D$3+Y432),(Character!$B$9+W432)-($D$3+Y432),0)),Calcs!$A$110:$C$122,3,TRUE))))</f>
        <v xml:space="preserve"> </v>
      </c>
      <c r="AC432" s="489"/>
      <c r="AD432" s="489" t="str">
        <f>IF(IF(AA432=" "," ",IF(NOT(ISBLANK(X432)),VLOOKUP($D$3+X432,Calcs!$A$110:$B$122,2,TRUE),IF(AA432="Failed",VLOOKUP($D$3,Calcs!$A$110:$B$122,2,TRUE),VLOOKUP($D$3-(IF((Character!$B$9+W432)&gt;($D$3+Y432),(Character!$B$9+W432)-($D$3+Y432),0)),Calcs!$A$110:$B$122,2,TRUE))))=Calcs!$B$120,IF(ISBLANK(AC432)," ",CONCATENATE(AC432+7," Years")),IF(AA432=" "," ",IF(NOT(ISBLANK(X432)),VLOOKUP($D$3+X432,Calcs!$A$110:$B$122,2,TRUE),IF(AA432="Failed",VLOOKUP($D$3,Calcs!$A$110:$B$122,2,TRUE),VLOOKUP($D$3-(IF((Character!$B$9+W432)&gt;($D$3+Y432),(Character!$B$9+W432)-($D$3+Y432),0)),Calcs!$A$110:$B$122,2,TRUE)))))</f>
        <v xml:space="preserve"> </v>
      </c>
      <c r="AE432" s="490"/>
      <c r="AF432" s="879"/>
      <c r="AG432" s="491"/>
    </row>
    <row r="433" spans="1:33" x14ac:dyDescent="0.2">
      <c r="A433" s="415">
        <f t="shared" si="12"/>
        <v>1318</v>
      </c>
      <c r="B433" s="419" t="str">
        <f t="shared" si="13"/>
        <v>Spring</v>
      </c>
      <c r="C433" s="455"/>
      <c r="D433" s="504"/>
      <c r="E433" s="455"/>
      <c r="F433" s="504"/>
      <c r="G433" s="455"/>
      <c r="H433" s="504"/>
      <c r="I433" s="455"/>
      <c r="J433" s="504"/>
      <c r="L433" s="472"/>
      <c r="M433" s="468"/>
      <c r="N433" s="468"/>
      <c r="O433" s="468"/>
      <c r="P433" s="468"/>
      <c r="Q433" s="473"/>
      <c r="R433" s="477" t="str">
        <f>IF(AND(COUNTIF('Start Character'!$I$63:$M$77,"Twilight Prone")=1,NOT(ISERROR(FIND("Magical Botch",M433)))),"Yes",IF(P433&gt;1,"Yes","No"))</f>
        <v>No</v>
      </c>
      <c r="S433" s="501"/>
      <c r="T433" s="478"/>
      <c r="U433" s="501"/>
      <c r="V433" s="479" t="str">
        <f>IF(R433="No","No Twilight",IF(T433="Yes","Uncomprehended Twilight",IF((Character!$B$14+IF(Character!$B$53="Yes",0,Character!$B$53)+IF(Magic!$C$5="Yes",2,0)+ROUNDUP((Magic!$B$30+IF(Magic!$C$30="Yes",3,0))/5,0)+S433)&gt;=($D$3+P433+SUMIF(Character!$I$62:$I$66,"Enigmatic Wisdom",Character!$J$62:$J$66)+Q433+U433),"No Twilight","Twilight")))</f>
        <v>No Twilight</v>
      </c>
      <c r="W433" s="483"/>
      <c r="X433" s="478"/>
      <c r="Y433" s="484"/>
      <c r="Z433" s="478"/>
      <c r="AA433" s="485" t="str">
        <f>IF(V433="Uncomprehended Twilight","Failed",IF(OR(ISBLANK(W433),ISBLANK(Y433))," ",IF(NOT(ISBLANK(X433)),"Failed",IF((W433+Character!$B$9+SUMIF(Character!$I$62:$I$66,"Enigmatic Wisdom",Character!$J$62:$J$66))&gt;=IF(Z433="Yes",0,(Y433+D428)),"Succeeded","Failed"))))</f>
        <v xml:space="preserve"> </v>
      </c>
      <c r="AB433" s="477" t="str">
        <f>IF(AA433=" "," ",IF(NOT(ISBLANK(X433)),VLOOKUP($D$3+X433,Calcs!$A$110:$C$122,3,TRUE),IF(AA433="Failed",VLOOKUP($D$3,Calcs!$A$110:$C$122,3,TRUE),VLOOKUP($D$3-(IF((Character!$B$9+W433)&gt;($D$3+Y433),(Character!$B$9+W433)-($D$3+Y433),0)),Calcs!$A$110:$C$122,3,TRUE))))</f>
        <v xml:space="preserve"> </v>
      </c>
      <c r="AC433" s="489"/>
      <c r="AD433" s="489" t="str">
        <f>IF(IF(AA433=" "," ",IF(NOT(ISBLANK(X433)),VLOOKUP($D$3+X433,Calcs!$A$110:$B$122,2,TRUE),IF(AA433="Failed",VLOOKUP($D$3,Calcs!$A$110:$B$122,2,TRUE),VLOOKUP($D$3-(IF((Character!$B$9+W433)&gt;($D$3+Y433),(Character!$B$9+W433)-($D$3+Y433),0)),Calcs!$A$110:$B$122,2,TRUE))))=Calcs!$B$120,IF(ISBLANK(AC433)," ",CONCATENATE(AC433+7," Years")),IF(AA433=" "," ",IF(NOT(ISBLANK(X433)),VLOOKUP($D$3+X433,Calcs!$A$110:$B$122,2,TRUE),IF(AA433="Failed",VLOOKUP($D$3,Calcs!$A$110:$B$122,2,TRUE),VLOOKUP($D$3-(IF((Character!$B$9+W433)&gt;($D$3+Y433),(Character!$B$9+W433)-($D$3+Y433),0)),Calcs!$A$110:$B$122,2,TRUE)))))</f>
        <v xml:space="preserve"> </v>
      </c>
      <c r="AE433" s="490"/>
      <c r="AF433" s="879"/>
      <c r="AG433" s="491"/>
    </row>
    <row r="434" spans="1:33" x14ac:dyDescent="0.2">
      <c r="A434" s="415">
        <f t="shared" si="12"/>
        <v>1318</v>
      </c>
      <c r="B434" s="419" t="str">
        <f t="shared" si="13"/>
        <v>Summer</v>
      </c>
      <c r="C434" s="455"/>
      <c r="D434" s="504"/>
      <c r="E434" s="455"/>
      <c r="F434" s="504"/>
      <c r="G434" s="455"/>
      <c r="H434" s="504"/>
      <c r="I434" s="455"/>
      <c r="J434" s="504"/>
      <c r="L434" s="472"/>
      <c r="M434" s="468"/>
      <c r="N434" s="468"/>
      <c r="O434" s="468"/>
      <c r="P434" s="468"/>
      <c r="Q434" s="473"/>
      <c r="R434" s="477" t="str">
        <f>IF(AND(COUNTIF('Start Character'!$I$63:$M$77,"Twilight Prone")=1,NOT(ISERROR(FIND("Magical Botch",M434)))),"Yes",IF(P434&gt;1,"Yes","No"))</f>
        <v>No</v>
      </c>
      <c r="S434" s="501"/>
      <c r="T434" s="478"/>
      <c r="U434" s="501"/>
      <c r="V434" s="479" t="str">
        <f>IF(R434="No","No Twilight",IF(T434="Yes","Uncomprehended Twilight",IF((Character!$B$14+IF(Character!$B$53="Yes",0,Character!$B$53)+IF(Magic!$C$5="Yes",2,0)+ROUNDUP((Magic!$B$30+IF(Magic!$C$30="Yes",3,0))/5,0)+S434)&gt;=($D$3+P434+SUMIF(Character!$I$62:$I$66,"Enigmatic Wisdom",Character!$J$62:$J$66)+Q434+U434),"No Twilight","Twilight")))</f>
        <v>No Twilight</v>
      </c>
      <c r="W434" s="483"/>
      <c r="X434" s="478"/>
      <c r="Y434" s="484"/>
      <c r="Z434" s="478"/>
      <c r="AA434" s="485" t="str">
        <f>IF(V434="Uncomprehended Twilight","Failed",IF(OR(ISBLANK(W434),ISBLANK(Y434))," ",IF(NOT(ISBLANK(X434)),"Failed",IF((W434+Character!$B$9+SUMIF(Character!$I$62:$I$66,"Enigmatic Wisdom",Character!$J$62:$J$66))&gt;=IF(Z434="Yes",0,(Y434+D429)),"Succeeded","Failed"))))</f>
        <v xml:space="preserve"> </v>
      </c>
      <c r="AB434" s="477" t="str">
        <f>IF(AA434=" "," ",IF(NOT(ISBLANK(X434)),VLOOKUP($D$3+X434,Calcs!$A$110:$C$122,3,TRUE),IF(AA434="Failed",VLOOKUP($D$3,Calcs!$A$110:$C$122,3,TRUE),VLOOKUP($D$3-(IF((Character!$B$9+W434)&gt;($D$3+Y434),(Character!$B$9+W434)-($D$3+Y434),0)),Calcs!$A$110:$C$122,3,TRUE))))</f>
        <v xml:space="preserve"> </v>
      </c>
      <c r="AC434" s="489"/>
      <c r="AD434" s="489" t="str">
        <f>IF(IF(AA434=" "," ",IF(NOT(ISBLANK(X434)),VLOOKUP($D$3+X434,Calcs!$A$110:$B$122,2,TRUE),IF(AA434="Failed",VLOOKUP($D$3,Calcs!$A$110:$B$122,2,TRUE),VLOOKUP($D$3-(IF((Character!$B$9+W434)&gt;($D$3+Y434),(Character!$B$9+W434)-($D$3+Y434),0)),Calcs!$A$110:$B$122,2,TRUE))))=Calcs!$B$120,IF(ISBLANK(AC434)," ",CONCATENATE(AC434+7," Years")),IF(AA434=" "," ",IF(NOT(ISBLANK(X434)),VLOOKUP($D$3+X434,Calcs!$A$110:$B$122,2,TRUE),IF(AA434="Failed",VLOOKUP($D$3,Calcs!$A$110:$B$122,2,TRUE),VLOOKUP($D$3-(IF((Character!$B$9+W434)&gt;($D$3+Y434),(Character!$B$9+W434)-($D$3+Y434),0)),Calcs!$A$110:$B$122,2,TRUE)))))</f>
        <v xml:space="preserve"> </v>
      </c>
      <c r="AE434" s="490"/>
      <c r="AF434" s="879"/>
      <c r="AG434" s="491"/>
    </row>
    <row r="435" spans="1:33" x14ac:dyDescent="0.2">
      <c r="A435" s="415">
        <f t="shared" si="12"/>
        <v>1318</v>
      </c>
      <c r="B435" s="419" t="str">
        <f t="shared" si="13"/>
        <v>Autumn</v>
      </c>
      <c r="C435" s="455"/>
      <c r="D435" s="504"/>
      <c r="E435" s="455"/>
      <c r="F435" s="504"/>
      <c r="G435" s="455"/>
      <c r="H435" s="504"/>
      <c r="I435" s="455"/>
      <c r="J435" s="504"/>
      <c r="L435" s="472"/>
      <c r="M435" s="468"/>
      <c r="N435" s="468"/>
      <c r="O435" s="468"/>
      <c r="P435" s="468"/>
      <c r="Q435" s="473"/>
      <c r="R435" s="477" t="str">
        <f>IF(AND(COUNTIF('Start Character'!$I$63:$M$77,"Twilight Prone")=1,NOT(ISERROR(FIND("Magical Botch",M435)))),"Yes",IF(P435&gt;1,"Yes","No"))</f>
        <v>No</v>
      </c>
      <c r="S435" s="501"/>
      <c r="T435" s="478"/>
      <c r="U435" s="501"/>
      <c r="V435" s="479" t="str">
        <f>IF(R435="No","No Twilight",IF(T435="Yes","Uncomprehended Twilight",IF((Character!$B$14+IF(Character!$B$53="Yes",0,Character!$B$53)+IF(Magic!$C$5="Yes",2,0)+ROUNDUP((Magic!$B$30+IF(Magic!$C$30="Yes",3,0))/5,0)+S435)&gt;=($D$3+P435+SUMIF(Character!$I$62:$I$66,"Enigmatic Wisdom",Character!$J$62:$J$66)+Q435+U435),"No Twilight","Twilight")))</f>
        <v>No Twilight</v>
      </c>
      <c r="W435" s="483"/>
      <c r="X435" s="478"/>
      <c r="Y435" s="484"/>
      <c r="Z435" s="478"/>
      <c r="AA435" s="485" t="str">
        <f>IF(V435="Uncomprehended Twilight","Failed",IF(OR(ISBLANK(W435),ISBLANK(Y435))," ",IF(NOT(ISBLANK(X435)),"Failed",IF((W435+Character!$B$9+SUMIF(Character!$I$62:$I$66,"Enigmatic Wisdom",Character!$J$62:$J$66))&gt;=IF(Z435="Yes",0,(Y435+D430)),"Succeeded","Failed"))))</f>
        <v xml:space="preserve"> </v>
      </c>
      <c r="AB435" s="477" t="str">
        <f>IF(AA435=" "," ",IF(NOT(ISBLANK(X435)),VLOOKUP($D$3+X435,Calcs!$A$110:$C$122,3,TRUE),IF(AA435="Failed",VLOOKUP($D$3,Calcs!$A$110:$C$122,3,TRUE),VLOOKUP($D$3-(IF((Character!$B$9+W435)&gt;($D$3+Y435),(Character!$B$9+W435)-($D$3+Y435),0)),Calcs!$A$110:$C$122,3,TRUE))))</f>
        <v xml:space="preserve"> </v>
      </c>
      <c r="AC435" s="489"/>
      <c r="AD435" s="489" t="str">
        <f>IF(IF(AA435=" "," ",IF(NOT(ISBLANK(X435)),VLOOKUP($D$3+X435,Calcs!$A$110:$B$122,2,TRUE),IF(AA435="Failed",VLOOKUP($D$3,Calcs!$A$110:$B$122,2,TRUE),VLOOKUP($D$3-(IF((Character!$B$9+W435)&gt;($D$3+Y435),(Character!$B$9+W435)-($D$3+Y435),0)),Calcs!$A$110:$B$122,2,TRUE))))=Calcs!$B$120,IF(ISBLANK(AC435)," ",CONCATENATE(AC435+7," Years")),IF(AA435=" "," ",IF(NOT(ISBLANK(X435)),VLOOKUP($D$3+X435,Calcs!$A$110:$B$122,2,TRUE),IF(AA435="Failed",VLOOKUP($D$3,Calcs!$A$110:$B$122,2,TRUE),VLOOKUP($D$3-(IF((Character!$B$9+W435)&gt;($D$3+Y435),(Character!$B$9+W435)-($D$3+Y435),0)),Calcs!$A$110:$B$122,2,TRUE)))))</f>
        <v xml:space="preserve"> </v>
      </c>
      <c r="AE435" s="490"/>
      <c r="AF435" s="879"/>
      <c r="AG435" s="491"/>
    </row>
    <row r="436" spans="1:33" x14ac:dyDescent="0.2">
      <c r="A436" s="415">
        <f t="shared" si="12"/>
        <v>1319</v>
      </c>
      <c r="B436" s="419" t="str">
        <f t="shared" si="13"/>
        <v>Winter</v>
      </c>
      <c r="C436" s="455"/>
      <c r="D436" s="504"/>
      <c r="E436" s="455"/>
      <c r="F436" s="504"/>
      <c r="G436" s="455"/>
      <c r="H436" s="504"/>
      <c r="I436" s="455"/>
      <c r="J436" s="504"/>
      <c r="L436" s="472"/>
      <c r="M436" s="468"/>
      <c r="N436" s="468"/>
      <c r="O436" s="468"/>
      <c r="P436" s="468"/>
      <c r="Q436" s="473"/>
      <c r="R436" s="477" t="str">
        <f>IF(AND(COUNTIF('Start Character'!$I$63:$M$77,"Twilight Prone")=1,NOT(ISERROR(FIND("Magical Botch",M436)))),"Yes",IF(P436&gt;1,"Yes","No"))</f>
        <v>No</v>
      </c>
      <c r="S436" s="501"/>
      <c r="T436" s="478"/>
      <c r="U436" s="501"/>
      <c r="V436" s="479" t="str">
        <f>IF(R436="No","No Twilight",IF(T436="Yes","Uncomprehended Twilight",IF((Character!$B$14+IF(Character!$B$53="Yes",0,Character!$B$53)+IF(Magic!$C$5="Yes",2,0)+ROUNDUP((Magic!$B$30+IF(Magic!$C$30="Yes",3,0))/5,0)+S436)&gt;=($D$3+P436+SUMIF(Character!$I$62:$I$66,"Enigmatic Wisdom",Character!$J$62:$J$66)+Q436+U436),"No Twilight","Twilight")))</f>
        <v>No Twilight</v>
      </c>
      <c r="W436" s="483"/>
      <c r="X436" s="478"/>
      <c r="Y436" s="484"/>
      <c r="Z436" s="478"/>
      <c r="AA436" s="485" t="str">
        <f>IF(V436="Uncomprehended Twilight","Failed",IF(OR(ISBLANK(W436),ISBLANK(Y436))," ",IF(NOT(ISBLANK(X436)),"Failed",IF((W436+Character!$B$9+SUMIF(Character!$I$62:$I$66,"Enigmatic Wisdom",Character!$J$62:$J$66))&gt;=IF(Z436="Yes",0,(Y436+D431)),"Succeeded","Failed"))))</f>
        <v xml:space="preserve"> </v>
      </c>
      <c r="AB436" s="477" t="str">
        <f>IF(AA436=" "," ",IF(NOT(ISBLANK(X436)),VLOOKUP($D$3+X436,Calcs!$A$110:$C$122,3,TRUE),IF(AA436="Failed",VLOOKUP($D$3,Calcs!$A$110:$C$122,3,TRUE),VLOOKUP($D$3-(IF((Character!$B$9+W436)&gt;($D$3+Y436),(Character!$B$9+W436)-($D$3+Y436),0)),Calcs!$A$110:$C$122,3,TRUE))))</f>
        <v xml:space="preserve"> </v>
      </c>
      <c r="AC436" s="489"/>
      <c r="AD436" s="489" t="str">
        <f>IF(IF(AA436=" "," ",IF(NOT(ISBLANK(X436)),VLOOKUP($D$3+X436,Calcs!$A$110:$B$122,2,TRUE),IF(AA436="Failed",VLOOKUP($D$3,Calcs!$A$110:$B$122,2,TRUE),VLOOKUP($D$3-(IF((Character!$B$9+W436)&gt;($D$3+Y436),(Character!$B$9+W436)-($D$3+Y436),0)),Calcs!$A$110:$B$122,2,TRUE))))=Calcs!$B$120,IF(ISBLANK(AC436)," ",CONCATENATE(AC436+7," Years")),IF(AA436=" "," ",IF(NOT(ISBLANK(X436)),VLOOKUP($D$3+X436,Calcs!$A$110:$B$122,2,TRUE),IF(AA436="Failed",VLOOKUP($D$3,Calcs!$A$110:$B$122,2,TRUE),VLOOKUP($D$3-(IF((Character!$B$9+W436)&gt;($D$3+Y436),(Character!$B$9+W436)-($D$3+Y436),0)),Calcs!$A$110:$B$122,2,TRUE)))))</f>
        <v xml:space="preserve"> </v>
      </c>
      <c r="AE436" s="490"/>
      <c r="AF436" s="879"/>
      <c r="AG436" s="491"/>
    </row>
    <row r="437" spans="1:33" x14ac:dyDescent="0.2">
      <c r="A437" s="415">
        <f t="shared" si="12"/>
        <v>1319</v>
      </c>
      <c r="B437" s="419" t="str">
        <f t="shared" si="13"/>
        <v>Spring</v>
      </c>
      <c r="C437" s="455"/>
      <c r="D437" s="504"/>
      <c r="E437" s="455"/>
      <c r="F437" s="504"/>
      <c r="G437" s="455"/>
      <c r="H437" s="504"/>
      <c r="I437" s="455"/>
      <c r="J437" s="504"/>
      <c r="L437" s="472"/>
      <c r="M437" s="468"/>
      <c r="N437" s="468"/>
      <c r="O437" s="468"/>
      <c r="P437" s="468"/>
      <c r="Q437" s="473"/>
      <c r="R437" s="477" t="str">
        <f>IF(AND(COUNTIF('Start Character'!$I$63:$M$77,"Twilight Prone")=1,NOT(ISERROR(FIND("Magical Botch",M437)))),"Yes",IF(P437&gt;1,"Yes","No"))</f>
        <v>No</v>
      </c>
      <c r="S437" s="501"/>
      <c r="T437" s="478"/>
      <c r="U437" s="501"/>
      <c r="V437" s="479" t="str">
        <f>IF(R437="No","No Twilight",IF(T437="Yes","Uncomprehended Twilight",IF((Character!$B$14+IF(Character!$B$53="Yes",0,Character!$B$53)+IF(Magic!$C$5="Yes",2,0)+ROUNDUP((Magic!$B$30+IF(Magic!$C$30="Yes",3,0))/5,0)+S437)&gt;=($D$3+P437+SUMIF(Character!$I$62:$I$66,"Enigmatic Wisdom",Character!$J$62:$J$66)+Q437+U437),"No Twilight","Twilight")))</f>
        <v>No Twilight</v>
      </c>
      <c r="W437" s="483"/>
      <c r="X437" s="478"/>
      <c r="Y437" s="484"/>
      <c r="Z437" s="478"/>
      <c r="AA437" s="485" t="str">
        <f>IF(V437="Uncomprehended Twilight","Failed",IF(OR(ISBLANK(W437),ISBLANK(Y437))," ",IF(NOT(ISBLANK(X437)),"Failed",IF((W437+Character!$B$9+SUMIF(Character!$I$62:$I$66,"Enigmatic Wisdom",Character!$J$62:$J$66))&gt;=IF(Z437="Yes",0,(Y437+D432)),"Succeeded","Failed"))))</f>
        <v xml:space="preserve"> </v>
      </c>
      <c r="AB437" s="477" t="str">
        <f>IF(AA437=" "," ",IF(NOT(ISBLANK(X437)),VLOOKUP($D$3+X437,Calcs!$A$110:$C$122,3,TRUE),IF(AA437="Failed",VLOOKUP($D$3,Calcs!$A$110:$C$122,3,TRUE),VLOOKUP($D$3-(IF((Character!$B$9+W437)&gt;($D$3+Y437),(Character!$B$9+W437)-($D$3+Y437),0)),Calcs!$A$110:$C$122,3,TRUE))))</f>
        <v xml:space="preserve"> </v>
      </c>
      <c r="AC437" s="489"/>
      <c r="AD437" s="489" t="str">
        <f>IF(IF(AA437=" "," ",IF(NOT(ISBLANK(X437)),VLOOKUP($D$3+X437,Calcs!$A$110:$B$122,2,TRUE),IF(AA437="Failed",VLOOKUP($D$3,Calcs!$A$110:$B$122,2,TRUE),VLOOKUP($D$3-(IF((Character!$B$9+W437)&gt;($D$3+Y437),(Character!$B$9+W437)-($D$3+Y437),0)),Calcs!$A$110:$B$122,2,TRUE))))=Calcs!$B$120,IF(ISBLANK(AC437)," ",CONCATENATE(AC437+7," Years")),IF(AA437=" "," ",IF(NOT(ISBLANK(X437)),VLOOKUP($D$3+X437,Calcs!$A$110:$B$122,2,TRUE),IF(AA437="Failed",VLOOKUP($D$3,Calcs!$A$110:$B$122,2,TRUE),VLOOKUP($D$3-(IF((Character!$B$9+W437)&gt;($D$3+Y437),(Character!$B$9+W437)-($D$3+Y437),0)),Calcs!$A$110:$B$122,2,TRUE)))))</f>
        <v xml:space="preserve"> </v>
      </c>
      <c r="AE437" s="490"/>
      <c r="AF437" s="879"/>
      <c r="AG437" s="491"/>
    </row>
    <row r="438" spans="1:33" x14ac:dyDescent="0.2">
      <c r="A438" s="415">
        <f t="shared" si="12"/>
        <v>1319</v>
      </c>
      <c r="B438" s="419" t="str">
        <f t="shared" si="13"/>
        <v>Summer</v>
      </c>
      <c r="C438" s="455"/>
      <c r="D438" s="504"/>
      <c r="E438" s="455"/>
      <c r="F438" s="504"/>
      <c r="G438" s="455"/>
      <c r="H438" s="504"/>
      <c r="I438" s="455"/>
      <c r="J438" s="504"/>
      <c r="L438" s="472"/>
      <c r="M438" s="468"/>
      <c r="N438" s="468"/>
      <c r="O438" s="468"/>
      <c r="P438" s="468"/>
      <c r="Q438" s="473"/>
      <c r="R438" s="477" t="str">
        <f>IF(AND(COUNTIF('Start Character'!$I$63:$M$77,"Twilight Prone")=1,NOT(ISERROR(FIND("Magical Botch",M438)))),"Yes",IF(P438&gt;1,"Yes","No"))</f>
        <v>No</v>
      </c>
      <c r="S438" s="501"/>
      <c r="T438" s="478"/>
      <c r="U438" s="501"/>
      <c r="V438" s="479" t="str">
        <f>IF(R438="No","No Twilight",IF(T438="Yes","Uncomprehended Twilight",IF((Character!$B$14+IF(Character!$B$53="Yes",0,Character!$B$53)+IF(Magic!$C$5="Yes",2,0)+ROUNDUP((Magic!$B$30+IF(Magic!$C$30="Yes",3,0))/5,0)+S438)&gt;=($D$3+P438+SUMIF(Character!$I$62:$I$66,"Enigmatic Wisdom",Character!$J$62:$J$66)+Q438+U438),"No Twilight","Twilight")))</f>
        <v>No Twilight</v>
      </c>
      <c r="W438" s="483"/>
      <c r="X438" s="478"/>
      <c r="Y438" s="484"/>
      <c r="Z438" s="478"/>
      <c r="AA438" s="485" t="str">
        <f>IF(V438="Uncomprehended Twilight","Failed",IF(OR(ISBLANK(W438),ISBLANK(Y438))," ",IF(NOT(ISBLANK(X438)),"Failed",IF((W438+Character!$B$9+SUMIF(Character!$I$62:$I$66,"Enigmatic Wisdom",Character!$J$62:$J$66))&gt;=IF(Z438="Yes",0,(Y438+D433)),"Succeeded","Failed"))))</f>
        <v xml:space="preserve"> </v>
      </c>
      <c r="AB438" s="477" t="str">
        <f>IF(AA438=" "," ",IF(NOT(ISBLANK(X438)),VLOOKUP($D$3+X438,Calcs!$A$110:$C$122,3,TRUE),IF(AA438="Failed",VLOOKUP($D$3,Calcs!$A$110:$C$122,3,TRUE),VLOOKUP($D$3-(IF((Character!$B$9+W438)&gt;($D$3+Y438),(Character!$B$9+W438)-($D$3+Y438),0)),Calcs!$A$110:$C$122,3,TRUE))))</f>
        <v xml:space="preserve"> </v>
      </c>
      <c r="AC438" s="489"/>
      <c r="AD438" s="489" t="str">
        <f>IF(IF(AA438=" "," ",IF(NOT(ISBLANK(X438)),VLOOKUP($D$3+X438,Calcs!$A$110:$B$122,2,TRUE),IF(AA438="Failed",VLOOKUP($D$3,Calcs!$A$110:$B$122,2,TRUE),VLOOKUP($D$3-(IF((Character!$B$9+W438)&gt;($D$3+Y438),(Character!$B$9+W438)-($D$3+Y438),0)),Calcs!$A$110:$B$122,2,TRUE))))=Calcs!$B$120,IF(ISBLANK(AC438)," ",CONCATENATE(AC438+7," Years")),IF(AA438=" "," ",IF(NOT(ISBLANK(X438)),VLOOKUP($D$3+X438,Calcs!$A$110:$B$122,2,TRUE),IF(AA438="Failed",VLOOKUP($D$3,Calcs!$A$110:$B$122,2,TRUE),VLOOKUP($D$3-(IF((Character!$B$9+W438)&gt;($D$3+Y438),(Character!$B$9+W438)-($D$3+Y438),0)),Calcs!$A$110:$B$122,2,TRUE)))))</f>
        <v xml:space="preserve"> </v>
      </c>
      <c r="AE438" s="490"/>
      <c r="AF438" s="879"/>
      <c r="AG438" s="491"/>
    </row>
    <row r="439" spans="1:33" x14ac:dyDescent="0.2">
      <c r="A439" s="415">
        <f t="shared" si="12"/>
        <v>1319</v>
      </c>
      <c r="B439" s="419" t="str">
        <f t="shared" si="13"/>
        <v>Autumn</v>
      </c>
      <c r="C439" s="455"/>
      <c r="D439" s="504"/>
      <c r="E439" s="455"/>
      <c r="F439" s="504"/>
      <c r="G439" s="455"/>
      <c r="H439" s="504"/>
      <c r="I439" s="455"/>
      <c r="J439" s="504"/>
      <c r="L439" s="472"/>
      <c r="M439" s="468"/>
      <c r="N439" s="468"/>
      <c r="O439" s="468"/>
      <c r="P439" s="468"/>
      <c r="Q439" s="473"/>
      <c r="R439" s="477" t="str">
        <f>IF(AND(COUNTIF('Start Character'!$I$63:$M$77,"Twilight Prone")=1,NOT(ISERROR(FIND("Magical Botch",M439)))),"Yes",IF(P439&gt;1,"Yes","No"))</f>
        <v>No</v>
      </c>
      <c r="S439" s="501"/>
      <c r="T439" s="478"/>
      <c r="U439" s="501"/>
      <c r="V439" s="479" t="str">
        <f>IF(R439="No","No Twilight",IF(T439="Yes","Uncomprehended Twilight",IF((Character!$B$14+IF(Character!$B$53="Yes",0,Character!$B$53)+IF(Magic!$C$5="Yes",2,0)+ROUNDUP((Magic!$B$30+IF(Magic!$C$30="Yes",3,0))/5,0)+S439)&gt;=($D$3+P439+SUMIF(Character!$I$62:$I$66,"Enigmatic Wisdom",Character!$J$62:$J$66)+Q439+U439),"No Twilight","Twilight")))</f>
        <v>No Twilight</v>
      </c>
      <c r="W439" s="483"/>
      <c r="X439" s="478"/>
      <c r="Y439" s="484"/>
      <c r="Z439" s="478"/>
      <c r="AA439" s="485" t="str">
        <f>IF(V439="Uncomprehended Twilight","Failed",IF(OR(ISBLANK(W439),ISBLANK(Y439))," ",IF(NOT(ISBLANK(X439)),"Failed",IF((W439+Character!$B$9+SUMIF(Character!$I$62:$I$66,"Enigmatic Wisdom",Character!$J$62:$J$66))&gt;=IF(Z439="Yes",0,(Y439+D434)),"Succeeded","Failed"))))</f>
        <v xml:space="preserve"> </v>
      </c>
      <c r="AB439" s="477" t="str">
        <f>IF(AA439=" "," ",IF(NOT(ISBLANK(X439)),VLOOKUP($D$3+X439,Calcs!$A$110:$C$122,3,TRUE),IF(AA439="Failed",VLOOKUP($D$3,Calcs!$A$110:$C$122,3,TRUE),VLOOKUP($D$3-(IF((Character!$B$9+W439)&gt;($D$3+Y439),(Character!$B$9+W439)-($D$3+Y439),0)),Calcs!$A$110:$C$122,3,TRUE))))</f>
        <v xml:space="preserve"> </v>
      </c>
      <c r="AC439" s="489"/>
      <c r="AD439" s="489" t="str">
        <f>IF(IF(AA439=" "," ",IF(NOT(ISBLANK(X439)),VLOOKUP($D$3+X439,Calcs!$A$110:$B$122,2,TRUE),IF(AA439="Failed",VLOOKUP($D$3,Calcs!$A$110:$B$122,2,TRUE),VLOOKUP($D$3-(IF((Character!$B$9+W439)&gt;($D$3+Y439),(Character!$B$9+W439)-($D$3+Y439),0)),Calcs!$A$110:$B$122,2,TRUE))))=Calcs!$B$120,IF(ISBLANK(AC439)," ",CONCATENATE(AC439+7," Years")),IF(AA439=" "," ",IF(NOT(ISBLANK(X439)),VLOOKUP($D$3+X439,Calcs!$A$110:$B$122,2,TRUE),IF(AA439="Failed",VLOOKUP($D$3,Calcs!$A$110:$B$122,2,TRUE),VLOOKUP($D$3-(IF((Character!$B$9+W439)&gt;($D$3+Y439),(Character!$B$9+W439)-($D$3+Y439),0)),Calcs!$A$110:$B$122,2,TRUE)))))</f>
        <v xml:space="preserve"> </v>
      </c>
      <c r="AE439" s="490"/>
      <c r="AF439" s="879"/>
      <c r="AG439" s="491"/>
    </row>
    <row r="440" spans="1:33" x14ac:dyDescent="0.2">
      <c r="A440" s="415">
        <f t="shared" si="12"/>
        <v>1320</v>
      </c>
      <c r="B440" s="419" t="str">
        <f t="shared" si="13"/>
        <v>Winter</v>
      </c>
      <c r="C440" s="455"/>
      <c r="D440" s="504"/>
      <c r="E440" s="455"/>
      <c r="F440" s="504"/>
      <c r="G440" s="455"/>
      <c r="H440" s="504"/>
      <c r="I440" s="455"/>
      <c r="J440" s="504"/>
      <c r="L440" s="472"/>
      <c r="M440" s="468"/>
      <c r="N440" s="468"/>
      <c r="O440" s="468"/>
      <c r="P440" s="468"/>
      <c r="Q440" s="473"/>
      <c r="R440" s="477" t="str">
        <f>IF(AND(COUNTIF('Start Character'!$I$63:$M$77,"Twilight Prone")=1,NOT(ISERROR(FIND("Magical Botch",M440)))),"Yes",IF(P440&gt;1,"Yes","No"))</f>
        <v>No</v>
      </c>
      <c r="S440" s="501"/>
      <c r="T440" s="478"/>
      <c r="U440" s="501"/>
      <c r="V440" s="479" t="str">
        <f>IF(R440="No","No Twilight",IF(T440="Yes","Uncomprehended Twilight",IF((Character!$B$14+IF(Character!$B$53="Yes",0,Character!$B$53)+IF(Magic!$C$5="Yes",2,0)+ROUNDUP((Magic!$B$30+IF(Magic!$C$30="Yes",3,0))/5,0)+S440)&gt;=($D$3+P440+SUMIF(Character!$I$62:$I$66,"Enigmatic Wisdom",Character!$J$62:$J$66)+Q440+U440),"No Twilight","Twilight")))</f>
        <v>No Twilight</v>
      </c>
      <c r="W440" s="483"/>
      <c r="X440" s="478"/>
      <c r="Y440" s="484"/>
      <c r="Z440" s="478"/>
      <c r="AA440" s="485" t="str">
        <f>IF(V440="Uncomprehended Twilight","Failed",IF(OR(ISBLANK(W440),ISBLANK(Y440))," ",IF(NOT(ISBLANK(X440)),"Failed",IF((W440+Character!$B$9+SUMIF(Character!$I$62:$I$66,"Enigmatic Wisdom",Character!$J$62:$J$66))&gt;=IF(Z440="Yes",0,(Y440+D435)),"Succeeded","Failed"))))</f>
        <v xml:space="preserve"> </v>
      </c>
      <c r="AB440" s="477" t="str">
        <f>IF(AA440=" "," ",IF(NOT(ISBLANK(X440)),VLOOKUP($D$3+X440,Calcs!$A$110:$C$122,3,TRUE),IF(AA440="Failed",VLOOKUP($D$3,Calcs!$A$110:$C$122,3,TRUE),VLOOKUP($D$3-(IF((Character!$B$9+W440)&gt;($D$3+Y440),(Character!$B$9+W440)-($D$3+Y440),0)),Calcs!$A$110:$C$122,3,TRUE))))</f>
        <v xml:space="preserve"> </v>
      </c>
      <c r="AC440" s="489"/>
      <c r="AD440" s="489" t="str">
        <f>IF(IF(AA440=" "," ",IF(NOT(ISBLANK(X440)),VLOOKUP($D$3+X440,Calcs!$A$110:$B$122,2,TRUE),IF(AA440="Failed",VLOOKUP($D$3,Calcs!$A$110:$B$122,2,TRUE),VLOOKUP($D$3-(IF((Character!$B$9+W440)&gt;($D$3+Y440),(Character!$B$9+W440)-($D$3+Y440),0)),Calcs!$A$110:$B$122,2,TRUE))))=Calcs!$B$120,IF(ISBLANK(AC440)," ",CONCATENATE(AC440+7," Years")),IF(AA440=" "," ",IF(NOT(ISBLANK(X440)),VLOOKUP($D$3+X440,Calcs!$A$110:$B$122,2,TRUE),IF(AA440="Failed",VLOOKUP($D$3,Calcs!$A$110:$B$122,2,TRUE),VLOOKUP($D$3-(IF((Character!$B$9+W440)&gt;($D$3+Y440),(Character!$B$9+W440)-($D$3+Y440),0)),Calcs!$A$110:$B$122,2,TRUE)))))</f>
        <v xml:space="preserve"> </v>
      </c>
      <c r="AE440" s="490"/>
      <c r="AF440" s="879"/>
      <c r="AG440" s="491"/>
    </row>
    <row r="441" spans="1:33" x14ac:dyDescent="0.2">
      <c r="A441" s="415">
        <f t="shared" si="12"/>
        <v>1320</v>
      </c>
      <c r="B441" s="419" t="str">
        <f t="shared" si="13"/>
        <v>Spring</v>
      </c>
      <c r="C441" s="455"/>
      <c r="D441" s="504"/>
      <c r="E441" s="455"/>
      <c r="F441" s="504"/>
      <c r="G441" s="455"/>
      <c r="H441" s="504"/>
      <c r="I441" s="455"/>
      <c r="J441" s="504"/>
      <c r="L441" s="472"/>
      <c r="M441" s="468"/>
      <c r="N441" s="468"/>
      <c r="O441" s="468"/>
      <c r="P441" s="468"/>
      <c r="Q441" s="473"/>
      <c r="R441" s="477" t="str">
        <f>IF(AND(COUNTIF('Start Character'!$I$63:$M$77,"Twilight Prone")=1,NOT(ISERROR(FIND("Magical Botch",M441)))),"Yes",IF(P441&gt;1,"Yes","No"))</f>
        <v>No</v>
      </c>
      <c r="S441" s="501"/>
      <c r="T441" s="478"/>
      <c r="U441" s="501"/>
      <c r="V441" s="479" t="str">
        <f>IF(R441="No","No Twilight",IF(T441="Yes","Uncomprehended Twilight",IF((Character!$B$14+IF(Character!$B$53="Yes",0,Character!$B$53)+IF(Magic!$C$5="Yes",2,0)+ROUNDUP((Magic!$B$30+IF(Magic!$C$30="Yes",3,0))/5,0)+S441)&gt;=($D$3+P441+SUMIF(Character!$I$62:$I$66,"Enigmatic Wisdom",Character!$J$62:$J$66)+Q441+U441),"No Twilight","Twilight")))</f>
        <v>No Twilight</v>
      </c>
      <c r="W441" s="483"/>
      <c r="X441" s="478"/>
      <c r="Y441" s="484"/>
      <c r="Z441" s="478"/>
      <c r="AA441" s="485" t="str">
        <f>IF(V441="Uncomprehended Twilight","Failed",IF(OR(ISBLANK(W441),ISBLANK(Y441))," ",IF(NOT(ISBLANK(X441)),"Failed",IF((W441+Character!$B$9+SUMIF(Character!$I$62:$I$66,"Enigmatic Wisdom",Character!$J$62:$J$66))&gt;=IF(Z441="Yes",0,(Y441+D436)),"Succeeded","Failed"))))</f>
        <v xml:space="preserve"> </v>
      </c>
      <c r="AB441" s="477" t="str">
        <f>IF(AA441=" "," ",IF(NOT(ISBLANK(X441)),VLOOKUP($D$3+X441,Calcs!$A$110:$C$122,3,TRUE),IF(AA441="Failed",VLOOKUP($D$3,Calcs!$A$110:$C$122,3,TRUE),VLOOKUP($D$3-(IF((Character!$B$9+W441)&gt;($D$3+Y441),(Character!$B$9+W441)-($D$3+Y441),0)),Calcs!$A$110:$C$122,3,TRUE))))</f>
        <v xml:space="preserve"> </v>
      </c>
      <c r="AC441" s="489"/>
      <c r="AD441" s="489" t="str">
        <f>IF(IF(AA441=" "," ",IF(NOT(ISBLANK(X441)),VLOOKUP($D$3+X441,Calcs!$A$110:$B$122,2,TRUE),IF(AA441="Failed",VLOOKUP($D$3,Calcs!$A$110:$B$122,2,TRUE),VLOOKUP($D$3-(IF((Character!$B$9+W441)&gt;($D$3+Y441),(Character!$B$9+W441)-($D$3+Y441),0)),Calcs!$A$110:$B$122,2,TRUE))))=Calcs!$B$120,IF(ISBLANK(AC441)," ",CONCATENATE(AC441+7," Years")),IF(AA441=" "," ",IF(NOT(ISBLANK(X441)),VLOOKUP($D$3+X441,Calcs!$A$110:$B$122,2,TRUE),IF(AA441="Failed",VLOOKUP($D$3,Calcs!$A$110:$B$122,2,TRUE),VLOOKUP($D$3-(IF((Character!$B$9+W441)&gt;($D$3+Y441),(Character!$B$9+W441)-($D$3+Y441),0)),Calcs!$A$110:$B$122,2,TRUE)))))</f>
        <v xml:space="preserve"> </v>
      </c>
      <c r="AE441" s="490"/>
      <c r="AF441" s="879"/>
      <c r="AG441" s="491"/>
    </row>
    <row r="442" spans="1:33" x14ac:dyDescent="0.2">
      <c r="A442" s="415">
        <f t="shared" si="12"/>
        <v>1320</v>
      </c>
      <c r="B442" s="419" t="str">
        <f t="shared" si="13"/>
        <v>Summer</v>
      </c>
      <c r="C442" s="455"/>
      <c r="D442" s="504"/>
      <c r="E442" s="455"/>
      <c r="F442" s="504"/>
      <c r="G442" s="455"/>
      <c r="H442" s="504"/>
      <c r="I442" s="455"/>
      <c r="J442" s="504"/>
      <c r="L442" s="472"/>
      <c r="M442" s="468"/>
      <c r="N442" s="468"/>
      <c r="O442" s="468"/>
      <c r="P442" s="468"/>
      <c r="Q442" s="473"/>
      <c r="R442" s="477" t="str">
        <f>IF(AND(COUNTIF('Start Character'!$I$63:$M$77,"Twilight Prone")=1,NOT(ISERROR(FIND("Magical Botch",M442)))),"Yes",IF(P442&gt;1,"Yes","No"))</f>
        <v>No</v>
      </c>
      <c r="S442" s="501"/>
      <c r="T442" s="478"/>
      <c r="U442" s="501"/>
      <c r="V442" s="479" t="str">
        <f>IF(R442="No","No Twilight",IF(T442="Yes","Uncomprehended Twilight",IF((Character!$B$14+IF(Character!$B$53="Yes",0,Character!$B$53)+IF(Magic!$C$5="Yes",2,0)+ROUNDUP((Magic!$B$30+IF(Magic!$C$30="Yes",3,0))/5,0)+S442)&gt;=($D$3+P442+SUMIF(Character!$I$62:$I$66,"Enigmatic Wisdom",Character!$J$62:$J$66)+Q442+U442),"No Twilight","Twilight")))</f>
        <v>No Twilight</v>
      </c>
      <c r="W442" s="483"/>
      <c r="X442" s="478"/>
      <c r="Y442" s="484"/>
      <c r="Z442" s="478"/>
      <c r="AA442" s="485" t="str">
        <f>IF(V442="Uncomprehended Twilight","Failed",IF(OR(ISBLANK(W442),ISBLANK(Y442))," ",IF(NOT(ISBLANK(X442)),"Failed",IF((W442+Character!$B$9+SUMIF(Character!$I$62:$I$66,"Enigmatic Wisdom",Character!$J$62:$J$66))&gt;=IF(Z442="Yes",0,(Y442+D437)),"Succeeded","Failed"))))</f>
        <v xml:space="preserve"> </v>
      </c>
      <c r="AB442" s="477" t="str">
        <f>IF(AA442=" "," ",IF(NOT(ISBLANK(X442)),VLOOKUP($D$3+X442,Calcs!$A$110:$C$122,3,TRUE),IF(AA442="Failed",VLOOKUP($D$3,Calcs!$A$110:$C$122,3,TRUE),VLOOKUP($D$3-(IF((Character!$B$9+W442)&gt;($D$3+Y442),(Character!$B$9+W442)-($D$3+Y442),0)),Calcs!$A$110:$C$122,3,TRUE))))</f>
        <v xml:space="preserve"> </v>
      </c>
      <c r="AC442" s="489"/>
      <c r="AD442" s="489" t="str">
        <f>IF(IF(AA442=" "," ",IF(NOT(ISBLANK(X442)),VLOOKUP($D$3+X442,Calcs!$A$110:$B$122,2,TRUE),IF(AA442="Failed",VLOOKUP($D$3,Calcs!$A$110:$B$122,2,TRUE),VLOOKUP($D$3-(IF((Character!$B$9+W442)&gt;($D$3+Y442),(Character!$B$9+W442)-($D$3+Y442),0)),Calcs!$A$110:$B$122,2,TRUE))))=Calcs!$B$120,IF(ISBLANK(AC442)," ",CONCATENATE(AC442+7," Years")),IF(AA442=" "," ",IF(NOT(ISBLANK(X442)),VLOOKUP($D$3+X442,Calcs!$A$110:$B$122,2,TRUE),IF(AA442="Failed",VLOOKUP($D$3,Calcs!$A$110:$B$122,2,TRUE),VLOOKUP($D$3-(IF((Character!$B$9+W442)&gt;($D$3+Y442),(Character!$B$9+W442)-($D$3+Y442),0)),Calcs!$A$110:$B$122,2,TRUE)))))</f>
        <v xml:space="preserve"> </v>
      </c>
      <c r="AE442" s="490"/>
      <c r="AF442" s="879"/>
      <c r="AG442" s="491"/>
    </row>
    <row r="443" spans="1:33" x14ac:dyDescent="0.2">
      <c r="A443" s="415">
        <f t="shared" si="12"/>
        <v>1320</v>
      </c>
      <c r="B443" s="419" t="str">
        <f t="shared" si="13"/>
        <v>Autumn</v>
      </c>
      <c r="C443" s="455"/>
      <c r="D443" s="504"/>
      <c r="E443" s="455"/>
      <c r="F443" s="504"/>
      <c r="G443" s="455"/>
      <c r="H443" s="504"/>
      <c r="I443" s="455"/>
      <c r="J443" s="504"/>
      <c r="L443" s="472"/>
      <c r="M443" s="468"/>
      <c r="N443" s="468"/>
      <c r="O443" s="468"/>
      <c r="P443" s="468"/>
      <c r="Q443" s="473"/>
      <c r="R443" s="477" t="str">
        <f>IF(AND(COUNTIF('Start Character'!$I$63:$M$77,"Twilight Prone")=1,NOT(ISERROR(FIND("Magical Botch",M443)))),"Yes",IF(P443&gt;1,"Yes","No"))</f>
        <v>No</v>
      </c>
      <c r="S443" s="501"/>
      <c r="T443" s="478"/>
      <c r="U443" s="501"/>
      <c r="V443" s="479" t="str">
        <f>IF(R443="No","No Twilight",IF(T443="Yes","Uncomprehended Twilight",IF((Character!$B$14+IF(Character!$B$53="Yes",0,Character!$B$53)+IF(Magic!$C$5="Yes",2,0)+ROUNDUP((Magic!$B$30+IF(Magic!$C$30="Yes",3,0))/5,0)+S443)&gt;=($D$3+P443+SUMIF(Character!$I$62:$I$66,"Enigmatic Wisdom",Character!$J$62:$J$66)+Q443+U443),"No Twilight","Twilight")))</f>
        <v>No Twilight</v>
      </c>
      <c r="W443" s="483"/>
      <c r="X443" s="478"/>
      <c r="Y443" s="484"/>
      <c r="Z443" s="478"/>
      <c r="AA443" s="485" t="str">
        <f>IF(V443="Uncomprehended Twilight","Failed",IF(OR(ISBLANK(W443),ISBLANK(Y443))," ",IF(NOT(ISBLANK(X443)),"Failed",IF((W443+Character!$B$9+SUMIF(Character!$I$62:$I$66,"Enigmatic Wisdom",Character!$J$62:$J$66))&gt;=IF(Z443="Yes",0,(Y443+D438)),"Succeeded","Failed"))))</f>
        <v xml:space="preserve"> </v>
      </c>
      <c r="AB443" s="477" t="str">
        <f>IF(AA443=" "," ",IF(NOT(ISBLANK(X443)),VLOOKUP($D$3+X443,Calcs!$A$110:$C$122,3,TRUE),IF(AA443="Failed",VLOOKUP($D$3,Calcs!$A$110:$C$122,3,TRUE),VLOOKUP($D$3-(IF((Character!$B$9+W443)&gt;($D$3+Y443),(Character!$B$9+W443)-($D$3+Y443),0)),Calcs!$A$110:$C$122,3,TRUE))))</f>
        <v xml:space="preserve"> </v>
      </c>
      <c r="AC443" s="489"/>
      <c r="AD443" s="489" t="str">
        <f>IF(IF(AA443=" "," ",IF(NOT(ISBLANK(X443)),VLOOKUP($D$3+X443,Calcs!$A$110:$B$122,2,TRUE),IF(AA443="Failed",VLOOKUP($D$3,Calcs!$A$110:$B$122,2,TRUE),VLOOKUP($D$3-(IF((Character!$B$9+W443)&gt;($D$3+Y443),(Character!$B$9+W443)-($D$3+Y443),0)),Calcs!$A$110:$B$122,2,TRUE))))=Calcs!$B$120,IF(ISBLANK(AC443)," ",CONCATENATE(AC443+7," Years")),IF(AA443=" "," ",IF(NOT(ISBLANK(X443)),VLOOKUP($D$3+X443,Calcs!$A$110:$B$122,2,TRUE),IF(AA443="Failed",VLOOKUP($D$3,Calcs!$A$110:$B$122,2,TRUE),VLOOKUP($D$3-(IF((Character!$B$9+W443)&gt;($D$3+Y443),(Character!$B$9+W443)-($D$3+Y443),0)),Calcs!$A$110:$B$122,2,TRUE)))))</f>
        <v xml:space="preserve"> </v>
      </c>
      <c r="AE443" s="490"/>
      <c r="AF443" s="879"/>
      <c r="AG443" s="491"/>
    </row>
    <row r="444" spans="1:33" x14ac:dyDescent="0.2">
      <c r="A444" s="415">
        <f t="shared" si="12"/>
        <v>1321</v>
      </c>
      <c r="B444" s="419" t="str">
        <f t="shared" si="13"/>
        <v>Winter</v>
      </c>
      <c r="C444" s="455"/>
      <c r="D444" s="504"/>
      <c r="E444" s="455"/>
      <c r="F444" s="504"/>
      <c r="G444" s="455"/>
      <c r="H444" s="504"/>
      <c r="I444" s="455"/>
      <c r="J444" s="504"/>
      <c r="L444" s="472"/>
      <c r="M444" s="468"/>
      <c r="N444" s="468"/>
      <c r="O444" s="468"/>
      <c r="P444" s="468"/>
      <c r="Q444" s="473"/>
      <c r="R444" s="477" t="str">
        <f>IF(AND(COUNTIF('Start Character'!$I$63:$M$77,"Twilight Prone")=1,NOT(ISERROR(FIND("Magical Botch",M444)))),"Yes",IF(P444&gt;1,"Yes","No"))</f>
        <v>No</v>
      </c>
      <c r="S444" s="501"/>
      <c r="T444" s="478"/>
      <c r="U444" s="501"/>
      <c r="V444" s="479" t="str">
        <f>IF(R444="No","No Twilight",IF(T444="Yes","Uncomprehended Twilight",IF((Character!$B$14+IF(Character!$B$53="Yes",0,Character!$B$53)+IF(Magic!$C$5="Yes",2,0)+ROUNDUP((Magic!$B$30+IF(Magic!$C$30="Yes",3,0))/5,0)+S444)&gt;=($D$3+P444+SUMIF(Character!$I$62:$I$66,"Enigmatic Wisdom",Character!$J$62:$J$66)+Q444+U444),"No Twilight","Twilight")))</f>
        <v>No Twilight</v>
      </c>
      <c r="W444" s="483"/>
      <c r="X444" s="478"/>
      <c r="Y444" s="484"/>
      <c r="Z444" s="478"/>
      <c r="AA444" s="485" t="str">
        <f>IF(V444="Uncomprehended Twilight","Failed",IF(OR(ISBLANK(W444),ISBLANK(Y444))," ",IF(NOT(ISBLANK(X444)),"Failed",IF((W444+Character!$B$9+SUMIF(Character!$I$62:$I$66,"Enigmatic Wisdom",Character!$J$62:$J$66))&gt;=IF(Z444="Yes",0,(Y444+D439)),"Succeeded","Failed"))))</f>
        <v xml:space="preserve"> </v>
      </c>
      <c r="AB444" s="477" t="str">
        <f>IF(AA444=" "," ",IF(NOT(ISBLANK(X444)),VLOOKUP($D$3+X444,Calcs!$A$110:$C$122,3,TRUE),IF(AA444="Failed",VLOOKUP($D$3,Calcs!$A$110:$C$122,3,TRUE),VLOOKUP($D$3-(IF((Character!$B$9+W444)&gt;($D$3+Y444),(Character!$B$9+W444)-($D$3+Y444),0)),Calcs!$A$110:$C$122,3,TRUE))))</f>
        <v xml:space="preserve"> </v>
      </c>
      <c r="AC444" s="489"/>
      <c r="AD444" s="489" t="str">
        <f>IF(IF(AA444=" "," ",IF(NOT(ISBLANK(X444)),VLOOKUP($D$3+X444,Calcs!$A$110:$B$122,2,TRUE),IF(AA444="Failed",VLOOKUP($D$3,Calcs!$A$110:$B$122,2,TRUE),VLOOKUP($D$3-(IF((Character!$B$9+W444)&gt;($D$3+Y444),(Character!$B$9+W444)-($D$3+Y444),0)),Calcs!$A$110:$B$122,2,TRUE))))=Calcs!$B$120,IF(ISBLANK(AC444)," ",CONCATENATE(AC444+7," Years")),IF(AA444=" "," ",IF(NOT(ISBLANK(X444)),VLOOKUP($D$3+X444,Calcs!$A$110:$B$122,2,TRUE),IF(AA444="Failed",VLOOKUP($D$3,Calcs!$A$110:$B$122,2,TRUE),VLOOKUP($D$3-(IF((Character!$B$9+W444)&gt;($D$3+Y444),(Character!$B$9+W444)-($D$3+Y444),0)),Calcs!$A$110:$B$122,2,TRUE)))))</f>
        <v xml:space="preserve"> </v>
      </c>
      <c r="AE444" s="490"/>
      <c r="AF444" s="879"/>
      <c r="AG444" s="491"/>
    </row>
    <row r="445" spans="1:33" x14ac:dyDescent="0.2">
      <c r="A445" s="415">
        <f t="shared" si="12"/>
        <v>1321</v>
      </c>
      <c r="B445" s="419" t="str">
        <f t="shared" si="13"/>
        <v>Spring</v>
      </c>
      <c r="C445" s="455"/>
      <c r="D445" s="504"/>
      <c r="E445" s="455"/>
      <c r="F445" s="504"/>
      <c r="G445" s="455"/>
      <c r="H445" s="504"/>
      <c r="I445" s="455"/>
      <c r="J445" s="504"/>
      <c r="L445" s="472"/>
      <c r="M445" s="468"/>
      <c r="N445" s="468"/>
      <c r="O445" s="468"/>
      <c r="P445" s="468"/>
      <c r="Q445" s="473"/>
      <c r="R445" s="477" t="str">
        <f>IF(AND(COUNTIF('Start Character'!$I$63:$M$77,"Twilight Prone")=1,NOT(ISERROR(FIND("Magical Botch",M445)))),"Yes",IF(P445&gt;1,"Yes","No"))</f>
        <v>No</v>
      </c>
      <c r="S445" s="501"/>
      <c r="T445" s="478"/>
      <c r="U445" s="501"/>
      <c r="V445" s="479" t="str">
        <f>IF(R445="No","No Twilight",IF(T445="Yes","Uncomprehended Twilight",IF((Character!$B$14+IF(Character!$B$53="Yes",0,Character!$B$53)+IF(Magic!$C$5="Yes",2,0)+ROUNDUP((Magic!$B$30+IF(Magic!$C$30="Yes",3,0))/5,0)+S445)&gt;=($D$3+P445+SUMIF(Character!$I$62:$I$66,"Enigmatic Wisdom",Character!$J$62:$J$66)+Q445+U445),"No Twilight","Twilight")))</f>
        <v>No Twilight</v>
      </c>
      <c r="W445" s="483"/>
      <c r="X445" s="478"/>
      <c r="Y445" s="484"/>
      <c r="Z445" s="478"/>
      <c r="AA445" s="485" t="str">
        <f>IF(V445="Uncomprehended Twilight","Failed",IF(OR(ISBLANK(W445),ISBLANK(Y445))," ",IF(NOT(ISBLANK(X445)),"Failed",IF((W445+Character!$B$9+SUMIF(Character!$I$62:$I$66,"Enigmatic Wisdom",Character!$J$62:$J$66))&gt;=IF(Z445="Yes",0,(Y445+D440)),"Succeeded","Failed"))))</f>
        <v xml:space="preserve"> </v>
      </c>
      <c r="AB445" s="477" t="str">
        <f>IF(AA445=" "," ",IF(NOT(ISBLANK(X445)),VLOOKUP($D$3+X445,Calcs!$A$110:$C$122,3,TRUE),IF(AA445="Failed",VLOOKUP($D$3,Calcs!$A$110:$C$122,3,TRUE),VLOOKUP($D$3-(IF((Character!$B$9+W445)&gt;($D$3+Y445),(Character!$B$9+W445)-($D$3+Y445),0)),Calcs!$A$110:$C$122,3,TRUE))))</f>
        <v xml:space="preserve"> </v>
      </c>
      <c r="AC445" s="489"/>
      <c r="AD445" s="489" t="str">
        <f>IF(IF(AA445=" "," ",IF(NOT(ISBLANK(X445)),VLOOKUP($D$3+X445,Calcs!$A$110:$B$122,2,TRUE),IF(AA445="Failed",VLOOKUP($D$3,Calcs!$A$110:$B$122,2,TRUE),VLOOKUP($D$3-(IF((Character!$B$9+W445)&gt;($D$3+Y445),(Character!$B$9+W445)-($D$3+Y445),0)),Calcs!$A$110:$B$122,2,TRUE))))=Calcs!$B$120,IF(ISBLANK(AC445)," ",CONCATENATE(AC445+7," Years")),IF(AA445=" "," ",IF(NOT(ISBLANK(X445)),VLOOKUP($D$3+X445,Calcs!$A$110:$B$122,2,TRUE),IF(AA445="Failed",VLOOKUP($D$3,Calcs!$A$110:$B$122,2,TRUE),VLOOKUP($D$3-(IF((Character!$B$9+W445)&gt;($D$3+Y445),(Character!$B$9+W445)-($D$3+Y445),0)),Calcs!$A$110:$B$122,2,TRUE)))))</f>
        <v xml:space="preserve"> </v>
      </c>
      <c r="AE445" s="490"/>
      <c r="AF445" s="879"/>
      <c r="AG445" s="491"/>
    </row>
    <row r="446" spans="1:33" x14ac:dyDescent="0.2">
      <c r="A446" s="415">
        <f t="shared" si="12"/>
        <v>1321</v>
      </c>
      <c r="B446" s="419" t="str">
        <f t="shared" si="13"/>
        <v>Summer</v>
      </c>
      <c r="C446" s="455"/>
      <c r="D446" s="504"/>
      <c r="E446" s="455"/>
      <c r="F446" s="504"/>
      <c r="G446" s="455"/>
      <c r="H446" s="504"/>
      <c r="I446" s="455"/>
      <c r="J446" s="504"/>
      <c r="L446" s="472"/>
      <c r="M446" s="468"/>
      <c r="N446" s="468"/>
      <c r="O446" s="468"/>
      <c r="P446" s="468"/>
      <c r="Q446" s="473"/>
      <c r="R446" s="477" t="str">
        <f>IF(AND(COUNTIF('Start Character'!$I$63:$M$77,"Twilight Prone")=1,NOT(ISERROR(FIND("Magical Botch",M446)))),"Yes",IF(P446&gt;1,"Yes","No"))</f>
        <v>No</v>
      </c>
      <c r="S446" s="501"/>
      <c r="T446" s="478"/>
      <c r="U446" s="501"/>
      <c r="V446" s="479" t="str">
        <f>IF(R446="No","No Twilight",IF(T446="Yes","Uncomprehended Twilight",IF((Character!$B$14+IF(Character!$B$53="Yes",0,Character!$B$53)+IF(Magic!$C$5="Yes",2,0)+ROUNDUP((Magic!$B$30+IF(Magic!$C$30="Yes",3,0))/5,0)+S446)&gt;=($D$3+P446+SUMIF(Character!$I$62:$I$66,"Enigmatic Wisdom",Character!$J$62:$J$66)+Q446+U446),"No Twilight","Twilight")))</f>
        <v>No Twilight</v>
      </c>
      <c r="W446" s="483"/>
      <c r="X446" s="478"/>
      <c r="Y446" s="484"/>
      <c r="Z446" s="478"/>
      <c r="AA446" s="485" t="str">
        <f>IF(V446="Uncomprehended Twilight","Failed",IF(OR(ISBLANK(W446),ISBLANK(Y446))," ",IF(NOT(ISBLANK(X446)),"Failed",IF((W446+Character!$B$9+SUMIF(Character!$I$62:$I$66,"Enigmatic Wisdom",Character!$J$62:$J$66))&gt;=IF(Z446="Yes",0,(Y446+D441)),"Succeeded","Failed"))))</f>
        <v xml:space="preserve"> </v>
      </c>
      <c r="AB446" s="477" t="str">
        <f>IF(AA446=" "," ",IF(NOT(ISBLANK(X446)),VLOOKUP($D$3+X446,Calcs!$A$110:$C$122,3,TRUE),IF(AA446="Failed",VLOOKUP($D$3,Calcs!$A$110:$C$122,3,TRUE),VLOOKUP($D$3-(IF((Character!$B$9+W446)&gt;($D$3+Y446),(Character!$B$9+W446)-($D$3+Y446),0)),Calcs!$A$110:$C$122,3,TRUE))))</f>
        <v xml:space="preserve"> </v>
      </c>
      <c r="AC446" s="489"/>
      <c r="AD446" s="489" t="str">
        <f>IF(IF(AA446=" "," ",IF(NOT(ISBLANK(X446)),VLOOKUP($D$3+X446,Calcs!$A$110:$B$122,2,TRUE),IF(AA446="Failed",VLOOKUP($D$3,Calcs!$A$110:$B$122,2,TRUE),VLOOKUP($D$3-(IF((Character!$B$9+W446)&gt;($D$3+Y446),(Character!$B$9+W446)-($D$3+Y446),0)),Calcs!$A$110:$B$122,2,TRUE))))=Calcs!$B$120,IF(ISBLANK(AC446)," ",CONCATENATE(AC446+7," Years")),IF(AA446=" "," ",IF(NOT(ISBLANK(X446)),VLOOKUP($D$3+X446,Calcs!$A$110:$B$122,2,TRUE),IF(AA446="Failed",VLOOKUP($D$3,Calcs!$A$110:$B$122,2,TRUE),VLOOKUP($D$3-(IF((Character!$B$9+W446)&gt;($D$3+Y446),(Character!$B$9+W446)-($D$3+Y446),0)),Calcs!$A$110:$B$122,2,TRUE)))))</f>
        <v xml:space="preserve"> </v>
      </c>
      <c r="AE446" s="490"/>
      <c r="AF446" s="879"/>
      <c r="AG446" s="491"/>
    </row>
    <row r="447" spans="1:33" x14ac:dyDescent="0.2">
      <c r="A447" s="415">
        <f t="shared" si="12"/>
        <v>1321</v>
      </c>
      <c r="B447" s="419" t="str">
        <f t="shared" si="13"/>
        <v>Autumn</v>
      </c>
      <c r="C447" s="455"/>
      <c r="D447" s="504"/>
      <c r="E447" s="455"/>
      <c r="F447" s="504"/>
      <c r="G447" s="455"/>
      <c r="H447" s="504"/>
      <c r="I447" s="455"/>
      <c r="J447" s="504"/>
      <c r="L447" s="472"/>
      <c r="M447" s="468"/>
      <c r="N447" s="468"/>
      <c r="O447" s="468"/>
      <c r="P447" s="468"/>
      <c r="Q447" s="473"/>
      <c r="R447" s="477" t="str">
        <f>IF(AND(COUNTIF('Start Character'!$I$63:$M$77,"Twilight Prone")=1,NOT(ISERROR(FIND("Magical Botch",M447)))),"Yes",IF(P447&gt;1,"Yes","No"))</f>
        <v>No</v>
      </c>
      <c r="S447" s="501"/>
      <c r="T447" s="478"/>
      <c r="U447" s="501"/>
      <c r="V447" s="479" t="str">
        <f>IF(R447="No","No Twilight",IF(T447="Yes","Uncomprehended Twilight",IF((Character!$B$14+IF(Character!$B$53="Yes",0,Character!$B$53)+IF(Magic!$C$5="Yes",2,0)+ROUNDUP((Magic!$B$30+IF(Magic!$C$30="Yes",3,0))/5,0)+S447)&gt;=($D$3+P447+SUMIF(Character!$I$62:$I$66,"Enigmatic Wisdom",Character!$J$62:$J$66)+Q447+U447),"No Twilight","Twilight")))</f>
        <v>No Twilight</v>
      </c>
      <c r="W447" s="483"/>
      <c r="X447" s="478"/>
      <c r="Y447" s="484"/>
      <c r="Z447" s="478"/>
      <c r="AA447" s="485" t="str">
        <f>IF(V447="Uncomprehended Twilight","Failed",IF(OR(ISBLANK(W447),ISBLANK(Y447))," ",IF(NOT(ISBLANK(X447)),"Failed",IF((W447+Character!$B$9+SUMIF(Character!$I$62:$I$66,"Enigmatic Wisdom",Character!$J$62:$J$66))&gt;=IF(Z447="Yes",0,(Y447+D442)),"Succeeded","Failed"))))</f>
        <v xml:space="preserve"> </v>
      </c>
      <c r="AB447" s="477" t="str">
        <f>IF(AA447=" "," ",IF(NOT(ISBLANK(X447)),VLOOKUP($D$3+X447,Calcs!$A$110:$C$122,3,TRUE),IF(AA447="Failed",VLOOKUP($D$3,Calcs!$A$110:$C$122,3,TRUE),VLOOKUP($D$3-(IF((Character!$B$9+W447)&gt;($D$3+Y447),(Character!$B$9+W447)-($D$3+Y447),0)),Calcs!$A$110:$C$122,3,TRUE))))</f>
        <v xml:space="preserve"> </v>
      </c>
      <c r="AC447" s="489"/>
      <c r="AD447" s="489" t="str">
        <f>IF(IF(AA447=" "," ",IF(NOT(ISBLANK(X447)),VLOOKUP($D$3+X447,Calcs!$A$110:$B$122,2,TRUE),IF(AA447="Failed",VLOOKUP($D$3,Calcs!$A$110:$B$122,2,TRUE),VLOOKUP($D$3-(IF((Character!$B$9+W447)&gt;($D$3+Y447),(Character!$B$9+W447)-($D$3+Y447),0)),Calcs!$A$110:$B$122,2,TRUE))))=Calcs!$B$120,IF(ISBLANK(AC447)," ",CONCATENATE(AC447+7," Years")),IF(AA447=" "," ",IF(NOT(ISBLANK(X447)),VLOOKUP($D$3+X447,Calcs!$A$110:$B$122,2,TRUE),IF(AA447="Failed",VLOOKUP($D$3,Calcs!$A$110:$B$122,2,TRUE),VLOOKUP($D$3-(IF((Character!$B$9+W447)&gt;($D$3+Y447),(Character!$B$9+W447)-($D$3+Y447),0)),Calcs!$A$110:$B$122,2,TRUE)))))</f>
        <v xml:space="preserve"> </v>
      </c>
      <c r="AE447" s="490"/>
      <c r="AF447" s="879"/>
      <c r="AG447" s="491"/>
    </row>
    <row r="448" spans="1:33" x14ac:dyDescent="0.2">
      <c r="A448" s="415">
        <f t="shared" si="12"/>
        <v>1322</v>
      </c>
      <c r="B448" s="419" t="str">
        <f t="shared" si="13"/>
        <v>Winter</v>
      </c>
      <c r="C448" s="455"/>
      <c r="D448" s="504"/>
      <c r="E448" s="455"/>
      <c r="F448" s="504"/>
      <c r="G448" s="455"/>
      <c r="H448" s="504"/>
      <c r="I448" s="455"/>
      <c r="J448" s="504"/>
      <c r="L448" s="472"/>
      <c r="M448" s="468"/>
      <c r="N448" s="468"/>
      <c r="O448" s="468"/>
      <c r="P448" s="468"/>
      <c r="Q448" s="473"/>
      <c r="R448" s="477" t="str">
        <f>IF(AND(COUNTIF('Start Character'!$I$63:$M$77,"Twilight Prone")=1,NOT(ISERROR(FIND("Magical Botch",M448)))),"Yes",IF(P448&gt;1,"Yes","No"))</f>
        <v>No</v>
      </c>
      <c r="S448" s="501"/>
      <c r="T448" s="478"/>
      <c r="U448" s="501"/>
      <c r="V448" s="479" t="str">
        <f>IF(R448="No","No Twilight",IF(T448="Yes","Uncomprehended Twilight",IF((Character!$B$14+IF(Character!$B$53="Yes",0,Character!$B$53)+IF(Magic!$C$5="Yes",2,0)+ROUNDUP((Magic!$B$30+IF(Magic!$C$30="Yes",3,0))/5,0)+S448)&gt;=($D$3+P448+SUMIF(Character!$I$62:$I$66,"Enigmatic Wisdom",Character!$J$62:$J$66)+Q448+U448),"No Twilight","Twilight")))</f>
        <v>No Twilight</v>
      </c>
      <c r="W448" s="483"/>
      <c r="X448" s="478"/>
      <c r="Y448" s="484"/>
      <c r="Z448" s="478"/>
      <c r="AA448" s="485" t="str">
        <f>IF(V448="Uncomprehended Twilight","Failed",IF(OR(ISBLANK(W448),ISBLANK(Y448))," ",IF(NOT(ISBLANK(X448)),"Failed",IF((W448+Character!$B$9+SUMIF(Character!$I$62:$I$66,"Enigmatic Wisdom",Character!$J$62:$J$66))&gt;=IF(Z448="Yes",0,(Y448+D443)),"Succeeded","Failed"))))</f>
        <v xml:space="preserve"> </v>
      </c>
      <c r="AB448" s="477" t="str">
        <f>IF(AA448=" "," ",IF(NOT(ISBLANK(X448)),VLOOKUP($D$3+X448,Calcs!$A$110:$C$122,3,TRUE),IF(AA448="Failed",VLOOKUP($D$3,Calcs!$A$110:$C$122,3,TRUE),VLOOKUP($D$3-(IF((Character!$B$9+W448)&gt;($D$3+Y448),(Character!$B$9+W448)-($D$3+Y448),0)),Calcs!$A$110:$C$122,3,TRUE))))</f>
        <v xml:space="preserve"> </v>
      </c>
      <c r="AC448" s="489"/>
      <c r="AD448" s="489" t="str">
        <f>IF(IF(AA448=" "," ",IF(NOT(ISBLANK(X448)),VLOOKUP($D$3+X448,Calcs!$A$110:$B$122,2,TRUE),IF(AA448="Failed",VLOOKUP($D$3,Calcs!$A$110:$B$122,2,TRUE),VLOOKUP($D$3-(IF((Character!$B$9+W448)&gt;($D$3+Y448),(Character!$B$9+W448)-($D$3+Y448),0)),Calcs!$A$110:$B$122,2,TRUE))))=Calcs!$B$120,IF(ISBLANK(AC448)," ",CONCATENATE(AC448+7," Years")),IF(AA448=" "," ",IF(NOT(ISBLANK(X448)),VLOOKUP($D$3+X448,Calcs!$A$110:$B$122,2,TRUE),IF(AA448="Failed",VLOOKUP($D$3,Calcs!$A$110:$B$122,2,TRUE),VLOOKUP($D$3-(IF((Character!$B$9+W448)&gt;($D$3+Y448),(Character!$B$9+W448)-($D$3+Y448),0)),Calcs!$A$110:$B$122,2,TRUE)))))</f>
        <v xml:space="preserve"> </v>
      </c>
      <c r="AE448" s="490"/>
      <c r="AF448" s="879"/>
      <c r="AG448" s="491"/>
    </row>
    <row r="449" spans="1:33" x14ac:dyDescent="0.2">
      <c r="A449" s="415">
        <f t="shared" si="12"/>
        <v>1322</v>
      </c>
      <c r="B449" s="419" t="str">
        <f t="shared" si="13"/>
        <v>Spring</v>
      </c>
      <c r="C449" s="455"/>
      <c r="D449" s="504"/>
      <c r="E449" s="455"/>
      <c r="F449" s="504"/>
      <c r="G449" s="455"/>
      <c r="H449" s="504"/>
      <c r="I449" s="455"/>
      <c r="J449" s="504"/>
      <c r="L449" s="472"/>
      <c r="M449" s="468"/>
      <c r="N449" s="468"/>
      <c r="O449" s="468"/>
      <c r="P449" s="468"/>
      <c r="Q449" s="473"/>
      <c r="R449" s="477" t="str">
        <f>IF(AND(COUNTIF('Start Character'!$I$63:$M$77,"Twilight Prone")=1,NOT(ISERROR(FIND("Magical Botch",M449)))),"Yes",IF(P449&gt;1,"Yes","No"))</f>
        <v>No</v>
      </c>
      <c r="S449" s="501"/>
      <c r="T449" s="478"/>
      <c r="U449" s="501"/>
      <c r="V449" s="479" t="str">
        <f>IF(R449="No","No Twilight",IF(T449="Yes","Uncomprehended Twilight",IF((Character!$B$14+IF(Character!$B$53="Yes",0,Character!$B$53)+IF(Magic!$C$5="Yes",2,0)+ROUNDUP((Magic!$B$30+IF(Magic!$C$30="Yes",3,0))/5,0)+S449)&gt;=($D$3+P449+SUMIF(Character!$I$62:$I$66,"Enigmatic Wisdom",Character!$J$62:$J$66)+Q449+U449),"No Twilight","Twilight")))</f>
        <v>No Twilight</v>
      </c>
      <c r="W449" s="483"/>
      <c r="X449" s="478"/>
      <c r="Y449" s="484"/>
      <c r="Z449" s="478"/>
      <c r="AA449" s="485" t="str">
        <f>IF(V449="Uncomprehended Twilight","Failed",IF(OR(ISBLANK(W449),ISBLANK(Y449))," ",IF(NOT(ISBLANK(X449)),"Failed",IF((W449+Character!$B$9+SUMIF(Character!$I$62:$I$66,"Enigmatic Wisdom",Character!$J$62:$J$66))&gt;=IF(Z449="Yes",0,(Y449+D444)),"Succeeded","Failed"))))</f>
        <v xml:space="preserve"> </v>
      </c>
      <c r="AB449" s="477" t="str">
        <f>IF(AA449=" "," ",IF(NOT(ISBLANK(X449)),VLOOKUP($D$3+X449,Calcs!$A$110:$C$122,3,TRUE),IF(AA449="Failed",VLOOKUP($D$3,Calcs!$A$110:$C$122,3,TRUE),VLOOKUP($D$3-(IF((Character!$B$9+W449)&gt;($D$3+Y449),(Character!$B$9+W449)-($D$3+Y449),0)),Calcs!$A$110:$C$122,3,TRUE))))</f>
        <v xml:space="preserve"> </v>
      </c>
      <c r="AC449" s="489"/>
      <c r="AD449" s="489" t="str">
        <f>IF(IF(AA449=" "," ",IF(NOT(ISBLANK(X449)),VLOOKUP($D$3+X449,Calcs!$A$110:$B$122,2,TRUE),IF(AA449="Failed",VLOOKUP($D$3,Calcs!$A$110:$B$122,2,TRUE),VLOOKUP($D$3-(IF((Character!$B$9+W449)&gt;($D$3+Y449),(Character!$B$9+W449)-($D$3+Y449),0)),Calcs!$A$110:$B$122,2,TRUE))))=Calcs!$B$120,IF(ISBLANK(AC449)," ",CONCATENATE(AC449+7," Years")),IF(AA449=" "," ",IF(NOT(ISBLANK(X449)),VLOOKUP($D$3+X449,Calcs!$A$110:$B$122,2,TRUE),IF(AA449="Failed",VLOOKUP($D$3,Calcs!$A$110:$B$122,2,TRUE),VLOOKUP($D$3-(IF((Character!$B$9+W449)&gt;($D$3+Y449),(Character!$B$9+W449)-($D$3+Y449),0)),Calcs!$A$110:$B$122,2,TRUE)))))</f>
        <v xml:space="preserve"> </v>
      </c>
      <c r="AE449" s="490"/>
      <c r="AF449" s="879"/>
      <c r="AG449" s="491"/>
    </row>
    <row r="450" spans="1:33" x14ac:dyDescent="0.2">
      <c r="A450" s="415">
        <f t="shared" si="12"/>
        <v>1322</v>
      </c>
      <c r="B450" s="419" t="str">
        <f t="shared" si="13"/>
        <v>Summer</v>
      </c>
      <c r="C450" s="455"/>
      <c r="D450" s="504"/>
      <c r="E450" s="455"/>
      <c r="F450" s="504"/>
      <c r="G450" s="455"/>
      <c r="H450" s="504"/>
      <c r="I450" s="455"/>
      <c r="J450" s="504"/>
      <c r="L450" s="472"/>
      <c r="M450" s="468"/>
      <c r="N450" s="468"/>
      <c r="O450" s="468"/>
      <c r="P450" s="468"/>
      <c r="Q450" s="473"/>
      <c r="R450" s="477" t="str">
        <f>IF(AND(COUNTIF('Start Character'!$I$63:$M$77,"Twilight Prone")=1,NOT(ISERROR(FIND("Magical Botch",M450)))),"Yes",IF(P450&gt;1,"Yes","No"))</f>
        <v>No</v>
      </c>
      <c r="S450" s="501"/>
      <c r="T450" s="478"/>
      <c r="U450" s="501"/>
      <c r="V450" s="479" t="str">
        <f>IF(R450="No","No Twilight",IF(T450="Yes","Uncomprehended Twilight",IF((Character!$B$14+IF(Character!$B$53="Yes",0,Character!$B$53)+IF(Magic!$C$5="Yes",2,0)+ROUNDUP((Magic!$B$30+IF(Magic!$C$30="Yes",3,0))/5,0)+S450)&gt;=($D$3+P450+SUMIF(Character!$I$62:$I$66,"Enigmatic Wisdom",Character!$J$62:$J$66)+Q450+U450),"No Twilight","Twilight")))</f>
        <v>No Twilight</v>
      </c>
      <c r="W450" s="483"/>
      <c r="X450" s="478"/>
      <c r="Y450" s="484"/>
      <c r="Z450" s="478"/>
      <c r="AA450" s="485" t="str">
        <f>IF(V450="Uncomprehended Twilight","Failed",IF(OR(ISBLANK(W450),ISBLANK(Y450))," ",IF(NOT(ISBLANK(X450)),"Failed",IF((W450+Character!$B$9+SUMIF(Character!$I$62:$I$66,"Enigmatic Wisdom",Character!$J$62:$J$66))&gt;=IF(Z450="Yes",0,(Y450+D445)),"Succeeded","Failed"))))</f>
        <v xml:space="preserve"> </v>
      </c>
      <c r="AB450" s="477" t="str">
        <f>IF(AA450=" "," ",IF(NOT(ISBLANK(X450)),VLOOKUP($D$3+X450,Calcs!$A$110:$C$122,3,TRUE),IF(AA450="Failed",VLOOKUP($D$3,Calcs!$A$110:$C$122,3,TRUE),VLOOKUP($D$3-(IF((Character!$B$9+W450)&gt;($D$3+Y450),(Character!$B$9+W450)-($D$3+Y450),0)),Calcs!$A$110:$C$122,3,TRUE))))</f>
        <v xml:space="preserve"> </v>
      </c>
      <c r="AC450" s="489"/>
      <c r="AD450" s="489" t="str">
        <f>IF(IF(AA450=" "," ",IF(NOT(ISBLANK(X450)),VLOOKUP($D$3+X450,Calcs!$A$110:$B$122,2,TRUE),IF(AA450="Failed",VLOOKUP($D$3,Calcs!$A$110:$B$122,2,TRUE),VLOOKUP($D$3-(IF((Character!$B$9+W450)&gt;($D$3+Y450),(Character!$B$9+W450)-($D$3+Y450),0)),Calcs!$A$110:$B$122,2,TRUE))))=Calcs!$B$120,IF(ISBLANK(AC450)," ",CONCATENATE(AC450+7," Years")),IF(AA450=" "," ",IF(NOT(ISBLANK(X450)),VLOOKUP($D$3+X450,Calcs!$A$110:$B$122,2,TRUE),IF(AA450="Failed",VLOOKUP($D$3,Calcs!$A$110:$B$122,2,TRUE),VLOOKUP($D$3-(IF((Character!$B$9+W450)&gt;($D$3+Y450),(Character!$B$9+W450)-($D$3+Y450),0)),Calcs!$A$110:$B$122,2,TRUE)))))</f>
        <v xml:space="preserve"> </v>
      </c>
      <c r="AE450" s="490"/>
      <c r="AF450" s="879"/>
      <c r="AG450" s="491"/>
    </row>
    <row r="451" spans="1:33" x14ac:dyDescent="0.2">
      <c r="A451" s="415">
        <f t="shared" si="12"/>
        <v>1322</v>
      </c>
      <c r="B451" s="419" t="str">
        <f t="shared" si="13"/>
        <v>Autumn</v>
      </c>
      <c r="C451" s="455"/>
      <c r="D451" s="504"/>
      <c r="E451" s="455"/>
      <c r="F451" s="504"/>
      <c r="G451" s="455"/>
      <c r="H451" s="504"/>
      <c r="I451" s="455"/>
      <c r="J451" s="504"/>
      <c r="L451" s="472"/>
      <c r="M451" s="468"/>
      <c r="N451" s="468"/>
      <c r="O451" s="468"/>
      <c r="P451" s="468"/>
      <c r="Q451" s="473"/>
      <c r="R451" s="477" t="str">
        <f>IF(AND(COUNTIF('Start Character'!$I$63:$M$77,"Twilight Prone")=1,NOT(ISERROR(FIND("Magical Botch",M451)))),"Yes",IF(P451&gt;1,"Yes","No"))</f>
        <v>No</v>
      </c>
      <c r="S451" s="501"/>
      <c r="T451" s="478"/>
      <c r="U451" s="501"/>
      <c r="V451" s="479" t="str">
        <f>IF(R451="No","No Twilight",IF(T451="Yes","Uncomprehended Twilight",IF((Character!$B$14+IF(Character!$B$53="Yes",0,Character!$B$53)+IF(Magic!$C$5="Yes",2,0)+ROUNDUP((Magic!$B$30+IF(Magic!$C$30="Yes",3,0))/5,0)+S451)&gt;=($D$3+P451+SUMIF(Character!$I$62:$I$66,"Enigmatic Wisdom",Character!$J$62:$J$66)+Q451+U451),"No Twilight","Twilight")))</f>
        <v>No Twilight</v>
      </c>
      <c r="W451" s="483"/>
      <c r="X451" s="478"/>
      <c r="Y451" s="484"/>
      <c r="Z451" s="478"/>
      <c r="AA451" s="485" t="str">
        <f>IF(V451="Uncomprehended Twilight","Failed",IF(OR(ISBLANK(W451),ISBLANK(Y451))," ",IF(NOT(ISBLANK(X451)),"Failed",IF((W451+Character!$B$9+SUMIF(Character!$I$62:$I$66,"Enigmatic Wisdom",Character!$J$62:$J$66))&gt;=IF(Z451="Yes",0,(Y451+D446)),"Succeeded","Failed"))))</f>
        <v xml:space="preserve"> </v>
      </c>
      <c r="AB451" s="477" t="str">
        <f>IF(AA451=" "," ",IF(NOT(ISBLANK(X451)),VLOOKUP($D$3+X451,Calcs!$A$110:$C$122,3,TRUE),IF(AA451="Failed",VLOOKUP($D$3,Calcs!$A$110:$C$122,3,TRUE),VLOOKUP($D$3-(IF((Character!$B$9+W451)&gt;($D$3+Y451),(Character!$B$9+W451)-($D$3+Y451),0)),Calcs!$A$110:$C$122,3,TRUE))))</f>
        <v xml:space="preserve"> </v>
      </c>
      <c r="AC451" s="489"/>
      <c r="AD451" s="489" t="str">
        <f>IF(IF(AA451=" "," ",IF(NOT(ISBLANK(X451)),VLOOKUP($D$3+X451,Calcs!$A$110:$B$122,2,TRUE),IF(AA451="Failed",VLOOKUP($D$3,Calcs!$A$110:$B$122,2,TRUE),VLOOKUP($D$3-(IF((Character!$B$9+W451)&gt;($D$3+Y451),(Character!$B$9+W451)-($D$3+Y451),0)),Calcs!$A$110:$B$122,2,TRUE))))=Calcs!$B$120,IF(ISBLANK(AC451)," ",CONCATENATE(AC451+7," Years")),IF(AA451=" "," ",IF(NOT(ISBLANK(X451)),VLOOKUP($D$3+X451,Calcs!$A$110:$B$122,2,TRUE),IF(AA451="Failed",VLOOKUP($D$3,Calcs!$A$110:$B$122,2,TRUE),VLOOKUP($D$3-(IF((Character!$B$9+W451)&gt;($D$3+Y451),(Character!$B$9+W451)-($D$3+Y451),0)),Calcs!$A$110:$B$122,2,TRUE)))))</f>
        <v xml:space="preserve"> </v>
      </c>
      <c r="AE451" s="490"/>
      <c r="AF451" s="879"/>
      <c r="AG451" s="491"/>
    </row>
    <row r="452" spans="1:33" x14ac:dyDescent="0.2">
      <c r="A452" s="415">
        <f t="shared" si="12"/>
        <v>1323</v>
      </c>
      <c r="B452" s="419" t="str">
        <f t="shared" si="13"/>
        <v>Winter</v>
      </c>
      <c r="C452" s="455"/>
      <c r="D452" s="504"/>
      <c r="E452" s="455"/>
      <c r="F452" s="504"/>
      <c r="G452" s="455"/>
      <c r="H452" s="504"/>
      <c r="I452" s="455"/>
      <c r="J452" s="504"/>
      <c r="L452" s="472"/>
      <c r="M452" s="468"/>
      <c r="N452" s="468"/>
      <c r="O452" s="468"/>
      <c r="P452" s="468"/>
      <c r="Q452" s="473"/>
      <c r="R452" s="477" t="str">
        <f>IF(AND(COUNTIF('Start Character'!$I$63:$M$77,"Twilight Prone")=1,NOT(ISERROR(FIND("Magical Botch",M452)))),"Yes",IF(P452&gt;1,"Yes","No"))</f>
        <v>No</v>
      </c>
      <c r="S452" s="501"/>
      <c r="T452" s="478"/>
      <c r="U452" s="501"/>
      <c r="V452" s="479" t="str">
        <f>IF(R452="No","No Twilight",IF(T452="Yes","Uncomprehended Twilight",IF((Character!$B$14+IF(Character!$B$53="Yes",0,Character!$B$53)+IF(Magic!$C$5="Yes",2,0)+ROUNDUP((Magic!$B$30+IF(Magic!$C$30="Yes",3,0))/5,0)+S452)&gt;=($D$3+P452+SUMIF(Character!$I$62:$I$66,"Enigmatic Wisdom",Character!$J$62:$J$66)+Q452+U452),"No Twilight","Twilight")))</f>
        <v>No Twilight</v>
      </c>
      <c r="W452" s="483"/>
      <c r="X452" s="478"/>
      <c r="Y452" s="484"/>
      <c r="Z452" s="478"/>
      <c r="AA452" s="485" t="str">
        <f>IF(V452="Uncomprehended Twilight","Failed",IF(OR(ISBLANK(W452),ISBLANK(Y452))," ",IF(NOT(ISBLANK(X452)),"Failed",IF((W452+Character!$B$9+SUMIF(Character!$I$62:$I$66,"Enigmatic Wisdom",Character!$J$62:$J$66))&gt;=IF(Z452="Yes",0,(Y452+D447)),"Succeeded","Failed"))))</f>
        <v xml:space="preserve"> </v>
      </c>
      <c r="AB452" s="477" t="str">
        <f>IF(AA452=" "," ",IF(NOT(ISBLANK(X452)),VLOOKUP($D$3+X452,Calcs!$A$110:$C$122,3,TRUE),IF(AA452="Failed",VLOOKUP($D$3,Calcs!$A$110:$C$122,3,TRUE),VLOOKUP($D$3-(IF((Character!$B$9+W452)&gt;($D$3+Y452),(Character!$B$9+W452)-($D$3+Y452),0)),Calcs!$A$110:$C$122,3,TRUE))))</f>
        <v xml:space="preserve"> </v>
      </c>
      <c r="AC452" s="489"/>
      <c r="AD452" s="489" t="str">
        <f>IF(IF(AA452=" "," ",IF(NOT(ISBLANK(X452)),VLOOKUP($D$3+X452,Calcs!$A$110:$B$122,2,TRUE),IF(AA452="Failed",VLOOKUP($D$3,Calcs!$A$110:$B$122,2,TRUE),VLOOKUP($D$3-(IF((Character!$B$9+W452)&gt;($D$3+Y452),(Character!$B$9+W452)-($D$3+Y452),0)),Calcs!$A$110:$B$122,2,TRUE))))=Calcs!$B$120,IF(ISBLANK(AC452)," ",CONCATENATE(AC452+7," Years")),IF(AA452=" "," ",IF(NOT(ISBLANK(X452)),VLOOKUP($D$3+X452,Calcs!$A$110:$B$122,2,TRUE),IF(AA452="Failed",VLOOKUP($D$3,Calcs!$A$110:$B$122,2,TRUE),VLOOKUP($D$3-(IF((Character!$B$9+W452)&gt;($D$3+Y452),(Character!$B$9+W452)-($D$3+Y452),0)),Calcs!$A$110:$B$122,2,TRUE)))))</f>
        <v xml:space="preserve"> </v>
      </c>
      <c r="AE452" s="490"/>
      <c r="AF452" s="879"/>
      <c r="AG452" s="491"/>
    </row>
    <row r="453" spans="1:33" x14ac:dyDescent="0.2">
      <c r="A453" s="415">
        <f t="shared" si="12"/>
        <v>1323</v>
      </c>
      <c r="B453" s="419" t="str">
        <f t="shared" si="13"/>
        <v>Spring</v>
      </c>
      <c r="C453" s="455"/>
      <c r="D453" s="504"/>
      <c r="E453" s="455"/>
      <c r="F453" s="504"/>
      <c r="G453" s="455"/>
      <c r="H453" s="504"/>
      <c r="I453" s="455"/>
      <c r="J453" s="504"/>
      <c r="L453" s="472"/>
      <c r="M453" s="468"/>
      <c r="N453" s="468"/>
      <c r="O453" s="468"/>
      <c r="P453" s="468"/>
      <c r="Q453" s="473"/>
      <c r="R453" s="477" t="str">
        <f>IF(AND(COUNTIF('Start Character'!$I$63:$M$77,"Twilight Prone")=1,NOT(ISERROR(FIND("Magical Botch",M453)))),"Yes",IF(P453&gt;1,"Yes","No"))</f>
        <v>No</v>
      </c>
      <c r="S453" s="501"/>
      <c r="T453" s="478"/>
      <c r="U453" s="501"/>
      <c r="V453" s="479" t="str">
        <f>IF(R453="No","No Twilight",IF(T453="Yes","Uncomprehended Twilight",IF((Character!$B$14+IF(Character!$B$53="Yes",0,Character!$B$53)+IF(Magic!$C$5="Yes",2,0)+ROUNDUP((Magic!$B$30+IF(Magic!$C$30="Yes",3,0))/5,0)+S453)&gt;=($D$3+P453+SUMIF(Character!$I$62:$I$66,"Enigmatic Wisdom",Character!$J$62:$J$66)+Q453+U453),"No Twilight","Twilight")))</f>
        <v>No Twilight</v>
      </c>
      <c r="W453" s="483"/>
      <c r="X453" s="478"/>
      <c r="Y453" s="484"/>
      <c r="Z453" s="478"/>
      <c r="AA453" s="485" t="str">
        <f>IF(V453="Uncomprehended Twilight","Failed",IF(OR(ISBLANK(W453),ISBLANK(Y453))," ",IF(NOT(ISBLANK(X453)),"Failed",IF((W453+Character!$B$9+SUMIF(Character!$I$62:$I$66,"Enigmatic Wisdom",Character!$J$62:$J$66))&gt;=IF(Z453="Yes",0,(Y453+D448)),"Succeeded","Failed"))))</f>
        <v xml:space="preserve"> </v>
      </c>
      <c r="AB453" s="477" t="str">
        <f>IF(AA453=" "," ",IF(NOT(ISBLANK(X453)),VLOOKUP($D$3+X453,Calcs!$A$110:$C$122,3,TRUE),IF(AA453="Failed",VLOOKUP($D$3,Calcs!$A$110:$C$122,3,TRUE),VLOOKUP($D$3-(IF((Character!$B$9+W453)&gt;($D$3+Y453),(Character!$B$9+W453)-($D$3+Y453),0)),Calcs!$A$110:$C$122,3,TRUE))))</f>
        <v xml:space="preserve"> </v>
      </c>
      <c r="AC453" s="489"/>
      <c r="AD453" s="489" t="str">
        <f>IF(IF(AA453=" "," ",IF(NOT(ISBLANK(X453)),VLOOKUP($D$3+X453,Calcs!$A$110:$B$122,2,TRUE),IF(AA453="Failed",VLOOKUP($D$3,Calcs!$A$110:$B$122,2,TRUE),VLOOKUP($D$3-(IF((Character!$B$9+W453)&gt;($D$3+Y453),(Character!$B$9+W453)-($D$3+Y453),0)),Calcs!$A$110:$B$122,2,TRUE))))=Calcs!$B$120,IF(ISBLANK(AC453)," ",CONCATENATE(AC453+7," Years")),IF(AA453=" "," ",IF(NOT(ISBLANK(X453)),VLOOKUP($D$3+X453,Calcs!$A$110:$B$122,2,TRUE),IF(AA453="Failed",VLOOKUP($D$3,Calcs!$A$110:$B$122,2,TRUE),VLOOKUP($D$3-(IF((Character!$B$9+W453)&gt;($D$3+Y453),(Character!$B$9+W453)-($D$3+Y453),0)),Calcs!$A$110:$B$122,2,TRUE)))))</f>
        <v xml:space="preserve"> </v>
      </c>
      <c r="AE453" s="490"/>
      <c r="AF453" s="879"/>
      <c r="AG453" s="491"/>
    </row>
    <row r="454" spans="1:33" x14ac:dyDescent="0.2">
      <c r="A454" s="415">
        <f t="shared" si="12"/>
        <v>1323</v>
      </c>
      <c r="B454" s="419" t="str">
        <f t="shared" si="13"/>
        <v>Summer</v>
      </c>
      <c r="C454" s="455"/>
      <c r="D454" s="504"/>
      <c r="E454" s="455"/>
      <c r="F454" s="504"/>
      <c r="G454" s="455"/>
      <c r="H454" s="504"/>
      <c r="I454" s="455"/>
      <c r="J454" s="504"/>
      <c r="L454" s="472"/>
      <c r="M454" s="468"/>
      <c r="N454" s="468"/>
      <c r="O454" s="468"/>
      <c r="P454" s="468"/>
      <c r="Q454" s="473"/>
      <c r="R454" s="477" t="str">
        <f>IF(AND(COUNTIF('Start Character'!$I$63:$M$77,"Twilight Prone")=1,NOT(ISERROR(FIND("Magical Botch",M454)))),"Yes",IF(P454&gt;1,"Yes","No"))</f>
        <v>No</v>
      </c>
      <c r="S454" s="501"/>
      <c r="T454" s="478"/>
      <c r="U454" s="501"/>
      <c r="V454" s="479" t="str">
        <f>IF(R454="No","No Twilight",IF(T454="Yes","Uncomprehended Twilight",IF((Character!$B$14+IF(Character!$B$53="Yes",0,Character!$B$53)+IF(Magic!$C$5="Yes",2,0)+ROUNDUP((Magic!$B$30+IF(Magic!$C$30="Yes",3,0))/5,0)+S454)&gt;=($D$3+P454+SUMIF(Character!$I$62:$I$66,"Enigmatic Wisdom",Character!$J$62:$J$66)+Q454+U454),"No Twilight","Twilight")))</f>
        <v>No Twilight</v>
      </c>
      <c r="W454" s="483"/>
      <c r="X454" s="478"/>
      <c r="Y454" s="484"/>
      <c r="Z454" s="478"/>
      <c r="AA454" s="485" t="str">
        <f>IF(V454="Uncomprehended Twilight","Failed",IF(OR(ISBLANK(W454),ISBLANK(Y454))," ",IF(NOT(ISBLANK(X454)),"Failed",IF((W454+Character!$B$9+SUMIF(Character!$I$62:$I$66,"Enigmatic Wisdom",Character!$J$62:$J$66))&gt;=IF(Z454="Yes",0,(Y454+D449)),"Succeeded","Failed"))))</f>
        <v xml:space="preserve"> </v>
      </c>
      <c r="AB454" s="477" t="str">
        <f>IF(AA454=" "," ",IF(NOT(ISBLANK(X454)),VLOOKUP($D$3+X454,Calcs!$A$110:$C$122,3,TRUE),IF(AA454="Failed",VLOOKUP($D$3,Calcs!$A$110:$C$122,3,TRUE),VLOOKUP($D$3-(IF((Character!$B$9+W454)&gt;($D$3+Y454),(Character!$B$9+W454)-($D$3+Y454),0)),Calcs!$A$110:$C$122,3,TRUE))))</f>
        <v xml:space="preserve"> </v>
      </c>
      <c r="AC454" s="489"/>
      <c r="AD454" s="489" t="str">
        <f>IF(IF(AA454=" "," ",IF(NOT(ISBLANK(X454)),VLOOKUP($D$3+X454,Calcs!$A$110:$B$122,2,TRUE),IF(AA454="Failed",VLOOKUP($D$3,Calcs!$A$110:$B$122,2,TRUE),VLOOKUP($D$3-(IF((Character!$B$9+W454)&gt;($D$3+Y454),(Character!$B$9+W454)-($D$3+Y454),0)),Calcs!$A$110:$B$122,2,TRUE))))=Calcs!$B$120,IF(ISBLANK(AC454)," ",CONCATENATE(AC454+7," Years")),IF(AA454=" "," ",IF(NOT(ISBLANK(X454)),VLOOKUP($D$3+X454,Calcs!$A$110:$B$122,2,TRUE),IF(AA454="Failed",VLOOKUP($D$3,Calcs!$A$110:$B$122,2,TRUE),VLOOKUP($D$3-(IF((Character!$B$9+W454)&gt;($D$3+Y454),(Character!$B$9+W454)-($D$3+Y454),0)),Calcs!$A$110:$B$122,2,TRUE)))))</f>
        <v xml:space="preserve"> </v>
      </c>
      <c r="AE454" s="490"/>
      <c r="AF454" s="879"/>
      <c r="AG454" s="491"/>
    </row>
    <row r="455" spans="1:33" x14ac:dyDescent="0.2">
      <c r="A455" s="415">
        <f t="shared" si="12"/>
        <v>1323</v>
      </c>
      <c r="B455" s="419" t="str">
        <f t="shared" si="13"/>
        <v>Autumn</v>
      </c>
      <c r="C455" s="455"/>
      <c r="D455" s="504"/>
      <c r="E455" s="455"/>
      <c r="F455" s="504"/>
      <c r="G455" s="455"/>
      <c r="H455" s="504"/>
      <c r="I455" s="455"/>
      <c r="J455" s="504"/>
      <c r="L455" s="472"/>
      <c r="M455" s="468"/>
      <c r="N455" s="468"/>
      <c r="O455" s="468"/>
      <c r="P455" s="468"/>
      <c r="Q455" s="473"/>
      <c r="R455" s="477" t="str">
        <f>IF(AND(COUNTIF('Start Character'!$I$63:$M$77,"Twilight Prone")=1,NOT(ISERROR(FIND("Magical Botch",M455)))),"Yes",IF(P455&gt;1,"Yes","No"))</f>
        <v>No</v>
      </c>
      <c r="S455" s="501"/>
      <c r="T455" s="478"/>
      <c r="U455" s="501"/>
      <c r="V455" s="479" t="str">
        <f>IF(R455="No","No Twilight",IF(T455="Yes","Uncomprehended Twilight",IF((Character!$B$14+IF(Character!$B$53="Yes",0,Character!$B$53)+IF(Magic!$C$5="Yes",2,0)+ROUNDUP((Magic!$B$30+IF(Magic!$C$30="Yes",3,0))/5,0)+S455)&gt;=($D$3+P455+SUMIF(Character!$I$62:$I$66,"Enigmatic Wisdom",Character!$J$62:$J$66)+Q455+U455),"No Twilight","Twilight")))</f>
        <v>No Twilight</v>
      </c>
      <c r="W455" s="483"/>
      <c r="X455" s="478"/>
      <c r="Y455" s="484"/>
      <c r="Z455" s="478"/>
      <c r="AA455" s="485" t="str">
        <f>IF(V455="Uncomprehended Twilight","Failed",IF(OR(ISBLANK(W455),ISBLANK(Y455))," ",IF(NOT(ISBLANK(X455)),"Failed",IF((W455+Character!$B$9+SUMIF(Character!$I$62:$I$66,"Enigmatic Wisdom",Character!$J$62:$J$66))&gt;=IF(Z455="Yes",0,(Y455+D450)),"Succeeded","Failed"))))</f>
        <v xml:space="preserve"> </v>
      </c>
      <c r="AB455" s="477" t="str">
        <f>IF(AA455=" "," ",IF(NOT(ISBLANK(X455)),VLOOKUP($D$3+X455,Calcs!$A$110:$C$122,3,TRUE),IF(AA455="Failed",VLOOKUP($D$3,Calcs!$A$110:$C$122,3,TRUE),VLOOKUP($D$3-(IF((Character!$B$9+W455)&gt;($D$3+Y455),(Character!$B$9+W455)-($D$3+Y455),0)),Calcs!$A$110:$C$122,3,TRUE))))</f>
        <v xml:space="preserve"> </v>
      </c>
      <c r="AC455" s="489"/>
      <c r="AD455" s="489" t="str">
        <f>IF(IF(AA455=" "," ",IF(NOT(ISBLANK(X455)),VLOOKUP($D$3+X455,Calcs!$A$110:$B$122,2,TRUE),IF(AA455="Failed",VLOOKUP($D$3,Calcs!$A$110:$B$122,2,TRUE),VLOOKUP($D$3-(IF((Character!$B$9+W455)&gt;($D$3+Y455),(Character!$B$9+W455)-($D$3+Y455),0)),Calcs!$A$110:$B$122,2,TRUE))))=Calcs!$B$120,IF(ISBLANK(AC455)," ",CONCATENATE(AC455+7," Years")),IF(AA455=" "," ",IF(NOT(ISBLANK(X455)),VLOOKUP($D$3+X455,Calcs!$A$110:$B$122,2,TRUE),IF(AA455="Failed",VLOOKUP($D$3,Calcs!$A$110:$B$122,2,TRUE),VLOOKUP($D$3-(IF((Character!$B$9+W455)&gt;($D$3+Y455),(Character!$B$9+W455)-($D$3+Y455),0)),Calcs!$A$110:$B$122,2,TRUE)))))</f>
        <v xml:space="preserve"> </v>
      </c>
      <c r="AE455" s="490"/>
      <c r="AF455" s="879"/>
      <c r="AG455" s="491"/>
    </row>
    <row r="456" spans="1:33" x14ac:dyDescent="0.2">
      <c r="A456" s="415">
        <f t="shared" si="12"/>
        <v>1324</v>
      </c>
      <c r="B456" s="419" t="str">
        <f t="shared" si="13"/>
        <v>Winter</v>
      </c>
      <c r="C456" s="455"/>
      <c r="D456" s="504"/>
      <c r="E456" s="455"/>
      <c r="F456" s="504"/>
      <c r="G456" s="455"/>
      <c r="H456" s="504"/>
      <c r="I456" s="455"/>
      <c r="J456" s="504"/>
      <c r="L456" s="472"/>
      <c r="M456" s="468"/>
      <c r="N456" s="468"/>
      <c r="O456" s="468"/>
      <c r="P456" s="468"/>
      <c r="Q456" s="473"/>
      <c r="R456" s="477" t="str">
        <f>IF(AND(COUNTIF('Start Character'!$I$63:$M$77,"Twilight Prone")=1,NOT(ISERROR(FIND("Magical Botch",M456)))),"Yes",IF(P456&gt;1,"Yes","No"))</f>
        <v>No</v>
      </c>
      <c r="S456" s="501"/>
      <c r="T456" s="478"/>
      <c r="U456" s="501"/>
      <c r="V456" s="479" t="str">
        <f>IF(R456="No","No Twilight",IF(T456="Yes","Uncomprehended Twilight",IF((Character!$B$14+IF(Character!$B$53="Yes",0,Character!$B$53)+IF(Magic!$C$5="Yes",2,0)+ROUNDUP((Magic!$B$30+IF(Magic!$C$30="Yes",3,0))/5,0)+S456)&gt;=($D$3+P456+SUMIF(Character!$I$62:$I$66,"Enigmatic Wisdom",Character!$J$62:$J$66)+Q456+U456),"No Twilight","Twilight")))</f>
        <v>No Twilight</v>
      </c>
      <c r="W456" s="483"/>
      <c r="X456" s="478"/>
      <c r="Y456" s="484"/>
      <c r="Z456" s="478"/>
      <c r="AA456" s="485" t="str">
        <f>IF(V456="Uncomprehended Twilight","Failed",IF(OR(ISBLANK(W456),ISBLANK(Y456))," ",IF(NOT(ISBLANK(X456)),"Failed",IF((W456+Character!$B$9+SUMIF(Character!$I$62:$I$66,"Enigmatic Wisdom",Character!$J$62:$J$66))&gt;=IF(Z456="Yes",0,(Y456+D451)),"Succeeded","Failed"))))</f>
        <v xml:space="preserve"> </v>
      </c>
      <c r="AB456" s="477" t="str">
        <f>IF(AA456=" "," ",IF(NOT(ISBLANK(X456)),VLOOKUP($D$3+X456,Calcs!$A$110:$C$122,3,TRUE),IF(AA456="Failed",VLOOKUP($D$3,Calcs!$A$110:$C$122,3,TRUE),VLOOKUP($D$3-(IF((Character!$B$9+W456)&gt;($D$3+Y456),(Character!$B$9+W456)-($D$3+Y456),0)),Calcs!$A$110:$C$122,3,TRUE))))</f>
        <v xml:space="preserve"> </v>
      </c>
      <c r="AC456" s="489"/>
      <c r="AD456" s="489" t="str">
        <f>IF(IF(AA456=" "," ",IF(NOT(ISBLANK(X456)),VLOOKUP($D$3+X456,Calcs!$A$110:$B$122,2,TRUE),IF(AA456="Failed",VLOOKUP($D$3,Calcs!$A$110:$B$122,2,TRUE),VLOOKUP($D$3-(IF((Character!$B$9+W456)&gt;($D$3+Y456),(Character!$B$9+W456)-($D$3+Y456),0)),Calcs!$A$110:$B$122,2,TRUE))))=Calcs!$B$120,IF(ISBLANK(AC456)," ",CONCATENATE(AC456+7," Years")),IF(AA456=" "," ",IF(NOT(ISBLANK(X456)),VLOOKUP($D$3+X456,Calcs!$A$110:$B$122,2,TRUE),IF(AA456="Failed",VLOOKUP($D$3,Calcs!$A$110:$B$122,2,TRUE),VLOOKUP($D$3-(IF((Character!$B$9+W456)&gt;($D$3+Y456),(Character!$B$9+W456)-($D$3+Y456),0)),Calcs!$A$110:$B$122,2,TRUE)))))</f>
        <v xml:space="preserve"> </v>
      </c>
      <c r="AE456" s="490"/>
      <c r="AF456" s="879"/>
      <c r="AG456" s="491"/>
    </row>
    <row r="457" spans="1:33" x14ac:dyDescent="0.2">
      <c r="A457" s="415">
        <f t="shared" si="12"/>
        <v>1324</v>
      </c>
      <c r="B457" s="419" t="str">
        <f t="shared" si="13"/>
        <v>Spring</v>
      </c>
      <c r="C457" s="455"/>
      <c r="D457" s="504"/>
      <c r="E457" s="455"/>
      <c r="F457" s="504"/>
      <c r="G457" s="455"/>
      <c r="H457" s="504"/>
      <c r="I457" s="455"/>
      <c r="J457" s="504"/>
      <c r="L457" s="472"/>
      <c r="M457" s="468"/>
      <c r="N457" s="468"/>
      <c r="O457" s="468"/>
      <c r="P457" s="468"/>
      <c r="Q457" s="473"/>
      <c r="R457" s="477" t="str">
        <f>IF(AND(COUNTIF('Start Character'!$I$63:$M$77,"Twilight Prone")=1,NOT(ISERROR(FIND("Magical Botch",M457)))),"Yes",IF(P457&gt;1,"Yes","No"))</f>
        <v>No</v>
      </c>
      <c r="S457" s="501"/>
      <c r="T457" s="478"/>
      <c r="U457" s="501"/>
      <c r="V457" s="479" t="str">
        <f>IF(R457="No","No Twilight",IF(T457="Yes","Uncomprehended Twilight",IF((Character!$B$14+IF(Character!$B$53="Yes",0,Character!$B$53)+IF(Magic!$C$5="Yes",2,0)+ROUNDUP((Magic!$B$30+IF(Magic!$C$30="Yes",3,0))/5,0)+S457)&gt;=($D$3+P457+SUMIF(Character!$I$62:$I$66,"Enigmatic Wisdom",Character!$J$62:$J$66)+Q457+U457),"No Twilight","Twilight")))</f>
        <v>No Twilight</v>
      </c>
      <c r="W457" s="483"/>
      <c r="X457" s="478"/>
      <c r="Y457" s="484"/>
      <c r="Z457" s="478"/>
      <c r="AA457" s="485" t="str">
        <f>IF(V457="Uncomprehended Twilight","Failed",IF(OR(ISBLANK(W457),ISBLANK(Y457))," ",IF(NOT(ISBLANK(X457)),"Failed",IF((W457+Character!$B$9+SUMIF(Character!$I$62:$I$66,"Enigmatic Wisdom",Character!$J$62:$J$66))&gt;=IF(Z457="Yes",0,(Y457+D452)),"Succeeded","Failed"))))</f>
        <v xml:space="preserve"> </v>
      </c>
      <c r="AB457" s="477" t="str">
        <f>IF(AA457=" "," ",IF(NOT(ISBLANK(X457)),VLOOKUP($D$3+X457,Calcs!$A$110:$C$122,3,TRUE),IF(AA457="Failed",VLOOKUP($D$3,Calcs!$A$110:$C$122,3,TRUE),VLOOKUP($D$3-(IF((Character!$B$9+W457)&gt;($D$3+Y457),(Character!$B$9+W457)-($D$3+Y457),0)),Calcs!$A$110:$C$122,3,TRUE))))</f>
        <v xml:space="preserve"> </v>
      </c>
      <c r="AC457" s="489"/>
      <c r="AD457" s="489" t="str">
        <f>IF(IF(AA457=" "," ",IF(NOT(ISBLANK(X457)),VLOOKUP($D$3+X457,Calcs!$A$110:$B$122,2,TRUE),IF(AA457="Failed",VLOOKUP($D$3,Calcs!$A$110:$B$122,2,TRUE),VLOOKUP($D$3-(IF((Character!$B$9+W457)&gt;($D$3+Y457),(Character!$B$9+W457)-($D$3+Y457),0)),Calcs!$A$110:$B$122,2,TRUE))))=Calcs!$B$120,IF(ISBLANK(AC457)," ",CONCATENATE(AC457+7," Years")),IF(AA457=" "," ",IF(NOT(ISBLANK(X457)),VLOOKUP($D$3+X457,Calcs!$A$110:$B$122,2,TRUE),IF(AA457="Failed",VLOOKUP($D$3,Calcs!$A$110:$B$122,2,TRUE),VLOOKUP($D$3-(IF((Character!$B$9+W457)&gt;($D$3+Y457),(Character!$B$9+W457)-($D$3+Y457),0)),Calcs!$A$110:$B$122,2,TRUE)))))</f>
        <v xml:space="preserve"> </v>
      </c>
      <c r="AE457" s="490"/>
      <c r="AF457" s="879"/>
      <c r="AG457" s="491"/>
    </row>
    <row r="458" spans="1:33" x14ac:dyDescent="0.2">
      <c r="A458" s="415">
        <f t="shared" si="12"/>
        <v>1324</v>
      </c>
      <c r="B458" s="419" t="str">
        <f t="shared" si="13"/>
        <v>Summer</v>
      </c>
      <c r="C458" s="455"/>
      <c r="D458" s="504"/>
      <c r="E458" s="455"/>
      <c r="F458" s="504"/>
      <c r="G458" s="455"/>
      <c r="H458" s="504"/>
      <c r="I458" s="455"/>
      <c r="J458" s="504"/>
      <c r="L458" s="472"/>
      <c r="M458" s="468"/>
      <c r="N458" s="468"/>
      <c r="O458" s="468"/>
      <c r="P458" s="468"/>
      <c r="Q458" s="473"/>
      <c r="R458" s="477" t="str">
        <f>IF(AND(COUNTIF('Start Character'!$I$63:$M$77,"Twilight Prone")=1,NOT(ISERROR(FIND("Magical Botch",M458)))),"Yes",IF(P458&gt;1,"Yes","No"))</f>
        <v>No</v>
      </c>
      <c r="S458" s="501"/>
      <c r="T458" s="478"/>
      <c r="U458" s="501"/>
      <c r="V458" s="479" t="str">
        <f>IF(R458="No","No Twilight",IF(T458="Yes","Uncomprehended Twilight",IF((Character!$B$14+IF(Character!$B$53="Yes",0,Character!$B$53)+IF(Magic!$C$5="Yes",2,0)+ROUNDUP((Magic!$B$30+IF(Magic!$C$30="Yes",3,0))/5,0)+S458)&gt;=($D$3+P458+SUMIF(Character!$I$62:$I$66,"Enigmatic Wisdom",Character!$J$62:$J$66)+Q458+U458),"No Twilight","Twilight")))</f>
        <v>No Twilight</v>
      </c>
      <c r="W458" s="483"/>
      <c r="X458" s="478"/>
      <c r="Y458" s="484"/>
      <c r="Z458" s="478"/>
      <c r="AA458" s="485" t="str">
        <f>IF(V458="Uncomprehended Twilight","Failed",IF(OR(ISBLANK(W458),ISBLANK(Y458))," ",IF(NOT(ISBLANK(X458)),"Failed",IF((W458+Character!$B$9+SUMIF(Character!$I$62:$I$66,"Enigmatic Wisdom",Character!$J$62:$J$66))&gt;=IF(Z458="Yes",0,(Y458+D453)),"Succeeded","Failed"))))</f>
        <v xml:space="preserve"> </v>
      </c>
      <c r="AB458" s="477" t="str">
        <f>IF(AA458=" "," ",IF(NOT(ISBLANK(X458)),VLOOKUP($D$3+X458,Calcs!$A$110:$C$122,3,TRUE),IF(AA458="Failed",VLOOKUP($D$3,Calcs!$A$110:$C$122,3,TRUE),VLOOKUP($D$3-(IF((Character!$B$9+W458)&gt;($D$3+Y458),(Character!$B$9+W458)-($D$3+Y458),0)),Calcs!$A$110:$C$122,3,TRUE))))</f>
        <v xml:space="preserve"> </v>
      </c>
      <c r="AC458" s="489"/>
      <c r="AD458" s="489" t="str">
        <f>IF(IF(AA458=" "," ",IF(NOT(ISBLANK(X458)),VLOOKUP($D$3+X458,Calcs!$A$110:$B$122,2,TRUE),IF(AA458="Failed",VLOOKUP($D$3,Calcs!$A$110:$B$122,2,TRUE),VLOOKUP($D$3-(IF((Character!$B$9+W458)&gt;($D$3+Y458),(Character!$B$9+W458)-($D$3+Y458),0)),Calcs!$A$110:$B$122,2,TRUE))))=Calcs!$B$120,IF(ISBLANK(AC458)," ",CONCATENATE(AC458+7," Years")),IF(AA458=" "," ",IF(NOT(ISBLANK(X458)),VLOOKUP($D$3+X458,Calcs!$A$110:$B$122,2,TRUE),IF(AA458="Failed",VLOOKUP($D$3,Calcs!$A$110:$B$122,2,TRUE),VLOOKUP($D$3-(IF((Character!$B$9+W458)&gt;($D$3+Y458),(Character!$B$9+W458)-($D$3+Y458),0)),Calcs!$A$110:$B$122,2,TRUE)))))</f>
        <v xml:space="preserve"> </v>
      </c>
      <c r="AE458" s="490"/>
      <c r="AF458" s="879"/>
      <c r="AG458" s="491"/>
    </row>
    <row r="459" spans="1:33" x14ac:dyDescent="0.2">
      <c r="A459" s="415">
        <f t="shared" si="12"/>
        <v>1324</v>
      </c>
      <c r="B459" s="419" t="str">
        <f t="shared" si="13"/>
        <v>Autumn</v>
      </c>
      <c r="C459" s="455"/>
      <c r="D459" s="504"/>
      <c r="E459" s="455"/>
      <c r="F459" s="504"/>
      <c r="G459" s="455"/>
      <c r="H459" s="504"/>
      <c r="I459" s="455"/>
      <c r="J459" s="504"/>
      <c r="L459" s="472"/>
      <c r="M459" s="468"/>
      <c r="N459" s="468"/>
      <c r="O459" s="468"/>
      <c r="P459" s="468"/>
      <c r="Q459" s="473"/>
      <c r="R459" s="477" t="str">
        <f>IF(AND(COUNTIF('Start Character'!$I$63:$M$77,"Twilight Prone")=1,NOT(ISERROR(FIND("Magical Botch",M459)))),"Yes",IF(P459&gt;1,"Yes","No"))</f>
        <v>No</v>
      </c>
      <c r="S459" s="501"/>
      <c r="T459" s="478"/>
      <c r="U459" s="501"/>
      <c r="V459" s="479" t="str">
        <f>IF(R459="No","No Twilight",IF(T459="Yes","Uncomprehended Twilight",IF((Character!$B$14+IF(Character!$B$53="Yes",0,Character!$B$53)+IF(Magic!$C$5="Yes",2,0)+ROUNDUP((Magic!$B$30+IF(Magic!$C$30="Yes",3,0))/5,0)+S459)&gt;=($D$3+P459+SUMIF(Character!$I$62:$I$66,"Enigmatic Wisdom",Character!$J$62:$J$66)+Q459+U459),"No Twilight","Twilight")))</f>
        <v>No Twilight</v>
      </c>
      <c r="W459" s="483"/>
      <c r="X459" s="478"/>
      <c r="Y459" s="484"/>
      <c r="Z459" s="478"/>
      <c r="AA459" s="485" t="str">
        <f>IF(V459="Uncomprehended Twilight","Failed",IF(OR(ISBLANK(W459),ISBLANK(Y459))," ",IF(NOT(ISBLANK(X459)),"Failed",IF((W459+Character!$B$9+SUMIF(Character!$I$62:$I$66,"Enigmatic Wisdom",Character!$J$62:$J$66))&gt;=IF(Z459="Yes",0,(Y459+D454)),"Succeeded","Failed"))))</f>
        <v xml:space="preserve"> </v>
      </c>
      <c r="AB459" s="477" t="str">
        <f>IF(AA459=" "," ",IF(NOT(ISBLANK(X459)),VLOOKUP($D$3+X459,Calcs!$A$110:$C$122,3,TRUE),IF(AA459="Failed",VLOOKUP($D$3,Calcs!$A$110:$C$122,3,TRUE),VLOOKUP($D$3-(IF((Character!$B$9+W459)&gt;($D$3+Y459),(Character!$B$9+W459)-($D$3+Y459),0)),Calcs!$A$110:$C$122,3,TRUE))))</f>
        <v xml:space="preserve"> </v>
      </c>
      <c r="AC459" s="489"/>
      <c r="AD459" s="489" t="str">
        <f>IF(IF(AA459=" "," ",IF(NOT(ISBLANK(X459)),VLOOKUP($D$3+X459,Calcs!$A$110:$B$122,2,TRUE),IF(AA459="Failed",VLOOKUP($D$3,Calcs!$A$110:$B$122,2,TRUE),VLOOKUP($D$3-(IF((Character!$B$9+W459)&gt;($D$3+Y459),(Character!$B$9+W459)-($D$3+Y459),0)),Calcs!$A$110:$B$122,2,TRUE))))=Calcs!$B$120,IF(ISBLANK(AC459)," ",CONCATENATE(AC459+7," Years")),IF(AA459=" "," ",IF(NOT(ISBLANK(X459)),VLOOKUP($D$3+X459,Calcs!$A$110:$B$122,2,TRUE),IF(AA459="Failed",VLOOKUP($D$3,Calcs!$A$110:$B$122,2,TRUE),VLOOKUP($D$3-(IF((Character!$B$9+W459)&gt;($D$3+Y459),(Character!$B$9+W459)-($D$3+Y459),0)),Calcs!$A$110:$B$122,2,TRUE)))))</f>
        <v xml:space="preserve"> </v>
      </c>
      <c r="AE459" s="490"/>
      <c r="AF459" s="879"/>
      <c r="AG459" s="491"/>
    </row>
    <row r="460" spans="1:33" x14ac:dyDescent="0.2">
      <c r="A460" s="415">
        <f t="shared" si="12"/>
        <v>1325</v>
      </c>
      <c r="B460" s="419" t="str">
        <f t="shared" si="13"/>
        <v>Winter</v>
      </c>
      <c r="C460" s="455"/>
      <c r="D460" s="504"/>
      <c r="E460" s="455"/>
      <c r="F460" s="504"/>
      <c r="G460" s="455"/>
      <c r="H460" s="504"/>
      <c r="I460" s="455"/>
      <c r="J460" s="504"/>
      <c r="L460" s="472"/>
      <c r="M460" s="468"/>
      <c r="N460" s="468"/>
      <c r="O460" s="468"/>
      <c r="P460" s="468"/>
      <c r="Q460" s="473"/>
      <c r="R460" s="477" t="str">
        <f>IF(AND(COUNTIF('Start Character'!$I$63:$M$77,"Twilight Prone")=1,NOT(ISERROR(FIND("Magical Botch",M460)))),"Yes",IF(P460&gt;1,"Yes","No"))</f>
        <v>No</v>
      </c>
      <c r="S460" s="501"/>
      <c r="T460" s="478"/>
      <c r="U460" s="501"/>
      <c r="V460" s="479" t="str">
        <f>IF(R460="No","No Twilight",IF(T460="Yes","Uncomprehended Twilight",IF((Character!$B$14+IF(Character!$B$53="Yes",0,Character!$B$53)+IF(Magic!$C$5="Yes",2,0)+ROUNDUP((Magic!$B$30+IF(Magic!$C$30="Yes",3,0))/5,0)+S460)&gt;=($D$3+P460+SUMIF(Character!$I$62:$I$66,"Enigmatic Wisdom",Character!$J$62:$J$66)+Q460+U460),"No Twilight","Twilight")))</f>
        <v>No Twilight</v>
      </c>
      <c r="W460" s="483"/>
      <c r="X460" s="478"/>
      <c r="Y460" s="484"/>
      <c r="Z460" s="478"/>
      <c r="AA460" s="485" t="str">
        <f>IF(V460="Uncomprehended Twilight","Failed",IF(OR(ISBLANK(W460),ISBLANK(Y460))," ",IF(NOT(ISBLANK(X460)),"Failed",IF((W460+Character!$B$9+SUMIF(Character!$I$62:$I$66,"Enigmatic Wisdom",Character!$J$62:$J$66))&gt;=IF(Z460="Yes",0,(Y460+D455)),"Succeeded","Failed"))))</f>
        <v xml:space="preserve"> </v>
      </c>
      <c r="AB460" s="477" t="str">
        <f>IF(AA460=" "," ",IF(NOT(ISBLANK(X460)),VLOOKUP($D$3+X460,Calcs!$A$110:$C$122,3,TRUE),IF(AA460="Failed",VLOOKUP($D$3,Calcs!$A$110:$C$122,3,TRUE),VLOOKUP($D$3-(IF((Character!$B$9+W460)&gt;($D$3+Y460),(Character!$B$9+W460)-($D$3+Y460),0)),Calcs!$A$110:$C$122,3,TRUE))))</f>
        <v xml:space="preserve"> </v>
      </c>
      <c r="AC460" s="489"/>
      <c r="AD460" s="489" t="str">
        <f>IF(IF(AA460=" "," ",IF(NOT(ISBLANK(X460)),VLOOKUP($D$3+X460,Calcs!$A$110:$B$122,2,TRUE),IF(AA460="Failed",VLOOKUP($D$3,Calcs!$A$110:$B$122,2,TRUE),VLOOKUP($D$3-(IF((Character!$B$9+W460)&gt;($D$3+Y460),(Character!$B$9+W460)-($D$3+Y460),0)),Calcs!$A$110:$B$122,2,TRUE))))=Calcs!$B$120,IF(ISBLANK(AC460)," ",CONCATENATE(AC460+7," Years")),IF(AA460=" "," ",IF(NOT(ISBLANK(X460)),VLOOKUP($D$3+X460,Calcs!$A$110:$B$122,2,TRUE),IF(AA460="Failed",VLOOKUP($D$3,Calcs!$A$110:$B$122,2,TRUE),VLOOKUP($D$3-(IF((Character!$B$9+W460)&gt;($D$3+Y460),(Character!$B$9+W460)-($D$3+Y460),0)),Calcs!$A$110:$B$122,2,TRUE)))))</f>
        <v xml:space="preserve"> </v>
      </c>
      <c r="AE460" s="490"/>
      <c r="AF460" s="879"/>
      <c r="AG460" s="491"/>
    </row>
    <row r="461" spans="1:33" x14ac:dyDescent="0.2">
      <c r="A461" s="415">
        <f t="shared" si="12"/>
        <v>1325</v>
      </c>
      <c r="B461" s="419" t="str">
        <f t="shared" si="13"/>
        <v>Spring</v>
      </c>
      <c r="C461" s="455"/>
      <c r="D461" s="504"/>
      <c r="E461" s="455"/>
      <c r="F461" s="504"/>
      <c r="G461" s="455"/>
      <c r="H461" s="504"/>
      <c r="I461" s="455"/>
      <c r="J461" s="504"/>
      <c r="L461" s="472"/>
      <c r="M461" s="468"/>
      <c r="N461" s="468"/>
      <c r="O461" s="468"/>
      <c r="P461" s="468"/>
      <c r="Q461" s="473"/>
      <c r="R461" s="477" t="str">
        <f>IF(AND(COUNTIF('Start Character'!$I$63:$M$77,"Twilight Prone")=1,NOT(ISERROR(FIND("Magical Botch",M461)))),"Yes",IF(P461&gt;1,"Yes","No"))</f>
        <v>No</v>
      </c>
      <c r="S461" s="501"/>
      <c r="T461" s="478"/>
      <c r="U461" s="501"/>
      <c r="V461" s="479" t="str">
        <f>IF(R461="No","No Twilight",IF(T461="Yes","Uncomprehended Twilight",IF((Character!$B$14+IF(Character!$B$53="Yes",0,Character!$B$53)+IF(Magic!$C$5="Yes",2,0)+ROUNDUP((Magic!$B$30+IF(Magic!$C$30="Yes",3,0))/5,0)+S461)&gt;=($D$3+P461+SUMIF(Character!$I$62:$I$66,"Enigmatic Wisdom",Character!$J$62:$J$66)+Q461+U461),"No Twilight","Twilight")))</f>
        <v>No Twilight</v>
      </c>
      <c r="W461" s="483"/>
      <c r="X461" s="478"/>
      <c r="Y461" s="484"/>
      <c r="Z461" s="478"/>
      <c r="AA461" s="485" t="str">
        <f>IF(V461="Uncomprehended Twilight","Failed",IF(OR(ISBLANK(W461),ISBLANK(Y461))," ",IF(NOT(ISBLANK(X461)),"Failed",IF((W461+Character!$B$9+SUMIF(Character!$I$62:$I$66,"Enigmatic Wisdom",Character!$J$62:$J$66))&gt;=IF(Z461="Yes",0,(Y461+D456)),"Succeeded","Failed"))))</f>
        <v xml:space="preserve"> </v>
      </c>
      <c r="AB461" s="477" t="str">
        <f>IF(AA461=" "," ",IF(NOT(ISBLANK(X461)),VLOOKUP($D$3+X461,Calcs!$A$110:$C$122,3,TRUE),IF(AA461="Failed",VLOOKUP($D$3,Calcs!$A$110:$C$122,3,TRUE),VLOOKUP($D$3-(IF((Character!$B$9+W461)&gt;($D$3+Y461),(Character!$B$9+W461)-($D$3+Y461),0)),Calcs!$A$110:$C$122,3,TRUE))))</f>
        <v xml:space="preserve"> </v>
      </c>
      <c r="AC461" s="489"/>
      <c r="AD461" s="489" t="str">
        <f>IF(IF(AA461=" "," ",IF(NOT(ISBLANK(X461)),VLOOKUP($D$3+X461,Calcs!$A$110:$B$122,2,TRUE),IF(AA461="Failed",VLOOKUP($D$3,Calcs!$A$110:$B$122,2,TRUE),VLOOKUP($D$3-(IF((Character!$B$9+W461)&gt;($D$3+Y461),(Character!$B$9+W461)-($D$3+Y461),0)),Calcs!$A$110:$B$122,2,TRUE))))=Calcs!$B$120,IF(ISBLANK(AC461)," ",CONCATENATE(AC461+7," Years")),IF(AA461=" "," ",IF(NOT(ISBLANK(X461)),VLOOKUP($D$3+X461,Calcs!$A$110:$B$122,2,TRUE),IF(AA461="Failed",VLOOKUP($D$3,Calcs!$A$110:$B$122,2,TRUE),VLOOKUP($D$3-(IF((Character!$B$9+W461)&gt;($D$3+Y461),(Character!$B$9+W461)-($D$3+Y461),0)),Calcs!$A$110:$B$122,2,TRUE)))))</f>
        <v xml:space="preserve"> </v>
      </c>
      <c r="AE461" s="490"/>
      <c r="AF461" s="879"/>
      <c r="AG461" s="491"/>
    </row>
    <row r="462" spans="1:33" x14ac:dyDescent="0.2">
      <c r="A462" s="415">
        <f t="shared" si="12"/>
        <v>1325</v>
      </c>
      <c r="B462" s="419" t="str">
        <f t="shared" si="13"/>
        <v>Summer</v>
      </c>
      <c r="C462" s="455"/>
      <c r="D462" s="504"/>
      <c r="E462" s="455"/>
      <c r="F462" s="504"/>
      <c r="G462" s="455"/>
      <c r="H462" s="504"/>
      <c r="I462" s="455"/>
      <c r="J462" s="504"/>
      <c r="L462" s="472"/>
      <c r="M462" s="468"/>
      <c r="N462" s="468"/>
      <c r="O462" s="468"/>
      <c r="P462" s="468"/>
      <c r="Q462" s="473"/>
      <c r="R462" s="477" t="str">
        <f>IF(AND(COUNTIF('Start Character'!$I$63:$M$77,"Twilight Prone")=1,NOT(ISERROR(FIND("Magical Botch",M462)))),"Yes",IF(P462&gt;1,"Yes","No"))</f>
        <v>No</v>
      </c>
      <c r="S462" s="501"/>
      <c r="T462" s="478"/>
      <c r="U462" s="501"/>
      <c r="V462" s="479" t="str">
        <f>IF(R462="No","No Twilight",IF(T462="Yes","Uncomprehended Twilight",IF((Character!$B$14+IF(Character!$B$53="Yes",0,Character!$B$53)+IF(Magic!$C$5="Yes",2,0)+ROUNDUP((Magic!$B$30+IF(Magic!$C$30="Yes",3,0))/5,0)+S462)&gt;=($D$3+P462+SUMIF(Character!$I$62:$I$66,"Enigmatic Wisdom",Character!$J$62:$J$66)+Q462+U462),"No Twilight","Twilight")))</f>
        <v>No Twilight</v>
      </c>
      <c r="W462" s="483"/>
      <c r="X462" s="478"/>
      <c r="Y462" s="484"/>
      <c r="Z462" s="478"/>
      <c r="AA462" s="485" t="str">
        <f>IF(V462="Uncomprehended Twilight","Failed",IF(OR(ISBLANK(W462),ISBLANK(Y462))," ",IF(NOT(ISBLANK(X462)),"Failed",IF((W462+Character!$B$9+SUMIF(Character!$I$62:$I$66,"Enigmatic Wisdom",Character!$J$62:$J$66))&gt;=IF(Z462="Yes",0,(Y462+D457)),"Succeeded","Failed"))))</f>
        <v xml:space="preserve"> </v>
      </c>
      <c r="AB462" s="477" t="str">
        <f>IF(AA462=" "," ",IF(NOT(ISBLANK(X462)),VLOOKUP($D$3+X462,Calcs!$A$110:$C$122,3,TRUE),IF(AA462="Failed",VLOOKUP($D$3,Calcs!$A$110:$C$122,3,TRUE),VLOOKUP($D$3-(IF((Character!$B$9+W462)&gt;($D$3+Y462),(Character!$B$9+W462)-($D$3+Y462),0)),Calcs!$A$110:$C$122,3,TRUE))))</f>
        <v xml:space="preserve"> </v>
      </c>
      <c r="AC462" s="489"/>
      <c r="AD462" s="489" t="str">
        <f>IF(IF(AA462=" "," ",IF(NOT(ISBLANK(X462)),VLOOKUP($D$3+X462,Calcs!$A$110:$B$122,2,TRUE),IF(AA462="Failed",VLOOKUP($D$3,Calcs!$A$110:$B$122,2,TRUE),VLOOKUP($D$3-(IF((Character!$B$9+W462)&gt;($D$3+Y462),(Character!$B$9+W462)-($D$3+Y462),0)),Calcs!$A$110:$B$122,2,TRUE))))=Calcs!$B$120,IF(ISBLANK(AC462)," ",CONCATENATE(AC462+7," Years")),IF(AA462=" "," ",IF(NOT(ISBLANK(X462)),VLOOKUP($D$3+X462,Calcs!$A$110:$B$122,2,TRUE),IF(AA462="Failed",VLOOKUP($D$3,Calcs!$A$110:$B$122,2,TRUE),VLOOKUP($D$3-(IF((Character!$B$9+W462)&gt;($D$3+Y462),(Character!$B$9+W462)-($D$3+Y462),0)),Calcs!$A$110:$B$122,2,TRUE)))))</f>
        <v xml:space="preserve"> </v>
      </c>
      <c r="AE462" s="490"/>
      <c r="AF462" s="879"/>
      <c r="AG462" s="491"/>
    </row>
    <row r="463" spans="1:33" x14ac:dyDescent="0.2">
      <c r="A463" s="415">
        <f t="shared" si="12"/>
        <v>1325</v>
      </c>
      <c r="B463" s="419" t="str">
        <f t="shared" si="13"/>
        <v>Autumn</v>
      </c>
      <c r="C463" s="455"/>
      <c r="D463" s="504"/>
      <c r="E463" s="455"/>
      <c r="F463" s="504"/>
      <c r="G463" s="455"/>
      <c r="H463" s="504"/>
      <c r="I463" s="455"/>
      <c r="J463" s="504"/>
      <c r="L463" s="472"/>
      <c r="M463" s="468"/>
      <c r="N463" s="468"/>
      <c r="O463" s="468"/>
      <c r="P463" s="468"/>
      <c r="Q463" s="473"/>
      <c r="R463" s="477" t="str">
        <f>IF(AND(COUNTIF('Start Character'!$I$63:$M$77,"Twilight Prone")=1,NOT(ISERROR(FIND("Magical Botch",M463)))),"Yes",IF(P463&gt;1,"Yes","No"))</f>
        <v>No</v>
      </c>
      <c r="S463" s="501"/>
      <c r="T463" s="478"/>
      <c r="U463" s="501"/>
      <c r="V463" s="479" t="str">
        <f>IF(R463="No","No Twilight",IF(T463="Yes","Uncomprehended Twilight",IF((Character!$B$14+IF(Character!$B$53="Yes",0,Character!$B$53)+IF(Magic!$C$5="Yes",2,0)+ROUNDUP((Magic!$B$30+IF(Magic!$C$30="Yes",3,0))/5,0)+S463)&gt;=($D$3+P463+SUMIF(Character!$I$62:$I$66,"Enigmatic Wisdom",Character!$J$62:$J$66)+Q463+U463),"No Twilight","Twilight")))</f>
        <v>No Twilight</v>
      </c>
      <c r="W463" s="483"/>
      <c r="X463" s="478"/>
      <c r="Y463" s="484"/>
      <c r="Z463" s="478"/>
      <c r="AA463" s="485" t="str">
        <f>IF(V463="Uncomprehended Twilight","Failed",IF(OR(ISBLANK(W463),ISBLANK(Y463))," ",IF(NOT(ISBLANK(X463)),"Failed",IF((W463+Character!$B$9+SUMIF(Character!$I$62:$I$66,"Enigmatic Wisdom",Character!$J$62:$J$66))&gt;=IF(Z463="Yes",0,(Y463+D458)),"Succeeded","Failed"))))</f>
        <v xml:space="preserve"> </v>
      </c>
      <c r="AB463" s="477" t="str">
        <f>IF(AA463=" "," ",IF(NOT(ISBLANK(X463)),VLOOKUP($D$3+X463,Calcs!$A$110:$C$122,3,TRUE),IF(AA463="Failed",VLOOKUP($D$3,Calcs!$A$110:$C$122,3,TRUE),VLOOKUP($D$3-(IF((Character!$B$9+W463)&gt;($D$3+Y463),(Character!$B$9+W463)-($D$3+Y463),0)),Calcs!$A$110:$C$122,3,TRUE))))</f>
        <v xml:space="preserve"> </v>
      </c>
      <c r="AC463" s="489"/>
      <c r="AD463" s="489" t="str">
        <f>IF(IF(AA463=" "," ",IF(NOT(ISBLANK(X463)),VLOOKUP($D$3+X463,Calcs!$A$110:$B$122,2,TRUE),IF(AA463="Failed",VLOOKUP($D$3,Calcs!$A$110:$B$122,2,TRUE),VLOOKUP($D$3-(IF((Character!$B$9+W463)&gt;($D$3+Y463),(Character!$B$9+W463)-($D$3+Y463),0)),Calcs!$A$110:$B$122,2,TRUE))))=Calcs!$B$120,IF(ISBLANK(AC463)," ",CONCATENATE(AC463+7," Years")),IF(AA463=" "," ",IF(NOT(ISBLANK(X463)),VLOOKUP($D$3+X463,Calcs!$A$110:$B$122,2,TRUE),IF(AA463="Failed",VLOOKUP($D$3,Calcs!$A$110:$B$122,2,TRUE),VLOOKUP($D$3-(IF((Character!$B$9+W463)&gt;($D$3+Y463),(Character!$B$9+W463)-($D$3+Y463),0)),Calcs!$A$110:$B$122,2,TRUE)))))</f>
        <v xml:space="preserve"> </v>
      </c>
      <c r="AE463" s="490"/>
      <c r="AF463" s="879"/>
      <c r="AG463" s="491"/>
    </row>
    <row r="464" spans="1:33" x14ac:dyDescent="0.2">
      <c r="A464" s="415">
        <f t="shared" si="12"/>
        <v>1326</v>
      </c>
      <c r="B464" s="419" t="str">
        <f t="shared" si="13"/>
        <v>Winter</v>
      </c>
      <c r="C464" s="455"/>
      <c r="D464" s="504"/>
      <c r="E464" s="455"/>
      <c r="F464" s="504"/>
      <c r="G464" s="455"/>
      <c r="H464" s="504"/>
      <c r="I464" s="455"/>
      <c r="J464" s="504"/>
      <c r="L464" s="472"/>
      <c r="M464" s="468"/>
      <c r="N464" s="468"/>
      <c r="O464" s="468"/>
      <c r="P464" s="468"/>
      <c r="Q464" s="473"/>
      <c r="R464" s="477" t="str">
        <f>IF(AND(COUNTIF('Start Character'!$I$63:$M$77,"Twilight Prone")=1,NOT(ISERROR(FIND("Magical Botch",M464)))),"Yes",IF(P464&gt;1,"Yes","No"))</f>
        <v>No</v>
      </c>
      <c r="S464" s="501"/>
      <c r="T464" s="478"/>
      <c r="U464" s="501"/>
      <c r="V464" s="479" t="str">
        <f>IF(R464="No","No Twilight",IF(T464="Yes","Uncomprehended Twilight",IF((Character!$B$14+IF(Character!$B$53="Yes",0,Character!$B$53)+IF(Magic!$C$5="Yes",2,0)+ROUNDUP((Magic!$B$30+IF(Magic!$C$30="Yes",3,0))/5,0)+S464)&gt;=($D$3+P464+SUMIF(Character!$I$62:$I$66,"Enigmatic Wisdom",Character!$J$62:$J$66)+Q464+U464),"No Twilight","Twilight")))</f>
        <v>No Twilight</v>
      </c>
      <c r="W464" s="483"/>
      <c r="X464" s="478"/>
      <c r="Y464" s="484"/>
      <c r="Z464" s="478"/>
      <c r="AA464" s="485" t="str">
        <f>IF(V464="Uncomprehended Twilight","Failed",IF(OR(ISBLANK(W464),ISBLANK(Y464))," ",IF(NOT(ISBLANK(X464)),"Failed",IF((W464+Character!$B$9+SUMIF(Character!$I$62:$I$66,"Enigmatic Wisdom",Character!$J$62:$J$66))&gt;=IF(Z464="Yes",0,(Y464+D459)),"Succeeded","Failed"))))</f>
        <v xml:space="preserve"> </v>
      </c>
      <c r="AB464" s="477" t="str">
        <f>IF(AA464=" "," ",IF(NOT(ISBLANK(X464)),VLOOKUP($D$3+X464,Calcs!$A$110:$C$122,3,TRUE),IF(AA464="Failed",VLOOKUP($D$3,Calcs!$A$110:$C$122,3,TRUE),VLOOKUP($D$3-(IF((Character!$B$9+W464)&gt;($D$3+Y464),(Character!$B$9+W464)-($D$3+Y464),0)),Calcs!$A$110:$C$122,3,TRUE))))</f>
        <v xml:space="preserve"> </v>
      </c>
      <c r="AC464" s="489"/>
      <c r="AD464" s="489" t="str">
        <f>IF(IF(AA464=" "," ",IF(NOT(ISBLANK(X464)),VLOOKUP($D$3+X464,Calcs!$A$110:$B$122,2,TRUE),IF(AA464="Failed",VLOOKUP($D$3,Calcs!$A$110:$B$122,2,TRUE),VLOOKUP($D$3-(IF((Character!$B$9+W464)&gt;($D$3+Y464),(Character!$B$9+W464)-($D$3+Y464),0)),Calcs!$A$110:$B$122,2,TRUE))))=Calcs!$B$120,IF(ISBLANK(AC464)," ",CONCATENATE(AC464+7," Years")),IF(AA464=" "," ",IF(NOT(ISBLANK(X464)),VLOOKUP($D$3+X464,Calcs!$A$110:$B$122,2,TRUE),IF(AA464="Failed",VLOOKUP($D$3,Calcs!$A$110:$B$122,2,TRUE),VLOOKUP($D$3-(IF((Character!$B$9+W464)&gt;($D$3+Y464),(Character!$B$9+W464)-($D$3+Y464),0)),Calcs!$A$110:$B$122,2,TRUE)))))</f>
        <v xml:space="preserve"> </v>
      </c>
      <c r="AE464" s="490"/>
      <c r="AF464" s="879"/>
      <c r="AG464" s="491"/>
    </row>
    <row r="465" spans="1:33" x14ac:dyDescent="0.2">
      <c r="A465" s="415">
        <f t="shared" si="12"/>
        <v>1326</v>
      </c>
      <c r="B465" s="419" t="str">
        <f t="shared" si="13"/>
        <v>Spring</v>
      </c>
      <c r="C465" s="455"/>
      <c r="D465" s="504"/>
      <c r="E465" s="455"/>
      <c r="F465" s="504"/>
      <c r="G465" s="455"/>
      <c r="H465" s="504"/>
      <c r="I465" s="455"/>
      <c r="J465" s="504"/>
      <c r="L465" s="472"/>
      <c r="M465" s="468"/>
      <c r="N465" s="468"/>
      <c r="O465" s="468"/>
      <c r="P465" s="468"/>
      <c r="Q465" s="473"/>
      <c r="R465" s="477" t="str">
        <f>IF(AND(COUNTIF('Start Character'!$I$63:$M$77,"Twilight Prone")=1,NOT(ISERROR(FIND("Magical Botch",M465)))),"Yes",IF(P465&gt;1,"Yes","No"))</f>
        <v>No</v>
      </c>
      <c r="S465" s="501"/>
      <c r="T465" s="478"/>
      <c r="U465" s="501"/>
      <c r="V465" s="479" t="str">
        <f>IF(R465="No","No Twilight",IF(T465="Yes","Uncomprehended Twilight",IF((Character!$B$14+IF(Character!$B$53="Yes",0,Character!$B$53)+IF(Magic!$C$5="Yes",2,0)+ROUNDUP((Magic!$B$30+IF(Magic!$C$30="Yes",3,0))/5,0)+S465)&gt;=($D$3+P465+SUMIF(Character!$I$62:$I$66,"Enigmatic Wisdom",Character!$J$62:$J$66)+Q465+U465),"No Twilight","Twilight")))</f>
        <v>No Twilight</v>
      </c>
      <c r="W465" s="483"/>
      <c r="X465" s="478"/>
      <c r="Y465" s="484"/>
      <c r="Z465" s="478"/>
      <c r="AA465" s="485" t="str">
        <f>IF(V465="Uncomprehended Twilight","Failed",IF(OR(ISBLANK(W465),ISBLANK(Y465))," ",IF(NOT(ISBLANK(X465)),"Failed",IF((W465+Character!$B$9+SUMIF(Character!$I$62:$I$66,"Enigmatic Wisdom",Character!$J$62:$J$66))&gt;=IF(Z465="Yes",0,(Y465+D460)),"Succeeded","Failed"))))</f>
        <v xml:space="preserve"> </v>
      </c>
      <c r="AB465" s="477" t="str">
        <f>IF(AA465=" "," ",IF(NOT(ISBLANK(X465)),VLOOKUP($D$3+X465,Calcs!$A$110:$C$122,3,TRUE),IF(AA465="Failed",VLOOKUP($D$3,Calcs!$A$110:$C$122,3,TRUE),VLOOKUP($D$3-(IF((Character!$B$9+W465)&gt;($D$3+Y465),(Character!$B$9+W465)-($D$3+Y465),0)),Calcs!$A$110:$C$122,3,TRUE))))</f>
        <v xml:space="preserve"> </v>
      </c>
      <c r="AC465" s="489"/>
      <c r="AD465" s="489" t="str">
        <f>IF(IF(AA465=" "," ",IF(NOT(ISBLANK(X465)),VLOOKUP($D$3+X465,Calcs!$A$110:$B$122,2,TRUE),IF(AA465="Failed",VLOOKUP($D$3,Calcs!$A$110:$B$122,2,TRUE),VLOOKUP($D$3-(IF((Character!$B$9+W465)&gt;($D$3+Y465),(Character!$B$9+W465)-($D$3+Y465),0)),Calcs!$A$110:$B$122,2,TRUE))))=Calcs!$B$120,IF(ISBLANK(AC465)," ",CONCATENATE(AC465+7," Years")),IF(AA465=" "," ",IF(NOT(ISBLANK(X465)),VLOOKUP($D$3+X465,Calcs!$A$110:$B$122,2,TRUE),IF(AA465="Failed",VLOOKUP($D$3,Calcs!$A$110:$B$122,2,TRUE),VLOOKUP($D$3-(IF((Character!$B$9+W465)&gt;($D$3+Y465),(Character!$B$9+W465)-($D$3+Y465),0)),Calcs!$A$110:$B$122,2,TRUE)))))</f>
        <v xml:space="preserve"> </v>
      </c>
      <c r="AE465" s="490"/>
      <c r="AF465" s="879"/>
      <c r="AG465" s="491"/>
    </row>
    <row r="466" spans="1:33" x14ac:dyDescent="0.2">
      <c r="A466" s="415">
        <f t="shared" si="12"/>
        <v>1326</v>
      </c>
      <c r="B466" s="419" t="str">
        <f t="shared" si="13"/>
        <v>Summer</v>
      </c>
      <c r="C466" s="455"/>
      <c r="D466" s="504"/>
      <c r="E466" s="455"/>
      <c r="F466" s="504"/>
      <c r="G466" s="455"/>
      <c r="H466" s="504"/>
      <c r="I466" s="455"/>
      <c r="J466" s="504"/>
      <c r="L466" s="472"/>
      <c r="M466" s="468"/>
      <c r="N466" s="468"/>
      <c r="O466" s="468"/>
      <c r="P466" s="468"/>
      <c r="Q466" s="473"/>
      <c r="R466" s="477" t="str">
        <f>IF(AND(COUNTIF('Start Character'!$I$63:$M$77,"Twilight Prone")=1,NOT(ISERROR(FIND("Magical Botch",M466)))),"Yes",IF(P466&gt;1,"Yes","No"))</f>
        <v>No</v>
      </c>
      <c r="S466" s="501"/>
      <c r="T466" s="478"/>
      <c r="U466" s="501"/>
      <c r="V466" s="479" t="str">
        <f>IF(R466="No","No Twilight",IF(T466="Yes","Uncomprehended Twilight",IF((Character!$B$14+IF(Character!$B$53="Yes",0,Character!$B$53)+IF(Magic!$C$5="Yes",2,0)+ROUNDUP((Magic!$B$30+IF(Magic!$C$30="Yes",3,0))/5,0)+S466)&gt;=($D$3+P466+SUMIF(Character!$I$62:$I$66,"Enigmatic Wisdom",Character!$J$62:$J$66)+Q466+U466),"No Twilight","Twilight")))</f>
        <v>No Twilight</v>
      </c>
      <c r="W466" s="483"/>
      <c r="X466" s="478"/>
      <c r="Y466" s="484"/>
      <c r="Z466" s="478"/>
      <c r="AA466" s="485" t="str">
        <f>IF(V466="Uncomprehended Twilight","Failed",IF(OR(ISBLANK(W466),ISBLANK(Y466))," ",IF(NOT(ISBLANK(X466)),"Failed",IF((W466+Character!$B$9+SUMIF(Character!$I$62:$I$66,"Enigmatic Wisdom",Character!$J$62:$J$66))&gt;=IF(Z466="Yes",0,(Y466+D461)),"Succeeded","Failed"))))</f>
        <v xml:space="preserve"> </v>
      </c>
      <c r="AB466" s="477" t="str">
        <f>IF(AA466=" "," ",IF(NOT(ISBLANK(X466)),VLOOKUP($D$3+X466,Calcs!$A$110:$C$122,3,TRUE),IF(AA466="Failed",VLOOKUP($D$3,Calcs!$A$110:$C$122,3,TRUE),VLOOKUP($D$3-(IF((Character!$B$9+W466)&gt;($D$3+Y466),(Character!$B$9+W466)-($D$3+Y466),0)),Calcs!$A$110:$C$122,3,TRUE))))</f>
        <v xml:space="preserve"> </v>
      </c>
      <c r="AC466" s="489"/>
      <c r="AD466" s="489" t="str">
        <f>IF(IF(AA466=" "," ",IF(NOT(ISBLANK(X466)),VLOOKUP($D$3+X466,Calcs!$A$110:$B$122,2,TRUE),IF(AA466="Failed",VLOOKUP($D$3,Calcs!$A$110:$B$122,2,TRUE),VLOOKUP($D$3-(IF((Character!$B$9+W466)&gt;($D$3+Y466),(Character!$B$9+W466)-($D$3+Y466),0)),Calcs!$A$110:$B$122,2,TRUE))))=Calcs!$B$120,IF(ISBLANK(AC466)," ",CONCATENATE(AC466+7," Years")),IF(AA466=" "," ",IF(NOT(ISBLANK(X466)),VLOOKUP($D$3+X466,Calcs!$A$110:$B$122,2,TRUE),IF(AA466="Failed",VLOOKUP($D$3,Calcs!$A$110:$B$122,2,TRUE),VLOOKUP($D$3-(IF((Character!$B$9+W466)&gt;($D$3+Y466),(Character!$B$9+W466)-($D$3+Y466),0)),Calcs!$A$110:$B$122,2,TRUE)))))</f>
        <v xml:space="preserve"> </v>
      </c>
      <c r="AE466" s="490"/>
      <c r="AF466" s="879"/>
      <c r="AG466" s="491"/>
    </row>
    <row r="467" spans="1:33" x14ac:dyDescent="0.2">
      <c r="A467" s="415">
        <f t="shared" si="12"/>
        <v>1326</v>
      </c>
      <c r="B467" s="419" t="str">
        <f t="shared" si="13"/>
        <v>Autumn</v>
      </c>
      <c r="C467" s="455"/>
      <c r="D467" s="504"/>
      <c r="E467" s="455"/>
      <c r="F467" s="504"/>
      <c r="G467" s="455"/>
      <c r="H467" s="504"/>
      <c r="I467" s="455"/>
      <c r="J467" s="504"/>
      <c r="L467" s="472"/>
      <c r="M467" s="468"/>
      <c r="N467" s="468"/>
      <c r="O467" s="468"/>
      <c r="P467" s="468"/>
      <c r="Q467" s="473"/>
      <c r="R467" s="477" t="str">
        <f>IF(AND(COUNTIF('Start Character'!$I$63:$M$77,"Twilight Prone")=1,NOT(ISERROR(FIND("Magical Botch",M467)))),"Yes",IF(P467&gt;1,"Yes","No"))</f>
        <v>No</v>
      </c>
      <c r="S467" s="501"/>
      <c r="T467" s="478"/>
      <c r="U467" s="501"/>
      <c r="V467" s="479" t="str">
        <f>IF(R467="No","No Twilight",IF(T467="Yes","Uncomprehended Twilight",IF((Character!$B$14+IF(Character!$B$53="Yes",0,Character!$B$53)+IF(Magic!$C$5="Yes",2,0)+ROUNDUP((Magic!$B$30+IF(Magic!$C$30="Yes",3,0))/5,0)+S467)&gt;=($D$3+P467+SUMIF(Character!$I$62:$I$66,"Enigmatic Wisdom",Character!$J$62:$J$66)+Q467+U467),"No Twilight","Twilight")))</f>
        <v>No Twilight</v>
      </c>
      <c r="W467" s="483"/>
      <c r="X467" s="478"/>
      <c r="Y467" s="484"/>
      <c r="Z467" s="478"/>
      <c r="AA467" s="485" t="str">
        <f>IF(V467="Uncomprehended Twilight","Failed",IF(OR(ISBLANK(W467),ISBLANK(Y467))," ",IF(NOT(ISBLANK(X467)),"Failed",IF((W467+Character!$B$9+SUMIF(Character!$I$62:$I$66,"Enigmatic Wisdom",Character!$J$62:$J$66))&gt;=IF(Z467="Yes",0,(Y467+D462)),"Succeeded","Failed"))))</f>
        <v xml:space="preserve"> </v>
      </c>
      <c r="AB467" s="477" t="str">
        <f>IF(AA467=" "," ",IF(NOT(ISBLANK(X467)),VLOOKUP($D$3+X467,Calcs!$A$110:$C$122,3,TRUE),IF(AA467="Failed",VLOOKUP($D$3,Calcs!$A$110:$C$122,3,TRUE),VLOOKUP($D$3-(IF((Character!$B$9+W467)&gt;($D$3+Y467),(Character!$B$9+W467)-($D$3+Y467),0)),Calcs!$A$110:$C$122,3,TRUE))))</f>
        <v xml:space="preserve"> </v>
      </c>
      <c r="AC467" s="489"/>
      <c r="AD467" s="489" t="str">
        <f>IF(IF(AA467=" "," ",IF(NOT(ISBLANK(X467)),VLOOKUP($D$3+X467,Calcs!$A$110:$B$122,2,TRUE),IF(AA467="Failed",VLOOKUP($D$3,Calcs!$A$110:$B$122,2,TRUE),VLOOKUP($D$3-(IF((Character!$B$9+W467)&gt;($D$3+Y467),(Character!$B$9+W467)-($D$3+Y467),0)),Calcs!$A$110:$B$122,2,TRUE))))=Calcs!$B$120,IF(ISBLANK(AC467)," ",CONCATENATE(AC467+7," Years")),IF(AA467=" "," ",IF(NOT(ISBLANK(X467)),VLOOKUP($D$3+X467,Calcs!$A$110:$B$122,2,TRUE),IF(AA467="Failed",VLOOKUP($D$3,Calcs!$A$110:$B$122,2,TRUE),VLOOKUP($D$3-(IF((Character!$B$9+W467)&gt;($D$3+Y467),(Character!$B$9+W467)-($D$3+Y467),0)),Calcs!$A$110:$B$122,2,TRUE)))))</f>
        <v xml:space="preserve"> </v>
      </c>
      <c r="AE467" s="490"/>
      <c r="AF467" s="879"/>
      <c r="AG467" s="491"/>
    </row>
    <row r="468" spans="1:33" x14ac:dyDescent="0.2">
      <c r="A468" s="415">
        <f t="shared" si="12"/>
        <v>1327</v>
      </c>
      <c r="B468" s="419" t="str">
        <f t="shared" si="13"/>
        <v>Winter</v>
      </c>
      <c r="C468" s="455"/>
      <c r="D468" s="504"/>
      <c r="E468" s="455"/>
      <c r="F468" s="504"/>
      <c r="G468" s="455"/>
      <c r="H468" s="504"/>
      <c r="I468" s="455"/>
      <c r="J468" s="504"/>
      <c r="L468" s="472"/>
      <c r="M468" s="468"/>
      <c r="N468" s="468"/>
      <c r="O468" s="468"/>
      <c r="P468" s="468"/>
      <c r="Q468" s="473"/>
      <c r="R468" s="477" t="str">
        <f>IF(AND(COUNTIF('Start Character'!$I$63:$M$77,"Twilight Prone")=1,NOT(ISERROR(FIND("Magical Botch",M468)))),"Yes",IF(P468&gt;1,"Yes","No"))</f>
        <v>No</v>
      </c>
      <c r="S468" s="501"/>
      <c r="T468" s="478"/>
      <c r="U468" s="501"/>
      <c r="V468" s="479" t="str">
        <f>IF(R468="No","No Twilight",IF(T468="Yes","Uncomprehended Twilight",IF((Character!$B$14+IF(Character!$B$53="Yes",0,Character!$B$53)+IF(Magic!$C$5="Yes",2,0)+ROUNDUP((Magic!$B$30+IF(Magic!$C$30="Yes",3,0))/5,0)+S468)&gt;=($D$3+P468+SUMIF(Character!$I$62:$I$66,"Enigmatic Wisdom",Character!$J$62:$J$66)+Q468+U468),"No Twilight","Twilight")))</f>
        <v>No Twilight</v>
      </c>
      <c r="W468" s="483"/>
      <c r="X468" s="478"/>
      <c r="Y468" s="484"/>
      <c r="Z468" s="478"/>
      <c r="AA468" s="485" t="str">
        <f>IF(V468="Uncomprehended Twilight","Failed",IF(OR(ISBLANK(W468),ISBLANK(Y468))," ",IF(NOT(ISBLANK(X468)),"Failed",IF((W468+Character!$B$9+SUMIF(Character!$I$62:$I$66,"Enigmatic Wisdom",Character!$J$62:$J$66))&gt;=IF(Z468="Yes",0,(Y468+D463)),"Succeeded","Failed"))))</f>
        <v xml:space="preserve"> </v>
      </c>
      <c r="AB468" s="477" t="str">
        <f>IF(AA468=" "," ",IF(NOT(ISBLANK(X468)),VLOOKUP($D$3+X468,Calcs!$A$110:$C$122,3,TRUE),IF(AA468="Failed",VLOOKUP($D$3,Calcs!$A$110:$C$122,3,TRUE),VLOOKUP($D$3-(IF((Character!$B$9+W468)&gt;($D$3+Y468),(Character!$B$9+W468)-($D$3+Y468),0)),Calcs!$A$110:$C$122,3,TRUE))))</f>
        <v xml:space="preserve"> </v>
      </c>
      <c r="AC468" s="489"/>
      <c r="AD468" s="489" t="str">
        <f>IF(IF(AA468=" "," ",IF(NOT(ISBLANK(X468)),VLOOKUP($D$3+X468,Calcs!$A$110:$B$122,2,TRUE),IF(AA468="Failed",VLOOKUP($D$3,Calcs!$A$110:$B$122,2,TRUE),VLOOKUP($D$3-(IF((Character!$B$9+W468)&gt;($D$3+Y468),(Character!$B$9+W468)-($D$3+Y468),0)),Calcs!$A$110:$B$122,2,TRUE))))=Calcs!$B$120,IF(ISBLANK(AC468)," ",CONCATENATE(AC468+7," Years")),IF(AA468=" "," ",IF(NOT(ISBLANK(X468)),VLOOKUP($D$3+X468,Calcs!$A$110:$B$122,2,TRUE),IF(AA468="Failed",VLOOKUP($D$3,Calcs!$A$110:$B$122,2,TRUE),VLOOKUP($D$3-(IF((Character!$B$9+W468)&gt;($D$3+Y468),(Character!$B$9+W468)-($D$3+Y468),0)),Calcs!$A$110:$B$122,2,TRUE)))))</f>
        <v xml:space="preserve"> </v>
      </c>
      <c r="AE468" s="490"/>
      <c r="AF468" s="879"/>
      <c r="AG468" s="491"/>
    </row>
    <row r="469" spans="1:33" x14ac:dyDescent="0.2">
      <c r="A469" s="415">
        <f t="shared" si="12"/>
        <v>1327</v>
      </c>
      <c r="B469" s="419" t="str">
        <f t="shared" si="13"/>
        <v>Spring</v>
      </c>
      <c r="C469" s="455"/>
      <c r="D469" s="504"/>
      <c r="E469" s="455"/>
      <c r="F469" s="504"/>
      <c r="G469" s="455"/>
      <c r="H469" s="504"/>
      <c r="I469" s="455"/>
      <c r="J469" s="504"/>
      <c r="L469" s="472"/>
      <c r="M469" s="468"/>
      <c r="N469" s="468"/>
      <c r="O469" s="468"/>
      <c r="P469" s="468"/>
      <c r="Q469" s="473"/>
      <c r="R469" s="477" t="str">
        <f>IF(AND(COUNTIF('Start Character'!$I$63:$M$77,"Twilight Prone")=1,NOT(ISERROR(FIND("Magical Botch",M469)))),"Yes",IF(P469&gt;1,"Yes","No"))</f>
        <v>No</v>
      </c>
      <c r="S469" s="501"/>
      <c r="T469" s="478"/>
      <c r="U469" s="501"/>
      <c r="V469" s="479" t="str">
        <f>IF(R469="No","No Twilight",IF(T469="Yes","Uncomprehended Twilight",IF((Character!$B$14+IF(Character!$B$53="Yes",0,Character!$B$53)+IF(Magic!$C$5="Yes",2,0)+ROUNDUP((Magic!$B$30+IF(Magic!$C$30="Yes",3,0))/5,0)+S469)&gt;=($D$3+P469+SUMIF(Character!$I$62:$I$66,"Enigmatic Wisdom",Character!$J$62:$J$66)+Q469+U469),"No Twilight","Twilight")))</f>
        <v>No Twilight</v>
      </c>
      <c r="W469" s="483"/>
      <c r="X469" s="478"/>
      <c r="Y469" s="484"/>
      <c r="Z469" s="478"/>
      <c r="AA469" s="485" t="str">
        <f>IF(V469="Uncomprehended Twilight","Failed",IF(OR(ISBLANK(W469),ISBLANK(Y469))," ",IF(NOT(ISBLANK(X469)),"Failed",IF((W469+Character!$B$9+SUMIF(Character!$I$62:$I$66,"Enigmatic Wisdom",Character!$J$62:$J$66))&gt;=IF(Z469="Yes",0,(Y469+D464)),"Succeeded","Failed"))))</f>
        <v xml:space="preserve"> </v>
      </c>
      <c r="AB469" s="477" t="str">
        <f>IF(AA469=" "," ",IF(NOT(ISBLANK(X469)),VLOOKUP($D$3+X469,Calcs!$A$110:$C$122,3,TRUE),IF(AA469="Failed",VLOOKUP($D$3,Calcs!$A$110:$C$122,3,TRUE),VLOOKUP($D$3-(IF((Character!$B$9+W469)&gt;($D$3+Y469),(Character!$B$9+W469)-($D$3+Y469),0)),Calcs!$A$110:$C$122,3,TRUE))))</f>
        <v xml:space="preserve"> </v>
      </c>
      <c r="AC469" s="489"/>
      <c r="AD469" s="489" t="str">
        <f>IF(IF(AA469=" "," ",IF(NOT(ISBLANK(X469)),VLOOKUP($D$3+X469,Calcs!$A$110:$B$122,2,TRUE),IF(AA469="Failed",VLOOKUP($D$3,Calcs!$A$110:$B$122,2,TRUE),VLOOKUP($D$3-(IF((Character!$B$9+W469)&gt;($D$3+Y469),(Character!$B$9+W469)-($D$3+Y469),0)),Calcs!$A$110:$B$122,2,TRUE))))=Calcs!$B$120,IF(ISBLANK(AC469)," ",CONCATENATE(AC469+7," Years")),IF(AA469=" "," ",IF(NOT(ISBLANK(X469)),VLOOKUP($D$3+X469,Calcs!$A$110:$B$122,2,TRUE),IF(AA469="Failed",VLOOKUP($D$3,Calcs!$A$110:$B$122,2,TRUE),VLOOKUP($D$3-(IF((Character!$B$9+W469)&gt;($D$3+Y469),(Character!$B$9+W469)-($D$3+Y469),0)),Calcs!$A$110:$B$122,2,TRUE)))))</f>
        <v xml:space="preserve"> </v>
      </c>
      <c r="AE469" s="490"/>
      <c r="AF469" s="879"/>
      <c r="AG469" s="491"/>
    </row>
    <row r="470" spans="1:33" x14ac:dyDescent="0.2">
      <c r="A470" s="415">
        <f t="shared" si="12"/>
        <v>1327</v>
      </c>
      <c r="B470" s="419" t="str">
        <f t="shared" si="13"/>
        <v>Summer</v>
      </c>
      <c r="C470" s="455"/>
      <c r="D470" s="504"/>
      <c r="E470" s="455"/>
      <c r="F470" s="504"/>
      <c r="G470" s="455"/>
      <c r="H470" s="504"/>
      <c r="I470" s="455"/>
      <c r="J470" s="504"/>
      <c r="L470" s="472"/>
      <c r="M470" s="468"/>
      <c r="N470" s="468"/>
      <c r="O470" s="468"/>
      <c r="P470" s="468"/>
      <c r="Q470" s="473"/>
      <c r="R470" s="477" t="str">
        <f>IF(AND(COUNTIF('Start Character'!$I$63:$M$77,"Twilight Prone")=1,NOT(ISERROR(FIND("Magical Botch",M470)))),"Yes",IF(P470&gt;1,"Yes","No"))</f>
        <v>No</v>
      </c>
      <c r="S470" s="501"/>
      <c r="T470" s="478"/>
      <c r="U470" s="501"/>
      <c r="V470" s="479" t="str">
        <f>IF(R470="No","No Twilight",IF(T470="Yes","Uncomprehended Twilight",IF((Character!$B$14+IF(Character!$B$53="Yes",0,Character!$B$53)+IF(Magic!$C$5="Yes",2,0)+ROUNDUP((Magic!$B$30+IF(Magic!$C$30="Yes",3,0))/5,0)+S470)&gt;=($D$3+P470+SUMIF(Character!$I$62:$I$66,"Enigmatic Wisdom",Character!$J$62:$J$66)+Q470+U470),"No Twilight","Twilight")))</f>
        <v>No Twilight</v>
      </c>
      <c r="W470" s="483"/>
      <c r="X470" s="478"/>
      <c r="Y470" s="484"/>
      <c r="Z470" s="478"/>
      <c r="AA470" s="485" t="str">
        <f>IF(V470="Uncomprehended Twilight","Failed",IF(OR(ISBLANK(W470),ISBLANK(Y470))," ",IF(NOT(ISBLANK(X470)),"Failed",IF((W470+Character!$B$9+SUMIF(Character!$I$62:$I$66,"Enigmatic Wisdom",Character!$J$62:$J$66))&gt;=IF(Z470="Yes",0,(Y470+D465)),"Succeeded","Failed"))))</f>
        <v xml:space="preserve"> </v>
      </c>
      <c r="AB470" s="477" t="str">
        <f>IF(AA470=" "," ",IF(NOT(ISBLANK(X470)),VLOOKUP($D$3+X470,Calcs!$A$110:$C$122,3,TRUE),IF(AA470="Failed",VLOOKUP($D$3,Calcs!$A$110:$C$122,3,TRUE),VLOOKUP($D$3-(IF((Character!$B$9+W470)&gt;($D$3+Y470),(Character!$B$9+W470)-($D$3+Y470),0)),Calcs!$A$110:$C$122,3,TRUE))))</f>
        <v xml:space="preserve"> </v>
      </c>
      <c r="AC470" s="489"/>
      <c r="AD470" s="489" t="str">
        <f>IF(IF(AA470=" "," ",IF(NOT(ISBLANK(X470)),VLOOKUP($D$3+X470,Calcs!$A$110:$B$122,2,TRUE),IF(AA470="Failed",VLOOKUP($D$3,Calcs!$A$110:$B$122,2,TRUE),VLOOKUP($D$3-(IF((Character!$B$9+W470)&gt;($D$3+Y470),(Character!$B$9+W470)-($D$3+Y470),0)),Calcs!$A$110:$B$122,2,TRUE))))=Calcs!$B$120,IF(ISBLANK(AC470)," ",CONCATENATE(AC470+7," Years")),IF(AA470=" "," ",IF(NOT(ISBLANK(X470)),VLOOKUP($D$3+X470,Calcs!$A$110:$B$122,2,TRUE),IF(AA470="Failed",VLOOKUP($D$3,Calcs!$A$110:$B$122,2,TRUE),VLOOKUP($D$3-(IF((Character!$B$9+W470)&gt;($D$3+Y470),(Character!$B$9+W470)-($D$3+Y470),0)),Calcs!$A$110:$B$122,2,TRUE)))))</f>
        <v xml:space="preserve"> </v>
      </c>
      <c r="AE470" s="490"/>
      <c r="AF470" s="879"/>
      <c r="AG470" s="491"/>
    </row>
    <row r="471" spans="1:33" x14ac:dyDescent="0.2">
      <c r="A471" s="415">
        <f t="shared" si="12"/>
        <v>1327</v>
      </c>
      <c r="B471" s="419" t="str">
        <f t="shared" si="13"/>
        <v>Autumn</v>
      </c>
      <c r="C471" s="455"/>
      <c r="D471" s="504"/>
      <c r="E471" s="455"/>
      <c r="F471" s="504"/>
      <c r="G471" s="455"/>
      <c r="H471" s="504"/>
      <c r="I471" s="455"/>
      <c r="J471" s="504"/>
      <c r="L471" s="472"/>
      <c r="M471" s="468"/>
      <c r="N471" s="468"/>
      <c r="O471" s="468"/>
      <c r="P471" s="468"/>
      <c r="Q471" s="473"/>
      <c r="R471" s="477" t="str">
        <f>IF(AND(COUNTIF('Start Character'!$I$63:$M$77,"Twilight Prone")=1,NOT(ISERROR(FIND("Magical Botch",M471)))),"Yes",IF(P471&gt;1,"Yes","No"))</f>
        <v>No</v>
      </c>
      <c r="S471" s="501"/>
      <c r="T471" s="478"/>
      <c r="U471" s="501"/>
      <c r="V471" s="479" t="str">
        <f>IF(R471="No","No Twilight",IF(T471="Yes","Uncomprehended Twilight",IF((Character!$B$14+IF(Character!$B$53="Yes",0,Character!$B$53)+IF(Magic!$C$5="Yes",2,0)+ROUNDUP((Magic!$B$30+IF(Magic!$C$30="Yes",3,0))/5,0)+S471)&gt;=($D$3+P471+SUMIF(Character!$I$62:$I$66,"Enigmatic Wisdom",Character!$J$62:$J$66)+Q471+U471),"No Twilight","Twilight")))</f>
        <v>No Twilight</v>
      </c>
      <c r="W471" s="483"/>
      <c r="X471" s="478"/>
      <c r="Y471" s="484"/>
      <c r="Z471" s="478"/>
      <c r="AA471" s="485" t="str">
        <f>IF(V471="Uncomprehended Twilight","Failed",IF(OR(ISBLANK(W471),ISBLANK(Y471))," ",IF(NOT(ISBLANK(X471)),"Failed",IF((W471+Character!$B$9+SUMIF(Character!$I$62:$I$66,"Enigmatic Wisdom",Character!$J$62:$J$66))&gt;=IF(Z471="Yes",0,(Y471+D466)),"Succeeded","Failed"))))</f>
        <v xml:space="preserve"> </v>
      </c>
      <c r="AB471" s="477" t="str">
        <f>IF(AA471=" "," ",IF(NOT(ISBLANK(X471)),VLOOKUP($D$3+X471,Calcs!$A$110:$C$122,3,TRUE),IF(AA471="Failed",VLOOKUP($D$3,Calcs!$A$110:$C$122,3,TRUE),VLOOKUP($D$3-(IF((Character!$B$9+W471)&gt;($D$3+Y471),(Character!$B$9+W471)-($D$3+Y471),0)),Calcs!$A$110:$C$122,3,TRUE))))</f>
        <v xml:space="preserve"> </v>
      </c>
      <c r="AC471" s="489"/>
      <c r="AD471" s="489" t="str">
        <f>IF(IF(AA471=" "," ",IF(NOT(ISBLANK(X471)),VLOOKUP($D$3+X471,Calcs!$A$110:$B$122,2,TRUE),IF(AA471="Failed",VLOOKUP($D$3,Calcs!$A$110:$B$122,2,TRUE),VLOOKUP($D$3-(IF((Character!$B$9+W471)&gt;($D$3+Y471),(Character!$B$9+W471)-($D$3+Y471),0)),Calcs!$A$110:$B$122,2,TRUE))))=Calcs!$B$120,IF(ISBLANK(AC471)," ",CONCATENATE(AC471+7," Years")),IF(AA471=" "," ",IF(NOT(ISBLANK(X471)),VLOOKUP($D$3+X471,Calcs!$A$110:$B$122,2,TRUE),IF(AA471="Failed",VLOOKUP($D$3,Calcs!$A$110:$B$122,2,TRUE),VLOOKUP($D$3-(IF((Character!$B$9+W471)&gt;($D$3+Y471),(Character!$B$9+W471)-($D$3+Y471),0)),Calcs!$A$110:$B$122,2,TRUE)))))</f>
        <v xml:space="preserve"> </v>
      </c>
      <c r="AE471" s="490"/>
      <c r="AF471" s="879"/>
      <c r="AG471" s="491"/>
    </row>
    <row r="472" spans="1:33" x14ac:dyDescent="0.2">
      <c r="A472" s="415">
        <f t="shared" si="12"/>
        <v>1328</v>
      </c>
      <c r="B472" s="419" t="str">
        <f t="shared" si="13"/>
        <v>Winter</v>
      </c>
      <c r="C472" s="455"/>
      <c r="D472" s="504"/>
      <c r="E472" s="455"/>
      <c r="F472" s="504"/>
      <c r="G472" s="455"/>
      <c r="H472" s="504"/>
      <c r="I472" s="455"/>
      <c r="J472" s="504"/>
      <c r="L472" s="472"/>
      <c r="M472" s="468"/>
      <c r="N472" s="468"/>
      <c r="O472" s="468"/>
      <c r="P472" s="468"/>
      <c r="Q472" s="473"/>
      <c r="R472" s="477" t="str">
        <f>IF(AND(COUNTIF('Start Character'!$I$63:$M$77,"Twilight Prone")=1,NOT(ISERROR(FIND("Magical Botch",M472)))),"Yes",IF(P472&gt;1,"Yes","No"))</f>
        <v>No</v>
      </c>
      <c r="S472" s="501"/>
      <c r="T472" s="478"/>
      <c r="U472" s="501"/>
      <c r="V472" s="479" t="str">
        <f>IF(R472="No","No Twilight",IF(T472="Yes","Uncomprehended Twilight",IF((Character!$B$14+IF(Character!$B$53="Yes",0,Character!$B$53)+IF(Magic!$C$5="Yes",2,0)+ROUNDUP((Magic!$B$30+IF(Magic!$C$30="Yes",3,0))/5,0)+S472)&gt;=($D$3+P472+SUMIF(Character!$I$62:$I$66,"Enigmatic Wisdom",Character!$J$62:$J$66)+Q472+U472),"No Twilight","Twilight")))</f>
        <v>No Twilight</v>
      </c>
      <c r="W472" s="483"/>
      <c r="X472" s="478"/>
      <c r="Y472" s="484"/>
      <c r="Z472" s="478"/>
      <c r="AA472" s="485" t="str">
        <f>IF(V472="Uncomprehended Twilight","Failed",IF(OR(ISBLANK(W472),ISBLANK(Y472))," ",IF(NOT(ISBLANK(X472)),"Failed",IF((W472+Character!$B$9+SUMIF(Character!$I$62:$I$66,"Enigmatic Wisdom",Character!$J$62:$J$66))&gt;=IF(Z472="Yes",0,(Y472+D467)),"Succeeded","Failed"))))</f>
        <v xml:space="preserve"> </v>
      </c>
      <c r="AB472" s="477" t="str">
        <f>IF(AA472=" "," ",IF(NOT(ISBLANK(X472)),VLOOKUP($D$3+X472,Calcs!$A$110:$C$122,3,TRUE),IF(AA472="Failed",VLOOKUP($D$3,Calcs!$A$110:$C$122,3,TRUE),VLOOKUP($D$3-(IF((Character!$B$9+W472)&gt;($D$3+Y472),(Character!$B$9+W472)-($D$3+Y472),0)),Calcs!$A$110:$C$122,3,TRUE))))</f>
        <v xml:space="preserve"> </v>
      </c>
      <c r="AC472" s="489"/>
      <c r="AD472" s="489" t="str">
        <f>IF(IF(AA472=" "," ",IF(NOT(ISBLANK(X472)),VLOOKUP($D$3+X472,Calcs!$A$110:$B$122,2,TRUE),IF(AA472="Failed",VLOOKUP($D$3,Calcs!$A$110:$B$122,2,TRUE),VLOOKUP($D$3-(IF((Character!$B$9+W472)&gt;($D$3+Y472),(Character!$B$9+W472)-($D$3+Y472),0)),Calcs!$A$110:$B$122,2,TRUE))))=Calcs!$B$120,IF(ISBLANK(AC472)," ",CONCATENATE(AC472+7," Years")),IF(AA472=" "," ",IF(NOT(ISBLANK(X472)),VLOOKUP($D$3+X472,Calcs!$A$110:$B$122,2,TRUE),IF(AA472="Failed",VLOOKUP($D$3,Calcs!$A$110:$B$122,2,TRUE),VLOOKUP($D$3-(IF((Character!$B$9+W472)&gt;($D$3+Y472),(Character!$B$9+W472)-($D$3+Y472),0)),Calcs!$A$110:$B$122,2,TRUE)))))</f>
        <v xml:space="preserve"> </v>
      </c>
      <c r="AE472" s="490"/>
      <c r="AF472" s="879"/>
      <c r="AG472" s="491"/>
    </row>
    <row r="473" spans="1:33" x14ac:dyDescent="0.2">
      <c r="A473" s="415">
        <f t="shared" si="12"/>
        <v>1328</v>
      </c>
      <c r="B473" s="419" t="str">
        <f t="shared" si="13"/>
        <v>Spring</v>
      </c>
      <c r="C473" s="455"/>
      <c r="D473" s="504"/>
      <c r="E473" s="455"/>
      <c r="F473" s="504"/>
      <c r="G473" s="455"/>
      <c r="H473" s="504"/>
      <c r="I473" s="455"/>
      <c r="J473" s="504"/>
      <c r="L473" s="472"/>
      <c r="M473" s="468"/>
      <c r="N473" s="468"/>
      <c r="O473" s="468"/>
      <c r="P473" s="468"/>
      <c r="Q473" s="473"/>
      <c r="R473" s="477" t="str">
        <f>IF(AND(COUNTIF('Start Character'!$I$63:$M$77,"Twilight Prone")=1,NOT(ISERROR(FIND("Magical Botch",M473)))),"Yes",IF(P473&gt;1,"Yes","No"))</f>
        <v>No</v>
      </c>
      <c r="S473" s="501"/>
      <c r="T473" s="478"/>
      <c r="U473" s="501"/>
      <c r="V473" s="479" t="str">
        <f>IF(R473="No","No Twilight",IF(T473="Yes","Uncomprehended Twilight",IF((Character!$B$14+IF(Character!$B$53="Yes",0,Character!$B$53)+IF(Magic!$C$5="Yes",2,0)+ROUNDUP((Magic!$B$30+IF(Magic!$C$30="Yes",3,0))/5,0)+S473)&gt;=($D$3+P473+SUMIF(Character!$I$62:$I$66,"Enigmatic Wisdom",Character!$J$62:$J$66)+Q473+U473),"No Twilight","Twilight")))</f>
        <v>No Twilight</v>
      </c>
      <c r="W473" s="483"/>
      <c r="X473" s="478"/>
      <c r="Y473" s="484"/>
      <c r="Z473" s="478"/>
      <c r="AA473" s="485" t="str">
        <f>IF(V473="Uncomprehended Twilight","Failed",IF(OR(ISBLANK(W473),ISBLANK(Y473))," ",IF(NOT(ISBLANK(X473)),"Failed",IF((W473+Character!$B$9+SUMIF(Character!$I$62:$I$66,"Enigmatic Wisdom",Character!$J$62:$J$66))&gt;=IF(Z473="Yes",0,(Y473+D468)),"Succeeded","Failed"))))</f>
        <v xml:space="preserve"> </v>
      </c>
      <c r="AB473" s="477" t="str">
        <f>IF(AA473=" "," ",IF(NOT(ISBLANK(X473)),VLOOKUP($D$3+X473,Calcs!$A$110:$C$122,3,TRUE),IF(AA473="Failed",VLOOKUP($D$3,Calcs!$A$110:$C$122,3,TRUE),VLOOKUP($D$3-(IF((Character!$B$9+W473)&gt;($D$3+Y473),(Character!$B$9+W473)-($D$3+Y473),0)),Calcs!$A$110:$C$122,3,TRUE))))</f>
        <v xml:space="preserve"> </v>
      </c>
      <c r="AC473" s="489"/>
      <c r="AD473" s="489" t="str">
        <f>IF(IF(AA473=" "," ",IF(NOT(ISBLANK(X473)),VLOOKUP($D$3+X473,Calcs!$A$110:$B$122,2,TRUE),IF(AA473="Failed",VLOOKUP($D$3,Calcs!$A$110:$B$122,2,TRUE),VLOOKUP($D$3-(IF((Character!$B$9+W473)&gt;($D$3+Y473),(Character!$B$9+W473)-($D$3+Y473),0)),Calcs!$A$110:$B$122,2,TRUE))))=Calcs!$B$120,IF(ISBLANK(AC473)," ",CONCATENATE(AC473+7," Years")),IF(AA473=" "," ",IF(NOT(ISBLANK(X473)),VLOOKUP($D$3+X473,Calcs!$A$110:$B$122,2,TRUE),IF(AA473="Failed",VLOOKUP($D$3,Calcs!$A$110:$B$122,2,TRUE),VLOOKUP($D$3-(IF((Character!$B$9+W473)&gt;($D$3+Y473),(Character!$B$9+W473)-($D$3+Y473),0)),Calcs!$A$110:$B$122,2,TRUE)))))</f>
        <v xml:space="preserve"> </v>
      </c>
      <c r="AE473" s="490"/>
      <c r="AF473" s="879"/>
      <c r="AG473" s="491"/>
    </row>
    <row r="474" spans="1:33" x14ac:dyDescent="0.2">
      <c r="A474" s="415">
        <f t="shared" si="12"/>
        <v>1328</v>
      </c>
      <c r="B474" s="419" t="str">
        <f t="shared" si="13"/>
        <v>Summer</v>
      </c>
      <c r="C474" s="455"/>
      <c r="D474" s="504"/>
      <c r="E474" s="455"/>
      <c r="F474" s="504"/>
      <c r="G474" s="455"/>
      <c r="H474" s="504"/>
      <c r="I474" s="455"/>
      <c r="J474" s="504"/>
      <c r="L474" s="472"/>
      <c r="M474" s="468"/>
      <c r="N474" s="468"/>
      <c r="O474" s="468"/>
      <c r="P474" s="468"/>
      <c r="Q474" s="473"/>
      <c r="R474" s="477" t="str">
        <f>IF(AND(COUNTIF('Start Character'!$I$63:$M$77,"Twilight Prone")=1,NOT(ISERROR(FIND("Magical Botch",M474)))),"Yes",IF(P474&gt;1,"Yes","No"))</f>
        <v>No</v>
      </c>
      <c r="S474" s="501"/>
      <c r="T474" s="478"/>
      <c r="U474" s="501"/>
      <c r="V474" s="479" t="str">
        <f>IF(R474="No","No Twilight",IF(T474="Yes","Uncomprehended Twilight",IF((Character!$B$14+IF(Character!$B$53="Yes",0,Character!$B$53)+IF(Magic!$C$5="Yes",2,0)+ROUNDUP((Magic!$B$30+IF(Magic!$C$30="Yes",3,0))/5,0)+S474)&gt;=($D$3+P474+SUMIF(Character!$I$62:$I$66,"Enigmatic Wisdom",Character!$J$62:$J$66)+Q474+U474),"No Twilight","Twilight")))</f>
        <v>No Twilight</v>
      </c>
      <c r="W474" s="483"/>
      <c r="X474" s="478"/>
      <c r="Y474" s="484"/>
      <c r="Z474" s="478"/>
      <c r="AA474" s="485" t="str">
        <f>IF(V474="Uncomprehended Twilight","Failed",IF(OR(ISBLANK(W474),ISBLANK(Y474))," ",IF(NOT(ISBLANK(X474)),"Failed",IF((W474+Character!$B$9+SUMIF(Character!$I$62:$I$66,"Enigmatic Wisdom",Character!$J$62:$J$66))&gt;=IF(Z474="Yes",0,(Y474+D469)),"Succeeded","Failed"))))</f>
        <v xml:space="preserve"> </v>
      </c>
      <c r="AB474" s="477" t="str">
        <f>IF(AA474=" "," ",IF(NOT(ISBLANK(X474)),VLOOKUP($D$3+X474,Calcs!$A$110:$C$122,3,TRUE),IF(AA474="Failed",VLOOKUP($D$3,Calcs!$A$110:$C$122,3,TRUE),VLOOKUP($D$3-(IF((Character!$B$9+W474)&gt;($D$3+Y474),(Character!$B$9+W474)-($D$3+Y474),0)),Calcs!$A$110:$C$122,3,TRUE))))</f>
        <v xml:space="preserve"> </v>
      </c>
      <c r="AC474" s="489"/>
      <c r="AD474" s="489" t="str">
        <f>IF(IF(AA474=" "," ",IF(NOT(ISBLANK(X474)),VLOOKUP($D$3+X474,Calcs!$A$110:$B$122,2,TRUE),IF(AA474="Failed",VLOOKUP($D$3,Calcs!$A$110:$B$122,2,TRUE),VLOOKUP($D$3-(IF((Character!$B$9+W474)&gt;($D$3+Y474),(Character!$B$9+W474)-($D$3+Y474),0)),Calcs!$A$110:$B$122,2,TRUE))))=Calcs!$B$120,IF(ISBLANK(AC474)," ",CONCATENATE(AC474+7," Years")),IF(AA474=" "," ",IF(NOT(ISBLANK(X474)),VLOOKUP($D$3+X474,Calcs!$A$110:$B$122,2,TRUE),IF(AA474="Failed",VLOOKUP($D$3,Calcs!$A$110:$B$122,2,TRUE),VLOOKUP($D$3-(IF((Character!$B$9+W474)&gt;($D$3+Y474),(Character!$B$9+W474)-($D$3+Y474),0)),Calcs!$A$110:$B$122,2,TRUE)))))</f>
        <v xml:space="preserve"> </v>
      </c>
      <c r="AE474" s="490"/>
      <c r="AF474" s="879"/>
      <c r="AG474" s="491"/>
    </row>
    <row r="475" spans="1:33" x14ac:dyDescent="0.2">
      <c r="A475" s="415">
        <f t="shared" si="12"/>
        <v>1328</v>
      </c>
      <c r="B475" s="419" t="str">
        <f t="shared" si="13"/>
        <v>Autumn</v>
      </c>
      <c r="C475" s="455"/>
      <c r="D475" s="504"/>
      <c r="E475" s="455"/>
      <c r="F475" s="504"/>
      <c r="G475" s="455"/>
      <c r="H475" s="504"/>
      <c r="I475" s="455"/>
      <c r="J475" s="504"/>
      <c r="L475" s="472"/>
      <c r="M475" s="468"/>
      <c r="N475" s="468"/>
      <c r="O475" s="468"/>
      <c r="P475" s="468"/>
      <c r="Q475" s="473"/>
      <c r="R475" s="477" t="str">
        <f>IF(AND(COUNTIF('Start Character'!$I$63:$M$77,"Twilight Prone")=1,NOT(ISERROR(FIND("Magical Botch",M475)))),"Yes",IF(P475&gt;1,"Yes","No"))</f>
        <v>No</v>
      </c>
      <c r="S475" s="501"/>
      <c r="T475" s="478"/>
      <c r="U475" s="501"/>
      <c r="V475" s="479" t="str">
        <f>IF(R475="No","No Twilight",IF(T475="Yes","Uncomprehended Twilight",IF((Character!$B$14+IF(Character!$B$53="Yes",0,Character!$B$53)+IF(Magic!$C$5="Yes",2,0)+ROUNDUP((Magic!$B$30+IF(Magic!$C$30="Yes",3,0))/5,0)+S475)&gt;=($D$3+P475+SUMIF(Character!$I$62:$I$66,"Enigmatic Wisdom",Character!$J$62:$J$66)+Q475+U475),"No Twilight","Twilight")))</f>
        <v>No Twilight</v>
      </c>
      <c r="W475" s="483"/>
      <c r="X475" s="478"/>
      <c r="Y475" s="484"/>
      <c r="Z475" s="478"/>
      <c r="AA475" s="485" t="str">
        <f>IF(V475="Uncomprehended Twilight","Failed",IF(OR(ISBLANK(W475),ISBLANK(Y475))," ",IF(NOT(ISBLANK(X475)),"Failed",IF((W475+Character!$B$9+SUMIF(Character!$I$62:$I$66,"Enigmatic Wisdom",Character!$J$62:$J$66))&gt;=IF(Z475="Yes",0,(Y475+D470)),"Succeeded","Failed"))))</f>
        <v xml:space="preserve"> </v>
      </c>
      <c r="AB475" s="477" t="str">
        <f>IF(AA475=" "," ",IF(NOT(ISBLANK(X475)),VLOOKUP($D$3+X475,Calcs!$A$110:$C$122,3,TRUE),IF(AA475="Failed",VLOOKUP($D$3,Calcs!$A$110:$C$122,3,TRUE),VLOOKUP($D$3-(IF((Character!$B$9+W475)&gt;($D$3+Y475),(Character!$B$9+W475)-($D$3+Y475),0)),Calcs!$A$110:$C$122,3,TRUE))))</f>
        <v xml:space="preserve"> </v>
      </c>
      <c r="AC475" s="489"/>
      <c r="AD475" s="489" t="str">
        <f>IF(IF(AA475=" "," ",IF(NOT(ISBLANK(X475)),VLOOKUP($D$3+X475,Calcs!$A$110:$B$122,2,TRUE),IF(AA475="Failed",VLOOKUP($D$3,Calcs!$A$110:$B$122,2,TRUE),VLOOKUP($D$3-(IF((Character!$B$9+W475)&gt;($D$3+Y475),(Character!$B$9+W475)-($D$3+Y475),0)),Calcs!$A$110:$B$122,2,TRUE))))=Calcs!$B$120,IF(ISBLANK(AC475)," ",CONCATENATE(AC475+7," Years")),IF(AA475=" "," ",IF(NOT(ISBLANK(X475)),VLOOKUP($D$3+X475,Calcs!$A$110:$B$122,2,TRUE),IF(AA475="Failed",VLOOKUP($D$3,Calcs!$A$110:$B$122,2,TRUE),VLOOKUP($D$3-(IF((Character!$B$9+W475)&gt;($D$3+Y475),(Character!$B$9+W475)-($D$3+Y475),0)),Calcs!$A$110:$B$122,2,TRUE)))))</f>
        <v xml:space="preserve"> </v>
      </c>
      <c r="AE475" s="490"/>
      <c r="AF475" s="879"/>
      <c r="AG475" s="491"/>
    </row>
    <row r="476" spans="1:33" x14ac:dyDescent="0.2">
      <c r="A476" s="415">
        <f t="shared" si="12"/>
        <v>1329</v>
      </c>
      <c r="B476" s="419" t="str">
        <f t="shared" si="13"/>
        <v>Winter</v>
      </c>
      <c r="C476" s="455"/>
      <c r="D476" s="504"/>
      <c r="E476" s="455"/>
      <c r="F476" s="504"/>
      <c r="G476" s="455"/>
      <c r="H476" s="504"/>
      <c r="I476" s="455"/>
      <c r="J476" s="504"/>
      <c r="L476" s="472"/>
      <c r="M476" s="468"/>
      <c r="N476" s="468"/>
      <c r="O476" s="468"/>
      <c r="P476" s="468"/>
      <c r="Q476" s="473"/>
      <c r="R476" s="477" t="str">
        <f>IF(AND(COUNTIF('Start Character'!$I$63:$M$77,"Twilight Prone")=1,NOT(ISERROR(FIND("Magical Botch",M476)))),"Yes",IF(P476&gt;1,"Yes","No"))</f>
        <v>No</v>
      </c>
      <c r="S476" s="501"/>
      <c r="T476" s="478"/>
      <c r="U476" s="501"/>
      <c r="V476" s="479" t="str">
        <f>IF(R476="No","No Twilight",IF(T476="Yes","Uncomprehended Twilight",IF((Character!$B$14+IF(Character!$B$53="Yes",0,Character!$B$53)+IF(Magic!$C$5="Yes",2,0)+ROUNDUP((Magic!$B$30+IF(Magic!$C$30="Yes",3,0))/5,0)+S476)&gt;=($D$3+P476+SUMIF(Character!$I$62:$I$66,"Enigmatic Wisdom",Character!$J$62:$J$66)+Q476+U476),"No Twilight","Twilight")))</f>
        <v>No Twilight</v>
      </c>
      <c r="W476" s="483"/>
      <c r="X476" s="478"/>
      <c r="Y476" s="484"/>
      <c r="Z476" s="478"/>
      <c r="AA476" s="485" t="str">
        <f>IF(V476="Uncomprehended Twilight","Failed",IF(OR(ISBLANK(W476),ISBLANK(Y476))," ",IF(NOT(ISBLANK(X476)),"Failed",IF((W476+Character!$B$9+SUMIF(Character!$I$62:$I$66,"Enigmatic Wisdom",Character!$J$62:$J$66))&gt;=IF(Z476="Yes",0,(Y476+D471)),"Succeeded","Failed"))))</f>
        <v xml:space="preserve"> </v>
      </c>
      <c r="AB476" s="477" t="str">
        <f>IF(AA476=" "," ",IF(NOT(ISBLANK(X476)),VLOOKUP($D$3+X476,Calcs!$A$110:$C$122,3,TRUE),IF(AA476="Failed",VLOOKUP($D$3,Calcs!$A$110:$C$122,3,TRUE),VLOOKUP($D$3-(IF((Character!$B$9+W476)&gt;($D$3+Y476),(Character!$B$9+W476)-($D$3+Y476),0)),Calcs!$A$110:$C$122,3,TRUE))))</f>
        <v xml:space="preserve"> </v>
      </c>
      <c r="AC476" s="489"/>
      <c r="AD476" s="489" t="str">
        <f>IF(IF(AA476=" "," ",IF(NOT(ISBLANK(X476)),VLOOKUP($D$3+X476,Calcs!$A$110:$B$122,2,TRUE),IF(AA476="Failed",VLOOKUP($D$3,Calcs!$A$110:$B$122,2,TRUE),VLOOKUP($D$3-(IF((Character!$B$9+W476)&gt;($D$3+Y476),(Character!$B$9+W476)-($D$3+Y476),0)),Calcs!$A$110:$B$122,2,TRUE))))=Calcs!$B$120,IF(ISBLANK(AC476)," ",CONCATENATE(AC476+7," Years")),IF(AA476=" "," ",IF(NOT(ISBLANK(X476)),VLOOKUP($D$3+X476,Calcs!$A$110:$B$122,2,TRUE),IF(AA476="Failed",VLOOKUP($D$3,Calcs!$A$110:$B$122,2,TRUE),VLOOKUP($D$3-(IF((Character!$B$9+W476)&gt;($D$3+Y476),(Character!$B$9+W476)-($D$3+Y476),0)),Calcs!$A$110:$B$122,2,TRUE)))))</f>
        <v xml:space="preserve"> </v>
      </c>
      <c r="AE476" s="490"/>
      <c r="AF476" s="879"/>
      <c r="AG476" s="491"/>
    </row>
    <row r="477" spans="1:33" x14ac:dyDescent="0.2">
      <c r="A477" s="415">
        <f t="shared" ref="A477:A540" si="14">IF(B476="Autumn",A476+1,A476)</f>
        <v>1329</v>
      </c>
      <c r="B477" s="419" t="str">
        <f t="shared" ref="B477:B540" si="15">IF(B476="spring","Summer",IF(B476="Summer","Autumn",IF(B476="Autumn","Winter",IF(B476="Winter","Spring"," "))))</f>
        <v>Spring</v>
      </c>
      <c r="C477" s="455"/>
      <c r="D477" s="504"/>
      <c r="E477" s="455"/>
      <c r="F477" s="504"/>
      <c r="G477" s="455"/>
      <c r="H477" s="504"/>
      <c r="I477" s="455"/>
      <c r="J477" s="504"/>
      <c r="L477" s="472"/>
      <c r="M477" s="468"/>
      <c r="N477" s="468"/>
      <c r="O477" s="468"/>
      <c r="P477" s="468"/>
      <c r="Q477" s="473"/>
      <c r="R477" s="477" t="str">
        <f>IF(AND(COUNTIF('Start Character'!$I$63:$M$77,"Twilight Prone")=1,NOT(ISERROR(FIND("Magical Botch",M477)))),"Yes",IF(P477&gt;1,"Yes","No"))</f>
        <v>No</v>
      </c>
      <c r="S477" s="501"/>
      <c r="T477" s="478"/>
      <c r="U477" s="501"/>
      <c r="V477" s="479" t="str">
        <f>IF(R477="No","No Twilight",IF(T477="Yes","Uncomprehended Twilight",IF((Character!$B$14+IF(Character!$B$53="Yes",0,Character!$B$53)+IF(Magic!$C$5="Yes",2,0)+ROUNDUP((Magic!$B$30+IF(Magic!$C$30="Yes",3,0))/5,0)+S477)&gt;=($D$3+P477+SUMIF(Character!$I$62:$I$66,"Enigmatic Wisdom",Character!$J$62:$J$66)+Q477+U477),"No Twilight","Twilight")))</f>
        <v>No Twilight</v>
      </c>
      <c r="W477" s="483"/>
      <c r="X477" s="478"/>
      <c r="Y477" s="484"/>
      <c r="Z477" s="478"/>
      <c r="AA477" s="485" t="str">
        <f>IF(V477="Uncomprehended Twilight","Failed",IF(OR(ISBLANK(W477),ISBLANK(Y477))," ",IF(NOT(ISBLANK(X477)),"Failed",IF((W477+Character!$B$9+SUMIF(Character!$I$62:$I$66,"Enigmatic Wisdom",Character!$J$62:$J$66))&gt;=IF(Z477="Yes",0,(Y477+D472)),"Succeeded","Failed"))))</f>
        <v xml:space="preserve"> </v>
      </c>
      <c r="AB477" s="477" t="str">
        <f>IF(AA477=" "," ",IF(NOT(ISBLANK(X477)),VLOOKUP($D$3+X477,Calcs!$A$110:$C$122,3,TRUE),IF(AA477="Failed",VLOOKUP($D$3,Calcs!$A$110:$C$122,3,TRUE),VLOOKUP($D$3-(IF((Character!$B$9+W477)&gt;($D$3+Y477),(Character!$B$9+W477)-($D$3+Y477),0)),Calcs!$A$110:$C$122,3,TRUE))))</f>
        <v xml:space="preserve"> </v>
      </c>
      <c r="AC477" s="489"/>
      <c r="AD477" s="489" t="str">
        <f>IF(IF(AA477=" "," ",IF(NOT(ISBLANK(X477)),VLOOKUP($D$3+X477,Calcs!$A$110:$B$122,2,TRUE),IF(AA477="Failed",VLOOKUP($D$3,Calcs!$A$110:$B$122,2,TRUE),VLOOKUP($D$3-(IF((Character!$B$9+W477)&gt;($D$3+Y477),(Character!$B$9+W477)-($D$3+Y477),0)),Calcs!$A$110:$B$122,2,TRUE))))=Calcs!$B$120,IF(ISBLANK(AC477)," ",CONCATENATE(AC477+7," Years")),IF(AA477=" "," ",IF(NOT(ISBLANK(X477)),VLOOKUP($D$3+X477,Calcs!$A$110:$B$122,2,TRUE),IF(AA477="Failed",VLOOKUP($D$3,Calcs!$A$110:$B$122,2,TRUE),VLOOKUP($D$3-(IF((Character!$B$9+W477)&gt;($D$3+Y477),(Character!$B$9+W477)-($D$3+Y477),0)),Calcs!$A$110:$B$122,2,TRUE)))))</f>
        <v xml:space="preserve"> </v>
      </c>
      <c r="AE477" s="490"/>
      <c r="AF477" s="879"/>
      <c r="AG477" s="491"/>
    </row>
    <row r="478" spans="1:33" x14ac:dyDescent="0.2">
      <c r="A478" s="415">
        <f t="shared" si="14"/>
        <v>1329</v>
      </c>
      <c r="B478" s="419" t="str">
        <f t="shared" si="15"/>
        <v>Summer</v>
      </c>
      <c r="C478" s="455"/>
      <c r="D478" s="504"/>
      <c r="E478" s="455"/>
      <c r="F478" s="504"/>
      <c r="G478" s="455"/>
      <c r="H478" s="504"/>
      <c r="I478" s="455"/>
      <c r="J478" s="504"/>
      <c r="L478" s="472"/>
      <c r="M478" s="468"/>
      <c r="N478" s="468"/>
      <c r="O478" s="468"/>
      <c r="P478" s="468"/>
      <c r="Q478" s="473"/>
      <c r="R478" s="477" t="str">
        <f>IF(AND(COUNTIF('Start Character'!$I$63:$M$77,"Twilight Prone")=1,NOT(ISERROR(FIND("Magical Botch",M478)))),"Yes",IF(P478&gt;1,"Yes","No"))</f>
        <v>No</v>
      </c>
      <c r="S478" s="501"/>
      <c r="T478" s="478"/>
      <c r="U478" s="501"/>
      <c r="V478" s="479" t="str">
        <f>IF(R478="No","No Twilight",IF(T478="Yes","Uncomprehended Twilight",IF((Character!$B$14+IF(Character!$B$53="Yes",0,Character!$B$53)+IF(Magic!$C$5="Yes",2,0)+ROUNDUP((Magic!$B$30+IF(Magic!$C$30="Yes",3,0))/5,0)+S478)&gt;=($D$3+P478+SUMIF(Character!$I$62:$I$66,"Enigmatic Wisdom",Character!$J$62:$J$66)+Q478+U478),"No Twilight","Twilight")))</f>
        <v>No Twilight</v>
      </c>
      <c r="W478" s="483"/>
      <c r="X478" s="478"/>
      <c r="Y478" s="484"/>
      <c r="Z478" s="478"/>
      <c r="AA478" s="485" t="str">
        <f>IF(V478="Uncomprehended Twilight","Failed",IF(OR(ISBLANK(W478),ISBLANK(Y478))," ",IF(NOT(ISBLANK(X478)),"Failed",IF((W478+Character!$B$9+SUMIF(Character!$I$62:$I$66,"Enigmatic Wisdom",Character!$J$62:$J$66))&gt;=IF(Z478="Yes",0,(Y478+D473)),"Succeeded","Failed"))))</f>
        <v xml:space="preserve"> </v>
      </c>
      <c r="AB478" s="477" t="str">
        <f>IF(AA478=" "," ",IF(NOT(ISBLANK(X478)),VLOOKUP($D$3+X478,Calcs!$A$110:$C$122,3,TRUE),IF(AA478="Failed",VLOOKUP($D$3,Calcs!$A$110:$C$122,3,TRUE),VLOOKUP($D$3-(IF((Character!$B$9+W478)&gt;($D$3+Y478),(Character!$B$9+W478)-($D$3+Y478),0)),Calcs!$A$110:$C$122,3,TRUE))))</f>
        <v xml:space="preserve"> </v>
      </c>
      <c r="AC478" s="489"/>
      <c r="AD478" s="489" t="str">
        <f>IF(IF(AA478=" "," ",IF(NOT(ISBLANK(X478)),VLOOKUP($D$3+X478,Calcs!$A$110:$B$122,2,TRUE),IF(AA478="Failed",VLOOKUP($D$3,Calcs!$A$110:$B$122,2,TRUE),VLOOKUP($D$3-(IF((Character!$B$9+W478)&gt;($D$3+Y478),(Character!$B$9+W478)-($D$3+Y478),0)),Calcs!$A$110:$B$122,2,TRUE))))=Calcs!$B$120,IF(ISBLANK(AC478)," ",CONCATENATE(AC478+7," Years")),IF(AA478=" "," ",IF(NOT(ISBLANK(X478)),VLOOKUP($D$3+X478,Calcs!$A$110:$B$122,2,TRUE),IF(AA478="Failed",VLOOKUP($D$3,Calcs!$A$110:$B$122,2,TRUE),VLOOKUP($D$3-(IF((Character!$B$9+W478)&gt;($D$3+Y478),(Character!$B$9+W478)-($D$3+Y478),0)),Calcs!$A$110:$B$122,2,TRUE)))))</f>
        <v xml:space="preserve"> </v>
      </c>
      <c r="AE478" s="490"/>
      <c r="AF478" s="879"/>
      <c r="AG478" s="491"/>
    </row>
    <row r="479" spans="1:33" x14ac:dyDescent="0.2">
      <c r="A479" s="415">
        <f t="shared" si="14"/>
        <v>1329</v>
      </c>
      <c r="B479" s="419" t="str">
        <f t="shared" si="15"/>
        <v>Autumn</v>
      </c>
      <c r="C479" s="455"/>
      <c r="D479" s="504"/>
      <c r="E479" s="455"/>
      <c r="F479" s="504"/>
      <c r="G479" s="455"/>
      <c r="H479" s="504"/>
      <c r="I479" s="455"/>
      <c r="J479" s="504"/>
      <c r="L479" s="472"/>
      <c r="M479" s="468"/>
      <c r="N479" s="468"/>
      <c r="O479" s="468"/>
      <c r="P479" s="468"/>
      <c r="Q479" s="473"/>
      <c r="R479" s="477" t="str">
        <f>IF(AND(COUNTIF('Start Character'!$I$63:$M$77,"Twilight Prone")=1,NOT(ISERROR(FIND("Magical Botch",M479)))),"Yes",IF(P479&gt;1,"Yes","No"))</f>
        <v>No</v>
      </c>
      <c r="S479" s="501"/>
      <c r="T479" s="478"/>
      <c r="U479" s="501"/>
      <c r="V479" s="479" t="str">
        <f>IF(R479="No","No Twilight",IF(T479="Yes","Uncomprehended Twilight",IF((Character!$B$14+IF(Character!$B$53="Yes",0,Character!$B$53)+IF(Magic!$C$5="Yes",2,0)+ROUNDUP((Magic!$B$30+IF(Magic!$C$30="Yes",3,0))/5,0)+S479)&gt;=($D$3+P479+SUMIF(Character!$I$62:$I$66,"Enigmatic Wisdom",Character!$J$62:$J$66)+Q479+U479),"No Twilight","Twilight")))</f>
        <v>No Twilight</v>
      </c>
      <c r="W479" s="483"/>
      <c r="X479" s="478"/>
      <c r="Y479" s="484"/>
      <c r="Z479" s="478"/>
      <c r="AA479" s="485" t="str">
        <f>IF(V479="Uncomprehended Twilight","Failed",IF(OR(ISBLANK(W479),ISBLANK(Y479))," ",IF(NOT(ISBLANK(X479)),"Failed",IF((W479+Character!$B$9+SUMIF(Character!$I$62:$I$66,"Enigmatic Wisdom",Character!$J$62:$J$66))&gt;=IF(Z479="Yes",0,(Y479+D474)),"Succeeded","Failed"))))</f>
        <v xml:space="preserve"> </v>
      </c>
      <c r="AB479" s="477" t="str">
        <f>IF(AA479=" "," ",IF(NOT(ISBLANK(X479)),VLOOKUP($D$3+X479,Calcs!$A$110:$C$122,3,TRUE),IF(AA479="Failed",VLOOKUP($D$3,Calcs!$A$110:$C$122,3,TRUE),VLOOKUP($D$3-(IF((Character!$B$9+W479)&gt;($D$3+Y479),(Character!$B$9+W479)-($D$3+Y479),0)),Calcs!$A$110:$C$122,3,TRUE))))</f>
        <v xml:space="preserve"> </v>
      </c>
      <c r="AC479" s="489"/>
      <c r="AD479" s="489" t="str">
        <f>IF(IF(AA479=" "," ",IF(NOT(ISBLANK(X479)),VLOOKUP($D$3+X479,Calcs!$A$110:$B$122,2,TRUE),IF(AA479="Failed",VLOOKUP($D$3,Calcs!$A$110:$B$122,2,TRUE),VLOOKUP($D$3-(IF((Character!$B$9+W479)&gt;($D$3+Y479),(Character!$B$9+W479)-($D$3+Y479),0)),Calcs!$A$110:$B$122,2,TRUE))))=Calcs!$B$120,IF(ISBLANK(AC479)," ",CONCATENATE(AC479+7," Years")),IF(AA479=" "," ",IF(NOT(ISBLANK(X479)),VLOOKUP($D$3+X479,Calcs!$A$110:$B$122,2,TRUE),IF(AA479="Failed",VLOOKUP($D$3,Calcs!$A$110:$B$122,2,TRUE),VLOOKUP($D$3-(IF((Character!$B$9+W479)&gt;($D$3+Y479),(Character!$B$9+W479)-($D$3+Y479),0)),Calcs!$A$110:$B$122,2,TRUE)))))</f>
        <v xml:space="preserve"> </v>
      </c>
      <c r="AE479" s="490"/>
      <c r="AF479" s="879"/>
      <c r="AG479" s="491"/>
    </row>
    <row r="480" spans="1:33" x14ac:dyDescent="0.2">
      <c r="A480" s="415">
        <f t="shared" si="14"/>
        <v>1330</v>
      </c>
      <c r="B480" s="419" t="str">
        <f t="shared" si="15"/>
        <v>Winter</v>
      </c>
      <c r="C480" s="455"/>
      <c r="D480" s="504"/>
      <c r="E480" s="455"/>
      <c r="F480" s="504"/>
      <c r="G480" s="455"/>
      <c r="H480" s="504"/>
      <c r="I480" s="455"/>
      <c r="J480" s="504"/>
      <c r="L480" s="472"/>
      <c r="M480" s="468"/>
      <c r="N480" s="468"/>
      <c r="O480" s="468"/>
      <c r="P480" s="468"/>
      <c r="Q480" s="473"/>
      <c r="R480" s="477" t="str">
        <f>IF(AND(COUNTIF('Start Character'!$I$63:$M$77,"Twilight Prone")=1,NOT(ISERROR(FIND("Magical Botch",M480)))),"Yes",IF(P480&gt;1,"Yes","No"))</f>
        <v>No</v>
      </c>
      <c r="S480" s="501"/>
      <c r="T480" s="478"/>
      <c r="U480" s="501"/>
      <c r="V480" s="479" t="str">
        <f>IF(R480="No","No Twilight",IF(T480="Yes","Uncomprehended Twilight",IF((Character!$B$14+IF(Character!$B$53="Yes",0,Character!$B$53)+IF(Magic!$C$5="Yes",2,0)+ROUNDUP((Magic!$B$30+IF(Magic!$C$30="Yes",3,0))/5,0)+S480)&gt;=($D$3+P480+SUMIF(Character!$I$62:$I$66,"Enigmatic Wisdom",Character!$J$62:$J$66)+Q480+U480),"No Twilight","Twilight")))</f>
        <v>No Twilight</v>
      </c>
      <c r="W480" s="483"/>
      <c r="X480" s="478"/>
      <c r="Y480" s="484"/>
      <c r="Z480" s="478"/>
      <c r="AA480" s="485" t="str">
        <f>IF(V480="Uncomprehended Twilight","Failed",IF(OR(ISBLANK(W480),ISBLANK(Y480))," ",IF(NOT(ISBLANK(X480)),"Failed",IF((W480+Character!$B$9+SUMIF(Character!$I$62:$I$66,"Enigmatic Wisdom",Character!$J$62:$J$66))&gt;=IF(Z480="Yes",0,(Y480+D475)),"Succeeded","Failed"))))</f>
        <v xml:space="preserve"> </v>
      </c>
      <c r="AB480" s="477" t="str">
        <f>IF(AA480=" "," ",IF(NOT(ISBLANK(X480)),VLOOKUP($D$3+X480,Calcs!$A$110:$C$122,3,TRUE),IF(AA480="Failed",VLOOKUP($D$3,Calcs!$A$110:$C$122,3,TRUE),VLOOKUP($D$3-(IF((Character!$B$9+W480)&gt;($D$3+Y480),(Character!$B$9+W480)-($D$3+Y480),0)),Calcs!$A$110:$C$122,3,TRUE))))</f>
        <v xml:space="preserve"> </v>
      </c>
      <c r="AC480" s="489"/>
      <c r="AD480" s="489" t="str">
        <f>IF(IF(AA480=" "," ",IF(NOT(ISBLANK(X480)),VLOOKUP($D$3+X480,Calcs!$A$110:$B$122,2,TRUE),IF(AA480="Failed",VLOOKUP($D$3,Calcs!$A$110:$B$122,2,TRUE),VLOOKUP($D$3-(IF((Character!$B$9+W480)&gt;($D$3+Y480),(Character!$B$9+W480)-($D$3+Y480),0)),Calcs!$A$110:$B$122,2,TRUE))))=Calcs!$B$120,IF(ISBLANK(AC480)," ",CONCATENATE(AC480+7," Years")),IF(AA480=" "," ",IF(NOT(ISBLANK(X480)),VLOOKUP($D$3+X480,Calcs!$A$110:$B$122,2,TRUE),IF(AA480="Failed",VLOOKUP($D$3,Calcs!$A$110:$B$122,2,TRUE),VLOOKUP($D$3-(IF((Character!$B$9+W480)&gt;($D$3+Y480),(Character!$B$9+W480)-($D$3+Y480),0)),Calcs!$A$110:$B$122,2,TRUE)))))</f>
        <v xml:space="preserve"> </v>
      </c>
      <c r="AE480" s="490"/>
      <c r="AF480" s="879"/>
      <c r="AG480" s="491"/>
    </row>
    <row r="481" spans="1:33" x14ac:dyDescent="0.2">
      <c r="A481" s="415">
        <f t="shared" si="14"/>
        <v>1330</v>
      </c>
      <c r="B481" s="419" t="str">
        <f t="shared" si="15"/>
        <v>Spring</v>
      </c>
      <c r="C481" s="455"/>
      <c r="D481" s="504"/>
      <c r="E481" s="455"/>
      <c r="F481" s="504"/>
      <c r="G481" s="455"/>
      <c r="H481" s="504"/>
      <c r="I481" s="455"/>
      <c r="J481" s="504"/>
      <c r="L481" s="472"/>
      <c r="M481" s="468"/>
      <c r="N481" s="468"/>
      <c r="O481" s="468"/>
      <c r="P481" s="468"/>
      <c r="Q481" s="473"/>
      <c r="R481" s="477" t="str">
        <f>IF(AND(COUNTIF('Start Character'!$I$63:$M$77,"Twilight Prone")=1,NOT(ISERROR(FIND("Magical Botch",M481)))),"Yes",IF(P481&gt;1,"Yes","No"))</f>
        <v>No</v>
      </c>
      <c r="S481" s="501"/>
      <c r="T481" s="478"/>
      <c r="U481" s="501"/>
      <c r="V481" s="479" t="str">
        <f>IF(R481="No","No Twilight",IF(T481="Yes","Uncomprehended Twilight",IF((Character!$B$14+IF(Character!$B$53="Yes",0,Character!$B$53)+IF(Magic!$C$5="Yes",2,0)+ROUNDUP((Magic!$B$30+IF(Magic!$C$30="Yes",3,0))/5,0)+S481)&gt;=($D$3+P481+SUMIF(Character!$I$62:$I$66,"Enigmatic Wisdom",Character!$J$62:$J$66)+Q481+U481),"No Twilight","Twilight")))</f>
        <v>No Twilight</v>
      </c>
      <c r="W481" s="483"/>
      <c r="X481" s="478"/>
      <c r="Y481" s="484"/>
      <c r="Z481" s="478"/>
      <c r="AA481" s="485" t="str">
        <f>IF(V481="Uncomprehended Twilight","Failed",IF(OR(ISBLANK(W481),ISBLANK(Y481))," ",IF(NOT(ISBLANK(X481)),"Failed",IF((W481+Character!$B$9+SUMIF(Character!$I$62:$I$66,"Enigmatic Wisdom",Character!$J$62:$J$66))&gt;=IF(Z481="Yes",0,(Y481+D476)),"Succeeded","Failed"))))</f>
        <v xml:space="preserve"> </v>
      </c>
      <c r="AB481" s="477" t="str">
        <f>IF(AA481=" "," ",IF(NOT(ISBLANK(X481)),VLOOKUP($D$3+X481,Calcs!$A$110:$C$122,3,TRUE),IF(AA481="Failed",VLOOKUP($D$3,Calcs!$A$110:$C$122,3,TRUE),VLOOKUP($D$3-(IF((Character!$B$9+W481)&gt;($D$3+Y481),(Character!$B$9+W481)-($D$3+Y481),0)),Calcs!$A$110:$C$122,3,TRUE))))</f>
        <v xml:space="preserve"> </v>
      </c>
      <c r="AC481" s="489"/>
      <c r="AD481" s="489" t="str">
        <f>IF(IF(AA481=" "," ",IF(NOT(ISBLANK(X481)),VLOOKUP($D$3+X481,Calcs!$A$110:$B$122,2,TRUE),IF(AA481="Failed",VLOOKUP($D$3,Calcs!$A$110:$B$122,2,TRUE),VLOOKUP($D$3-(IF((Character!$B$9+W481)&gt;($D$3+Y481),(Character!$B$9+W481)-($D$3+Y481),0)),Calcs!$A$110:$B$122,2,TRUE))))=Calcs!$B$120,IF(ISBLANK(AC481)," ",CONCATENATE(AC481+7," Years")),IF(AA481=" "," ",IF(NOT(ISBLANK(X481)),VLOOKUP($D$3+X481,Calcs!$A$110:$B$122,2,TRUE),IF(AA481="Failed",VLOOKUP($D$3,Calcs!$A$110:$B$122,2,TRUE),VLOOKUP($D$3-(IF((Character!$B$9+W481)&gt;($D$3+Y481),(Character!$B$9+W481)-($D$3+Y481),0)),Calcs!$A$110:$B$122,2,TRUE)))))</f>
        <v xml:space="preserve"> </v>
      </c>
      <c r="AE481" s="490"/>
      <c r="AF481" s="879"/>
      <c r="AG481" s="491"/>
    </row>
    <row r="482" spans="1:33" x14ac:dyDescent="0.2">
      <c r="A482" s="415">
        <f t="shared" si="14"/>
        <v>1330</v>
      </c>
      <c r="B482" s="419" t="str">
        <f t="shared" si="15"/>
        <v>Summer</v>
      </c>
      <c r="C482" s="455"/>
      <c r="D482" s="504"/>
      <c r="E482" s="455"/>
      <c r="F482" s="504"/>
      <c r="G482" s="455"/>
      <c r="H482" s="504"/>
      <c r="I482" s="455"/>
      <c r="J482" s="504"/>
      <c r="L482" s="472"/>
      <c r="M482" s="468"/>
      <c r="N482" s="468"/>
      <c r="O482" s="468"/>
      <c r="P482" s="468"/>
      <c r="Q482" s="473"/>
      <c r="R482" s="477" t="str">
        <f>IF(AND(COUNTIF('Start Character'!$I$63:$M$77,"Twilight Prone")=1,NOT(ISERROR(FIND("Magical Botch",M482)))),"Yes",IF(P482&gt;1,"Yes","No"))</f>
        <v>No</v>
      </c>
      <c r="S482" s="501"/>
      <c r="T482" s="478"/>
      <c r="U482" s="501"/>
      <c r="V482" s="479" t="str">
        <f>IF(R482="No","No Twilight",IF(T482="Yes","Uncomprehended Twilight",IF((Character!$B$14+IF(Character!$B$53="Yes",0,Character!$B$53)+IF(Magic!$C$5="Yes",2,0)+ROUNDUP((Magic!$B$30+IF(Magic!$C$30="Yes",3,0))/5,0)+S482)&gt;=($D$3+P482+SUMIF(Character!$I$62:$I$66,"Enigmatic Wisdom",Character!$J$62:$J$66)+Q482+U482),"No Twilight","Twilight")))</f>
        <v>No Twilight</v>
      </c>
      <c r="W482" s="483"/>
      <c r="X482" s="478"/>
      <c r="Y482" s="484"/>
      <c r="Z482" s="478"/>
      <c r="AA482" s="485" t="str">
        <f>IF(V482="Uncomprehended Twilight","Failed",IF(OR(ISBLANK(W482),ISBLANK(Y482))," ",IF(NOT(ISBLANK(X482)),"Failed",IF((W482+Character!$B$9+SUMIF(Character!$I$62:$I$66,"Enigmatic Wisdom",Character!$J$62:$J$66))&gt;=IF(Z482="Yes",0,(Y482+D477)),"Succeeded","Failed"))))</f>
        <v xml:space="preserve"> </v>
      </c>
      <c r="AB482" s="477" t="str">
        <f>IF(AA482=" "," ",IF(NOT(ISBLANK(X482)),VLOOKUP($D$3+X482,Calcs!$A$110:$C$122,3,TRUE),IF(AA482="Failed",VLOOKUP($D$3,Calcs!$A$110:$C$122,3,TRUE),VLOOKUP($D$3-(IF((Character!$B$9+W482)&gt;($D$3+Y482),(Character!$B$9+W482)-($D$3+Y482),0)),Calcs!$A$110:$C$122,3,TRUE))))</f>
        <v xml:space="preserve"> </v>
      </c>
      <c r="AC482" s="489"/>
      <c r="AD482" s="489" t="str">
        <f>IF(IF(AA482=" "," ",IF(NOT(ISBLANK(X482)),VLOOKUP($D$3+X482,Calcs!$A$110:$B$122,2,TRUE),IF(AA482="Failed",VLOOKUP($D$3,Calcs!$A$110:$B$122,2,TRUE),VLOOKUP($D$3-(IF((Character!$B$9+W482)&gt;($D$3+Y482),(Character!$B$9+W482)-($D$3+Y482),0)),Calcs!$A$110:$B$122,2,TRUE))))=Calcs!$B$120,IF(ISBLANK(AC482)," ",CONCATENATE(AC482+7," Years")),IF(AA482=" "," ",IF(NOT(ISBLANK(X482)),VLOOKUP($D$3+X482,Calcs!$A$110:$B$122,2,TRUE),IF(AA482="Failed",VLOOKUP($D$3,Calcs!$A$110:$B$122,2,TRUE),VLOOKUP($D$3-(IF((Character!$B$9+W482)&gt;($D$3+Y482),(Character!$B$9+W482)-($D$3+Y482),0)),Calcs!$A$110:$B$122,2,TRUE)))))</f>
        <v xml:space="preserve"> </v>
      </c>
      <c r="AE482" s="490"/>
      <c r="AF482" s="879"/>
      <c r="AG482" s="491"/>
    </row>
    <row r="483" spans="1:33" x14ac:dyDescent="0.2">
      <c r="A483" s="415">
        <f t="shared" si="14"/>
        <v>1330</v>
      </c>
      <c r="B483" s="419" t="str">
        <f t="shared" si="15"/>
        <v>Autumn</v>
      </c>
      <c r="C483" s="455"/>
      <c r="D483" s="504"/>
      <c r="E483" s="455"/>
      <c r="F483" s="504"/>
      <c r="G483" s="455"/>
      <c r="H483" s="504"/>
      <c r="I483" s="455"/>
      <c r="J483" s="504"/>
      <c r="L483" s="472"/>
      <c r="M483" s="468"/>
      <c r="N483" s="468"/>
      <c r="O483" s="468"/>
      <c r="P483" s="468"/>
      <c r="Q483" s="473"/>
      <c r="R483" s="477" t="str">
        <f>IF(AND(COUNTIF('Start Character'!$I$63:$M$77,"Twilight Prone")=1,NOT(ISERROR(FIND("Magical Botch",M483)))),"Yes",IF(P483&gt;1,"Yes","No"))</f>
        <v>No</v>
      </c>
      <c r="S483" s="501"/>
      <c r="T483" s="478"/>
      <c r="U483" s="501"/>
      <c r="V483" s="479" t="str">
        <f>IF(R483="No","No Twilight",IF(T483="Yes","Uncomprehended Twilight",IF((Character!$B$14+IF(Character!$B$53="Yes",0,Character!$B$53)+IF(Magic!$C$5="Yes",2,0)+ROUNDUP((Magic!$B$30+IF(Magic!$C$30="Yes",3,0))/5,0)+S483)&gt;=($D$3+P483+SUMIF(Character!$I$62:$I$66,"Enigmatic Wisdom",Character!$J$62:$J$66)+Q483+U483),"No Twilight","Twilight")))</f>
        <v>No Twilight</v>
      </c>
      <c r="W483" s="483"/>
      <c r="X483" s="478"/>
      <c r="Y483" s="484"/>
      <c r="Z483" s="478"/>
      <c r="AA483" s="485" t="str">
        <f>IF(V483="Uncomprehended Twilight","Failed",IF(OR(ISBLANK(W483),ISBLANK(Y483))," ",IF(NOT(ISBLANK(X483)),"Failed",IF((W483+Character!$B$9+SUMIF(Character!$I$62:$I$66,"Enigmatic Wisdom",Character!$J$62:$J$66))&gt;=IF(Z483="Yes",0,(Y483+D478)),"Succeeded","Failed"))))</f>
        <v xml:space="preserve"> </v>
      </c>
      <c r="AB483" s="477" t="str">
        <f>IF(AA483=" "," ",IF(NOT(ISBLANK(X483)),VLOOKUP($D$3+X483,Calcs!$A$110:$C$122,3,TRUE),IF(AA483="Failed",VLOOKUP($D$3,Calcs!$A$110:$C$122,3,TRUE),VLOOKUP($D$3-(IF((Character!$B$9+W483)&gt;($D$3+Y483),(Character!$B$9+W483)-($D$3+Y483),0)),Calcs!$A$110:$C$122,3,TRUE))))</f>
        <v xml:space="preserve"> </v>
      </c>
      <c r="AC483" s="489"/>
      <c r="AD483" s="489" t="str">
        <f>IF(IF(AA483=" "," ",IF(NOT(ISBLANK(X483)),VLOOKUP($D$3+X483,Calcs!$A$110:$B$122,2,TRUE),IF(AA483="Failed",VLOOKUP($D$3,Calcs!$A$110:$B$122,2,TRUE),VLOOKUP($D$3-(IF((Character!$B$9+W483)&gt;($D$3+Y483),(Character!$B$9+W483)-($D$3+Y483),0)),Calcs!$A$110:$B$122,2,TRUE))))=Calcs!$B$120,IF(ISBLANK(AC483)," ",CONCATENATE(AC483+7," Years")),IF(AA483=" "," ",IF(NOT(ISBLANK(X483)),VLOOKUP($D$3+X483,Calcs!$A$110:$B$122,2,TRUE),IF(AA483="Failed",VLOOKUP($D$3,Calcs!$A$110:$B$122,2,TRUE),VLOOKUP($D$3-(IF((Character!$B$9+W483)&gt;($D$3+Y483),(Character!$B$9+W483)-($D$3+Y483),0)),Calcs!$A$110:$B$122,2,TRUE)))))</f>
        <v xml:space="preserve"> </v>
      </c>
      <c r="AE483" s="490"/>
      <c r="AF483" s="879"/>
      <c r="AG483" s="491"/>
    </row>
    <row r="484" spans="1:33" x14ac:dyDescent="0.2">
      <c r="A484" s="415">
        <f t="shared" si="14"/>
        <v>1331</v>
      </c>
      <c r="B484" s="419" t="str">
        <f t="shared" si="15"/>
        <v>Winter</v>
      </c>
      <c r="C484" s="455"/>
      <c r="D484" s="504"/>
      <c r="E484" s="455"/>
      <c r="F484" s="504"/>
      <c r="G484" s="455"/>
      <c r="H484" s="504"/>
      <c r="I484" s="455"/>
      <c r="J484" s="504"/>
      <c r="L484" s="472"/>
      <c r="M484" s="468"/>
      <c r="N484" s="468"/>
      <c r="O484" s="468"/>
      <c r="P484" s="468"/>
      <c r="Q484" s="473"/>
      <c r="R484" s="477" t="str">
        <f>IF(AND(COUNTIF('Start Character'!$I$63:$M$77,"Twilight Prone")=1,NOT(ISERROR(FIND("Magical Botch",M484)))),"Yes",IF(P484&gt;1,"Yes","No"))</f>
        <v>No</v>
      </c>
      <c r="S484" s="501"/>
      <c r="T484" s="478"/>
      <c r="U484" s="501"/>
      <c r="V484" s="479" t="str">
        <f>IF(R484="No","No Twilight",IF(T484="Yes","Uncomprehended Twilight",IF((Character!$B$14+IF(Character!$B$53="Yes",0,Character!$B$53)+IF(Magic!$C$5="Yes",2,0)+ROUNDUP((Magic!$B$30+IF(Magic!$C$30="Yes",3,0))/5,0)+S484)&gt;=($D$3+P484+SUMIF(Character!$I$62:$I$66,"Enigmatic Wisdom",Character!$J$62:$J$66)+Q484+U484),"No Twilight","Twilight")))</f>
        <v>No Twilight</v>
      </c>
      <c r="W484" s="483"/>
      <c r="X484" s="478"/>
      <c r="Y484" s="484"/>
      <c r="Z484" s="478"/>
      <c r="AA484" s="485" t="str">
        <f>IF(V484="Uncomprehended Twilight","Failed",IF(OR(ISBLANK(W484),ISBLANK(Y484))," ",IF(NOT(ISBLANK(X484)),"Failed",IF((W484+Character!$B$9+SUMIF(Character!$I$62:$I$66,"Enigmatic Wisdom",Character!$J$62:$J$66))&gt;=IF(Z484="Yes",0,(Y484+D479)),"Succeeded","Failed"))))</f>
        <v xml:space="preserve"> </v>
      </c>
      <c r="AB484" s="477" t="str">
        <f>IF(AA484=" "," ",IF(NOT(ISBLANK(X484)),VLOOKUP($D$3+X484,Calcs!$A$110:$C$122,3,TRUE),IF(AA484="Failed",VLOOKUP($D$3,Calcs!$A$110:$C$122,3,TRUE),VLOOKUP($D$3-(IF((Character!$B$9+W484)&gt;($D$3+Y484),(Character!$B$9+W484)-($D$3+Y484),0)),Calcs!$A$110:$C$122,3,TRUE))))</f>
        <v xml:space="preserve"> </v>
      </c>
      <c r="AC484" s="489"/>
      <c r="AD484" s="489" t="str">
        <f>IF(IF(AA484=" "," ",IF(NOT(ISBLANK(X484)),VLOOKUP($D$3+X484,Calcs!$A$110:$B$122,2,TRUE),IF(AA484="Failed",VLOOKUP($D$3,Calcs!$A$110:$B$122,2,TRUE),VLOOKUP($D$3-(IF((Character!$B$9+W484)&gt;($D$3+Y484),(Character!$B$9+W484)-($D$3+Y484),0)),Calcs!$A$110:$B$122,2,TRUE))))=Calcs!$B$120,IF(ISBLANK(AC484)," ",CONCATENATE(AC484+7," Years")),IF(AA484=" "," ",IF(NOT(ISBLANK(X484)),VLOOKUP($D$3+X484,Calcs!$A$110:$B$122,2,TRUE),IF(AA484="Failed",VLOOKUP($D$3,Calcs!$A$110:$B$122,2,TRUE),VLOOKUP($D$3-(IF((Character!$B$9+W484)&gt;($D$3+Y484),(Character!$B$9+W484)-($D$3+Y484),0)),Calcs!$A$110:$B$122,2,TRUE)))))</f>
        <v xml:space="preserve"> </v>
      </c>
      <c r="AE484" s="490"/>
      <c r="AF484" s="879"/>
      <c r="AG484" s="491"/>
    </row>
    <row r="485" spans="1:33" x14ac:dyDescent="0.2">
      <c r="A485" s="415">
        <f t="shared" si="14"/>
        <v>1331</v>
      </c>
      <c r="B485" s="419" t="str">
        <f t="shared" si="15"/>
        <v>Spring</v>
      </c>
      <c r="C485" s="455"/>
      <c r="D485" s="504"/>
      <c r="E485" s="455"/>
      <c r="F485" s="504"/>
      <c r="G485" s="455"/>
      <c r="H485" s="504"/>
      <c r="I485" s="455"/>
      <c r="J485" s="504"/>
      <c r="L485" s="472"/>
      <c r="M485" s="468"/>
      <c r="N485" s="468"/>
      <c r="O485" s="468"/>
      <c r="P485" s="468"/>
      <c r="Q485" s="473"/>
      <c r="R485" s="477" t="str">
        <f>IF(AND(COUNTIF('Start Character'!$I$63:$M$77,"Twilight Prone")=1,NOT(ISERROR(FIND("Magical Botch",M485)))),"Yes",IF(P485&gt;1,"Yes","No"))</f>
        <v>No</v>
      </c>
      <c r="S485" s="501"/>
      <c r="T485" s="478"/>
      <c r="U485" s="501"/>
      <c r="V485" s="479" t="str">
        <f>IF(R485="No","No Twilight",IF(T485="Yes","Uncomprehended Twilight",IF((Character!$B$14+IF(Character!$B$53="Yes",0,Character!$B$53)+IF(Magic!$C$5="Yes",2,0)+ROUNDUP((Magic!$B$30+IF(Magic!$C$30="Yes",3,0))/5,0)+S485)&gt;=($D$3+P485+SUMIF(Character!$I$62:$I$66,"Enigmatic Wisdom",Character!$J$62:$J$66)+Q485+U485),"No Twilight","Twilight")))</f>
        <v>No Twilight</v>
      </c>
      <c r="W485" s="483"/>
      <c r="X485" s="478"/>
      <c r="Y485" s="484"/>
      <c r="Z485" s="478"/>
      <c r="AA485" s="485" t="str">
        <f>IF(V485="Uncomprehended Twilight","Failed",IF(OR(ISBLANK(W485),ISBLANK(Y485))," ",IF(NOT(ISBLANK(X485)),"Failed",IF((W485+Character!$B$9+SUMIF(Character!$I$62:$I$66,"Enigmatic Wisdom",Character!$J$62:$J$66))&gt;=IF(Z485="Yes",0,(Y485+D480)),"Succeeded","Failed"))))</f>
        <v xml:space="preserve"> </v>
      </c>
      <c r="AB485" s="477" t="str">
        <f>IF(AA485=" "," ",IF(NOT(ISBLANK(X485)),VLOOKUP($D$3+X485,Calcs!$A$110:$C$122,3,TRUE),IF(AA485="Failed",VLOOKUP($D$3,Calcs!$A$110:$C$122,3,TRUE),VLOOKUP($D$3-(IF((Character!$B$9+W485)&gt;($D$3+Y485),(Character!$B$9+W485)-($D$3+Y485),0)),Calcs!$A$110:$C$122,3,TRUE))))</f>
        <v xml:space="preserve"> </v>
      </c>
      <c r="AC485" s="489"/>
      <c r="AD485" s="489" t="str">
        <f>IF(IF(AA485=" "," ",IF(NOT(ISBLANK(X485)),VLOOKUP($D$3+X485,Calcs!$A$110:$B$122,2,TRUE),IF(AA485="Failed",VLOOKUP($D$3,Calcs!$A$110:$B$122,2,TRUE),VLOOKUP($D$3-(IF((Character!$B$9+W485)&gt;($D$3+Y485),(Character!$B$9+W485)-($D$3+Y485),0)),Calcs!$A$110:$B$122,2,TRUE))))=Calcs!$B$120,IF(ISBLANK(AC485)," ",CONCATENATE(AC485+7," Years")),IF(AA485=" "," ",IF(NOT(ISBLANK(X485)),VLOOKUP($D$3+X485,Calcs!$A$110:$B$122,2,TRUE),IF(AA485="Failed",VLOOKUP($D$3,Calcs!$A$110:$B$122,2,TRUE),VLOOKUP($D$3-(IF((Character!$B$9+W485)&gt;($D$3+Y485),(Character!$B$9+W485)-($D$3+Y485),0)),Calcs!$A$110:$B$122,2,TRUE)))))</f>
        <v xml:space="preserve"> </v>
      </c>
      <c r="AE485" s="490"/>
      <c r="AF485" s="879"/>
      <c r="AG485" s="491"/>
    </row>
    <row r="486" spans="1:33" x14ac:dyDescent="0.2">
      <c r="A486" s="415">
        <f t="shared" si="14"/>
        <v>1331</v>
      </c>
      <c r="B486" s="419" t="str">
        <f t="shared" si="15"/>
        <v>Summer</v>
      </c>
      <c r="C486" s="455"/>
      <c r="D486" s="504"/>
      <c r="E486" s="455"/>
      <c r="F486" s="504"/>
      <c r="G486" s="455"/>
      <c r="H486" s="504"/>
      <c r="I486" s="455"/>
      <c r="J486" s="504"/>
      <c r="L486" s="472"/>
      <c r="M486" s="468"/>
      <c r="N486" s="468"/>
      <c r="O486" s="468"/>
      <c r="P486" s="468"/>
      <c r="Q486" s="473"/>
      <c r="R486" s="477" t="str">
        <f>IF(AND(COUNTIF('Start Character'!$I$63:$M$77,"Twilight Prone")=1,NOT(ISERROR(FIND("Magical Botch",M486)))),"Yes",IF(P486&gt;1,"Yes","No"))</f>
        <v>No</v>
      </c>
      <c r="S486" s="501"/>
      <c r="T486" s="478"/>
      <c r="U486" s="501"/>
      <c r="V486" s="479" t="str">
        <f>IF(R486="No","No Twilight",IF(T486="Yes","Uncomprehended Twilight",IF((Character!$B$14+IF(Character!$B$53="Yes",0,Character!$B$53)+IF(Magic!$C$5="Yes",2,0)+ROUNDUP((Magic!$B$30+IF(Magic!$C$30="Yes",3,0))/5,0)+S486)&gt;=($D$3+P486+SUMIF(Character!$I$62:$I$66,"Enigmatic Wisdom",Character!$J$62:$J$66)+Q486+U486),"No Twilight","Twilight")))</f>
        <v>No Twilight</v>
      </c>
      <c r="W486" s="483"/>
      <c r="X486" s="478"/>
      <c r="Y486" s="484"/>
      <c r="Z486" s="478"/>
      <c r="AA486" s="485" t="str">
        <f>IF(V486="Uncomprehended Twilight","Failed",IF(OR(ISBLANK(W486),ISBLANK(Y486))," ",IF(NOT(ISBLANK(X486)),"Failed",IF((W486+Character!$B$9+SUMIF(Character!$I$62:$I$66,"Enigmatic Wisdom",Character!$J$62:$J$66))&gt;=IF(Z486="Yes",0,(Y486+D481)),"Succeeded","Failed"))))</f>
        <v xml:space="preserve"> </v>
      </c>
      <c r="AB486" s="477" t="str">
        <f>IF(AA486=" "," ",IF(NOT(ISBLANK(X486)),VLOOKUP($D$3+X486,Calcs!$A$110:$C$122,3,TRUE),IF(AA486="Failed",VLOOKUP($D$3,Calcs!$A$110:$C$122,3,TRUE),VLOOKUP($D$3-(IF((Character!$B$9+W486)&gt;($D$3+Y486),(Character!$B$9+W486)-($D$3+Y486),0)),Calcs!$A$110:$C$122,3,TRUE))))</f>
        <v xml:space="preserve"> </v>
      </c>
      <c r="AC486" s="489"/>
      <c r="AD486" s="489" t="str">
        <f>IF(IF(AA486=" "," ",IF(NOT(ISBLANK(X486)),VLOOKUP($D$3+X486,Calcs!$A$110:$B$122,2,TRUE),IF(AA486="Failed",VLOOKUP($D$3,Calcs!$A$110:$B$122,2,TRUE),VLOOKUP($D$3-(IF((Character!$B$9+W486)&gt;($D$3+Y486),(Character!$B$9+W486)-($D$3+Y486),0)),Calcs!$A$110:$B$122,2,TRUE))))=Calcs!$B$120,IF(ISBLANK(AC486)," ",CONCATENATE(AC486+7," Years")),IF(AA486=" "," ",IF(NOT(ISBLANK(X486)),VLOOKUP($D$3+X486,Calcs!$A$110:$B$122,2,TRUE),IF(AA486="Failed",VLOOKUP($D$3,Calcs!$A$110:$B$122,2,TRUE),VLOOKUP($D$3-(IF((Character!$B$9+W486)&gt;($D$3+Y486),(Character!$B$9+W486)-($D$3+Y486),0)),Calcs!$A$110:$B$122,2,TRUE)))))</f>
        <v xml:space="preserve"> </v>
      </c>
      <c r="AE486" s="490"/>
      <c r="AF486" s="879"/>
      <c r="AG486" s="491"/>
    </row>
    <row r="487" spans="1:33" x14ac:dyDescent="0.2">
      <c r="A487" s="415">
        <f t="shared" si="14"/>
        <v>1331</v>
      </c>
      <c r="B487" s="419" t="str">
        <f t="shared" si="15"/>
        <v>Autumn</v>
      </c>
      <c r="C487" s="455"/>
      <c r="D487" s="504"/>
      <c r="E487" s="455"/>
      <c r="F487" s="504"/>
      <c r="G487" s="455"/>
      <c r="H487" s="504"/>
      <c r="I487" s="455"/>
      <c r="J487" s="504"/>
      <c r="L487" s="472"/>
      <c r="M487" s="468"/>
      <c r="N487" s="468"/>
      <c r="O487" s="468"/>
      <c r="P487" s="468"/>
      <c r="Q487" s="473"/>
      <c r="R487" s="477" t="str">
        <f>IF(AND(COUNTIF('Start Character'!$I$63:$M$77,"Twilight Prone")=1,NOT(ISERROR(FIND("Magical Botch",M487)))),"Yes",IF(P487&gt;1,"Yes","No"))</f>
        <v>No</v>
      </c>
      <c r="S487" s="501"/>
      <c r="T487" s="478"/>
      <c r="U487" s="501"/>
      <c r="V487" s="479" t="str">
        <f>IF(R487="No","No Twilight",IF(T487="Yes","Uncomprehended Twilight",IF((Character!$B$14+IF(Character!$B$53="Yes",0,Character!$B$53)+IF(Magic!$C$5="Yes",2,0)+ROUNDUP((Magic!$B$30+IF(Magic!$C$30="Yes",3,0))/5,0)+S487)&gt;=($D$3+P487+SUMIF(Character!$I$62:$I$66,"Enigmatic Wisdom",Character!$J$62:$J$66)+Q487+U487),"No Twilight","Twilight")))</f>
        <v>No Twilight</v>
      </c>
      <c r="W487" s="483"/>
      <c r="X487" s="478"/>
      <c r="Y487" s="484"/>
      <c r="Z487" s="478"/>
      <c r="AA487" s="485" t="str">
        <f>IF(V487="Uncomprehended Twilight","Failed",IF(OR(ISBLANK(W487),ISBLANK(Y487))," ",IF(NOT(ISBLANK(X487)),"Failed",IF((W487+Character!$B$9+SUMIF(Character!$I$62:$I$66,"Enigmatic Wisdom",Character!$J$62:$J$66))&gt;=IF(Z487="Yes",0,(Y487+D482)),"Succeeded","Failed"))))</f>
        <v xml:space="preserve"> </v>
      </c>
      <c r="AB487" s="477" t="str">
        <f>IF(AA487=" "," ",IF(NOT(ISBLANK(X487)),VLOOKUP($D$3+X487,Calcs!$A$110:$C$122,3,TRUE),IF(AA487="Failed",VLOOKUP($D$3,Calcs!$A$110:$C$122,3,TRUE),VLOOKUP($D$3-(IF((Character!$B$9+W487)&gt;($D$3+Y487),(Character!$B$9+W487)-($D$3+Y487),0)),Calcs!$A$110:$C$122,3,TRUE))))</f>
        <v xml:space="preserve"> </v>
      </c>
      <c r="AC487" s="489"/>
      <c r="AD487" s="489" t="str">
        <f>IF(IF(AA487=" "," ",IF(NOT(ISBLANK(X487)),VLOOKUP($D$3+X487,Calcs!$A$110:$B$122,2,TRUE),IF(AA487="Failed",VLOOKUP($D$3,Calcs!$A$110:$B$122,2,TRUE),VLOOKUP($D$3-(IF((Character!$B$9+W487)&gt;($D$3+Y487),(Character!$B$9+W487)-($D$3+Y487),0)),Calcs!$A$110:$B$122,2,TRUE))))=Calcs!$B$120,IF(ISBLANK(AC487)," ",CONCATENATE(AC487+7," Years")),IF(AA487=" "," ",IF(NOT(ISBLANK(X487)),VLOOKUP($D$3+X487,Calcs!$A$110:$B$122,2,TRUE),IF(AA487="Failed",VLOOKUP($D$3,Calcs!$A$110:$B$122,2,TRUE),VLOOKUP($D$3-(IF((Character!$B$9+W487)&gt;($D$3+Y487),(Character!$B$9+W487)-($D$3+Y487),0)),Calcs!$A$110:$B$122,2,TRUE)))))</f>
        <v xml:space="preserve"> </v>
      </c>
      <c r="AE487" s="490"/>
      <c r="AF487" s="879"/>
      <c r="AG487" s="491"/>
    </row>
    <row r="488" spans="1:33" x14ac:dyDescent="0.2">
      <c r="A488" s="415">
        <f t="shared" si="14"/>
        <v>1332</v>
      </c>
      <c r="B488" s="419" t="str">
        <f t="shared" si="15"/>
        <v>Winter</v>
      </c>
      <c r="C488" s="455"/>
      <c r="D488" s="504"/>
      <c r="E488" s="455"/>
      <c r="F488" s="504"/>
      <c r="G488" s="455"/>
      <c r="H488" s="504"/>
      <c r="I488" s="455"/>
      <c r="J488" s="504"/>
      <c r="L488" s="472"/>
      <c r="M488" s="468"/>
      <c r="N488" s="468"/>
      <c r="O488" s="468"/>
      <c r="P488" s="468"/>
      <c r="Q488" s="473"/>
      <c r="R488" s="477" t="str">
        <f>IF(AND(COUNTIF('Start Character'!$I$63:$M$77,"Twilight Prone")=1,NOT(ISERROR(FIND("Magical Botch",M488)))),"Yes",IF(P488&gt;1,"Yes","No"))</f>
        <v>No</v>
      </c>
      <c r="S488" s="501"/>
      <c r="T488" s="478"/>
      <c r="U488" s="501"/>
      <c r="V488" s="479" t="str">
        <f>IF(R488="No","No Twilight",IF(T488="Yes","Uncomprehended Twilight",IF((Character!$B$14+IF(Character!$B$53="Yes",0,Character!$B$53)+IF(Magic!$C$5="Yes",2,0)+ROUNDUP((Magic!$B$30+IF(Magic!$C$30="Yes",3,0))/5,0)+S488)&gt;=($D$3+P488+SUMIF(Character!$I$62:$I$66,"Enigmatic Wisdom",Character!$J$62:$J$66)+Q488+U488),"No Twilight","Twilight")))</f>
        <v>No Twilight</v>
      </c>
      <c r="W488" s="483"/>
      <c r="X488" s="478"/>
      <c r="Y488" s="484"/>
      <c r="Z488" s="478"/>
      <c r="AA488" s="485" t="str">
        <f>IF(V488="Uncomprehended Twilight","Failed",IF(OR(ISBLANK(W488),ISBLANK(Y488))," ",IF(NOT(ISBLANK(X488)),"Failed",IF((W488+Character!$B$9+SUMIF(Character!$I$62:$I$66,"Enigmatic Wisdom",Character!$J$62:$J$66))&gt;=IF(Z488="Yes",0,(Y488+D483)),"Succeeded","Failed"))))</f>
        <v xml:space="preserve"> </v>
      </c>
      <c r="AB488" s="477" t="str">
        <f>IF(AA488=" "," ",IF(NOT(ISBLANK(X488)),VLOOKUP($D$3+X488,Calcs!$A$110:$C$122,3,TRUE),IF(AA488="Failed",VLOOKUP($D$3,Calcs!$A$110:$C$122,3,TRUE),VLOOKUP($D$3-(IF((Character!$B$9+W488)&gt;($D$3+Y488),(Character!$B$9+W488)-($D$3+Y488),0)),Calcs!$A$110:$C$122,3,TRUE))))</f>
        <v xml:space="preserve"> </v>
      </c>
      <c r="AC488" s="489"/>
      <c r="AD488" s="489" t="str">
        <f>IF(IF(AA488=" "," ",IF(NOT(ISBLANK(X488)),VLOOKUP($D$3+X488,Calcs!$A$110:$B$122,2,TRUE),IF(AA488="Failed",VLOOKUP($D$3,Calcs!$A$110:$B$122,2,TRUE),VLOOKUP($D$3-(IF((Character!$B$9+W488)&gt;($D$3+Y488),(Character!$B$9+W488)-($D$3+Y488),0)),Calcs!$A$110:$B$122,2,TRUE))))=Calcs!$B$120,IF(ISBLANK(AC488)," ",CONCATENATE(AC488+7," Years")),IF(AA488=" "," ",IF(NOT(ISBLANK(X488)),VLOOKUP($D$3+X488,Calcs!$A$110:$B$122,2,TRUE),IF(AA488="Failed",VLOOKUP($D$3,Calcs!$A$110:$B$122,2,TRUE),VLOOKUP($D$3-(IF((Character!$B$9+W488)&gt;($D$3+Y488),(Character!$B$9+W488)-($D$3+Y488),0)),Calcs!$A$110:$B$122,2,TRUE)))))</f>
        <v xml:space="preserve"> </v>
      </c>
      <c r="AE488" s="490"/>
      <c r="AF488" s="879"/>
      <c r="AG488" s="491"/>
    </row>
    <row r="489" spans="1:33" x14ac:dyDescent="0.2">
      <c r="A489" s="415">
        <f t="shared" si="14"/>
        <v>1332</v>
      </c>
      <c r="B489" s="419" t="str">
        <f t="shared" si="15"/>
        <v>Spring</v>
      </c>
      <c r="C489" s="455"/>
      <c r="D489" s="504"/>
      <c r="E489" s="455"/>
      <c r="F489" s="504"/>
      <c r="G489" s="455"/>
      <c r="H489" s="504"/>
      <c r="I489" s="455"/>
      <c r="J489" s="504"/>
      <c r="L489" s="472"/>
      <c r="M489" s="468"/>
      <c r="N489" s="468"/>
      <c r="O489" s="468"/>
      <c r="P489" s="468"/>
      <c r="Q489" s="473"/>
      <c r="R489" s="477" t="str">
        <f>IF(AND(COUNTIF('Start Character'!$I$63:$M$77,"Twilight Prone")=1,NOT(ISERROR(FIND("Magical Botch",M489)))),"Yes",IF(P489&gt;1,"Yes","No"))</f>
        <v>No</v>
      </c>
      <c r="S489" s="501"/>
      <c r="T489" s="478"/>
      <c r="U489" s="501"/>
      <c r="V489" s="479" t="str">
        <f>IF(R489="No","No Twilight",IF(T489="Yes","Uncomprehended Twilight",IF((Character!$B$14+IF(Character!$B$53="Yes",0,Character!$B$53)+IF(Magic!$C$5="Yes",2,0)+ROUNDUP((Magic!$B$30+IF(Magic!$C$30="Yes",3,0))/5,0)+S489)&gt;=($D$3+P489+SUMIF(Character!$I$62:$I$66,"Enigmatic Wisdom",Character!$J$62:$J$66)+Q489+U489),"No Twilight","Twilight")))</f>
        <v>No Twilight</v>
      </c>
      <c r="W489" s="483"/>
      <c r="X489" s="478"/>
      <c r="Y489" s="484"/>
      <c r="Z489" s="478"/>
      <c r="AA489" s="485" t="str">
        <f>IF(V489="Uncomprehended Twilight","Failed",IF(OR(ISBLANK(W489),ISBLANK(Y489))," ",IF(NOT(ISBLANK(X489)),"Failed",IF((W489+Character!$B$9+SUMIF(Character!$I$62:$I$66,"Enigmatic Wisdom",Character!$J$62:$J$66))&gt;=IF(Z489="Yes",0,(Y489+D484)),"Succeeded","Failed"))))</f>
        <v xml:space="preserve"> </v>
      </c>
      <c r="AB489" s="477" t="str">
        <f>IF(AA489=" "," ",IF(NOT(ISBLANK(X489)),VLOOKUP($D$3+X489,Calcs!$A$110:$C$122,3,TRUE),IF(AA489="Failed",VLOOKUP($D$3,Calcs!$A$110:$C$122,3,TRUE),VLOOKUP($D$3-(IF((Character!$B$9+W489)&gt;($D$3+Y489),(Character!$B$9+W489)-($D$3+Y489),0)),Calcs!$A$110:$C$122,3,TRUE))))</f>
        <v xml:space="preserve"> </v>
      </c>
      <c r="AC489" s="489"/>
      <c r="AD489" s="489" t="str">
        <f>IF(IF(AA489=" "," ",IF(NOT(ISBLANK(X489)),VLOOKUP($D$3+X489,Calcs!$A$110:$B$122,2,TRUE),IF(AA489="Failed",VLOOKUP($D$3,Calcs!$A$110:$B$122,2,TRUE),VLOOKUP($D$3-(IF((Character!$B$9+W489)&gt;($D$3+Y489),(Character!$B$9+W489)-($D$3+Y489),0)),Calcs!$A$110:$B$122,2,TRUE))))=Calcs!$B$120,IF(ISBLANK(AC489)," ",CONCATENATE(AC489+7," Years")),IF(AA489=" "," ",IF(NOT(ISBLANK(X489)),VLOOKUP($D$3+X489,Calcs!$A$110:$B$122,2,TRUE),IF(AA489="Failed",VLOOKUP($D$3,Calcs!$A$110:$B$122,2,TRUE),VLOOKUP($D$3-(IF((Character!$B$9+W489)&gt;($D$3+Y489),(Character!$B$9+W489)-($D$3+Y489),0)),Calcs!$A$110:$B$122,2,TRUE)))))</f>
        <v xml:space="preserve"> </v>
      </c>
      <c r="AE489" s="490"/>
      <c r="AF489" s="879"/>
      <c r="AG489" s="491"/>
    </row>
    <row r="490" spans="1:33" x14ac:dyDescent="0.2">
      <c r="A490" s="415">
        <f t="shared" si="14"/>
        <v>1332</v>
      </c>
      <c r="B490" s="419" t="str">
        <f t="shared" si="15"/>
        <v>Summer</v>
      </c>
      <c r="C490" s="455"/>
      <c r="D490" s="504"/>
      <c r="E490" s="455"/>
      <c r="F490" s="504"/>
      <c r="G490" s="455"/>
      <c r="H490" s="504"/>
      <c r="I490" s="455"/>
      <c r="J490" s="504"/>
      <c r="L490" s="472"/>
      <c r="M490" s="468"/>
      <c r="N490" s="468"/>
      <c r="O490" s="468"/>
      <c r="P490" s="468"/>
      <c r="Q490" s="473"/>
      <c r="R490" s="477" t="str">
        <f>IF(AND(COUNTIF('Start Character'!$I$63:$M$77,"Twilight Prone")=1,NOT(ISERROR(FIND("Magical Botch",M490)))),"Yes",IF(P490&gt;1,"Yes","No"))</f>
        <v>No</v>
      </c>
      <c r="S490" s="501"/>
      <c r="T490" s="478"/>
      <c r="U490" s="501"/>
      <c r="V490" s="479" t="str">
        <f>IF(R490="No","No Twilight",IF(T490="Yes","Uncomprehended Twilight",IF((Character!$B$14+IF(Character!$B$53="Yes",0,Character!$B$53)+IF(Magic!$C$5="Yes",2,0)+ROUNDUP((Magic!$B$30+IF(Magic!$C$30="Yes",3,0))/5,0)+S490)&gt;=($D$3+P490+SUMIF(Character!$I$62:$I$66,"Enigmatic Wisdom",Character!$J$62:$J$66)+Q490+U490),"No Twilight","Twilight")))</f>
        <v>No Twilight</v>
      </c>
      <c r="W490" s="483"/>
      <c r="X490" s="478"/>
      <c r="Y490" s="484"/>
      <c r="Z490" s="478"/>
      <c r="AA490" s="485" t="str">
        <f>IF(V490="Uncomprehended Twilight","Failed",IF(OR(ISBLANK(W490),ISBLANK(Y490))," ",IF(NOT(ISBLANK(X490)),"Failed",IF((W490+Character!$B$9+SUMIF(Character!$I$62:$I$66,"Enigmatic Wisdom",Character!$J$62:$J$66))&gt;=IF(Z490="Yes",0,(Y490+D485)),"Succeeded","Failed"))))</f>
        <v xml:space="preserve"> </v>
      </c>
      <c r="AB490" s="477" t="str">
        <f>IF(AA490=" "," ",IF(NOT(ISBLANK(X490)),VLOOKUP($D$3+X490,Calcs!$A$110:$C$122,3,TRUE),IF(AA490="Failed",VLOOKUP($D$3,Calcs!$A$110:$C$122,3,TRUE),VLOOKUP($D$3-(IF((Character!$B$9+W490)&gt;($D$3+Y490),(Character!$B$9+W490)-($D$3+Y490),0)),Calcs!$A$110:$C$122,3,TRUE))))</f>
        <v xml:space="preserve"> </v>
      </c>
      <c r="AC490" s="489"/>
      <c r="AD490" s="489" t="str">
        <f>IF(IF(AA490=" "," ",IF(NOT(ISBLANK(X490)),VLOOKUP($D$3+X490,Calcs!$A$110:$B$122,2,TRUE),IF(AA490="Failed",VLOOKUP($D$3,Calcs!$A$110:$B$122,2,TRUE),VLOOKUP($D$3-(IF((Character!$B$9+W490)&gt;($D$3+Y490),(Character!$B$9+W490)-($D$3+Y490),0)),Calcs!$A$110:$B$122,2,TRUE))))=Calcs!$B$120,IF(ISBLANK(AC490)," ",CONCATENATE(AC490+7," Years")),IF(AA490=" "," ",IF(NOT(ISBLANK(X490)),VLOOKUP($D$3+X490,Calcs!$A$110:$B$122,2,TRUE),IF(AA490="Failed",VLOOKUP($D$3,Calcs!$A$110:$B$122,2,TRUE),VLOOKUP($D$3-(IF((Character!$B$9+W490)&gt;($D$3+Y490),(Character!$B$9+W490)-($D$3+Y490),0)),Calcs!$A$110:$B$122,2,TRUE)))))</f>
        <v xml:space="preserve"> </v>
      </c>
      <c r="AE490" s="490"/>
      <c r="AF490" s="879"/>
      <c r="AG490" s="491"/>
    </row>
    <row r="491" spans="1:33" x14ac:dyDescent="0.2">
      <c r="A491" s="415">
        <f t="shared" si="14"/>
        <v>1332</v>
      </c>
      <c r="B491" s="419" t="str">
        <f t="shared" si="15"/>
        <v>Autumn</v>
      </c>
      <c r="C491" s="455"/>
      <c r="D491" s="504"/>
      <c r="E491" s="455"/>
      <c r="F491" s="504"/>
      <c r="G491" s="455"/>
      <c r="H491" s="504"/>
      <c r="I491" s="455"/>
      <c r="J491" s="504"/>
      <c r="L491" s="472"/>
      <c r="M491" s="468"/>
      <c r="N491" s="468"/>
      <c r="O491" s="468"/>
      <c r="P491" s="468"/>
      <c r="Q491" s="473"/>
      <c r="R491" s="477" t="str">
        <f>IF(AND(COUNTIF('Start Character'!$I$63:$M$77,"Twilight Prone")=1,NOT(ISERROR(FIND("Magical Botch",M491)))),"Yes",IF(P491&gt;1,"Yes","No"))</f>
        <v>No</v>
      </c>
      <c r="S491" s="501"/>
      <c r="T491" s="478"/>
      <c r="U491" s="501"/>
      <c r="V491" s="479" t="str">
        <f>IF(R491="No","No Twilight",IF(T491="Yes","Uncomprehended Twilight",IF((Character!$B$14+IF(Character!$B$53="Yes",0,Character!$B$53)+IF(Magic!$C$5="Yes",2,0)+ROUNDUP((Magic!$B$30+IF(Magic!$C$30="Yes",3,0))/5,0)+S491)&gt;=($D$3+P491+SUMIF(Character!$I$62:$I$66,"Enigmatic Wisdom",Character!$J$62:$J$66)+Q491+U491),"No Twilight","Twilight")))</f>
        <v>No Twilight</v>
      </c>
      <c r="W491" s="483"/>
      <c r="X491" s="478"/>
      <c r="Y491" s="484"/>
      <c r="Z491" s="478"/>
      <c r="AA491" s="485" t="str">
        <f>IF(V491="Uncomprehended Twilight","Failed",IF(OR(ISBLANK(W491),ISBLANK(Y491))," ",IF(NOT(ISBLANK(X491)),"Failed",IF((W491+Character!$B$9+SUMIF(Character!$I$62:$I$66,"Enigmatic Wisdom",Character!$J$62:$J$66))&gt;=IF(Z491="Yes",0,(Y491+D486)),"Succeeded","Failed"))))</f>
        <v xml:space="preserve"> </v>
      </c>
      <c r="AB491" s="477" t="str">
        <f>IF(AA491=" "," ",IF(NOT(ISBLANK(X491)),VLOOKUP($D$3+X491,Calcs!$A$110:$C$122,3,TRUE),IF(AA491="Failed",VLOOKUP($D$3,Calcs!$A$110:$C$122,3,TRUE),VLOOKUP($D$3-(IF((Character!$B$9+W491)&gt;($D$3+Y491),(Character!$B$9+W491)-($D$3+Y491),0)),Calcs!$A$110:$C$122,3,TRUE))))</f>
        <v xml:space="preserve"> </v>
      </c>
      <c r="AC491" s="489"/>
      <c r="AD491" s="489" t="str">
        <f>IF(IF(AA491=" "," ",IF(NOT(ISBLANK(X491)),VLOOKUP($D$3+X491,Calcs!$A$110:$B$122,2,TRUE),IF(AA491="Failed",VLOOKUP($D$3,Calcs!$A$110:$B$122,2,TRUE),VLOOKUP($D$3-(IF((Character!$B$9+W491)&gt;($D$3+Y491),(Character!$B$9+W491)-($D$3+Y491),0)),Calcs!$A$110:$B$122,2,TRUE))))=Calcs!$B$120,IF(ISBLANK(AC491)," ",CONCATENATE(AC491+7," Years")),IF(AA491=" "," ",IF(NOT(ISBLANK(X491)),VLOOKUP($D$3+X491,Calcs!$A$110:$B$122,2,TRUE),IF(AA491="Failed",VLOOKUP($D$3,Calcs!$A$110:$B$122,2,TRUE),VLOOKUP($D$3-(IF((Character!$B$9+W491)&gt;($D$3+Y491),(Character!$B$9+W491)-($D$3+Y491),0)),Calcs!$A$110:$B$122,2,TRUE)))))</f>
        <v xml:space="preserve"> </v>
      </c>
      <c r="AE491" s="490"/>
      <c r="AF491" s="879"/>
      <c r="AG491" s="491"/>
    </row>
    <row r="492" spans="1:33" x14ac:dyDescent="0.2">
      <c r="A492" s="415">
        <f t="shared" si="14"/>
        <v>1333</v>
      </c>
      <c r="B492" s="419" t="str">
        <f t="shared" si="15"/>
        <v>Winter</v>
      </c>
      <c r="C492" s="455"/>
      <c r="D492" s="504"/>
      <c r="E492" s="455"/>
      <c r="F492" s="504"/>
      <c r="G492" s="455"/>
      <c r="H492" s="504"/>
      <c r="I492" s="455"/>
      <c r="J492" s="504"/>
      <c r="L492" s="472"/>
      <c r="M492" s="468"/>
      <c r="N492" s="468"/>
      <c r="O492" s="468"/>
      <c r="P492" s="468"/>
      <c r="Q492" s="473"/>
      <c r="R492" s="477" t="str">
        <f>IF(AND(COUNTIF('Start Character'!$I$63:$M$77,"Twilight Prone")=1,NOT(ISERROR(FIND("Magical Botch",M492)))),"Yes",IF(P492&gt;1,"Yes","No"))</f>
        <v>No</v>
      </c>
      <c r="S492" s="501"/>
      <c r="T492" s="478"/>
      <c r="U492" s="501"/>
      <c r="V492" s="479" t="str">
        <f>IF(R492="No","No Twilight",IF(T492="Yes","Uncomprehended Twilight",IF((Character!$B$14+IF(Character!$B$53="Yes",0,Character!$B$53)+IF(Magic!$C$5="Yes",2,0)+ROUNDUP((Magic!$B$30+IF(Magic!$C$30="Yes",3,0))/5,0)+S492)&gt;=($D$3+P492+SUMIF(Character!$I$62:$I$66,"Enigmatic Wisdom",Character!$J$62:$J$66)+Q492+U492),"No Twilight","Twilight")))</f>
        <v>No Twilight</v>
      </c>
      <c r="W492" s="483"/>
      <c r="X492" s="478"/>
      <c r="Y492" s="484"/>
      <c r="Z492" s="478"/>
      <c r="AA492" s="485" t="str">
        <f>IF(V492="Uncomprehended Twilight","Failed",IF(OR(ISBLANK(W492),ISBLANK(Y492))," ",IF(NOT(ISBLANK(X492)),"Failed",IF((W492+Character!$B$9+SUMIF(Character!$I$62:$I$66,"Enigmatic Wisdom",Character!$J$62:$J$66))&gt;=IF(Z492="Yes",0,(Y492+D487)),"Succeeded","Failed"))))</f>
        <v xml:space="preserve"> </v>
      </c>
      <c r="AB492" s="477" t="str">
        <f>IF(AA492=" "," ",IF(NOT(ISBLANK(X492)),VLOOKUP($D$3+X492,Calcs!$A$110:$C$122,3,TRUE),IF(AA492="Failed",VLOOKUP($D$3,Calcs!$A$110:$C$122,3,TRUE),VLOOKUP($D$3-(IF((Character!$B$9+W492)&gt;($D$3+Y492),(Character!$B$9+W492)-($D$3+Y492),0)),Calcs!$A$110:$C$122,3,TRUE))))</f>
        <v xml:space="preserve"> </v>
      </c>
      <c r="AC492" s="489"/>
      <c r="AD492" s="489" t="str">
        <f>IF(IF(AA492=" "," ",IF(NOT(ISBLANK(X492)),VLOOKUP($D$3+X492,Calcs!$A$110:$B$122,2,TRUE),IF(AA492="Failed",VLOOKUP($D$3,Calcs!$A$110:$B$122,2,TRUE),VLOOKUP($D$3-(IF((Character!$B$9+W492)&gt;($D$3+Y492),(Character!$B$9+W492)-($D$3+Y492),0)),Calcs!$A$110:$B$122,2,TRUE))))=Calcs!$B$120,IF(ISBLANK(AC492)," ",CONCATENATE(AC492+7," Years")),IF(AA492=" "," ",IF(NOT(ISBLANK(X492)),VLOOKUP($D$3+X492,Calcs!$A$110:$B$122,2,TRUE),IF(AA492="Failed",VLOOKUP($D$3,Calcs!$A$110:$B$122,2,TRUE),VLOOKUP($D$3-(IF((Character!$B$9+W492)&gt;($D$3+Y492),(Character!$B$9+W492)-($D$3+Y492),0)),Calcs!$A$110:$B$122,2,TRUE)))))</f>
        <v xml:space="preserve"> </v>
      </c>
      <c r="AE492" s="490"/>
      <c r="AF492" s="879"/>
      <c r="AG492" s="491"/>
    </row>
    <row r="493" spans="1:33" x14ac:dyDescent="0.2">
      <c r="A493" s="415">
        <f t="shared" si="14"/>
        <v>1333</v>
      </c>
      <c r="B493" s="419" t="str">
        <f t="shared" si="15"/>
        <v>Spring</v>
      </c>
      <c r="C493" s="455"/>
      <c r="D493" s="504"/>
      <c r="E493" s="455"/>
      <c r="F493" s="504"/>
      <c r="G493" s="455"/>
      <c r="H493" s="504"/>
      <c r="I493" s="455"/>
      <c r="J493" s="504"/>
      <c r="L493" s="472"/>
      <c r="M493" s="468"/>
      <c r="N493" s="468"/>
      <c r="O493" s="468"/>
      <c r="P493" s="468"/>
      <c r="Q493" s="473"/>
      <c r="R493" s="477" t="str">
        <f>IF(AND(COUNTIF('Start Character'!$I$63:$M$77,"Twilight Prone")=1,NOT(ISERROR(FIND("Magical Botch",M493)))),"Yes",IF(P493&gt;1,"Yes","No"))</f>
        <v>No</v>
      </c>
      <c r="S493" s="501"/>
      <c r="T493" s="478"/>
      <c r="U493" s="501"/>
      <c r="V493" s="479" t="str">
        <f>IF(R493="No","No Twilight",IF(T493="Yes","Uncomprehended Twilight",IF((Character!$B$14+IF(Character!$B$53="Yes",0,Character!$B$53)+IF(Magic!$C$5="Yes",2,0)+ROUNDUP((Magic!$B$30+IF(Magic!$C$30="Yes",3,0))/5,0)+S493)&gt;=($D$3+P493+SUMIF(Character!$I$62:$I$66,"Enigmatic Wisdom",Character!$J$62:$J$66)+Q493+U493),"No Twilight","Twilight")))</f>
        <v>No Twilight</v>
      </c>
      <c r="W493" s="483"/>
      <c r="X493" s="478"/>
      <c r="Y493" s="484"/>
      <c r="Z493" s="478"/>
      <c r="AA493" s="485" t="str">
        <f>IF(V493="Uncomprehended Twilight","Failed",IF(OR(ISBLANK(W493),ISBLANK(Y493))," ",IF(NOT(ISBLANK(X493)),"Failed",IF((W493+Character!$B$9+SUMIF(Character!$I$62:$I$66,"Enigmatic Wisdom",Character!$J$62:$J$66))&gt;=IF(Z493="Yes",0,(Y493+D488)),"Succeeded","Failed"))))</f>
        <v xml:space="preserve"> </v>
      </c>
      <c r="AB493" s="477" t="str">
        <f>IF(AA493=" "," ",IF(NOT(ISBLANK(X493)),VLOOKUP($D$3+X493,Calcs!$A$110:$C$122,3,TRUE),IF(AA493="Failed",VLOOKUP($D$3,Calcs!$A$110:$C$122,3,TRUE),VLOOKUP($D$3-(IF((Character!$B$9+W493)&gt;($D$3+Y493),(Character!$B$9+W493)-($D$3+Y493),0)),Calcs!$A$110:$C$122,3,TRUE))))</f>
        <v xml:space="preserve"> </v>
      </c>
      <c r="AC493" s="489"/>
      <c r="AD493" s="489" t="str">
        <f>IF(IF(AA493=" "," ",IF(NOT(ISBLANK(X493)),VLOOKUP($D$3+X493,Calcs!$A$110:$B$122,2,TRUE),IF(AA493="Failed",VLOOKUP($D$3,Calcs!$A$110:$B$122,2,TRUE),VLOOKUP($D$3-(IF((Character!$B$9+W493)&gt;($D$3+Y493),(Character!$B$9+W493)-($D$3+Y493),0)),Calcs!$A$110:$B$122,2,TRUE))))=Calcs!$B$120,IF(ISBLANK(AC493)," ",CONCATENATE(AC493+7," Years")),IF(AA493=" "," ",IF(NOT(ISBLANK(X493)),VLOOKUP($D$3+X493,Calcs!$A$110:$B$122,2,TRUE),IF(AA493="Failed",VLOOKUP($D$3,Calcs!$A$110:$B$122,2,TRUE),VLOOKUP($D$3-(IF((Character!$B$9+W493)&gt;($D$3+Y493),(Character!$B$9+W493)-($D$3+Y493),0)),Calcs!$A$110:$B$122,2,TRUE)))))</f>
        <v xml:space="preserve"> </v>
      </c>
      <c r="AE493" s="490"/>
      <c r="AF493" s="879"/>
      <c r="AG493" s="491"/>
    </row>
    <row r="494" spans="1:33" x14ac:dyDescent="0.2">
      <c r="A494" s="415">
        <f t="shared" si="14"/>
        <v>1333</v>
      </c>
      <c r="B494" s="419" t="str">
        <f t="shared" si="15"/>
        <v>Summer</v>
      </c>
      <c r="C494" s="455"/>
      <c r="D494" s="504"/>
      <c r="E494" s="455"/>
      <c r="F494" s="504"/>
      <c r="G494" s="455"/>
      <c r="H494" s="504"/>
      <c r="I494" s="455"/>
      <c r="J494" s="504"/>
      <c r="L494" s="472"/>
      <c r="M494" s="468"/>
      <c r="N494" s="468"/>
      <c r="O494" s="468"/>
      <c r="P494" s="468"/>
      <c r="Q494" s="473"/>
      <c r="R494" s="477" t="str">
        <f>IF(AND(COUNTIF('Start Character'!$I$63:$M$77,"Twilight Prone")=1,NOT(ISERROR(FIND("Magical Botch",M494)))),"Yes",IF(P494&gt;1,"Yes","No"))</f>
        <v>No</v>
      </c>
      <c r="S494" s="501"/>
      <c r="T494" s="478"/>
      <c r="U494" s="501"/>
      <c r="V494" s="479" t="str">
        <f>IF(R494="No","No Twilight",IF(T494="Yes","Uncomprehended Twilight",IF((Character!$B$14+IF(Character!$B$53="Yes",0,Character!$B$53)+IF(Magic!$C$5="Yes",2,0)+ROUNDUP((Magic!$B$30+IF(Magic!$C$30="Yes",3,0))/5,0)+S494)&gt;=($D$3+P494+SUMIF(Character!$I$62:$I$66,"Enigmatic Wisdom",Character!$J$62:$J$66)+Q494+U494),"No Twilight","Twilight")))</f>
        <v>No Twilight</v>
      </c>
      <c r="W494" s="483"/>
      <c r="X494" s="478"/>
      <c r="Y494" s="484"/>
      <c r="Z494" s="478"/>
      <c r="AA494" s="485" t="str">
        <f>IF(V494="Uncomprehended Twilight","Failed",IF(OR(ISBLANK(W494),ISBLANK(Y494))," ",IF(NOT(ISBLANK(X494)),"Failed",IF((W494+Character!$B$9+SUMIF(Character!$I$62:$I$66,"Enigmatic Wisdom",Character!$J$62:$J$66))&gt;=IF(Z494="Yes",0,(Y494+D489)),"Succeeded","Failed"))))</f>
        <v xml:space="preserve"> </v>
      </c>
      <c r="AB494" s="477" t="str">
        <f>IF(AA494=" "," ",IF(NOT(ISBLANK(X494)),VLOOKUP($D$3+X494,Calcs!$A$110:$C$122,3,TRUE),IF(AA494="Failed",VLOOKUP($D$3,Calcs!$A$110:$C$122,3,TRUE),VLOOKUP($D$3-(IF((Character!$B$9+W494)&gt;($D$3+Y494),(Character!$B$9+W494)-($D$3+Y494),0)),Calcs!$A$110:$C$122,3,TRUE))))</f>
        <v xml:space="preserve"> </v>
      </c>
      <c r="AC494" s="489"/>
      <c r="AD494" s="489" t="str">
        <f>IF(IF(AA494=" "," ",IF(NOT(ISBLANK(X494)),VLOOKUP($D$3+X494,Calcs!$A$110:$B$122,2,TRUE),IF(AA494="Failed",VLOOKUP($D$3,Calcs!$A$110:$B$122,2,TRUE),VLOOKUP($D$3-(IF((Character!$B$9+W494)&gt;($D$3+Y494),(Character!$B$9+W494)-($D$3+Y494),0)),Calcs!$A$110:$B$122,2,TRUE))))=Calcs!$B$120,IF(ISBLANK(AC494)," ",CONCATENATE(AC494+7," Years")),IF(AA494=" "," ",IF(NOT(ISBLANK(X494)),VLOOKUP($D$3+X494,Calcs!$A$110:$B$122,2,TRUE),IF(AA494="Failed",VLOOKUP($D$3,Calcs!$A$110:$B$122,2,TRUE),VLOOKUP($D$3-(IF((Character!$B$9+W494)&gt;($D$3+Y494),(Character!$B$9+W494)-($D$3+Y494),0)),Calcs!$A$110:$B$122,2,TRUE)))))</f>
        <v xml:space="preserve"> </v>
      </c>
      <c r="AE494" s="490"/>
      <c r="AF494" s="879"/>
      <c r="AG494" s="491"/>
    </row>
    <row r="495" spans="1:33" x14ac:dyDescent="0.2">
      <c r="A495" s="415">
        <f t="shared" si="14"/>
        <v>1333</v>
      </c>
      <c r="B495" s="419" t="str">
        <f t="shared" si="15"/>
        <v>Autumn</v>
      </c>
      <c r="C495" s="455"/>
      <c r="D495" s="504"/>
      <c r="E495" s="455"/>
      <c r="F495" s="504"/>
      <c r="G495" s="455"/>
      <c r="H495" s="504"/>
      <c r="I495" s="455"/>
      <c r="J495" s="504"/>
      <c r="L495" s="472"/>
      <c r="M495" s="468"/>
      <c r="N495" s="468"/>
      <c r="O495" s="468"/>
      <c r="P495" s="468"/>
      <c r="Q495" s="473"/>
      <c r="R495" s="477" t="str">
        <f>IF(AND(COUNTIF('Start Character'!$I$63:$M$77,"Twilight Prone")=1,NOT(ISERROR(FIND("Magical Botch",M495)))),"Yes",IF(P495&gt;1,"Yes","No"))</f>
        <v>No</v>
      </c>
      <c r="S495" s="501"/>
      <c r="T495" s="478"/>
      <c r="U495" s="501"/>
      <c r="V495" s="479" t="str">
        <f>IF(R495="No","No Twilight",IF(T495="Yes","Uncomprehended Twilight",IF((Character!$B$14+IF(Character!$B$53="Yes",0,Character!$B$53)+IF(Magic!$C$5="Yes",2,0)+ROUNDUP((Magic!$B$30+IF(Magic!$C$30="Yes",3,0))/5,0)+S495)&gt;=($D$3+P495+SUMIF(Character!$I$62:$I$66,"Enigmatic Wisdom",Character!$J$62:$J$66)+Q495+U495),"No Twilight","Twilight")))</f>
        <v>No Twilight</v>
      </c>
      <c r="W495" s="483"/>
      <c r="X495" s="478"/>
      <c r="Y495" s="484"/>
      <c r="Z495" s="478"/>
      <c r="AA495" s="485" t="str">
        <f>IF(V495="Uncomprehended Twilight","Failed",IF(OR(ISBLANK(W495),ISBLANK(Y495))," ",IF(NOT(ISBLANK(X495)),"Failed",IF((W495+Character!$B$9+SUMIF(Character!$I$62:$I$66,"Enigmatic Wisdom",Character!$J$62:$J$66))&gt;=IF(Z495="Yes",0,(Y495+D490)),"Succeeded","Failed"))))</f>
        <v xml:space="preserve"> </v>
      </c>
      <c r="AB495" s="477" t="str">
        <f>IF(AA495=" "," ",IF(NOT(ISBLANK(X495)),VLOOKUP($D$3+X495,Calcs!$A$110:$C$122,3,TRUE),IF(AA495="Failed",VLOOKUP($D$3,Calcs!$A$110:$C$122,3,TRUE),VLOOKUP($D$3-(IF((Character!$B$9+W495)&gt;($D$3+Y495),(Character!$B$9+W495)-($D$3+Y495),0)),Calcs!$A$110:$C$122,3,TRUE))))</f>
        <v xml:space="preserve"> </v>
      </c>
      <c r="AC495" s="489"/>
      <c r="AD495" s="489" t="str">
        <f>IF(IF(AA495=" "," ",IF(NOT(ISBLANK(X495)),VLOOKUP($D$3+X495,Calcs!$A$110:$B$122,2,TRUE),IF(AA495="Failed",VLOOKUP($D$3,Calcs!$A$110:$B$122,2,TRUE),VLOOKUP($D$3-(IF((Character!$B$9+W495)&gt;($D$3+Y495),(Character!$B$9+W495)-($D$3+Y495),0)),Calcs!$A$110:$B$122,2,TRUE))))=Calcs!$B$120,IF(ISBLANK(AC495)," ",CONCATENATE(AC495+7," Years")),IF(AA495=" "," ",IF(NOT(ISBLANK(X495)),VLOOKUP($D$3+X495,Calcs!$A$110:$B$122,2,TRUE),IF(AA495="Failed",VLOOKUP($D$3,Calcs!$A$110:$B$122,2,TRUE),VLOOKUP($D$3-(IF((Character!$B$9+W495)&gt;($D$3+Y495),(Character!$B$9+W495)-($D$3+Y495),0)),Calcs!$A$110:$B$122,2,TRUE)))))</f>
        <v xml:space="preserve"> </v>
      </c>
      <c r="AE495" s="490"/>
      <c r="AF495" s="879"/>
      <c r="AG495" s="491"/>
    </row>
    <row r="496" spans="1:33" x14ac:dyDescent="0.2">
      <c r="A496" s="415">
        <f t="shared" si="14"/>
        <v>1334</v>
      </c>
      <c r="B496" s="419" t="str">
        <f t="shared" si="15"/>
        <v>Winter</v>
      </c>
      <c r="C496" s="455"/>
      <c r="D496" s="504"/>
      <c r="E496" s="455"/>
      <c r="F496" s="504"/>
      <c r="G496" s="455"/>
      <c r="H496" s="504"/>
      <c r="I496" s="455"/>
      <c r="J496" s="504"/>
      <c r="L496" s="472"/>
      <c r="M496" s="468"/>
      <c r="N496" s="468"/>
      <c r="O496" s="468"/>
      <c r="P496" s="468"/>
      <c r="Q496" s="473"/>
      <c r="R496" s="477" t="str">
        <f>IF(AND(COUNTIF('Start Character'!$I$63:$M$77,"Twilight Prone")=1,NOT(ISERROR(FIND("Magical Botch",M496)))),"Yes",IF(P496&gt;1,"Yes","No"))</f>
        <v>No</v>
      </c>
      <c r="S496" s="501"/>
      <c r="T496" s="478"/>
      <c r="U496" s="501"/>
      <c r="V496" s="479" t="str">
        <f>IF(R496="No","No Twilight",IF(T496="Yes","Uncomprehended Twilight",IF((Character!$B$14+IF(Character!$B$53="Yes",0,Character!$B$53)+IF(Magic!$C$5="Yes",2,0)+ROUNDUP((Magic!$B$30+IF(Magic!$C$30="Yes",3,0))/5,0)+S496)&gt;=($D$3+P496+SUMIF(Character!$I$62:$I$66,"Enigmatic Wisdom",Character!$J$62:$J$66)+Q496+U496),"No Twilight","Twilight")))</f>
        <v>No Twilight</v>
      </c>
      <c r="W496" s="483"/>
      <c r="X496" s="478"/>
      <c r="Y496" s="484"/>
      <c r="Z496" s="478"/>
      <c r="AA496" s="485" t="str">
        <f>IF(V496="Uncomprehended Twilight","Failed",IF(OR(ISBLANK(W496),ISBLANK(Y496))," ",IF(NOT(ISBLANK(X496)),"Failed",IF((W496+Character!$B$9+SUMIF(Character!$I$62:$I$66,"Enigmatic Wisdom",Character!$J$62:$J$66))&gt;=IF(Z496="Yes",0,(Y496+D491)),"Succeeded","Failed"))))</f>
        <v xml:space="preserve"> </v>
      </c>
      <c r="AB496" s="477" t="str">
        <f>IF(AA496=" "," ",IF(NOT(ISBLANK(X496)),VLOOKUP($D$3+X496,Calcs!$A$110:$C$122,3,TRUE),IF(AA496="Failed",VLOOKUP($D$3,Calcs!$A$110:$C$122,3,TRUE),VLOOKUP($D$3-(IF((Character!$B$9+W496)&gt;($D$3+Y496),(Character!$B$9+W496)-($D$3+Y496),0)),Calcs!$A$110:$C$122,3,TRUE))))</f>
        <v xml:space="preserve"> </v>
      </c>
      <c r="AC496" s="489"/>
      <c r="AD496" s="489" t="str">
        <f>IF(IF(AA496=" "," ",IF(NOT(ISBLANK(X496)),VLOOKUP($D$3+X496,Calcs!$A$110:$B$122,2,TRUE),IF(AA496="Failed",VLOOKUP($D$3,Calcs!$A$110:$B$122,2,TRUE),VLOOKUP($D$3-(IF((Character!$B$9+W496)&gt;($D$3+Y496),(Character!$B$9+W496)-($D$3+Y496),0)),Calcs!$A$110:$B$122,2,TRUE))))=Calcs!$B$120,IF(ISBLANK(AC496)," ",CONCATENATE(AC496+7," Years")),IF(AA496=" "," ",IF(NOT(ISBLANK(X496)),VLOOKUP($D$3+X496,Calcs!$A$110:$B$122,2,TRUE),IF(AA496="Failed",VLOOKUP($D$3,Calcs!$A$110:$B$122,2,TRUE),VLOOKUP($D$3-(IF((Character!$B$9+W496)&gt;($D$3+Y496),(Character!$B$9+W496)-($D$3+Y496),0)),Calcs!$A$110:$B$122,2,TRUE)))))</f>
        <v xml:space="preserve"> </v>
      </c>
      <c r="AE496" s="490"/>
      <c r="AF496" s="879"/>
      <c r="AG496" s="491"/>
    </row>
    <row r="497" spans="1:33" x14ac:dyDescent="0.2">
      <c r="A497" s="415">
        <f t="shared" si="14"/>
        <v>1334</v>
      </c>
      <c r="B497" s="419" t="str">
        <f t="shared" si="15"/>
        <v>Spring</v>
      </c>
      <c r="C497" s="455"/>
      <c r="D497" s="504"/>
      <c r="E497" s="455"/>
      <c r="F497" s="504"/>
      <c r="G497" s="455"/>
      <c r="H497" s="504"/>
      <c r="I497" s="455"/>
      <c r="J497" s="504"/>
      <c r="L497" s="472"/>
      <c r="M497" s="468"/>
      <c r="N497" s="468"/>
      <c r="O497" s="468"/>
      <c r="P497" s="468"/>
      <c r="Q497" s="473"/>
      <c r="R497" s="477" t="str">
        <f>IF(AND(COUNTIF('Start Character'!$I$63:$M$77,"Twilight Prone")=1,NOT(ISERROR(FIND("Magical Botch",M497)))),"Yes",IF(P497&gt;1,"Yes","No"))</f>
        <v>No</v>
      </c>
      <c r="S497" s="501"/>
      <c r="T497" s="478"/>
      <c r="U497" s="501"/>
      <c r="V497" s="479" t="str">
        <f>IF(R497="No","No Twilight",IF(T497="Yes","Uncomprehended Twilight",IF((Character!$B$14+IF(Character!$B$53="Yes",0,Character!$B$53)+IF(Magic!$C$5="Yes",2,0)+ROUNDUP((Magic!$B$30+IF(Magic!$C$30="Yes",3,0))/5,0)+S497)&gt;=($D$3+P497+SUMIF(Character!$I$62:$I$66,"Enigmatic Wisdom",Character!$J$62:$J$66)+Q497+U497),"No Twilight","Twilight")))</f>
        <v>No Twilight</v>
      </c>
      <c r="W497" s="483"/>
      <c r="X497" s="478"/>
      <c r="Y497" s="484"/>
      <c r="Z497" s="478"/>
      <c r="AA497" s="485" t="str">
        <f>IF(V497="Uncomprehended Twilight","Failed",IF(OR(ISBLANK(W497),ISBLANK(Y497))," ",IF(NOT(ISBLANK(X497)),"Failed",IF((W497+Character!$B$9+SUMIF(Character!$I$62:$I$66,"Enigmatic Wisdom",Character!$J$62:$J$66))&gt;=IF(Z497="Yes",0,(Y497+D492)),"Succeeded","Failed"))))</f>
        <v xml:space="preserve"> </v>
      </c>
      <c r="AB497" s="477" t="str">
        <f>IF(AA497=" "," ",IF(NOT(ISBLANK(X497)),VLOOKUP($D$3+X497,Calcs!$A$110:$C$122,3,TRUE),IF(AA497="Failed",VLOOKUP($D$3,Calcs!$A$110:$C$122,3,TRUE),VLOOKUP($D$3-(IF((Character!$B$9+W497)&gt;($D$3+Y497),(Character!$B$9+W497)-($D$3+Y497),0)),Calcs!$A$110:$C$122,3,TRUE))))</f>
        <v xml:space="preserve"> </v>
      </c>
      <c r="AC497" s="489"/>
      <c r="AD497" s="489" t="str">
        <f>IF(IF(AA497=" "," ",IF(NOT(ISBLANK(X497)),VLOOKUP($D$3+X497,Calcs!$A$110:$B$122,2,TRUE),IF(AA497="Failed",VLOOKUP($D$3,Calcs!$A$110:$B$122,2,TRUE),VLOOKUP($D$3-(IF((Character!$B$9+W497)&gt;($D$3+Y497),(Character!$B$9+W497)-($D$3+Y497),0)),Calcs!$A$110:$B$122,2,TRUE))))=Calcs!$B$120,IF(ISBLANK(AC497)," ",CONCATENATE(AC497+7," Years")),IF(AA497=" "," ",IF(NOT(ISBLANK(X497)),VLOOKUP($D$3+X497,Calcs!$A$110:$B$122,2,TRUE),IF(AA497="Failed",VLOOKUP($D$3,Calcs!$A$110:$B$122,2,TRUE),VLOOKUP($D$3-(IF((Character!$B$9+W497)&gt;($D$3+Y497),(Character!$B$9+W497)-($D$3+Y497),0)),Calcs!$A$110:$B$122,2,TRUE)))))</f>
        <v xml:space="preserve"> </v>
      </c>
      <c r="AE497" s="490"/>
      <c r="AF497" s="879"/>
      <c r="AG497" s="491"/>
    </row>
    <row r="498" spans="1:33" x14ac:dyDescent="0.2">
      <c r="A498" s="415">
        <f t="shared" si="14"/>
        <v>1334</v>
      </c>
      <c r="B498" s="419" t="str">
        <f t="shared" si="15"/>
        <v>Summer</v>
      </c>
      <c r="C498" s="455"/>
      <c r="D498" s="504"/>
      <c r="E498" s="455"/>
      <c r="F498" s="504"/>
      <c r="G498" s="455"/>
      <c r="H498" s="504"/>
      <c r="I498" s="455"/>
      <c r="J498" s="504"/>
      <c r="L498" s="472"/>
      <c r="M498" s="468"/>
      <c r="N498" s="468"/>
      <c r="O498" s="468"/>
      <c r="P498" s="468"/>
      <c r="Q498" s="473"/>
      <c r="R498" s="477" t="str">
        <f>IF(AND(COUNTIF('Start Character'!$I$63:$M$77,"Twilight Prone")=1,NOT(ISERROR(FIND("Magical Botch",M498)))),"Yes",IF(P498&gt;1,"Yes","No"))</f>
        <v>No</v>
      </c>
      <c r="S498" s="501"/>
      <c r="T498" s="478"/>
      <c r="U498" s="501"/>
      <c r="V498" s="479" t="str">
        <f>IF(R498="No","No Twilight",IF(T498="Yes","Uncomprehended Twilight",IF((Character!$B$14+IF(Character!$B$53="Yes",0,Character!$B$53)+IF(Magic!$C$5="Yes",2,0)+ROUNDUP((Magic!$B$30+IF(Magic!$C$30="Yes",3,0))/5,0)+S498)&gt;=($D$3+P498+SUMIF(Character!$I$62:$I$66,"Enigmatic Wisdom",Character!$J$62:$J$66)+Q498+U498),"No Twilight","Twilight")))</f>
        <v>No Twilight</v>
      </c>
      <c r="W498" s="483"/>
      <c r="X498" s="478"/>
      <c r="Y498" s="484"/>
      <c r="Z498" s="478"/>
      <c r="AA498" s="485" t="str">
        <f>IF(V498="Uncomprehended Twilight","Failed",IF(OR(ISBLANK(W498),ISBLANK(Y498))," ",IF(NOT(ISBLANK(X498)),"Failed",IF((W498+Character!$B$9+SUMIF(Character!$I$62:$I$66,"Enigmatic Wisdom",Character!$J$62:$J$66))&gt;=IF(Z498="Yes",0,(Y498+D493)),"Succeeded","Failed"))))</f>
        <v xml:space="preserve"> </v>
      </c>
      <c r="AB498" s="477" t="str">
        <f>IF(AA498=" "," ",IF(NOT(ISBLANK(X498)),VLOOKUP($D$3+X498,Calcs!$A$110:$C$122,3,TRUE),IF(AA498="Failed",VLOOKUP($D$3,Calcs!$A$110:$C$122,3,TRUE),VLOOKUP($D$3-(IF((Character!$B$9+W498)&gt;($D$3+Y498),(Character!$B$9+W498)-($D$3+Y498),0)),Calcs!$A$110:$C$122,3,TRUE))))</f>
        <v xml:space="preserve"> </v>
      </c>
      <c r="AC498" s="489"/>
      <c r="AD498" s="489" t="str">
        <f>IF(IF(AA498=" "," ",IF(NOT(ISBLANK(X498)),VLOOKUP($D$3+X498,Calcs!$A$110:$B$122,2,TRUE),IF(AA498="Failed",VLOOKUP($D$3,Calcs!$A$110:$B$122,2,TRUE),VLOOKUP($D$3-(IF((Character!$B$9+W498)&gt;($D$3+Y498),(Character!$B$9+W498)-($D$3+Y498),0)),Calcs!$A$110:$B$122,2,TRUE))))=Calcs!$B$120,IF(ISBLANK(AC498)," ",CONCATENATE(AC498+7," Years")),IF(AA498=" "," ",IF(NOT(ISBLANK(X498)),VLOOKUP($D$3+X498,Calcs!$A$110:$B$122,2,TRUE),IF(AA498="Failed",VLOOKUP($D$3,Calcs!$A$110:$B$122,2,TRUE),VLOOKUP($D$3-(IF((Character!$B$9+W498)&gt;($D$3+Y498),(Character!$B$9+W498)-($D$3+Y498),0)),Calcs!$A$110:$B$122,2,TRUE)))))</f>
        <v xml:space="preserve"> </v>
      </c>
      <c r="AE498" s="490"/>
      <c r="AF498" s="879"/>
      <c r="AG498" s="491"/>
    </row>
    <row r="499" spans="1:33" x14ac:dyDescent="0.2">
      <c r="A499" s="415">
        <f t="shared" si="14"/>
        <v>1334</v>
      </c>
      <c r="B499" s="419" t="str">
        <f t="shared" si="15"/>
        <v>Autumn</v>
      </c>
      <c r="C499" s="455"/>
      <c r="D499" s="504"/>
      <c r="E499" s="455"/>
      <c r="F499" s="504"/>
      <c r="G499" s="455"/>
      <c r="H499" s="504"/>
      <c r="I499" s="455"/>
      <c r="J499" s="504"/>
      <c r="L499" s="472"/>
      <c r="M499" s="468"/>
      <c r="N499" s="468"/>
      <c r="O499" s="468"/>
      <c r="P499" s="468"/>
      <c r="Q499" s="473"/>
      <c r="R499" s="477" t="str">
        <f>IF(AND(COUNTIF('Start Character'!$I$63:$M$77,"Twilight Prone")=1,NOT(ISERROR(FIND("Magical Botch",M499)))),"Yes",IF(P499&gt;1,"Yes","No"))</f>
        <v>No</v>
      </c>
      <c r="S499" s="501"/>
      <c r="T499" s="478"/>
      <c r="U499" s="501"/>
      <c r="V499" s="479" t="str">
        <f>IF(R499="No","No Twilight",IF(T499="Yes","Uncomprehended Twilight",IF((Character!$B$14+IF(Character!$B$53="Yes",0,Character!$B$53)+IF(Magic!$C$5="Yes",2,0)+ROUNDUP((Magic!$B$30+IF(Magic!$C$30="Yes",3,0))/5,0)+S499)&gt;=($D$3+P499+SUMIF(Character!$I$62:$I$66,"Enigmatic Wisdom",Character!$J$62:$J$66)+Q499+U499),"No Twilight","Twilight")))</f>
        <v>No Twilight</v>
      </c>
      <c r="W499" s="483"/>
      <c r="X499" s="478"/>
      <c r="Y499" s="484"/>
      <c r="Z499" s="478"/>
      <c r="AA499" s="485" t="str">
        <f>IF(V499="Uncomprehended Twilight","Failed",IF(OR(ISBLANK(W499),ISBLANK(Y499))," ",IF(NOT(ISBLANK(X499)),"Failed",IF((W499+Character!$B$9+SUMIF(Character!$I$62:$I$66,"Enigmatic Wisdom",Character!$J$62:$J$66))&gt;=IF(Z499="Yes",0,(Y499+D494)),"Succeeded","Failed"))))</f>
        <v xml:space="preserve"> </v>
      </c>
      <c r="AB499" s="477" t="str">
        <f>IF(AA499=" "," ",IF(NOT(ISBLANK(X499)),VLOOKUP($D$3+X499,Calcs!$A$110:$C$122,3,TRUE),IF(AA499="Failed",VLOOKUP($D$3,Calcs!$A$110:$C$122,3,TRUE),VLOOKUP($D$3-(IF((Character!$B$9+W499)&gt;($D$3+Y499),(Character!$B$9+W499)-($D$3+Y499),0)),Calcs!$A$110:$C$122,3,TRUE))))</f>
        <v xml:space="preserve"> </v>
      </c>
      <c r="AC499" s="489"/>
      <c r="AD499" s="489" t="str">
        <f>IF(IF(AA499=" "," ",IF(NOT(ISBLANK(X499)),VLOOKUP($D$3+X499,Calcs!$A$110:$B$122,2,TRUE),IF(AA499="Failed",VLOOKUP($D$3,Calcs!$A$110:$B$122,2,TRUE),VLOOKUP($D$3-(IF((Character!$B$9+W499)&gt;($D$3+Y499),(Character!$B$9+W499)-($D$3+Y499),0)),Calcs!$A$110:$B$122,2,TRUE))))=Calcs!$B$120,IF(ISBLANK(AC499)," ",CONCATENATE(AC499+7," Years")),IF(AA499=" "," ",IF(NOT(ISBLANK(X499)),VLOOKUP($D$3+X499,Calcs!$A$110:$B$122,2,TRUE),IF(AA499="Failed",VLOOKUP($D$3,Calcs!$A$110:$B$122,2,TRUE),VLOOKUP($D$3-(IF((Character!$B$9+W499)&gt;($D$3+Y499),(Character!$B$9+W499)-($D$3+Y499),0)),Calcs!$A$110:$B$122,2,TRUE)))))</f>
        <v xml:space="preserve"> </v>
      </c>
      <c r="AE499" s="490"/>
      <c r="AF499" s="879"/>
      <c r="AG499" s="491"/>
    </row>
    <row r="500" spans="1:33" x14ac:dyDescent="0.2">
      <c r="A500" s="415">
        <f t="shared" si="14"/>
        <v>1335</v>
      </c>
      <c r="B500" s="419" t="str">
        <f t="shared" si="15"/>
        <v>Winter</v>
      </c>
      <c r="C500" s="455"/>
      <c r="D500" s="504"/>
      <c r="E500" s="455"/>
      <c r="F500" s="504"/>
      <c r="G500" s="455"/>
      <c r="H500" s="504"/>
      <c r="I500" s="455"/>
      <c r="J500" s="504"/>
      <c r="L500" s="472"/>
      <c r="M500" s="468"/>
      <c r="N500" s="468"/>
      <c r="O500" s="468"/>
      <c r="P500" s="468"/>
      <c r="Q500" s="473"/>
      <c r="R500" s="477" t="str">
        <f>IF(AND(COUNTIF('Start Character'!$I$63:$M$77,"Twilight Prone")=1,NOT(ISERROR(FIND("Magical Botch",M500)))),"Yes",IF(P500&gt;1,"Yes","No"))</f>
        <v>No</v>
      </c>
      <c r="S500" s="501"/>
      <c r="T500" s="478"/>
      <c r="U500" s="501"/>
      <c r="V500" s="479" t="str">
        <f>IF(R500="No","No Twilight",IF(T500="Yes","Uncomprehended Twilight",IF((Character!$B$14+IF(Character!$B$53="Yes",0,Character!$B$53)+IF(Magic!$C$5="Yes",2,0)+ROUNDUP((Magic!$B$30+IF(Magic!$C$30="Yes",3,0))/5,0)+S500)&gt;=($D$3+P500+SUMIF(Character!$I$62:$I$66,"Enigmatic Wisdom",Character!$J$62:$J$66)+Q500+U500),"No Twilight","Twilight")))</f>
        <v>No Twilight</v>
      </c>
      <c r="W500" s="483"/>
      <c r="X500" s="478"/>
      <c r="Y500" s="484"/>
      <c r="Z500" s="478"/>
      <c r="AA500" s="485" t="str">
        <f>IF(V500="Uncomprehended Twilight","Failed",IF(OR(ISBLANK(W500),ISBLANK(Y500))," ",IF(NOT(ISBLANK(X500)),"Failed",IF((W500+Character!$B$9+SUMIF(Character!$I$62:$I$66,"Enigmatic Wisdom",Character!$J$62:$J$66))&gt;=IF(Z500="Yes",0,(Y500+D495)),"Succeeded","Failed"))))</f>
        <v xml:space="preserve"> </v>
      </c>
      <c r="AB500" s="477" t="str">
        <f>IF(AA500=" "," ",IF(NOT(ISBLANK(X500)),VLOOKUP($D$3+X500,Calcs!$A$110:$C$122,3,TRUE),IF(AA500="Failed",VLOOKUP($D$3,Calcs!$A$110:$C$122,3,TRUE),VLOOKUP($D$3-(IF((Character!$B$9+W500)&gt;($D$3+Y500),(Character!$B$9+W500)-($D$3+Y500),0)),Calcs!$A$110:$C$122,3,TRUE))))</f>
        <v xml:space="preserve"> </v>
      </c>
      <c r="AC500" s="489"/>
      <c r="AD500" s="489" t="str">
        <f>IF(IF(AA500=" "," ",IF(NOT(ISBLANK(X500)),VLOOKUP($D$3+X500,Calcs!$A$110:$B$122,2,TRUE),IF(AA500="Failed",VLOOKUP($D$3,Calcs!$A$110:$B$122,2,TRUE),VLOOKUP($D$3-(IF((Character!$B$9+W500)&gt;($D$3+Y500),(Character!$B$9+W500)-($D$3+Y500),0)),Calcs!$A$110:$B$122,2,TRUE))))=Calcs!$B$120,IF(ISBLANK(AC500)," ",CONCATENATE(AC500+7," Years")),IF(AA500=" "," ",IF(NOT(ISBLANK(X500)),VLOOKUP($D$3+X500,Calcs!$A$110:$B$122,2,TRUE),IF(AA500="Failed",VLOOKUP($D$3,Calcs!$A$110:$B$122,2,TRUE),VLOOKUP($D$3-(IF((Character!$B$9+W500)&gt;($D$3+Y500),(Character!$B$9+W500)-($D$3+Y500),0)),Calcs!$A$110:$B$122,2,TRUE)))))</f>
        <v xml:space="preserve"> </v>
      </c>
      <c r="AE500" s="490"/>
      <c r="AF500" s="879"/>
      <c r="AG500" s="491"/>
    </row>
    <row r="501" spans="1:33" x14ac:dyDescent="0.2">
      <c r="A501" s="415">
        <f t="shared" si="14"/>
        <v>1335</v>
      </c>
      <c r="B501" s="419" t="str">
        <f t="shared" si="15"/>
        <v>Spring</v>
      </c>
      <c r="C501" s="455"/>
      <c r="D501" s="504"/>
      <c r="E501" s="455"/>
      <c r="F501" s="504"/>
      <c r="G501" s="455"/>
      <c r="H501" s="504"/>
      <c r="I501" s="455"/>
      <c r="J501" s="504"/>
      <c r="L501" s="472"/>
      <c r="M501" s="468"/>
      <c r="N501" s="468"/>
      <c r="O501" s="468"/>
      <c r="P501" s="468"/>
      <c r="Q501" s="473"/>
      <c r="R501" s="477" t="str">
        <f>IF(AND(COUNTIF('Start Character'!$I$63:$M$77,"Twilight Prone")=1,NOT(ISERROR(FIND("Magical Botch",M501)))),"Yes",IF(P501&gt;1,"Yes","No"))</f>
        <v>No</v>
      </c>
      <c r="S501" s="501"/>
      <c r="T501" s="478"/>
      <c r="U501" s="501"/>
      <c r="V501" s="479" t="str">
        <f>IF(R501="No","No Twilight",IF(T501="Yes","Uncomprehended Twilight",IF((Character!$B$14+IF(Character!$B$53="Yes",0,Character!$B$53)+IF(Magic!$C$5="Yes",2,0)+ROUNDUP((Magic!$B$30+IF(Magic!$C$30="Yes",3,0))/5,0)+S501)&gt;=($D$3+P501+SUMIF(Character!$I$62:$I$66,"Enigmatic Wisdom",Character!$J$62:$J$66)+Q501+U501),"No Twilight","Twilight")))</f>
        <v>No Twilight</v>
      </c>
      <c r="W501" s="483"/>
      <c r="X501" s="478"/>
      <c r="Y501" s="484"/>
      <c r="Z501" s="478"/>
      <c r="AA501" s="485" t="str">
        <f>IF(V501="Uncomprehended Twilight","Failed",IF(OR(ISBLANK(W501),ISBLANK(Y501))," ",IF(NOT(ISBLANK(X501)),"Failed",IF((W501+Character!$B$9+SUMIF(Character!$I$62:$I$66,"Enigmatic Wisdom",Character!$J$62:$J$66))&gt;=IF(Z501="Yes",0,(Y501+D496)),"Succeeded","Failed"))))</f>
        <v xml:space="preserve"> </v>
      </c>
      <c r="AB501" s="477" t="str">
        <f>IF(AA501=" "," ",IF(NOT(ISBLANK(X501)),VLOOKUP($D$3+X501,Calcs!$A$110:$C$122,3,TRUE),IF(AA501="Failed",VLOOKUP($D$3,Calcs!$A$110:$C$122,3,TRUE),VLOOKUP($D$3-(IF((Character!$B$9+W501)&gt;($D$3+Y501),(Character!$B$9+W501)-($D$3+Y501),0)),Calcs!$A$110:$C$122,3,TRUE))))</f>
        <v xml:space="preserve"> </v>
      </c>
      <c r="AC501" s="489"/>
      <c r="AD501" s="489" t="str">
        <f>IF(IF(AA501=" "," ",IF(NOT(ISBLANK(X501)),VLOOKUP($D$3+X501,Calcs!$A$110:$B$122,2,TRUE),IF(AA501="Failed",VLOOKUP($D$3,Calcs!$A$110:$B$122,2,TRUE),VLOOKUP($D$3-(IF((Character!$B$9+W501)&gt;($D$3+Y501),(Character!$B$9+W501)-($D$3+Y501),0)),Calcs!$A$110:$B$122,2,TRUE))))=Calcs!$B$120,IF(ISBLANK(AC501)," ",CONCATENATE(AC501+7," Years")),IF(AA501=" "," ",IF(NOT(ISBLANK(X501)),VLOOKUP($D$3+X501,Calcs!$A$110:$B$122,2,TRUE),IF(AA501="Failed",VLOOKUP($D$3,Calcs!$A$110:$B$122,2,TRUE),VLOOKUP($D$3-(IF((Character!$B$9+W501)&gt;($D$3+Y501),(Character!$B$9+W501)-($D$3+Y501),0)),Calcs!$A$110:$B$122,2,TRUE)))))</f>
        <v xml:space="preserve"> </v>
      </c>
      <c r="AE501" s="490"/>
      <c r="AF501" s="879"/>
      <c r="AG501" s="491"/>
    </row>
    <row r="502" spans="1:33" x14ac:dyDescent="0.2">
      <c r="A502" s="415">
        <f t="shared" si="14"/>
        <v>1335</v>
      </c>
      <c r="B502" s="419" t="str">
        <f t="shared" si="15"/>
        <v>Summer</v>
      </c>
      <c r="C502" s="455"/>
      <c r="D502" s="504"/>
      <c r="E502" s="455"/>
      <c r="F502" s="504"/>
      <c r="G502" s="455"/>
      <c r="H502" s="504"/>
      <c r="I502" s="455"/>
      <c r="J502" s="504"/>
      <c r="L502" s="472"/>
      <c r="M502" s="468"/>
      <c r="N502" s="468"/>
      <c r="O502" s="468"/>
      <c r="P502" s="468"/>
      <c r="Q502" s="473"/>
      <c r="R502" s="477" t="str">
        <f>IF(AND(COUNTIF('Start Character'!$I$63:$M$77,"Twilight Prone")=1,NOT(ISERROR(FIND("Magical Botch",M502)))),"Yes",IF(P502&gt;1,"Yes","No"))</f>
        <v>No</v>
      </c>
      <c r="S502" s="501"/>
      <c r="T502" s="478"/>
      <c r="U502" s="501"/>
      <c r="V502" s="479" t="str">
        <f>IF(R502="No","No Twilight",IF(T502="Yes","Uncomprehended Twilight",IF((Character!$B$14+IF(Character!$B$53="Yes",0,Character!$B$53)+IF(Magic!$C$5="Yes",2,0)+ROUNDUP((Magic!$B$30+IF(Magic!$C$30="Yes",3,0))/5,0)+S502)&gt;=($D$3+P502+SUMIF(Character!$I$62:$I$66,"Enigmatic Wisdom",Character!$J$62:$J$66)+Q502+U502),"No Twilight","Twilight")))</f>
        <v>No Twilight</v>
      </c>
      <c r="W502" s="483"/>
      <c r="X502" s="478"/>
      <c r="Y502" s="484"/>
      <c r="Z502" s="478"/>
      <c r="AA502" s="485" t="str">
        <f>IF(V502="Uncomprehended Twilight","Failed",IF(OR(ISBLANK(W502),ISBLANK(Y502))," ",IF(NOT(ISBLANK(X502)),"Failed",IF((W502+Character!$B$9+SUMIF(Character!$I$62:$I$66,"Enigmatic Wisdom",Character!$J$62:$J$66))&gt;=IF(Z502="Yes",0,(Y502+D497)),"Succeeded","Failed"))))</f>
        <v xml:space="preserve"> </v>
      </c>
      <c r="AB502" s="477" t="str">
        <f>IF(AA502=" "," ",IF(NOT(ISBLANK(X502)),VLOOKUP($D$3+X502,Calcs!$A$110:$C$122,3,TRUE),IF(AA502="Failed",VLOOKUP($D$3,Calcs!$A$110:$C$122,3,TRUE),VLOOKUP($D$3-(IF((Character!$B$9+W502)&gt;($D$3+Y502),(Character!$B$9+W502)-($D$3+Y502),0)),Calcs!$A$110:$C$122,3,TRUE))))</f>
        <v xml:space="preserve"> </v>
      </c>
      <c r="AC502" s="489"/>
      <c r="AD502" s="489" t="str">
        <f>IF(IF(AA502=" "," ",IF(NOT(ISBLANK(X502)),VLOOKUP($D$3+X502,Calcs!$A$110:$B$122,2,TRUE),IF(AA502="Failed",VLOOKUP($D$3,Calcs!$A$110:$B$122,2,TRUE),VLOOKUP($D$3-(IF((Character!$B$9+W502)&gt;($D$3+Y502),(Character!$B$9+W502)-($D$3+Y502),0)),Calcs!$A$110:$B$122,2,TRUE))))=Calcs!$B$120,IF(ISBLANK(AC502)," ",CONCATENATE(AC502+7," Years")),IF(AA502=" "," ",IF(NOT(ISBLANK(X502)),VLOOKUP($D$3+X502,Calcs!$A$110:$B$122,2,TRUE),IF(AA502="Failed",VLOOKUP($D$3,Calcs!$A$110:$B$122,2,TRUE),VLOOKUP($D$3-(IF((Character!$B$9+W502)&gt;($D$3+Y502),(Character!$B$9+W502)-($D$3+Y502),0)),Calcs!$A$110:$B$122,2,TRUE)))))</f>
        <v xml:space="preserve"> </v>
      </c>
      <c r="AE502" s="490"/>
      <c r="AF502" s="879"/>
      <c r="AG502" s="491"/>
    </row>
    <row r="503" spans="1:33" x14ac:dyDescent="0.2">
      <c r="A503" s="415">
        <f t="shared" si="14"/>
        <v>1335</v>
      </c>
      <c r="B503" s="419" t="str">
        <f t="shared" si="15"/>
        <v>Autumn</v>
      </c>
      <c r="C503" s="455"/>
      <c r="D503" s="504"/>
      <c r="E503" s="455"/>
      <c r="F503" s="504"/>
      <c r="G503" s="455"/>
      <c r="H503" s="504"/>
      <c r="I503" s="455"/>
      <c r="J503" s="504"/>
      <c r="L503" s="472"/>
      <c r="M503" s="468"/>
      <c r="N503" s="468"/>
      <c r="O503" s="468"/>
      <c r="P503" s="468"/>
      <c r="Q503" s="473"/>
      <c r="R503" s="477" t="str">
        <f>IF(AND(COUNTIF('Start Character'!$I$63:$M$77,"Twilight Prone")=1,NOT(ISERROR(FIND("Magical Botch",M503)))),"Yes",IF(P503&gt;1,"Yes","No"))</f>
        <v>No</v>
      </c>
      <c r="S503" s="501"/>
      <c r="T503" s="478"/>
      <c r="U503" s="501"/>
      <c r="V503" s="479" t="str">
        <f>IF(R503="No","No Twilight",IF(T503="Yes","Uncomprehended Twilight",IF((Character!$B$14+IF(Character!$B$53="Yes",0,Character!$B$53)+IF(Magic!$C$5="Yes",2,0)+ROUNDUP((Magic!$B$30+IF(Magic!$C$30="Yes",3,0))/5,0)+S503)&gt;=($D$3+P503+SUMIF(Character!$I$62:$I$66,"Enigmatic Wisdom",Character!$J$62:$J$66)+Q503+U503),"No Twilight","Twilight")))</f>
        <v>No Twilight</v>
      </c>
      <c r="W503" s="483"/>
      <c r="X503" s="478"/>
      <c r="Y503" s="484"/>
      <c r="Z503" s="478"/>
      <c r="AA503" s="485" t="str">
        <f>IF(V503="Uncomprehended Twilight","Failed",IF(OR(ISBLANK(W503),ISBLANK(Y503))," ",IF(NOT(ISBLANK(X503)),"Failed",IF((W503+Character!$B$9+SUMIF(Character!$I$62:$I$66,"Enigmatic Wisdom",Character!$J$62:$J$66))&gt;=IF(Z503="Yes",0,(Y503+D498)),"Succeeded","Failed"))))</f>
        <v xml:space="preserve"> </v>
      </c>
      <c r="AB503" s="477" t="str">
        <f>IF(AA503=" "," ",IF(NOT(ISBLANK(X503)),VLOOKUP($D$3+X503,Calcs!$A$110:$C$122,3,TRUE),IF(AA503="Failed",VLOOKUP($D$3,Calcs!$A$110:$C$122,3,TRUE),VLOOKUP($D$3-(IF((Character!$B$9+W503)&gt;($D$3+Y503),(Character!$B$9+W503)-($D$3+Y503),0)),Calcs!$A$110:$C$122,3,TRUE))))</f>
        <v xml:space="preserve"> </v>
      </c>
      <c r="AC503" s="489"/>
      <c r="AD503" s="489" t="str">
        <f>IF(IF(AA503=" "," ",IF(NOT(ISBLANK(X503)),VLOOKUP($D$3+X503,Calcs!$A$110:$B$122,2,TRUE),IF(AA503="Failed",VLOOKUP($D$3,Calcs!$A$110:$B$122,2,TRUE),VLOOKUP($D$3-(IF((Character!$B$9+W503)&gt;($D$3+Y503),(Character!$B$9+W503)-($D$3+Y503),0)),Calcs!$A$110:$B$122,2,TRUE))))=Calcs!$B$120,IF(ISBLANK(AC503)," ",CONCATENATE(AC503+7," Years")),IF(AA503=" "," ",IF(NOT(ISBLANK(X503)),VLOOKUP($D$3+X503,Calcs!$A$110:$B$122,2,TRUE),IF(AA503="Failed",VLOOKUP($D$3,Calcs!$A$110:$B$122,2,TRUE),VLOOKUP($D$3-(IF((Character!$B$9+W503)&gt;($D$3+Y503),(Character!$B$9+W503)-($D$3+Y503),0)),Calcs!$A$110:$B$122,2,TRUE)))))</f>
        <v xml:space="preserve"> </v>
      </c>
      <c r="AE503" s="490"/>
      <c r="AF503" s="879"/>
      <c r="AG503" s="491"/>
    </row>
    <row r="504" spans="1:33" x14ac:dyDescent="0.2">
      <c r="A504" s="415">
        <f t="shared" si="14"/>
        <v>1336</v>
      </c>
      <c r="B504" s="419" t="str">
        <f t="shared" si="15"/>
        <v>Winter</v>
      </c>
      <c r="C504" s="455"/>
      <c r="D504" s="504"/>
      <c r="E504" s="455"/>
      <c r="F504" s="504"/>
      <c r="G504" s="455"/>
      <c r="H504" s="504"/>
      <c r="I504" s="455"/>
      <c r="J504" s="504"/>
      <c r="L504" s="472"/>
      <c r="M504" s="468"/>
      <c r="N504" s="468"/>
      <c r="O504" s="468"/>
      <c r="P504" s="468"/>
      <c r="Q504" s="473"/>
      <c r="R504" s="477" t="str">
        <f>IF(AND(COUNTIF('Start Character'!$I$63:$M$77,"Twilight Prone")=1,NOT(ISERROR(FIND("Magical Botch",M504)))),"Yes",IF(P504&gt;1,"Yes","No"))</f>
        <v>No</v>
      </c>
      <c r="S504" s="501"/>
      <c r="T504" s="478"/>
      <c r="U504" s="501"/>
      <c r="V504" s="479" t="str">
        <f>IF(R504="No","No Twilight",IF(T504="Yes","Uncomprehended Twilight",IF((Character!$B$14+IF(Character!$B$53="Yes",0,Character!$B$53)+IF(Magic!$C$5="Yes",2,0)+ROUNDUP((Magic!$B$30+IF(Magic!$C$30="Yes",3,0))/5,0)+S504)&gt;=($D$3+P504+SUMIF(Character!$I$62:$I$66,"Enigmatic Wisdom",Character!$J$62:$J$66)+Q504+U504),"No Twilight","Twilight")))</f>
        <v>No Twilight</v>
      </c>
      <c r="W504" s="483"/>
      <c r="X504" s="478"/>
      <c r="Y504" s="484"/>
      <c r="Z504" s="478"/>
      <c r="AA504" s="485" t="str">
        <f>IF(V504="Uncomprehended Twilight","Failed",IF(OR(ISBLANK(W504),ISBLANK(Y504))," ",IF(NOT(ISBLANK(X504)),"Failed",IF((W504+Character!$B$9+SUMIF(Character!$I$62:$I$66,"Enigmatic Wisdom",Character!$J$62:$J$66))&gt;=IF(Z504="Yes",0,(Y504+D499)),"Succeeded","Failed"))))</f>
        <v xml:space="preserve"> </v>
      </c>
      <c r="AB504" s="477" t="str">
        <f>IF(AA504=" "," ",IF(NOT(ISBLANK(X504)),VLOOKUP($D$3+X504,Calcs!$A$110:$C$122,3,TRUE),IF(AA504="Failed",VLOOKUP($D$3,Calcs!$A$110:$C$122,3,TRUE),VLOOKUP($D$3-(IF((Character!$B$9+W504)&gt;($D$3+Y504),(Character!$B$9+W504)-($D$3+Y504),0)),Calcs!$A$110:$C$122,3,TRUE))))</f>
        <v xml:space="preserve"> </v>
      </c>
      <c r="AC504" s="489"/>
      <c r="AD504" s="489" t="str">
        <f>IF(IF(AA504=" "," ",IF(NOT(ISBLANK(X504)),VLOOKUP($D$3+X504,Calcs!$A$110:$B$122,2,TRUE),IF(AA504="Failed",VLOOKUP($D$3,Calcs!$A$110:$B$122,2,TRUE),VLOOKUP($D$3-(IF((Character!$B$9+W504)&gt;($D$3+Y504),(Character!$B$9+W504)-($D$3+Y504),0)),Calcs!$A$110:$B$122,2,TRUE))))=Calcs!$B$120,IF(ISBLANK(AC504)," ",CONCATENATE(AC504+7," Years")),IF(AA504=" "," ",IF(NOT(ISBLANK(X504)),VLOOKUP($D$3+X504,Calcs!$A$110:$B$122,2,TRUE),IF(AA504="Failed",VLOOKUP($D$3,Calcs!$A$110:$B$122,2,TRUE),VLOOKUP($D$3-(IF((Character!$B$9+W504)&gt;($D$3+Y504),(Character!$B$9+W504)-($D$3+Y504),0)),Calcs!$A$110:$B$122,2,TRUE)))))</f>
        <v xml:space="preserve"> </v>
      </c>
      <c r="AE504" s="490"/>
      <c r="AF504" s="879"/>
      <c r="AG504" s="491"/>
    </row>
    <row r="505" spans="1:33" x14ac:dyDescent="0.2">
      <c r="A505" s="415">
        <f t="shared" si="14"/>
        <v>1336</v>
      </c>
      <c r="B505" s="419" t="str">
        <f t="shared" si="15"/>
        <v>Spring</v>
      </c>
      <c r="C505" s="455"/>
      <c r="D505" s="504"/>
      <c r="E505" s="455"/>
      <c r="F505" s="504"/>
      <c r="G505" s="455"/>
      <c r="H505" s="504"/>
      <c r="I505" s="455"/>
      <c r="J505" s="504"/>
      <c r="L505" s="472"/>
      <c r="M505" s="468"/>
      <c r="N505" s="468"/>
      <c r="O505" s="468"/>
      <c r="P505" s="468"/>
      <c r="Q505" s="473"/>
      <c r="R505" s="477" t="str">
        <f>IF(AND(COUNTIF('Start Character'!$I$63:$M$77,"Twilight Prone")=1,NOT(ISERROR(FIND("Magical Botch",M505)))),"Yes",IF(P505&gt;1,"Yes","No"))</f>
        <v>No</v>
      </c>
      <c r="S505" s="501"/>
      <c r="T505" s="478"/>
      <c r="U505" s="501"/>
      <c r="V505" s="479" t="str">
        <f>IF(R505="No","No Twilight",IF(T505="Yes","Uncomprehended Twilight",IF((Character!$B$14+IF(Character!$B$53="Yes",0,Character!$B$53)+IF(Magic!$C$5="Yes",2,0)+ROUNDUP((Magic!$B$30+IF(Magic!$C$30="Yes",3,0))/5,0)+S505)&gt;=($D$3+P505+SUMIF(Character!$I$62:$I$66,"Enigmatic Wisdom",Character!$J$62:$J$66)+Q505+U505),"No Twilight","Twilight")))</f>
        <v>No Twilight</v>
      </c>
      <c r="W505" s="483"/>
      <c r="X505" s="478"/>
      <c r="Y505" s="484"/>
      <c r="Z505" s="478"/>
      <c r="AA505" s="485" t="str">
        <f>IF(V505="Uncomprehended Twilight","Failed",IF(OR(ISBLANK(W505),ISBLANK(Y505))," ",IF(NOT(ISBLANK(X505)),"Failed",IF((W505+Character!$B$9+SUMIF(Character!$I$62:$I$66,"Enigmatic Wisdom",Character!$J$62:$J$66))&gt;=IF(Z505="Yes",0,(Y505+D500)),"Succeeded","Failed"))))</f>
        <v xml:space="preserve"> </v>
      </c>
      <c r="AB505" s="477" t="str">
        <f>IF(AA505=" "," ",IF(NOT(ISBLANK(X505)),VLOOKUP($D$3+X505,Calcs!$A$110:$C$122,3,TRUE),IF(AA505="Failed",VLOOKUP($D$3,Calcs!$A$110:$C$122,3,TRUE),VLOOKUP($D$3-(IF((Character!$B$9+W505)&gt;($D$3+Y505),(Character!$B$9+W505)-($D$3+Y505),0)),Calcs!$A$110:$C$122,3,TRUE))))</f>
        <v xml:space="preserve"> </v>
      </c>
      <c r="AC505" s="489"/>
      <c r="AD505" s="489" t="str">
        <f>IF(IF(AA505=" "," ",IF(NOT(ISBLANK(X505)),VLOOKUP($D$3+X505,Calcs!$A$110:$B$122,2,TRUE),IF(AA505="Failed",VLOOKUP($D$3,Calcs!$A$110:$B$122,2,TRUE),VLOOKUP($D$3-(IF((Character!$B$9+W505)&gt;($D$3+Y505),(Character!$B$9+W505)-($D$3+Y505),0)),Calcs!$A$110:$B$122,2,TRUE))))=Calcs!$B$120,IF(ISBLANK(AC505)," ",CONCATENATE(AC505+7," Years")),IF(AA505=" "," ",IF(NOT(ISBLANK(X505)),VLOOKUP($D$3+X505,Calcs!$A$110:$B$122,2,TRUE),IF(AA505="Failed",VLOOKUP($D$3,Calcs!$A$110:$B$122,2,TRUE),VLOOKUP($D$3-(IF((Character!$B$9+W505)&gt;($D$3+Y505),(Character!$B$9+W505)-($D$3+Y505),0)),Calcs!$A$110:$B$122,2,TRUE)))))</f>
        <v xml:space="preserve"> </v>
      </c>
      <c r="AE505" s="490"/>
      <c r="AF505" s="879"/>
      <c r="AG505" s="491"/>
    </row>
    <row r="506" spans="1:33" x14ac:dyDescent="0.2">
      <c r="A506" s="415">
        <f t="shared" si="14"/>
        <v>1336</v>
      </c>
      <c r="B506" s="419" t="str">
        <f t="shared" si="15"/>
        <v>Summer</v>
      </c>
      <c r="C506" s="455"/>
      <c r="D506" s="504"/>
      <c r="E506" s="455"/>
      <c r="F506" s="504"/>
      <c r="G506" s="455"/>
      <c r="H506" s="504"/>
      <c r="I506" s="455"/>
      <c r="J506" s="504"/>
      <c r="L506" s="472"/>
      <c r="M506" s="468"/>
      <c r="N506" s="468"/>
      <c r="O506" s="468"/>
      <c r="P506" s="468"/>
      <c r="Q506" s="473"/>
      <c r="R506" s="477" t="str">
        <f>IF(AND(COUNTIF('Start Character'!$I$63:$M$77,"Twilight Prone")=1,NOT(ISERROR(FIND("Magical Botch",M506)))),"Yes",IF(P506&gt;1,"Yes","No"))</f>
        <v>No</v>
      </c>
      <c r="S506" s="501"/>
      <c r="T506" s="478"/>
      <c r="U506" s="501"/>
      <c r="V506" s="479" t="str">
        <f>IF(R506="No","No Twilight",IF(T506="Yes","Uncomprehended Twilight",IF((Character!$B$14+IF(Character!$B$53="Yes",0,Character!$B$53)+IF(Magic!$C$5="Yes",2,0)+ROUNDUP((Magic!$B$30+IF(Magic!$C$30="Yes",3,0))/5,0)+S506)&gt;=($D$3+P506+SUMIF(Character!$I$62:$I$66,"Enigmatic Wisdom",Character!$J$62:$J$66)+Q506+U506),"No Twilight","Twilight")))</f>
        <v>No Twilight</v>
      </c>
      <c r="W506" s="483"/>
      <c r="X506" s="478"/>
      <c r="Y506" s="484"/>
      <c r="Z506" s="478"/>
      <c r="AA506" s="485" t="str">
        <f>IF(V506="Uncomprehended Twilight","Failed",IF(OR(ISBLANK(W506),ISBLANK(Y506))," ",IF(NOT(ISBLANK(X506)),"Failed",IF((W506+Character!$B$9+SUMIF(Character!$I$62:$I$66,"Enigmatic Wisdom",Character!$J$62:$J$66))&gt;=IF(Z506="Yes",0,(Y506+D501)),"Succeeded","Failed"))))</f>
        <v xml:space="preserve"> </v>
      </c>
      <c r="AB506" s="477" t="str">
        <f>IF(AA506=" "," ",IF(NOT(ISBLANK(X506)),VLOOKUP($D$3+X506,Calcs!$A$110:$C$122,3,TRUE),IF(AA506="Failed",VLOOKUP($D$3,Calcs!$A$110:$C$122,3,TRUE),VLOOKUP($D$3-(IF((Character!$B$9+W506)&gt;($D$3+Y506),(Character!$B$9+W506)-($D$3+Y506),0)),Calcs!$A$110:$C$122,3,TRUE))))</f>
        <v xml:space="preserve"> </v>
      </c>
      <c r="AC506" s="489"/>
      <c r="AD506" s="489" t="str">
        <f>IF(IF(AA506=" "," ",IF(NOT(ISBLANK(X506)),VLOOKUP($D$3+X506,Calcs!$A$110:$B$122,2,TRUE),IF(AA506="Failed",VLOOKUP($D$3,Calcs!$A$110:$B$122,2,TRUE),VLOOKUP($D$3-(IF((Character!$B$9+W506)&gt;($D$3+Y506),(Character!$B$9+W506)-($D$3+Y506),0)),Calcs!$A$110:$B$122,2,TRUE))))=Calcs!$B$120,IF(ISBLANK(AC506)," ",CONCATENATE(AC506+7," Years")),IF(AA506=" "," ",IF(NOT(ISBLANK(X506)),VLOOKUP($D$3+X506,Calcs!$A$110:$B$122,2,TRUE),IF(AA506="Failed",VLOOKUP($D$3,Calcs!$A$110:$B$122,2,TRUE),VLOOKUP($D$3-(IF((Character!$B$9+W506)&gt;($D$3+Y506),(Character!$B$9+W506)-($D$3+Y506),0)),Calcs!$A$110:$B$122,2,TRUE)))))</f>
        <v xml:space="preserve"> </v>
      </c>
      <c r="AE506" s="490"/>
      <c r="AF506" s="879"/>
      <c r="AG506" s="491"/>
    </row>
    <row r="507" spans="1:33" x14ac:dyDescent="0.2">
      <c r="A507" s="415">
        <f t="shared" si="14"/>
        <v>1336</v>
      </c>
      <c r="B507" s="419" t="str">
        <f t="shared" si="15"/>
        <v>Autumn</v>
      </c>
      <c r="C507" s="455"/>
      <c r="D507" s="504"/>
      <c r="E507" s="455"/>
      <c r="F507" s="504"/>
      <c r="G507" s="455"/>
      <c r="H507" s="504"/>
      <c r="I507" s="455"/>
      <c r="J507" s="504"/>
      <c r="L507" s="472"/>
      <c r="M507" s="468"/>
      <c r="N507" s="468"/>
      <c r="O507" s="468"/>
      <c r="P507" s="468"/>
      <c r="Q507" s="473"/>
      <c r="R507" s="477" t="str">
        <f>IF(AND(COUNTIF('Start Character'!$I$63:$M$77,"Twilight Prone")=1,NOT(ISERROR(FIND("Magical Botch",M507)))),"Yes",IF(P507&gt;1,"Yes","No"))</f>
        <v>No</v>
      </c>
      <c r="S507" s="501"/>
      <c r="T507" s="478"/>
      <c r="U507" s="501"/>
      <c r="V507" s="479" t="str">
        <f>IF(R507="No","No Twilight",IF(T507="Yes","Uncomprehended Twilight",IF((Character!$B$14+IF(Character!$B$53="Yes",0,Character!$B$53)+IF(Magic!$C$5="Yes",2,0)+ROUNDUP((Magic!$B$30+IF(Magic!$C$30="Yes",3,0))/5,0)+S507)&gt;=($D$3+P507+SUMIF(Character!$I$62:$I$66,"Enigmatic Wisdom",Character!$J$62:$J$66)+Q507+U507),"No Twilight","Twilight")))</f>
        <v>No Twilight</v>
      </c>
      <c r="W507" s="483"/>
      <c r="X507" s="478"/>
      <c r="Y507" s="484"/>
      <c r="Z507" s="478"/>
      <c r="AA507" s="485" t="str">
        <f>IF(V507="Uncomprehended Twilight","Failed",IF(OR(ISBLANK(W507),ISBLANK(Y507))," ",IF(NOT(ISBLANK(X507)),"Failed",IF((W507+Character!$B$9+SUMIF(Character!$I$62:$I$66,"Enigmatic Wisdom",Character!$J$62:$J$66))&gt;=IF(Z507="Yes",0,(Y507+D502)),"Succeeded","Failed"))))</f>
        <v xml:space="preserve"> </v>
      </c>
      <c r="AB507" s="477" t="str">
        <f>IF(AA507=" "," ",IF(NOT(ISBLANK(X507)),VLOOKUP($D$3+X507,Calcs!$A$110:$C$122,3,TRUE),IF(AA507="Failed",VLOOKUP($D$3,Calcs!$A$110:$C$122,3,TRUE),VLOOKUP($D$3-(IF((Character!$B$9+W507)&gt;($D$3+Y507),(Character!$B$9+W507)-($D$3+Y507),0)),Calcs!$A$110:$C$122,3,TRUE))))</f>
        <v xml:space="preserve"> </v>
      </c>
      <c r="AC507" s="489"/>
      <c r="AD507" s="489" t="str">
        <f>IF(IF(AA507=" "," ",IF(NOT(ISBLANK(X507)),VLOOKUP($D$3+X507,Calcs!$A$110:$B$122,2,TRUE),IF(AA507="Failed",VLOOKUP($D$3,Calcs!$A$110:$B$122,2,TRUE),VLOOKUP($D$3-(IF((Character!$B$9+W507)&gt;($D$3+Y507),(Character!$B$9+W507)-($D$3+Y507),0)),Calcs!$A$110:$B$122,2,TRUE))))=Calcs!$B$120,IF(ISBLANK(AC507)," ",CONCATENATE(AC507+7," Years")),IF(AA507=" "," ",IF(NOT(ISBLANK(X507)),VLOOKUP($D$3+X507,Calcs!$A$110:$B$122,2,TRUE),IF(AA507="Failed",VLOOKUP($D$3,Calcs!$A$110:$B$122,2,TRUE),VLOOKUP($D$3-(IF((Character!$B$9+W507)&gt;($D$3+Y507),(Character!$B$9+W507)-($D$3+Y507),0)),Calcs!$A$110:$B$122,2,TRUE)))))</f>
        <v xml:space="preserve"> </v>
      </c>
      <c r="AE507" s="490"/>
      <c r="AF507" s="879"/>
      <c r="AG507" s="491"/>
    </row>
    <row r="508" spans="1:33" x14ac:dyDescent="0.2">
      <c r="A508" s="415">
        <f t="shared" si="14"/>
        <v>1337</v>
      </c>
      <c r="B508" s="419" t="str">
        <f t="shared" si="15"/>
        <v>Winter</v>
      </c>
      <c r="C508" s="455"/>
      <c r="D508" s="504"/>
      <c r="E508" s="455"/>
      <c r="F508" s="504"/>
      <c r="G508" s="455"/>
      <c r="H508" s="504"/>
      <c r="I508" s="455"/>
      <c r="J508" s="504"/>
      <c r="L508" s="472"/>
      <c r="M508" s="468"/>
      <c r="N508" s="468"/>
      <c r="O508" s="468"/>
      <c r="P508" s="468"/>
      <c r="Q508" s="473"/>
      <c r="R508" s="477" t="str">
        <f>IF(AND(COUNTIF('Start Character'!$I$63:$M$77,"Twilight Prone")=1,NOT(ISERROR(FIND("Magical Botch",M508)))),"Yes",IF(P508&gt;1,"Yes","No"))</f>
        <v>No</v>
      </c>
      <c r="S508" s="501"/>
      <c r="T508" s="478"/>
      <c r="U508" s="501"/>
      <c r="V508" s="479" t="str">
        <f>IF(R508="No","No Twilight",IF(T508="Yes","Uncomprehended Twilight",IF((Character!$B$14+IF(Character!$B$53="Yes",0,Character!$B$53)+IF(Magic!$C$5="Yes",2,0)+ROUNDUP((Magic!$B$30+IF(Magic!$C$30="Yes",3,0))/5,0)+S508)&gt;=($D$3+P508+SUMIF(Character!$I$62:$I$66,"Enigmatic Wisdom",Character!$J$62:$J$66)+Q508+U508),"No Twilight","Twilight")))</f>
        <v>No Twilight</v>
      </c>
      <c r="W508" s="483"/>
      <c r="X508" s="478"/>
      <c r="Y508" s="484"/>
      <c r="Z508" s="478"/>
      <c r="AA508" s="485" t="str">
        <f>IF(V508="Uncomprehended Twilight","Failed",IF(OR(ISBLANK(W508),ISBLANK(Y508))," ",IF(NOT(ISBLANK(X508)),"Failed",IF((W508+Character!$B$9+SUMIF(Character!$I$62:$I$66,"Enigmatic Wisdom",Character!$J$62:$J$66))&gt;=IF(Z508="Yes",0,(Y508+D503)),"Succeeded","Failed"))))</f>
        <v xml:space="preserve"> </v>
      </c>
      <c r="AB508" s="477" t="str">
        <f>IF(AA508=" "," ",IF(NOT(ISBLANK(X508)),VLOOKUP($D$3+X508,Calcs!$A$110:$C$122,3,TRUE),IF(AA508="Failed",VLOOKUP($D$3,Calcs!$A$110:$C$122,3,TRUE),VLOOKUP($D$3-(IF((Character!$B$9+W508)&gt;($D$3+Y508),(Character!$B$9+W508)-($D$3+Y508),0)),Calcs!$A$110:$C$122,3,TRUE))))</f>
        <v xml:space="preserve"> </v>
      </c>
      <c r="AC508" s="489"/>
      <c r="AD508" s="489" t="str">
        <f>IF(IF(AA508=" "," ",IF(NOT(ISBLANK(X508)),VLOOKUP($D$3+X508,Calcs!$A$110:$B$122,2,TRUE),IF(AA508="Failed",VLOOKUP($D$3,Calcs!$A$110:$B$122,2,TRUE),VLOOKUP($D$3-(IF((Character!$B$9+W508)&gt;($D$3+Y508),(Character!$B$9+W508)-($D$3+Y508),0)),Calcs!$A$110:$B$122,2,TRUE))))=Calcs!$B$120,IF(ISBLANK(AC508)," ",CONCATENATE(AC508+7," Years")),IF(AA508=" "," ",IF(NOT(ISBLANK(X508)),VLOOKUP($D$3+X508,Calcs!$A$110:$B$122,2,TRUE),IF(AA508="Failed",VLOOKUP($D$3,Calcs!$A$110:$B$122,2,TRUE),VLOOKUP($D$3-(IF((Character!$B$9+W508)&gt;($D$3+Y508),(Character!$B$9+W508)-($D$3+Y508),0)),Calcs!$A$110:$B$122,2,TRUE)))))</f>
        <v xml:space="preserve"> </v>
      </c>
      <c r="AE508" s="490"/>
      <c r="AF508" s="879"/>
      <c r="AG508" s="491"/>
    </row>
    <row r="509" spans="1:33" x14ac:dyDescent="0.2">
      <c r="A509" s="415">
        <f t="shared" si="14"/>
        <v>1337</v>
      </c>
      <c r="B509" s="419" t="str">
        <f t="shared" si="15"/>
        <v>Spring</v>
      </c>
      <c r="C509" s="455"/>
      <c r="D509" s="504"/>
      <c r="E509" s="455"/>
      <c r="F509" s="504"/>
      <c r="G509" s="455"/>
      <c r="H509" s="504"/>
      <c r="I509" s="455"/>
      <c r="J509" s="504"/>
      <c r="L509" s="472"/>
      <c r="M509" s="468"/>
      <c r="N509" s="468"/>
      <c r="O509" s="468"/>
      <c r="P509" s="468"/>
      <c r="Q509" s="473"/>
      <c r="R509" s="477" t="str">
        <f>IF(AND(COUNTIF('Start Character'!$I$63:$M$77,"Twilight Prone")=1,NOT(ISERROR(FIND("Magical Botch",M509)))),"Yes",IF(P509&gt;1,"Yes","No"))</f>
        <v>No</v>
      </c>
      <c r="S509" s="501"/>
      <c r="T509" s="478"/>
      <c r="U509" s="501"/>
      <c r="V509" s="479" t="str">
        <f>IF(R509="No","No Twilight",IF(T509="Yes","Uncomprehended Twilight",IF((Character!$B$14+IF(Character!$B$53="Yes",0,Character!$B$53)+IF(Magic!$C$5="Yes",2,0)+ROUNDUP((Magic!$B$30+IF(Magic!$C$30="Yes",3,0))/5,0)+S509)&gt;=($D$3+P509+SUMIF(Character!$I$62:$I$66,"Enigmatic Wisdom",Character!$J$62:$J$66)+Q509+U509),"No Twilight","Twilight")))</f>
        <v>No Twilight</v>
      </c>
      <c r="W509" s="483"/>
      <c r="X509" s="478"/>
      <c r="Y509" s="484"/>
      <c r="Z509" s="478"/>
      <c r="AA509" s="485" t="str">
        <f>IF(V509="Uncomprehended Twilight","Failed",IF(OR(ISBLANK(W509),ISBLANK(Y509))," ",IF(NOT(ISBLANK(X509)),"Failed",IF((W509+Character!$B$9+SUMIF(Character!$I$62:$I$66,"Enigmatic Wisdom",Character!$J$62:$J$66))&gt;=IF(Z509="Yes",0,(Y509+D504)),"Succeeded","Failed"))))</f>
        <v xml:space="preserve"> </v>
      </c>
      <c r="AB509" s="477" t="str">
        <f>IF(AA509=" "," ",IF(NOT(ISBLANK(X509)),VLOOKUP($D$3+X509,Calcs!$A$110:$C$122,3,TRUE),IF(AA509="Failed",VLOOKUP($D$3,Calcs!$A$110:$C$122,3,TRUE),VLOOKUP($D$3-(IF((Character!$B$9+W509)&gt;($D$3+Y509),(Character!$B$9+W509)-($D$3+Y509),0)),Calcs!$A$110:$C$122,3,TRUE))))</f>
        <v xml:space="preserve"> </v>
      </c>
      <c r="AC509" s="489"/>
      <c r="AD509" s="489" t="str">
        <f>IF(IF(AA509=" "," ",IF(NOT(ISBLANK(X509)),VLOOKUP($D$3+X509,Calcs!$A$110:$B$122,2,TRUE),IF(AA509="Failed",VLOOKUP($D$3,Calcs!$A$110:$B$122,2,TRUE),VLOOKUP($D$3-(IF((Character!$B$9+W509)&gt;($D$3+Y509),(Character!$B$9+W509)-($D$3+Y509),0)),Calcs!$A$110:$B$122,2,TRUE))))=Calcs!$B$120,IF(ISBLANK(AC509)," ",CONCATENATE(AC509+7," Years")),IF(AA509=" "," ",IF(NOT(ISBLANK(X509)),VLOOKUP($D$3+X509,Calcs!$A$110:$B$122,2,TRUE),IF(AA509="Failed",VLOOKUP($D$3,Calcs!$A$110:$B$122,2,TRUE),VLOOKUP($D$3-(IF((Character!$B$9+W509)&gt;($D$3+Y509),(Character!$B$9+W509)-($D$3+Y509),0)),Calcs!$A$110:$B$122,2,TRUE)))))</f>
        <v xml:space="preserve"> </v>
      </c>
      <c r="AE509" s="490"/>
      <c r="AF509" s="879"/>
      <c r="AG509" s="491"/>
    </row>
    <row r="510" spans="1:33" x14ac:dyDescent="0.2">
      <c r="A510" s="415">
        <f t="shared" si="14"/>
        <v>1337</v>
      </c>
      <c r="B510" s="419" t="str">
        <f t="shared" si="15"/>
        <v>Summer</v>
      </c>
      <c r="C510" s="455"/>
      <c r="D510" s="504"/>
      <c r="E510" s="455"/>
      <c r="F510" s="504"/>
      <c r="G510" s="455"/>
      <c r="H510" s="504"/>
      <c r="I510" s="455"/>
      <c r="J510" s="504"/>
      <c r="L510" s="472"/>
      <c r="M510" s="468"/>
      <c r="N510" s="468"/>
      <c r="O510" s="468"/>
      <c r="P510" s="468"/>
      <c r="Q510" s="473"/>
      <c r="R510" s="477" t="str">
        <f>IF(AND(COUNTIF('Start Character'!$I$63:$M$77,"Twilight Prone")=1,NOT(ISERROR(FIND("Magical Botch",M510)))),"Yes",IF(P510&gt;1,"Yes","No"))</f>
        <v>No</v>
      </c>
      <c r="S510" s="501"/>
      <c r="T510" s="478"/>
      <c r="U510" s="501"/>
      <c r="V510" s="479" t="str">
        <f>IF(R510="No","No Twilight",IF(T510="Yes","Uncomprehended Twilight",IF((Character!$B$14+IF(Character!$B$53="Yes",0,Character!$B$53)+IF(Magic!$C$5="Yes",2,0)+ROUNDUP((Magic!$B$30+IF(Magic!$C$30="Yes",3,0))/5,0)+S510)&gt;=($D$3+P510+SUMIF(Character!$I$62:$I$66,"Enigmatic Wisdom",Character!$J$62:$J$66)+Q510+U510),"No Twilight","Twilight")))</f>
        <v>No Twilight</v>
      </c>
      <c r="W510" s="483"/>
      <c r="X510" s="478"/>
      <c r="Y510" s="484"/>
      <c r="Z510" s="478"/>
      <c r="AA510" s="485" t="str">
        <f>IF(V510="Uncomprehended Twilight","Failed",IF(OR(ISBLANK(W510),ISBLANK(Y510))," ",IF(NOT(ISBLANK(X510)),"Failed",IF((W510+Character!$B$9+SUMIF(Character!$I$62:$I$66,"Enigmatic Wisdom",Character!$J$62:$J$66))&gt;=IF(Z510="Yes",0,(Y510+D505)),"Succeeded","Failed"))))</f>
        <v xml:space="preserve"> </v>
      </c>
      <c r="AB510" s="477" t="str">
        <f>IF(AA510=" "," ",IF(NOT(ISBLANK(X510)),VLOOKUP($D$3+X510,Calcs!$A$110:$C$122,3,TRUE),IF(AA510="Failed",VLOOKUP($D$3,Calcs!$A$110:$C$122,3,TRUE),VLOOKUP($D$3-(IF((Character!$B$9+W510)&gt;($D$3+Y510),(Character!$B$9+W510)-($D$3+Y510),0)),Calcs!$A$110:$C$122,3,TRUE))))</f>
        <v xml:space="preserve"> </v>
      </c>
      <c r="AC510" s="489"/>
      <c r="AD510" s="489" t="str">
        <f>IF(IF(AA510=" "," ",IF(NOT(ISBLANK(X510)),VLOOKUP($D$3+X510,Calcs!$A$110:$B$122,2,TRUE),IF(AA510="Failed",VLOOKUP($D$3,Calcs!$A$110:$B$122,2,TRUE),VLOOKUP($D$3-(IF((Character!$B$9+W510)&gt;($D$3+Y510),(Character!$B$9+W510)-($D$3+Y510),0)),Calcs!$A$110:$B$122,2,TRUE))))=Calcs!$B$120,IF(ISBLANK(AC510)," ",CONCATENATE(AC510+7," Years")),IF(AA510=" "," ",IF(NOT(ISBLANK(X510)),VLOOKUP($D$3+X510,Calcs!$A$110:$B$122,2,TRUE),IF(AA510="Failed",VLOOKUP($D$3,Calcs!$A$110:$B$122,2,TRUE),VLOOKUP($D$3-(IF((Character!$B$9+W510)&gt;($D$3+Y510),(Character!$B$9+W510)-($D$3+Y510),0)),Calcs!$A$110:$B$122,2,TRUE)))))</f>
        <v xml:space="preserve"> </v>
      </c>
      <c r="AE510" s="490"/>
      <c r="AF510" s="879"/>
      <c r="AG510" s="491"/>
    </row>
    <row r="511" spans="1:33" x14ac:dyDescent="0.2">
      <c r="A511" s="415">
        <f t="shared" si="14"/>
        <v>1337</v>
      </c>
      <c r="B511" s="419" t="str">
        <f t="shared" si="15"/>
        <v>Autumn</v>
      </c>
      <c r="C511" s="455"/>
      <c r="D511" s="504"/>
      <c r="E511" s="455"/>
      <c r="F511" s="504"/>
      <c r="G511" s="455"/>
      <c r="H511" s="504"/>
      <c r="I511" s="455"/>
      <c r="J511" s="504"/>
      <c r="L511" s="472"/>
      <c r="M511" s="468"/>
      <c r="N511" s="468"/>
      <c r="O511" s="468"/>
      <c r="P511" s="468"/>
      <c r="Q511" s="473"/>
      <c r="R511" s="477" t="str">
        <f>IF(AND(COUNTIF('Start Character'!$I$63:$M$77,"Twilight Prone")=1,NOT(ISERROR(FIND("Magical Botch",M511)))),"Yes",IF(P511&gt;1,"Yes","No"))</f>
        <v>No</v>
      </c>
      <c r="S511" s="501"/>
      <c r="T511" s="478"/>
      <c r="U511" s="501"/>
      <c r="V511" s="479" t="str">
        <f>IF(R511="No","No Twilight",IF(T511="Yes","Uncomprehended Twilight",IF((Character!$B$14+IF(Character!$B$53="Yes",0,Character!$B$53)+IF(Magic!$C$5="Yes",2,0)+ROUNDUP((Magic!$B$30+IF(Magic!$C$30="Yes",3,0))/5,0)+S511)&gt;=($D$3+P511+SUMIF(Character!$I$62:$I$66,"Enigmatic Wisdom",Character!$J$62:$J$66)+Q511+U511),"No Twilight","Twilight")))</f>
        <v>No Twilight</v>
      </c>
      <c r="W511" s="483"/>
      <c r="X511" s="478"/>
      <c r="Y511" s="484"/>
      <c r="Z511" s="478"/>
      <c r="AA511" s="485" t="str">
        <f>IF(V511="Uncomprehended Twilight","Failed",IF(OR(ISBLANK(W511),ISBLANK(Y511))," ",IF(NOT(ISBLANK(X511)),"Failed",IF((W511+Character!$B$9+SUMIF(Character!$I$62:$I$66,"Enigmatic Wisdom",Character!$J$62:$J$66))&gt;=IF(Z511="Yes",0,(Y511+D506)),"Succeeded","Failed"))))</f>
        <v xml:space="preserve"> </v>
      </c>
      <c r="AB511" s="477" t="str">
        <f>IF(AA511=" "," ",IF(NOT(ISBLANK(X511)),VLOOKUP($D$3+X511,Calcs!$A$110:$C$122,3,TRUE),IF(AA511="Failed",VLOOKUP($D$3,Calcs!$A$110:$C$122,3,TRUE),VLOOKUP($D$3-(IF((Character!$B$9+W511)&gt;($D$3+Y511),(Character!$B$9+W511)-($D$3+Y511),0)),Calcs!$A$110:$C$122,3,TRUE))))</f>
        <v xml:space="preserve"> </v>
      </c>
      <c r="AC511" s="489"/>
      <c r="AD511" s="489" t="str">
        <f>IF(IF(AA511=" "," ",IF(NOT(ISBLANK(X511)),VLOOKUP($D$3+X511,Calcs!$A$110:$B$122,2,TRUE),IF(AA511="Failed",VLOOKUP($D$3,Calcs!$A$110:$B$122,2,TRUE),VLOOKUP($D$3-(IF((Character!$B$9+W511)&gt;($D$3+Y511),(Character!$B$9+W511)-($D$3+Y511),0)),Calcs!$A$110:$B$122,2,TRUE))))=Calcs!$B$120,IF(ISBLANK(AC511)," ",CONCATENATE(AC511+7," Years")),IF(AA511=" "," ",IF(NOT(ISBLANK(X511)),VLOOKUP($D$3+X511,Calcs!$A$110:$B$122,2,TRUE),IF(AA511="Failed",VLOOKUP($D$3,Calcs!$A$110:$B$122,2,TRUE),VLOOKUP($D$3-(IF((Character!$B$9+W511)&gt;($D$3+Y511),(Character!$B$9+W511)-($D$3+Y511),0)),Calcs!$A$110:$B$122,2,TRUE)))))</f>
        <v xml:space="preserve"> </v>
      </c>
      <c r="AE511" s="490"/>
      <c r="AF511" s="879"/>
      <c r="AG511" s="491"/>
    </row>
    <row r="512" spans="1:33" x14ac:dyDescent="0.2">
      <c r="A512" s="415">
        <f t="shared" si="14"/>
        <v>1338</v>
      </c>
      <c r="B512" s="419" t="str">
        <f t="shared" si="15"/>
        <v>Winter</v>
      </c>
      <c r="C512" s="455"/>
      <c r="D512" s="504"/>
      <c r="E512" s="455"/>
      <c r="F512" s="504"/>
      <c r="G512" s="455"/>
      <c r="H512" s="504"/>
      <c r="I512" s="455"/>
      <c r="J512" s="504"/>
      <c r="L512" s="472"/>
      <c r="M512" s="468"/>
      <c r="N512" s="468"/>
      <c r="O512" s="468"/>
      <c r="P512" s="468"/>
      <c r="Q512" s="473"/>
      <c r="R512" s="477" t="str">
        <f>IF(AND(COUNTIF('Start Character'!$I$63:$M$77,"Twilight Prone")=1,NOT(ISERROR(FIND("Magical Botch",M512)))),"Yes",IF(P512&gt;1,"Yes","No"))</f>
        <v>No</v>
      </c>
      <c r="S512" s="501"/>
      <c r="T512" s="478"/>
      <c r="U512" s="501"/>
      <c r="V512" s="479" t="str">
        <f>IF(R512="No","No Twilight",IF(T512="Yes","Uncomprehended Twilight",IF((Character!$B$14+IF(Character!$B$53="Yes",0,Character!$B$53)+IF(Magic!$C$5="Yes",2,0)+ROUNDUP((Magic!$B$30+IF(Magic!$C$30="Yes",3,0))/5,0)+S512)&gt;=($D$3+P512+SUMIF(Character!$I$62:$I$66,"Enigmatic Wisdom",Character!$J$62:$J$66)+Q512+U512),"No Twilight","Twilight")))</f>
        <v>No Twilight</v>
      </c>
      <c r="W512" s="483"/>
      <c r="X512" s="478"/>
      <c r="Y512" s="484"/>
      <c r="Z512" s="478"/>
      <c r="AA512" s="485" t="str">
        <f>IF(V512="Uncomprehended Twilight","Failed",IF(OR(ISBLANK(W512),ISBLANK(Y512))," ",IF(NOT(ISBLANK(X512)),"Failed",IF((W512+Character!$B$9+SUMIF(Character!$I$62:$I$66,"Enigmatic Wisdom",Character!$J$62:$J$66))&gt;=IF(Z512="Yes",0,(Y512+D507)),"Succeeded","Failed"))))</f>
        <v xml:space="preserve"> </v>
      </c>
      <c r="AB512" s="477" t="str">
        <f>IF(AA512=" "," ",IF(NOT(ISBLANK(X512)),VLOOKUP($D$3+X512,Calcs!$A$110:$C$122,3,TRUE),IF(AA512="Failed",VLOOKUP($D$3,Calcs!$A$110:$C$122,3,TRUE),VLOOKUP($D$3-(IF((Character!$B$9+W512)&gt;($D$3+Y512),(Character!$B$9+W512)-($D$3+Y512),0)),Calcs!$A$110:$C$122,3,TRUE))))</f>
        <v xml:space="preserve"> </v>
      </c>
      <c r="AC512" s="489"/>
      <c r="AD512" s="489" t="str">
        <f>IF(IF(AA512=" "," ",IF(NOT(ISBLANK(X512)),VLOOKUP($D$3+X512,Calcs!$A$110:$B$122,2,TRUE),IF(AA512="Failed",VLOOKUP($D$3,Calcs!$A$110:$B$122,2,TRUE),VLOOKUP($D$3-(IF((Character!$B$9+W512)&gt;($D$3+Y512),(Character!$B$9+W512)-($D$3+Y512),0)),Calcs!$A$110:$B$122,2,TRUE))))=Calcs!$B$120,IF(ISBLANK(AC512)," ",CONCATENATE(AC512+7," Years")),IF(AA512=" "," ",IF(NOT(ISBLANK(X512)),VLOOKUP($D$3+X512,Calcs!$A$110:$B$122,2,TRUE),IF(AA512="Failed",VLOOKUP($D$3,Calcs!$A$110:$B$122,2,TRUE),VLOOKUP($D$3-(IF((Character!$B$9+W512)&gt;($D$3+Y512),(Character!$B$9+W512)-($D$3+Y512),0)),Calcs!$A$110:$B$122,2,TRUE)))))</f>
        <v xml:space="preserve"> </v>
      </c>
      <c r="AE512" s="490"/>
      <c r="AF512" s="879"/>
      <c r="AG512" s="491"/>
    </row>
    <row r="513" spans="1:33" x14ac:dyDescent="0.2">
      <c r="A513" s="415">
        <f t="shared" si="14"/>
        <v>1338</v>
      </c>
      <c r="B513" s="419" t="str">
        <f t="shared" si="15"/>
        <v>Spring</v>
      </c>
      <c r="C513" s="455"/>
      <c r="D513" s="504"/>
      <c r="E513" s="455"/>
      <c r="F513" s="504"/>
      <c r="G513" s="455"/>
      <c r="H513" s="504"/>
      <c r="I513" s="455"/>
      <c r="J513" s="504"/>
      <c r="L513" s="472"/>
      <c r="M513" s="468"/>
      <c r="N513" s="468"/>
      <c r="O513" s="468"/>
      <c r="P513" s="468"/>
      <c r="Q513" s="473"/>
      <c r="R513" s="477" t="str">
        <f>IF(AND(COUNTIF('Start Character'!$I$63:$M$77,"Twilight Prone")=1,NOT(ISERROR(FIND("Magical Botch",M513)))),"Yes",IF(P513&gt;1,"Yes","No"))</f>
        <v>No</v>
      </c>
      <c r="S513" s="501"/>
      <c r="T513" s="478"/>
      <c r="U513" s="501"/>
      <c r="V513" s="479" t="str">
        <f>IF(R513="No","No Twilight",IF(T513="Yes","Uncomprehended Twilight",IF((Character!$B$14+IF(Character!$B$53="Yes",0,Character!$B$53)+IF(Magic!$C$5="Yes",2,0)+ROUNDUP((Magic!$B$30+IF(Magic!$C$30="Yes",3,0))/5,0)+S513)&gt;=($D$3+P513+SUMIF(Character!$I$62:$I$66,"Enigmatic Wisdom",Character!$J$62:$J$66)+Q513+U513),"No Twilight","Twilight")))</f>
        <v>No Twilight</v>
      </c>
      <c r="W513" s="483"/>
      <c r="X513" s="478"/>
      <c r="Y513" s="484"/>
      <c r="Z513" s="478"/>
      <c r="AA513" s="485" t="str">
        <f>IF(V513="Uncomprehended Twilight","Failed",IF(OR(ISBLANK(W513),ISBLANK(Y513))," ",IF(NOT(ISBLANK(X513)),"Failed",IF((W513+Character!$B$9+SUMIF(Character!$I$62:$I$66,"Enigmatic Wisdom",Character!$J$62:$J$66))&gt;=IF(Z513="Yes",0,(Y513+D508)),"Succeeded","Failed"))))</f>
        <v xml:space="preserve"> </v>
      </c>
      <c r="AB513" s="477" t="str">
        <f>IF(AA513=" "," ",IF(NOT(ISBLANK(X513)),VLOOKUP($D$3+X513,Calcs!$A$110:$C$122,3,TRUE),IF(AA513="Failed",VLOOKUP($D$3,Calcs!$A$110:$C$122,3,TRUE),VLOOKUP($D$3-(IF((Character!$B$9+W513)&gt;($D$3+Y513),(Character!$B$9+W513)-($D$3+Y513),0)),Calcs!$A$110:$C$122,3,TRUE))))</f>
        <v xml:space="preserve"> </v>
      </c>
      <c r="AC513" s="489"/>
      <c r="AD513" s="489" t="str">
        <f>IF(IF(AA513=" "," ",IF(NOT(ISBLANK(X513)),VLOOKUP($D$3+X513,Calcs!$A$110:$B$122,2,TRUE),IF(AA513="Failed",VLOOKUP($D$3,Calcs!$A$110:$B$122,2,TRUE),VLOOKUP($D$3-(IF((Character!$B$9+W513)&gt;($D$3+Y513),(Character!$B$9+W513)-($D$3+Y513),0)),Calcs!$A$110:$B$122,2,TRUE))))=Calcs!$B$120,IF(ISBLANK(AC513)," ",CONCATENATE(AC513+7," Years")),IF(AA513=" "," ",IF(NOT(ISBLANK(X513)),VLOOKUP($D$3+X513,Calcs!$A$110:$B$122,2,TRUE),IF(AA513="Failed",VLOOKUP($D$3,Calcs!$A$110:$B$122,2,TRUE),VLOOKUP($D$3-(IF((Character!$B$9+W513)&gt;($D$3+Y513),(Character!$B$9+W513)-($D$3+Y513),0)),Calcs!$A$110:$B$122,2,TRUE)))))</f>
        <v xml:space="preserve"> </v>
      </c>
      <c r="AE513" s="490"/>
      <c r="AF513" s="879"/>
      <c r="AG513" s="491"/>
    </row>
    <row r="514" spans="1:33" x14ac:dyDescent="0.2">
      <c r="A514" s="415">
        <f t="shared" si="14"/>
        <v>1338</v>
      </c>
      <c r="B514" s="419" t="str">
        <f t="shared" si="15"/>
        <v>Summer</v>
      </c>
      <c r="C514" s="455"/>
      <c r="D514" s="504"/>
      <c r="E514" s="455"/>
      <c r="F514" s="504"/>
      <c r="G514" s="455"/>
      <c r="H514" s="504"/>
      <c r="I514" s="455"/>
      <c r="J514" s="504"/>
      <c r="L514" s="472"/>
      <c r="M514" s="468"/>
      <c r="N514" s="468"/>
      <c r="O514" s="468"/>
      <c r="P514" s="468"/>
      <c r="Q514" s="473"/>
      <c r="R514" s="477" t="str">
        <f>IF(AND(COUNTIF('Start Character'!$I$63:$M$77,"Twilight Prone")=1,NOT(ISERROR(FIND("Magical Botch",M514)))),"Yes",IF(P514&gt;1,"Yes","No"))</f>
        <v>No</v>
      </c>
      <c r="S514" s="501"/>
      <c r="T514" s="478"/>
      <c r="U514" s="501"/>
      <c r="V514" s="479" t="str">
        <f>IF(R514="No","No Twilight",IF(T514="Yes","Uncomprehended Twilight",IF((Character!$B$14+IF(Character!$B$53="Yes",0,Character!$B$53)+IF(Magic!$C$5="Yes",2,0)+ROUNDUP((Magic!$B$30+IF(Magic!$C$30="Yes",3,0))/5,0)+S514)&gt;=($D$3+P514+SUMIF(Character!$I$62:$I$66,"Enigmatic Wisdom",Character!$J$62:$J$66)+Q514+U514),"No Twilight","Twilight")))</f>
        <v>No Twilight</v>
      </c>
      <c r="W514" s="483"/>
      <c r="X514" s="478"/>
      <c r="Y514" s="484"/>
      <c r="Z514" s="478"/>
      <c r="AA514" s="485" t="str">
        <f>IF(V514="Uncomprehended Twilight","Failed",IF(OR(ISBLANK(W514),ISBLANK(Y514))," ",IF(NOT(ISBLANK(X514)),"Failed",IF((W514+Character!$B$9+SUMIF(Character!$I$62:$I$66,"Enigmatic Wisdom",Character!$J$62:$J$66))&gt;=IF(Z514="Yes",0,(Y514+D509)),"Succeeded","Failed"))))</f>
        <v xml:space="preserve"> </v>
      </c>
      <c r="AB514" s="477" t="str">
        <f>IF(AA514=" "," ",IF(NOT(ISBLANK(X514)),VLOOKUP($D$3+X514,Calcs!$A$110:$C$122,3,TRUE),IF(AA514="Failed",VLOOKUP($D$3,Calcs!$A$110:$C$122,3,TRUE),VLOOKUP($D$3-(IF((Character!$B$9+W514)&gt;($D$3+Y514),(Character!$B$9+W514)-($D$3+Y514),0)),Calcs!$A$110:$C$122,3,TRUE))))</f>
        <v xml:space="preserve"> </v>
      </c>
      <c r="AC514" s="489"/>
      <c r="AD514" s="489" t="str">
        <f>IF(IF(AA514=" "," ",IF(NOT(ISBLANK(X514)),VLOOKUP($D$3+X514,Calcs!$A$110:$B$122,2,TRUE),IF(AA514="Failed",VLOOKUP($D$3,Calcs!$A$110:$B$122,2,TRUE),VLOOKUP($D$3-(IF((Character!$B$9+W514)&gt;($D$3+Y514),(Character!$B$9+W514)-($D$3+Y514),0)),Calcs!$A$110:$B$122,2,TRUE))))=Calcs!$B$120,IF(ISBLANK(AC514)," ",CONCATENATE(AC514+7," Years")),IF(AA514=" "," ",IF(NOT(ISBLANK(X514)),VLOOKUP($D$3+X514,Calcs!$A$110:$B$122,2,TRUE),IF(AA514="Failed",VLOOKUP($D$3,Calcs!$A$110:$B$122,2,TRUE),VLOOKUP($D$3-(IF((Character!$B$9+W514)&gt;($D$3+Y514),(Character!$B$9+W514)-($D$3+Y514),0)),Calcs!$A$110:$B$122,2,TRUE)))))</f>
        <v xml:space="preserve"> </v>
      </c>
      <c r="AE514" s="490"/>
      <c r="AF514" s="879"/>
      <c r="AG514" s="491"/>
    </row>
    <row r="515" spans="1:33" x14ac:dyDescent="0.2">
      <c r="A515" s="415">
        <f t="shared" si="14"/>
        <v>1338</v>
      </c>
      <c r="B515" s="419" t="str">
        <f t="shared" si="15"/>
        <v>Autumn</v>
      </c>
      <c r="C515" s="455"/>
      <c r="D515" s="504"/>
      <c r="E515" s="455"/>
      <c r="F515" s="504"/>
      <c r="G515" s="455"/>
      <c r="H515" s="504"/>
      <c r="I515" s="455"/>
      <c r="J515" s="504"/>
      <c r="L515" s="472"/>
      <c r="M515" s="468"/>
      <c r="N515" s="468"/>
      <c r="O515" s="468"/>
      <c r="P515" s="468"/>
      <c r="Q515" s="473"/>
      <c r="R515" s="477" t="str">
        <f>IF(AND(COUNTIF('Start Character'!$I$63:$M$77,"Twilight Prone")=1,NOT(ISERROR(FIND("Magical Botch",M515)))),"Yes",IF(P515&gt;1,"Yes","No"))</f>
        <v>No</v>
      </c>
      <c r="S515" s="501"/>
      <c r="T515" s="478"/>
      <c r="U515" s="501"/>
      <c r="V515" s="479" t="str">
        <f>IF(R515="No","No Twilight",IF(T515="Yes","Uncomprehended Twilight",IF((Character!$B$14+IF(Character!$B$53="Yes",0,Character!$B$53)+IF(Magic!$C$5="Yes",2,0)+ROUNDUP((Magic!$B$30+IF(Magic!$C$30="Yes",3,0))/5,0)+S515)&gt;=($D$3+P515+SUMIF(Character!$I$62:$I$66,"Enigmatic Wisdom",Character!$J$62:$J$66)+Q515+U515),"No Twilight","Twilight")))</f>
        <v>No Twilight</v>
      </c>
      <c r="W515" s="483"/>
      <c r="X515" s="478"/>
      <c r="Y515" s="484"/>
      <c r="Z515" s="478"/>
      <c r="AA515" s="485" t="str">
        <f>IF(V515="Uncomprehended Twilight","Failed",IF(OR(ISBLANK(W515),ISBLANK(Y515))," ",IF(NOT(ISBLANK(X515)),"Failed",IF((W515+Character!$B$9+SUMIF(Character!$I$62:$I$66,"Enigmatic Wisdom",Character!$J$62:$J$66))&gt;=IF(Z515="Yes",0,(Y515+D510)),"Succeeded","Failed"))))</f>
        <v xml:space="preserve"> </v>
      </c>
      <c r="AB515" s="477" t="str">
        <f>IF(AA515=" "," ",IF(NOT(ISBLANK(X515)),VLOOKUP($D$3+X515,Calcs!$A$110:$C$122,3,TRUE),IF(AA515="Failed",VLOOKUP($D$3,Calcs!$A$110:$C$122,3,TRUE),VLOOKUP($D$3-(IF((Character!$B$9+W515)&gt;($D$3+Y515),(Character!$B$9+W515)-($D$3+Y515),0)),Calcs!$A$110:$C$122,3,TRUE))))</f>
        <v xml:space="preserve"> </v>
      </c>
      <c r="AC515" s="489"/>
      <c r="AD515" s="489" t="str">
        <f>IF(IF(AA515=" "," ",IF(NOT(ISBLANK(X515)),VLOOKUP($D$3+X515,Calcs!$A$110:$B$122,2,TRUE),IF(AA515="Failed",VLOOKUP($D$3,Calcs!$A$110:$B$122,2,TRUE),VLOOKUP($D$3-(IF((Character!$B$9+W515)&gt;($D$3+Y515),(Character!$B$9+W515)-($D$3+Y515),0)),Calcs!$A$110:$B$122,2,TRUE))))=Calcs!$B$120,IF(ISBLANK(AC515)," ",CONCATENATE(AC515+7," Years")),IF(AA515=" "," ",IF(NOT(ISBLANK(X515)),VLOOKUP($D$3+X515,Calcs!$A$110:$B$122,2,TRUE),IF(AA515="Failed",VLOOKUP($D$3,Calcs!$A$110:$B$122,2,TRUE),VLOOKUP($D$3-(IF((Character!$B$9+W515)&gt;($D$3+Y515),(Character!$B$9+W515)-($D$3+Y515),0)),Calcs!$A$110:$B$122,2,TRUE)))))</f>
        <v xml:space="preserve"> </v>
      </c>
      <c r="AE515" s="490"/>
      <c r="AF515" s="879"/>
      <c r="AG515" s="491"/>
    </row>
    <row r="516" spans="1:33" x14ac:dyDescent="0.2">
      <c r="A516" s="415">
        <f t="shared" si="14"/>
        <v>1339</v>
      </c>
      <c r="B516" s="419" t="str">
        <f t="shared" si="15"/>
        <v>Winter</v>
      </c>
      <c r="C516" s="455"/>
      <c r="D516" s="504"/>
      <c r="E516" s="455"/>
      <c r="F516" s="504"/>
      <c r="G516" s="455"/>
      <c r="H516" s="504"/>
      <c r="I516" s="455"/>
      <c r="J516" s="504"/>
      <c r="L516" s="472"/>
      <c r="M516" s="468"/>
      <c r="N516" s="468"/>
      <c r="O516" s="468"/>
      <c r="P516" s="468"/>
      <c r="Q516" s="473"/>
      <c r="R516" s="477" t="str">
        <f>IF(AND(COUNTIF('Start Character'!$I$63:$M$77,"Twilight Prone")=1,NOT(ISERROR(FIND("Magical Botch",M516)))),"Yes",IF(P516&gt;1,"Yes","No"))</f>
        <v>No</v>
      </c>
      <c r="S516" s="501"/>
      <c r="T516" s="478"/>
      <c r="U516" s="501"/>
      <c r="V516" s="479" t="str">
        <f>IF(R516="No","No Twilight",IF(T516="Yes","Uncomprehended Twilight",IF((Character!$B$14+IF(Character!$B$53="Yes",0,Character!$B$53)+IF(Magic!$C$5="Yes",2,0)+ROUNDUP((Magic!$B$30+IF(Magic!$C$30="Yes",3,0))/5,0)+S516)&gt;=($D$3+P516+SUMIF(Character!$I$62:$I$66,"Enigmatic Wisdom",Character!$J$62:$J$66)+Q516+U516),"No Twilight","Twilight")))</f>
        <v>No Twilight</v>
      </c>
      <c r="W516" s="483"/>
      <c r="X516" s="478"/>
      <c r="Y516" s="484"/>
      <c r="Z516" s="478"/>
      <c r="AA516" s="485" t="str">
        <f>IF(V516="Uncomprehended Twilight","Failed",IF(OR(ISBLANK(W516),ISBLANK(Y516))," ",IF(NOT(ISBLANK(X516)),"Failed",IF((W516+Character!$B$9+SUMIF(Character!$I$62:$I$66,"Enigmatic Wisdom",Character!$J$62:$J$66))&gt;=IF(Z516="Yes",0,(Y516+D511)),"Succeeded","Failed"))))</f>
        <v xml:space="preserve"> </v>
      </c>
      <c r="AB516" s="477" t="str">
        <f>IF(AA516=" "," ",IF(NOT(ISBLANK(X516)),VLOOKUP($D$3+X516,Calcs!$A$110:$C$122,3,TRUE),IF(AA516="Failed",VLOOKUP($D$3,Calcs!$A$110:$C$122,3,TRUE),VLOOKUP($D$3-(IF((Character!$B$9+W516)&gt;($D$3+Y516),(Character!$B$9+W516)-($D$3+Y516),0)),Calcs!$A$110:$C$122,3,TRUE))))</f>
        <v xml:space="preserve"> </v>
      </c>
      <c r="AC516" s="489"/>
      <c r="AD516" s="489" t="str">
        <f>IF(IF(AA516=" "," ",IF(NOT(ISBLANK(X516)),VLOOKUP($D$3+X516,Calcs!$A$110:$B$122,2,TRUE),IF(AA516="Failed",VLOOKUP($D$3,Calcs!$A$110:$B$122,2,TRUE),VLOOKUP($D$3-(IF((Character!$B$9+W516)&gt;($D$3+Y516),(Character!$B$9+W516)-($D$3+Y516),0)),Calcs!$A$110:$B$122,2,TRUE))))=Calcs!$B$120,IF(ISBLANK(AC516)," ",CONCATENATE(AC516+7," Years")),IF(AA516=" "," ",IF(NOT(ISBLANK(X516)),VLOOKUP($D$3+X516,Calcs!$A$110:$B$122,2,TRUE),IF(AA516="Failed",VLOOKUP($D$3,Calcs!$A$110:$B$122,2,TRUE),VLOOKUP($D$3-(IF((Character!$B$9+W516)&gt;($D$3+Y516),(Character!$B$9+W516)-($D$3+Y516),0)),Calcs!$A$110:$B$122,2,TRUE)))))</f>
        <v xml:space="preserve"> </v>
      </c>
      <c r="AE516" s="490"/>
      <c r="AF516" s="879"/>
      <c r="AG516" s="491"/>
    </row>
    <row r="517" spans="1:33" x14ac:dyDescent="0.2">
      <c r="A517" s="415">
        <f t="shared" si="14"/>
        <v>1339</v>
      </c>
      <c r="B517" s="419" t="str">
        <f t="shared" si="15"/>
        <v>Spring</v>
      </c>
      <c r="C517" s="455"/>
      <c r="D517" s="504"/>
      <c r="E517" s="455"/>
      <c r="F517" s="504"/>
      <c r="G517" s="455"/>
      <c r="H517" s="504"/>
      <c r="I517" s="455"/>
      <c r="J517" s="504"/>
      <c r="L517" s="472"/>
      <c r="M517" s="468"/>
      <c r="N517" s="468"/>
      <c r="O517" s="468"/>
      <c r="P517" s="468"/>
      <c r="Q517" s="473"/>
      <c r="R517" s="477" t="str">
        <f>IF(AND(COUNTIF('Start Character'!$I$63:$M$77,"Twilight Prone")=1,NOT(ISERROR(FIND("Magical Botch",M517)))),"Yes",IF(P517&gt;1,"Yes","No"))</f>
        <v>No</v>
      </c>
      <c r="S517" s="501"/>
      <c r="T517" s="478"/>
      <c r="U517" s="501"/>
      <c r="V517" s="479" t="str">
        <f>IF(R517="No","No Twilight",IF(T517="Yes","Uncomprehended Twilight",IF((Character!$B$14+IF(Character!$B$53="Yes",0,Character!$B$53)+IF(Magic!$C$5="Yes",2,0)+ROUNDUP((Magic!$B$30+IF(Magic!$C$30="Yes",3,0))/5,0)+S517)&gt;=($D$3+P517+SUMIF(Character!$I$62:$I$66,"Enigmatic Wisdom",Character!$J$62:$J$66)+Q517+U517),"No Twilight","Twilight")))</f>
        <v>No Twilight</v>
      </c>
      <c r="W517" s="483"/>
      <c r="X517" s="478"/>
      <c r="Y517" s="484"/>
      <c r="Z517" s="478"/>
      <c r="AA517" s="485" t="str">
        <f>IF(V517="Uncomprehended Twilight","Failed",IF(OR(ISBLANK(W517),ISBLANK(Y517))," ",IF(NOT(ISBLANK(X517)),"Failed",IF((W517+Character!$B$9+SUMIF(Character!$I$62:$I$66,"Enigmatic Wisdom",Character!$J$62:$J$66))&gt;=IF(Z517="Yes",0,(Y517+D512)),"Succeeded","Failed"))))</f>
        <v xml:space="preserve"> </v>
      </c>
      <c r="AB517" s="477" t="str">
        <f>IF(AA517=" "," ",IF(NOT(ISBLANK(X517)),VLOOKUP($D$3+X517,Calcs!$A$110:$C$122,3,TRUE),IF(AA517="Failed",VLOOKUP($D$3,Calcs!$A$110:$C$122,3,TRUE),VLOOKUP($D$3-(IF((Character!$B$9+W517)&gt;($D$3+Y517),(Character!$B$9+W517)-($D$3+Y517),0)),Calcs!$A$110:$C$122,3,TRUE))))</f>
        <v xml:space="preserve"> </v>
      </c>
      <c r="AC517" s="489"/>
      <c r="AD517" s="489" t="str">
        <f>IF(IF(AA517=" "," ",IF(NOT(ISBLANK(X517)),VLOOKUP($D$3+X517,Calcs!$A$110:$B$122,2,TRUE),IF(AA517="Failed",VLOOKUP($D$3,Calcs!$A$110:$B$122,2,TRUE),VLOOKUP($D$3-(IF((Character!$B$9+W517)&gt;($D$3+Y517),(Character!$B$9+W517)-($D$3+Y517),0)),Calcs!$A$110:$B$122,2,TRUE))))=Calcs!$B$120,IF(ISBLANK(AC517)," ",CONCATENATE(AC517+7," Years")),IF(AA517=" "," ",IF(NOT(ISBLANK(X517)),VLOOKUP($D$3+X517,Calcs!$A$110:$B$122,2,TRUE),IF(AA517="Failed",VLOOKUP($D$3,Calcs!$A$110:$B$122,2,TRUE),VLOOKUP($D$3-(IF((Character!$B$9+W517)&gt;($D$3+Y517),(Character!$B$9+W517)-($D$3+Y517),0)),Calcs!$A$110:$B$122,2,TRUE)))))</f>
        <v xml:space="preserve"> </v>
      </c>
      <c r="AE517" s="490"/>
      <c r="AF517" s="879"/>
      <c r="AG517" s="491"/>
    </row>
    <row r="518" spans="1:33" x14ac:dyDescent="0.2">
      <c r="A518" s="415">
        <f t="shared" si="14"/>
        <v>1339</v>
      </c>
      <c r="B518" s="419" t="str">
        <f t="shared" si="15"/>
        <v>Summer</v>
      </c>
      <c r="C518" s="455"/>
      <c r="D518" s="504"/>
      <c r="E518" s="455"/>
      <c r="F518" s="504"/>
      <c r="G518" s="455"/>
      <c r="H518" s="504"/>
      <c r="I518" s="455"/>
      <c r="J518" s="504"/>
      <c r="L518" s="472"/>
      <c r="M518" s="468"/>
      <c r="N518" s="468"/>
      <c r="O518" s="468"/>
      <c r="P518" s="468"/>
      <c r="Q518" s="473"/>
      <c r="R518" s="477" t="str">
        <f>IF(AND(COUNTIF('Start Character'!$I$63:$M$77,"Twilight Prone")=1,NOT(ISERROR(FIND("Magical Botch",M518)))),"Yes",IF(P518&gt;1,"Yes","No"))</f>
        <v>No</v>
      </c>
      <c r="S518" s="501"/>
      <c r="T518" s="478"/>
      <c r="U518" s="501"/>
      <c r="V518" s="479" t="str">
        <f>IF(R518="No","No Twilight",IF(T518="Yes","Uncomprehended Twilight",IF((Character!$B$14+IF(Character!$B$53="Yes",0,Character!$B$53)+IF(Magic!$C$5="Yes",2,0)+ROUNDUP((Magic!$B$30+IF(Magic!$C$30="Yes",3,0))/5,0)+S518)&gt;=($D$3+P518+SUMIF(Character!$I$62:$I$66,"Enigmatic Wisdom",Character!$J$62:$J$66)+Q518+U518),"No Twilight","Twilight")))</f>
        <v>No Twilight</v>
      </c>
      <c r="W518" s="483"/>
      <c r="X518" s="478"/>
      <c r="Y518" s="484"/>
      <c r="Z518" s="478"/>
      <c r="AA518" s="485" t="str">
        <f>IF(V518="Uncomprehended Twilight","Failed",IF(OR(ISBLANK(W518),ISBLANK(Y518))," ",IF(NOT(ISBLANK(X518)),"Failed",IF((W518+Character!$B$9+SUMIF(Character!$I$62:$I$66,"Enigmatic Wisdom",Character!$J$62:$J$66))&gt;=IF(Z518="Yes",0,(Y518+D513)),"Succeeded","Failed"))))</f>
        <v xml:space="preserve"> </v>
      </c>
      <c r="AB518" s="477" t="str">
        <f>IF(AA518=" "," ",IF(NOT(ISBLANK(X518)),VLOOKUP($D$3+X518,Calcs!$A$110:$C$122,3,TRUE),IF(AA518="Failed",VLOOKUP($D$3,Calcs!$A$110:$C$122,3,TRUE),VLOOKUP($D$3-(IF((Character!$B$9+W518)&gt;($D$3+Y518),(Character!$B$9+W518)-($D$3+Y518),0)),Calcs!$A$110:$C$122,3,TRUE))))</f>
        <v xml:space="preserve"> </v>
      </c>
      <c r="AC518" s="489"/>
      <c r="AD518" s="489" t="str">
        <f>IF(IF(AA518=" "," ",IF(NOT(ISBLANK(X518)),VLOOKUP($D$3+X518,Calcs!$A$110:$B$122,2,TRUE),IF(AA518="Failed",VLOOKUP($D$3,Calcs!$A$110:$B$122,2,TRUE),VLOOKUP($D$3-(IF((Character!$B$9+W518)&gt;($D$3+Y518),(Character!$B$9+W518)-($D$3+Y518),0)),Calcs!$A$110:$B$122,2,TRUE))))=Calcs!$B$120,IF(ISBLANK(AC518)," ",CONCATENATE(AC518+7," Years")),IF(AA518=" "," ",IF(NOT(ISBLANK(X518)),VLOOKUP($D$3+X518,Calcs!$A$110:$B$122,2,TRUE),IF(AA518="Failed",VLOOKUP($D$3,Calcs!$A$110:$B$122,2,TRUE),VLOOKUP($D$3-(IF((Character!$B$9+W518)&gt;($D$3+Y518),(Character!$B$9+W518)-($D$3+Y518),0)),Calcs!$A$110:$B$122,2,TRUE)))))</f>
        <v xml:space="preserve"> </v>
      </c>
      <c r="AE518" s="490"/>
      <c r="AF518" s="879"/>
      <c r="AG518" s="491"/>
    </row>
    <row r="519" spans="1:33" x14ac:dyDescent="0.2">
      <c r="A519" s="415">
        <f t="shared" si="14"/>
        <v>1339</v>
      </c>
      <c r="B519" s="419" t="str">
        <f t="shared" si="15"/>
        <v>Autumn</v>
      </c>
      <c r="C519" s="455"/>
      <c r="D519" s="504"/>
      <c r="E519" s="455"/>
      <c r="F519" s="504"/>
      <c r="G519" s="455"/>
      <c r="H519" s="504"/>
      <c r="I519" s="455"/>
      <c r="J519" s="504"/>
      <c r="L519" s="472"/>
      <c r="M519" s="468"/>
      <c r="N519" s="468"/>
      <c r="O519" s="468"/>
      <c r="P519" s="468"/>
      <c r="Q519" s="473"/>
      <c r="R519" s="477" t="str">
        <f>IF(AND(COUNTIF('Start Character'!$I$63:$M$77,"Twilight Prone")=1,NOT(ISERROR(FIND("Magical Botch",M519)))),"Yes",IF(P519&gt;1,"Yes","No"))</f>
        <v>No</v>
      </c>
      <c r="S519" s="501"/>
      <c r="T519" s="478"/>
      <c r="U519" s="501"/>
      <c r="V519" s="479" t="str">
        <f>IF(R519="No","No Twilight",IF(T519="Yes","Uncomprehended Twilight",IF((Character!$B$14+IF(Character!$B$53="Yes",0,Character!$B$53)+IF(Magic!$C$5="Yes",2,0)+ROUNDUP((Magic!$B$30+IF(Magic!$C$30="Yes",3,0))/5,0)+S519)&gt;=($D$3+P519+SUMIF(Character!$I$62:$I$66,"Enigmatic Wisdom",Character!$J$62:$J$66)+Q519+U519),"No Twilight","Twilight")))</f>
        <v>No Twilight</v>
      </c>
      <c r="W519" s="483"/>
      <c r="X519" s="478"/>
      <c r="Y519" s="484"/>
      <c r="Z519" s="478"/>
      <c r="AA519" s="485" t="str">
        <f>IF(V519="Uncomprehended Twilight","Failed",IF(OR(ISBLANK(W519),ISBLANK(Y519))," ",IF(NOT(ISBLANK(X519)),"Failed",IF((W519+Character!$B$9+SUMIF(Character!$I$62:$I$66,"Enigmatic Wisdom",Character!$J$62:$J$66))&gt;=IF(Z519="Yes",0,(Y519+D514)),"Succeeded","Failed"))))</f>
        <v xml:space="preserve"> </v>
      </c>
      <c r="AB519" s="477" t="str">
        <f>IF(AA519=" "," ",IF(NOT(ISBLANK(X519)),VLOOKUP($D$3+X519,Calcs!$A$110:$C$122,3,TRUE),IF(AA519="Failed",VLOOKUP($D$3,Calcs!$A$110:$C$122,3,TRUE),VLOOKUP($D$3-(IF((Character!$B$9+W519)&gt;($D$3+Y519),(Character!$B$9+W519)-($D$3+Y519),0)),Calcs!$A$110:$C$122,3,TRUE))))</f>
        <v xml:space="preserve"> </v>
      </c>
      <c r="AC519" s="489"/>
      <c r="AD519" s="489" t="str">
        <f>IF(IF(AA519=" "," ",IF(NOT(ISBLANK(X519)),VLOOKUP($D$3+X519,Calcs!$A$110:$B$122,2,TRUE),IF(AA519="Failed",VLOOKUP($D$3,Calcs!$A$110:$B$122,2,TRUE),VLOOKUP($D$3-(IF((Character!$B$9+W519)&gt;($D$3+Y519),(Character!$B$9+W519)-($D$3+Y519),0)),Calcs!$A$110:$B$122,2,TRUE))))=Calcs!$B$120,IF(ISBLANK(AC519)," ",CONCATENATE(AC519+7," Years")),IF(AA519=" "," ",IF(NOT(ISBLANK(X519)),VLOOKUP($D$3+X519,Calcs!$A$110:$B$122,2,TRUE),IF(AA519="Failed",VLOOKUP($D$3,Calcs!$A$110:$B$122,2,TRUE),VLOOKUP($D$3-(IF((Character!$B$9+W519)&gt;($D$3+Y519),(Character!$B$9+W519)-($D$3+Y519),0)),Calcs!$A$110:$B$122,2,TRUE)))))</f>
        <v xml:space="preserve"> </v>
      </c>
      <c r="AE519" s="490"/>
      <c r="AF519" s="879"/>
      <c r="AG519" s="491"/>
    </row>
    <row r="520" spans="1:33" x14ac:dyDescent="0.2">
      <c r="A520" s="415">
        <f t="shared" si="14"/>
        <v>1340</v>
      </c>
      <c r="B520" s="419" t="str">
        <f t="shared" si="15"/>
        <v>Winter</v>
      </c>
      <c r="C520" s="455"/>
      <c r="D520" s="504"/>
      <c r="E520" s="455"/>
      <c r="F520" s="504"/>
      <c r="G520" s="455"/>
      <c r="H520" s="504"/>
      <c r="I520" s="455"/>
      <c r="J520" s="504"/>
      <c r="L520" s="472"/>
      <c r="M520" s="468"/>
      <c r="N520" s="468"/>
      <c r="O520" s="468"/>
      <c r="P520" s="468"/>
      <c r="Q520" s="473"/>
      <c r="R520" s="477" t="str">
        <f>IF(AND(COUNTIF('Start Character'!$I$63:$M$77,"Twilight Prone")=1,NOT(ISERROR(FIND("Magical Botch",M520)))),"Yes",IF(P520&gt;1,"Yes","No"))</f>
        <v>No</v>
      </c>
      <c r="S520" s="501"/>
      <c r="T520" s="478"/>
      <c r="U520" s="501"/>
      <c r="V520" s="479" t="str">
        <f>IF(R520="No","No Twilight",IF(T520="Yes","Uncomprehended Twilight",IF((Character!$B$14+IF(Character!$B$53="Yes",0,Character!$B$53)+IF(Magic!$C$5="Yes",2,0)+ROUNDUP((Magic!$B$30+IF(Magic!$C$30="Yes",3,0))/5,0)+S520)&gt;=($D$3+P520+SUMIF(Character!$I$62:$I$66,"Enigmatic Wisdom",Character!$J$62:$J$66)+Q520+U520),"No Twilight","Twilight")))</f>
        <v>No Twilight</v>
      </c>
      <c r="W520" s="483"/>
      <c r="X520" s="478"/>
      <c r="Y520" s="484"/>
      <c r="Z520" s="478"/>
      <c r="AA520" s="485" t="str">
        <f>IF(V520="Uncomprehended Twilight","Failed",IF(OR(ISBLANK(W520),ISBLANK(Y520))," ",IF(NOT(ISBLANK(X520)),"Failed",IF((W520+Character!$B$9+SUMIF(Character!$I$62:$I$66,"Enigmatic Wisdom",Character!$J$62:$J$66))&gt;=IF(Z520="Yes",0,(Y520+D515)),"Succeeded","Failed"))))</f>
        <v xml:space="preserve"> </v>
      </c>
      <c r="AB520" s="477" t="str">
        <f>IF(AA520=" "," ",IF(NOT(ISBLANK(X520)),VLOOKUP($D$3+X520,Calcs!$A$110:$C$122,3,TRUE),IF(AA520="Failed",VLOOKUP($D$3,Calcs!$A$110:$C$122,3,TRUE),VLOOKUP($D$3-(IF((Character!$B$9+W520)&gt;($D$3+Y520),(Character!$B$9+W520)-($D$3+Y520),0)),Calcs!$A$110:$C$122,3,TRUE))))</f>
        <v xml:space="preserve"> </v>
      </c>
      <c r="AC520" s="489"/>
      <c r="AD520" s="489" t="str">
        <f>IF(IF(AA520=" "," ",IF(NOT(ISBLANK(X520)),VLOOKUP($D$3+X520,Calcs!$A$110:$B$122,2,TRUE),IF(AA520="Failed",VLOOKUP($D$3,Calcs!$A$110:$B$122,2,TRUE),VLOOKUP($D$3-(IF((Character!$B$9+W520)&gt;($D$3+Y520),(Character!$B$9+W520)-($D$3+Y520),0)),Calcs!$A$110:$B$122,2,TRUE))))=Calcs!$B$120,IF(ISBLANK(AC520)," ",CONCATENATE(AC520+7," Years")),IF(AA520=" "," ",IF(NOT(ISBLANK(X520)),VLOOKUP($D$3+X520,Calcs!$A$110:$B$122,2,TRUE),IF(AA520="Failed",VLOOKUP($D$3,Calcs!$A$110:$B$122,2,TRUE),VLOOKUP($D$3-(IF((Character!$B$9+W520)&gt;($D$3+Y520),(Character!$B$9+W520)-($D$3+Y520),0)),Calcs!$A$110:$B$122,2,TRUE)))))</f>
        <v xml:space="preserve"> </v>
      </c>
      <c r="AE520" s="490"/>
      <c r="AF520" s="879"/>
      <c r="AG520" s="491"/>
    </row>
    <row r="521" spans="1:33" x14ac:dyDescent="0.2">
      <c r="A521" s="415">
        <f t="shared" si="14"/>
        <v>1340</v>
      </c>
      <c r="B521" s="419" t="str">
        <f t="shared" si="15"/>
        <v>Spring</v>
      </c>
      <c r="C521" s="455"/>
      <c r="D521" s="504"/>
      <c r="E521" s="455"/>
      <c r="F521" s="504"/>
      <c r="G521" s="455"/>
      <c r="H521" s="504"/>
      <c r="I521" s="455"/>
      <c r="J521" s="504"/>
      <c r="L521" s="472"/>
      <c r="M521" s="468"/>
      <c r="N521" s="468"/>
      <c r="O521" s="468"/>
      <c r="P521" s="468"/>
      <c r="Q521" s="473"/>
      <c r="R521" s="477" t="str">
        <f>IF(AND(COUNTIF('Start Character'!$I$63:$M$77,"Twilight Prone")=1,NOT(ISERROR(FIND("Magical Botch",M521)))),"Yes",IF(P521&gt;1,"Yes","No"))</f>
        <v>No</v>
      </c>
      <c r="S521" s="501"/>
      <c r="T521" s="478"/>
      <c r="U521" s="501"/>
      <c r="V521" s="479" t="str">
        <f>IF(R521="No","No Twilight",IF(T521="Yes","Uncomprehended Twilight",IF((Character!$B$14+IF(Character!$B$53="Yes",0,Character!$B$53)+IF(Magic!$C$5="Yes",2,0)+ROUNDUP((Magic!$B$30+IF(Magic!$C$30="Yes",3,0))/5,0)+S521)&gt;=($D$3+P521+SUMIF(Character!$I$62:$I$66,"Enigmatic Wisdom",Character!$J$62:$J$66)+Q521+U521),"No Twilight","Twilight")))</f>
        <v>No Twilight</v>
      </c>
      <c r="W521" s="483"/>
      <c r="X521" s="478"/>
      <c r="Y521" s="484"/>
      <c r="Z521" s="478"/>
      <c r="AA521" s="485" t="str">
        <f>IF(V521="Uncomprehended Twilight","Failed",IF(OR(ISBLANK(W521),ISBLANK(Y521))," ",IF(NOT(ISBLANK(X521)),"Failed",IF((W521+Character!$B$9+SUMIF(Character!$I$62:$I$66,"Enigmatic Wisdom",Character!$J$62:$J$66))&gt;=IF(Z521="Yes",0,(Y521+D516)),"Succeeded","Failed"))))</f>
        <v xml:space="preserve"> </v>
      </c>
      <c r="AB521" s="477" t="str">
        <f>IF(AA521=" "," ",IF(NOT(ISBLANK(X521)),VLOOKUP($D$3+X521,Calcs!$A$110:$C$122,3,TRUE),IF(AA521="Failed",VLOOKUP($D$3,Calcs!$A$110:$C$122,3,TRUE),VLOOKUP($D$3-(IF((Character!$B$9+W521)&gt;($D$3+Y521),(Character!$B$9+W521)-($D$3+Y521),0)),Calcs!$A$110:$C$122,3,TRUE))))</f>
        <v xml:space="preserve"> </v>
      </c>
      <c r="AC521" s="489"/>
      <c r="AD521" s="489" t="str">
        <f>IF(IF(AA521=" "," ",IF(NOT(ISBLANK(X521)),VLOOKUP($D$3+X521,Calcs!$A$110:$B$122,2,TRUE),IF(AA521="Failed",VLOOKUP($D$3,Calcs!$A$110:$B$122,2,TRUE),VLOOKUP($D$3-(IF((Character!$B$9+W521)&gt;($D$3+Y521),(Character!$B$9+W521)-($D$3+Y521),0)),Calcs!$A$110:$B$122,2,TRUE))))=Calcs!$B$120,IF(ISBLANK(AC521)," ",CONCATENATE(AC521+7," Years")),IF(AA521=" "," ",IF(NOT(ISBLANK(X521)),VLOOKUP($D$3+X521,Calcs!$A$110:$B$122,2,TRUE),IF(AA521="Failed",VLOOKUP($D$3,Calcs!$A$110:$B$122,2,TRUE),VLOOKUP($D$3-(IF((Character!$B$9+W521)&gt;($D$3+Y521),(Character!$B$9+W521)-($D$3+Y521),0)),Calcs!$A$110:$B$122,2,TRUE)))))</f>
        <v xml:space="preserve"> </v>
      </c>
      <c r="AE521" s="490"/>
      <c r="AF521" s="879"/>
      <c r="AG521" s="491"/>
    </row>
    <row r="522" spans="1:33" x14ac:dyDescent="0.2">
      <c r="A522" s="415">
        <f t="shared" si="14"/>
        <v>1340</v>
      </c>
      <c r="B522" s="419" t="str">
        <f t="shared" si="15"/>
        <v>Summer</v>
      </c>
      <c r="C522" s="455"/>
      <c r="D522" s="504"/>
      <c r="E522" s="455"/>
      <c r="F522" s="504"/>
      <c r="G522" s="455"/>
      <c r="H522" s="504"/>
      <c r="I522" s="455"/>
      <c r="J522" s="504"/>
      <c r="L522" s="472"/>
      <c r="M522" s="468"/>
      <c r="N522" s="468"/>
      <c r="O522" s="468"/>
      <c r="P522" s="468"/>
      <c r="Q522" s="473"/>
      <c r="R522" s="477" t="str">
        <f>IF(AND(COUNTIF('Start Character'!$I$63:$M$77,"Twilight Prone")=1,NOT(ISERROR(FIND("Magical Botch",M522)))),"Yes",IF(P522&gt;1,"Yes","No"))</f>
        <v>No</v>
      </c>
      <c r="S522" s="501"/>
      <c r="T522" s="478"/>
      <c r="U522" s="501"/>
      <c r="V522" s="479" t="str">
        <f>IF(R522="No","No Twilight",IF(T522="Yes","Uncomprehended Twilight",IF((Character!$B$14+IF(Character!$B$53="Yes",0,Character!$B$53)+IF(Magic!$C$5="Yes",2,0)+ROUNDUP((Magic!$B$30+IF(Magic!$C$30="Yes",3,0))/5,0)+S522)&gt;=($D$3+P522+SUMIF(Character!$I$62:$I$66,"Enigmatic Wisdom",Character!$J$62:$J$66)+Q522+U522),"No Twilight","Twilight")))</f>
        <v>No Twilight</v>
      </c>
      <c r="W522" s="483"/>
      <c r="X522" s="478"/>
      <c r="Y522" s="484"/>
      <c r="Z522" s="478"/>
      <c r="AA522" s="485" t="str">
        <f>IF(V522="Uncomprehended Twilight","Failed",IF(OR(ISBLANK(W522),ISBLANK(Y522))," ",IF(NOT(ISBLANK(X522)),"Failed",IF((W522+Character!$B$9+SUMIF(Character!$I$62:$I$66,"Enigmatic Wisdom",Character!$J$62:$J$66))&gt;=IF(Z522="Yes",0,(Y522+D517)),"Succeeded","Failed"))))</f>
        <v xml:space="preserve"> </v>
      </c>
      <c r="AB522" s="477" t="str">
        <f>IF(AA522=" "," ",IF(NOT(ISBLANK(X522)),VLOOKUP($D$3+X522,Calcs!$A$110:$C$122,3,TRUE),IF(AA522="Failed",VLOOKUP($D$3,Calcs!$A$110:$C$122,3,TRUE),VLOOKUP($D$3-(IF((Character!$B$9+W522)&gt;($D$3+Y522),(Character!$B$9+W522)-($D$3+Y522),0)),Calcs!$A$110:$C$122,3,TRUE))))</f>
        <v xml:space="preserve"> </v>
      </c>
      <c r="AC522" s="489"/>
      <c r="AD522" s="489" t="str">
        <f>IF(IF(AA522=" "," ",IF(NOT(ISBLANK(X522)),VLOOKUP($D$3+X522,Calcs!$A$110:$B$122,2,TRUE),IF(AA522="Failed",VLOOKUP($D$3,Calcs!$A$110:$B$122,2,TRUE),VLOOKUP($D$3-(IF((Character!$B$9+W522)&gt;($D$3+Y522),(Character!$B$9+W522)-($D$3+Y522),0)),Calcs!$A$110:$B$122,2,TRUE))))=Calcs!$B$120,IF(ISBLANK(AC522)," ",CONCATENATE(AC522+7," Years")),IF(AA522=" "," ",IF(NOT(ISBLANK(X522)),VLOOKUP($D$3+X522,Calcs!$A$110:$B$122,2,TRUE),IF(AA522="Failed",VLOOKUP($D$3,Calcs!$A$110:$B$122,2,TRUE),VLOOKUP($D$3-(IF((Character!$B$9+W522)&gt;($D$3+Y522),(Character!$B$9+W522)-($D$3+Y522),0)),Calcs!$A$110:$B$122,2,TRUE)))))</f>
        <v xml:space="preserve"> </v>
      </c>
      <c r="AE522" s="490"/>
      <c r="AF522" s="879"/>
      <c r="AG522" s="491"/>
    </row>
    <row r="523" spans="1:33" x14ac:dyDescent="0.2">
      <c r="A523" s="415">
        <f t="shared" si="14"/>
        <v>1340</v>
      </c>
      <c r="B523" s="419" t="str">
        <f t="shared" si="15"/>
        <v>Autumn</v>
      </c>
      <c r="C523" s="455"/>
      <c r="D523" s="504"/>
      <c r="E523" s="455"/>
      <c r="F523" s="504"/>
      <c r="G523" s="455"/>
      <c r="H523" s="504"/>
      <c r="I523" s="455"/>
      <c r="J523" s="504"/>
      <c r="L523" s="472"/>
      <c r="M523" s="468"/>
      <c r="N523" s="468"/>
      <c r="O523" s="468"/>
      <c r="P523" s="468"/>
      <c r="Q523" s="473"/>
      <c r="R523" s="477" t="str">
        <f>IF(AND(COUNTIF('Start Character'!$I$63:$M$77,"Twilight Prone")=1,NOT(ISERROR(FIND("Magical Botch",M523)))),"Yes",IF(P523&gt;1,"Yes","No"))</f>
        <v>No</v>
      </c>
      <c r="S523" s="501"/>
      <c r="T523" s="478"/>
      <c r="U523" s="501"/>
      <c r="V523" s="479" t="str">
        <f>IF(R523="No","No Twilight",IF(T523="Yes","Uncomprehended Twilight",IF((Character!$B$14+IF(Character!$B$53="Yes",0,Character!$B$53)+IF(Magic!$C$5="Yes",2,0)+ROUNDUP((Magic!$B$30+IF(Magic!$C$30="Yes",3,0))/5,0)+S523)&gt;=($D$3+P523+SUMIF(Character!$I$62:$I$66,"Enigmatic Wisdom",Character!$J$62:$J$66)+Q523+U523),"No Twilight","Twilight")))</f>
        <v>No Twilight</v>
      </c>
      <c r="W523" s="483"/>
      <c r="X523" s="478"/>
      <c r="Y523" s="484"/>
      <c r="Z523" s="478"/>
      <c r="AA523" s="485" t="str">
        <f>IF(V523="Uncomprehended Twilight","Failed",IF(OR(ISBLANK(W523),ISBLANK(Y523))," ",IF(NOT(ISBLANK(X523)),"Failed",IF((W523+Character!$B$9+SUMIF(Character!$I$62:$I$66,"Enigmatic Wisdom",Character!$J$62:$J$66))&gt;=IF(Z523="Yes",0,(Y523+D518)),"Succeeded","Failed"))))</f>
        <v xml:space="preserve"> </v>
      </c>
      <c r="AB523" s="477" t="str">
        <f>IF(AA523=" "," ",IF(NOT(ISBLANK(X523)),VLOOKUP($D$3+X523,Calcs!$A$110:$C$122,3,TRUE),IF(AA523="Failed",VLOOKUP($D$3,Calcs!$A$110:$C$122,3,TRUE),VLOOKUP($D$3-(IF((Character!$B$9+W523)&gt;($D$3+Y523),(Character!$B$9+W523)-($D$3+Y523),0)),Calcs!$A$110:$C$122,3,TRUE))))</f>
        <v xml:space="preserve"> </v>
      </c>
      <c r="AC523" s="489"/>
      <c r="AD523" s="489" t="str">
        <f>IF(IF(AA523=" "," ",IF(NOT(ISBLANK(X523)),VLOOKUP($D$3+X523,Calcs!$A$110:$B$122,2,TRUE),IF(AA523="Failed",VLOOKUP($D$3,Calcs!$A$110:$B$122,2,TRUE),VLOOKUP($D$3-(IF((Character!$B$9+W523)&gt;($D$3+Y523),(Character!$B$9+W523)-($D$3+Y523),0)),Calcs!$A$110:$B$122,2,TRUE))))=Calcs!$B$120,IF(ISBLANK(AC523)," ",CONCATENATE(AC523+7," Years")),IF(AA523=" "," ",IF(NOT(ISBLANK(X523)),VLOOKUP($D$3+X523,Calcs!$A$110:$B$122,2,TRUE),IF(AA523="Failed",VLOOKUP($D$3,Calcs!$A$110:$B$122,2,TRUE),VLOOKUP($D$3-(IF((Character!$B$9+W523)&gt;($D$3+Y523),(Character!$B$9+W523)-($D$3+Y523),0)),Calcs!$A$110:$B$122,2,TRUE)))))</f>
        <v xml:space="preserve"> </v>
      </c>
      <c r="AE523" s="490"/>
      <c r="AF523" s="879"/>
      <c r="AG523" s="491"/>
    </row>
    <row r="524" spans="1:33" x14ac:dyDescent="0.2">
      <c r="A524" s="415">
        <f t="shared" si="14"/>
        <v>1341</v>
      </c>
      <c r="B524" s="419" t="str">
        <f t="shared" si="15"/>
        <v>Winter</v>
      </c>
      <c r="C524" s="455"/>
      <c r="D524" s="504"/>
      <c r="E524" s="455"/>
      <c r="F524" s="504"/>
      <c r="G524" s="455"/>
      <c r="H524" s="504"/>
      <c r="I524" s="455"/>
      <c r="J524" s="504"/>
      <c r="L524" s="472"/>
      <c r="M524" s="468"/>
      <c r="N524" s="468"/>
      <c r="O524" s="468"/>
      <c r="P524" s="468"/>
      <c r="Q524" s="473"/>
      <c r="R524" s="477" t="str">
        <f>IF(AND(COUNTIF('Start Character'!$I$63:$M$77,"Twilight Prone")=1,NOT(ISERROR(FIND("Magical Botch",M524)))),"Yes",IF(P524&gt;1,"Yes","No"))</f>
        <v>No</v>
      </c>
      <c r="S524" s="501"/>
      <c r="T524" s="478"/>
      <c r="U524" s="501"/>
      <c r="V524" s="479" t="str">
        <f>IF(R524="No","No Twilight",IF(T524="Yes","Uncomprehended Twilight",IF((Character!$B$14+IF(Character!$B$53="Yes",0,Character!$B$53)+IF(Magic!$C$5="Yes",2,0)+ROUNDUP((Magic!$B$30+IF(Magic!$C$30="Yes",3,0))/5,0)+S524)&gt;=($D$3+P524+SUMIF(Character!$I$62:$I$66,"Enigmatic Wisdom",Character!$J$62:$J$66)+Q524+U524),"No Twilight","Twilight")))</f>
        <v>No Twilight</v>
      </c>
      <c r="W524" s="483"/>
      <c r="X524" s="478"/>
      <c r="Y524" s="484"/>
      <c r="Z524" s="478"/>
      <c r="AA524" s="485" t="str">
        <f>IF(V524="Uncomprehended Twilight","Failed",IF(OR(ISBLANK(W524),ISBLANK(Y524))," ",IF(NOT(ISBLANK(X524)),"Failed",IF((W524+Character!$B$9+SUMIF(Character!$I$62:$I$66,"Enigmatic Wisdom",Character!$J$62:$J$66))&gt;=IF(Z524="Yes",0,(Y524+D519)),"Succeeded","Failed"))))</f>
        <v xml:space="preserve"> </v>
      </c>
      <c r="AB524" s="477" t="str">
        <f>IF(AA524=" "," ",IF(NOT(ISBLANK(X524)),VLOOKUP($D$3+X524,Calcs!$A$110:$C$122,3,TRUE),IF(AA524="Failed",VLOOKUP($D$3,Calcs!$A$110:$C$122,3,TRUE),VLOOKUP($D$3-(IF((Character!$B$9+W524)&gt;($D$3+Y524),(Character!$B$9+W524)-($D$3+Y524),0)),Calcs!$A$110:$C$122,3,TRUE))))</f>
        <v xml:space="preserve"> </v>
      </c>
      <c r="AC524" s="489"/>
      <c r="AD524" s="489" t="str">
        <f>IF(IF(AA524=" "," ",IF(NOT(ISBLANK(X524)),VLOOKUP($D$3+X524,Calcs!$A$110:$B$122,2,TRUE),IF(AA524="Failed",VLOOKUP($D$3,Calcs!$A$110:$B$122,2,TRUE),VLOOKUP($D$3-(IF((Character!$B$9+W524)&gt;($D$3+Y524),(Character!$B$9+W524)-($D$3+Y524),0)),Calcs!$A$110:$B$122,2,TRUE))))=Calcs!$B$120,IF(ISBLANK(AC524)," ",CONCATENATE(AC524+7," Years")),IF(AA524=" "," ",IF(NOT(ISBLANK(X524)),VLOOKUP($D$3+X524,Calcs!$A$110:$B$122,2,TRUE),IF(AA524="Failed",VLOOKUP($D$3,Calcs!$A$110:$B$122,2,TRUE),VLOOKUP($D$3-(IF((Character!$B$9+W524)&gt;($D$3+Y524),(Character!$B$9+W524)-($D$3+Y524),0)),Calcs!$A$110:$B$122,2,TRUE)))))</f>
        <v xml:space="preserve"> </v>
      </c>
      <c r="AE524" s="490"/>
      <c r="AF524" s="879"/>
      <c r="AG524" s="491"/>
    </row>
    <row r="525" spans="1:33" x14ac:dyDescent="0.2">
      <c r="A525" s="415">
        <f t="shared" si="14"/>
        <v>1341</v>
      </c>
      <c r="B525" s="419" t="str">
        <f t="shared" si="15"/>
        <v>Spring</v>
      </c>
      <c r="C525" s="455"/>
      <c r="D525" s="504"/>
      <c r="E525" s="455"/>
      <c r="F525" s="504"/>
      <c r="G525" s="455"/>
      <c r="H525" s="504"/>
      <c r="I525" s="455"/>
      <c r="J525" s="504"/>
      <c r="L525" s="472"/>
      <c r="M525" s="468"/>
      <c r="N525" s="468"/>
      <c r="O525" s="468"/>
      <c r="P525" s="468"/>
      <c r="Q525" s="473"/>
      <c r="R525" s="477" t="str">
        <f>IF(AND(COUNTIF('Start Character'!$I$63:$M$77,"Twilight Prone")=1,NOT(ISERROR(FIND("Magical Botch",M525)))),"Yes",IF(P525&gt;1,"Yes","No"))</f>
        <v>No</v>
      </c>
      <c r="S525" s="501"/>
      <c r="T525" s="478"/>
      <c r="U525" s="501"/>
      <c r="V525" s="479" t="str">
        <f>IF(R525="No","No Twilight",IF(T525="Yes","Uncomprehended Twilight",IF((Character!$B$14+IF(Character!$B$53="Yes",0,Character!$B$53)+IF(Magic!$C$5="Yes",2,0)+ROUNDUP((Magic!$B$30+IF(Magic!$C$30="Yes",3,0))/5,0)+S525)&gt;=($D$3+P525+SUMIF(Character!$I$62:$I$66,"Enigmatic Wisdom",Character!$J$62:$J$66)+Q525+U525),"No Twilight","Twilight")))</f>
        <v>No Twilight</v>
      </c>
      <c r="W525" s="483"/>
      <c r="X525" s="478"/>
      <c r="Y525" s="484"/>
      <c r="Z525" s="478"/>
      <c r="AA525" s="485" t="str">
        <f>IF(V525="Uncomprehended Twilight","Failed",IF(OR(ISBLANK(W525),ISBLANK(Y525))," ",IF(NOT(ISBLANK(X525)),"Failed",IF((W525+Character!$B$9+SUMIF(Character!$I$62:$I$66,"Enigmatic Wisdom",Character!$J$62:$J$66))&gt;=IF(Z525="Yes",0,(Y525+D520)),"Succeeded","Failed"))))</f>
        <v xml:space="preserve"> </v>
      </c>
      <c r="AB525" s="477" t="str">
        <f>IF(AA525=" "," ",IF(NOT(ISBLANK(X525)),VLOOKUP($D$3+X525,Calcs!$A$110:$C$122,3,TRUE),IF(AA525="Failed",VLOOKUP($D$3,Calcs!$A$110:$C$122,3,TRUE),VLOOKUP($D$3-(IF((Character!$B$9+W525)&gt;($D$3+Y525),(Character!$B$9+W525)-($D$3+Y525),0)),Calcs!$A$110:$C$122,3,TRUE))))</f>
        <v xml:space="preserve"> </v>
      </c>
      <c r="AC525" s="489"/>
      <c r="AD525" s="489" t="str">
        <f>IF(IF(AA525=" "," ",IF(NOT(ISBLANK(X525)),VLOOKUP($D$3+X525,Calcs!$A$110:$B$122,2,TRUE),IF(AA525="Failed",VLOOKUP($D$3,Calcs!$A$110:$B$122,2,TRUE),VLOOKUP($D$3-(IF((Character!$B$9+W525)&gt;($D$3+Y525),(Character!$B$9+W525)-($D$3+Y525),0)),Calcs!$A$110:$B$122,2,TRUE))))=Calcs!$B$120,IF(ISBLANK(AC525)," ",CONCATENATE(AC525+7," Years")),IF(AA525=" "," ",IF(NOT(ISBLANK(X525)),VLOOKUP($D$3+X525,Calcs!$A$110:$B$122,2,TRUE),IF(AA525="Failed",VLOOKUP($D$3,Calcs!$A$110:$B$122,2,TRUE),VLOOKUP($D$3-(IF((Character!$B$9+W525)&gt;($D$3+Y525),(Character!$B$9+W525)-($D$3+Y525),0)),Calcs!$A$110:$B$122,2,TRUE)))))</f>
        <v xml:space="preserve"> </v>
      </c>
      <c r="AE525" s="490"/>
      <c r="AF525" s="879"/>
      <c r="AG525" s="491"/>
    </row>
    <row r="526" spans="1:33" x14ac:dyDescent="0.2">
      <c r="A526" s="415">
        <f t="shared" si="14"/>
        <v>1341</v>
      </c>
      <c r="B526" s="419" t="str">
        <f t="shared" si="15"/>
        <v>Summer</v>
      </c>
      <c r="C526" s="455"/>
      <c r="D526" s="504"/>
      <c r="E526" s="455"/>
      <c r="F526" s="504"/>
      <c r="G526" s="455"/>
      <c r="H526" s="504"/>
      <c r="I526" s="455"/>
      <c r="J526" s="504"/>
      <c r="L526" s="472"/>
      <c r="M526" s="468"/>
      <c r="N526" s="468"/>
      <c r="O526" s="468"/>
      <c r="P526" s="468"/>
      <c r="Q526" s="473"/>
      <c r="R526" s="477" t="str">
        <f>IF(AND(COUNTIF('Start Character'!$I$63:$M$77,"Twilight Prone")=1,NOT(ISERROR(FIND("Magical Botch",M526)))),"Yes",IF(P526&gt;1,"Yes","No"))</f>
        <v>No</v>
      </c>
      <c r="S526" s="501"/>
      <c r="T526" s="478"/>
      <c r="U526" s="501"/>
      <c r="V526" s="479" t="str">
        <f>IF(R526="No","No Twilight",IF(T526="Yes","Uncomprehended Twilight",IF((Character!$B$14+IF(Character!$B$53="Yes",0,Character!$B$53)+IF(Magic!$C$5="Yes",2,0)+ROUNDUP((Magic!$B$30+IF(Magic!$C$30="Yes",3,0))/5,0)+S526)&gt;=($D$3+P526+SUMIF(Character!$I$62:$I$66,"Enigmatic Wisdom",Character!$J$62:$J$66)+Q526+U526),"No Twilight","Twilight")))</f>
        <v>No Twilight</v>
      </c>
      <c r="W526" s="483"/>
      <c r="X526" s="478"/>
      <c r="Y526" s="484"/>
      <c r="Z526" s="478"/>
      <c r="AA526" s="485" t="str">
        <f>IF(V526="Uncomprehended Twilight","Failed",IF(OR(ISBLANK(W526),ISBLANK(Y526))," ",IF(NOT(ISBLANK(X526)),"Failed",IF((W526+Character!$B$9+SUMIF(Character!$I$62:$I$66,"Enigmatic Wisdom",Character!$J$62:$J$66))&gt;=IF(Z526="Yes",0,(Y526+D521)),"Succeeded","Failed"))))</f>
        <v xml:space="preserve"> </v>
      </c>
      <c r="AB526" s="477" t="str">
        <f>IF(AA526=" "," ",IF(NOT(ISBLANK(X526)),VLOOKUP($D$3+X526,Calcs!$A$110:$C$122,3,TRUE),IF(AA526="Failed",VLOOKUP($D$3,Calcs!$A$110:$C$122,3,TRUE),VLOOKUP($D$3-(IF((Character!$B$9+W526)&gt;($D$3+Y526),(Character!$B$9+W526)-($D$3+Y526),0)),Calcs!$A$110:$C$122,3,TRUE))))</f>
        <v xml:space="preserve"> </v>
      </c>
      <c r="AC526" s="489"/>
      <c r="AD526" s="489" t="str">
        <f>IF(IF(AA526=" "," ",IF(NOT(ISBLANK(X526)),VLOOKUP($D$3+X526,Calcs!$A$110:$B$122,2,TRUE),IF(AA526="Failed",VLOOKUP($D$3,Calcs!$A$110:$B$122,2,TRUE),VLOOKUP($D$3-(IF((Character!$B$9+W526)&gt;($D$3+Y526),(Character!$B$9+W526)-($D$3+Y526),0)),Calcs!$A$110:$B$122,2,TRUE))))=Calcs!$B$120,IF(ISBLANK(AC526)," ",CONCATENATE(AC526+7," Years")),IF(AA526=" "," ",IF(NOT(ISBLANK(X526)),VLOOKUP($D$3+X526,Calcs!$A$110:$B$122,2,TRUE),IF(AA526="Failed",VLOOKUP($D$3,Calcs!$A$110:$B$122,2,TRUE),VLOOKUP($D$3-(IF((Character!$B$9+W526)&gt;($D$3+Y526),(Character!$B$9+W526)-($D$3+Y526),0)),Calcs!$A$110:$B$122,2,TRUE)))))</f>
        <v xml:space="preserve"> </v>
      </c>
      <c r="AE526" s="490"/>
      <c r="AF526" s="879"/>
      <c r="AG526" s="491"/>
    </row>
    <row r="527" spans="1:33" x14ac:dyDescent="0.2">
      <c r="A527" s="415">
        <f t="shared" si="14"/>
        <v>1341</v>
      </c>
      <c r="B527" s="419" t="str">
        <f t="shared" si="15"/>
        <v>Autumn</v>
      </c>
      <c r="C527" s="455"/>
      <c r="D527" s="504"/>
      <c r="E527" s="455"/>
      <c r="F527" s="504"/>
      <c r="G527" s="455"/>
      <c r="H527" s="504"/>
      <c r="I527" s="455"/>
      <c r="J527" s="504"/>
      <c r="L527" s="472"/>
      <c r="M527" s="468"/>
      <c r="N527" s="468"/>
      <c r="O527" s="468"/>
      <c r="P527" s="468"/>
      <c r="Q527" s="473"/>
      <c r="R527" s="477" t="str">
        <f>IF(AND(COUNTIF('Start Character'!$I$63:$M$77,"Twilight Prone")=1,NOT(ISERROR(FIND("Magical Botch",M527)))),"Yes",IF(P527&gt;1,"Yes","No"))</f>
        <v>No</v>
      </c>
      <c r="S527" s="501"/>
      <c r="T527" s="478"/>
      <c r="U527" s="501"/>
      <c r="V527" s="479" t="str">
        <f>IF(R527="No","No Twilight",IF(T527="Yes","Uncomprehended Twilight",IF((Character!$B$14+IF(Character!$B$53="Yes",0,Character!$B$53)+IF(Magic!$C$5="Yes",2,0)+ROUNDUP((Magic!$B$30+IF(Magic!$C$30="Yes",3,0))/5,0)+S527)&gt;=($D$3+P527+SUMIF(Character!$I$62:$I$66,"Enigmatic Wisdom",Character!$J$62:$J$66)+Q527+U527),"No Twilight","Twilight")))</f>
        <v>No Twilight</v>
      </c>
      <c r="W527" s="483"/>
      <c r="X527" s="478"/>
      <c r="Y527" s="484"/>
      <c r="Z527" s="478"/>
      <c r="AA527" s="485" t="str">
        <f>IF(V527="Uncomprehended Twilight","Failed",IF(OR(ISBLANK(W527),ISBLANK(Y527))," ",IF(NOT(ISBLANK(X527)),"Failed",IF((W527+Character!$B$9+SUMIF(Character!$I$62:$I$66,"Enigmatic Wisdom",Character!$J$62:$J$66))&gt;=IF(Z527="Yes",0,(Y527+D522)),"Succeeded","Failed"))))</f>
        <v xml:space="preserve"> </v>
      </c>
      <c r="AB527" s="477" t="str">
        <f>IF(AA527=" "," ",IF(NOT(ISBLANK(X527)),VLOOKUP($D$3+X527,Calcs!$A$110:$C$122,3,TRUE),IF(AA527="Failed",VLOOKUP($D$3,Calcs!$A$110:$C$122,3,TRUE),VLOOKUP($D$3-(IF((Character!$B$9+W527)&gt;($D$3+Y527),(Character!$B$9+W527)-($D$3+Y527),0)),Calcs!$A$110:$C$122,3,TRUE))))</f>
        <v xml:space="preserve"> </v>
      </c>
      <c r="AC527" s="489"/>
      <c r="AD527" s="489" t="str">
        <f>IF(IF(AA527=" "," ",IF(NOT(ISBLANK(X527)),VLOOKUP($D$3+X527,Calcs!$A$110:$B$122,2,TRUE),IF(AA527="Failed",VLOOKUP($D$3,Calcs!$A$110:$B$122,2,TRUE),VLOOKUP($D$3-(IF((Character!$B$9+W527)&gt;($D$3+Y527),(Character!$B$9+W527)-($D$3+Y527),0)),Calcs!$A$110:$B$122,2,TRUE))))=Calcs!$B$120,IF(ISBLANK(AC527)," ",CONCATENATE(AC527+7," Years")),IF(AA527=" "," ",IF(NOT(ISBLANK(X527)),VLOOKUP($D$3+X527,Calcs!$A$110:$B$122,2,TRUE),IF(AA527="Failed",VLOOKUP($D$3,Calcs!$A$110:$B$122,2,TRUE),VLOOKUP($D$3-(IF((Character!$B$9+W527)&gt;($D$3+Y527),(Character!$B$9+W527)-($D$3+Y527),0)),Calcs!$A$110:$B$122,2,TRUE)))))</f>
        <v xml:space="preserve"> </v>
      </c>
      <c r="AE527" s="490"/>
      <c r="AF527" s="879"/>
      <c r="AG527" s="491"/>
    </row>
    <row r="528" spans="1:33" x14ac:dyDescent="0.2">
      <c r="A528" s="415">
        <f t="shared" si="14"/>
        <v>1342</v>
      </c>
      <c r="B528" s="419" t="str">
        <f t="shared" si="15"/>
        <v>Winter</v>
      </c>
      <c r="C528" s="455"/>
      <c r="D528" s="504"/>
      <c r="E528" s="455"/>
      <c r="F528" s="504"/>
      <c r="G528" s="455"/>
      <c r="H528" s="504"/>
      <c r="I528" s="455"/>
      <c r="J528" s="504"/>
      <c r="L528" s="472"/>
      <c r="M528" s="468"/>
      <c r="N528" s="468"/>
      <c r="O528" s="468"/>
      <c r="P528" s="468"/>
      <c r="Q528" s="473"/>
      <c r="R528" s="477" t="str">
        <f>IF(AND(COUNTIF('Start Character'!$I$63:$M$77,"Twilight Prone")=1,NOT(ISERROR(FIND("Magical Botch",M528)))),"Yes",IF(P528&gt;1,"Yes","No"))</f>
        <v>No</v>
      </c>
      <c r="S528" s="501"/>
      <c r="T528" s="478"/>
      <c r="U528" s="501"/>
      <c r="V528" s="479" t="str">
        <f>IF(R528="No","No Twilight",IF(T528="Yes","Uncomprehended Twilight",IF((Character!$B$14+IF(Character!$B$53="Yes",0,Character!$B$53)+IF(Magic!$C$5="Yes",2,0)+ROUNDUP((Magic!$B$30+IF(Magic!$C$30="Yes",3,0))/5,0)+S528)&gt;=($D$3+P528+SUMIF(Character!$I$62:$I$66,"Enigmatic Wisdom",Character!$J$62:$J$66)+Q528+U528),"No Twilight","Twilight")))</f>
        <v>No Twilight</v>
      </c>
      <c r="W528" s="483"/>
      <c r="X528" s="478"/>
      <c r="Y528" s="484"/>
      <c r="Z528" s="478"/>
      <c r="AA528" s="485" t="str">
        <f>IF(V528="Uncomprehended Twilight","Failed",IF(OR(ISBLANK(W528),ISBLANK(Y528))," ",IF(NOT(ISBLANK(X528)),"Failed",IF((W528+Character!$B$9+SUMIF(Character!$I$62:$I$66,"Enigmatic Wisdom",Character!$J$62:$J$66))&gt;=IF(Z528="Yes",0,(Y528+D523)),"Succeeded","Failed"))))</f>
        <v xml:space="preserve"> </v>
      </c>
      <c r="AB528" s="477" t="str">
        <f>IF(AA528=" "," ",IF(NOT(ISBLANK(X528)),VLOOKUP($D$3+X528,Calcs!$A$110:$C$122,3,TRUE),IF(AA528="Failed",VLOOKUP($D$3,Calcs!$A$110:$C$122,3,TRUE),VLOOKUP($D$3-(IF((Character!$B$9+W528)&gt;($D$3+Y528),(Character!$B$9+W528)-($D$3+Y528),0)),Calcs!$A$110:$C$122,3,TRUE))))</f>
        <v xml:space="preserve"> </v>
      </c>
      <c r="AC528" s="489"/>
      <c r="AD528" s="489" t="str">
        <f>IF(IF(AA528=" "," ",IF(NOT(ISBLANK(X528)),VLOOKUP($D$3+X528,Calcs!$A$110:$B$122,2,TRUE),IF(AA528="Failed",VLOOKUP($D$3,Calcs!$A$110:$B$122,2,TRUE),VLOOKUP($D$3-(IF((Character!$B$9+W528)&gt;($D$3+Y528),(Character!$B$9+W528)-($D$3+Y528),0)),Calcs!$A$110:$B$122,2,TRUE))))=Calcs!$B$120,IF(ISBLANK(AC528)," ",CONCATENATE(AC528+7," Years")),IF(AA528=" "," ",IF(NOT(ISBLANK(X528)),VLOOKUP($D$3+X528,Calcs!$A$110:$B$122,2,TRUE),IF(AA528="Failed",VLOOKUP($D$3,Calcs!$A$110:$B$122,2,TRUE),VLOOKUP($D$3-(IF((Character!$B$9+W528)&gt;($D$3+Y528),(Character!$B$9+W528)-($D$3+Y528),0)),Calcs!$A$110:$B$122,2,TRUE)))))</f>
        <v xml:space="preserve"> </v>
      </c>
      <c r="AE528" s="490"/>
      <c r="AF528" s="879"/>
      <c r="AG528" s="491"/>
    </row>
    <row r="529" spans="1:33" x14ac:dyDescent="0.2">
      <c r="A529" s="415">
        <f t="shared" si="14"/>
        <v>1342</v>
      </c>
      <c r="B529" s="419" t="str">
        <f t="shared" si="15"/>
        <v>Spring</v>
      </c>
      <c r="C529" s="455"/>
      <c r="D529" s="504"/>
      <c r="E529" s="455"/>
      <c r="F529" s="504"/>
      <c r="G529" s="455"/>
      <c r="H529" s="504"/>
      <c r="I529" s="455"/>
      <c r="J529" s="504"/>
      <c r="L529" s="472"/>
      <c r="M529" s="468"/>
      <c r="N529" s="468"/>
      <c r="O529" s="468"/>
      <c r="P529" s="468"/>
      <c r="Q529" s="473"/>
      <c r="R529" s="477" t="str">
        <f>IF(AND(COUNTIF('Start Character'!$I$63:$M$77,"Twilight Prone")=1,NOT(ISERROR(FIND("Magical Botch",M529)))),"Yes",IF(P529&gt;1,"Yes","No"))</f>
        <v>No</v>
      </c>
      <c r="S529" s="501"/>
      <c r="T529" s="478"/>
      <c r="U529" s="501"/>
      <c r="V529" s="479" t="str">
        <f>IF(R529="No","No Twilight",IF(T529="Yes","Uncomprehended Twilight",IF((Character!$B$14+IF(Character!$B$53="Yes",0,Character!$B$53)+IF(Magic!$C$5="Yes",2,0)+ROUNDUP((Magic!$B$30+IF(Magic!$C$30="Yes",3,0))/5,0)+S529)&gt;=($D$3+P529+SUMIF(Character!$I$62:$I$66,"Enigmatic Wisdom",Character!$J$62:$J$66)+Q529+U529),"No Twilight","Twilight")))</f>
        <v>No Twilight</v>
      </c>
      <c r="W529" s="483"/>
      <c r="X529" s="478"/>
      <c r="Y529" s="484"/>
      <c r="Z529" s="478"/>
      <c r="AA529" s="485" t="str">
        <f>IF(V529="Uncomprehended Twilight","Failed",IF(OR(ISBLANK(W529),ISBLANK(Y529))," ",IF(NOT(ISBLANK(X529)),"Failed",IF((W529+Character!$B$9+SUMIF(Character!$I$62:$I$66,"Enigmatic Wisdom",Character!$J$62:$J$66))&gt;=IF(Z529="Yes",0,(Y529+D524)),"Succeeded","Failed"))))</f>
        <v xml:space="preserve"> </v>
      </c>
      <c r="AB529" s="477" t="str">
        <f>IF(AA529=" "," ",IF(NOT(ISBLANK(X529)),VLOOKUP($D$3+X529,Calcs!$A$110:$C$122,3,TRUE),IF(AA529="Failed",VLOOKUP($D$3,Calcs!$A$110:$C$122,3,TRUE),VLOOKUP($D$3-(IF((Character!$B$9+W529)&gt;($D$3+Y529),(Character!$B$9+W529)-($D$3+Y529),0)),Calcs!$A$110:$C$122,3,TRUE))))</f>
        <v xml:space="preserve"> </v>
      </c>
      <c r="AC529" s="489"/>
      <c r="AD529" s="489" t="str">
        <f>IF(IF(AA529=" "," ",IF(NOT(ISBLANK(X529)),VLOOKUP($D$3+X529,Calcs!$A$110:$B$122,2,TRUE),IF(AA529="Failed",VLOOKUP($D$3,Calcs!$A$110:$B$122,2,TRUE),VLOOKUP($D$3-(IF((Character!$B$9+W529)&gt;($D$3+Y529),(Character!$B$9+W529)-($D$3+Y529),0)),Calcs!$A$110:$B$122,2,TRUE))))=Calcs!$B$120,IF(ISBLANK(AC529)," ",CONCATENATE(AC529+7," Years")),IF(AA529=" "," ",IF(NOT(ISBLANK(X529)),VLOOKUP($D$3+X529,Calcs!$A$110:$B$122,2,TRUE),IF(AA529="Failed",VLOOKUP($D$3,Calcs!$A$110:$B$122,2,TRUE),VLOOKUP($D$3-(IF((Character!$B$9+W529)&gt;($D$3+Y529),(Character!$B$9+W529)-($D$3+Y529),0)),Calcs!$A$110:$B$122,2,TRUE)))))</f>
        <v xml:space="preserve"> </v>
      </c>
      <c r="AE529" s="490"/>
      <c r="AF529" s="879"/>
      <c r="AG529" s="491"/>
    </row>
    <row r="530" spans="1:33" x14ac:dyDescent="0.2">
      <c r="A530" s="415">
        <f t="shared" si="14"/>
        <v>1342</v>
      </c>
      <c r="B530" s="419" t="str">
        <f t="shared" si="15"/>
        <v>Summer</v>
      </c>
      <c r="C530" s="455"/>
      <c r="D530" s="504"/>
      <c r="E530" s="455"/>
      <c r="F530" s="504"/>
      <c r="G530" s="455"/>
      <c r="H530" s="504"/>
      <c r="I530" s="455"/>
      <c r="J530" s="504"/>
      <c r="L530" s="472"/>
      <c r="M530" s="468"/>
      <c r="N530" s="468"/>
      <c r="O530" s="468"/>
      <c r="P530" s="468"/>
      <c r="Q530" s="473"/>
      <c r="R530" s="477" t="str">
        <f>IF(AND(COUNTIF('Start Character'!$I$63:$M$77,"Twilight Prone")=1,NOT(ISERROR(FIND("Magical Botch",M530)))),"Yes",IF(P530&gt;1,"Yes","No"))</f>
        <v>No</v>
      </c>
      <c r="S530" s="501"/>
      <c r="T530" s="478"/>
      <c r="U530" s="501"/>
      <c r="V530" s="479" t="str">
        <f>IF(R530="No","No Twilight",IF(T530="Yes","Uncomprehended Twilight",IF((Character!$B$14+IF(Character!$B$53="Yes",0,Character!$B$53)+IF(Magic!$C$5="Yes",2,0)+ROUNDUP((Magic!$B$30+IF(Magic!$C$30="Yes",3,0))/5,0)+S530)&gt;=($D$3+P530+SUMIF(Character!$I$62:$I$66,"Enigmatic Wisdom",Character!$J$62:$J$66)+Q530+U530),"No Twilight","Twilight")))</f>
        <v>No Twilight</v>
      </c>
      <c r="W530" s="483"/>
      <c r="X530" s="478"/>
      <c r="Y530" s="484"/>
      <c r="Z530" s="478"/>
      <c r="AA530" s="485" t="str">
        <f>IF(V530="Uncomprehended Twilight","Failed",IF(OR(ISBLANK(W530),ISBLANK(Y530))," ",IF(NOT(ISBLANK(X530)),"Failed",IF((W530+Character!$B$9+SUMIF(Character!$I$62:$I$66,"Enigmatic Wisdom",Character!$J$62:$J$66))&gt;=IF(Z530="Yes",0,(Y530+D525)),"Succeeded","Failed"))))</f>
        <v xml:space="preserve"> </v>
      </c>
      <c r="AB530" s="477" t="str">
        <f>IF(AA530=" "," ",IF(NOT(ISBLANK(X530)),VLOOKUP($D$3+X530,Calcs!$A$110:$C$122,3,TRUE),IF(AA530="Failed",VLOOKUP($D$3,Calcs!$A$110:$C$122,3,TRUE),VLOOKUP($D$3-(IF((Character!$B$9+W530)&gt;($D$3+Y530),(Character!$B$9+W530)-($D$3+Y530),0)),Calcs!$A$110:$C$122,3,TRUE))))</f>
        <v xml:space="preserve"> </v>
      </c>
      <c r="AC530" s="489"/>
      <c r="AD530" s="489" t="str">
        <f>IF(IF(AA530=" "," ",IF(NOT(ISBLANK(X530)),VLOOKUP($D$3+X530,Calcs!$A$110:$B$122,2,TRUE),IF(AA530="Failed",VLOOKUP($D$3,Calcs!$A$110:$B$122,2,TRUE),VLOOKUP($D$3-(IF((Character!$B$9+W530)&gt;($D$3+Y530),(Character!$B$9+W530)-($D$3+Y530),0)),Calcs!$A$110:$B$122,2,TRUE))))=Calcs!$B$120,IF(ISBLANK(AC530)," ",CONCATENATE(AC530+7," Years")),IF(AA530=" "," ",IF(NOT(ISBLANK(X530)),VLOOKUP($D$3+X530,Calcs!$A$110:$B$122,2,TRUE),IF(AA530="Failed",VLOOKUP($D$3,Calcs!$A$110:$B$122,2,TRUE),VLOOKUP($D$3-(IF((Character!$B$9+W530)&gt;($D$3+Y530),(Character!$B$9+W530)-($D$3+Y530),0)),Calcs!$A$110:$B$122,2,TRUE)))))</f>
        <v xml:space="preserve"> </v>
      </c>
      <c r="AE530" s="490"/>
      <c r="AF530" s="879"/>
      <c r="AG530" s="491"/>
    </row>
    <row r="531" spans="1:33" x14ac:dyDescent="0.2">
      <c r="A531" s="415">
        <f t="shared" si="14"/>
        <v>1342</v>
      </c>
      <c r="B531" s="419" t="str">
        <f t="shared" si="15"/>
        <v>Autumn</v>
      </c>
      <c r="C531" s="455"/>
      <c r="D531" s="504"/>
      <c r="E531" s="455"/>
      <c r="F531" s="504"/>
      <c r="G531" s="455"/>
      <c r="H531" s="504"/>
      <c r="I531" s="455"/>
      <c r="J531" s="504"/>
      <c r="L531" s="472"/>
      <c r="M531" s="468"/>
      <c r="N531" s="468"/>
      <c r="O531" s="468"/>
      <c r="P531" s="468"/>
      <c r="Q531" s="473"/>
      <c r="R531" s="477" t="str">
        <f>IF(AND(COUNTIF('Start Character'!$I$63:$M$77,"Twilight Prone")=1,NOT(ISERROR(FIND("Magical Botch",M531)))),"Yes",IF(P531&gt;1,"Yes","No"))</f>
        <v>No</v>
      </c>
      <c r="S531" s="501"/>
      <c r="T531" s="478"/>
      <c r="U531" s="501"/>
      <c r="V531" s="479" t="str">
        <f>IF(R531="No","No Twilight",IF(T531="Yes","Uncomprehended Twilight",IF((Character!$B$14+IF(Character!$B$53="Yes",0,Character!$B$53)+IF(Magic!$C$5="Yes",2,0)+ROUNDUP((Magic!$B$30+IF(Magic!$C$30="Yes",3,0))/5,0)+S531)&gt;=($D$3+P531+SUMIF(Character!$I$62:$I$66,"Enigmatic Wisdom",Character!$J$62:$J$66)+Q531+U531),"No Twilight","Twilight")))</f>
        <v>No Twilight</v>
      </c>
      <c r="W531" s="483"/>
      <c r="X531" s="478"/>
      <c r="Y531" s="484"/>
      <c r="Z531" s="478"/>
      <c r="AA531" s="485" t="str">
        <f>IF(V531="Uncomprehended Twilight","Failed",IF(OR(ISBLANK(W531),ISBLANK(Y531))," ",IF(NOT(ISBLANK(X531)),"Failed",IF((W531+Character!$B$9+SUMIF(Character!$I$62:$I$66,"Enigmatic Wisdom",Character!$J$62:$J$66))&gt;=IF(Z531="Yes",0,(Y531+D526)),"Succeeded","Failed"))))</f>
        <v xml:space="preserve"> </v>
      </c>
      <c r="AB531" s="477" t="str">
        <f>IF(AA531=" "," ",IF(NOT(ISBLANK(X531)),VLOOKUP($D$3+X531,Calcs!$A$110:$C$122,3,TRUE),IF(AA531="Failed",VLOOKUP($D$3,Calcs!$A$110:$C$122,3,TRUE),VLOOKUP($D$3-(IF((Character!$B$9+W531)&gt;($D$3+Y531),(Character!$B$9+W531)-($D$3+Y531),0)),Calcs!$A$110:$C$122,3,TRUE))))</f>
        <v xml:space="preserve"> </v>
      </c>
      <c r="AC531" s="489"/>
      <c r="AD531" s="489" t="str">
        <f>IF(IF(AA531=" "," ",IF(NOT(ISBLANK(X531)),VLOOKUP($D$3+X531,Calcs!$A$110:$B$122,2,TRUE),IF(AA531="Failed",VLOOKUP($D$3,Calcs!$A$110:$B$122,2,TRUE),VLOOKUP($D$3-(IF((Character!$B$9+W531)&gt;($D$3+Y531),(Character!$B$9+W531)-($D$3+Y531),0)),Calcs!$A$110:$B$122,2,TRUE))))=Calcs!$B$120,IF(ISBLANK(AC531)," ",CONCATENATE(AC531+7," Years")),IF(AA531=" "," ",IF(NOT(ISBLANK(X531)),VLOOKUP($D$3+X531,Calcs!$A$110:$B$122,2,TRUE),IF(AA531="Failed",VLOOKUP($D$3,Calcs!$A$110:$B$122,2,TRUE),VLOOKUP($D$3-(IF((Character!$B$9+W531)&gt;($D$3+Y531),(Character!$B$9+W531)-($D$3+Y531),0)),Calcs!$A$110:$B$122,2,TRUE)))))</f>
        <v xml:space="preserve"> </v>
      </c>
      <c r="AE531" s="490"/>
      <c r="AF531" s="879"/>
      <c r="AG531" s="491"/>
    </row>
    <row r="532" spans="1:33" x14ac:dyDescent="0.2">
      <c r="A532" s="415">
        <f t="shared" si="14"/>
        <v>1343</v>
      </c>
      <c r="B532" s="419" t="str">
        <f t="shared" si="15"/>
        <v>Winter</v>
      </c>
      <c r="C532" s="455"/>
      <c r="D532" s="504"/>
      <c r="E532" s="455"/>
      <c r="F532" s="504"/>
      <c r="G532" s="455"/>
      <c r="H532" s="504"/>
      <c r="I532" s="455"/>
      <c r="J532" s="504"/>
      <c r="L532" s="472"/>
      <c r="M532" s="468"/>
      <c r="N532" s="468"/>
      <c r="O532" s="468"/>
      <c r="P532" s="468"/>
      <c r="Q532" s="473"/>
      <c r="R532" s="477" t="str">
        <f>IF(AND(COUNTIF('Start Character'!$I$63:$M$77,"Twilight Prone")=1,NOT(ISERROR(FIND("Magical Botch",M532)))),"Yes",IF(P532&gt;1,"Yes","No"))</f>
        <v>No</v>
      </c>
      <c r="S532" s="501"/>
      <c r="T532" s="478"/>
      <c r="U532" s="501"/>
      <c r="V532" s="479" t="str">
        <f>IF(R532="No","No Twilight",IF(T532="Yes","Uncomprehended Twilight",IF((Character!$B$14+IF(Character!$B$53="Yes",0,Character!$B$53)+IF(Magic!$C$5="Yes",2,0)+ROUNDUP((Magic!$B$30+IF(Magic!$C$30="Yes",3,0))/5,0)+S532)&gt;=($D$3+P532+SUMIF(Character!$I$62:$I$66,"Enigmatic Wisdom",Character!$J$62:$J$66)+Q532+U532),"No Twilight","Twilight")))</f>
        <v>No Twilight</v>
      </c>
      <c r="W532" s="483"/>
      <c r="X532" s="478"/>
      <c r="Y532" s="484"/>
      <c r="Z532" s="478"/>
      <c r="AA532" s="485" t="str">
        <f>IF(V532="Uncomprehended Twilight","Failed",IF(OR(ISBLANK(W532),ISBLANK(Y532))," ",IF(NOT(ISBLANK(X532)),"Failed",IF((W532+Character!$B$9+SUMIF(Character!$I$62:$I$66,"Enigmatic Wisdom",Character!$J$62:$J$66))&gt;=IF(Z532="Yes",0,(Y532+D527)),"Succeeded","Failed"))))</f>
        <v xml:space="preserve"> </v>
      </c>
      <c r="AB532" s="477" t="str">
        <f>IF(AA532=" "," ",IF(NOT(ISBLANK(X532)),VLOOKUP($D$3+X532,Calcs!$A$110:$C$122,3,TRUE),IF(AA532="Failed",VLOOKUP($D$3,Calcs!$A$110:$C$122,3,TRUE),VLOOKUP($D$3-(IF((Character!$B$9+W532)&gt;($D$3+Y532),(Character!$B$9+W532)-($D$3+Y532),0)),Calcs!$A$110:$C$122,3,TRUE))))</f>
        <v xml:space="preserve"> </v>
      </c>
      <c r="AC532" s="489"/>
      <c r="AD532" s="489" t="str">
        <f>IF(IF(AA532=" "," ",IF(NOT(ISBLANK(X532)),VLOOKUP($D$3+X532,Calcs!$A$110:$B$122,2,TRUE),IF(AA532="Failed",VLOOKUP($D$3,Calcs!$A$110:$B$122,2,TRUE),VLOOKUP($D$3-(IF((Character!$B$9+W532)&gt;($D$3+Y532),(Character!$B$9+W532)-($D$3+Y532),0)),Calcs!$A$110:$B$122,2,TRUE))))=Calcs!$B$120,IF(ISBLANK(AC532)," ",CONCATENATE(AC532+7," Years")),IF(AA532=" "," ",IF(NOT(ISBLANK(X532)),VLOOKUP($D$3+X532,Calcs!$A$110:$B$122,2,TRUE),IF(AA532="Failed",VLOOKUP($D$3,Calcs!$A$110:$B$122,2,TRUE),VLOOKUP($D$3-(IF((Character!$B$9+W532)&gt;($D$3+Y532),(Character!$B$9+W532)-($D$3+Y532),0)),Calcs!$A$110:$B$122,2,TRUE)))))</f>
        <v xml:space="preserve"> </v>
      </c>
      <c r="AE532" s="490"/>
      <c r="AF532" s="879"/>
      <c r="AG532" s="491"/>
    </row>
    <row r="533" spans="1:33" x14ac:dyDescent="0.2">
      <c r="A533" s="415">
        <f t="shared" si="14"/>
        <v>1343</v>
      </c>
      <c r="B533" s="419" t="str">
        <f t="shared" si="15"/>
        <v>Spring</v>
      </c>
      <c r="C533" s="455"/>
      <c r="D533" s="504"/>
      <c r="E533" s="455"/>
      <c r="F533" s="504"/>
      <c r="G533" s="455"/>
      <c r="H533" s="504"/>
      <c r="I533" s="455"/>
      <c r="J533" s="504"/>
      <c r="L533" s="472"/>
      <c r="M533" s="468"/>
      <c r="N533" s="468"/>
      <c r="O533" s="468"/>
      <c r="P533" s="468"/>
      <c r="Q533" s="473"/>
      <c r="R533" s="477" t="str">
        <f>IF(AND(COUNTIF('Start Character'!$I$63:$M$77,"Twilight Prone")=1,NOT(ISERROR(FIND("Magical Botch",M533)))),"Yes",IF(P533&gt;1,"Yes","No"))</f>
        <v>No</v>
      </c>
      <c r="S533" s="501"/>
      <c r="T533" s="478"/>
      <c r="U533" s="501"/>
      <c r="V533" s="479" t="str">
        <f>IF(R533="No","No Twilight",IF(T533="Yes","Uncomprehended Twilight",IF((Character!$B$14+IF(Character!$B$53="Yes",0,Character!$B$53)+IF(Magic!$C$5="Yes",2,0)+ROUNDUP((Magic!$B$30+IF(Magic!$C$30="Yes",3,0))/5,0)+S533)&gt;=($D$3+P533+SUMIF(Character!$I$62:$I$66,"Enigmatic Wisdom",Character!$J$62:$J$66)+Q533+U533),"No Twilight","Twilight")))</f>
        <v>No Twilight</v>
      </c>
      <c r="W533" s="483"/>
      <c r="X533" s="478"/>
      <c r="Y533" s="484"/>
      <c r="Z533" s="478"/>
      <c r="AA533" s="485" t="str">
        <f>IF(V533="Uncomprehended Twilight","Failed",IF(OR(ISBLANK(W533),ISBLANK(Y533))," ",IF(NOT(ISBLANK(X533)),"Failed",IF((W533+Character!$B$9+SUMIF(Character!$I$62:$I$66,"Enigmatic Wisdom",Character!$J$62:$J$66))&gt;=IF(Z533="Yes",0,(Y533+D528)),"Succeeded","Failed"))))</f>
        <v xml:space="preserve"> </v>
      </c>
      <c r="AB533" s="477" t="str">
        <f>IF(AA533=" "," ",IF(NOT(ISBLANK(X533)),VLOOKUP($D$3+X533,Calcs!$A$110:$C$122,3,TRUE),IF(AA533="Failed",VLOOKUP($D$3,Calcs!$A$110:$C$122,3,TRUE),VLOOKUP($D$3-(IF((Character!$B$9+W533)&gt;($D$3+Y533),(Character!$B$9+W533)-($D$3+Y533),0)),Calcs!$A$110:$C$122,3,TRUE))))</f>
        <v xml:space="preserve"> </v>
      </c>
      <c r="AC533" s="489"/>
      <c r="AD533" s="489" t="str">
        <f>IF(IF(AA533=" "," ",IF(NOT(ISBLANK(X533)),VLOOKUP($D$3+X533,Calcs!$A$110:$B$122,2,TRUE),IF(AA533="Failed",VLOOKUP($D$3,Calcs!$A$110:$B$122,2,TRUE),VLOOKUP($D$3-(IF((Character!$B$9+W533)&gt;($D$3+Y533),(Character!$B$9+W533)-($D$3+Y533),0)),Calcs!$A$110:$B$122,2,TRUE))))=Calcs!$B$120,IF(ISBLANK(AC533)," ",CONCATENATE(AC533+7," Years")),IF(AA533=" "," ",IF(NOT(ISBLANK(X533)),VLOOKUP($D$3+X533,Calcs!$A$110:$B$122,2,TRUE),IF(AA533="Failed",VLOOKUP($D$3,Calcs!$A$110:$B$122,2,TRUE),VLOOKUP($D$3-(IF((Character!$B$9+W533)&gt;($D$3+Y533),(Character!$B$9+W533)-($D$3+Y533),0)),Calcs!$A$110:$B$122,2,TRUE)))))</f>
        <v xml:space="preserve"> </v>
      </c>
      <c r="AE533" s="490"/>
      <c r="AF533" s="879"/>
      <c r="AG533" s="491"/>
    </row>
    <row r="534" spans="1:33" x14ac:dyDescent="0.2">
      <c r="A534" s="415">
        <f t="shared" si="14"/>
        <v>1343</v>
      </c>
      <c r="B534" s="419" t="str">
        <f t="shared" si="15"/>
        <v>Summer</v>
      </c>
      <c r="C534" s="455"/>
      <c r="D534" s="504"/>
      <c r="E534" s="455"/>
      <c r="F534" s="504"/>
      <c r="G534" s="455"/>
      <c r="H534" s="504"/>
      <c r="I534" s="455"/>
      <c r="J534" s="504"/>
      <c r="L534" s="472"/>
      <c r="M534" s="468"/>
      <c r="N534" s="468"/>
      <c r="O534" s="468"/>
      <c r="P534" s="468"/>
      <c r="Q534" s="473"/>
      <c r="R534" s="477" t="str">
        <f>IF(AND(COUNTIF('Start Character'!$I$63:$M$77,"Twilight Prone")=1,NOT(ISERROR(FIND("Magical Botch",M534)))),"Yes",IF(P534&gt;1,"Yes","No"))</f>
        <v>No</v>
      </c>
      <c r="S534" s="501"/>
      <c r="T534" s="478"/>
      <c r="U534" s="501"/>
      <c r="V534" s="479" t="str">
        <f>IF(R534="No","No Twilight",IF(T534="Yes","Uncomprehended Twilight",IF((Character!$B$14+IF(Character!$B$53="Yes",0,Character!$B$53)+IF(Magic!$C$5="Yes",2,0)+ROUNDUP((Magic!$B$30+IF(Magic!$C$30="Yes",3,0))/5,0)+S534)&gt;=($D$3+P534+SUMIF(Character!$I$62:$I$66,"Enigmatic Wisdom",Character!$J$62:$J$66)+Q534+U534),"No Twilight","Twilight")))</f>
        <v>No Twilight</v>
      </c>
      <c r="W534" s="483"/>
      <c r="X534" s="478"/>
      <c r="Y534" s="484"/>
      <c r="Z534" s="478"/>
      <c r="AA534" s="485" t="str">
        <f>IF(V534="Uncomprehended Twilight","Failed",IF(OR(ISBLANK(W534),ISBLANK(Y534))," ",IF(NOT(ISBLANK(X534)),"Failed",IF((W534+Character!$B$9+SUMIF(Character!$I$62:$I$66,"Enigmatic Wisdom",Character!$J$62:$J$66))&gt;=IF(Z534="Yes",0,(Y534+D529)),"Succeeded","Failed"))))</f>
        <v xml:space="preserve"> </v>
      </c>
      <c r="AB534" s="477" t="str">
        <f>IF(AA534=" "," ",IF(NOT(ISBLANK(X534)),VLOOKUP($D$3+X534,Calcs!$A$110:$C$122,3,TRUE),IF(AA534="Failed",VLOOKUP($D$3,Calcs!$A$110:$C$122,3,TRUE),VLOOKUP($D$3-(IF((Character!$B$9+W534)&gt;($D$3+Y534),(Character!$B$9+W534)-($D$3+Y534),0)),Calcs!$A$110:$C$122,3,TRUE))))</f>
        <v xml:space="preserve"> </v>
      </c>
      <c r="AC534" s="489"/>
      <c r="AD534" s="489" t="str">
        <f>IF(IF(AA534=" "," ",IF(NOT(ISBLANK(X534)),VLOOKUP($D$3+X534,Calcs!$A$110:$B$122,2,TRUE),IF(AA534="Failed",VLOOKUP($D$3,Calcs!$A$110:$B$122,2,TRUE),VLOOKUP($D$3-(IF((Character!$B$9+W534)&gt;($D$3+Y534),(Character!$B$9+W534)-($D$3+Y534),0)),Calcs!$A$110:$B$122,2,TRUE))))=Calcs!$B$120,IF(ISBLANK(AC534)," ",CONCATENATE(AC534+7," Years")),IF(AA534=" "," ",IF(NOT(ISBLANK(X534)),VLOOKUP($D$3+X534,Calcs!$A$110:$B$122,2,TRUE),IF(AA534="Failed",VLOOKUP($D$3,Calcs!$A$110:$B$122,2,TRUE),VLOOKUP($D$3-(IF((Character!$B$9+W534)&gt;($D$3+Y534),(Character!$B$9+W534)-($D$3+Y534),0)),Calcs!$A$110:$B$122,2,TRUE)))))</f>
        <v xml:space="preserve"> </v>
      </c>
      <c r="AE534" s="490"/>
      <c r="AF534" s="879"/>
      <c r="AG534" s="491"/>
    </row>
    <row r="535" spans="1:33" x14ac:dyDescent="0.2">
      <c r="A535" s="415">
        <f t="shared" si="14"/>
        <v>1343</v>
      </c>
      <c r="B535" s="419" t="str">
        <f t="shared" si="15"/>
        <v>Autumn</v>
      </c>
      <c r="C535" s="455"/>
      <c r="D535" s="504"/>
      <c r="E535" s="455"/>
      <c r="F535" s="504"/>
      <c r="G535" s="455"/>
      <c r="H535" s="504"/>
      <c r="I535" s="455"/>
      <c r="J535" s="504"/>
      <c r="L535" s="472"/>
      <c r="M535" s="468"/>
      <c r="N535" s="468"/>
      <c r="O535" s="468"/>
      <c r="P535" s="468"/>
      <c r="Q535" s="473"/>
      <c r="R535" s="477" t="str">
        <f>IF(AND(COUNTIF('Start Character'!$I$63:$M$77,"Twilight Prone")=1,NOT(ISERROR(FIND("Magical Botch",M535)))),"Yes",IF(P535&gt;1,"Yes","No"))</f>
        <v>No</v>
      </c>
      <c r="S535" s="501"/>
      <c r="T535" s="478"/>
      <c r="U535" s="501"/>
      <c r="V535" s="479" t="str">
        <f>IF(R535="No","No Twilight",IF(T535="Yes","Uncomprehended Twilight",IF((Character!$B$14+IF(Character!$B$53="Yes",0,Character!$B$53)+IF(Magic!$C$5="Yes",2,0)+ROUNDUP((Magic!$B$30+IF(Magic!$C$30="Yes",3,0))/5,0)+S535)&gt;=($D$3+P535+SUMIF(Character!$I$62:$I$66,"Enigmatic Wisdom",Character!$J$62:$J$66)+Q535+U535),"No Twilight","Twilight")))</f>
        <v>No Twilight</v>
      </c>
      <c r="W535" s="483"/>
      <c r="X535" s="478"/>
      <c r="Y535" s="484"/>
      <c r="Z535" s="478"/>
      <c r="AA535" s="485" t="str">
        <f>IF(V535="Uncomprehended Twilight","Failed",IF(OR(ISBLANK(W535),ISBLANK(Y535))," ",IF(NOT(ISBLANK(X535)),"Failed",IF((W535+Character!$B$9+SUMIF(Character!$I$62:$I$66,"Enigmatic Wisdom",Character!$J$62:$J$66))&gt;=IF(Z535="Yes",0,(Y535+D530)),"Succeeded","Failed"))))</f>
        <v xml:space="preserve"> </v>
      </c>
      <c r="AB535" s="477" t="str">
        <f>IF(AA535=" "," ",IF(NOT(ISBLANK(X535)),VLOOKUP($D$3+X535,Calcs!$A$110:$C$122,3,TRUE),IF(AA535="Failed",VLOOKUP($D$3,Calcs!$A$110:$C$122,3,TRUE),VLOOKUP($D$3-(IF((Character!$B$9+W535)&gt;($D$3+Y535),(Character!$B$9+W535)-($D$3+Y535),0)),Calcs!$A$110:$C$122,3,TRUE))))</f>
        <v xml:space="preserve"> </v>
      </c>
      <c r="AC535" s="489"/>
      <c r="AD535" s="489" t="str">
        <f>IF(IF(AA535=" "," ",IF(NOT(ISBLANK(X535)),VLOOKUP($D$3+X535,Calcs!$A$110:$B$122,2,TRUE),IF(AA535="Failed",VLOOKUP($D$3,Calcs!$A$110:$B$122,2,TRUE),VLOOKUP($D$3-(IF((Character!$B$9+W535)&gt;($D$3+Y535),(Character!$B$9+W535)-($D$3+Y535),0)),Calcs!$A$110:$B$122,2,TRUE))))=Calcs!$B$120,IF(ISBLANK(AC535)," ",CONCATENATE(AC535+7," Years")),IF(AA535=" "," ",IF(NOT(ISBLANK(X535)),VLOOKUP($D$3+X535,Calcs!$A$110:$B$122,2,TRUE),IF(AA535="Failed",VLOOKUP($D$3,Calcs!$A$110:$B$122,2,TRUE),VLOOKUP($D$3-(IF((Character!$B$9+W535)&gt;($D$3+Y535),(Character!$B$9+W535)-($D$3+Y535),0)),Calcs!$A$110:$B$122,2,TRUE)))))</f>
        <v xml:space="preserve"> </v>
      </c>
      <c r="AE535" s="490"/>
      <c r="AF535" s="879"/>
      <c r="AG535" s="491"/>
    </row>
    <row r="536" spans="1:33" x14ac:dyDescent="0.2">
      <c r="A536" s="415">
        <f t="shared" si="14"/>
        <v>1344</v>
      </c>
      <c r="B536" s="419" t="str">
        <f t="shared" si="15"/>
        <v>Winter</v>
      </c>
      <c r="C536" s="455"/>
      <c r="D536" s="504"/>
      <c r="E536" s="455"/>
      <c r="F536" s="504"/>
      <c r="G536" s="455"/>
      <c r="H536" s="504"/>
      <c r="I536" s="455"/>
      <c r="J536" s="504"/>
      <c r="L536" s="472"/>
      <c r="M536" s="468"/>
      <c r="N536" s="468"/>
      <c r="O536" s="468"/>
      <c r="P536" s="468"/>
      <c r="Q536" s="473"/>
      <c r="R536" s="477" t="str">
        <f>IF(AND(COUNTIF('Start Character'!$I$63:$M$77,"Twilight Prone")=1,NOT(ISERROR(FIND("Magical Botch",M536)))),"Yes",IF(P536&gt;1,"Yes","No"))</f>
        <v>No</v>
      </c>
      <c r="S536" s="501"/>
      <c r="T536" s="478"/>
      <c r="U536" s="501"/>
      <c r="V536" s="479" t="str">
        <f>IF(R536="No","No Twilight",IF(T536="Yes","Uncomprehended Twilight",IF((Character!$B$14+IF(Character!$B$53="Yes",0,Character!$B$53)+IF(Magic!$C$5="Yes",2,0)+ROUNDUP((Magic!$B$30+IF(Magic!$C$30="Yes",3,0))/5,0)+S536)&gt;=($D$3+P536+SUMIF(Character!$I$62:$I$66,"Enigmatic Wisdom",Character!$J$62:$J$66)+Q536+U536),"No Twilight","Twilight")))</f>
        <v>No Twilight</v>
      </c>
      <c r="W536" s="483"/>
      <c r="X536" s="478"/>
      <c r="Y536" s="484"/>
      <c r="Z536" s="478"/>
      <c r="AA536" s="485" t="str">
        <f>IF(V536="Uncomprehended Twilight","Failed",IF(OR(ISBLANK(W536),ISBLANK(Y536))," ",IF(NOT(ISBLANK(X536)),"Failed",IF((W536+Character!$B$9+SUMIF(Character!$I$62:$I$66,"Enigmatic Wisdom",Character!$J$62:$J$66))&gt;=IF(Z536="Yes",0,(Y536+D531)),"Succeeded","Failed"))))</f>
        <v xml:space="preserve"> </v>
      </c>
      <c r="AB536" s="477" t="str">
        <f>IF(AA536=" "," ",IF(NOT(ISBLANK(X536)),VLOOKUP($D$3+X536,Calcs!$A$110:$C$122,3,TRUE),IF(AA536="Failed",VLOOKUP($D$3,Calcs!$A$110:$C$122,3,TRUE),VLOOKUP($D$3-(IF((Character!$B$9+W536)&gt;($D$3+Y536),(Character!$B$9+W536)-($D$3+Y536),0)),Calcs!$A$110:$C$122,3,TRUE))))</f>
        <v xml:space="preserve"> </v>
      </c>
      <c r="AC536" s="489"/>
      <c r="AD536" s="489" t="str">
        <f>IF(IF(AA536=" "," ",IF(NOT(ISBLANK(X536)),VLOOKUP($D$3+X536,Calcs!$A$110:$B$122,2,TRUE),IF(AA536="Failed",VLOOKUP($D$3,Calcs!$A$110:$B$122,2,TRUE),VLOOKUP($D$3-(IF((Character!$B$9+W536)&gt;($D$3+Y536),(Character!$B$9+W536)-($D$3+Y536),0)),Calcs!$A$110:$B$122,2,TRUE))))=Calcs!$B$120,IF(ISBLANK(AC536)," ",CONCATENATE(AC536+7," Years")),IF(AA536=" "," ",IF(NOT(ISBLANK(X536)),VLOOKUP($D$3+X536,Calcs!$A$110:$B$122,2,TRUE),IF(AA536="Failed",VLOOKUP($D$3,Calcs!$A$110:$B$122,2,TRUE),VLOOKUP($D$3-(IF((Character!$B$9+W536)&gt;($D$3+Y536),(Character!$B$9+W536)-($D$3+Y536),0)),Calcs!$A$110:$B$122,2,TRUE)))))</f>
        <v xml:space="preserve"> </v>
      </c>
      <c r="AE536" s="490"/>
      <c r="AF536" s="879"/>
      <c r="AG536" s="491"/>
    </row>
    <row r="537" spans="1:33" x14ac:dyDescent="0.2">
      <c r="A537" s="415">
        <f t="shared" si="14"/>
        <v>1344</v>
      </c>
      <c r="B537" s="419" t="str">
        <f t="shared" si="15"/>
        <v>Spring</v>
      </c>
      <c r="C537" s="455"/>
      <c r="D537" s="504"/>
      <c r="E537" s="455"/>
      <c r="F537" s="504"/>
      <c r="G537" s="455"/>
      <c r="H537" s="504"/>
      <c r="I537" s="455"/>
      <c r="J537" s="504"/>
      <c r="L537" s="472"/>
      <c r="M537" s="468"/>
      <c r="N537" s="468"/>
      <c r="O537" s="468"/>
      <c r="P537" s="468"/>
      <c r="Q537" s="473"/>
      <c r="R537" s="477" t="str">
        <f>IF(AND(COUNTIF('Start Character'!$I$63:$M$77,"Twilight Prone")=1,NOT(ISERROR(FIND("Magical Botch",M537)))),"Yes",IF(P537&gt;1,"Yes","No"))</f>
        <v>No</v>
      </c>
      <c r="S537" s="501"/>
      <c r="T537" s="478"/>
      <c r="U537" s="501"/>
      <c r="V537" s="479" t="str">
        <f>IF(R537="No","No Twilight",IF(T537="Yes","Uncomprehended Twilight",IF((Character!$B$14+IF(Character!$B$53="Yes",0,Character!$B$53)+IF(Magic!$C$5="Yes",2,0)+ROUNDUP((Magic!$B$30+IF(Magic!$C$30="Yes",3,0))/5,0)+S537)&gt;=($D$3+P537+SUMIF(Character!$I$62:$I$66,"Enigmatic Wisdom",Character!$J$62:$J$66)+Q537+U537),"No Twilight","Twilight")))</f>
        <v>No Twilight</v>
      </c>
      <c r="W537" s="483"/>
      <c r="X537" s="478"/>
      <c r="Y537" s="484"/>
      <c r="Z537" s="478"/>
      <c r="AA537" s="485" t="str">
        <f>IF(V537="Uncomprehended Twilight","Failed",IF(OR(ISBLANK(W537),ISBLANK(Y537))," ",IF(NOT(ISBLANK(X537)),"Failed",IF((W537+Character!$B$9+SUMIF(Character!$I$62:$I$66,"Enigmatic Wisdom",Character!$J$62:$J$66))&gt;=IF(Z537="Yes",0,(Y537+D532)),"Succeeded","Failed"))))</f>
        <v xml:space="preserve"> </v>
      </c>
      <c r="AB537" s="477" t="str">
        <f>IF(AA537=" "," ",IF(NOT(ISBLANK(X537)),VLOOKUP($D$3+X537,Calcs!$A$110:$C$122,3,TRUE),IF(AA537="Failed",VLOOKUP($D$3,Calcs!$A$110:$C$122,3,TRUE),VLOOKUP($D$3-(IF((Character!$B$9+W537)&gt;($D$3+Y537),(Character!$B$9+W537)-($D$3+Y537),0)),Calcs!$A$110:$C$122,3,TRUE))))</f>
        <v xml:space="preserve"> </v>
      </c>
      <c r="AC537" s="489"/>
      <c r="AD537" s="489" t="str">
        <f>IF(IF(AA537=" "," ",IF(NOT(ISBLANK(X537)),VLOOKUP($D$3+X537,Calcs!$A$110:$B$122,2,TRUE),IF(AA537="Failed",VLOOKUP($D$3,Calcs!$A$110:$B$122,2,TRUE),VLOOKUP($D$3-(IF((Character!$B$9+W537)&gt;($D$3+Y537),(Character!$B$9+W537)-($D$3+Y537),0)),Calcs!$A$110:$B$122,2,TRUE))))=Calcs!$B$120,IF(ISBLANK(AC537)," ",CONCATENATE(AC537+7," Years")),IF(AA537=" "," ",IF(NOT(ISBLANK(X537)),VLOOKUP($D$3+X537,Calcs!$A$110:$B$122,2,TRUE),IF(AA537="Failed",VLOOKUP($D$3,Calcs!$A$110:$B$122,2,TRUE),VLOOKUP($D$3-(IF((Character!$B$9+W537)&gt;($D$3+Y537),(Character!$B$9+W537)-($D$3+Y537),0)),Calcs!$A$110:$B$122,2,TRUE)))))</f>
        <v xml:space="preserve"> </v>
      </c>
      <c r="AE537" s="490"/>
      <c r="AF537" s="879"/>
      <c r="AG537" s="491"/>
    </row>
    <row r="538" spans="1:33" x14ac:dyDescent="0.2">
      <c r="A538" s="415">
        <f t="shared" si="14"/>
        <v>1344</v>
      </c>
      <c r="B538" s="419" t="str">
        <f t="shared" si="15"/>
        <v>Summer</v>
      </c>
      <c r="C538" s="455"/>
      <c r="D538" s="504"/>
      <c r="E538" s="455"/>
      <c r="F538" s="504"/>
      <c r="G538" s="455"/>
      <c r="H538" s="504"/>
      <c r="I538" s="455"/>
      <c r="J538" s="504"/>
      <c r="L538" s="472"/>
      <c r="M538" s="468"/>
      <c r="N538" s="468"/>
      <c r="O538" s="468"/>
      <c r="P538" s="468"/>
      <c r="Q538" s="473"/>
      <c r="R538" s="477" t="str">
        <f>IF(AND(COUNTIF('Start Character'!$I$63:$M$77,"Twilight Prone")=1,NOT(ISERROR(FIND("Magical Botch",M538)))),"Yes",IF(P538&gt;1,"Yes","No"))</f>
        <v>No</v>
      </c>
      <c r="S538" s="501"/>
      <c r="T538" s="478"/>
      <c r="U538" s="501"/>
      <c r="V538" s="479" t="str">
        <f>IF(R538="No","No Twilight",IF(T538="Yes","Uncomprehended Twilight",IF((Character!$B$14+IF(Character!$B$53="Yes",0,Character!$B$53)+IF(Magic!$C$5="Yes",2,0)+ROUNDUP((Magic!$B$30+IF(Magic!$C$30="Yes",3,0))/5,0)+S538)&gt;=($D$3+P538+SUMIF(Character!$I$62:$I$66,"Enigmatic Wisdom",Character!$J$62:$J$66)+Q538+U538),"No Twilight","Twilight")))</f>
        <v>No Twilight</v>
      </c>
      <c r="W538" s="483"/>
      <c r="X538" s="478"/>
      <c r="Y538" s="484"/>
      <c r="Z538" s="478"/>
      <c r="AA538" s="485" t="str">
        <f>IF(V538="Uncomprehended Twilight","Failed",IF(OR(ISBLANK(W538),ISBLANK(Y538))," ",IF(NOT(ISBLANK(X538)),"Failed",IF((W538+Character!$B$9+SUMIF(Character!$I$62:$I$66,"Enigmatic Wisdom",Character!$J$62:$J$66))&gt;=IF(Z538="Yes",0,(Y538+D533)),"Succeeded","Failed"))))</f>
        <v xml:space="preserve"> </v>
      </c>
      <c r="AB538" s="477" t="str">
        <f>IF(AA538=" "," ",IF(NOT(ISBLANK(X538)),VLOOKUP($D$3+X538,Calcs!$A$110:$C$122,3,TRUE),IF(AA538="Failed",VLOOKUP($D$3,Calcs!$A$110:$C$122,3,TRUE),VLOOKUP($D$3-(IF((Character!$B$9+W538)&gt;($D$3+Y538),(Character!$B$9+W538)-($D$3+Y538),0)),Calcs!$A$110:$C$122,3,TRUE))))</f>
        <v xml:space="preserve"> </v>
      </c>
      <c r="AC538" s="489"/>
      <c r="AD538" s="489" t="str">
        <f>IF(IF(AA538=" "," ",IF(NOT(ISBLANK(X538)),VLOOKUP($D$3+X538,Calcs!$A$110:$B$122,2,TRUE),IF(AA538="Failed",VLOOKUP($D$3,Calcs!$A$110:$B$122,2,TRUE),VLOOKUP($D$3-(IF((Character!$B$9+W538)&gt;($D$3+Y538),(Character!$B$9+W538)-($D$3+Y538),0)),Calcs!$A$110:$B$122,2,TRUE))))=Calcs!$B$120,IF(ISBLANK(AC538)," ",CONCATENATE(AC538+7," Years")),IF(AA538=" "," ",IF(NOT(ISBLANK(X538)),VLOOKUP($D$3+X538,Calcs!$A$110:$B$122,2,TRUE),IF(AA538="Failed",VLOOKUP($D$3,Calcs!$A$110:$B$122,2,TRUE),VLOOKUP($D$3-(IF((Character!$B$9+W538)&gt;($D$3+Y538),(Character!$B$9+W538)-($D$3+Y538),0)),Calcs!$A$110:$B$122,2,TRUE)))))</f>
        <v xml:space="preserve"> </v>
      </c>
      <c r="AE538" s="490"/>
      <c r="AF538" s="879"/>
      <c r="AG538" s="491"/>
    </row>
    <row r="539" spans="1:33" x14ac:dyDescent="0.2">
      <c r="A539" s="415">
        <f t="shared" si="14"/>
        <v>1344</v>
      </c>
      <c r="B539" s="419" t="str">
        <f t="shared" si="15"/>
        <v>Autumn</v>
      </c>
      <c r="C539" s="455"/>
      <c r="D539" s="504"/>
      <c r="E539" s="455"/>
      <c r="F539" s="504"/>
      <c r="G539" s="455"/>
      <c r="H539" s="504"/>
      <c r="I539" s="455"/>
      <c r="J539" s="504"/>
      <c r="L539" s="472"/>
      <c r="M539" s="468"/>
      <c r="N539" s="468"/>
      <c r="O539" s="468"/>
      <c r="P539" s="468"/>
      <c r="Q539" s="473"/>
      <c r="R539" s="477" t="str">
        <f>IF(AND(COUNTIF('Start Character'!$I$63:$M$77,"Twilight Prone")=1,NOT(ISERROR(FIND("Magical Botch",M539)))),"Yes",IF(P539&gt;1,"Yes","No"))</f>
        <v>No</v>
      </c>
      <c r="S539" s="501"/>
      <c r="T539" s="478"/>
      <c r="U539" s="501"/>
      <c r="V539" s="479" t="str">
        <f>IF(R539="No","No Twilight",IF(T539="Yes","Uncomprehended Twilight",IF((Character!$B$14+IF(Character!$B$53="Yes",0,Character!$B$53)+IF(Magic!$C$5="Yes",2,0)+ROUNDUP((Magic!$B$30+IF(Magic!$C$30="Yes",3,0))/5,0)+S539)&gt;=($D$3+P539+SUMIF(Character!$I$62:$I$66,"Enigmatic Wisdom",Character!$J$62:$J$66)+Q539+U539),"No Twilight","Twilight")))</f>
        <v>No Twilight</v>
      </c>
      <c r="W539" s="483"/>
      <c r="X539" s="478"/>
      <c r="Y539" s="484"/>
      <c r="Z539" s="478"/>
      <c r="AA539" s="485" t="str">
        <f>IF(V539="Uncomprehended Twilight","Failed",IF(OR(ISBLANK(W539),ISBLANK(Y539))," ",IF(NOT(ISBLANK(X539)),"Failed",IF((W539+Character!$B$9+SUMIF(Character!$I$62:$I$66,"Enigmatic Wisdom",Character!$J$62:$J$66))&gt;=IF(Z539="Yes",0,(Y539+D534)),"Succeeded","Failed"))))</f>
        <v xml:space="preserve"> </v>
      </c>
      <c r="AB539" s="477" t="str">
        <f>IF(AA539=" "," ",IF(NOT(ISBLANK(X539)),VLOOKUP($D$3+X539,Calcs!$A$110:$C$122,3,TRUE),IF(AA539="Failed",VLOOKUP($D$3,Calcs!$A$110:$C$122,3,TRUE),VLOOKUP($D$3-(IF((Character!$B$9+W539)&gt;($D$3+Y539),(Character!$B$9+W539)-($D$3+Y539),0)),Calcs!$A$110:$C$122,3,TRUE))))</f>
        <v xml:space="preserve"> </v>
      </c>
      <c r="AC539" s="489"/>
      <c r="AD539" s="489" t="str">
        <f>IF(IF(AA539=" "," ",IF(NOT(ISBLANK(X539)),VLOOKUP($D$3+X539,Calcs!$A$110:$B$122,2,TRUE),IF(AA539="Failed",VLOOKUP($D$3,Calcs!$A$110:$B$122,2,TRUE),VLOOKUP($D$3-(IF((Character!$B$9+W539)&gt;($D$3+Y539),(Character!$B$9+W539)-($D$3+Y539),0)),Calcs!$A$110:$B$122,2,TRUE))))=Calcs!$B$120,IF(ISBLANK(AC539)," ",CONCATENATE(AC539+7," Years")),IF(AA539=" "," ",IF(NOT(ISBLANK(X539)),VLOOKUP($D$3+X539,Calcs!$A$110:$B$122,2,TRUE),IF(AA539="Failed",VLOOKUP($D$3,Calcs!$A$110:$B$122,2,TRUE),VLOOKUP($D$3-(IF((Character!$B$9+W539)&gt;($D$3+Y539),(Character!$B$9+W539)-($D$3+Y539),0)),Calcs!$A$110:$B$122,2,TRUE)))))</f>
        <v xml:space="preserve"> </v>
      </c>
      <c r="AE539" s="490"/>
      <c r="AF539" s="879"/>
      <c r="AG539" s="491"/>
    </row>
    <row r="540" spans="1:33" x14ac:dyDescent="0.2">
      <c r="A540" s="415">
        <f t="shared" si="14"/>
        <v>1345</v>
      </c>
      <c r="B540" s="419" t="str">
        <f t="shared" si="15"/>
        <v>Winter</v>
      </c>
      <c r="C540" s="455"/>
      <c r="D540" s="504"/>
      <c r="E540" s="455"/>
      <c r="F540" s="504"/>
      <c r="G540" s="455"/>
      <c r="H540" s="504"/>
      <c r="I540" s="455"/>
      <c r="J540" s="504"/>
      <c r="L540" s="472"/>
      <c r="M540" s="468"/>
      <c r="N540" s="468"/>
      <c r="O540" s="468"/>
      <c r="P540" s="468"/>
      <c r="Q540" s="473"/>
      <c r="R540" s="477" t="str">
        <f>IF(AND(COUNTIF('Start Character'!$I$63:$M$77,"Twilight Prone")=1,NOT(ISERROR(FIND("Magical Botch",M540)))),"Yes",IF(P540&gt;1,"Yes","No"))</f>
        <v>No</v>
      </c>
      <c r="S540" s="501"/>
      <c r="T540" s="478"/>
      <c r="U540" s="501"/>
      <c r="V540" s="479" t="str">
        <f>IF(R540="No","No Twilight",IF(T540="Yes","Uncomprehended Twilight",IF((Character!$B$14+IF(Character!$B$53="Yes",0,Character!$B$53)+IF(Magic!$C$5="Yes",2,0)+ROUNDUP((Magic!$B$30+IF(Magic!$C$30="Yes",3,0))/5,0)+S540)&gt;=($D$3+P540+SUMIF(Character!$I$62:$I$66,"Enigmatic Wisdom",Character!$J$62:$J$66)+Q540+U540),"No Twilight","Twilight")))</f>
        <v>No Twilight</v>
      </c>
      <c r="W540" s="483"/>
      <c r="X540" s="478"/>
      <c r="Y540" s="484"/>
      <c r="Z540" s="478"/>
      <c r="AA540" s="485" t="str">
        <f>IF(V540="Uncomprehended Twilight","Failed",IF(OR(ISBLANK(W540),ISBLANK(Y540))," ",IF(NOT(ISBLANK(X540)),"Failed",IF((W540+Character!$B$9+SUMIF(Character!$I$62:$I$66,"Enigmatic Wisdom",Character!$J$62:$J$66))&gt;=IF(Z540="Yes",0,(Y540+D535)),"Succeeded","Failed"))))</f>
        <v xml:space="preserve"> </v>
      </c>
      <c r="AB540" s="477" t="str">
        <f>IF(AA540=" "," ",IF(NOT(ISBLANK(X540)),VLOOKUP($D$3+X540,Calcs!$A$110:$C$122,3,TRUE),IF(AA540="Failed",VLOOKUP($D$3,Calcs!$A$110:$C$122,3,TRUE),VLOOKUP($D$3-(IF((Character!$B$9+W540)&gt;($D$3+Y540),(Character!$B$9+W540)-($D$3+Y540),0)),Calcs!$A$110:$C$122,3,TRUE))))</f>
        <v xml:space="preserve"> </v>
      </c>
      <c r="AC540" s="489"/>
      <c r="AD540" s="489" t="str">
        <f>IF(IF(AA540=" "," ",IF(NOT(ISBLANK(X540)),VLOOKUP($D$3+X540,Calcs!$A$110:$B$122,2,TRUE),IF(AA540="Failed",VLOOKUP($D$3,Calcs!$A$110:$B$122,2,TRUE),VLOOKUP($D$3-(IF((Character!$B$9+W540)&gt;($D$3+Y540),(Character!$B$9+W540)-($D$3+Y540),0)),Calcs!$A$110:$B$122,2,TRUE))))=Calcs!$B$120,IF(ISBLANK(AC540)," ",CONCATENATE(AC540+7," Years")),IF(AA540=" "," ",IF(NOT(ISBLANK(X540)),VLOOKUP($D$3+X540,Calcs!$A$110:$B$122,2,TRUE),IF(AA540="Failed",VLOOKUP($D$3,Calcs!$A$110:$B$122,2,TRUE),VLOOKUP($D$3-(IF((Character!$B$9+W540)&gt;($D$3+Y540),(Character!$B$9+W540)-($D$3+Y540),0)),Calcs!$A$110:$B$122,2,TRUE)))))</f>
        <v xml:space="preserve"> </v>
      </c>
      <c r="AE540" s="490"/>
      <c r="AF540" s="879"/>
      <c r="AG540" s="491"/>
    </row>
    <row r="541" spans="1:33" x14ac:dyDescent="0.2">
      <c r="A541" s="415">
        <f t="shared" ref="A541:A604" si="16">IF(B540="Autumn",A540+1,A540)</f>
        <v>1345</v>
      </c>
      <c r="B541" s="419" t="str">
        <f t="shared" ref="B541:B604" si="17">IF(B540="spring","Summer",IF(B540="Summer","Autumn",IF(B540="Autumn","Winter",IF(B540="Winter","Spring"," "))))</f>
        <v>Spring</v>
      </c>
      <c r="C541" s="455"/>
      <c r="D541" s="504"/>
      <c r="E541" s="455"/>
      <c r="F541" s="504"/>
      <c r="G541" s="455"/>
      <c r="H541" s="504"/>
      <c r="I541" s="455"/>
      <c r="J541" s="504"/>
      <c r="L541" s="472"/>
      <c r="M541" s="468"/>
      <c r="N541" s="468"/>
      <c r="O541" s="468"/>
      <c r="P541" s="468"/>
      <c r="Q541" s="473"/>
      <c r="R541" s="477" t="str">
        <f>IF(AND(COUNTIF('Start Character'!$I$63:$M$77,"Twilight Prone")=1,NOT(ISERROR(FIND("Magical Botch",M541)))),"Yes",IF(P541&gt;1,"Yes","No"))</f>
        <v>No</v>
      </c>
      <c r="S541" s="501"/>
      <c r="T541" s="478"/>
      <c r="U541" s="501"/>
      <c r="V541" s="479" t="str">
        <f>IF(R541="No","No Twilight",IF(T541="Yes","Uncomprehended Twilight",IF((Character!$B$14+IF(Character!$B$53="Yes",0,Character!$B$53)+IF(Magic!$C$5="Yes",2,0)+ROUNDUP((Magic!$B$30+IF(Magic!$C$30="Yes",3,0))/5,0)+S541)&gt;=($D$3+P541+SUMIF(Character!$I$62:$I$66,"Enigmatic Wisdom",Character!$J$62:$J$66)+Q541+U541),"No Twilight","Twilight")))</f>
        <v>No Twilight</v>
      </c>
      <c r="W541" s="483"/>
      <c r="X541" s="478"/>
      <c r="Y541" s="484"/>
      <c r="Z541" s="478"/>
      <c r="AA541" s="485" t="str">
        <f>IF(V541="Uncomprehended Twilight","Failed",IF(OR(ISBLANK(W541),ISBLANK(Y541))," ",IF(NOT(ISBLANK(X541)),"Failed",IF((W541+Character!$B$9+SUMIF(Character!$I$62:$I$66,"Enigmatic Wisdom",Character!$J$62:$J$66))&gt;=IF(Z541="Yes",0,(Y541+D536)),"Succeeded","Failed"))))</f>
        <v xml:space="preserve"> </v>
      </c>
      <c r="AB541" s="477" t="str">
        <f>IF(AA541=" "," ",IF(NOT(ISBLANK(X541)),VLOOKUP($D$3+X541,Calcs!$A$110:$C$122,3,TRUE),IF(AA541="Failed",VLOOKUP($D$3,Calcs!$A$110:$C$122,3,TRUE),VLOOKUP($D$3-(IF((Character!$B$9+W541)&gt;($D$3+Y541),(Character!$B$9+W541)-($D$3+Y541),0)),Calcs!$A$110:$C$122,3,TRUE))))</f>
        <v xml:space="preserve"> </v>
      </c>
      <c r="AC541" s="489"/>
      <c r="AD541" s="489" t="str">
        <f>IF(IF(AA541=" "," ",IF(NOT(ISBLANK(X541)),VLOOKUP($D$3+X541,Calcs!$A$110:$B$122,2,TRUE),IF(AA541="Failed",VLOOKUP($D$3,Calcs!$A$110:$B$122,2,TRUE),VLOOKUP($D$3-(IF((Character!$B$9+W541)&gt;($D$3+Y541),(Character!$B$9+W541)-($D$3+Y541),0)),Calcs!$A$110:$B$122,2,TRUE))))=Calcs!$B$120,IF(ISBLANK(AC541)," ",CONCATENATE(AC541+7," Years")),IF(AA541=" "," ",IF(NOT(ISBLANK(X541)),VLOOKUP($D$3+X541,Calcs!$A$110:$B$122,2,TRUE),IF(AA541="Failed",VLOOKUP($D$3,Calcs!$A$110:$B$122,2,TRUE),VLOOKUP($D$3-(IF((Character!$B$9+W541)&gt;($D$3+Y541),(Character!$B$9+W541)-($D$3+Y541),0)),Calcs!$A$110:$B$122,2,TRUE)))))</f>
        <v xml:space="preserve"> </v>
      </c>
      <c r="AE541" s="490"/>
      <c r="AF541" s="879"/>
      <c r="AG541" s="491"/>
    </row>
    <row r="542" spans="1:33" x14ac:dyDescent="0.2">
      <c r="A542" s="415">
        <f t="shared" si="16"/>
        <v>1345</v>
      </c>
      <c r="B542" s="419" t="str">
        <f t="shared" si="17"/>
        <v>Summer</v>
      </c>
      <c r="C542" s="455"/>
      <c r="D542" s="504"/>
      <c r="E542" s="455"/>
      <c r="F542" s="504"/>
      <c r="G542" s="455"/>
      <c r="H542" s="504"/>
      <c r="I542" s="455"/>
      <c r="J542" s="504"/>
      <c r="L542" s="472"/>
      <c r="M542" s="468"/>
      <c r="N542" s="468"/>
      <c r="O542" s="468"/>
      <c r="P542" s="468"/>
      <c r="Q542" s="473"/>
      <c r="R542" s="477" t="str">
        <f>IF(AND(COUNTIF('Start Character'!$I$63:$M$77,"Twilight Prone")=1,NOT(ISERROR(FIND("Magical Botch",M542)))),"Yes",IF(P542&gt;1,"Yes","No"))</f>
        <v>No</v>
      </c>
      <c r="S542" s="501"/>
      <c r="T542" s="478"/>
      <c r="U542" s="501"/>
      <c r="V542" s="479" t="str">
        <f>IF(R542="No","No Twilight",IF(T542="Yes","Uncomprehended Twilight",IF((Character!$B$14+IF(Character!$B$53="Yes",0,Character!$B$53)+IF(Magic!$C$5="Yes",2,0)+ROUNDUP((Magic!$B$30+IF(Magic!$C$30="Yes",3,0))/5,0)+S542)&gt;=($D$3+P542+SUMIF(Character!$I$62:$I$66,"Enigmatic Wisdom",Character!$J$62:$J$66)+Q542+U542),"No Twilight","Twilight")))</f>
        <v>No Twilight</v>
      </c>
      <c r="W542" s="483"/>
      <c r="X542" s="478"/>
      <c r="Y542" s="484"/>
      <c r="Z542" s="478"/>
      <c r="AA542" s="485" t="str">
        <f>IF(V542="Uncomprehended Twilight","Failed",IF(OR(ISBLANK(W542),ISBLANK(Y542))," ",IF(NOT(ISBLANK(X542)),"Failed",IF((W542+Character!$B$9+SUMIF(Character!$I$62:$I$66,"Enigmatic Wisdom",Character!$J$62:$J$66))&gt;=IF(Z542="Yes",0,(Y542+D537)),"Succeeded","Failed"))))</f>
        <v xml:space="preserve"> </v>
      </c>
      <c r="AB542" s="477" t="str">
        <f>IF(AA542=" "," ",IF(NOT(ISBLANK(X542)),VLOOKUP($D$3+X542,Calcs!$A$110:$C$122,3,TRUE),IF(AA542="Failed",VLOOKUP($D$3,Calcs!$A$110:$C$122,3,TRUE),VLOOKUP($D$3-(IF((Character!$B$9+W542)&gt;($D$3+Y542),(Character!$B$9+W542)-($D$3+Y542),0)),Calcs!$A$110:$C$122,3,TRUE))))</f>
        <v xml:space="preserve"> </v>
      </c>
      <c r="AC542" s="489"/>
      <c r="AD542" s="489" t="str">
        <f>IF(IF(AA542=" "," ",IF(NOT(ISBLANK(X542)),VLOOKUP($D$3+X542,Calcs!$A$110:$B$122,2,TRUE),IF(AA542="Failed",VLOOKUP($D$3,Calcs!$A$110:$B$122,2,TRUE),VLOOKUP($D$3-(IF((Character!$B$9+W542)&gt;($D$3+Y542),(Character!$B$9+W542)-($D$3+Y542),0)),Calcs!$A$110:$B$122,2,TRUE))))=Calcs!$B$120,IF(ISBLANK(AC542)," ",CONCATENATE(AC542+7," Years")),IF(AA542=" "," ",IF(NOT(ISBLANK(X542)),VLOOKUP($D$3+X542,Calcs!$A$110:$B$122,2,TRUE),IF(AA542="Failed",VLOOKUP($D$3,Calcs!$A$110:$B$122,2,TRUE),VLOOKUP($D$3-(IF((Character!$B$9+W542)&gt;($D$3+Y542),(Character!$B$9+W542)-($D$3+Y542),0)),Calcs!$A$110:$B$122,2,TRUE)))))</f>
        <v xml:space="preserve"> </v>
      </c>
      <c r="AE542" s="490"/>
      <c r="AF542" s="879"/>
      <c r="AG542" s="491"/>
    </row>
    <row r="543" spans="1:33" x14ac:dyDescent="0.2">
      <c r="A543" s="415">
        <f t="shared" si="16"/>
        <v>1345</v>
      </c>
      <c r="B543" s="419" t="str">
        <f t="shared" si="17"/>
        <v>Autumn</v>
      </c>
      <c r="C543" s="455"/>
      <c r="D543" s="504"/>
      <c r="E543" s="455"/>
      <c r="F543" s="504"/>
      <c r="G543" s="455"/>
      <c r="H543" s="504"/>
      <c r="I543" s="455"/>
      <c r="J543" s="504"/>
      <c r="L543" s="472"/>
      <c r="M543" s="468"/>
      <c r="N543" s="468"/>
      <c r="O543" s="468"/>
      <c r="P543" s="468"/>
      <c r="Q543" s="473"/>
      <c r="R543" s="477" t="str">
        <f>IF(AND(COUNTIF('Start Character'!$I$63:$M$77,"Twilight Prone")=1,NOT(ISERROR(FIND("Magical Botch",M543)))),"Yes",IF(P543&gt;1,"Yes","No"))</f>
        <v>No</v>
      </c>
      <c r="S543" s="501"/>
      <c r="T543" s="478"/>
      <c r="U543" s="501"/>
      <c r="V543" s="479" t="str">
        <f>IF(R543="No","No Twilight",IF(T543="Yes","Uncomprehended Twilight",IF((Character!$B$14+IF(Character!$B$53="Yes",0,Character!$B$53)+IF(Magic!$C$5="Yes",2,0)+ROUNDUP((Magic!$B$30+IF(Magic!$C$30="Yes",3,0))/5,0)+S543)&gt;=($D$3+P543+SUMIF(Character!$I$62:$I$66,"Enigmatic Wisdom",Character!$J$62:$J$66)+Q543+U543),"No Twilight","Twilight")))</f>
        <v>No Twilight</v>
      </c>
      <c r="W543" s="483"/>
      <c r="X543" s="478"/>
      <c r="Y543" s="484"/>
      <c r="Z543" s="478"/>
      <c r="AA543" s="485" t="str">
        <f>IF(V543="Uncomprehended Twilight","Failed",IF(OR(ISBLANK(W543),ISBLANK(Y543))," ",IF(NOT(ISBLANK(X543)),"Failed",IF((W543+Character!$B$9+SUMIF(Character!$I$62:$I$66,"Enigmatic Wisdom",Character!$J$62:$J$66))&gt;=IF(Z543="Yes",0,(Y543+D538)),"Succeeded","Failed"))))</f>
        <v xml:space="preserve"> </v>
      </c>
      <c r="AB543" s="477" t="str">
        <f>IF(AA543=" "," ",IF(NOT(ISBLANK(X543)),VLOOKUP($D$3+X543,Calcs!$A$110:$C$122,3,TRUE),IF(AA543="Failed",VLOOKUP($D$3,Calcs!$A$110:$C$122,3,TRUE),VLOOKUP($D$3-(IF((Character!$B$9+W543)&gt;($D$3+Y543),(Character!$B$9+W543)-($D$3+Y543),0)),Calcs!$A$110:$C$122,3,TRUE))))</f>
        <v xml:space="preserve"> </v>
      </c>
      <c r="AC543" s="489"/>
      <c r="AD543" s="489" t="str">
        <f>IF(IF(AA543=" "," ",IF(NOT(ISBLANK(X543)),VLOOKUP($D$3+X543,Calcs!$A$110:$B$122,2,TRUE),IF(AA543="Failed",VLOOKUP($D$3,Calcs!$A$110:$B$122,2,TRUE),VLOOKUP($D$3-(IF((Character!$B$9+W543)&gt;($D$3+Y543),(Character!$B$9+W543)-($D$3+Y543),0)),Calcs!$A$110:$B$122,2,TRUE))))=Calcs!$B$120,IF(ISBLANK(AC543)," ",CONCATENATE(AC543+7," Years")),IF(AA543=" "," ",IF(NOT(ISBLANK(X543)),VLOOKUP($D$3+X543,Calcs!$A$110:$B$122,2,TRUE),IF(AA543="Failed",VLOOKUP($D$3,Calcs!$A$110:$B$122,2,TRUE),VLOOKUP($D$3-(IF((Character!$B$9+W543)&gt;($D$3+Y543),(Character!$B$9+W543)-($D$3+Y543),0)),Calcs!$A$110:$B$122,2,TRUE)))))</f>
        <v xml:space="preserve"> </v>
      </c>
      <c r="AE543" s="490"/>
      <c r="AF543" s="879"/>
      <c r="AG543" s="491"/>
    </row>
    <row r="544" spans="1:33" x14ac:dyDescent="0.2">
      <c r="A544" s="415">
        <f t="shared" si="16"/>
        <v>1346</v>
      </c>
      <c r="B544" s="419" t="str">
        <f t="shared" si="17"/>
        <v>Winter</v>
      </c>
      <c r="C544" s="455"/>
      <c r="D544" s="504"/>
      <c r="E544" s="455"/>
      <c r="F544" s="504"/>
      <c r="G544" s="455"/>
      <c r="H544" s="504"/>
      <c r="I544" s="455"/>
      <c r="J544" s="504"/>
      <c r="L544" s="472"/>
      <c r="M544" s="468"/>
      <c r="N544" s="468"/>
      <c r="O544" s="468"/>
      <c r="P544" s="468"/>
      <c r="Q544" s="473"/>
      <c r="R544" s="477" t="str">
        <f>IF(AND(COUNTIF('Start Character'!$I$63:$M$77,"Twilight Prone")=1,NOT(ISERROR(FIND("Magical Botch",M544)))),"Yes",IF(P544&gt;1,"Yes","No"))</f>
        <v>No</v>
      </c>
      <c r="S544" s="501"/>
      <c r="T544" s="478"/>
      <c r="U544" s="501"/>
      <c r="V544" s="479" t="str">
        <f>IF(R544="No","No Twilight",IF(T544="Yes","Uncomprehended Twilight",IF((Character!$B$14+IF(Character!$B$53="Yes",0,Character!$B$53)+IF(Magic!$C$5="Yes",2,0)+ROUNDUP((Magic!$B$30+IF(Magic!$C$30="Yes",3,0))/5,0)+S544)&gt;=($D$3+P544+SUMIF(Character!$I$62:$I$66,"Enigmatic Wisdom",Character!$J$62:$J$66)+Q544+U544),"No Twilight","Twilight")))</f>
        <v>No Twilight</v>
      </c>
      <c r="W544" s="483"/>
      <c r="X544" s="478"/>
      <c r="Y544" s="484"/>
      <c r="Z544" s="478"/>
      <c r="AA544" s="485" t="str">
        <f>IF(V544="Uncomprehended Twilight","Failed",IF(OR(ISBLANK(W544),ISBLANK(Y544))," ",IF(NOT(ISBLANK(X544)),"Failed",IF((W544+Character!$B$9+SUMIF(Character!$I$62:$I$66,"Enigmatic Wisdom",Character!$J$62:$J$66))&gt;=IF(Z544="Yes",0,(Y544+D539)),"Succeeded","Failed"))))</f>
        <v xml:space="preserve"> </v>
      </c>
      <c r="AB544" s="477" t="str">
        <f>IF(AA544=" "," ",IF(NOT(ISBLANK(X544)),VLOOKUP($D$3+X544,Calcs!$A$110:$C$122,3,TRUE),IF(AA544="Failed",VLOOKUP($D$3,Calcs!$A$110:$C$122,3,TRUE),VLOOKUP($D$3-(IF((Character!$B$9+W544)&gt;($D$3+Y544),(Character!$B$9+W544)-($D$3+Y544),0)),Calcs!$A$110:$C$122,3,TRUE))))</f>
        <v xml:space="preserve"> </v>
      </c>
      <c r="AC544" s="489"/>
      <c r="AD544" s="489" t="str">
        <f>IF(IF(AA544=" "," ",IF(NOT(ISBLANK(X544)),VLOOKUP($D$3+X544,Calcs!$A$110:$B$122,2,TRUE),IF(AA544="Failed",VLOOKUP($D$3,Calcs!$A$110:$B$122,2,TRUE),VLOOKUP($D$3-(IF((Character!$B$9+W544)&gt;($D$3+Y544),(Character!$B$9+W544)-($D$3+Y544),0)),Calcs!$A$110:$B$122,2,TRUE))))=Calcs!$B$120,IF(ISBLANK(AC544)," ",CONCATENATE(AC544+7," Years")),IF(AA544=" "," ",IF(NOT(ISBLANK(X544)),VLOOKUP($D$3+X544,Calcs!$A$110:$B$122,2,TRUE),IF(AA544="Failed",VLOOKUP($D$3,Calcs!$A$110:$B$122,2,TRUE),VLOOKUP($D$3-(IF((Character!$B$9+W544)&gt;($D$3+Y544),(Character!$B$9+W544)-($D$3+Y544),0)),Calcs!$A$110:$B$122,2,TRUE)))))</f>
        <v xml:space="preserve"> </v>
      </c>
      <c r="AE544" s="490"/>
      <c r="AF544" s="879"/>
      <c r="AG544" s="491"/>
    </row>
    <row r="545" spans="1:33" x14ac:dyDescent="0.2">
      <c r="A545" s="415">
        <f t="shared" si="16"/>
        <v>1346</v>
      </c>
      <c r="B545" s="419" t="str">
        <f t="shared" si="17"/>
        <v>Spring</v>
      </c>
      <c r="C545" s="455"/>
      <c r="D545" s="504"/>
      <c r="E545" s="455"/>
      <c r="F545" s="504"/>
      <c r="G545" s="455"/>
      <c r="H545" s="504"/>
      <c r="I545" s="455"/>
      <c r="J545" s="504"/>
      <c r="L545" s="472"/>
      <c r="M545" s="468"/>
      <c r="N545" s="468"/>
      <c r="O545" s="468"/>
      <c r="P545" s="468"/>
      <c r="Q545" s="473"/>
      <c r="R545" s="477" t="str">
        <f>IF(AND(COUNTIF('Start Character'!$I$63:$M$77,"Twilight Prone")=1,NOT(ISERROR(FIND("Magical Botch",M545)))),"Yes",IF(P545&gt;1,"Yes","No"))</f>
        <v>No</v>
      </c>
      <c r="S545" s="501"/>
      <c r="T545" s="478"/>
      <c r="U545" s="501"/>
      <c r="V545" s="479" t="str">
        <f>IF(R545="No","No Twilight",IF(T545="Yes","Uncomprehended Twilight",IF((Character!$B$14+IF(Character!$B$53="Yes",0,Character!$B$53)+IF(Magic!$C$5="Yes",2,0)+ROUNDUP((Magic!$B$30+IF(Magic!$C$30="Yes",3,0))/5,0)+S545)&gt;=($D$3+P545+SUMIF(Character!$I$62:$I$66,"Enigmatic Wisdom",Character!$J$62:$J$66)+Q545+U545),"No Twilight","Twilight")))</f>
        <v>No Twilight</v>
      </c>
      <c r="W545" s="483"/>
      <c r="X545" s="478"/>
      <c r="Y545" s="484"/>
      <c r="Z545" s="478"/>
      <c r="AA545" s="485" t="str">
        <f>IF(V545="Uncomprehended Twilight","Failed",IF(OR(ISBLANK(W545),ISBLANK(Y545))," ",IF(NOT(ISBLANK(X545)),"Failed",IF((W545+Character!$B$9+SUMIF(Character!$I$62:$I$66,"Enigmatic Wisdom",Character!$J$62:$J$66))&gt;=IF(Z545="Yes",0,(Y545+D540)),"Succeeded","Failed"))))</f>
        <v xml:space="preserve"> </v>
      </c>
      <c r="AB545" s="477" t="str">
        <f>IF(AA545=" "," ",IF(NOT(ISBLANK(X545)),VLOOKUP($D$3+X545,Calcs!$A$110:$C$122,3,TRUE),IF(AA545="Failed",VLOOKUP($D$3,Calcs!$A$110:$C$122,3,TRUE),VLOOKUP($D$3-(IF((Character!$B$9+W545)&gt;($D$3+Y545),(Character!$B$9+W545)-($D$3+Y545),0)),Calcs!$A$110:$C$122,3,TRUE))))</f>
        <v xml:space="preserve"> </v>
      </c>
      <c r="AC545" s="489"/>
      <c r="AD545" s="489" t="str">
        <f>IF(IF(AA545=" "," ",IF(NOT(ISBLANK(X545)),VLOOKUP($D$3+X545,Calcs!$A$110:$B$122,2,TRUE),IF(AA545="Failed",VLOOKUP($D$3,Calcs!$A$110:$B$122,2,TRUE),VLOOKUP($D$3-(IF((Character!$B$9+W545)&gt;($D$3+Y545),(Character!$B$9+W545)-($D$3+Y545),0)),Calcs!$A$110:$B$122,2,TRUE))))=Calcs!$B$120,IF(ISBLANK(AC545)," ",CONCATENATE(AC545+7," Years")),IF(AA545=" "," ",IF(NOT(ISBLANK(X545)),VLOOKUP($D$3+X545,Calcs!$A$110:$B$122,2,TRUE),IF(AA545="Failed",VLOOKUP($D$3,Calcs!$A$110:$B$122,2,TRUE),VLOOKUP($D$3-(IF((Character!$B$9+W545)&gt;($D$3+Y545),(Character!$B$9+W545)-($D$3+Y545),0)),Calcs!$A$110:$B$122,2,TRUE)))))</f>
        <v xml:space="preserve"> </v>
      </c>
      <c r="AE545" s="490"/>
      <c r="AF545" s="879"/>
      <c r="AG545" s="491"/>
    </row>
    <row r="546" spans="1:33" x14ac:dyDescent="0.2">
      <c r="A546" s="415">
        <f t="shared" si="16"/>
        <v>1346</v>
      </c>
      <c r="B546" s="419" t="str">
        <f t="shared" si="17"/>
        <v>Summer</v>
      </c>
      <c r="C546" s="455"/>
      <c r="D546" s="504"/>
      <c r="E546" s="455"/>
      <c r="F546" s="504"/>
      <c r="G546" s="455"/>
      <c r="H546" s="504"/>
      <c r="I546" s="455"/>
      <c r="J546" s="504"/>
      <c r="L546" s="472"/>
      <c r="M546" s="468"/>
      <c r="N546" s="468"/>
      <c r="O546" s="468"/>
      <c r="P546" s="468"/>
      <c r="Q546" s="473"/>
      <c r="R546" s="477" t="str">
        <f>IF(AND(COUNTIF('Start Character'!$I$63:$M$77,"Twilight Prone")=1,NOT(ISERROR(FIND("Magical Botch",M546)))),"Yes",IF(P546&gt;1,"Yes","No"))</f>
        <v>No</v>
      </c>
      <c r="S546" s="501"/>
      <c r="T546" s="478"/>
      <c r="U546" s="501"/>
      <c r="V546" s="479" t="str">
        <f>IF(R546="No","No Twilight",IF(T546="Yes","Uncomprehended Twilight",IF((Character!$B$14+IF(Character!$B$53="Yes",0,Character!$B$53)+IF(Magic!$C$5="Yes",2,0)+ROUNDUP((Magic!$B$30+IF(Magic!$C$30="Yes",3,0))/5,0)+S546)&gt;=($D$3+P546+SUMIF(Character!$I$62:$I$66,"Enigmatic Wisdom",Character!$J$62:$J$66)+Q546+U546),"No Twilight","Twilight")))</f>
        <v>No Twilight</v>
      </c>
      <c r="W546" s="483"/>
      <c r="X546" s="478"/>
      <c r="Y546" s="484"/>
      <c r="Z546" s="478"/>
      <c r="AA546" s="485" t="str">
        <f>IF(V546="Uncomprehended Twilight","Failed",IF(OR(ISBLANK(W546),ISBLANK(Y546))," ",IF(NOT(ISBLANK(X546)),"Failed",IF((W546+Character!$B$9+SUMIF(Character!$I$62:$I$66,"Enigmatic Wisdom",Character!$J$62:$J$66))&gt;=IF(Z546="Yes",0,(Y546+D541)),"Succeeded","Failed"))))</f>
        <v xml:space="preserve"> </v>
      </c>
      <c r="AB546" s="477" t="str">
        <f>IF(AA546=" "," ",IF(NOT(ISBLANK(X546)),VLOOKUP($D$3+X546,Calcs!$A$110:$C$122,3,TRUE),IF(AA546="Failed",VLOOKUP($D$3,Calcs!$A$110:$C$122,3,TRUE),VLOOKUP($D$3-(IF((Character!$B$9+W546)&gt;($D$3+Y546),(Character!$B$9+W546)-($D$3+Y546),0)),Calcs!$A$110:$C$122,3,TRUE))))</f>
        <v xml:space="preserve"> </v>
      </c>
      <c r="AC546" s="489"/>
      <c r="AD546" s="489" t="str">
        <f>IF(IF(AA546=" "," ",IF(NOT(ISBLANK(X546)),VLOOKUP($D$3+X546,Calcs!$A$110:$B$122,2,TRUE),IF(AA546="Failed",VLOOKUP($D$3,Calcs!$A$110:$B$122,2,TRUE),VLOOKUP($D$3-(IF((Character!$B$9+W546)&gt;($D$3+Y546),(Character!$B$9+W546)-($D$3+Y546),0)),Calcs!$A$110:$B$122,2,TRUE))))=Calcs!$B$120,IF(ISBLANK(AC546)," ",CONCATENATE(AC546+7," Years")),IF(AA546=" "," ",IF(NOT(ISBLANK(X546)),VLOOKUP($D$3+X546,Calcs!$A$110:$B$122,2,TRUE),IF(AA546="Failed",VLOOKUP($D$3,Calcs!$A$110:$B$122,2,TRUE),VLOOKUP($D$3-(IF((Character!$B$9+W546)&gt;($D$3+Y546),(Character!$B$9+W546)-($D$3+Y546),0)),Calcs!$A$110:$B$122,2,TRUE)))))</f>
        <v xml:space="preserve"> </v>
      </c>
      <c r="AE546" s="490"/>
      <c r="AF546" s="879"/>
      <c r="AG546" s="491"/>
    </row>
    <row r="547" spans="1:33" x14ac:dyDescent="0.2">
      <c r="A547" s="415">
        <f t="shared" si="16"/>
        <v>1346</v>
      </c>
      <c r="B547" s="419" t="str">
        <f t="shared" si="17"/>
        <v>Autumn</v>
      </c>
      <c r="C547" s="455"/>
      <c r="D547" s="504"/>
      <c r="E547" s="455"/>
      <c r="F547" s="504"/>
      <c r="G547" s="455"/>
      <c r="H547" s="504"/>
      <c r="I547" s="455"/>
      <c r="J547" s="504"/>
      <c r="L547" s="472"/>
      <c r="M547" s="468"/>
      <c r="N547" s="468"/>
      <c r="O547" s="468"/>
      <c r="P547" s="468"/>
      <c r="Q547" s="473"/>
      <c r="R547" s="477" t="str">
        <f>IF(AND(COUNTIF('Start Character'!$I$63:$M$77,"Twilight Prone")=1,NOT(ISERROR(FIND("Magical Botch",M547)))),"Yes",IF(P547&gt;1,"Yes","No"))</f>
        <v>No</v>
      </c>
      <c r="S547" s="501"/>
      <c r="T547" s="478"/>
      <c r="U547" s="501"/>
      <c r="V547" s="479" t="str">
        <f>IF(R547="No","No Twilight",IF(T547="Yes","Uncomprehended Twilight",IF((Character!$B$14+IF(Character!$B$53="Yes",0,Character!$B$53)+IF(Magic!$C$5="Yes",2,0)+ROUNDUP((Magic!$B$30+IF(Magic!$C$30="Yes",3,0))/5,0)+S547)&gt;=($D$3+P547+SUMIF(Character!$I$62:$I$66,"Enigmatic Wisdom",Character!$J$62:$J$66)+Q547+U547),"No Twilight","Twilight")))</f>
        <v>No Twilight</v>
      </c>
      <c r="W547" s="483"/>
      <c r="X547" s="478"/>
      <c r="Y547" s="484"/>
      <c r="Z547" s="478"/>
      <c r="AA547" s="485" t="str">
        <f>IF(V547="Uncomprehended Twilight","Failed",IF(OR(ISBLANK(W547),ISBLANK(Y547))," ",IF(NOT(ISBLANK(X547)),"Failed",IF((W547+Character!$B$9+SUMIF(Character!$I$62:$I$66,"Enigmatic Wisdom",Character!$J$62:$J$66))&gt;=IF(Z547="Yes",0,(Y547+D542)),"Succeeded","Failed"))))</f>
        <v xml:space="preserve"> </v>
      </c>
      <c r="AB547" s="477" t="str">
        <f>IF(AA547=" "," ",IF(NOT(ISBLANK(X547)),VLOOKUP($D$3+X547,Calcs!$A$110:$C$122,3,TRUE),IF(AA547="Failed",VLOOKUP($D$3,Calcs!$A$110:$C$122,3,TRUE),VLOOKUP($D$3-(IF((Character!$B$9+W547)&gt;($D$3+Y547),(Character!$B$9+W547)-($D$3+Y547),0)),Calcs!$A$110:$C$122,3,TRUE))))</f>
        <v xml:space="preserve"> </v>
      </c>
      <c r="AC547" s="489"/>
      <c r="AD547" s="489" t="str">
        <f>IF(IF(AA547=" "," ",IF(NOT(ISBLANK(X547)),VLOOKUP($D$3+X547,Calcs!$A$110:$B$122,2,TRUE),IF(AA547="Failed",VLOOKUP($D$3,Calcs!$A$110:$B$122,2,TRUE),VLOOKUP($D$3-(IF((Character!$B$9+W547)&gt;($D$3+Y547),(Character!$B$9+W547)-($D$3+Y547),0)),Calcs!$A$110:$B$122,2,TRUE))))=Calcs!$B$120,IF(ISBLANK(AC547)," ",CONCATENATE(AC547+7," Years")),IF(AA547=" "," ",IF(NOT(ISBLANK(X547)),VLOOKUP($D$3+X547,Calcs!$A$110:$B$122,2,TRUE),IF(AA547="Failed",VLOOKUP($D$3,Calcs!$A$110:$B$122,2,TRUE),VLOOKUP($D$3-(IF((Character!$B$9+W547)&gt;($D$3+Y547),(Character!$B$9+W547)-($D$3+Y547),0)),Calcs!$A$110:$B$122,2,TRUE)))))</f>
        <v xml:space="preserve"> </v>
      </c>
      <c r="AE547" s="490"/>
      <c r="AF547" s="879"/>
      <c r="AG547" s="491"/>
    </row>
    <row r="548" spans="1:33" x14ac:dyDescent="0.2">
      <c r="A548" s="415">
        <f t="shared" si="16"/>
        <v>1347</v>
      </c>
      <c r="B548" s="419" t="str">
        <f t="shared" si="17"/>
        <v>Winter</v>
      </c>
      <c r="C548" s="455"/>
      <c r="D548" s="504"/>
      <c r="E548" s="455"/>
      <c r="F548" s="504"/>
      <c r="G548" s="455"/>
      <c r="H548" s="504"/>
      <c r="I548" s="455"/>
      <c r="J548" s="504"/>
      <c r="L548" s="472"/>
      <c r="M548" s="468"/>
      <c r="N548" s="468"/>
      <c r="O548" s="468"/>
      <c r="P548" s="468"/>
      <c r="Q548" s="473"/>
      <c r="R548" s="477" t="str">
        <f>IF(AND(COUNTIF('Start Character'!$I$63:$M$77,"Twilight Prone")=1,NOT(ISERROR(FIND("Magical Botch",M548)))),"Yes",IF(P548&gt;1,"Yes","No"))</f>
        <v>No</v>
      </c>
      <c r="S548" s="501"/>
      <c r="T548" s="478"/>
      <c r="U548" s="501"/>
      <c r="V548" s="479" t="str">
        <f>IF(R548="No","No Twilight",IF(T548="Yes","Uncomprehended Twilight",IF((Character!$B$14+IF(Character!$B$53="Yes",0,Character!$B$53)+IF(Magic!$C$5="Yes",2,0)+ROUNDUP((Magic!$B$30+IF(Magic!$C$30="Yes",3,0))/5,0)+S548)&gt;=($D$3+P548+SUMIF(Character!$I$62:$I$66,"Enigmatic Wisdom",Character!$J$62:$J$66)+Q548+U548),"No Twilight","Twilight")))</f>
        <v>No Twilight</v>
      </c>
      <c r="W548" s="483"/>
      <c r="X548" s="478"/>
      <c r="Y548" s="484"/>
      <c r="Z548" s="478"/>
      <c r="AA548" s="485" t="str">
        <f>IF(V548="Uncomprehended Twilight","Failed",IF(OR(ISBLANK(W548),ISBLANK(Y548))," ",IF(NOT(ISBLANK(X548)),"Failed",IF((W548+Character!$B$9+SUMIF(Character!$I$62:$I$66,"Enigmatic Wisdom",Character!$J$62:$J$66))&gt;=IF(Z548="Yes",0,(Y548+D543)),"Succeeded","Failed"))))</f>
        <v xml:space="preserve"> </v>
      </c>
      <c r="AB548" s="477" t="str">
        <f>IF(AA548=" "," ",IF(NOT(ISBLANK(X548)),VLOOKUP($D$3+X548,Calcs!$A$110:$C$122,3,TRUE),IF(AA548="Failed",VLOOKUP($D$3,Calcs!$A$110:$C$122,3,TRUE),VLOOKUP($D$3-(IF((Character!$B$9+W548)&gt;($D$3+Y548),(Character!$B$9+W548)-($D$3+Y548),0)),Calcs!$A$110:$C$122,3,TRUE))))</f>
        <v xml:space="preserve"> </v>
      </c>
      <c r="AC548" s="489"/>
      <c r="AD548" s="489" t="str">
        <f>IF(IF(AA548=" "," ",IF(NOT(ISBLANK(X548)),VLOOKUP($D$3+X548,Calcs!$A$110:$B$122,2,TRUE),IF(AA548="Failed",VLOOKUP($D$3,Calcs!$A$110:$B$122,2,TRUE),VLOOKUP($D$3-(IF((Character!$B$9+W548)&gt;($D$3+Y548),(Character!$B$9+W548)-($D$3+Y548),0)),Calcs!$A$110:$B$122,2,TRUE))))=Calcs!$B$120,IF(ISBLANK(AC548)," ",CONCATENATE(AC548+7," Years")),IF(AA548=" "," ",IF(NOT(ISBLANK(X548)),VLOOKUP($D$3+X548,Calcs!$A$110:$B$122,2,TRUE),IF(AA548="Failed",VLOOKUP($D$3,Calcs!$A$110:$B$122,2,TRUE),VLOOKUP($D$3-(IF((Character!$B$9+W548)&gt;($D$3+Y548),(Character!$B$9+W548)-($D$3+Y548),0)),Calcs!$A$110:$B$122,2,TRUE)))))</f>
        <v xml:space="preserve"> </v>
      </c>
      <c r="AE548" s="490"/>
      <c r="AF548" s="879"/>
      <c r="AG548" s="491"/>
    </row>
    <row r="549" spans="1:33" x14ac:dyDescent="0.2">
      <c r="A549" s="415">
        <f t="shared" si="16"/>
        <v>1347</v>
      </c>
      <c r="B549" s="419" t="str">
        <f t="shared" si="17"/>
        <v>Spring</v>
      </c>
      <c r="C549" s="455"/>
      <c r="D549" s="504"/>
      <c r="E549" s="455"/>
      <c r="F549" s="504"/>
      <c r="G549" s="455"/>
      <c r="H549" s="504"/>
      <c r="I549" s="455"/>
      <c r="J549" s="504"/>
      <c r="L549" s="472"/>
      <c r="M549" s="468"/>
      <c r="N549" s="468"/>
      <c r="O549" s="468"/>
      <c r="P549" s="468"/>
      <c r="Q549" s="473"/>
      <c r="R549" s="477" t="str">
        <f>IF(AND(COUNTIF('Start Character'!$I$63:$M$77,"Twilight Prone")=1,NOT(ISERROR(FIND("Magical Botch",M549)))),"Yes",IF(P549&gt;1,"Yes","No"))</f>
        <v>No</v>
      </c>
      <c r="S549" s="501"/>
      <c r="T549" s="478"/>
      <c r="U549" s="501"/>
      <c r="V549" s="479" t="str">
        <f>IF(R549="No","No Twilight",IF(T549="Yes","Uncomprehended Twilight",IF((Character!$B$14+IF(Character!$B$53="Yes",0,Character!$B$53)+IF(Magic!$C$5="Yes",2,0)+ROUNDUP((Magic!$B$30+IF(Magic!$C$30="Yes",3,0))/5,0)+S549)&gt;=($D$3+P549+SUMIF(Character!$I$62:$I$66,"Enigmatic Wisdom",Character!$J$62:$J$66)+Q549+U549),"No Twilight","Twilight")))</f>
        <v>No Twilight</v>
      </c>
      <c r="W549" s="483"/>
      <c r="X549" s="478"/>
      <c r="Y549" s="484"/>
      <c r="Z549" s="478"/>
      <c r="AA549" s="485" t="str">
        <f>IF(V549="Uncomprehended Twilight","Failed",IF(OR(ISBLANK(W549),ISBLANK(Y549))," ",IF(NOT(ISBLANK(X549)),"Failed",IF((W549+Character!$B$9+SUMIF(Character!$I$62:$I$66,"Enigmatic Wisdom",Character!$J$62:$J$66))&gt;=IF(Z549="Yes",0,(Y549+D544)),"Succeeded","Failed"))))</f>
        <v xml:space="preserve"> </v>
      </c>
      <c r="AB549" s="477" t="str">
        <f>IF(AA549=" "," ",IF(NOT(ISBLANK(X549)),VLOOKUP($D$3+X549,Calcs!$A$110:$C$122,3,TRUE),IF(AA549="Failed",VLOOKUP($D$3,Calcs!$A$110:$C$122,3,TRUE),VLOOKUP($D$3-(IF((Character!$B$9+W549)&gt;($D$3+Y549),(Character!$B$9+W549)-($D$3+Y549),0)),Calcs!$A$110:$C$122,3,TRUE))))</f>
        <v xml:space="preserve"> </v>
      </c>
      <c r="AC549" s="489"/>
      <c r="AD549" s="489" t="str">
        <f>IF(IF(AA549=" "," ",IF(NOT(ISBLANK(X549)),VLOOKUP($D$3+X549,Calcs!$A$110:$B$122,2,TRUE),IF(AA549="Failed",VLOOKUP($D$3,Calcs!$A$110:$B$122,2,TRUE),VLOOKUP($D$3-(IF((Character!$B$9+W549)&gt;($D$3+Y549),(Character!$B$9+W549)-($D$3+Y549),0)),Calcs!$A$110:$B$122,2,TRUE))))=Calcs!$B$120,IF(ISBLANK(AC549)," ",CONCATENATE(AC549+7," Years")),IF(AA549=" "," ",IF(NOT(ISBLANK(X549)),VLOOKUP($D$3+X549,Calcs!$A$110:$B$122,2,TRUE),IF(AA549="Failed",VLOOKUP($D$3,Calcs!$A$110:$B$122,2,TRUE),VLOOKUP($D$3-(IF((Character!$B$9+W549)&gt;($D$3+Y549),(Character!$B$9+W549)-($D$3+Y549),0)),Calcs!$A$110:$B$122,2,TRUE)))))</f>
        <v xml:space="preserve"> </v>
      </c>
      <c r="AE549" s="490"/>
      <c r="AF549" s="879"/>
      <c r="AG549" s="491"/>
    </row>
    <row r="550" spans="1:33" x14ac:dyDescent="0.2">
      <c r="A550" s="415">
        <f t="shared" si="16"/>
        <v>1347</v>
      </c>
      <c r="B550" s="419" t="str">
        <f t="shared" si="17"/>
        <v>Summer</v>
      </c>
      <c r="C550" s="455"/>
      <c r="D550" s="504"/>
      <c r="E550" s="455"/>
      <c r="F550" s="504"/>
      <c r="G550" s="455"/>
      <c r="H550" s="504"/>
      <c r="I550" s="455"/>
      <c r="J550" s="504"/>
      <c r="L550" s="472"/>
      <c r="M550" s="468"/>
      <c r="N550" s="468"/>
      <c r="O550" s="468"/>
      <c r="P550" s="468"/>
      <c r="Q550" s="473"/>
      <c r="R550" s="477" t="str">
        <f>IF(AND(COUNTIF('Start Character'!$I$63:$M$77,"Twilight Prone")=1,NOT(ISERROR(FIND("Magical Botch",M550)))),"Yes",IF(P550&gt;1,"Yes","No"))</f>
        <v>No</v>
      </c>
      <c r="S550" s="501"/>
      <c r="T550" s="478"/>
      <c r="U550" s="501"/>
      <c r="V550" s="479" t="str">
        <f>IF(R550="No","No Twilight",IF(T550="Yes","Uncomprehended Twilight",IF((Character!$B$14+IF(Character!$B$53="Yes",0,Character!$B$53)+IF(Magic!$C$5="Yes",2,0)+ROUNDUP((Magic!$B$30+IF(Magic!$C$30="Yes",3,0))/5,0)+S550)&gt;=($D$3+P550+SUMIF(Character!$I$62:$I$66,"Enigmatic Wisdom",Character!$J$62:$J$66)+Q550+U550),"No Twilight","Twilight")))</f>
        <v>No Twilight</v>
      </c>
      <c r="W550" s="483"/>
      <c r="X550" s="478"/>
      <c r="Y550" s="484"/>
      <c r="Z550" s="478"/>
      <c r="AA550" s="485" t="str">
        <f>IF(V550="Uncomprehended Twilight","Failed",IF(OR(ISBLANK(W550),ISBLANK(Y550))," ",IF(NOT(ISBLANK(X550)),"Failed",IF((W550+Character!$B$9+SUMIF(Character!$I$62:$I$66,"Enigmatic Wisdom",Character!$J$62:$J$66))&gt;=IF(Z550="Yes",0,(Y550+D545)),"Succeeded","Failed"))))</f>
        <v xml:space="preserve"> </v>
      </c>
      <c r="AB550" s="477" t="str">
        <f>IF(AA550=" "," ",IF(NOT(ISBLANK(X550)),VLOOKUP($D$3+X550,Calcs!$A$110:$C$122,3,TRUE),IF(AA550="Failed",VLOOKUP($D$3,Calcs!$A$110:$C$122,3,TRUE),VLOOKUP($D$3-(IF((Character!$B$9+W550)&gt;($D$3+Y550),(Character!$B$9+W550)-($D$3+Y550),0)),Calcs!$A$110:$C$122,3,TRUE))))</f>
        <v xml:space="preserve"> </v>
      </c>
      <c r="AC550" s="489"/>
      <c r="AD550" s="489" t="str">
        <f>IF(IF(AA550=" "," ",IF(NOT(ISBLANK(X550)),VLOOKUP($D$3+X550,Calcs!$A$110:$B$122,2,TRUE),IF(AA550="Failed",VLOOKUP($D$3,Calcs!$A$110:$B$122,2,TRUE),VLOOKUP($D$3-(IF((Character!$B$9+W550)&gt;($D$3+Y550),(Character!$B$9+W550)-($D$3+Y550),0)),Calcs!$A$110:$B$122,2,TRUE))))=Calcs!$B$120,IF(ISBLANK(AC550)," ",CONCATENATE(AC550+7," Years")),IF(AA550=" "," ",IF(NOT(ISBLANK(X550)),VLOOKUP($D$3+X550,Calcs!$A$110:$B$122,2,TRUE),IF(AA550="Failed",VLOOKUP($D$3,Calcs!$A$110:$B$122,2,TRUE),VLOOKUP($D$3-(IF((Character!$B$9+W550)&gt;($D$3+Y550),(Character!$B$9+W550)-($D$3+Y550),0)),Calcs!$A$110:$B$122,2,TRUE)))))</f>
        <v xml:space="preserve"> </v>
      </c>
      <c r="AE550" s="490"/>
      <c r="AF550" s="879"/>
      <c r="AG550" s="491"/>
    </row>
    <row r="551" spans="1:33" x14ac:dyDescent="0.2">
      <c r="A551" s="415">
        <f t="shared" si="16"/>
        <v>1347</v>
      </c>
      <c r="B551" s="419" t="str">
        <f t="shared" si="17"/>
        <v>Autumn</v>
      </c>
      <c r="C551" s="455"/>
      <c r="D551" s="504"/>
      <c r="E551" s="455"/>
      <c r="F551" s="504"/>
      <c r="G551" s="455"/>
      <c r="H551" s="504"/>
      <c r="I551" s="455"/>
      <c r="J551" s="504"/>
      <c r="L551" s="472"/>
      <c r="M551" s="468"/>
      <c r="N551" s="468"/>
      <c r="O551" s="468"/>
      <c r="P551" s="468"/>
      <c r="Q551" s="473"/>
      <c r="R551" s="477" t="str">
        <f>IF(AND(COUNTIF('Start Character'!$I$63:$M$77,"Twilight Prone")=1,NOT(ISERROR(FIND("Magical Botch",M551)))),"Yes",IF(P551&gt;1,"Yes","No"))</f>
        <v>No</v>
      </c>
      <c r="S551" s="501"/>
      <c r="T551" s="478"/>
      <c r="U551" s="501"/>
      <c r="V551" s="479" t="str">
        <f>IF(R551="No","No Twilight",IF(T551="Yes","Uncomprehended Twilight",IF((Character!$B$14+IF(Character!$B$53="Yes",0,Character!$B$53)+IF(Magic!$C$5="Yes",2,0)+ROUNDUP((Magic!$B$30+IF(Magic!$C$30="Yes",3,0))/5,0)+S551)&gt;=($D$3+P551+SUMIF(Character!$I$62:$I$66,"Enigmatic Wisdom",Character!$J$62:$J$66)+Q551+U551),"No Twilight","Twilight")))</f>
        <v>No Twilight</v>
      </c>
      <c r="W551" s="483"/>
      <c r="X551" s="478"/>
      <c r="Y551" s="484"/>
      <c r="Z551" s="478"/>
      <c r="AA551" s="485" t="str">
        <f>IF(V551="Uncomprehended Twilight","Failed",IF(OR(ISBLANK(W551),ISBLANK(Y551))," ",IF(NOT(ISBLANK(X551)),"Failed",IF((W551+Character!$B$9+SUMIF(Character!$I$62:$I$66,"Enigmatic Wisdom",Character!$J$62:$J$66))&gt;=IF(Z551="Yes",0,(Y551+D546)),"Succeeded","Failed"))))</f>
        <v xml:space="preserve"> </v>
      </c>
      <c r="AB551" s="477" t="str">
        <f>IF(AA551=" "," ",IF(NOT(ISBLANK(X551)),VLOOKUP($D$3+X551,Calcs!$A$110:$C$122,3,TRUE),IF(AA551="Failed",VLOOKUP($D$3,Calcs!$A$110:$C$122,3,TRUE),VLOOKUP($D$3-(IF((Character!$B$9+W551)&gt;($D$3+Y551),(Character!$B$9+W551)-($D$3+Y551),0)),Calcs!$A$110:$C$122,3,TRUE))))</f>
        <v xml:space="preserve"> </v>
      </c>
      <c r="AC551" s="489"/>
      <c r="AD551" s="489" t="str">
        <f>IF(IF(AA551=" "," ",IF(NOT(ISBLANK(X551)),VLOOKUP($D$3+X551,Calcs!$A$110:$B$122,2,TRUE),IF(AA551="Failed",VLOOKUP($D$3,Calcs!$A$110:$B$122,2,TRUE),VLOOKUP($D$3-(IF((Character!$B$9+W551)&gt;($D$3+Y551),(Character!$B$9+W551)-($D$3+Y551),0)),Calcs!$A$110:$B$122,2,TRUE))))=Calcs!$B$120,IF(ISBLANK(AC551)," ",CONCATENATE(AC551+7," Years")),IF(AA551=" "," ",IF(NOT(ISBLANK(X551)),VLOOKUP($D$3+X551,Calcs!$A$110:$B$122,2,TRUE),IF(AA551="Failed",VLOOKUP($D$3,Calcs!$A$110:$B$122,2,TRUE),VLOOKUP($D$3-(IF((Character!$B$9+W551)&gt;($D$3+Y551),(Character!$B$9+W551)-($D$3+Y551),0)),Calcs!$A$110:$B$122,2,TRUE)))))</f>
        <v xml:space="preserve"> </v>
      </c>
      <c r="AE551" s="490"/>
      <c r="AF551" s="879"/>
      <c r="AG551" s="491"/>
    </row>
    <row r="552" spans="1:33" x14ac:dyDescent="0.2">
      <c r="A552" s="415">
        <f t="shared" si="16"/>
        <v>1348</v>
      </c>
      <c r="B552" s="419" t="str">
        <f t="shared" si="17"/>
        <v>Winter</v>
      </c>
      <c r="C552" s="455"/>
      <c r="D552" s="504"/>
      <c r="E552" s="455"/>
      <c r="F552" s="504"/>
      <c r="G552" s="455"/>
      <c r="H552" s="504"/>
      <c r="I552" s="455"/>
      <c r="J552" s="504"/>
      <c r="L552" s="472"/>
      <c r="M552" s="468"/>
      <c r="N552" s="468"/>
      <c r="O552" s="468"/>
      <c r="P552" s="468"/>
      <c r="Q552" s="473"/>
      <c r="R552" s="477" t="str">
        <f>IF(AND(COUNTIF('Start Character'!$I$63:$M$77,"Twilight Prone")=1,NOT(ISERROR(FIND("Magical Botch",M552)))),"Yes",IF(P552&gt;1,"Yes","No"))</f>
        <v>No</v>
      </c>
      <c r="S552" s="501"/>
      <c r="T552" s="478"/>
      <c r="U552" s="501"/>
      <c r="V552" s="479" t="str">
        <f>IF(R552="No","No Twilight",IF(T552="Yes","Uncomprehended Twilight",IF((Character!$B$14+IF(Character!$B$53="Yes",0,Character!$B$53)+IF(Magic!$C$5="Yes",2,0)+ROUNDUP((Magic!$B$30+IF(Magic!$C$30="Yes",3,0))/5,0)+S552)&gt;=($D$3+P552+SUMIF(Character!$I$62:$I$66,"Enigmatic Wisdom",Character!$J$62:$J$66)+Q552+U552),"No Twilight","Twilight")))</f>
        <v>No Twilight</v>
      </c>
      <c r="W552" s="483"/>
      <c r="X552" s="478"/>
      <c r="Y552" s="484"/>
      <c r="Z552" s="478"/>
      <c r="AA552" s="485" t="str">
        <f>IF(V552="Uncomprehended Twilight","Failed",IF(OR(ISBLANK(W552),ISBLANK(Y552))," ",IF(NOT(ISBLANK(X552)),"Failed",IF((W552+Character!$B$9+SUMIF(Character!$I$62:$I$66,"Enigmatic Wisdom",Character!$J$62:$J$66))&gt;=IF(Z552="Yes",0,(Y552+D547)),"Succeeded","Failed"))))</f>
        <v xml:space="preserve"> </v>
      </c>
      <c r="AB552" s="477" t="str">
        <f>IF(AA552=" "," ",IF(NOT(ISBLANK(X552)),VLOOKUP($D$3+X552,Calcs!$A$110:$C$122,3,TRUE),IF(AA552="Failed",VLOOKUP($D$3,Calcs!$A$110:$C$122,3,TRUE),VLOOKUP($D$3-(IF((Character!$B$9+W552)&gt;($D$3+Y552),(Character!$B$9+W552)-($D$3+Y552),0)),Calcs!$A$110:$C$122,3,TRUE))))</f>
        <v xml:space="preserve"> </v>
      </c>
      <c r="AC552" s="489"/>
      <c r="AD552" s="489" t="str">
        <f>IF(IF(AA552=" "," ",IF(NOT(ISBLANK(X552)),VLOOKUP($D$3+X552,Calcs!$A$110:$B$122,2,TRUE),IF(AA552="Failed",VLOOKUP($D$3,Calcs!$A$110:$B$122,2,TRUE),VLOOKUP($D$3-(IF((Character!$B$9+W552)&gt;($D$3+Y552),(Character!$B$9+W552)-($D$3+Y552),0)),Calcs!$A$110:$B$122,2,TRUE))))=Calcs!$B$120,IF(ISBLANK(AC552)," ",CONCATENATE(AC552+7," Years")),IF(AA552=" "," ",IF(NOT(ISBLANK(X552)),VLOOKUP($D$3+X552,Calcs!$A$110:$B$122,2,TRUE),IF(AA552="Failed",VLOOKUP($D$3,Calcs!$A$110:$B$122,2,TRUE),VLOOKUP($D$3-(IF((Character!$B$9+W552)&gt;($D$3+Y552),(Character!$B$9+W552)-($D$3+Y552),0)),Calcs!$A$110:$B$122,2,TRUE)))))</f>
        <v xml:space="preserve"> </v>
      </c>
      <c r="AE552" s="490"/>
      <c r="AF552" s="879"/>
      <c r="AG552" s="491"/>
    </row>
    <row r="553" spans="1:33" x14ac:dyDescent="0.2">
      <c r="A553" s="415">
        <f t="shared" si="16"/>
        <v>1348</v>
      </c>
      <c r="B553" s="419" t="str">
        <f t="shared" si="17"/>
        <v>Spring</v>
      </c>
      <c r="C553" s="455"/>
      <c r="D553" s="504"/>
      <c r="E553" s="455"/>
      <c r="F553" s="504"/>
      <c r="G553" s="455"/>
      <c r="H553" s="504"/>
      <c r="I553" s="455"/>
      <c r="J553" s="504"/>
      <c r="L553" s="472"/>
      <c r="M553" s="468"/>
      <c r="N553" s="468"/>
      <c r="O553" s="468"/>
      <c r="P553" s="468"/>
      <c r="Q553" s="473"/>
      <c r="R553" s="477" t="str">
        <f>IF(AND(COUNTIF('Start Character'!$I$63:$M$77,"Twilight Prone")=1,NOT(ISERROR(FIND("Magical Botch",M553)))),"Yes",IF(P553&gt;1,"Yes","No"))</f>
        <v>No</v>
      </c>
      <c r="S553" s="501"/>
      <c r="T553" s="478"/>
      <c r="U553" s="501"/>
      <c r="V553" s="479" t="str">
        <f>IF(R553="No","No Twilight",IF(T553="Yes","Uncomprehended Twilight",IF((Character!$B$14+IF(Character!$B$53="Yes",0,Character!$B$53)+IF(Magic!$C$5="Yes",2,0)+ROUNDUP((Magic!$B$30+IF(Magic!$C$30="Yes",3,0))/5,0)+S553)&gt;=($D$3+P553+SUMIF(Character!$I$62:$I$66,"Enigmatic Wisdom",Character!$J$62:$J$66)+Q553+U553),"No Twilight","Twilight")))</f>
        <v>No Twilight</v>
      </c>
      <c r="W553" s="483"/>
      <c r="X553" s="478"/>
      <c r="Y553" s="484"/>
      <c r="Z553" s="478"/>
      <c r="AA553" s="485" t="str">
        <f>IF(V553="Uncomprehended Twilight","Failed",IF(OR(ISBLANK(W553),ISBLANK(Y553))," ",IF(NOT(ISBLANK(X553)),"Failed",IF((W553+Character!$B$9+SUMIF(Character!$I$62:$I$66,"Enigmatic Wisdom",Character!$J$62:$J$66))&gt;=IF(Z553="Yes",0,(Y553+D548)),"Succeeded","Failed"))))</f>
        <v xml:space="preserve"> </v>
      </c>
      <c r="AB553" s="477" t="str">
        <f>IF(AA553=" "," ",IF(NOT(ISBLANK(X553)),VLOOKUP($D$3+X553,Calcs!$A$110:$C$122,3,TRUE),IF(AA553="Failed",VLOOKUP($D$3,Calcs!$A$110:$C$122,3,TRUE),VLOOKUP($D$3-(IF((Character!$B$9+W553)&gt;($D$3+Y553),(Character!$B$9+W553)-($D$3+Y553),0)),Calcs!$A$110:$C$122,3,TRUE))))</f>
        <v xml:space="preserve"> </v>
      </c>
      <c r="AC553" s="489"/>
      <c r="AD553" s="489" t="str">
        <f>IF(IF(AA553=" "," ",IF(NOT(ISBLANK(X553)),VLOOKUP($D$3+X553,Calcs!$A$110:$B$122,2,TRUE),IF(AA553="Failed",VLOOKUP($D$3,Calcs!$A$110:$B$122,2,TRUE),VLOOKUP($D$3-(IF((Character!$B$9+W553)&gt;($D$3+Y553),(Character!$B$9+W553)-($D$3+Y553),0)),Calcs!$A$110:$B$122,2,TRUE))))=Calcs!$B$120,IF(ISBLANK(AC553)," ",CONCATENATE(AC553+7," Years")),IF(AA553=" "," ",IF(NOT(ISBLANK(X553)),VLOOKUP($D$3+X553,Calcs!$A$110:$B$122,2,TRUE),IF(AA553="Failed",VLOOKUP($D$3,Calcs!$A$110:$B$122,2,TRUE),VLOOKUP($D$3-(IF((Character!$B$9+W553)&gt;($D$3+Y553),(Character!$B$9+W553)-($D$3+Y553),0)),Calcs!$A$110:$B$122,2,TRUE)))))</f>
        <v xml:space="preserve"> </v>
      </c>
      <c r="AE553" s="490"/>
      <c r="AF553" s="879"/>
      <c r="AG553" s="491"/>
    </row>
    <row r="554" spans="1:33" x14ac:dyDescent="0.2">
      <c r="A554" s="415">
        <f t="shared" si="16"/>
        <v>1348</v>
      </c>
      <c r="B554" s="419" t="str">
        <f t="shared" si="17"/>
        <v>Summer</v>
      </c>
      <c r="C554" s="455"/>
      <c r="D554" s="504"/>
      <c r="E554" s="455"/>
      <c r="F554" s="504"/>
      <c r="G554" s="455"/>
      <c r="H554" s="504"/>
      <c r="I554" s="455"/>
      <c r="J554" s="504"/>
      <c r="L554" s="472"/>
      <c r="M554" s="468"/>
      <c r="N554" s="468"/>
      <c r="O554" s="468"/>
      <c r="P554" s="468"/>
      <c r="Q554" s="473"/>
      <c r="R554" s="477" t="str">
        <f>IF(AND(COUNTIF('Start Character'!$I$63:$M$77,"Twilight Prone")=1,NOT(ISERROR(FIND("Magical Botch",M554)))),"Yes",IF(P554&gt;1,"Yes","No"))</f>
        <v>No</v>
      </c>
      <c r="S554" s="501"/>
      <c r="T554" s="478"/>
      <c r="U554" s="501"/>
      <c r="V554" s="479" t="str">
        <f>IF(R554="No","No Twilight",IF(T554="Yes","Uncomprehended Twilight",IF((Character!$B$14+IF(Character!$B$53="Yes",0,Character!$B$53)+IF(Magic!$C$5="Yes",2,0)+ROUNDUP((Magic!$B$30+IF(Magic!$C$30="Yes",3,0))/5,0)+S554)&gt;=($D$3+P554+SUMIF(Character!$I$62:$I$66,"Enigmatic Wisdom",Character!$J$62:$J$66)+Q554+U554),"No Twilight","Twilight")))</f>
        <v>No Twilight</v>
      </c>
      <c r="W554" s="483"/>
      <c r="X554" s="478"/>
      <c r="Y554" s="484"/>
      <c r="Z554" s="478"/>
      <c r="AA554" s="485" t="str">
        <f>IF(V554="Uncomprehended Twilight","Failed",IF(OR(ISBLANK(W554),ISBLANK(Y554))," ",IF(NOT(ISBLANK(X554)),"Failed",IF((W554+Character!$B$9+SUMIF(Character!$I$62:$I$66,"Enigmatic Wisdom",Character!$J$62:$J$66))&gt;=IF(Z554="Yes",0,(Y554+D549)),"Succeeded","Failed"))))</f>
        <v xml:space="preserve"> </v>
      </c>
      <c r="AB554" s="477" t="str">
        <f>IF(AA554=" "," ",IF(NOT(ISBLANK(X554)),VLOOKUP($D$3+X554,Calcs!$A$110:$C$122,3,TRUE),IF(AA554="Failed",VLOOKUP($D$3,Calcs!$A$110:$C$122,3,TRUE),VLOOKUP($D$3-(IF((Character!$B$9+W554)&gt;($D$3+Y554),(Character!$B$9+W554)-($D$3+Y554),0)),Calcs!$A$110:$C$122,3,TRUE))))</f>
        <v xml:space="preserve"> </v>
      </c>
      <c r="AC554" s="489"/>
      <c r="AD554" s="489" t="str">
        <f>IF(IF(AA554=" "," ",IF(NOT(ISBLANK(X554)),VLOOKUP($D$3+X554,Calcs!$A$110:$B$122,2,TRUE),IF(AA554="Failed",VLOOKUP($D$3,Calcs!$A$110:$B$122,2,TRUE),VLOOKUP($D$3-(IF((Character!$B$9+W554)&gt;($D$3+Y554),(Character!$B$9+W554)-($D$3+Y554),0)),Calcs!$A$110:$B$122,2,TRUE))))=Calcs!$B$120,IF(ISBLANK(AC554)," ",CONCATENATE(AC554+7," Years")),IF(AA554=" "," ",IF(NOT(ISBLANK(X554)),VLOOKUP($D$3+X554,Calcs!$A$110:$B$122,2,TRUE),IF(AA554="Failed",VLOOKUP($D$3,Calcs!$A$110:$B$122,2,TRUE),VLOOKUP($D$3-(IF((Character!$B$9+W554)&gt;($D$3+Y554),(Character!$B$9+W554)-($D$3+Y554),0)),Calcs!$A$110:$B$122,2,TRUE)))))</f>
        <v xml:space="preserve"> </v>
      </c>
      <c r="AE554" s="490"/>
      <c r="AF554" s="879"/>
      <c r="AG554" s="491"/>
    </row>
    <row r="555" spans="1:33" x14ac:dyDescent="0.2">
      <c r="A555" s="415">
        <f t="shared" si="16"/>
        <v>1348</v>
      </c>
      <c r="B555" s="419" t="str">
        <f t="shared" si="17"/>
        <v>Autumn</v>
      </c>
      <c r="C555" s="455"/>
      <c r="D555" s="504"/>
      <c r="E555" s="455"/>
      <c r="F555" s="504"/>
      <c r="G555" s="455"/>
      <c r="H555" s="504"/>
      <c r="I555" s="455"/>
      <c r="J555" s="504"/>
      <c r="L555" s="472"/>
      <c r="M555" s="468"/>
      <c r="N555" s="468"/>
      <c r="O555" s="468"/>
      <c r="P555" s="468"/>
      <c r="Q555" s="473"/>
      <c r="R555" s="477" t="str">
        <f>IF(AND(COUNTIF('Start Character'!$I$63:$M$77,"Twilight Prone")=1,NOT(ISERROR(FIND("Magical Botch",M555)))),"Yes",IF(P555&gt;1,"Yes","No"))</f>
        <v>No</v>
      </c>
      <c r="S555" s="501"/>
      <c r="T555" s="478"/>
      <c r="U555" s="501"/>
      <c r="V555" s="479" t="str">
        <f>IF(R555="No","No Twilight",IF(T555="Yes","Uncomprehended Twilight",IF((Character!$B$14+IF(Character!$B$53="Yes",0,Character!$B$53)+IF(Magic!$C$5="Yes",2,0)+ROUNDUP((Magic!$B$30+IF(Magic!$C$30="Yes",3,0))/5,0)+S555)&gt;=($D$3+P555+SUMIF(Character!$I$62:$I$66,"Enigmatic Wisdom",Character!$J$62:$J$66)+Q555+U555),"No Twilight","Twilight")))</f>
        <v>No Twilight</v>
      </c>
      <c r="W555" s="483"/>
      <c r="X555" s="478"/>
      <c r="Y555" s="484"/>
      <c r="Z555" s="478"/>
      <c r="AA555" s="485" t="str">
        <f>IF(V555="Uncomprehended Twilight","Failed",IF(OR(ISBLANK(W555),ISBLANK(Y555))," ",IF(NOT(ISBLANK(X555)),"Failed",IF((W555+Character!$B$9+SUMIF(Character!$I$62:$I$66,"Enigmatic Wisdom",Character!$J$62:$J$66))&gt;=IF(Z555="Yes",0,(Y555+D550)),"Succeeded","Failed"))))</f>
        <v xml:space="preserve"> </v>
      </c>
      <c r="AB555" s="477" t="str">
        <f>IF(AA555=" "," ",IF(NOT(ISBLANK(X555)),VLOOKUP($D$3+X555,Calcs!$A$110:$C$122,3,TRUE),IF(AA555="Failed",VLOOKUP($D$3,Calcs!$A$110:$C$122,3,TRUE),VLOOKUP($D$3-(IF((Character!$B$9+W555)&gt;($D$3+Y555),(Character!$B$9+W555)-($D$3+Y555),0)),Calcs!$A$110:$C$122,3,TRUE))))</f>
        <v xml:space="preserve"> </v>
      </c>
      <c r="AC555" s="489"/>
      <c r="AD555" s="489" t="str">
        <f>IF(IF(AA555=" "," ",IF(NOT(ISBLANK(X555)),VLOOKUP($D$3+X555,Calcs!$A$110:$B$122,2,TRUE),IF(AA555="Failed",VLOOKUP($D$3,Calcs!$A$110:$B$122,2,TRUE),VLOOKUP($D$3-(IF((Character!$B$9+W555)&gt;($D$3+Y555),(Character!$B$9+W555)-($D$3+Y555),0)),Calcs!$A$110:$B$122,2,TRUE))))=Calcs!$B$120,IF(ISBLANK(AC555)," ",CONCATENATE(AC555+7," Years")),IF(AA555=" "," ",IF(NOT(ISBLANK(X555)),VLOOKUP($D$3+X555,Calcs!$A$110:$B$122,2,TRUE),IF(AA555="Failed",VLOOKUP($D$3,Calcs!$A$110:$B$122,2,TRUE),VLOOKUP($D$3-(IF((Character!$B$9+W555)&gt;($D$3+Y555),(Character!$B$9+W555)-($D$3+Y555),0)),Calcs!$A$110:$B$122,2,TRUE)))))</f>
        <v xml:space="preserve"> </v>
      </c>
      <c r="AE555" s="490"/>
      <c r="AF555" s="879"/>
      <c r="AG555" s="491"/>
    </row>
    <row r="556" spans="1:33" x14ac:dyDescent="0.2">
      <c r="A556" s="415">
        <f t="shared" si="16"/>
        <v>1349</v>
      </c>
      <c r="B556" s="419" t="str">
        <f t="shared" si="17"/>
        <v>Winter</v>
      </c>
      <c r="C556" s="455"/>
      <c r="D556" s="504"/>
      <c r="E556" s="455"/>
      <c r="F556" s="504"/>
      <c r="G556" s="455"/>
      <c r="H556" s="504"/>
      <c r="I556" s="455"/>
      <c r="J556" s="504"/>
      <c r="L556" s="472"/>
      <c r="M556" s="468"/>
      <c r="N556" s="468"/>
      <c r="O556" s="468"/>
      <c r="P556" s="468"/>
      <c r="Q556" s="473"/>
      <c r="R556" s="477" t="str">
        <f>IF(AND(COUNTIF('Start Character'!$I$63:$M$77,"Twilight Prone")=1,NOT(ISERROR(FIND("Magical Botch",M556)))),"Yes",IF(P556&gt;1,"Yes","No"))</f>
        <v>No</v>
      </c>
      <c r="S556" s="501"/>
      <c r="T556" s="478"/>
      <c r="U556" s="501"/>
      <c r="V556" s="479" t="str">
        <f>IF(R556="No","No Twilight",IF(T556="Yes","Uncomprehended Twilight",IF((Character!$B$14+IF(Character!$B$53="Yes",0,Character!$B$53)+IF(Magic!$C$5="Yes",2,0)+ROUNDUP((Magic!$B$30+IF(Magic!$C$30="Yes",3,0))/5,0)+S556)&gt;=($D$3+P556+SUMIF(Character!$I$62:$I$66,"Enigmatic Wisdom",Character!$J$62:$J$66)+Q556+U556),"No Twilight","Twilight")))</f>
        <v>No Twilight</v>
      </c>
      <c r="W556" s="483"/>
      <c r="X556" s="478"/>
      <c r="Y556" s="484"/>
      <c r="Z556" s="478"/>
      <c r="AA556" s="485" t="str">
        <f>IF(V556="Uncomprehended Twilight","Failed",IF(OR(ISBLANK(W556),ISBLANK(Y556))," ",IF(NOT(ISBLANK(X556)),"Failed",IF((W556+Character!$B$9+SUMIF(Character!$I$62:$I$66,"Enigmatic Wisdom",Character!$J$62:$J$66))&gt;=IF(Z556="Yes",0,(Y556+D551)),"Succeeded","Failed"))))</f>
        <v xml:space="preserve"> </v>
      </c>
      <c r="AB556" s="477" t="str">
        <f>IF(AA556=" "," ",IF(NOT(ISBLANK(X556)),VLOOKUP($D$3+X556,Calcs!$A$110:$C$122,3,TRUE),IF(AA556="Failed",VLOOKUP($D$3,Calcs!$A$110:$C$122,3,TRUE),VLOOKUP($D$3-(IF((Character!$B$9+W556)&gt;($D$3+Y556),(Character!$B$9+W556)-($D$3+Y556),0)),Calcs!$A$110:$C$122,3,TRUE))))</f>
        <v xml:space="preserve"> </v>
      </c>
      <c r="AC556" s="489"/>
      <c r="AD556" s="489" t="str">
        <f>IF(IF(AA556=" "," ",IF(NOT(ISBLANK(X556)),VLOOKUP($D$3+X556,Calcs!$A$110:$B$122,2,TRUE),IF(AA556="Failed",VLOOKUP($D$3,Calcs!$A$110:$B$122,2,TRUE),VLOOKUP($D$3-(IF((Character!$B$9+W556)&gt;($D$3+Y556),(Character!$B$9+W556)-($D$3+Y556),0)),Calcs!$A$110:$B$122,2,TRUE))))=Calcs!$B$120,IF(ISBLANK(AC556)," ",CONCATENATE(AC556+7," Years")),IF(AA556=" "," ",IF(NOT(ISBLANK(X556)),VLOOKUP($D$3+X556,Calcs!$A$110:$B$122,2,TRUE),IF(AA556="Failed",VLOOKUP($D$3,Calcs!$A$110:$B$122,2,TRUE),VLOOKUP($D$3-(IF((Character!$B$9+W556)&gt;($D$3+Y556),(Character!$B$9+W556)-($D$3+Y556),0)),Calcs!$A$110:$B$122,2,TRUE)))))</f>
        <v xml:space="preserve"> </v>
      </c>
      <c r="AE556" s="490"/>
      <c r="AF556" s="879"/>
      <c r="AG556" s="491"/>
    </row>
    <row r="557" spans="1:33" x14ac:dyDescent="0.2">
      <c r="A557" s="415">
        <f t="shared" si="16"/>
        <v>1349</v>
      </c>
      <c r="B557" s="419" t="str">
        <f t="shared" si="17"/>
        <v>Spring</v>
      </c>
      <c r="C557" s="455"/>
      <c r="D557" s="504"/>
      <c r="E557" s="455"/>
      <c r="F557" s="504"/>
      <c r="G557" s="455"/>
      <c r="H557" s="504"/>
      <c r="I557" s="455"/>
      <c r="J557" s="504"/>
      <c r="L557" s="472"/>
      <c r="M557" s="468"/>
      <c r="N557" s="468"/>
      <c r="O557" s="468"/>
      <c r="P557" s="468"/>
      <c r="Q557" s="473"/>
      <c r="R557" s="477" t="str">
        <f>IF(AND(COUNTIF('Start Character'!$I$63:$M$77,"Twilight Prone")=1,NOT(ISERROR(FIND("Magical Botch",M557)))),"Yes",IF(P557&gt;1,"Yes","No"))</f>
        <v>No</v>
      </c>
      <c r="S557" s="501"/>
      <c r="T557" s="478"/>
      <c r="U557" s="501"/>
      <c r="V557" s="479" t="str">
        <f>IF(R557="No","No Twilight",IF(T557="Yes","Uncomprehended Twilight",IF((Character!$B$14+IF(Character!$B$53="Yes",0,Character!$B$53)+IF(Magic!$C$5="Yes",2,0)+ROUNDUP((Magic!$B$30+IF(Magic!$C$30="Yes",3,0))/5,0)+S557)&gt;=($D$3+P557+SUMIF(Character!$I$62:$I$66,"Enigmatic Wisdom",Character!$J$62:$J$66)+Q557+U557),"No Twilight","Twilight")))</f>
        <v>No Twilight</v>
      </c>
      <c r="W557" s="483"/>
      <c r="X557" s="478"/>
      <c r="Y557" s="484"/>
      <c r="Z557" s="478"/>
      <c r="AA557" s="485" t="str">
        <f>IF(V557="Uncomprehended Twilight","Failed",IF(OR(ISBLANK(W557),ISBLANK(Y557))," ",IF(NOT(ISBLANK(X557)),"Failed",IF((W557+Character!$B$9+SUMIF(Character!$I$62:$I$66,"Enigmatic Wisdom",Character!$J$62:$J$66))&gt;=IF(Z557="Yes",0,(Y557+D552)),"Succeeded","Failed"))))</f>
        <v xml:space="preserve"> </v>
      </c>
      <c r="AB557" s="477" t="str">
        <f>IF(AA557=" "," ",IF(NOT(ISBLANK(X557)),VLOOKUP($D$3+X557,Calcs!$A$110:$C$122,3,TRUE),IF(AA557="Failed",VLOOKUP($D$3,Calcs!$A$110:$C$122,3,TRUE),VLOOKUP($D$3-(IF((Character!$B$9+W557)&gt;($D$3+Y557),(Character!$B$9+W557)-($D$3+Y557),0)),Calcs!$A$110:$C$122,3,TRUE))))</f>
        <v xml:space="preserve"> </v>
      </c>
      <c r="AC557" s="489"/>
      <c r="AD557" s="489" t="str">
        <f>IF(IF(AA557=" "," ",IF(NOT(ISBLANK(X557)),VLOOKUP($D$3+X557,Calcs!$A$110:$B$122,2,TRUE),IF(AA557="Failed",VLOOKUP($D$3,Calcs!$A$110:$B$122,2,TRUE),VLOOKUP($D$3-(IF((Character!$B$9+W557)&gt;($D$3+Y557),(Character!$B$9+W557)-($D$3+Y557),0)),Calcs!$A$110:$B$122,2,TRUE))))=Calcs!$B$120,IF(ISBLANK(AC557)," ",CONCATENATE(AC557+7," Years")),IF(AA557=" "," ",IF(NOT(ISBLANK(X557)),VLOOKUP($D$3+X557,Calcs!$A$110:$B$122,2,TRUE),IF(AA557="Failed",VLOOKUP($D$3,Calcs!$A$110:$B$122,2,TRUE),VLOOKUP($D$3-(IF((Character!$B$9+W557)&gt;($D$3+Y557),(Character!$B$9+W557)-($D$3+Y557),0)),Calcs!$A$110:$B$122,2,TRUE)))))</f>
        <v xml:space="preserve"> </v>
      </c>
      <c r="AE557" s="490"/>
      <c r="AF557" s="879"/>
      <c r="AG557" s="491"/>
    </row>
    <row r="558" spans="1:33" x14ac:dyDescent="0.2">
      <c r="A558" s="415">
        <f t="shared" si="16"/>
        <v>1349</v>
      </c>
      <c r="B558" s="419" t="str">
        <f t="shared" si="17"/>
        <v>Summer</v>
      </c>
      <c r="C558" s="455"/>
      <c r="D558" s="504"/>
      <c r="E558" s="455"/>
      <c r="F558" s="504"/>
      <c r="G558" s="455"/>
      <c r="H558" s="504"/>
      <c r="I558" s="455"/>
      <c r="J558" s="504"/>
      <c r="L558" s="472"/>
      <c r="M558" s="468"/>
      <c r="N558" s="468"/>
      <c r="O558" s="468"/>
      <c r="P558" s="468"/>
      <c r="Q558" s="473"/>
      <c r="R558" s="477" t="str">
        <f>IF(AND(COUNTIF('Start Character'!$I$63:$M$77,"Twilight Prone")=1,NOT(ISERROR(FIND("Magical Botch",M558)))),"Yes",IF(P558&gt;1,"Yes","No"))</f>
        <v>No</v>
      </c>
      <c r="S558" s="501"/>
      <c r="T558" s="478"/>
      <c r="U558" s="501"/>
      <c r="V558" s="479" t="str">
        <f>IF(R558="No","No Twilight",IF(T558="Yes","Uncomprehended Twilight",IF((Character!$B$14+IF(Character!$B$53="Yes",0,Character!$B$53)+IF(Magic!$C$5="Yes",2,0)+ROUNDUP((Magic!$B$30+IF(Magic!$C$30="Yes",3,0))/5,0)+S558)&gt;=($D$3+P558+SUMIF(Character!$I$62:$I$66,"Enigmatic Wisdom",Character!$J$62:$J$66)+Q558+U558),"No Twilight","Twilight")))</f>
        <v>No Twilight</v>
      </c>
      <c r="W558" s="483"/>
      <c r="X558" s="478"/>
      <c r="Y558" s="484"/>
      <c r="Z558" s="478"/>
      <c r="AA558" s="485" t="str">
        <f>IF(V558="Uncomprehended Twilight","Failed",IF(OR(ISBLANK(W558),ISBLANK(Y558))," ",IF(NOT(ISBLANK(X558)),"Failed",IF((W558+Character!$B$9+SUMIF(Character!$I$62:$I$66,"Enigmatic Wisdom",Character!$J$62:$J$66))&gt;=IF(Z558="Yes",0,(Y558+D553)),"Succeeded","Failed"))))</f>
        <v xml:space="preserve"> </v>
      </c>
      <c r="AB558" s="477" t="str">
        <f>IF(AA558=" "," ",IF(NOT(ISBLANK(X558)),VLOOKUP($D$3+X558,Calcs!$A$110:$C$122,3,TRUE),IF(AA558="Failed",VLOOKUP($D$3,Calcs!$A$110:$C$122,3,TRUE),VLOOKUP($D$3-(IF((Character!$B$9+W558)&gt;($D$3+Y558),(Character!$B$9+W558)-($D$3+Y558),0)),Calcs!$A$110:$C$122,3,TRUE))))</f>
        <v xml:space="preserve"> </v>
      </c>
      <c r="AC558" s="489"/>
      <c r="AD558" s="489" t="str">
        <f>IF(IF(AA558=" "," ",IF(NOT(ISBLANK(X558)),VLOOKUP($D$3+X558,Calcs!$A$110:$B$122,2,TRUE),IF(AA558="Failed",VLOOKUP($D$3,Calcs!$A$110:$B$122,2,TRUE),VLOOKUP($D$3-(IF((Character!$B$9+W558)&gt;($D$3+Y558),(Character!$B$9+W558)-($D$3+Y558),0)),Calcs!$A$110:$B$122,2,TRUE))))=Calcs!$B$120,IF(ISBLANK(AC558)," ",CONCATENATE(AC558+7," Years")),IF(AA558=" "," ",IF(NOT(ISBLANK(X558)),VLOOKUP($D$3+X558,Calcs!$A$110:$B$122,2,TRUE),IF(AA558="Failed",VLOOKUP($D$3,Calcs!$A$110:$B$122,2,TRUE),VLOOKUP($D$3-(IF((Character!$B$9+W558)&gt;($D$3+Y558),(Character!$B$9+W558)-($D$3+Y558),0)),Calcs!$A$110:$B$122,2,TRUE)))))</f>
        <v xml:space="preserve"> </v>
      </c>
      <c r="AE558" s="490"/>
      <c r="AF558" s="879"/>
      <c r="AG558" s="491"/>
    </row>
    <row r="559" spans="1:33" x14ac:dyDescent="0.2">
      <c r="A559" s="415">
        <f t="shared" si="16"/>
        <v>1349</v>
      </c>
      <c r="B559" s="419" t="str">
        <f t="shared" si="17"/>
        <v>Autumn</v>
      </c>
      <c r="C559" s="455"/>
      <c r="D559" s="504"/>
      <c r="E559" s="455"/>
      <c r="F559" s="504"/>
      <c r="G559" s="455"/>
      <c r="H559" s="504"/>
      <c r="I559" s="455"/>
      <c r="J559" s="504"/>
      <c r="L559" s="472"/>
      <c r="M559" s="468"/>
      <c r="N559" s="468"/>
      <c r="O559" s="468"/>
      <c r="P559" s="468"/>
      <c r="Q559" s="473"/>
      <c r="R559" s="477" t="str">
        <f>IF(AND(COUNTIF('Start Character'!$I$63:$M$77,"Twilight Prone")=1,NOT(ISERROR(FIND("Magical Botch",M559)))),"Yes",IF(P559&gt;1,"Yes","No"))</f>
        <v>No</v>
      </c>
      <c r="S559" s="501"/>
      <c r="T559" s="478"/>
      <c r="U559" s="501"/>
      <c r="V559" s="479" t="str">
        <f>IF(R559="No","No Twilight",IF(T559="Yes","Uncomprehended Twilight",IF((Character!$B$14+IF(Character!$B$53="Yes",0,Character!$B$53)+IF(Magic!$C$5="Yes",2,0)+ROUNDUP((Magic!$B$30+IF(Magic!$C$30="Yes",3,0))/5,0)+S559)&gt;=($D$3+P559+SUMIF(Character!$I$62:$I$66,"Enigmatic Wisdom",Character!$J$62:$J$66)+Q559+U559),"No Twilight","Twilight")))</f>
        <v>No Twilight</v>
      </c>
      <c r="W559" s="483"/>
      <c r="X559" s="478"/>
      <c r="Y559" s="484"/>
      <c r="Z559" s="478"/>
      <c r="AA559" s="485" t="str">
        <f>IF(V559="Uncomprehended Twilight","Failed",IF(OR(ISBLANK(W559),ISBLANK(Y559))," ",IF(NOT(ISBLANK(X559)),"Failed",IF((W559+Character!$B$9+SUMIF(Character!$I$62:$I$66,"Enigmatic Wisdom",Character!$J$62:$J$66))&gt;=IF(Z559="Yes",0,(Y559+D554)),"Succeeded","Failed"))))</f>
        <v xml:space="preserve"> </v>
      </c>
      <c r="AB559" s="477" t="str">
        <f>IF(AA559=" "," ",IF(NOT(ISBLANK(X559)),VLOOKUP($D$3+X559,Calcs!$A$110:$C$122,3,TRUE),IF(AA559="Failed",VLOOKUP($D$3,Calcs!$A$110:$C$122,3,TRUE),VLOOKUP($D$3-(IF((Character!$B$9+W559)&gt;($D$3+Y559),(Character!$B$9+W559)-($D$3+Y559),0)),Calcs!$A$110:$C$122,3,TRUE))))</f>
        <v xml:space="preserve"> </v>
      </c>
      <c r="AC559" s="489"/>
      <c r="AD559" s="489" t="str">
        <f>IF(IF(AA559=" "," ",IF(NOT(ISBLANK(X559)),VLOOKUP($D$3+X559,Calcs!$A$110:$B$122,2,TRUE),IF(AA559="Failed",VLOOKUP($D$3,Calcs!$A$110:$B$122,2,TRUE),VLOOKUP($D$3-(IF((Character!$B$9+W559)&gt;($D$3+Y559),(Character!$B$9+W559)-($D$3+Y559),0)),Calcs!$A$110:$B$122,2,TRUE))))=Calcs!$B$120,IF(ISBLANK(AC559)," ",CONCATENATE(AC559+7," Years")),IF(AA559=" "," ",IF(NOT(ISBLANK(X559)),VLOOKUP($D$3+X559,Calcs!$A$110:$B$122,2,TRUE),IF(AA559="Failed",VLOOKUP($D$3,Calcs!$A$110:$B$122,2,TRUE),VLOOKUP($D$3-(IF((Character!$B$9+W559)&gt;($D$3+Y559),(Character!$B$9+W559)-($D$3+Y559),0)),Calcs!$A$110:$B$122,2,TRUE)))))</f>
        <v xml:space="preserve"> </v>
      </c>
      <c r="AE559" s="490"/>
      <c r="AF559" s="879"/>
      <c r="AG559" s="491"/>
    </row>
    <row r="560" spans="1:33" x14ac:dyDescent="0.2">
      <c r="A560" s="415">
        <f t="shared" si="16"/>
        <v>1350</v>
      </c>
      <c r="B560" s="419" t="str">
        <f t="shared" si="17"/>
        <v>Winter</v>
      </c>
      <c r="C560" s="455"/>
      <c r="D560" s="504"/>
      <c r="E560" s="455"/>
      <c r="F560" s="504"/>
      <c r="G560" s="455"/>
      <c r="H560" s="504"/>
      <c r="I560" s="455"/>
      <c r="J560" s="504"/>
      <c r="L560" s="472"/>
      <c r="M560" s="468"/>
      <c r="N560" s="468"/>
      <c r="O560" s="468"/>
      <c r="P560" s="468"/>
      <c r="Q560" s="473"/>
      <c r="R560" s="477" t="str">
        <f>IF(AND(COUNTIF('Start Character'!$I$63:$M$77,"Twilight Prone")=1,NOT(ISERROR(FIND("Magical Botch",M560)))),"Yes",IF(P560&gt;1,"Yes","No"))</f>
        <v>No</v>
      </c>
      <c r="S560" s="501"/>
      <c r="T560" s="478"/>
      <c r="U560" s="501"/>
      <c r="V560" s="479" t="str">
        <f>IF(R560="No","No Twilight",IF(T560="Yes","Uncomprehended Twilight",IF((Character!$B$14+IF(Character!$B$53="Yes",0,Character!$B$53)+IF(Magic!$C$5="Yes",2,0)+ROUNDUP((Magic!$B$30+IF(Magic!$C$30="Yes",3,0))/5,0)+S560)&gt;=($D$3+P560+SUMIF(Character!$I$62:$I$66,"Enigmatic Wisdom",Character!$J$62:$J$66)+Q560+U560),"No Twilight","Twilight")))</f>
        <v>No Twilight</v>
      </c>
      <c r="W560" s="483"/>
      <c r="X560" s="478"/>
      <c r="Y560" s="484"/>
      <c r="Z560" s="478"/>
      <c r="AA560" s="485" t="str">
        <f>IF(V560="Uncomprehended Twilight","Failed",IF(OR(ISBLANK(W560),ISBLANK(Y560))," ",IF(NOT(ISBLANK(X560)),"Failed",IF((W560+Character!$B$9+SUMIF(Character!$I$62:$I$66,"Enigmatic Wisdom",Character!$J$62:$J$66))&gt;=IF(Z560="Yes",0,(Y560+D555)),"Succeeded","Failed"))))</f>
        <v xml:space="preserve"> </v>
      </c>
      <c r="AB560" s="477" t="str">
        <f>IF(AA560=" "," ",IF(NOT(ISBLANK(X560)),VLOOKUP($D$3+X560,Calcs!$A$110:$C$122,3,TRUE),IF(AA560="Failed",VLOOKUP($D$3,Calcs!$A$110:$C$122,3,TRUE),VLOOKUP($D$3-(IF((Character!$B$9+W560)&gt;($D$3+Y560),(Character!$B$9+W560)-($D$3+Y560),0)),Calcs!$A$110:$C$122,3,TRUE))))</f>
        <v xml:space="preserve"> </v>
      </c>
      <c r="AC560" s="489"/>
      <c r="AD560" s="489" t="str">
        <f>IF(IF(AA560=" "," ",IF(NOT(ISBLANK(X560)),VLOOKUP($D$3+X560,Calcs!$A$110:$B$122,2,TRUE),IF(AA560="Failed",VLOOKUP($D$3,Calcs!$A$110:$B$122,2,TRUE),VLOOKUP($D$3-(IF((Character!$B$9+W560)&gt;($D$3+Y560),(Character!$B$9+W560)-($D$3+Y560),0)),Calcs!$A$110:$B$122,2,TRUE))))=Calcs!$B$120,IF(ISBLANK(AC560)," ",CONCATENATE(AC560+7," Years")),IF(AA560=" "," ",IF(NOT(ISBLANK(X560)),VLOOKUP($D$3+X560,Calcs!$A$110:$B$122,2,TRUE),IF(AA560="Failed",VLOOKUP($D$3,Calcs!$A$110:$B$122,2,TRUE),VLOOKUP($D$3-(IF((Character!$B$9+W560)&gt;($D$3+Y560),(Character!$B$9+W560)-($D$3+Y560),0)),Calcs!$A$110:$B$122,2,TRUE)))))</f>
        <v xml:space="preserve"> </v>
      </c>
      <c r="AE560" s="490"/>
      <c r="AF560" s="879"/>
      <c r="AG560" s="491"/>
    </row>
    <row r="561" spans="1:33" x14ac:dyDescent="0.2">
      <c r="A561" s="415">
        <f t="shared" si="16"/>
        <v>1350</v>
      </c>
      <c r="B561" s="419" t="str">
        <f t="shared" si="17"/>
        <v>Spring</v>
      </c>
      <c r="C561" s="455"/>
      <c r="D561" s="504"/>
      <c r="E561" s="455"/>
      <c r="F561" s="504"/>
      <c r="G561" s="455"/>
      <c r="H561" s="504"/>
      <c r="I561" s="455"/>
      <c r="J561" s="504"/>
      <c r="L561" s="472"/>
      <c r="M561" s="468"/>
      <c r="N561" s="468"/>
      <c r="O561" s="468"/>
      <c r="P561" s="468"/>
      <c r="Q561" s="473"/>
      <c r="R561" s="477" t="str">
        <f>IF(AND(COUNTIF('Start Character'!$I$63:$M$77,"Twilight Prone")=1,NOT(ISERROR(FIND("Magical Botch",M561)))),"Yes",IF(P561&gt;1,"Yes","No"))</f>
        <v>No</v>
      </c>
      <c r="S561" s="501"/>
      <c r="T561" s="478"/>
      <c r="U561" s="501"/>
      <c r="V561" s="479" t="str">
        <f>IF(R561="No","No Twilight",IF(T561="Yes","Uncomprehended Twilight",IF((Character!$B$14+IF(Character!$B$53="Yes",0,Character!$B$53)+IF(Magic!$C$5="Yes",2,0)+ROUNDUP((Magic!$B$30+IF(Magic!$C$30="Yes",3,0))/5,0)+S561)&gt;=($D$3+P561+SUMIF(Character!$I$62:$I$66,"Enigmatic Wisdom",Character!$J$62:$J$66)+Q561+U561),"No Twilight","Twilight")))</f>
        <v>No Twilight</v>
      </c>
      <c r="W561" s="483"/>
      <c r="X561" s="478"/>
      <c r="Y561" s="484"/>
      <c r="Z561" s="478"/>
      <c r="AA561" s="485" t="str">
        <f>IF(V561="Uncomprehended Twilight","Failed",IF(OR(ISBLANK(W561),ISBLANK(Y561))," ",IF(NOT(ISBLANK(X561)),"Failed",IF((W561+Character!$B$9+SUMIF(Character!$I$62:$I$66,"Enigmatic Wisdom",Character!$J$62:$J$66))&gt;=IF(Z561="Yes",0,(Y561+D556)),"Succeeded","Failed"))))</f>
        <v xml:space="preserve"> </v>
      </c>
      <c r="AB561" s="477" t="str">
        <f>IF(AA561=" "," ",IF(NOT(ISBLANK(X561)),VLOOKUP($D$3+X561,Calcs!$A$110:$C$122,3,TRUE),IF(AA561="Failed",VLOOKUP($D$3,Calcs!$A$110:$C$122,3,TRUE),VLOOKUP($D$3-(IF((Character!$B$9+W561)&gt;($D$3+Y561),(Character!$B$9+W561)-($D$3+Y561),0)),Calcs!$A$110:$C$122,3,TRUE))))</f>
        <v xml:space="preserve"> </v>
      </c>
      <c r="AC561" s="489"/>
      <c r="AD561" s="489" t="str">
        <f>IF(IF(AA561=" "," ",IF(NOT(ISBLANK(X561)),VLOOKUP($D$3+X561,Calcs!$A$110:$B$122,2,TRUE),IF(AA561="Failed",VLOOKUP($D$3,Calcs!$A$110:$B$122,2,TRUE),VLOOKUP($D$3-(IF((Character!$B$9+W561)&gt;($D$3+Y561),(Character!$B$9+W561)-($D$3+Y561),0)),Calcs!$A$110:$B$122,2,TRUE))))=Calcs!$B$120,IF(ISBLANK(AC561)," ",CONCATENATE(AC561+7," Years")),IF(AA561=" "," ",IF(NOT(ISBLANK(X561)),VLOOKUP($D$3+X561,Calcs!$A$110:$B$122,2,TRUE),IF(AA561="Failed",VLOOKUP($D$3,Calcs!$A$110:$B$122,2,TRUE),VLOOKUP($D$3-(IF((Character!$B$9+W561)&gt;($D$3+Y561),(Character!$B$9+W561)-($D$3+Y561),0)),Calcs!$A$110:$B$122,2,TRUE)))))</f>
        <v xml:space="preserve"> </v>
      </c>
      <c r="AE561" s="490"/>
      <c r="AF561" s="879"/>
      <c r="AG561" s="491"/>
    </row>
    <row r="562" spans="1:33" x14ac:dyDescent="0.2">
      <c r="A562" s="415">
        <f t="shared" si="16"/>
        <v>1350</v>
      </c>
      <c r="B562" s="419" t="str">
        <f t="shared" si="17"/>
        <v>Summer</v>
      </c>
      <c r="C562" s="455"/>
      <c r="D562" s="504"/>
      <c r="E562" s="455"/>
      <c r="F562" s="504"/>
      <c r="G562" s="455"/>
      <c r="H562" s="504"/>
      <c r="I562" s="455"/>
      <c r="J562" s="504"/>
      <c r="L562" s="472"/>
      <c r="M562" s="468"/>
      <c r="N562" s="468"/>
      <c r="O562" s="468"/>
      <c r="P562" s="468"/>
      <c r="Q562" s="473"/>
      <c r="R562" s="477" t="str">
        <f>IF(AND(COUNTIF('Start Character'!$I$63:$M$77,"Twilight Prone")=1,NOT(ISERROR(FIND("Magical Botch",M562)))),"Yes",IF(P562&gt;1,"Yes","No"))</f>
        <v>No</v>
      </c>
      <c r="S562" s="501"/>
      <c r="T562" s="478"/>
      <c r="U562" s="501"/>
      <c r="V562" s="479" t="str">
        <f>IF(R562="No","No Twilight",IF(T562="Yes","Uncomprehended Twilight",IF((Character!$B$14+IF(Character!$B$53="Yes",0,Character!$B$53)+IF(Magic!$C$5="Yes",2,0)+ROUNDUP((Magic!$B$30+IF(Magic!$C$30="Yes",3,0))/5,0)+S562)&gt;=($D$3+P562+SUMIF(Character!$I$62:$I$66,"Enigmatic Wisdom",Character!$J$62:$J$66)+Q562+U562),"No Twilight","Twilight")))</f>
        <v>No Twilight</v>
      </c>
      <c r="W562" s="483"/>
      <c r="X562" s="478"/>
      <c r="Y562" s="484"/>
      <c r="Z562" s="478"/>
      <c r="AA562" s="485" t="str">
        <f>IF(V562="Uncomprehended Twilight","Failed",IF(OR(ISBLANK(W562),ISBLANK(Y562))," ",IF(NOT(ISBLANK(X562)),"Failed",IF((W562+Character!$B$9+SUMIF(Character!$I$62:$I$66,"Enigmatic Wisdom",Character!$J$62:$J$66))&gt;=IF(Z562="Yes",0,(Y562+D557)),"Succeeded","Failed"))))</f>
        <v xml:space="preserve"> </v>
      </c>
      <c r="AB562" s="477" t="str">
        <f>IF(AA562=" "," ",IF(NOT(ISBLANK(X562)),VLOOKUP($D$3+X562,Calcs!$A$110:$C$122,3,TRUE),IF(AA562="Failed",VLOOKUP($D$3,Calcs!$A$110:$C$122,3,TRUE),VLOOKUP($D$3-(IF((Character!$B$9+W562)&gt;($D$3+Y562),(Character!$B$9+W562)-($D$3+Y562),0)),Calcs!$A$110:$C$122,3,TRUE))))</f>
        <v xml:space="preserve"> </v>
      </c>
      <c r="AC562" s="489"/>
      <c r="AD562" s="489" t="str">
        <f>IF(IF(AA562=" "," ",IF(NOT(ISBLANK(X562)),VLOOKUP($D$3+X562,Calcs!$A$110:$B$122,2,TRUE),IF(AA562="Failed",VLOOKUP($D$3,Calcs!$A$110:$B$122,2,TRUE),VLOOKUP($D$3-(IF((Character!$B$9+W562)&gt;($D$3+Y562),(Character!$B$9+W562)-($D$3+Y562),0)),Calcs!$A$110:$B$122,2,TRUE))))=Calcs!$B$120,IF(ISBLANK(AC562)," ",CONCATENATE(AC562+7," Years")),IF(AA562=" "," ",IF(NOT(ISBLANK(X562)),VLOOKUP($D$3+X562,Calcs!$A$110:$B$122,2,TRUE),IF(AA562="Failed",VLOOKUP($D$3,Calcs!$A$110:$B$122,2,TRUE),VLOOKUP($D$3-(IF((Character!$B$9+W562)&gt;($D$3+Y562),(Character!$B$9+W562)-($D$3+Y562),0)),Calcs!$A$110:$B$122,2,TRUE)))))</f>
        <v xml:space="preserve"> </v>
      </c>
      <c r="AE562" s="490"/>
      <c r="AF562" s="879"/>
      <c r="AG562" s="491"/>
    </row>
    <row r="563" spans="1:33" x14ac:dyDescent="0.2">
      <c r="A563" s="415">
        <f t="shared" si="16"/>
        <v>1350</v>
      </c>
      <c r="B563" s="419" t="str">
        <f t="shared" si="17"/>
        <v>Autumn</v>
      </c>
      <c r="C563" s="455"/>
      <c r="D563" s="504"/>
      <c r="E563" s="455"/>
      <c r="F563" s="504"/>
      <c r="G563" s="455"/>
      <c r="H563" s="504"/>
      <c r="I563" s="455"/>
      <c r="J563" s="504"/>
      <c r="L563" s="472"/>
      <c r="M563" s="468"/>
      <c r="N563" s="468"/>
      <c r="O563" s="468"/>
      <c r="P563" s="468"/>
      <c r="Q563" s="473"/>
      <c r="R563" s="477" t="str">
        <f>IF(AND(COUNTIF('Start Character'!$I$63:$M$77,"Twilight Prone")=1,NOT(ISERROR(FIND("Magical Botch",M563)))),"Yes",IF(P563&gt;1,"Yes","No"))</f>
        <v>No</v>
      </c>
      <c r="S563" s="501"/>
      <c r="T563" s="478"/>
      <c r="U563" s="501"/>
      <c r="V563" s="479" t="str">
        <f>IF(R563="No","No Twilight",IF(T563="Yes","Uncomprehended Twilight",IF((Character!$B$14+IF(Character!$B$53="Yes",0,Character!$B$53)+IF(Magic!$C$5="Yes",2,0)+ROUNDUP((Magic!$B$30+IF(Magic!$C$30="Yes",3,0))/5,0)+S563)&gt;=($D$3+P563+SUMIF(Character!$I$62:$I$66,"Enigmatic Wisdom",Character!$J$62:$J$66)+Q563+U563),"No Twilight","Twilight")))</f>
        <v>No Twilight</v>
      </c>
      <c r="W563" s="483"/>
      <c r="X563" s="478"/>
      <c r="Y563" s="484"/>
      <c r="Z563" s="478"/>
      <c r="AA563" s="485" t="str">
        <f>IF(V563="Uncomprehended Twilight","Failed",IF(OR(ISBLANK(W563),ISBLANK(Y563))," ",IF(NOT(ISBLANK(X563)),"Failed",IF((W563+Character!$B$9+SUMIF(Character!$I$62:$I$66,"Enigmatic Wisdom",Character!$J$62:$J$66))&gt;=IF(Z563="Yes",0,(Y563+D558)),"Succeeded","Failed"))))</f>
        <v xml:space="preserve"> </v>
      </c>
      <c r="AB563" s="477" t="str">
        <f>IF(AA563=" "," ",IF(NOT(ISBLANK(X563)),VLOOKUP($D$3+X563,Calcs!$A$110:$C$122,3,TRUE),IF(AA563="Failed",VLOOKUP($D$3,Calcs!$A$110:$C$122,3,TRUE),VLOOKUP($D$3-(IF((Character!$B$9+W563)&gt;($D$3+Y563),(Character!$B$9+W563)-($D$3+Y563),0)),Calcs!$A$110:$C$122,3,TRUE))))</f>
        <v xml:space="preserve"> </v>
      </c>
      <c r="AC563" s="489"/>
      <c r="AD563" s="489" t="str">
        <f>IF(IF(AA563=" "," ",IF(NOT(ISBLANK(X563)),VLOOKUP($D$3+X563,Calcs!$A$110:$B$122,2,TRUE),IF(AA563="Failed",VLOOKUP($D$3,Calcs!$A$110:$B$122,2,TRUE),VLOOKUP($D$3-(IF((Character!$B$9+W563)&gt;($D$3+Y563),(Character!$B$9+W563)-($D$3+Y563),0)),Calcs!$A$110:$B$122,2,TRUE))))=Calcs!$B$120,IF(ISBLANK(AC563)," ",CONCATENATE(AC563+7," Years")),IF(AA563=" "," ",IF(NOT(ISBLANK(X563)),VLOOKUP($D$3+X563,Calcs!$A$110:$B$122,2,TRUE),IF(AA563="Failed",VLOOKUP($D$3,Calcs!$A$110:$B$122,2,TRUE),VLOOKUP($D$3-(IF((Character!$B$9+W563)&gt;($D$3+Y563),(Character!$B$9+W563)-($D$3+Y563),0)),Calcs!$A$110:$B$122,2,TRUE)))))</f>
        <v xml:space="preserve"> </v>
      </c>
      <c r="AE563" s="490"/>
      <c r="AF563" s="879"/>
      <c r="AG563" s="491"/>
    </row>
    <row r="564" spans="1:33" x14ac:dyDescent="0.2">
      <c r="A564" s="415">
        <f t="shared" si="16"/>
        <v>1351</v>
      </c>
      <c r="B564" s="419" t="str">
        <f t="shared" si="17"/>
        <v>Winter</v>
      </c>
      <c r="C564" s="455"/>
      <c r="D564" s="504"/>
      <c r="E564" s="455"/>
      <c r="F564" s="504"/>
      <c r="G564" s="455"/>
      <c r="H564" s="504"/>
      <c r="I564" s="455"/>
      <c r="J564" s="504"/>
      <c r="L564" s="472"/>
      <c r="M564" s="468"/>
      <c r="N564" s="468"/>
      <c r="O564" s="468"/>
      <c r="P564" s="468"/>
      <c r="Q564" s="473"/>
      <c r="R564" s="477" t="str">
        <f>IF(AND(COUNTIF('Start Character'!$I$63:$M$77,"Twilight Prone")=1,NOT(ISERROR(FIND("Magical Botch",M564)))),"Yes",IF(P564&gt;1,"Yes","No"))</f>
        <v>No</v>
      </c>
      <c r="S564" s="501"/>
      <c r="T564" s="478"/>
      <c r="U564" s="501"/>
      <c r="V564" s="479" t="str">
        <f>IF(R564="No","No Twilight",IF(T564="Yes","Uncomprehended Twilight",IF((Character!$B$14+IF(Character!$B$53="Yes",0,Character!$B$53)+IF(Magic!$C$5="Yes",2,0)+ROUNDUP((Magic!$B$30+IF(Magic!$C$30="Yes",3,0))/5,0)+S564)&gt;=($D$3+P564+SUMIF(Character!$I$62:$I$66,"Enigmatic Wisdom",Character!$J$62:$J$66)+Q564+U564),"No Twilight","Twilight")))</f>
        <v>No Twilight</v>
      </c>
      <c r="W564" s="483"/>
      <c r="X564" s="478"/>
      <c r="Y564" s="484"/>
      <c r="Z564" s="478"/>
      <c r="AA564" s="485" t="str">
        <f>IF(V564="Uncomprehended Twilight","Failed",IF(OR(ISBLANK(W564),ISBLANK(Y564))," ",IF(NOT(ISBLANK(X564)),"Failed",IF((W564+Character!$B$9+SUMIF(Character!$I$62:$I$66,"Enigmatic Wisdom",Character!$J$62:$J$66))&gt;=IF(Z564="Yes",0,(Y564+D559)),"Succeeded","Failed"))))</f>
        <v xml:space="preserve"> </v>
      </c>
      <c r="AB564" s="477" t="str">
        <f>IF(AA564=" "," ",IF(NOT(ISBLANK(X564)),VLOOKUP($D$3+X564,Calcs!$A$110:$C$122,3,TRUE),IF(AA564="Failed",VLOOKUP($D$3,Calcs!$A$110:$C$122,3,TRUE),VLOOKUP($D$3-(IF((Character!$B$9+W564)&gt;($D$3+Y564),(Character!$B$9+W564)-($D$3+Y564),0)),Calcs!$A$110:$C$122,3,TRUE))))</f>
        <v xml:space="preserve"> </v>
      </c>
      <c r="AC564" s="489"/>
      <c r="AD564" s="489" t="str">
        <f>IF(IF(AA564=" "," ",IF(NOT(ISBLANK(X564)),VLOOKUP($D$3+X564,Calcs!$A$110:$B$122,2,TRUE),IF(AA564="Failed",VLOOKUP($D$3,Calcs!$A$110:$B$122,2,TRUE),VLOOKUP($D$3-(IF((Character!$B$9+W564)&gt;($D$3+Y564),(Character!$B$9+W564)-($D$3+Y564),0)),Calcs!$A$110:$B$122,2,TRUE))))=Calcs!$B$120,IF(ISBLANK(AC564)," ",CONCATENATE(AC564+7," Years")),IF(AA564=" "," ",IF(NOT(ISBLANK(X564)),VLOOKUP($D$3+X564,Calcs!$A$110:$B$122,2,TRUE),IF(AA564="Failed",VLOOKUP($D$3,Calcs!$A$110:$B$122,2,TRUE),VLOOKUP($D$3-(IF((Character!$B$9+W564)&gt;($D$3+Y564),(Character!$B$9+W564)-($D$3+Y564),0)),Calcs!$A$110:$B$122,2,TRUE)))))</f>
        <v xml:space="preserve"> </v>
      </c>
      <c r="AE564" s="490"/>
      <c r="AF564" s="879"/>
      <c r="AG564" s="491"/>
    </row>
    <row r="565" spans="1:33" x14ac:dyDescent="0.2">
      <c r="A565" s="415">
        <f t="shared" si="16"/>
        <v>1351</v>
      </c>
      <c r="B565" s="419" t="str">
        <f t="shared" si="17"/>
        <v>Spring</v>
      </c>
      <c r="C565" s="455"/>
      <c r="D565" s="504"/>
      <c r="E565" s="455"/>
      <c r="F565" s="504"/>
      <c r="G565" s="455"/>
      <c r="H565" s="504"/>
      <c r="I565" s="455"/>
      <c r="J565" s="504"/>
      <c r="L565" s="472"/>
      <c r="M565" s="468"/>
      <c r="N565" s="468"/>
      <c r="O565" s="468"/>
      <c r="P565" s="468"/>
      <c r="Q565" s="473"/>
      <c r="R565" s="477" t="str">
        <f>IF(AND(COUNTIF('Start Character'!$I$63:$M$77,"Twilight Prone")=1,NOT(ISERROR(FIND("Magical Botch",M565)))),"Yes",IF(P565&gt;1,"Yes","No"))</f>
        <v>No</v>
      </c>
      <c r="S565" s="501"/>
      <c r="T565" s="478"/>
      <c r="U565" s="501"/>
      <c r="V565" s="479" t="str">
        <f>IF(R565="No","No Twilight",IF(T565="Yes","Uncomprehended Twilight",IF((Character!$B$14+IF(Character!$B$53="Yes",0,Character!$B$53)+IF(Magic!$C$5="Yes",2,0)+ROUNDUP((Magic!$B$30+IF(Magic!$C$30="Yes",3,0))/5,0)+S565)&gt;=($D$3+P565+SUMIF(Character!$I$62:$I$66,"Enigmatic Wisdom",Character!$J$62:$J$66)+Q565+U565),"No Twilight","Twilight")))</f>
        <v>No Twilight</v>
      </c>
      <c r="W565" s="483"/>
      <c r="X565" s="478"/>
      <c r="Y565" s="484"/>
      <c r="Z565" s="478"/>
      <c r="AA565" s="485" t="str">
        <f>IF(V565="Uncomprehended Twilight","Failed",IF(OR(ISBLANK(W565),ISBLANK(Y565))," ",IF(NOT(ISBLANK(X565)),"Failed",IF((W565+Character!$B$9+SUMIF(Character!$I$62:$I$66,"Enigmatic Wisdom",Character!$J$62:$J$66))&gt;=IF(Z565="Yes",0,(Y565+D560)),"Succeeded","Failed"))))</f>
        <v xml:space="preserve"> </v>
      </c>
      <c r="AB565" s="477" t="str">
        <f>IF(AA565=" "," ",IF(NOT(ISBLANK(X565)),VLOOKUP($D$3+X565,Calcs!$A$110:$C$122,3,TRUE),IF(AA565="Failed",VLOOKUP($D$3,Calcs!$A$110:$C$122,3,TRUE),VLOOKUP($D$3-(IF((Character!$B$9+W565)&gt;($D$3+Y565),(Character!$B$9+W565)-($D$3+Y565),0)),Calcs!$A$110:$C$122,3,TRUE))))</f>
        <v xml:space="preserve"> </v>
      </c>
      <c r="AC565" s="489"/>
      <c r="AD565" s="489" t="str">
        <f>IF(IF(AA565=" "," ",IF(NOT(ISBLANK(X565)),VLOOKUP($D$3+X565,Calcs!$A$110:$B$122,2,TRUE),IF(AA565="Failed",VLOOKUP($D$3,Calcs!$A$110:$B$122,2,TRUE),VLOOKUP($D$3-(IF((Character!$B$9+W565)&gt;($D$3+Y565),(Character!$B$9+W565)-($D$3+Y565),0)),Calcs!$A$110:$B$122,2,TRUE))))=Calcs!$B$120,IF(ISBLANK(AC565)," ",CONCATENATE(AC565+7," Years")),IF(AA565=" "," ",IF(NOT(ISBLANK(X565)),VLOOKUP($D$3+X565,Calcs!$A$110:$B$122,2,TRUE),IF(AA565="Failed",VLOOKUP($D$3,Calcs!$A$110:$B$122,2,TRUE),VLOOKUP($D$3-(IF((Character!$B$9+W565)&gt;($D$3+Y565),(Character!$B$9+W565)-($D$3+Y565),0)),Calcs!$A$110:$B$122,2,TRUE)))))</f>
        <v xml:space="preserve"> </v>
      </c>
      <c r="AE565" s="490"/>
      <c r="AF565" s="879"/>
      <c r="AG565" s="491"/>
    </row>
    <row r="566" spans="1:33" x14ac:dyDescent="0.2">
      <c r="A566" s="415">
        <f t="shared" si="16"/>
        <v>1351</v>
      </c>
      <c r="B566" s="419" t="str">
        <f t="shared" si="17"/>
        <v>Summer</v>
      </c>
      <c r="C566" s="455"/>
      <c r="D566" s="504"/>
      <c r="E566" s="455"/>
      <c r="F566" s="504"/>
      <c r="G566" s="455"/>
      <c r="H566" s="504"/>
      <c r="I566" s="455"/>
      <c r="J566" s="504"/>
      <c r="L566" s="472"/>
      <c r="M566" s="468"/>
      <c r="N566" s="468"/>
      <c r="O566" s="468"/>
      <c r="P566" s="468"/>
      <c r="Q566" s="473"/>
      <c r="R566" s="477" t="str">
        <f>IF(AND(COUNTIF('Start Character'!$I$63:$M$77,"Twilight Prone")=1,NOT(ISERROR(FIND("Magical Botch",M566)))),"Yes",IF(P566&gt;1,"Yes","No"))</f>
        <v>No</v>
      </c>
      <c r="S566" s="501"/>
      <c r="T566" s="478"/>
      <c r="U566" s="501"/>
      <c r="V566" s="479" t="str">
        <f>IF(R566="No","No Twilight",IF(T566="Yes","Uncomprehended Twilight",IF((Character!$B$14+IF(Character!$B$53="Yes",0,Character!$B$53)+IF(Magic!$C$5="Yes",2,0)+ROUNDUP((Magic!$B$30+IF(Magic!$C$30="Yes",3,0))/5,0)+S566)&gt;=($D$3+P566+SUMIF(Character!$I$62:$I$66,"Enigmatic Wisdom",Character!$J$62:$J$66)+Q566+U566),"No Twilight","Twilight")))</f>
        <v>No Twilight</v>
      </c>
      <c r="W566" s="483"/>
      <c r="X566" s="478"/>
      <c r="Y566" s="484"/>
      <c r="Z566" s="478"/>
      <c r="AA566" s="485" t="str">
        <f>IF(V566="Uncomprehended Twilight","Failed",IF(OR(ISBLANK(W566),ISBLANK(Y566))," ",IF(NOT(ISBLANK(X566)),"Failed",IF((W566+Character!$B$9+SUMIF(Character!$I$62:$I$66,"Enigmatic Wisdom",Character!$J$62:$J$66))&gt;=IF(Z566="Yes",0,(Y566+D561)),"Succeeded","Failed"))))</f>
        <v xml:space="preserve"> </v>
      </c>
      <c r="AB566" s="477" t="str">
        <f>IF(AA566=" "," ",IF(NOT(ISBLANK(X566)),VLOOKUP($D$3+X566,Calcs!$A$110:$C$122,3,TRUE),IF(AA566="Failed",VLOOKUP($D$3,Calcs!$A$110:$C$122,3,TRUE),VLOOKUP($D$3-(IF((Character!$B$9+W566)&gt;($D$3+Y566),(Character!$B$9+W566)-($D$3+Y566),0)),Calcs!$A$110:$C$122,3,TRUE))))</f>
        <v xml:space="preserve"> </v>
      </c>
      <c r="AC566" s="489"/>
      <c r="AD566" s="489" t="str">
        <f>IF(IF(AA566=" "," ",IF(NOT(ISBLANK(X566)),VLOOKUP($D$3+X566,Calcs!$A$110:$B$122,2,TRUE),IF(AA566="Failed",VLOOKUP($D$3,Calcs!$A$110:$B$122,2,TRUE),VLOOKUP($D$3-(IF((Character!$B$9+W566)&gt;($D$3+Y566),(Character!$B$9+W566)-($D$3+Y566),0)),Calcs!$A$110:$B$122,2,TRUE))))=Calcs!$B$120,IF(ISBLANK(AC566)," ",CONCATENATE(AC566+7," Years")),IF(AA566=" "," ",IF(NOT(ISBLANK(X566)),VLOOKUP($D$3+X566,Calcs!$A$110:$B$122,2,TRUE),IF(AA566="Failed",VLOOKUP($D$3,Calcs!$A$110:$B$122,2,TRUE),VLOOKUP($D$3-(IF((Character!$B$9+W566)&gt;($D$3+Y566),(Character!$B$9+W566)-($D$3+Y566),0)),Calcs!$A$110:$B$122,2,TRUE)))))</f>
        <v xml:space="preserve"> </v>
      </c>
      <c r="AE566" s="490"/>
      <c r="AF566" s="879"/>
      <c r="AG566" s="491"/>
    </row>
    <row r="567" spans="1:33" x14ac:dyDescent="0.2">
      <c r="A567" s="415">
        <f t="shared" si="16"/>
        <v>1351</v>
      </c>
      <c r="B567" s="419" t="str">
        <f t="shared" si="17"/>
        <v>Autumn</v>
      </c>
      <c r="C567" s="455"/>
      <c r="D567" s="504"/>
      <c r="E567" s="455"/>
      <c r="F567" s="504"/>
      <c r="G567" s="455"/>
      <c r="H567" s="504"/>
      <c r="I567" s="455"/>
      <c r="J567" s="504"/>
      <c r="L567" s="472"/>
      <c r="M567" s="468"/>
      <c r="N567" s="468"/>
      <c r="O567" s="468"/>
      <c r="P567" s="468"/>
      <c r="Q567" s="473"/>
      <c r="R567" s="477" t="str">
        <f>IF(AND(COUNTIF('Start Character'!$I$63:$M$77,"Twilight Prone")=1,NOT(ISERROR(FIND("Magical Botch",M567)))),"Yes",IF(P567&gt;1,"Yes","No"))</f>
        <v>No</v>
      </c>
      <c r="S567" s="501"/>
      <c r="T567" s="478"/>
      <c r="U567" s="501"/>
      <c r="V567" s="479" t="str">
        <f>IF(R567="No","No Twilight",IF(T567="Yes","Uncomprehended Twilight",IF((Character!$B$14+IF(Character!$B$53="Yes",0,Character!$B$53)+IF(Magic!$C$5="Yes",2,0)+ROUNDUP((Magic!$B$30+IF(Magic!$C$30="Yes",3,0))/5,0)+S567)&gt;=($D$3+P567+SUMIF(Character!$I$62:$I$66,"Enigmatic Wisdom",Character!$J$62:$J$66)+Q567+U567),"No Twilight","Twilight")))</f>
        <v>No Twilight</v>
      </c>
      <c r="W567" s="483"/>
      <c r="X567" s="478"/>
      <c r="Y567" s="484"/>
      <c r="Z567" s="478"/>
      <c r="AA567" s="485" t="str">
        <f>IF(V567="Uncomprehended Twilight","Failed",IF(OR(ISBLANK(W567),ISBLANK(Y567))," ",IF(NOT(ISBLANK(X567)),"Failed",IF((W567+Character!$B$9+SUMIF(Character!$I$62:$I$66,"Enigmatic Wisdom",Character!$J$62:$J$66))&gt;=IF(Z567="Yes",0,(Y567+D562)),"Succeeded","Failed"))))</f>
        <v xml:space="preserve"> </v>
      </c>
      <c r="AB567" s="477" t="str">
        <f>IF(AA567=" "," ",IF(NOT(ISBLANK(X567)),VLOOKUP($D$3+X567,Calcs!$A$110:$C$122,3,TRUE),IF(AA567="Failed",VLOOKUP($D$3,Calcs!$A$110:$C$122,3,TRUE),VLOOKUP($D$3-(IF((Character!$B$9+W567)&gt;($D$3+Y567),(Character!$B$9+W567)-($D$3+Y567),0)),Calcs!$A$110:$C$122,3,TRUE))))</f>
        <v xml:space="preserve"> </v>
      </c>
      <c r="AC567" s="489"/>
      <c r="AD567" s="489" t="str">
        <f>IF(IF(AA567=" "," ",IF(NOT(ISBLANK(X567)),VLOOKUP($D$3+X567,Calcs!$A$110:$B$122,2,TRUE),IF(AA567="Failed",VLOOKUP($D$3,Calcs!$A$110:$B$122,2,TRUE),VLOOKUP($D$3-(IF((Character!$B$9+W567)&gt;($D$3+Y567),(Character!$B$9+W567)-($D$3+Y567),0)),Calcs!$A$110:$B$122,2,TRUE))))=Calcs!$B$120,IF(ISBLANK(AC567)," ",CONCATENATE(AC567+7," Years")),IF(AA567=" "," ",IF(NOT(ISBLANK(X567)),VLOOKUP($D$3+X567,Calcs!$A$110:$B$122,2,TRUE),IF(AA567="Failed",VLOOKUP($D$3,Calcs!$A$110:$B$122,2,TRUE),VLOOKUP($D$3-(IF((Character!$B$9+W567)&gt;($D$3+Y567),(Character!$B$9+W567)-($D$3+Y567),0)),Calcs!$A$110:$B$122,2,TRUE)))))</f>
        <v xml:space="preserve"> </v>
      </c>
      <c r="AE567" s="490"/>
      <c r="AF567" s="879"/>
      <c r="AG567" s="491"/>
    </row>
    <row r="568" spans="1:33" x14ac:dyDescent="0.2">
      <c r="A568" s="415">
        <f t="shared" si="16"/>
        <v>1352</v>
      </c>
      <c r="B568" s="419" t="str">
        <f t="shared" si="17"/>
        <v>Winter</v>
      </c>
      <c r="C568" s="455"/>
      <c r="D568" s="504"/>
      <c r="E568" s="455"/>
      <c r="F568" s="504"/>
      <c r="G568" s="455"/>
      <c r="H568" s="504"/>
      <c r="I568" s="455"/>
      <c r="J568" s="504"/>
      <c r="L568" s="472"/>
      <c r="M568" s="468"/>
      <c r="N568" s="468"/>
      <c r="O568" s="468"/>
      <c r="P568" s="468"/>
      <c r="Q568" s="473"/>
      <c r="R568" s="477" t="str">
        <f>IF(AND(COUNTIF('Start Character'!$I$63:$M$77,"Twilight Prone")=1,NOT(ISERROR(FIND("Magical Botch",M568)))),"Yes",IF(P568&gt;1,"Yes","No"))</f>
        <v>No</v>
      </c>
      <c r="S568" s="501"/>
      <c r="T568" s="478"/>
      <c r="U568" s="501"/>
      <c r="V568" s="479" t="str">
        <f>IF(R568="No","No Twilight",IF(T568="Yes","Uncomprehended Twilight",IF((Character!$B$14+IF(Character!$B$53="Yes",0,Character!$B$53)+IF(Magic!$C$5="Yes",2,0)+ROUNDUP((Magic!$B$30+IF(Magic!$C$30="Yes",3,0))/5,0)+S568)&gt;=($D$3+P568+SUMIF(Character!$I$62:$I$66,"Enigmatic Wisdom",Character!$J$62:$J$66)+Q568+U568),"No Twilight","Twilight")))</f>
        <v>No Twilight</v>
      </c>
      <c r="W568" s="483"/>
      <c r="X568" s="478"/>
      <c r="Y568" s="484"/>
      <c r="Z568" s="478"/>
      <c r="AA568" s="485" t="str">
        <f>IF(V568="Uncomprehended Twilight","Failed",IF(OR(ISBLANK(W568),ISBLANK(Y568))," ",IF(NOT(ISBLANK(X568)),"Failed",IF((W568+Character!$B$9+SUMIF(Character!$I$62:$I$66,"Enigmatic Wisdom",Character!$J$62:$J$66))&gt;=IF(Z568="Yes",0,(Y568+D563)),"Succeeded","Failed"))))</f>
        <v xml:space="preserve"> </v>
      </c>
      <c r="AB568" s="477" t="str">
        <f>IF(AA568=" "," ",IF(NOT(ISBLANK(X568)),VLOOKUP($D$3+X568,Calcs!$A$110:$C$122,3,TRUE),IF(AA568="Failed",VLOOKUP($D$3,Calcs!$A$110:$C$122,3,TRUE),VLOOKUP($D$3-(IF((Character!$B$9+W568)&gt;($D$3+Y568),(Character!$B$9+W568)-($D$3+Y568),0)),Calcs!$A$110:$C$122,3,TRUE))))</f>
        <v xml:space="preserve"> </v>
      </c>
      <c r="AC568" s="489"/>
      <c r="AD568" s="489" t="str">
        <f>IF(IF(AA568=" "," ",IF(NOT(ISBLANK(X568)),VLOOKUP($D$3+X568,Calcs!$A$110:$B$122,2,TRUE),IF(AA568="Failed",VLOOKUP($D$3,Calcs!$A$110:$B$122,2,TRUE),VLOOKUP($D$3-(IF((Character!$B$9+W568)&gt;($D$3+Y568),(Character!$B$9+W568)-($D$3+Y568),0)),Calcs!$A$110:$B$122,2,TRUE))))=Calcs!$B$120,IF(ISBLANK(AC568)," ",CONCATENATE(AC568+7," Years")),IF(AA568=" "," ",IF(NOT(ISBLANK(X568)),VLOOKUP($D$3+X568,Calcs!$A$110:$B$122,2,TRUE),IF(AA568="Failed",VLOOKUP($D$3,Calcs!$A$110:$B$122,2,TRUE),VLOOKUP($D$3-(IF((Character!$B$9+W568)&gt;($D$3+Y568),(Character!$B$9+W568)-($D$3+Y568),0)),Calcs!$A$110:$B$122,2,TRUE)))))</f>
        <v xml:space="preserve"> </v>
      </c>
      <c r="AE568" s="490"/>
      <c r="AF568" s="879"/>
      <c r="AG568" s="491"/>
    </row>
    <row r="569" spans="1:33" x14ac:dyDescent="0.2">
      <c r="A569" s="415">
        <f t="shared" si="16"/>
        <v>1352</v>
      </c>
      <c r="B569" s="419" t="str">
        <f t="shared" si="17"/>
        <v>Spring</v>
      </c>
      <c r="C569" s="455"/>
      <c r="D569" s="504"/>
      <c r="E569" s="455"/>
      <c r="F569" s="504"/>
      <c r="G569" s="455"/>
      <c r="H569" s="504"/>
      <c r="I569" s="455"/>
      <c r="J569" s="504"/>
      <c r="L569" s="472"/>
      <c r="M569" s="468"/>
      <c r="N569" s="468"/>
      <c r="O569" s="468"/>
      <c r="P569" s="468"/>
      <c r="Q569" s="473"/>
      <c r="R569" s="477" t="str">
        <f>IF(AND(COUNTIF('Start Character'!$I$63:$M$77,"Twilight Prone")=1,NOT(ISERROR(FIND("Magical Botch",M569)))),"Yes",IF(P569&gt;1,"Yes","No"))</f>
        <v>No</v>
      </c>
      <c r="S569" s="501"/>
      <c r="T569" s="478"/>
      <c r="U569" s="501"/>
      <c r="V569" s="479" t="str">
        <f>IF(R569="No","No Twilight",IF(T569="Yes","Uncomprehended Twilight",IF((Character!$B$14+IF(Character!$B$53="Yes",0,Character!$B$53)+IF(Magic!$C$5="Yes",2,0)+ROUNDUP((Magic!$B$30+IF(Magic!$C$30="Yes",3,0))/5,0)+S569)&gt;=($D$3+P569+SUMIF(Character!$I$62:$I$66,"Enigmatic Wisdom",Character!$J$62:$J$66)+Q569+U569),"No Twilight","Twilight")))</f>
        <v>No Twilight</v>
      </c>
      <c r="W569" s="483"/>
      <c r="X569" s="478"/>
      <c r="Y569" s="484"/>
      <c r="Z569" s="478"/>
      <c r="AA569" s="485" t="str">
        <f>IF(V569="Uncomprehended Twilight","Failed",IF(OR(ISBLANK(W569),ISBLANK(Y569))," ",IF(NOT(ISBLANK(X569)),"Failed",IF((W569+Character!$B$9+SUMIF(Character!$I$62:$I$66,"Enigmatic Wisdom",Character!$J$62:$J$66))&gt;=IF(Z569="Yes",0,(Y569+D564)),"Succeeded","Failed"))))</f>
        <v xml:space="preserve"> </v>
      </c>
      <c r="AB569" s="477" t="str">
        <f>IF(AA569=" "," ",IF(NOT(ISBLANK(X569)),VLOOKUP($D$3+X569,Calcs!$A$110:$C$122,3,TRUE),IF(AA569="Failed",VLOOKUP($D$3,Calcs!$A$110:$C$122,3,TRUE),VLOOKUP($D$3-(IF((Character!$B$9+W569)&gt;($D$3+Y569),(Character!$B$9+W569)-($D$3+Y569),0)),Calcs!$A$110:$C$122,3,TRUE))))</f>
        <v xml:space="preserve"> </v>
      </c>
      <c r="AC569" s="489"/>
      <c r="AD569" s="489" t="str">
        <f>IF(IF(AA569=" "," ",IF(NOT(ISBLANK(X569)),VLOOKUP($D$3+X569,Calcs!$A$110:$B$122,2,TRUE),IF(AA569="Failed",VLOOKUP($D$3,Calcs!$A$110:$B$122,2,TRUE),VLOOKUP($D$3-(IF((Character!$B$9+W569)&gt;($D$3+Y569),(Character!$B$9+W569)-($D$3+Y569),0)),Calcs!$A$110:$B$122,2,TRUE))))=Calcs!$B$120,IF(ISBLANK(AC569)," ",CONCATENATE(AC569+7," Years")),IF(AA569=" "," ",IF(NOT(ISBLANK(X569)),VLOOKUP($D$3+X569,Calcs!$A$110:$B$122,2,TRUE),IF(AA569="Failed",VLOOKUP($D$3,Calcs!$A$110:$B$122,2,TRUE),VLOOKUP($D$3-(IF((Character!$B$9+W569)&gt;($D$3+Y569),(Character!$B$9+W569)-($D$3+Y569),0)),Calcs!$A$110:$B$122,2,TRUE)))))</f>
        <v xml:space="preserve"> </v>
      </c>
      <c r="AE569" s="490"/>
      <c r="AF569" s="879"/>
      <c r="AG569" s="491"/>
    </row>
    <row r="570" spans="1:33" x14ac:dyDescent="0.2">
      <c r="A570" s="415">
        <f t="shared" si="16"/>
        <v>1352</v>
      </c>
      <c r="B570" s="419" t="str">
        <f t="shared" si="17"/>
        <v>Summer</v>
      </c>
      <c r="C570" s="455"/>
      <c r="D570" s="504"/>
      <c r="E570" s="455"/>
      <c r="F570" s="504"/>
      <c r="G570" s="455"/>
      <c r="H570" s="504"/>
      <c r="I570" s="455"/>
      <c r="J570" s="504"/>
      <c r="L570" s="472"/>
      <c r="M570" s="468"/>
      <c r="N570" s="468"/>
      <c r="O570" s="468"/>
      <c r="P570" s="468"/>
      <c r="Q570" s="473"/>
      <c r="R570" s="477" t="str">
        <f>IF(AND(COUNTIF('Start Character'!$I$63:$M$77,"Twilight Prone")=1,NOT(ISERROR(FIND("Magical Botch",M570)))),"Yes",IF(P570&gt;1,"Yes","No"))</f>
        <v>No</v>
      </c>
      <c r="S570" s="501"/>
      <c r="T570" s="478"/>
      <c r="U570" s="501"/>
      <c r="V570" s="479" t="str">
        <f>IF(R570="No","No Twilight",IF(T570="Yes","Uncomprehended Twilight",IF((Character!$B$14+IF(Character!$B$53="Yes",0,Character!$B$53)+IF(Magic!$C$5="Yes",2,0)+ROUNDUP((Magic!$B$30+IF(Magic!$C$30="Yes",3,0))/5,0)+S570)&gt;=($D$3+P570+SUMIF(Character!$I$62:$I$66,"Enigmatic Wisdom",Character!$J$62:$J$66)+Q570+U570),"No Twilight","Twilight")))</f>
        <v>No Twilight</v>
      </c>
      <c r="W570" s="483"/>
      <c r="X570" s="478"/>
      <c r="Y570" s="484"/>
      <c r="Z570" s="478"/>
      <c r="AA570" s="485" t="str">
        <f>IF(V570="Uncomprehended Twilight","Failed",IF(OR(ISBLANK(W570),ISBLANK(Y570))," ",IF(NOT(ISBLANK(X570)),"Failed",IF((W570+Character!$B$9+SUMIF(Character!$I$62:$I$66,"Enigmatic Wisdom",Character!$J$62:$J$66))&gt;=IF(Z570="Yes",0,(Y570+D565)),"Succeeded","Failed"))))</f>
        <v xml:space="preserve"> </v>
      </c>
      <c r="AB570" s="477" t="str">
        <f>IF(AA570=" "," ",IF(NOT(ISBLANK(X570)),VLOOKUP($D$3+X570,Calcs!$A$110:$C$122,3,TRUE),IF(AA570="Failed",VLOOKUP($D$3,Calcs!$A$110:$C$122,3,TRUE),VLOOKUP($D$3-(IF((Character!$B$9+W570)&gt;($D$3+Y570),(Character!$B$9+W570)-($D$3+Y570),0)),Calcs!$A$110:$C$122,3,TRUE))))</f>
        <v xml:space="preserve"> </v>
      </c>
      <c r="AC570" s="489"/>
      <c r="AD570" s="489" t="str">
        <f>IF(IF(AA570=" "," ",IF(NOT(ISBLANK(X570)),VLOOKUP($D$3+X570,Calcs!$A$110:$B$122,2,TRUE),IF(AA570="Failed",VLOOKUP($D$3,Calcs!$A$110:$B$122,2,TRUE),VLOOKUP($D$3-(IF((Character!$B$9+W570)&gt;($D$3+Y570),(Character!$B$9+W570)-($D$3+Y570),0)),Calcs!$A$110:$B$122,2,TRUE))))=Calcs!$B$120,IF(ISBLANK(AC570)," ",CONCATENATE(AC570+7," Years")),IF(AA570=" "," ",IF(NOT(ISBLANK(X570)),VLOOKUP($D$3+X570,Calcs!$A$110:$B$122,2,TRUE),IF(AA570="Failed",VLOOKUP($D$3,Calcs!$A$110:$B$122,2,TRUE),VLOOKUP($D$3-(IF((Character!$B$9+W570)&gt;($D$3+Y570),(Character!$B$9+W570)-($D$3+Y570),0)),Calcs!$A$110:$B$122,2,TRUE)))))</f>
        <v xml:space="preserve"> </v>
      </c>
      <c r="AE570" s="490"/>
      <c r="AF570" s="879"/>
      <c r="AG570" s="491"/>
    </row>
    <row r="571" spans="1:33" x14ac:dyDescent="0.2">
      <c r="A571" s="415">
        <f t="shared" si="16"/>
        <v>1352</v>
      </c>
      <c r="B571" s="419" t="str">
        <f t="shared" si="17"/>
        <v>Autumn</v>
      </c>
      <c r="C571" s="455"/>
      <c r="D571" s="504"/>
      <c r="E571" s="455"/>
      <c r="F571" s="504"/>
      <c r="G571" s="455"/>
      <c r="H571" s="504"/>
      <c r="I571" s="455"/>
      <c r="J571" s="504"/>
      <c r="L571" s="472"/>
      <c r="M571" s="468"/>
      <c r="N571" s="468"/>
      <c r="O571" s="468"/>
      <c r="P571" s="468"/>
      <c r="Q571" s="473"/>
      <c r="R571" s="477" t="str">
        <f>IF(AND(COUNTIF('Start Character'!$I$63:$M$77,"Twilight Prone")=1,NOT(ISERROR(FIND("Magical Botch",M571)))),"Yes",IF(P571&gt;1,"Yes","No"))</f>
        <v>No</v>
      </c>
      <c r="S571" s="501"/>
      <c r="T571" s="478"/>
      <c r="U571" s="501"/>
      <c r="V571" s="479" t="str">
        <f>IF(R571="No","No Twilight",IF(T571="Yes","Uncomprehended Twilight",IF((Character!$B$14+IF(Character!$B$53="Yes",0,Character!$B$53)+IF(Magic!$C$5="Yes",2,0)+ROUNDUP((Magic!$B$30+IF(Magic!$C$30="Yes",3,0))/5,0)+S571)&gt;=($D$3+P571+SUMIF(Character!$I$62:$I$66,"Enigmatic Wisdom",Character!$J$62:$J$66)+Q571+U571),"No Twilight","Twilight")))</f>
        <v>No Twilight</v>
      </c>
      <c r="W571" s="483"/>
      <c r="X571" s="478"/>
      <c r="Y571" s="484"/>
      <c r="Z571" s="478"/>
      <c r="AA571" s="485" t="str">
        <f>IF(V571="Uncomprehended Twilight","Failed",IF(OR(ISBLANK(W571),ISBLANK(Y571))," ",IF(NOT(ISBLANK(X571)),"Failed",IF((W571+Character!$B$9+SUMIF(Character!$I$62:$I$66,"Enigmatic Wisdom",Character!$J$62:$J$66))&gt;=IF(Z571="Yes",0,(Y571+D566)),"Succeeded","Failed"))))</f>
        <v xml:space="preserve"> </v>
      </c>
      <c r="AB571" s="477" t="str">
        <f>IF(AA571=" "," ",IF(NOT(ISBLANK(X571)),VLOOKUP($D$3+X571,Calcs!$A$110:$C$122,3,TRUE),IF(AA571="Failed",VLOOKUP($D$3,Calcs!$A$110:$C$122,3,TRUE),VLOOKUP($D$3-(IF((Character!$B$9+W571)&gt;($D$3+Y571),(Character!$B$9+W571)-($D$3+Y571),0)),Calcs!$A$110:$C$122,3,TRUE))))</f>
        <v xml:space="preserve"> </v>
      </c>
      <c r="AC571" s="489"/>
      <c r="AD571" s="489" t="str">
        <f>IF(IF(AA571=" "," ",IF(NOT(ISBLANK(X571)),VLOOKUP($D$3+X571,Calcs!$A$110:$B$122,2,TRUE),IF(AA571="Failed",VLOOKUP($D$3,Calcs!$A$110:$B$122,2,TRUE),VLOOKUP($D$3-(IF((Character!$B$9+W571)&gt;($D$3+Y571),(Character!$B$9+W571)-($D$3+Y571),0)),Calcs!$A$110:$B$122,2,TRUE))))=Calcs!$B$120,IF(ISBLANK(AC571)," ",CONCATENATE(AC571+7," Years")),IF(AA571=" "," ",IF(NOT(ISBLANK(X571)),VLOOKUP($D$3+X571,Calcs!$A$110:$B$122,2,TRUE),IF(AA571="Failed",VLOOKUP($D$3,Calcs!$A$110:$B$122,2,TRUE),VLOOKUP($D$3-(IF((Character!$B$9+W571)&gt;($D$3+Y571),(Character!$B$9+W571)-($D$3+Y571),0)),Calcs!$A$110:$B$122,2,TRUE)))))</f>
        <v xml:space="preserve"> </v>
      </c>
      <c r="AE571" s="490"/>
      <c r="AF571" s="879"/>
      <c r="AG571" s="491"/>
    </row>
    <row r="572" spans="1:33" x14ac:dyDescent="0.2">
      <c r="A572" s="415">
        <f t="shared" si="16"/>
        <v>1353</v>
      </c>
      <c r="B572" s="419" t="str">
        <f t="shared" si="17"/>
        <v>Winter</v>
      </c>
      <c r="C572" s="455"/>
      <c r="D572" s="504"/>
      <c r="E572" s="455"/>
      <c r="F572" s="504"/>
      <c r="G572" s="455"/>
      <c r="H572" s="504"/>
      <c r="I572" s="455"/>
      <c r="J572" s="504"/>
      <c r="L572" s="472"/>
      <c r="M572" s="468"/>
      <c r="N572" s="468"/>
      <c r="O572" s="468"/>
      <c r="P572" s="468"/>
      <c r="Q572" s="473"/>
      <c r="R572" s="477" t="str">
        <f>IF(AND(COUNTIF('Start Character'!$I$63:$M$77,"Twilight Prone")=1,NOT(ISERROR(FIND("Magical Botch",M572)))),"Yes",IF(P572&gt;1,"Yes","No"))</f>
        <v>No</v>
      </c>
      <c r="S572" s="501"/>
      <c r="T572" s="478"/>
      <c r="U572" s="501"/>
      <c r="V572" s="479" t="str">
        <f>IF(R572="No","No Twilight",IF(T572="Yes","Uncomprehended Twilight",IF((Character!$B$14+IF(Character!$B$53="Yes",0,Character!$B$53)+IF(Magic!$C$5="Yes",2,0)+ROUNDUP((Magic!$B$30+IF(Magic!$C$30="Yes",3,0))/5,0)+S572)&gt;=($D$3+P572+SUMIF(Character!$I$62:$I$66,"Enigmatic Wisdom",Character!$J$62:$J$66)+Q572+U572),"No Twilight","Twilight")))</f>
        <v>No Twilight</v>
      </c>
      <c r="W572" s="483"/>
      <c r="X572" s="478"/>
      <c r="Y572" s="484"/>
      <c r="Z572" s="478"/>
      <c r="AA572" s="485" t="str">
        <f>IF(V572="Uncomprehended Twilight","Failed",IF(OR(ISBLANK(W572),ISBLANK(Y572))," ",IF(NOT(ISBLANK(X572)),"Failed",IF((W572+Character!$B$9+SUMIF(Character!$I$62:$I$66,"Enigmatic Wisdom",Character!$J$62:$J$66))&gt;=IF(Z572="Yes",0,(Y572+D567)),"Succeeded","Failed"))))</f>
        <v xml:space="preserve"> </v>
      </c>
      <c r="AB572" s="477" t="str">
        <f>IF(AA572=" "," ",IF(NOT(ISBLANK(X572)),VLOOKUP($D$3+X572,Calcs!$A$110:$C$122,3,TRUE),IF(AA572="Failed",VLOOKUP($D$3,Calcs!$A$110:$C$122,3,TRUE),VLOOKUP($D$3-(IF((Character!$B$9+W572)&gt;($D$3+Y572),(Character!$B$9+W572)-($D$3+Y572),0)),Calcs!$A$110:$C$122,3,TRUE))))</f>
        <v xml:space="preserve"> </v>
      </c>
      <c r="AC572" s="489"/>
      <c r="AD572" s="489" t="str">
        <f>IF(IF(AA572=" "," ",IF(NOT(ISBLANK(X572)),VLOOKUP($D$3+X572,Calcs!$A$110:$B$122,2,TRUE),IF(AA572="Failed",VLOOKUP($D$3,Calcs!$A$110:$B$122,2,TRUE),VLOOKUP($D$3-(IF((Character!$B$9+W572)&gt;($D$3+Y572),(Character!$B$9+W572)-($D$3+Y572),0)),Calcs!$A$110:$B$122,2,TRUE))))=Calcs!$B$120,IF(ISBLANK(AC572)," ",CONCATENATE(AC572+7," Years")),IF(AA572=" "," ",IF(NOT(ISBLANK(X572)),VLOOKUP($D$3+X572,Calcs!$A$110:$B$122,2,TRUE),IF(AA572="Failed",VLOOKUP($D$3,Calcs!$A$110:$B$122,2,TRUE),VLOOKUP($D$3-(IF((Character!$B$9+W572)&gt;($D$3+Y572),(Character!$B$9+W572)-($D$3+Y572),0)),Calcs!$A$110:$B$122,2,TRUE)))))</f>
        <v xml:space="preserve"> </v>
      </c>
      <c r="AE572" s="490"/>
      <c r="AF572" s="879"/>
      <c r="AG572" s="491"/>
    </row>
    <row r="573" spans="1:33" x14ac:dyDescent="0.2">
      <c r="A573" s="415">
        <f t="shared" si="16"/>
        <v>1353</v>
      </c>
      <c r="B573" s="419" t="str">
        <f t="shared" si="17"/>
        <v>Spring</v>
      </c>
      <c r="C573" s="455"/>
      <c r="D573" s="504"/>
      <c r="E573" s="455"/>
      <c r="F573" s="504"/>
      <c r="G573" s="455"/>
      <c r="H573" s="504"/>
      <c r="I573" s="455"/>
      <c r="J573" s="504"/>
      <c r="L573" s="472"/>
      <c r="M573" s="468"/>
      <c r="N573" s="468"/>
      <c r="O573" s="468"/>
      <c r="P573" s="468"/>
      <c r="Q573" s="473"/>
      <c r="R573" s="477" t="str">
        <f>IF(AND(COUNTIF('Start Character'!$I$63:$M$77,"Twilight Prone")=1,NOT(ISERROR(FIND("Magical Botch",M573)))),"Yes",IF(P573&gt;1,"Yes","No"))</f>
        <v>No</v>
      </c>
      <c r="S573" s="501"/>
      <c r="T573" s="478"/>
      <c r="U573" s="501"/>
      <c r="V573" s="479" t="str">
        <f>IF(R573="No","No Twilight",IF(T573="Yes","Uncomprehended Twilight",IF((Character!$B$14+IF(Character!$B$53="Yes",0,Character!$B$53)+IF(Magic!$C$5="Yes",2,0)+ROUNDUP((Magic!$B$30+IF(Magic!$C$30="Yes",3,0))/5,0)+S573)&gt;=($D$3+P573+SUMIF(Character!$I$62:$I$66,"Enigmatic Wisdom",Character!$J$62:$J$66)+Q573+U573),"No Twilight","Twilight")))</f>
        <v>No Twilight</v>
      </c>
      <c r="W573" s="483"/>
      <c r="X573" s="478"/>
      <c r="Y573" s="484"/>
      <c r="Z573" s="478"/>
      <c r="AA573" s="485" t="str">
        <f>IF(V573="Uncomprehended Twilight","Failed",IF(OR(ISBLANK(W573),ISBLANK(Y573))," ",IF(NOT(ISBLANK(X573)),"Failed",IF((W573+Character!$B$9+SUMIF(Character!$I$62:$I$66,"Enigmatic Wisdom",Character!$J$62:$J$66))&gt;=IF(Z573="Yes",0,(Y573+D568)),"Succeeded","Failed"))))</f>
        <v xml:space="preserve"> </v>
      </c>
      <c r="AB573" s="477" t="str">
        <f>IF(AA573=" "," ",IF(NOT(ISBLANK(X573)),VLOOKUP($D$3+X573,Calcs!$A$110:$C$122,3,TRUE),IF(AA573="Failed",VLOOKUP($D$3,Calcs!$A$110:$C$122,3,TRUE),VLOOKUP($D$3-(IF((Character!$B$9+W573)&gt;($D$3+Y573),(Character!$B$9+W573)-($D$3+Y573),0)),Calcs!$A$110:$C$122,3,TRUE))))</f>
        <v xml:space="preserve"> </v>
      </c>
      <c r="AC573" s="489"/>
      <c r="AD573" s="489" t="str">
        <f>IF(IF(AA573=" "," ",IF(NOT(ISBLANK(X573)),VLOOKUP($D$3+X573,Calcs!$A$110:$B$122,2,TRUE),IF(AA573="Failed",VLOOKUP($D$3,Calcs!$A$110:$B$122,2,TRUE),VLOOKUP($D$3-(IF((Character!$B$9+W573)&gt;($D$3+Y573),(Character!$B$9+W573)-($D$3+Y573),0)),Calcs!$A$110:$B$122,2,TRUE))))=Calcs!$B$120,IF(ISBLANK(AC573)," ",CONCATENATE(AC573+7," Years")),IF(AA573=" "," ",IF(NOT(ISBLANK(X573)),VLOOKUP($D$3+X573,Calcs!$A$110:$B$122,2,TRUE),IF(AA573="Failed",VLOOKUP($D$3,Calcs!$A$110:$B$122,2,TRUE),VLOOKUP($D$3-(IF((Character!$B$9+W573)&gt;($D$3+Y573),(Character!$B$9+W573)-($D$3+Y573),0)),Calcs!$A$110:$B$122,2,TRUE)))))</f>
        <v xml:space="preserve"> </v>
      </c>
      <c r="AE573" s="490"/>
      <c r="AF573" s="879"/>
      <c r="AG573" s="491"/>
    </row>
    <row r="574" spans="1:33" x14ac:dyDescent="0.2">
      <c r="A574" s="415">
        <f t="shared" si="16"/>
        <v>1353</v>
      </c>
      <c r="B574" s="419" t="str">
        <f t="shared" si="17"/>
        <v>Summer</v>
      </c>
      <c r="C574" s="455"/>
      <c r="D574" s="504"/>
      <c r="E574" s="455"/>
      <c r="F574" s="504"/>
      <c r="G574" s="455"/>
      <c r="H574" s="504"/>
      <c r="I574" s="455"/>
      <c r="J574" s="504"/>
      <c r="L574" s="472"/>
      <c r="M574" s="468"/>
      <c r="N574" s="468"/>
      <c r="O574" s="468"/>
      <c r="P574" s="468"/>
      <c r="Q574" s="473"/>
      <c r="R574" s="477" t="str">
        <f>IF(AND(COUNTIF('Start Character'!$I$63:$M$77,"Twilight Prone")=1,NOT(ISERROR(FIND("Magical Botch",M574)))),"Yes",IF(P574&gt;1,"Yes","No"))</f>
        <v>No</v>
      </c>
      <c r="S574" s="501"/>
      <c r="T574" s="478"/>
      <c r="U574" s="501"/>
      <c r="V574" s="479" t="str">
        <f>IF(R574="No","No Twilight",IF(T574="Yes","Uncomprehended Twilight",IF((Character!$B$14+IF(Character!$B$53="Yes",0,Character!$B$53)+IF(Magic!$C$5="Yes",2,0)+ROUNDUP((Magic!$B$30+IF(Magic!$C$30="Yes",3,0))/5,0)+S574)&gt;=($D$3+P574+SUMIF(Character!$I$62:$I$66,"Enigmatic Wisdom",Character!$J$62:$J$66)+Q574+U574),"No Twilight","Twilight")))</f>
        <v>No Twilight</v>
      </c>
      <c r="W574" s="483"/>
      <c r="X574" s="478"/>
      <c r="Y574" s="484"/>
      <c r="Z574" s="478"/>
      <c r="AA574" s="485" t="str">
        <f>IF(V574="Uncomprehended Twilight","Failed",IF(OR(ISBLANK(W574),ISBLANK(Y574))," ",IF(NOT(ISBLANK(X574)),"Failed",IF((W574+Character!$B$9+SUMIF(Character!$I$62:$I$66,"Enigmatic Wisdom",Character!$J$62:$J$66))&gt;=IF(Z574="Yes",0,(Y574+D569)),"Succeeded","Failed"))))</f>
        <v xml:space="preserve"> </v>
      </c>
      <c r="AB574" s="477" t="str">
        <f>IF(AA574=" "," ",IF(NOT(ISBLANK(X574)),VLOOKUP($D$3+X574,Calcs!$A$110:$C$122,3,TRUE),IF(AA574="Failed",VLOOKUP($D$3,Calcs!$A$110:$C$122,3,TRUE),VLOOKUP($D$3-(IF((Character!$B$9+W574)&gt;($D$3+Y574),(Character!$B$9+W574)-($D$3+Y574),0)),Calcs!$A$110:$C$122,3,TRUE))))</f>
        <v xml:space="preserve"> </v>
      </c>
      <c r="AC574" s="489"/>
      <c r="AD574" s="489" t="str">
        <f>IF(IF(AA574=" "," ",IF(NOT(ISBLANK(X574)),VLOOKUP($D$3+X574,Calcs!$A$110:$B$122,2,TRUE),IF(AA574="Failed",VLOOKUP($D$3,Calcs!$A$110:$B$122,2,TRUE),VLOOKUP($D$3-(IF((Character!$B$9+W574)&gt;($D$3+Y574),(Character!$B$9+W574)-($D$3+Y574),0)),Calcs!$A$110:$B$122,2,TRUE))))=Calcs!$B$120,IF(ISBLANK(AC574)," ",CONCATENATE(AC574+7," Years")),IF(AA574=" "," ",IF(NOT(ISBLANK(X574)),VLOOKUP($D$3+X574,Calcs!$A$110:$B$122,2,TRUE),IF(AA574="Failed",VLOOKUP($D$3,Calcs!$A$110:$B$122,2,TRUE),VLOOKUP($D$3-(IF((Character!$B$9+W574)&gt;($D$3+Y574),(Character!$B$9+W574)-($D$3+Y574),0)),Calcs!$A$110:$B$122,2,TRUE)))))</f>
        <v xml:space="preserve"> </v>
      </c>
      <c r="AE574" s="490"/>
      <c r="AF574" s="879"/>
      <c r="AG574" s="491"/>
    </row>
    <row r="575" spans="1:33" x14ac:dyDescent="0.2">
      <c r="A575" s="415">
        <f t="shared" si="16"/>
        <v>1353</v>
      </c>
      <c r="B575" s="419" t="str">
        <f t="shared" si="17"/>
        <v>Autumn</v>
      </c>
      <c r="C575" s="455"/>
      <c r="D575" s="504"/>
      <c r="E575" s="455"/>
      <c r="F575" s="504"/>
      <c r="G575" s="455"/>
      <c r="H575" s="504"/>
      <c r="I575" s="455"/>
      <c r="J575" s="504"/>
      <c r="L575" s="472"/>
      <c r="M575" s="468"/>
      <c r="N575" s="468"/>
      <c r="O575" s="468"/>
      <c r="P575" s="468"/>
      <c r="Q575" s="473"/>
      <c r="R575" s="477" t="str">
        <f>IF(AND(COUNTIF('Start Character'!$I$63:$M$77,"Twilight Prone")=1,NOT(ISERROR(FIND("Magical Botch",M575)))),"Yes",IF(P575&gt;1,"Yes","No"))</f>
        <v>No</v>
      </c>
      <c r="S575" s="501"/>
      <c r="T575" s="478"/>
      <c r="U575" s="501"/>
      <c r="V575" s="479" t="str">
        <f>IF(R575="No","No Twilight",IF(T575="Yes","Uncomprehended Twilight",IF((Character!$B$14+IF(Character!$B$53="Yes",0,Character!$B$53)+IF(Magic!$C$5="Yes",2,0)+ROUNDUP((Magic!$B$30+IF(Magic!$C$30="Yes",3,0))/5,0)+S575)&gt;=($D$3+P575+SUMIF(Character!$I$62:$I$66,"Enigmatic Wisdom",Character!$J$62:$J$66)+Q575+U575),"No Twilight","Twilight")))</f>
        <v>No Twilight</v>
      </c>
      <c r="W575" s="483"/>
      <c r="X575" s="478"/>
      <c r="Y575" s="484"/>
      <c r="Z575" s="478"/>
      <c r="AA575" s="485" t="str">
        <f>IF(V575="Uncomprehended Twilight","Failed",IF(OR(ISBLANK(W575),ISBLANK(Y575))," ",IF(NOT(ISBLANK(X575)),"Failed",IF((W575+Character!$B$9+SUMIF(Character!$I$62:$I$66,"Enigmatic Wisdom",Character!$J$62:$J$66))&gt;=IF(Z575="Yes",0,(Y575+D570)),"Succeeded","Failed"))))</f>
        <v xml:space="preserve"> </v>
      </c>
      <c r="AB575" s="477" t="str">
        <f>IF(AA575=" "," ",IF(NOT(ISBLANK(X575)),VLOOKUP($D$3+X575,Calcs!$A$110:$C$122,3,TRUE),IF(AA575="Failed",VLOOKUP($D$3,Calcs!$A$110:$C$122,3,TRUE),VLOOKUP($D$3-(IF((Character!$B$9+W575)&gt;($D$3+Y575),(Character!$B$9+W575)-($D$3+Y575),0)),Calcs!$A$110:$C$122,3,TRUE))))</f>
        <v xml:space="preserve"> </v>
      </c>
      <c r="AC575" s="489"/>
      <c r="AD575" s="489" t="str">
        <f>IF(IF(AA575=" "," ",IF(NOT(ISBLANK(X575)),VLOOKUP($D$3+X575,Calcs!$A$110:$B$122,2,TRUE),IF(AA575="Failed",VLOOKUP($D$3,Calcs!$A$110:$B$122,2,TRUE),VLOOKUP($D$3-(IF((Character!$B$9+W575)&gt;($D$3+Y575),(Character!$B$9+W575)-($D$3+Y575),0)),Calcs!$A$110:$B$122,2,TRUE))))=Calcs!$B$120,IF(ISBLANK(AC575)," ",CONCATENATE(AC575+7," Years")),IF(AA575=" "," ",IF(NOT(ISBLANK(X575)),VLOOKUP($D$3+X575,Calcs!$A$110:$B$122,2,TRUE),IF(AA575="Failed",VLOOKUP($D$3,Calcs!$A$110:$B$122,2,TRUE),VLOOKUP($D$3-(IF((Character!$B$9+W575)&gt;($D$3+Y575),(Character!$B$9+W575)-($D$3+Y575),0)),Calcs!$A$110:$B$122,2,TRUE)))))</f>
        <v xml:space="preserve"> </v>
      </c>
      <c r="AE575" s="490"/>
      <c r="AF575" s="879"/>
      <c r="AG575" s="491"/>
    </row>
    <row r="576" spans="1:33" x14ac:dyDescent="0.2">
      <c r="A576" s="415">
        <f t="shared" si="16"/>
        <v>1354</v>
      </c>
      <c r="B576" s="419" t="str">
        <f t="shared" si="17"/>
        <v>Winter</v>
      </c>
      <c r="C576" s="455"/>
      <c r="D576" s="504"/>
      <c r="E576" s="455"/>
      <c r="F576" s="504"/>
      <c r="G576" s="455"/>
      <c r="H576" s="504"/>
      <c r="I576" s="455"/>
      <c r="J576" s="504"/>
      <c r="L576" s="472"/>
      <c r="M576" s="468"/>
      <c r="N576" s="468"/>
      <c r="O576" s="468"/>
      <c r="P576" s="468"/>
      <c r="Q576" s="473"/>
      <c r="R576" s="477" t="str">
        <f>IF(AND(COUNTIF('Start Character'!$I$63:$M$77,"Twilight Prone")=1,NOT(ISERROR(FIND("Magical Botch",M576)))),"Yes",IF(P576&gt;1,"Yes","No"))</f>
        <v>No</v>
      </c>
      <c r="S576" s="501"/>
      <c r="T576" s="478"/>
      <c r="U576" s="501"/>
      <c r="V576" s="479" t="str">
        <f>IF(R576="No","No Twilight",IF(T576="Yes","Uncomprehended Twilight",IF((Character!$B$14+IF(Character!$B$53="Yes",0,Character!$B$53)+IF(Magic!$C$5="Yes",2,0)+ROUNDUP((Magic!$B$30+IF(Magic!$C$30="Yes",3,0))/5,0)+S576)&gt;=($D$3+P576+SUMIF(Character!$I$62:$I$66,"Enigmatic Wisdom",Character!$J$62:$J$66)+Q576+U576),"No Twilight","Twilight")))</f>
        <v>No Twilight</v>
      </c>
      <c r="W576" s="483"/>
      <c r="X576" s="478"/>
      <c r="Y576" s="484"/>
      <c r="Z576" s="478"/>
      <c r="AA576" s="485" t="str">
        <f>IF(V576="Uncomprehended Twilight","Failed",IF(OR(ISBLANK(W576),ISBLANK(Y576))," ",IF(NOT(ISBLANK(X576)),"Failed",IF((W576+Character!$B$9+SUMIF(Character!$I$62:$I$66,"Enigmatic Wisdom",Character!$J$62:$J$66))&gt;=IF(Z576="Yes",0,(Y576+D571)),"Succeeded","Failed"))))</f>
        <v xml:space="preserve"> </v>
      </c>
      <c r="AB576" s="477" t="str">
        <f>IF(AA576=" "," ",IF(NOT(ISBLANK(X576)),VLOOKUP($D$3+X576,Calcs!$A$110:$C$122,3,TRUE),IF(AA576="Failed",VLOOKUP($D$3,Calcs!$A$110:$C$122,3,TRUE),VLOOKUP($D$3-(IF((Character!$B$9+W576)&gt;($D$3+Y576),(Character!$B$9+W576)-($D$3+Y576),0)),Calcs!$A$110:$C$122,3,TRUE))))</f>
        <v xml:space="preserve"> </v>
      </c>
      <c r="AC576" s="489"/>
      <c r="AD576" s="489" t="str">
        <f>IF(IF(AA576=" "," ",IF(NOT(ISBLANK(X576)),VLOOKUP($D$3+X576,Calcs!$A$110:$B$122,2,TRUE),IF(AA576="Failed",VLOOKUP($D$3,Calcs!$A$110:$B$122,2,TRUE),VLOOKUP($D$3-(IF((Character!$B$9+W576)&gt;($D$3+Y576),(Character!$B$9+W576)-($D$3+Y576),0)),Calcs!$A$110:$B$122,2,TRUE))))=Calcs!$B$120,IF(ISBLANK(AC576)," ",CONCATENATE(AC576+7," Years")),IF(AA576=" "," ",IF(NOT(ISBLANK(X576)),VLOOKUP($D$3+X576,Calcs!$A$110:$B$122,2,TRUE),IF(AA576="Failed",VLOOKUP($D$3,Calcs!$A$110:$B$122,2,TRUE),VLOOKUP($D$3-(IF((Character!$B$9+W576)&gt;($D$3+Y576),(Character!$B$9+W576)-($D$3+Y576),0)),Calcs!$A$110:$B$122,2,TRUE)))))</f>
        <v xml:space="preserve"> </v>
      </c>
      <c r="AE576" s="490"/>
      <c r="AF576" s="879"/>
      <c r="AG576" s="491"/>
    </row>
    <row r="577" spans="1:33" x14ac:dyDescent="0.2">
      <c r="A577" s="415">
        <f t="shared" si="16"/>
        <v>1354</v>
      </c>
      <c r="B577" s="419" t="str">
        <f t="shared" si="17"/>
        <v>Spring</v>
      </c>
      <c r="C577" s="455"/>
      <c r="D577" s="504"/>
      <c r="E577" s="455"/>
      <c r="F577" s="504"/>
      <c r="G577" s="455"/>
      <c r="H577" s="504"/>
      <c r="I577" s="455"/>
      <c r="J577" s="504"/>
      <c r="L577" s="472"/>
      <c r="M577" s="468"/>
      <c r="N577" s="468"/>
      <c r="O577" s="468"/>
      <c r="P577" s="468"/>
      <c r="Q577" s="473"/>
      <c r="R577" s="477" t="str">
        <f>IF(AND(COUNTIF('Start Character'!$I$63:$M$77,"Twilight Prone")=1,NOT(ISERROR(FIND("Magical Botch",M577)))),"Yes",IF(P577&gt;1,"Yes","No"))</f>
        <v>No</v>
      </c>
      <c r="S577" s="501"/>
      <c r="T577" s="478"/>
      <c r="U577" s="501"/>
      <c r="V577" s="479" t="str">
        <f>IF(R577="No","No Twilight",IF(T577="Yes","Uncomprehended Twilight",IF((Character!$B$14+IF(Character!$B$53="Yes",0,Character!$B$53)+IF(Magic!$C$5="Yes",2,0)+ROUNDUP((Magic!$B$30+IF(Magic!$C$30="Yes",3,0))/5,0)+S577)&gt;=($D$3+P577+SUMIF(Character!$I$62:$I$66,"Enigmatic Wisdom",Character!$J$62:$J$66)+Q577+U577),"No Twilight","Twilight")))</f>
        <v>No Twilight</v>
      </c>
      <c r="W577" s="483"/>
      <c r="X577" s="478"/>
      <c r="Y577" s="484"/>
      <c r="Z577" s="478"/>
      <c r="AA577" s="485" t="str">
        <f>IF(V577="Uncomprehended Twilight","Failed",IF(OR(ISBLANK(W577),ISBLANK(Y577))," ",IF(NOT(ISBLANK(X577)),"Failed",IF((W577+Character!$B$9+SUMIF(Character!$I$62:$I$66,"Enigmatic Wisdom",Character!$J$62:$J$66))&gt;=IF(Z577="Yes",0,(Y577+D572)),"Succeeded","Failed"))))</f>
        <v xml:space="preserve"> </v>
      </c>
      <c r="AB577" s="477" t="str">
        <f>IF(AA577=" "," ",IF(NOT(ISBLANK(X577)),VLOOKUP($D$3+X577,Calcs!$A$110:$C$122,3,TRUE),IF(AA577="Failed",VLOOKUP($D$3,Calcs!$A$110:$C$122,3,TRUE),VLOOKUP($D$3-(IF((Character!$B$9+W577)&gt;($D$3+Y577),(Character!$B$9+W577)-($D$3+Y577),0)),Calcs!$A$110:$C$122,3,TRUE))))</f>
        <v xml:space="preserve"> </v>
      </c>
      <c r="AC577" s="489"/>
      <c r="AD577" s="489" t="str">
        <f>IF(IF(AA577=" "," ",IF(NOT(ISBLANK(X577)),VLOOKUP($D$3+X577,Calcs!$A$110:$B$122,2,TRUE),IF(AA577="Failed",VLOOKUP($D$3,Calcs!$A$110:$B$122,2,TRUE),VLOOKUP($D$3-(IF((Character!$B$9+W577)&gt;($D$3+Y577),(Character!$B$9+W577)-($D$3+Y577),0)),Calcs!$A$110:$B$122,2,TRUE))))=Calcs!$B$120,IF(ISBLANK(AC577)," ",CONCATENATE(AC577+7," Years")),IF(AA577=" "," ",IF(NOT(ISBLANK(X577)),VLOOKUP($D$3+X577,Calcs!$A$110:$B$122,2,TRUE),IF(AA577="Failed",VLOOKUP($D$3,Calcs!$A$110:$B$122,2,TRUE),VLOOKUP($D$3-(IF((Character!$B$9+W577)&gt;($D$3+Y577),(Character!$B$9+W577)-($D$3+Y577),0)),Calcs!$A$110:$B$122,2,TRUE)))))</f>
        <v xml:space="preserve"> </v>
      </c>
      <c r="AE577" s="490"/>
      <c r="AF577" s="879"/>
      <c r="AG577" s="491"/>
    </row>
    <row r="578" spans="1:33" x14ac:dyDescent="0.2">
      <c r="A578" s="415">
        <f t="shared" si="16"/>
        <v>1354</v>
      </c>
      <c r="B578" s="419" t="str">
        <f t="shared" si="17"/>
        <v>Summer</v>
      </c>
      <c r="C578" s="455"/>
      <c r="D578" s="504"/>
      <c r="E578" s="455"/>
      <c r="F578" s="504"/>
      <c r="G578" s="455"/>
      <c r="H578" s="504"/>
      <c r="I578" s="455"/>
      <c r="J578" s="504"/>
      <c r="L578" s="472"/>
      <c r="M578" s="468"/>
      <c r="N578" s="468"/>
      <c r="O578" s="468"/>
      <c r="P578" s="468"/>
      <c r="Q578" s="473"/>
      <c r="R578" s="477" t="str">
        <f>IF(AND(COUNTIF('Start Character'!$I$63:$M$77,"Twilight Prone")=1,NOT(ISERROR(FIND("Magical Botch",M578)))),"Yes",IF(P578&gt;1,"Yes","No"))</f>
        <v>No</v>
      </c>
      <c r="S578" s="501"/>
      <c r="T578" s="478"/>
      <c r="U578" s="501"/>
      <c r="V578" s="479" t="str">
        <f>IF(R578="No","No Twilight",IF(T578="Yes","Uncomprehended Twilight",IF((Character!$B$14+IF(Character!$B$53="Yes",0,Character!$B$53)+IF(Magic!$C$5="Yes",2,0)+ROUNDUP((Magic!$B$30+IF(Magic!$C$30="Yes",3,0))/5,0)+S578)&gt;=($D$3+P578+SUMIF(Character!$I$62:$I$66,"Enigmatic Wisdom",Character!$J$62:$J$66)+Q578+U578),"No Twilight","Twilight")))</f>
        <v>No Twilight</v>
      </c>
      <c r="W578" s="483"/>
      <c r="X578" s="478"/>
      <c r="Y578" s="484"/>
      <c r="Z578" s="478"/>
      <c r="AA578" s="485" t="str">
        <f>IF(V578="Uncomprehended Twilight","Failed",IF(OR(ISBLANK(W578),ISBLANK(Y578))," ",IF(NOT(ISBLANK(X578)),"Failed",IF((W578+Character!$B$9+SUMIF(Character!$I$62:$I$66,"Enigmatic Wisdom",Character!$J$62:$J$66))&gt;=IF(Z578="Yes",0,(Y578+D573)),"Succeeded","Failed"))))</f>
        <v xml:space="preserve"> </v>
      </c>
      <c r="AB578" s="477" t="str">
        <f>IF(AA578=" "," ",IF(NOT(ISBLANK(X578)),VLOOKUP($D$3+X578,Calcs!$A$110:$C$122,3,TRUE),IF(AA578="Failed",VLOOKUP($D$3,Calcs!$A$110:$C$122,3,TRUE),VLOOKUP($D$3-(IF((Character!$B$9+W578)&gt;($D$3+Y578),(Character!$B$9+W578)-($D$3+Y578),0)),Calcs!$A$110:$C$122,3,TRUE))))</f>
        <v xml:space="preserve"> </v>
      </c>
      <c r="AC578" s="489"/>
      <c r="AD578" s="489" t="str">
        <f>IF(IF(AA578=" "," ",IF(NOT(ISBLANK(X578)),VLOOKUP($D$3+X578,Calcs!$A$110:$B$122,2,TRUE),IF(AA578="Failed",VLOOKUP($D$3,Calcs!$A$110:$B$122,2,TRUE),VLOOKUP($D$3-(IF((Character!$B$9+W578)&gt;($D$3+Y578),(Character!$B$9+W578)-($D$3+Y578),0)),Calcs!$A$110:$B$122,2,TRUE))))=Calcs!$B$120,IF(ISBLANK(AC578)," ",CONCATENATE(AC578+7," Years")),IF(AA578=" "," ",IF(NOT(ISBLANK(X578)),VLOOKUP($D$3+X578,Calcs!$A$110:$B$122,2,TRUE),IF(AA578="Failed",VLOOKUP($D$3,Calcs!$A$110:$B$122,2,TRUE),VLOOKUP($D$3-(IF((Character!$B$9+W578)&gt;($D$3+Y578),(Character!$B$9+W578)-($D$3+Y578),0)),Calcs!$A$110:$B$122,2,TRUE)))))</f>
        <v xml:space="preserve"> </v>
      </c>
      <c r="AE578" s="490"/>
      <c r="AF578" s="879"/>
      <c r="AG578" s="491"/>
    </row>
    <row r="579" spans="1:33" x14ac:dyDescent="0.2">
      <c r="A579" s="415">
        <f t="shared" si="16"/>
        <v>1354</v>
      </c>
      <c r="B579" s="419" t="str">
        <f t="shared" si="17"/>
        <v>Autumn</v>
      </c>
      <c r="C579" s="455"/>
      <c r="D579" s="504"/>
      <c r="E579" s="455"/>
      <c r="F579" s="504"/>
      <c r="G579" s="455"/>
      <c r="H579" s="504"/>
      <c r="I579" s="455"/>
      <c r="J579" s="504"/>
      <c r="L579" s="472"/>
      <c r="M579" s="468"/>
      <c r="N579" s="468"/>
      <c r="O579" s="468"/>
      <c r="P579" s="468"/>
      <c r="Q579" s="473"/>
      <c r="R579" s="477" t="str">
        <f>IF(AND(COUNTIF('Start Character'!$I$63:$M$77,"Twilight Prone")=1,NOT(ISERROR(FIND("Magical Botch",M579)))),"Yes",IF(P579&gt;1,"Yes","No"))</f>
        <v>No</v>
      </c>
      <c r="S579" s="501"/>
      <c r="T579" s="478"/>
      <c r="U579" s="501"/>
      <c r="V579" s="479" t="str">
        <f>IF(R579="No","No Twilight",IF(T579="Yes","Uncomprehended Twilight",IF((Character!$B$14+IF(Character!$B$53="Yes",0,Character!$B$53)+IF(Magic!$C$5="Yes",2,0)+ROUNDUP((Magic!$B$30+IF(Magic!$C$30="Yes",3,0))/5,0)+S579)&gt;=($D$3+P579+SUMIF(Character!$I$62:$I$66,"Enigmatic Wisdom",Character!$J$62:$J$66)+Q579+U579),"No Twilight","Twilight")))</f>
        <v>No Twilight</v>
      </c>
      <c r="W579" s="483"/>
      <c r="X579" s="478"/>
      <c r="Y579" s="484"/>
      <c r="Z579" s="478"/>
      <c r="AA579" s="485" t="str">
        <f>IF(V579="Uncomprehended Twilight","Failed",IF(OR(ISBLANK(W579),ISBLANK(Y579))," ",IF(NOT(ISBLANK(X579)),"Failed",IF((W579+Character!$B$9+SUMIF(Character!$I$62:$I$66,"Enigmatic Wisdom",Character!$J$62:$J$66))&gt;=IF(Z579="Yes",0,(Y579+D574)),"Succeeded","Failed"))))</f>
        <v xml:space="preserve"> </v>
      </c>
      <c r="AB579" s="477" t="str">
        <f>IF(AA579=" "," ",IF(NOT(ISBLANK(X579)),VLOOKUP($D$3+X579,Calcs!$A$110:$C$122,3,TRUE),IF(AA579="Failed",VLOOKUP($D$3,Calcs!$A$110:$C$122,3,TRUE),VLOOKUP($D$3-(IF((Character!$B$9+W579)&gt;($D$3+Y579),(Character!$B$9+W579)-($D$3+Y579),0)),Calcs!$A$110:$C$122,3,TRUE))))</f>
        <v xml:space="preserve"> </v>
      </c>
      <c r="AC579" s="489"/>
      <c r="AD579" s="489" t="str">
        <f>IF(IF(AA579=" "," ",IF(NOT(ISBLANK(X579)),VLOOKUP($D$3+X579,Calcs!$A$110:$B$122,2,TRUE),IF(AA579="Failed",VLOOKUP($D$3,Calcs!$A$110:$B$122,2,TRUE),VLOOKUP($D$3-(IF((Character!$B$9+W579)&gt;($D$3+Y579),(Character!$B$9+W579)-($D$3+Y579),0)),Calcs!$A$110:$B$122,2,TRUE))))=Calcs!$B$120,IF(ISBLANK(AC579)," ",CONCATENATE(AC579+7," Years")),IF(AA579=" "," ",IF(NOT(ISBLANK(X579)),VLOOKUP($D$3+X579,Calcs!$A$110:$B$122,2,TRUE),IF(AA579="Failed",VLOOKUP($D$3,Calcs!$A$110:$B$122,2,TRUE),VLOOKUP($D$3-(IF((Character!$B$9+W579)&gt;($D$3+Y579),(Character!$B$9+W579)-($D$3+Y579),0)),Calcs!$A$110:$B$122,2,TRUE)))))</f>
        <v xml:space="preserve"> </v>
      </c>
      <c r="AE579" s="490"/>
      <c r="AF579" s="879"/>
      <c r="AG579" s="491"/>
    </row>
    <row r="580" spans="1:33" x14ac:dyDescent="0.2">
      <c r="A580" s="415">
        <f t="shared" si="16"/>
        <v>1355</v>
      </c>
      <c r="B580" s="419" t="str">
        <f t="shared" si="17"/>
        <v>Winter</v>
      </c>
      <c r="C580" s="455"/>
      <c r="D580" s="504"/>
      <c r="E580" s="455"/>
      <c r="F580" s="504"/>
      <c r="G580" s="455"/>
      <c r="H580" s="504"/>
      <c r="I580" s="455"/>
      <c r="J580" s="504"/>
      <c r="L580" s="472"/>
      <c r="M580" s="468"/>
      <c r="N580" s="468"/>
      <c r="O580" s="468"/>
      <c r="P580" s="468"/>
      <c r="Q580" s="473"/>
      <c r="R580" s="477" t="str">
        <f>IF(AND(COUNTIF('Start Character'!$I$63:$M$77,"Twilight Prone")=1,NOT(ISERROR(FIND("Magical Botch",M580)))),"Yes",IF(P580&gt;1,"Yes","No"))</f>
        <v>No</v>
      </c>
      <c r="S580" s="501"/>
      <c r="T580" s="478"/>
      <c r="U580" s="501"/>
      <c r="V580" s="479" t="str">
        <f>IF(R580="No","No Twilight",IF(T580="Yes","Uncomprehended Twilight",IF((Character!$B$14+IF(Character!$B$53="Yes",0,Character!$B$53)+IF(Magic!$C$5="Yes",2,0)+ROUNDUP((Magic!$B$30+IF(Magic!$C$30="Yes",3,0))/5,0)+S580)&gt;=($D$3+P580+SUMIF(Character!$I$62:$I$66,"Enigmatic Wisdom",Character!$J$62:$J$66)+Q580+U580),"No Twilight","Twilight")))</f>
        <v>No Twilight</v>
      </c>
      <c r="W580" s="483"/>
      <c r="X580" s="478"/>
      <c r="Y580" s="484"/>
      <c r="Z580" s="478"/>
      <c r="AA580" s="485" t="str">
        <f>IF(V580="Uncomprehended Twilight","Failed",IF(OR(ISBLANK(W580),ISBLANK(Y580))," ",IF(NOT(ISBLANK(X580)),"Failed",IF((W580+Character!$B$9+SUMIF(Character!$I$62:$I$66,"Enigmatic Wisdom",Character!$J$62:$J$66))&gt;=IF(Z580="Yes",0,(Y580+D575)),"Succeeded","Failed"))))</f>
        <v xml:space="preserve"> </v>
      </c>
      <c r="AB580" s="477" t="str">
        <f>IF(AA580=" "," ",IF(NOT(ISBLANK(X580)),VLOOKUP($D$3+X580,Calcs!$A$110:$C$122,3,TRUE),IF(AA580="Failed",VLOOKUP($D$3,Calcs!$A$110:$C$122,3,TRUE),VLOOKUP($D$3-(IF((Character!$B$9+W580)&gt;($D$3+Y580),(Character!$B$9+W580)-($D$3+Y580),0)),Calcs!$A$110:$C$122,3,TRUE))))</f>
        <v xml:space="preserve"> </v>
      </c>
      <c r="AC580" s="489"/>
      <c r="AD580" s="489" t="str">
        <f>IF(IF(AA580=" "," ",IF(NOT(ISBLANK(X580)),VLOOKUP($D$3+X580,Calcs!$A$110:$B$122,2,TRUE),IF(AA580="Failed",VLOOKUP($D$3,Calcs!$A$110:$B$122,2,TRUE),VLOOKUP($D$3-(IF((Character!$B$9+W580)&gt;($D$3+Y580),(Character!$B$9+W580)-($D$3+Y580),0)),Calcs!$A$110:$B$122,2,TRUE))))=Calcs!$B$120,IF(ISBLANK(AC580)," ",CONCATENATE(AC580+7," Years")),IF(AA580=" "," ",IF(NOT(ISBLANK(X580)),VLOOKUP($D$3+X580,Calcs!$A$110:$B$122,2,TRUE),IF(AA580="Failed",VLOOKUP($D$3,Calcs!$A$110:$B$122,2,TRUE),VLOOKUP($D$3-(IF((Character!$B$9+W580)&gt;($D$3+Y580),(Character!$B$9+W580)-($D$3+Y580),0)),Calcs!$A$110:$B$122,2,TRUE)))))</f>
        <v xml:space="preserve"> </v>
      </c>
      <c r="AE580" s="490"/>
      <c r="AF580" s="879"/>
      <c r="AG580" s="491"/>
    </row>
    <row r="581" spans="1:33" x14ac:dyDescent="0.2">
      <c r="A581" s="415">
        <f t="shared" si="16"/>
        <v>1355</v>
      </c>
      <c r="B581" s="419" t="str">
        <f t="shared" si="17"/>
        <v>Spring</v>
      </c>
      <c r="C581" s="455"/>
      <c r="D581" s="504"/>
      <c r="E581" s="455"/>
      <c r="F581" s="504"/>
      <c r="G581" s="455"/>
      <c r="H581" s="504"/>
      <c r="I581" s="455"/>
      <c r="J581" s="504"/>
      <c r="L581" s="472"/>
      <c r="M581" s="468"/>
      <c r="N581" s="468"/>
      <c r="O581" s="468"/>
      <c r="P581" s="468"/>
      <c r="Q581" s="473"/>
      <c r="R581" s="477" t="str">
        <f>IF(AND(COUNTIF('Start Character'!$I$63:$M$77,"Twilight Prone")=1,NOT(ISERROR(FIND("Magical Botch",M581)))),"Yes",IF(P581&gt;1,"Yes","No"))</f>
        <v>No</v>
      </c>
      <c r="S581" s="501"/>
      <c r="T581" s="478"/>
      <c r="U581" s="501"/>
      <c r="V581" s="479" t="str">
        <f>IF(R581="No","No Twilight",IF(T581="Yes","Uncomprehended Twilight",IF((Character!$B$14+IF(Character!$B$53="Yes",0,Character!$B$53)+IF(Magic!$C$5="Yes",2,0)+ROUNDUP((Magic!$B$30+IF(Magic!$C$30="Yes",3,0))/5,0)+S581)&gt;=($D$3+P581+SUMIF(Character!$I$62:$I$66,"Enigmatic Wisdom",Character!$J$62:$J$66)+Q581+U581),"No Twilight","Twilight")))</f>
        <v>No Twilight</v>
      </c>
      <c r="W581" s="483"/>
      <c r="X581" s="478"/>
      <c r="Y581" s="484"/>
      <c r="Z581" s="478"/>
      <c r="AA581" s="485" t="str">
        <f>IF(V581="Uncomprehended Twilight","Failed",IF(OR(ISBLANK(W581),ISBLANK(Y581))," ",IF(NOT(ISBLANK(X581)),"Failed",IF((W581+Character!$B$9+SUMIF(Character!$I$62:$I$66,"Enigmatic Wisdom",Character!$J$62:$J$66))&gt;=IF(Z581="Yes",0,(Y581+D576)),"Succeeded","Failed"))))</f>
        <v xml:space="preserve"> </v>
      </c>
      <c r="AB581" s="477" t="str">
        <f>IF(AA581=" "," ",IF(NOT(ISBLANK(X581)),VLOOKUP($D$3+X581,Calcs!$A$110:$C$122,3,TRUE),IF(AA581="Failed",VLOOKUP($D$3,Calcs!$A$110:$C$122,3,TRUE),VLOOKUP($D$3-(IF((Character!$B$9+W581)&gt;($D$3+Y581),(Character!$B$9+W581)-($D$3+Y581),0)),Calcs!$A$110:$C$122,3,TRUE))))</f>
        <v xml:space="preserve"> </v>
      </c>
      <c r="AC581" s="489"/>
      <c r="AD581" s="489" t="str">
        <f>IF(IF(AA581=" "," ",IF(NOT(ISBLANK(X581)),VLOOKUP($D$3+X581,Calcs!$A$110:$B$122,2,TRUE),IF(AA581="Failed",VLOOKUP($D$3,Calcs!$A$110:$B$122,2,TRUE),VLOOKUP($D$3-(IF((Character!$B$9+W581)&gt;($D$3+Y581),(Character!$B$9+W581)-($D$3+Y581),0)),Calcs!$A$110:$B$122,2,TRUE))))=Calcs!$B$120,IF(ISBLANK(AC581)," ",CONCATENATE(AC581+7," Years")),IF(AA581=" "," ",IF(NOT(ISBLANK(X581)),VLOOKUP($D$3+X581,Calcs!$A$110:$B$122,2,TRUE),IF(AA581="Failed",VLOOKUP($D$3,Calcs!$A$110:$B$122,2,TRUE),VLOOKUP($D$3-(IF((Character!$B$9+W581)&gt;($D$3+Y581),(Character!$B$9+W581)-($D$3+Y581),0)),Calcs!$A$110:$B$122,2,TRUE)))))</f>
        <v xml:space="preserve"> </v>
      </c>
      <c r="AE581" s="490"/>
      <c r="AF581" s="879"/>
      <c r="AG581" s="491"/>
    </row>
    <row r="582" spans="1:33" x14ac:dyDescent="0.2">
      <c r="A582" s="415">
        <f t="shared" si="16"/>
        <v>1355</v>
      </c>
      <c r="B582" s="419" t="str">
        <f t="shared" si="17"/>
        <v>Summer</v>
      </c>
      <c r="C582" s="455"/>
      <c r="D582" s="504"/>
      <c r="E582" s="455"/>
      <c r="F582" s="504"/>
      <c r="G582" s="455"/>
      <c r="H582" s="504"/>
      <c r="I582" s="455"/>
      <c r="J582" s="504"/>
      <c r="L582" s="472"/>
      <c r="M582" s="468"/>
      <c r="N582" s="468"/>
      <c r="O582" s="468"/>
      <c r="P582" s="468"/>
      <c r="Q582" s="473"/>
      <c r="R582" s="477" t="str">
        <f>IF(AND(COUNTIF('Start Character'!$I$63:$M$77,"Twilight Prone")=1,NOT(ISERROR(FIND("Magical Botch",M582)))),"Yes",IF(P582&gt;1,"Yes","No"))</f>
        <v>No</v>
      </c>
      <c r="S582" s="501"/>
      <c r="T582" s="478"/>
      <c r="U582" s="501"/>
      <c r="V582" s="479" t="str">
        <f>IF(R582="No","No Twilight",IF(T582="Yes","Uncomprehended Twilight",IF((Character!$B$14+IF(Character!$B$53="Yes",0,Character!$B$53)+IF(Magic!$C$5="Yes",2,0)+ROUNDUP((Magic!$B$30+IF(Magic!$C$30="Yes",3,0))/5,0)+S582)&gt;=($D$3+P582+SUMIF(Character!$I$62:$I$66,"Enigmatic Wisdom",Character!$J$62:$J$66)+Q582+U582),"No Twilight","Twilight")))</f>
        <v>No Twilight</v>
      </c>
      <c r="W582" s="483"/>
      <c r="X582" s="478"/>
      <c r="Y582" s="484"/>
      <c r="Z582" s="478"/>
      <c r="AA582" s="485" t="str">
        <f>IF(V582="Uncomprehended Twilight","Failed",IF(OR(ISBLANK(W582),ISBLANK(Y582))," ",IF(NOT(ISBLANK(X582)),"Failed",IF((W582+Character!$B$9+SUMIF(Character!$I$62:$I$66,"Enigmatic Wisdom",Character!$J$62:$J$66))&gt;=IF(Z582="Yes",0,(Y582+D577)),"Succeeded","Failed"))))</f>
        <v xml:space="preserve"> </v>
      </c>
      <c r="AB582" s="477" t="str">
        <f>IF(AA582=" "," ",IF(NOT(ISBLANK(X582)),VLOOKUP($D$3+X582,Calcs!$A$110:$C$122,3,TRUE),IF(AA582="Failed",VLOOKUP($D$3,Calcs!$A$110:$C$122,3,TRUE),VLOOKUP($D$3-(IF((Character!$B$9+W582)&gt;($D$3+Y582),(Character!$B$9+W582)-($D$3+Y582),0)),Calcs!$A$110:$C$122,3,TRUE))))</f>
        <v xml:space="preserve"> </v>
      </c>
      <c r="AC582" s="489"/>
      <c r="AD582" s="489" t="str">
        <f>IF(IF(AA582=" "," ",IF(NOT(ISBLANK(X582)),VLOOKUP($D$3+X582,Calcs!$A$110:$B$122,2,TRUE),IF(AA582="Failed",VLOOKUP($D$3,Calcs!$A$110:$B$122,2,TRUE),VLOOKUP($D$3-(IF((Character!$B$9+W582)&gt;($D$3+Y582),(Character!$B$9+W582)-($D$3+Y582),0)),Calcs!$A$110:$B$122,2,TRUE))))=Calcs!$B$120,IF(ISBLANK(AC582)," ",CONCATENATE(AC582+7," Years")),IF(AA582=" "," ",IF(NOT(ISBLANK(X582)),VLOOKUP($D$3+X582,Calcs!$A$110:$B$122,2,TRUE),IF(AA582="Failed",VLOOKUP($D$3,Calcs!$A$110:$B$122,2,TRUE),VLOOKUP($D$3-(IF((Character!$B$9+W582)&gt;($D$3+Y582),(Character!$B$9+W582)-($D$3+Y582),0)),Calcs!$A$110:$B$122,2,TRUE)))))</f>
        <v xml:space="preserve"> </v>
      </c>
      <c r="AE582" s="490"/>
      <c r="AF582" s="879"/>
      <c r="AG582" s="491"/>
    </row>
    <row r="583" spans="1:33" x14ac:dyDescent="0.2">
      <c r="A583" s="415">
        <f t="shared" si="16"/>
        <v>1355</v>
      </c>
      <c r="B583" s="419" t="str">
        <f t="shared" si="17"/>
        <v>Autumn</v>
      </c>
      <c r="C583" s="455"/>
      <c r="D583" s="504"/>
      <c r="E583" s="455"/>
      <c r="F583" s="504"/>
      <c r="G583" s="455"/>
      <c r="H583" s="504"/>
      <c r="I583" s="455"/>
      <c r="J583" s="504"/>
      <c r="L583" s="472"/>
      <c r="M583" s="468"/>
      <c r="N583" s="468"/>
      <c r="O583" s="468"/>
      <c r="P583" s="468"/>
      <c r="Q583" s="473"/>
      <c r="R583" s="477" t="str">
        <f>IF(AND(COUNTIF('Start Character'!$I$63:$M$77,"Twilight Prone")=1,NOT(ISERROR(FIND("Magical Botch",M583)))),"Yes",IF(P583&gt;1,"Yes","No"))</f>
        <v>No</v>
      </c>
      <c r="S583" s="501"/>
      <c r="T583" s="478"/>
      <c r="U583" s="501"/>
      <c r="V583" s="479" t="str">
        <f>IF(R583="No","No Twilight",IF(T583="Yes","Uncomprehended Twilight",IF((Character!$B$14+IF(Character!$B$53="Yes",0,Character!$B$53)+IF(Magic!$C$5="Yes",2,0)+ROUNDUP((Magic!$B$30+IF(Magic!$C$30="Yes",3,0))/5,0)+S583)&gt;=($D$3+P583+SUMIF(Character!$I$62:$I$66,"Enigmatic Wisdom",Character!$J$62:$J$66)+Q583+U583),"No Twilight","Twilight")))</f>
        <v>No Twilight</v>
      </c>
      <c r="W583" s="483"/>
      <c r="X583" s="478"/>
      <c r="Y583" s="484"/>
      <c r="Z583" s="478"/>
      <c r="AA583" s="485" t="str">
        <f>IF(V583="Uncomprehended Twilight","Failed",IF(OR(ISBLANK(W583),ISBLANK(Y583))," ",IF(NOT(ISBLANK(X583)),"Failed",IF((W583+Character!$B$9+SUMIF(Character!$I$62:$I$66,"Enigmatic Wisdom",Character!$J$62:$J$66))&gt;=IF(Z583="Yes",0,(Y583+D578)),"Succeeded","Failed"))))</f>
        <v xml:space="preserve"> </v>
      </c>
      <c r="AB583" s="477" t="str">
        <f>IF(AA583=" "," ",IF(NOT(ISBLANK(X583)),VLOOKUP($D$3+X583,Calcs!$A$110:$C$122,3,TRUE),IF(AA583="Failed",VLOOKUP($D$3,Calcs!$A$110:$C$122,3,TRUE),VLOOKUP($D$3-(IF((Character!$B$9+W583)&gt;($D$3+Y583),(Character!$B$9+W583)-($D$3+Y583),0)),Calcs!$A$110:$C$122,3,TRUE))))</f>
        <v xml:space="preserve"> </v>
      </c>
      <c r="AC583" s="489"/>
      <c r="AD583" s="489" t="str">
        <f>IF(IF(AA583=" "," ",IF(NOT(ISBLANK(X583)),VLOOKUP($D$3+X583,Calcs!$A$110:$B$122,2,TRUE),IF(AA583="Failed",VLOOKUP($D$3,Calcs!$A$110:$B$122,2,TRUE),VLOOKUP($D$3-(IF((Character!$B$9+W583)&gt;($D$3+Y583),(Character!$B$9+W583)-($D$3+Y583),0)),Calcs!$A$110:$B$122,2,TRUE))))=Calcs!$B$120,IF(ISBLANK(AC583)," ",CONCATENATE(AC583+7," Years")),IF(AA583=" "," ",IF(NOT(ISBLANK(X583)),VLOOKUP($D$3+X583,Calcs!$A$110:$B$122,2,TRUE),IF(AA583="Failed",VLOOKUP($D$3,Calcs!$A$110:$B$122,2,TRUE),VLOOKUP($D$3-(IF((Character!$B$9+W583)&gt;($D$3+Y583),(Character!$B$9+W583)-($D$3+Y583),0)),Calcs!$A$110:$B$122,2,TRUE)))))</f>
        <v xml:space="preserve"> </v>
      </c>
      <c r="AE583" s="490"/>
      <c r="AF583" s="879"/>
      <c r="AG583" s="491"/>
    </row>
    <row r="584" spans="1:33" x14ac:dyDescent="0.2">
      <c r="A584" s="415">
        <f t="shared" si="16"/>
        <v>1356</v>
      </c>
      <c r="B584" s="419" t="str">
        <f t="shared" si="17"/>
        <v>Winter</v>
      </c>
      <c r="C584" s="455"/>
      <c r="D584" s="504"/>
      <c r="E584" s="455"/>
      <c r="F584" s="504"/>
      <c r="G584" s="455"/>
      <c r="H584" s="504"/>
      <c r="I584" s="455"/>
      <c r="J584" s="504"/>
      <c r="L584" s="472"/>
      <c r="M584" s="468"/>
      <c r="N584" s="468"/>
      <c r="O584" s="468"/>
      <c r="P584" s="468"/>
      <c r="Q584" s="473"/>
      <c r="R584" s="477" t="str">
        <f>IF(AND(COUNTIF('Start Character'!$I$63:$M$77,"Twilight Prone")=1,NOT(ISERROR(FIND("Magical Botch",M584)))),"Yes",IF(P584&gt;1,"Yes","No"))</f>
        <v>No</v>
      </c>
      <c r="S584" s="501"/>
      <c r="T584" s="478"/>
      <c r="U584" s="501"/>
      <c r="V584" s="479" t="str">
        <f>IF(R584="No","No Twilight",IF(T584="Yes","Uncomprehended Twilight",IF((Character!$B$14+IF(Character!$B$53="Yes",0,Character!$B$53)+IF(Magic!$C$5="Yes",2,0)+ROUNDUP((Magic!$B$30+IF(Magic!$C$30="Yes",3,0))/5,0)+S584)&gt;=($D$3+P584+SUMIF(Character!$I$62:$I$66,"Enigmatic Wisdom",Character!$J$62:$J$66)+Q584+U584),"No Twilight","Twilight")))</f>
        <v>No Twilight</v>
      </c>
      <c r="W584" s="483"/>
      <c r="X584" s="478"/>
      <c r="Y584" s="484"/>
      <c r="Z584" s="478"/>
      <c r="AA584" s="485" t="str">
        <f>IF(V584="Uncomprehended Twilight","Failed",IF(OR(ISBLANK(W584),ISBLANK(Y584))," ",IF(NOT(ISBLANK(X584)),"Failed",IF((W584+Character!$B$9+SUMIF(Character!$I$62:$I$66,"Enigmatic Wisdom",Character!$J$62:$J$66))&gt;=IF(Z584="Yes",0,(Y584+D579)),"Succeeded","Failed"))))</f>
        <v xml:space="preserve"> </v>
      </c>
      <c r="AB584" s="477" t="str">
        <f>IF(AA584=" "," ",IF(NOT(ISBLANK(X584)),VLOOKUP($D$3+X584,Calcs!$A$110:$C$122,3,TRUE),IF(AA584="Failed",VLOOKUP($D$3,Calcs!$A$110:$C$122,3,TRUE),VLOOKUP($D$3-(IF((Character!$B$9+W584)&gt;($D$3+Y584),(Character!$B$9+W584)-($D$3+Y584),0)),Calcs!$A$110:$C$122,3,TRUE))))</f>
        <v xml:space="preserve"> </v>
      </c>
      <c r="AC584" s="489"/>
      <c r="AD584" s="489" t="str">
        <f>IF(IF(AA584=" "," ",IF(NOT(ISBLANK(X584)),VLOOKUP($D$3+X584,Calcs!$A$110:$B$122,2,TRUE),IF(AA584="Failed",VLOOKUP($D$3,Calcs!$A$110:$B$122,2,TRUE),VLOOKUP($D$3-(IF((Character!$B$9+W584)&gt;($D$3+Y584),(Character!$B$9+W584)-($D$3+Y584),0)),Calcs!$A$110:$B$122,2,TRUE))))=Calcs!$B$120,IF(ISBLANK(AC584)," ",CONCATENATE(AC584+7," Years")),IF(AA584=" "," ",IF(NOT(ISBLANK(X584)),VLOOKUP($D$3+X584,Calcs!$A$110:$B$122,2,TRUE),IF(AA584="Failed",VLOOKUP($D$3,Calcs!$A$110:$B$122,2,TRUE),VLOOKUP($D$3-(IF((Character!$B$9+W584)&gt;($D$3+Y584),(Character!$B$9+W584)-($D$3+Y584),0)),Calcs!$A$110:$B$122,2,TRUE)))))</f>
        <v xml:space="preserve"> </v>
      </c>
      <c r="AE584" s="490"/>
      <c r="AF584" s="879"/>
      <c r="AG584" s="491"/>
    </row>
    <row r="585" spans="1:33" x14ac:dyDescent="0.2">
      <c r="A585" s="415">
        <f t="shared" si="16"/>
        <v>1356</v>
      </c>
      <c r="B585" s="419" t="str">
        <f t="shared" si="17"/>
        <v>Spring</v>
      </c>
      <c r="C585" s="455"/>
      <c r="D585" s="504"/>
      <c r="E585" s="455"/>
      <c r="F585" s="504"/>
      <c r="G585" s="455"/>
      <c r="H585" s="504"/>
      <c r="I585" s="455"/>
      <c r="J585" s="504"/>
      <c r="L585" s="472"/>
      <c r="M585" s="468"/>
      <c r="N585" s="468"/>
      <c r="O585" s="468"/>
      <c r="P585" s="468"/>
      <c r="Q585" s="473"/>
      <c r="R585" s="477" t="str">
        <f>IF(AND(COUNTIF('Start Character'!$I$63:$M$77,"Twilight Prone")=1,NOT(ISERROR(FIND("Magical Botch",M585)))),"Yes",IF(P585&gt;1,"Yes","No"))</f>
        <v>No</v>
      </c>
      <c r="S585" s="501"/>
      <c r="T585" s="478"/>
      <c r="U585" s="501"/>
      <c r="V585" s="479" t="str">
        <f>IF(R585="No","No Twilight",IF(T585="Yes","Uncomprehended Twilight",IF((Character!$B$14+IF(Character!$B$53="Yes",0,Character!$B$53)+IF(Magic!$C$5="Yes",2,0)+ROUNDUP((Magic!$B$30+IF(Magic!$C$30="Yes",3,0))/5,0)+S585)&gt;=($D$3+P585+SUMIF(Character!$I$62:$I$66,"Enigmatic Wisdom",Character!$J$62:$J$66)+Q585+U585),"No Twilight","Twilight")))</f>
        <v>No Twilight</v>
      </c>
      <c r="W585" s="483"/>
      <c r="X585" s="478"/>
      <c r="Y585" s="484"/>
      <c r="Z585" s="478"/>
      <c r="AA585" s="485" t="str">
        <f>IF(V585="Uncomprehended Twilight","Failed",IF(OR(ISBLANK(W585),ISBLANK(Y585))," ",IF(NOT(ISBLANK(X585)),"Failed",IF((W585+Character!$B$9+SUMIF(Character!$I$62:$I$66,"Enigmatic Wisdom",Character!$J$62:$J$66))&gt;=IF(Z585="Yes",0,(Y585+D580)),"Succeeded","Failed"))))</f>
        <v xml:space="preserve"> </v>
      </c>
      <c r="AB585" s="477" t="str">
        <f>IF(AA585=" "," ",IF(NOT(ISBLANK(X585)),VLOOKUP($D$3+X585,Calcs!$A$110:$C$122,3,TRUE),IF(AA585="Failed",VLOOKUP($D$3,Calcs!$A$110:$C$122,3,TRUE),VLOOKUP($D$3-(IF((Character!$B$9+W585)&gt;($D$3+Y585),(Character!$B$9+W585)-($D$3+Y585),0)),Calcs!$A$110:$C$122,3,TRUE))))</f>
        <v xml:space="preserve"> </v>
      </c>
      <c r="AC585" s="489"/>
      <c r="AD585" s="489" t="str">
        <f>IF(IF(AA585=" "," ",IF(NOT(ISBLANK(X585)),VLOOKUP($D$3+X585,Calcs!$A$110:$B$122,2,TRUE),IF(AA585="Failed",VLOOKUP($D$3,Calcs!$A$110:$B$122,2,TRUE),VLOOKUP($D$3-(IF((Character!$B$9+W585)&gt;($D$3+Y585),(Character!$B$9+W585)-($D$3+Y585),0)),Calcs!$A$110:$B$122,2,TRUE))))=Calcs!$B$120,IF(ISBLANK(AC585)," ",CONCATENATE(AC585+7," Years")),IF(AA585=" "," ",IF(NOT(ISBLANK(X585)),VLOOKUP($D$3+X585,Calcs!$A$110:$B$122,2,TRUE),IF(AA585="Failed",VLOOKUP($D$3,Calcs!$A$110:$B$122,2,TRUE),VLOOKUP($D$3-(IF((Character!$B$9+W585)&gt;($D$3+Y585),(Character!$B$9+W585)-($D$3+Y585),0)),Calcs!$A$110:$B$122,2,TRUE)))))</f>
        <v xml:space="preserve"> </v>
      </c>
      <c r="AE585" s="490"/>
      <c r="AF585" s="879"/>
      <c r="AG585" s="491"/>
    </row>
    <row r="586" spans="1:33" x14ac:dyDescent="0.2">
      <c r="A586" s="415">
        <f t="shared" si="16"/>
        <v>1356</v>
      </c>
      <c r="B586" s="419" t="str">
        <f t="shared" si="17"/>
        <v>Summer</v>
      </c>
      <c r="C586" s="455"/>
      <c r="D586" s="504"/>
      <c r="E586" s="455"/>
      <c r="F586" s="504"/>
      <c r="G586" s="455"/>
      <c r="H586" s="504"/>
      <c r="I586" s="455"/>
      <c r="J586" s="504"/>
      <c r="L586" s="472"/>
      <c r="M586" s="468"/>
      <c r="N586" s="468"/>
      <c r="O586" s="468"/>
      <c r="P586" s="468"/>
      <c r="Q586" s="473"/>
      <c r="R586" s="477" t="str">
        <f>IF(AND(COUNTIF('Start Character'!$I$63:$M$77,"Twilight Prone")=1,NOT(ISERROR(FIND("Magical Botch",M586)))),"Yes",IF(P586&gt;1,"Yes","No"))</f>
        <v>No</v>
      </c>
      <c r="S586" s="501"/>
      <c r="T586" s="478"/>
      <c r="U586" s="501"/>
      <c r="V586" s="479" t="str">
        <f>IF(R586="No","No Twilight",IF(T586="Yes","Uncomprehended Twilight",IF((Character!$B$14+IF(Character!$B$53="Yes",0,Character!$B$53)+IF(Magic!$C$5="Yes",2,0)+ROUNDUP((Magic!$B$30+IF(Magic!$C$30="Yes",3,0))/5,0)+S586)&gt;=($D$3+P586+SUMIF(Character!$I$62:$I$66,"Enigmatic Wisdom",Character!$J$62:$J$66)+Q586+U586),"No Twilight","Twilight")))</f>
        <v>No Twilight</v>
      </c>
      <c r="W586" s="483"/>
      <c r="X586" s="478"/>
      <c r="Y586" s="484"/>
      <c r="Z586" s="478"/>
      <c r="AA586" s="485" t="str">
        <f>IF(V586="Uncomprehended Twilight","Failed",IF(OR(ISBLANK(W586),ISBLANK(Y586))," ",IF(NOT(ISBLANK(X586)),"Failed",IF((W586+Character!$B$9+SUMIF(Character!$I$62:$I$66,"Enigmatic Wisdom",Character!$J$62:$J$66))&gt;=IF(Z586="Yes",0,(Y586+D581)),"Succeeded","Failed"))))</f>
        <v xml:space="preserve"> </v>
      </c>
      <c r="AB586" s="477" t="str">
        <f>IF(AA586=" "," ",IF(NOT(ISBLANK(X586)),VLOOKUP($D$3+X586,Calcs!$A$110:$C$122,3,TRUE),IF(AA586="Failed",VLOOKUP($D$3,Calcs!$A$110:$C$122,3,TRUE),VLOOKUP($D$3-(IF((Character!$B$9+W586)&gt;($D$3+Y586),(Character!$B$9+W586)-($D$3+Y586),0)),Calcs!$A$110:$C$122,3,TRUE))))</f>
        <v xml:space="preserve"> </v>
      </c>
      <c r="AC586" s="489"/>
      <c r="AD586" s="489" t="str">
        <f>IF(IF(AA586=" "," ",IF(NOT(ISBLANK(X586)),VLOOKUP($D$3+X586,Calcs!$A$110:$B$122,2,TRUE),IF(AA586="Failed",VLOOKUP($D$3,Calcs!$A$110:$B$122,2,TRUE),VLOOKUP($D$3-(IF((Character!$B$9+W586)&gt;($D$3+Y586),(Character!$B$9+W586)-($D$3+Y586),0)),Calcs!$A$110:$B$122,2,TRUE))))=Calcs!$B$120,IF(ISBLANK(AC586)," ",CONCATENATE(AC586+7," Years")),IF(AA586=" "," ",IF(NOT(ISBLANK(X586)),VLOOKUP($D$3+X586,Calcs!$A$110:$B$122,2,TRUE),IF(AA586="Failed",VLOOKUP($D$3,Calcs!$A$110:$B$122,2,TRUE),VLOOKUP($D$3-(IF((Character!$B$9+W586)&gt;($D$3+Y586),(Character!$B$9+W586)-($D$3+Y586),0)),Calcs!$A$110:$B$122,2,TRUE)))))</f>
        <v xml:space="preserve"> </v>
      </c>
      <c r="AE586" s="490"/>
      <c r="AF586" s="879"/>
      <c r="AG586" s="491"/>
    </row>
    <row r="587" spans="1:33" x14ac:dyDescent="0.2">
      <c r="A587" s="415">
        <f t="shared" si="16"/>
        <v>1356</v>
      </c>
      <c r="B587" s="419" t="str">
        <f t="shared" si="17"/>
        <v>Autumn</v>
      </c>
      <c r="C587" s="455"/>
      <c r="D587" s="504"/>
      <c r="E587" s="455"/>
      <c r="F587" s="504"/>
      <c r="G587" s="455"/>
      <c r="H587" s="504"/>
      <c r="I587" s="455"/>
      <c r="J587" s="504"/>
      <c r="L587" s="472"/>
      <c r="M587" s="468"/>
      <c r="N587" s="468"/>
      <c r="O587" s="468"/>
      <c r="P587" s="468"/>
      <c r="Q587" s="473"/>
      <c r="R587" s="477" t="str">
        <f>IF(AND(COUNTIF('Start Character'!$I$63:$M$77,"Twilight Prone")=1,NOT(ISERROR(FIND("Magical Botch",M587)))),"Yes",IF(P587&gt;1,"Yes","No"))</f>
        <v>No</v>
      </c>
      <c r="S587" s="501"/>
      <c r="T587" s="478"/>
      <c r="U587" s="501"/>
      <c r="V587" s="479" t="str">
        <f>IF(R587="No","No Twilight",IF(T587="Yes","Uncomprehended Twilight",IF((Character!$B$14+IF(Character!$B$53="Yes",0,Character!$B$53)+IF(Magic!$C$5="Yes",2,0)+ROUNDUP((Magic!$B$30+IF(Magic!$C$30="Yes",3,0))/5,0)+S587)&gt;=($D$3+P587+SUMIF(Character!$I$62:$I$66,"Enigmatic Wisdom",Character!$J$62:$J$66)+Q587+U587),"No Twilight","Twilight")))</f>
        <v>No Twilight</v>
      </c>
      <c r="W587" s="483"/>
      <c r="X587" s="478"/>
      <c r="Y587" s="484"/>
      <c r="Z587" s="478"/>
      <c r="AA587" s="485" t="str">
        <f>IF(V587="Uncomprehended Twilight","Failed",IF(OR(ISBLANK(W587),ISBLANK(Y587))," ",IF(NOT(ISBLANK(X587)),"Failed",IF((W587+Character!$B$9+SUMIF(Character!$I$62:$I$66,"Enigmatic Wisdom",Character!$J$62:$J$66))&gt;=IF(Z587="Yes",0,(Y587+D582)),"Succeeded","Failed"))))</f>
        <v xml:space="preserve"> </v>
      </c>
      <c r="AB587" s="477" t="str">
        <f>IF(AA587=" "," ",IF(NOT(ISBLANK(X587)),VLOOKUP($D$3+X587,Calcs!$A$110:$C$122,3,TRUE),IF(AA587="Failed",VLOOKUP($D$3,Calcs!$A$110:$C$122,3,TRUE),VLOOKUP($D$3-(IF((Character!$B$9+W587)&gt;($D$3+Y587),(Character!$B$9+W587)-($D$3+Y587),0)),Calcs!$A$110:$C$122,3,TRUE))))</f>
        <v xml:space="preserve"> </v>
      </c>
      <c r="AC587" s="489"/>
      <c r="AD587" s="489" t="str">
        <f>IF(IF(AA587=" "," ",IF(NOT(ISBLANK(X587)),VLOOKUP($D$3+X587,Calcs!$A$110:$B$122,2,TRUE),IF(AA587="Failed",VLOOKUP($D$3,Calcs!$A$110:$B$122,2,TRUE),VLOOKUP($D$3-(IF((Character!$B$9+W587)&gt;($D$3+Y587),(Character!$B$9+W587)-($D$3+Y587),0)),Calcs!$A$110:$B$122,2,TRUE))))=Calcs!$B$120,IF(ISBLANK(AC587)," ",CONCATENATE(AC587+7," Years")),IF(AA587=" "," ",IF(NOT(ISBLANK(X587)),VLOOKUP($D$3+X587,Calcs!$A$110:$B$122,2,TRUE),IF(AA587="Failed",VLOOKUP($D$3,Calcs!$A$110:$B$122,2,TRUE),VLOOKUP($D$3-(IF((Character!$B$9+W587)&gt;($D$3+Y587),(Character!$B$9+W587)-($D$3+Y587),0)),Calcs!$A$110:$B$122,2,TRUE)))))</f>
        <v xml:space="preserve"> </v>
      </c>
      <c r="AE587" s="490"/>
      <c r="AF587" s="879"/>
      <c r="AG587" s="491"/>
    </row>
    <row r="588" spans="1:33" x14ac:dyDescent="0.2">
      <c r="A588" s="415">
        <f t="shared" si="16"/>
        <v>1357</v>
      </c>
      <c r="B588" s="419" t="str">
        <f t="shared" si="17"/>
        <v>Winter</v>
      </c>
      <c r="C588" s="455"/>
      <c r="D588" s="504"/>
      <c r="E588" s="455"/>
      <c r="F588" s="504"/>
      <c r="G588" s="455"/>
      <c r="H588" s="504"/>
      <c r="I588" s="455"/>
      <c r="J588" s="504"/>
      <c r="L588" s="472"/>
      <c r="M588" s="468"/>
      <c r="N588" s="468"/>
      <c r="O588" s="468"/>
      <c r="P588" s="468"/>
      <c r="Q588" s="473"/>
      <c r="R588" s="477" t="str">
        <f>IF(AND(COUNTIF('Start Character'!$I$63:$M$77,"Twilight Prone")=1,NOT(ISERROR(FIND("Magical Botch",M588)))),"Yes",IF(P588&gt;1,"Yes","No"))</f>
        <v>No</v>
      </c>
      <c r="S588" s="501"/>
      <c r="T588" s="478"/>
      <c r="U588" s="501"/>
      <c r="V588" s="479" t="str">
        <f>IF(R588="No","No Twilight",IF(T588="Yes","Uncomprehended Twilight",IF((Character!$B$14+IF(Character!$B$53="Yes",0,Character!$B$53)+IF(Magic!$C$5="Yes",2,0)+ROUNDUP((Magic!$B$30+IF(Magic!$C$30="Yes",3,0))/5,0)+S588)&gt;=($D$3+P588+SUMIF(Character!$I$62:$I$66,"Enigmatic Wisdom",Character!$J$62:$J$66)+Q588+U588),"No Twilight","Twilight")))</f>
        <v>No Twilight</v>
      </c>
      <c r="W588" s="483"/>
      <c r="X588" s="478"/>
      <c r="Y588" s="484"/>
      <c r="Z588" s="478"/>
      <c r="AA588" s="485" t="str">
        <f>IF(V588="Uncomprehended Twilight","Failed",IF(OR(ISBLANK(W588),ISBLANK(Y588))," ",IF(NOT(ISBLANK(X588)),"Failed",IF((W588+Character!$B$9+SUMIF(Character!$I$62:$I$66,"Enigmatic Wisdom",Character!$J$62:$J$66))&gt;=IF(Z588="Yes",0,(Y588+D583)),"Succeeded","Failed"))))</f>
        <v xml:space="preserve"> </v>
      </c>
      <c r="AB588" s="477" t="str">
        <f>IF(AA588=" "," ",IF(NOT(ISBLANK(X588)),VLOOKUP($D$3+X588,Calcs!$A$110:$C$122,3,TRUE),IF(AA588="Failed",VLOOKUP($D$3,Calcs!$A$110:$C$122,3,TRUE),VLOOKUP($D$3-(IF((Character!$B$9+W588)&gt;($D$3+Y588),(Character!$B$9+W588)-($D$3+Y588),0)),Calcs!$A$110:$C$122,3,TRUE))))</f>
        <v xml:space="preserve"> </v>
      </c>
      <c r="AC588" s="489"/>
      <c r="AD588" s="489" t="str">
        <f>IF(IF(AA588=" "," ",IF(NOT(ISBLANK(X588)),VLOOKUP($D$3+X588,Calcs!$A$110:$B$122,2,TRUE),IF(AA588="Failed",VLOOKUP($D$3,Calcs!$A$110:$B$122,2,TRUE),VLOOKUP($D$3-(IF((Character!$B$9+W588)&gt;($D$3+Y588),(Character!$B$9+W588)-($D$3+Y588),0)),Calcs!$A$110:$B$122,2,TRUE))))=Calcs!$B$120,IF(ISBLANK(AC588)," ",CONCATENATE(AC588+7," Years")),IF(AA588=" "," ",IF(NOT(ISBLANK(X588)),VLOOKUP($D$3+X588,Calcs!$A$110:$B$122,2,TRUE),IF(AA588="Failed",VLOOKUP($D$3,Calcs!$A$110:$B$122,2,TRUE),VLOOKUP($D$3-(IF((Character!$B$9+W588)&gt;($D$3+Y588),(Character!$B$9+W588)-($D$3+Y588),0)),Calcs!$A$110:$B$122,2,TRUE)))))</f>
        <v xml:space="preserve"> </v>
      </c>
      <c r="AE588" s="490"/>
      <c r="AF588" s="879"/>
      <c r="AG588" s="491"/>
    </row>
    <row r="589" spans="1:33" x14ac:dyDescent="0.2">
      <c r="A589" s="415">
        <f t="shared" si="16"/>
        <v>1357</v>
      </c>
      <c r="B589" s="419" t="str">
        <f t="shared" si="17"/>
        <v>Spring</v>
      </c>
      <c r="C589" s="455"/>
      <c r="D589" s="504"/>
      <c r="E589" s="455"/>
      <c r="F589" s="504"/>
      <c r="G589" s="455"/>
      <c r="H589" s="504"/>
      <c r="I589" s="455"/>
      <c r="J589" s="504"/>
      <c r="L589" s="472"/>
      <c r="M589" s="468"/>
      <c r="N589" s="468"/>
      <c r="O589" s="468"/>
      <c r="P589" s="468"/>
      <c r="Q589" s="473"/>
      <c r="R589" s="477" t="str">
        <f>IF(AND(COUNTIF('Start Character'!$I$63:$M$77,"Twilight Prone")=1,NOT(ISERROR(FIND("Magical Botch",M589)))),"Yes",IF(P589&gt;1,"Yes","No"))</f>
        <v>No</v>
      </c>
      <c r="S589" s="501"/>
      <c r="T589" s="478"/>
      <c r="U589" s="501"/>
      <c r="V589" s="479" t="str">
        <f>IF(R589="No","No Twilight",IF(T589="Yes","Uncomprehended Twilight",IF((Character!$B$14+IF(Character!$B$53="Yes",0,Character!$B$53)+IF(Magic!$C$5="Yes",2,0)+ROUNDUP((Magic!$B$30+IF(Magic!$C$30="Yes",3,0))/5,0)+S589)&gt;=($D$3+P589+SUMIF(Character!$I$62:$I$66,"Enigmatic Wisdom",Character!$J$62:$J$66)+Q589+U589),"No Twilight","Twilight")))</f>
        <v>No Twilight</v>
      </c>
      <c r="W589" s="483"/>
      <c r="X589" s="478"/>
      <c r="Y589" s="484"/>
      <c r="Z589" s="478"/>
      <c r="AA589" s="485" t="str">
        <f>IF(V589="Uncomprehended Twilight","Failed",IF(OR(ISBLANK(W589),ISBLANK(Y589))," ",IF(NOT(ISBLANK(X589)),"Failed",IF((W589+Character!$B$9+SUMIF(Character!$I$62:$I$66,"Enigmatic Wisdom",Character!$J$62:$J$66))&gt;=IF(Z589="Yes",0,(Y589+D584)),"Succeeded","Failed"))))</f>
        <v xml:space="preserve"> </v>
      </c>
      <c r="AB589" s="477" t="str">
        <f>IF(AA589=" "," ",IF(NOT(ISBLANK(X589)),VLOOKUP($D$3+X589,Calcs!$A$110:$C$122,3,TRUE),IF(AA589="Failed",VLOOKUP($D$3,Calcs!$A$110:$C$122,3,TRUE),VLOOKUP($D$3-(IF((Character!$B$9+W589)&gt;($D$3+Y589),(Character!$B$9+W589)-($D$3+Y589),0)),Calcs!$A$110:$C$122,3,TRUE))))</f>
        <v xml:space="preserve"> </v>
      </c>
      <c r="AC589" s="489"/>
      <c r="AD589" s="489" t="str">
        <f>IF(IF(AA589=" "," ",IF(NOT(ISBLANK(X589)),VLOOKUP($D$3+X589,Calcs!$A$110:$B$122,2,TRUE),IF(AA589="Failed",VLOOKUP($D$3,Calcs!$A$110:$B$122,2,TRUE),VLOOKUP($D$3-(IF((Character!$B$9+W589)&gt;($D$3+Y589),(Character!$B$9+W589)-($D$3+Y589),0)),Calcs!$A$110:$B$122,2,TRUE))))=Calcs!$B$120,IF(ISBLANK(AC589)," ",CONCATENATE(AC589+7," Years")),IF(AA589=" "," ",IF(NOT(ISBLANK(X589)),VLOOKUP($D$3+X589,Calcs!$A$110:$B$122,2,TRUE),IF(AA589="Failed",VLOOKUP($D$3,Calcs!$A$110:$B$122,2,TRUE),VLOOKUP($D$3-(IF((Character!$B$9+W589)&gt;($D$3+Y589),(Character!$B$9+W589)-($D$3+Y589),0)),Calcs!$A$110:$B$122,2,TRUE)))))</f>
        <v xml:space="preserve"> </v>
      </c>
      <c r="AE589" s="490"/>
      <c r="AF589" s="879"/>
      <c r="AG589" s="491"/>
    </row>
    <row r="590" spans="1:33" x14ac:dyDescent="0.2">
      <c r="A590" s="415">
        <f t="shared" si="16"/>
        <v>1357</v>
      </c>
      <c r="B590" s="419" t="str">
        <f t="shared" si="17"/>
        <v>Summer</v>
      </c>
      <c r="C590" s="455"/>
      <c r="D590" s="504"/>
      <c r="E590" s="455"/>
      <c r="F590" s="504"/>
      <c r="G590" s="455"/>
      <c r="H590" s="504"/>
      <c r="I590" s="455"/>
      <c r="J590" s="504"/>
      <c r="L590" s="472"/>
      <c r="M590" s="468"/>
      <c r="N590" s="468"/>
      <c r="O590" s="468"/>
      <c r="P590" s="468"/>
      <c r="Q590" s="473"/>
      <c r="R590" s="477" t="str">
        <f>IF(AND(COUNTIF('Start Character'!$I$63:$M$77,"Twilight Prone")=1,NOT(ISERROR(FIND("Magical Botch",M590)))),"Yes",IF(P590&gt;1,"Yes","No"))</f>
        <v>No</v>
      </c>
      <c r="S590" s="501"/>
      <c r="T590" s="478"/>
      <c r="U590" s="501"/>
      <c r="V590" s="479" t="str">
        <f>IF(R590="No","No Twilight",IF(T590="Yes","Uncomprehended Twilight",IF((Character!$B$14+IF(Character!$B$53="Yes",0,Character!$B$53)+IF(Magic!$C$5="Yes",2,0)+ROUNDUP((Magic!$B$30+IF(Magic!$C$30="Yes",3,0))/5,0)+S590)&gt;=($D$3+P590+SUMIF(Character!$I$62:$I$66,"Enigmatic Wisdom",Character!$J$62:$J$66)+Q590+U590),"No Twilight","Twilight")))</f>
        <v>No Twilight</v>
      </c>
      <c r="W590" s="483"/>
      <c r="X590" s="478"/>
      <c r="Y590" s="484"/>
      <c r="Z590" s="478"/>
      <c r="AA590" s="485" t="str">
        <f>IF(V590="Uncomprehended Twilight","Failed",IF(OR(ISBLANK(W590),ISBLANK(Y590))," ",IF(NOT(ISBLANK(X590)),"Failed",IF((W590+Character!$B$9+SUMIF(Character!$I$62:$I$66,"Enigmatic Wisdom",Character!$J$62:$J$66))&gt;=IF(Z590="Yes",0,(Y590+D585)),"Succeeded","Failed"))))</f>
        <v xml:space="preserve"> </v>
      </c>
      <c r="AB590" s="477" t="str">
        <f>IF(AA590=" "," ",IF(NOT(ISBLANK(X590)),VLOOKUP($D$3+X590,Calcs!$A$110:$C$122,3,TRUE),IF(AA590="Failed",VLOOKUP($D$3,Calcs!$A$110:$C$122,3,TRUE),VLOOKUP($D$3-(IF((Character!$B$9+W590)&gt;($D$3+Y590),(Character!$B$9+W590)-($D$3+Y590),0)),Calcs!$A$110:$C$122,3,TRUE))))</f>
        <v xml:space="preserve"> </v>
      </c>
      <c r="AC590" s="489"/>
      <c r="AD590" s="489" t="str">
        <f>IF(IF(AA590=" "," ",IF(NOT(ISBLANK(X590)),VLOOKUP($D$3+X590,Calcs!$A$110:$B$122,2,TRUE),IF(AA590="Failed",VLOOKUP($D$3,Calcs!$A$110:$B$122,2,TRUE),VLOOKUP($D$3-(IF((Character!$B$9+W590)&gt;($D$3+Y590),(Character!$B$9+W590)-($D$3+Y590),0)),Calcs!$A$110:$B$122,2,TRUE))))=Calcs!$B$120,IF(ISBLANK(AC590)," ",CONCATENATE(AC590+7," Years")),IF(AA590=" "," ",IF(NOT(ISBLANK(X590)),VLOOKUP($D$3+X590,Calcs!$A$110:$B$122,2,TRUE),IF(AA590="Failed",VLOOKUP($D$3,Calcs!$A$110:$B$122,2,TRUE),VLOOKUP($D$3-(IF((Character!$B$9+W590)&gt;($D$3+Y590),(Character!$B$9+W590)-($D$3+Y590),0)),Calcs!$A$110:$B$122,2,TRUE)))))</f>
        <v xml:space="preserve"> </v>
      </c>
      <c r="AE590" s="490"/>
      <c r="AF590" s="879"/>
      <c r="AG590" s="491"/>
    </row>
    <row r="591" spans="1:33" x14ac:dyDescent="0.2">
      <c r="A591" s="415">
        <f t="shared" si="16"/>
        <v>1357</v>
      </c>
      <c r="B591" s="419" t="str">
        <f t="shared" si="17"/>
        <v>Autumn</v>
      </c>
      <c r="C591" s="455"/>
      <c r="D591" s="504"/>
      <c r="E591" s="455"/>
      <c r="F591" s="504"/>
      <c r="G591" s="455"/>
      <c r="H591" s="504"/>
      <c r="I591" s="455"/>
      <c r="J591" s="504"/>
      <c r="L591" s="472"/>
      <c r="M591" s="468"/>
      <c r="N591" s="468"/>
      <c r="O591" s="468"/>
      <c r="P591" s="468"/>
      <c r="Q591" s="473"/>
      <c r="R591" s="477" t="str">
        <f>IF(AND(COUNTIF('Start Character'!$I$63:$M$77,"Twilight Prone")=1,NOT(ISERROR(FIND("Magical Botch",M591)))),"Yes",IF(P591&gt;1,"Yes","No"))</f>
        <v>No</v>
      </c>
      <c r="S591" s="501"/>
      <c r="T591" s="478"/>
      <c r="U591" s="501"/>
      <c r="V591" s="479" t="str">
        <f>IF(R591="No","No Twilight",IF(T591="Yes","Uncomprehended Twilight",IF((Character!$B$14+IF(Character!$B$53="Yes",0,Character!$B$53)+IF(Magic!$C$5="Yes",2,0)+ROUNDUP((Magic!$B$30+IF(Magic!$C$30="Yes",3,0))/5,0)+S591)&gt;=($D$3+P591+SUMIF(Character!$I$62:$I$66,"Enigmatic Wisdom",Character!$J$62:$J$66)+Q591+U591),"No Twilight","Twilight")))</f>
        <v>No Twilight</v>
      </c>
      <c r="W591" s="483"/>
      <c r="X591" s="478"/>
      <c r="Y591" s="484"/>
      <c r="Z591" s="478"/>
      <c r="AA591" s="485" t="str">
        <f>IF(V591="Uncomprehended Twilight","Failed",IF(OR(ISBLANK(W591),ISBLANK(Y591))," ",IF(NOT(ISBLANK(X591)),"Failed",IF((W591+Character!$B$9+SUMIF(Character!$I$62:$I$66,"Enigmatic Wisdom",Character!$J$62:$J$66))&gt;=IF(Z591="Yes",0,(Y591+D586)),"Succeeded","Failed"))))</f>
        <v xml:space="preserve"> </v>
      </c>
      <c r="AB591" s="477" t="str">
        <f>IF(AA591=" "," ",IF(NOT(ISBLANK(X591)),VLOOKUP($D$3+X591,Calcs!$A$110:$C$122,3,TRUE),IF(AA591="Failed",VLOOKUP($D$3,Calcs!$A$110:$C$122,3,TRUE),VLOOKUP($D$3-(IF((Character!$B$9+W591)&gt;($D$3+Y591),(Character!$B$9+W591)-($D$3+Y591),0)),Calcs!$A$110:$C$122,3,TRUE))))</f>
        <v xml:space="preserve"> </v>
      </c>
      <c r="AC591" s="489"/>
      <c r="AD591" s="489" t="str">
        <f>IF(IF(AA591=" "," ",IF(NOT(ISBLANK(X591)),VLOOKUP($D$3+X591,Calcs!$A$110:$B$122,2,TRUE),IF(AA591="Failed",VLOOKUP($D$3,Calcs!$A$110:$B$122,2,TRUE),VLOOKUP($D$3-(IF((Character!$B$9+W591)&gt;($D$3+Y591),(Character!$B$9+W591)-($D$3+Y591),0)),Calcs!$A$110:$B$122,2,TRUE))))=Calcs!$B$120,IF(ISBLANK(AC591)," ",CONCATENATE(AC591+7," Years")),IF(AA591=" "," ",IF(NOT(ISBLANK(X591)),VLOOKUP($D$3+X591,Calcs!$A$110:$B$122,2,TRUE),IF(AA591="Failed",VLOOKUP($D$3,Calcs!$A$110:$B$122,2,TRUE),VLOOKUP($D$3-(IF((Character!$B$9+W591)&gt;($D$3+Y591),(Character!$B$9+W591)-($D$3+Y591),0)),Calcs!$A$110:$B$122,2,TRUE)))))</f>
        <v xml:space="preserve"> </v>
      </c>
      <c r="AE591" s="490"/>
      <c r="AF591" s="879"/>
      <c r="AG591" s="491"/>
    </row>
    <row r="592" spans="1:33" x14ac:dyDescent="0.2">
      <c r="A592" s="415">
        <f t="shared" si="16"/>
        <v>1358</v>
      </c>
      <c r="B592" s="419" t="str">
        <f t="shared" si="17"/>
        <v>Winter</v>
      </c>
      <c r="C592" s="455"/>
      <c r="D592" s="504"/>
      <c r="E592" s="455"/>
      <c r="F592" s="504"/>
      <c r="G592" s="455"/>
      <c r="H592" s="504"/>
      <c r="I592" s="455"/>
      <c r="J592" s="504"/>
      <c r="L592" s="472"/>
      <c r="M592" s="468"/>
      <c r="N592" s="468"/>
      <c r="O592" s="468"/>
      <c r="P592" s="468"/>
      <c r="Q592" s="473"/>
      <c r="R592" s="477" t="str">
        <f>IF(AND(COUNTIF('Start Character'!$I$63:$M$77,"Twilight Prone")=1,NOT(ISERROR(FIND("Magical Botch",M592)))),"Yes",IF(P592&gt;1,"Yes","No"))</f>
        <v>No</v>
      </c>
      <c r="S592" s="501"/>
      <c r="T592" s="478"/>
      <c r="U592" s="501"/>
      <c r="V592" s="479" t="str">
        <f>IF(R592="No","No Twilight",IF(T592="Yes","Uncomprehended Twilight",IF((Character!$B$14+IF(Character!$B$53="Yes",0,Character!$B$53)+IF(Magic!$C$5="Yes",2,0)+ROUNDUP((Magic!$B$30+IF(Magic!$C$30="Yes",3,0))/5,0)+S592)&gt;=($D$3+P592+SUMIF(Character!$I$62:$I$66,"Enigmatic Wisdom",Character!$J$62:$J$66)+Q592+U592),"No Twilight","Twilight")))</f>
        <v>No Twilight</v>
      </c>
      <c r="W592" s="483"/>
      <c r="X592" s="478"/>
      <c r="Y592" s="484"/>
      <c r="Z592" s="478"/>
      <c r="AA592" s="485" t="str">
        <f>IF(V592="Uncomprehended Twilight","Failed",IF(OR(ISBLANK(W592),ISBLANK(Y592))," ",IF(NOT(ISBLANK(X592)),"Failed",IF((W592+Character!$B$9+SUMIF(Character!$I$62:$I$66,"Enigmatic Wisdom",Character!$J$62:$J$66))&gt;=IF(Z592="Yes",0,(Y592+D587)),"Succeeded","Failed"))))</f>
        <v xml:space="preserve"> </v>
      </c>
      <c r="AB592" s="477" t="str">
        <f>IF(AA592=" "," ",IF(NOT(ISBLANK(X592)),VLOOKUP($D$3+X592,Calcs!$A$110:$C$122,3,TRUE),IF(AA592="Failed",VLOOKUP($D$3,Calcs!$A$110:$C$122,3,TRUE),VLOOKUP($D$3-(IF((Character!$B$9+W592)&gt;($D$3+Y592),(Character!$B$9+W592)-($D$3+Y592),0)),Calcs!$A$110:$C$122,3,TRUE))))</f>
        <v xml:space="preserve"> </v>
      </c>
      <c r="AC592" s="489"/>
      <c r="AD592" s="489" t="str">
        <f>IF(IF(AA592=" "," ",IF(NOT(ISBLANK(X592)),VLOOKUP($D$3+X592,Calcs!$A$110:$B$122,2,TRUE),IF(AA592="Failed",VLOOKUP($D$3,Calcs!$A$110:$B$122,2,TRUE),VLOOKUP($D$3-(IF((Character!$B$9+W592)&gt;($D$3+Y592),(Character!$B$9+W592)-($D$3+Y592),0)),Calcs!$A$110:$B$122,2,TRUE))))=Calcs!$B$120,IF(ISBLANK(AC592)," ",CONCATENATE(AC592+7," Years")),IF(AA592=" "," ",IF(NOT(ISBLANK(X592)),VLOOKUP($D$3+X592,Calcs!$A$110:$B$122,2,TRUE),IF(AA592="Failed",VLOOKUP($D$3,Calcs!$A$110:$B$122,2,TRUE),VLOOKUP($D$3-(IF((Character!$B$9+W592)&gt;($D$3+Y592),(Character!$B$9+W592)-($D$3+Y592),0)),Calcs!$A$110:$B$122,2,TRUE)))))</f>
        <v xml:space="preserve"> </v>
      </c>
      <c r="AE592" s="490"/>
      <c r="AF592" s="879"/>
      <c r="AG592" s="491"/>
    </row>
    <row r="593" spans="1:33" x14ac:dyDescent="0.2">
      <c r="A593" s="415">
        <f t="shared" si="16"/>
        <v>1358</v>
      </c>
      <c r="B593" s="419" t="str">
        <f t="shared" si="17"/>
        <v>Spring</v>
      </c>
      <c r="C593" s="455"/>
      <c r="D593" s="504"/>
      <c r="E593" s="455"/>
      <c r="F593" s="504"/>
      <c r="G593" s="455"/>
      <c r="H593" s="504"/>
      <c r="I593" s="455"/>
      <c r="J593" s="504"/>
      <c r="L593" s="472"/>
      <c r="M593" s="468"/>
      <c r="N593" s="468"/>
      <c r="O593" s="468"/>
      <c r="P593" s="468"/>
      <c r="Q593" s="473"/>
      <c r="R593" s="477" t="str">
        <f>IF(AND(COUNTIF('Start Character'!$I$63:$M$77,"Twilight Prone")=1,NOT(ISERROR(FIND("Magical Botch",M593)))),"Yes",IF(P593&gt;1,"Yes","No"))</f>
        <v>No</v>
      </c>
      <c r="S593" s="501"/>
      <c r="T593" s="478"/>
      <c r="U593" s="501"/>
      <c r="V593" s="479" t="str">
        <f>IF(R593="No","No Twilight",IF(T593="Yes","Uncomprehended Twilight",IF((Character!$B$14+IF(Character!$B$53="Yes",0,Character!$B$53)+IF(Magic!$C$5="Yes",2,0)+ROUNDUP((Magic!$B$30+IF(Magic!$C$30="Yes",3,0))/5,0)+S593)&gt;=($D$3+P593+SUMIF(Character!$I$62:$I$66,"Enigmatic Wisdom",Character!$J$62:$J$66)+Q593+U593),"No Twilight","Twilight")))</f>
        <v>No Twilight</v>
      </c>
      <c r="W593" s="483"/>
      <c r="X593" s="478"/>
      <c r="Y593" s="484"/>
      <c r="Z593" s="478"/>
      <c r="AA593" s="485" t="str">
        <f>IF(V593="Uncomprehended Twilight","Failed",IF(OR(ISBLANK(W593),ISBLANK(Y593))," ",IF(NOT(ISBLANK(X593)),"Failed",IF((W593+Character!$B$9+SUMIF(Character!$I$62:$I$66,"Enigmatic Wisdom",Character!$J$62:$J$66))&gt;=IF(Z593="Yes",0,(Y593+D588)),"Succeeded","Failed"))))</f>
        <v xml:space="preserve"> </v>
      </c>
      <c r="AB593" s="477" t="str">
        <f>IF(AA593=" "," ",IF(NOT(ISBLANK(X593)),VLOOKUP($D$3+X593,Calcs!$A$110:$C$122,3,TRUE),IF(AA593="Failed",VLOOKUP($D$3,Calcs!$A$110:$C$122,3,TRUE),VLOOKUP($D$3-(IF((Character!$B$9+W593)&gt;($D$3+Y593),(Character!$B$9+W593)-($D$3+Y593),0)),Calcs!$A$110:$C$122,3,TRUE))))</f>
        <v xml:space="preserve"> </v>
      </c>
      <c r="AC593" s="489"/>
      <c r="AD593" s="489" t="str">
        <f>IF(IF(AA593=" "," ",IF(NOT(ISBLANK(X593)),VLOOKUP($D$3+X593,Calcs!$A$110:$B$122,2,TRUE),IF(AA593="Failed",VLOOKUP($D$3,Calcs!$A$110:$B$122,2,TRUE),VLOOKUP($D$3-(IF((Character!$B$9+W593)&gt;($D$3+Y593),(Character!$B$9+W593)-($D$3+Y593),0)),Calcs!$A$110:$B$122,2,TRUE))))=Calcs!$B$120,IF(ISBLANK(AC593)," ",CONCATENATE(AC593+7," Years")),IF(AA593=" "," ",IF(NOT(ISBLANK(X593)),VLOOKUP($D$3+X593,Calcs!$A$110:$B$122,2,TRUE),IF(AA593="Failed",VLOOKUP($D$3,Calcs!$A$110:$B$122,2,TRUE),VLOOKUP($D$3-(IF((Character!$B$9+W593)&gt;($D$3+Y593),(Character!$B$9+W593)-($D$3+Y593),0)),Calcs!$A$110:$B$122,2,TRUE)))))</f>
        <v xml:space="preserve"> </v>
      </c>
      <c r="AE593" s="490"/>
      <c r="AF593" s="879"/>
      <c r="AG593" s="491"/>
    </row>
    <row r="594" spans="1:33" x14ac:dyDescent="0.2">
      <c r="A594" s="415">
        <f t="shared" si="16"/>
        <v>1358</v>
      </c>
      <c r="B594" s="419" t="str">
        <f t="shared" si="17"/>
        <v>Summer</v>
      </c>
      <c r="C594" s="455"/>
      <c r="D594" s="504"/>
      <c r="E594" s="455"/>
      <c r="F594" s="504"/>
      <c r="G594" s="455"/>
      <c r="H594" s="504"/>
      <c r="I594" s="455"/>
      <c r="J594" s="504"/>
      <c r="L594" s="472"/>
      <c r="M594" s="468"/>
      <c r="N594" s="468"/>
      <c r="O594" s="468"/>
      <c r="P594" s="468"/>
      <c r="Q594" s="473"/>
      <c r="R594" s="477" t="str">
        <f>IF(AND(COUNTIF('Start Character'!$I$63:$M$77,"Twilight Prone")=1,NOT(ISERROR(FIND("Magical Botch",M594)))),"Yes",IF(P594&gt;1,"Yes","No"))</f>
        <v>No</v>
      </c>
      <c r="S594" s="501"/>
      <c r="T594" s="478"/>
      <c r="U594" s="501"/>
      <c r="V594" s="479" t="str">
        <f>IF(R594="No","No Twilight",IF(T594="Yes","Uncomprehended Twilight",IF((Character!$B$14+IF(Character!$B$53="Yes",0,Character!$B$53)+IF(Magic!$C$5="Yes",2,0)+ROUNDUP((Magic!$B$30+IF(Magic!$C$30="Yes",3,0))/5,0)+S594)&gt;=($D$3+P594+SUMIF(Character!$I$62:$I$66,"Enigmatic Wisdom",Character!$J$62:$J$66)+Q594+U594),"No Twilight","Twilight")))</f>
        <v>No Twilight</v>
      </c>
      <c r="W594" s="483"/>
      <c r="X594" s="478"/>
      <c r="Y594" s="484"/>
      <c r="Z594" s="478"/>
      <c r="AA594" s="485" t="str">
        <f>IF(V594="Uncomprehended Twilight","Failed",IF(OR(ISBLANK(W594),ISBLANK(Y594))," ",IF(NOT(ISBLANK(X594)),"Failed",IF((W594+Character!$B$9+SUMIF(Character!$I$62:$I$66,"Enigmatic Wisdom",Character!$J$62:$J$66))&gt;=IF(Z594="Yes",0,(Y594+D589)),"Succeeded","Failed"))))</f>
        <v xml:space="preserve"> </v>
      </c>
      <c r="AB594" s="477" t="str">
        <f>IF(AA594=" "," ",IF(NOT(ISBLANK(X594)),VLOOKUP($D$3+X594,Calcs!$A$110:$C$122,3,TRUE),IF(AA594="Failed",VLOOKUP($D$3,Calcs!$A$110:$C$122,3,TRUE),VLOOKUP($D$3-(IF((Character!$B$9+W594)&gt;($D$3+Y594),(Character!$B$9+W594)-($D$3+Y594),0)),Calcs!$A$110:$C$122,3,TRUE))))</f>
        <v xml:space="preserve"> </v>
      </c>
      <c r="AC594" s="489"/>
      <c r="AD594" s="489" t="str">
        <f>IF(IF(AA594=" "," ",IF(NOT(ISBLANK(X594)),VLOOKUP($D$3+X594,Calcs!$A$110:$B$122,2,TRUE),IF(AA594="Failed",VLOOKUP($D$3,Calcs!$A$110:$B$122,2,TRUE),VLOOKUP($D$3-(IF((Character!$B$9+W594)&gt;($D$3+Y594),(Character!$B$9+W594)-($D$3+Y594),0)),Calcs!$A$110:$B$122,2,TRUE))))=Calcs!$B$120,IF(ISBLANK(AC594)," ",CONCATENATE(AC594+7," Years")),IF(AA594=" "," ",IF(NOT(ISBLANK(X594)),VLOOKUP($D$3+X594,Calcs!$A$110:$B$122,2,TRUE),IF(AA594="Failed",VLOOKUP($D$3,Calcs!$A$110:$B$122,2,TRUE),VLOOKUP($D$3-(IF((Character!$B$9+W594)&gt;($D$3+Y594),(Character!$B$9+W594)-($D$3+Y594),0)),Calcs!$A$110:$B$122,2,TRUE)))))</f>
        <v xml:space="preserve"> </v>
      </c>
      <c r="AE594" s="490"/>
      <c r="AF594" s="879"/>
      <c r="AG594" s="491"/>
    </row>
    <row r="595" spans="1:33" x14ac:dyDescent="0.2">
      <c r="A595" s="415">
        <f t="shared" si="16"/>
        <v>1358</v>
      </c>
      <c r="B595" s="419" t="str">
        <f t="shared" si="17"/>
        <v>Autumn</v>
      </c>
      <c r="C595" s="455"/>
      <c r="D595" s="504"/>
      <c r="E595" s="455"/>
      <c r="F595" s="504"/>
      <c r="G595" s="455"/>
      <c r="H595" s="504"/>
      <c r="I595" s="455"/>
      <c r="J595" s="504"/>
      <c r="L595" s="472"/>
      <c r="M595" s="468"/>
      <c r="N595" s="468"/>
      <c r="O595" s="468"/>
      <c r="P595" s="468"/>
      <c r="Q595" s="473"/>
      <c r="R595" s="477" t="str">
        <f>IF(AND(COUNTIF('Start Character'!$I$63:$M$77,"Twilight Prone")=1,NOT(ISERROR(FIND("Magical Botch",M595)))),"Yes",IF(P595&gt;1,"Yes","No"))</f>
        <v>No</v>
      </c>
      <c r="S595" s="501"/>
      <c r="T595" s="478"/>
      <c r="U595" s="501"/>
      <c r="V595" s="479" t="str">
        <f>IF(R595="No","No Twilight",IF(T595="Yes","Uncomprehended Twilight",IF((Character!$B$14+IF(Character!$B$53="Yes",0,Character!$B$53)+IF(Magic!$C$5="Yes",2,0)+ROUNDUP((Magic!$B$30+IF(Magic!$C$30="Yes",3,0))/5,0)+S595)&gt;=($D$3+P595+SUMIF(Character!$I$62:$I$66,"Enigmatic Wisdom",Character!$J$62:$J$66)+Q595+U595),"No Twilight","Twilight")))</f>
        <v>No Twilight</v>
      </c>
      <c r="W595" s="483"/>
      <c r="X595" s="478"/>
      <c r="Y595" s="484"/>
      <c r="Z595" s="478"/>
      <c r="AA595" s="485" t="str">
        <f>IF(V595="Uncomprehended Twilight","Failed",IF(OR(ISBLANK(W595),ISBLANK(Y595))," ",IF(NOT(ISBLANK(X595)),"Failed",IF((W595+Character!$B$9+SUMIF(Character!$I$62:$I$66,"Enigmatic Wisdom",Character!$J$62:$J$66))&gt;=IF(Z595="Yes",0,(Y595+D590)),"Succeeded","Failed"))))</f>
        <v xml:space="preserve"> </v>
      </c>
      <c r="AB595" s="477" t="str">
        <f>IF(AA595=" "," ",IF(NOT(ISBLANK(X595)),VLOOKUP($D$3+X595,Calcs!$A$110:$C$122,3,TRUE),IF(AA595="Failed",VLOOKUP($D$3,Calcs!$A$110:$C$122,3,TRUE),VLOOKUP($D$3-(IF((Character!$B$9+W595)&gt;($D$3+Y595),(Character!$B$9+W595)-($D$3+Y595),0)),Calcs!$A$110:$C$122,3,TRUE))))</f>
        <v xml:space="preserve"> </v>
      </c>
      <c r="AC595" s="489"/>
      <c r="AD595" s="489" t="str">
        <f>IF(IF(AA595=" "," ",IF(NOT(ISBLANK(X595)),VLOOKUP($D$3+X595,Calcs!$A$110:$B$122,2,TRUE),IF(AA595="Failed",VLOOKUP($D$3,Calcs!$A$110:$B$122,2,TRUE),VLOOKUP($D$3-(IF((Character!$B$9+W595)&gt;($D$3+Y595),(Character!$B$9+W595)-($D$3+Y595),0)),Calcs!$A$110:$B$122,2,TRUE))))=Calcs!$B$120,IF(ISBLANK(AC595)," ",CONCATENATE(AC595+7," Years")),IF(AA595=" "," ",IF(NOT(ISBLANK(X595)),VLOOKUP($D$3+X595,Calcs!$A$110:$B$122,2,TRUE),IF(AA595="Failed",VLOOKUP($D$3,Calcs!$A$110:$B$122,2,TRUE),VLOOKUP($D$3-(IF((Character!$B$9+W595)&gt;($D$3+Y595),(Character!$B$9+W595)-($D$3+Y595),0)),Calcs!$A$110:$B$122,2,TRUE)))))</f>
        <v xml:space="preserve"> </v>
      </c>
      <c r="AE595" s="490"/>
      <c r="AF595" s="879"/>
      <c r="AG595" s="491"/>
    </row>
    <row r="596" spans="1:33" x14ac:dyDescent="0.2">
      <c r="A596" s="415">
        <f t="shared" si="16"/>
        <v>1359</v>
      </c>
      <c r="B596" s="419" t="str">
        <f t="shared" si="17"/>
        <v>Winter</v>
      </c>
      <c r="C596" s="455"/>
      <c r="D596" s="504"/>
      <c r="E596" s="455"/>
      <c r="F596" s="504"/>
      <c r="G596" s="455"/>
      <c r="H596" s="504"/>
      <c r="I596" s="455"/>
      <c r="J596" s="504"/>
      <c r="L596" s="472"/>
      <c r="M596" s="468"/>
      <c r="N596" s="468"/>
      <c r="O596" s="468"/>
      <c r="P596" s="468"/>
      <c r="Q596" s="473"/>
      <c r="R596" s="477" t="str">
        <f>IF(AND(COUNTIF('Start Character'!$I$63:$M$77,"Twilight Prone")=1,NOT(ISERROR(FIND("Magical Botch",M596)))),"Yes",IF(P596&gt;1,"Yes","No"))</f>
        <v>No</v>
      </c>
      <c r="S596" s="501"/>
      <c r="T596" s="478"/>
      <c r="U596" s="501"/>
      <c r="V596" s="479" t="str">
        <f>IF(R596="No","No Twilight",IF(T596="Yes","Uncomprehended Twilight",IF((Character!$B$14+IF(Character!$B$53="Yes",0,Character!$B$53)+IF(Magic!$C$5="Yes",2,0)+ROUNDUP((Magic!$B$30+IF(Magic!$C$30="Yes",3,0))/5,0)+S596)&gt;=($D$3+P596+SUMIF(Character!$I$62:$I$66,"Enigmatic Wisdom",Character!$J$62:$J$66)+Q596+U596),"No Twilight","Twilight")))</f>
        <v>No Twilight</v>
      </c>
      <c r="W596" s="483"/>
      <c r="X596" s="478"/>
      <c r="Y596" s="484"/>
      <c r="Z596" s="478"/>
      <c r="AA596" s="485" t="str">
        <f>IF(V596="Uncomprehended Twilight","Failed",IF(OR(ISBLANK(W596),ISBLANK(Y596))," ",IF(NOT(ISBLANK(X596)),"Failed",IF((W596+Character!$B$9+SUMIF(Character!$I$62:$I$66,"Enigmatic Wisdom",Character!$J$62:$J$66))&gt;=IF(Z596="Yes",0,(Y596+D591)),"Succeeded","Failed"))))</f>
        <v xml:space="preserve"> </v>
      </c>
      <c r="AB596" s="477" t="str">
        <f>IF(AA596=" "," ",IF(NOT(ISBLANK(X596)),VLOOKUP($D$3+X596,Calcs!$A$110:$C$122,3,TRUE),IF(AA596="Failed",VLOOKUP($D$3,Calcs!$A$110:$C$122,3,TRUE),VLOOKUP($D$3-(IF((Character!$B$9+W596)&gt;($D$3+Y596),(Character!$B$9+W596)-($D$3+Y596),0)),Calcs!$A$110:$C$122,3,TRUE))))</f>
        <v xml:space="preserve"> </v>
      </c>
      <c r="AC596" s="489"/>
      <c r="AD596" s="489" t="str">
        <f>IF(IF(AA596=" "," ",IF(NOT(ISBLANK(X596)),VLOOKUP($D$3+X596,Calcs!$A$110:$B$122,2,TRUE),IF(AA596="Failed",VLOOKUP($D$3,Calcs!$A$110:$B$122,2,TRUE),VLOOKUP($D$3-(IF((Character!$B$9+W596)&gt;($D$3+Y596),(Character!$B$9+W596)-($D$3+Y596),0)),Calcs!$A$110:$B$122,2,TRUE))))=Calcs!$B$120,IF(ISBLANK(AC596)," ",CONCATENATE(AC596+7," Years")),IF(AA596=" "," ",IF(NOT(ISBLANK(X596)),VLOOKUP($D$3+X596,Calcs!$A$110:$B$122,2,TRUE),IF(AA596="Failed",VLOOKUP($D$3,Calcs!$A$110:$B$122,2,TRUE),VLOOKUP($D$3-(IF((Character!$B$9+W596)&gt;($D$3+Y596),(Character!$B$9+W596)-($D$3+Y596),0)),Calcs!$A$110:$B$122,2,TRUE)))))</f>
        <v xml:space="preserve"> </v>
      </c>
      <c r="AE596" s="490"/>
      <c r="AF596" s="879"/>
      <c r="AG596" s="491"/>
    </row>
    <row r="597" spans="1:33" x14ac:dyDescent="0.2">
      <c r="A597" s="415">
        <f t="shared" si="16"/>
        <v>1359</v>
      </c>
      <c r="B597" s="419" t="str">
        <f t="shared" si="17"/>
        <v>Spring</v>
      </c>
      <c r="C597" s="455"/>
      <c r="D597" s="504"/>
      <c r="E597" s="455"/>
      <c r="F597" s="504"/>
      <c r="G597" s="455"/>
      <c r="H597" s="504"/>
      <c r="I597" s="455"/>
      <c r="J597" s="504"/>
      <c r="L597" s="472"/>
      <c r="M597" s="468"/>
      <c r="N597" s="468"/>
      <c r="O597" s="468"/>
      <c r="P597" s="468"/>
      <c r="Q597" s="473"/>
      <c r="R597" s="477" t="str">
        <f>IF(AND(COUNTIF('Start Character'!$I$63:$M$77,"Twilight Prone")=1,NOT(ISERROR(FIND("Magical Botch",M597)))),"Yes",IF(P597&gt;1,"Yes","No"))</f>
        <v>No</v>
      </c>
      <c r="S597" s="501"/>
      <c r="T597" s="478"/>
      <c r="U597" s="501"/>
      <c r="V597" s="479" t="str">
        <f>IF(R597="No","No Twilight",IF(T597="Yes","Uncomprehended Twilight",IF((Character!$B$14+IF(Character!$B$53="Yes",0,Character!$B$53)+IF(Magic!$C$5="Yes",2,0)+ROUNDUP((Magic!$B$30+IF(Magic!$C$30="Yes",3,0))/5,0)+S597)&gt;=($D$3+P597+SUMIF(Character!$I$62:$I$66,"Enigmatic Wisdom",Character!$J$62:$J$66)+Q597+U597),"No Twilight","Twilight")))</f>
        <v>No Twilight</v>
      </c>
      <c r="W597" s="483"/>
      <c r="X597" s="478"/>
      <c r="Y597" s="484"/>
      <c r="Z597" s="478"/>
      <c r="AA597" s="485" t="str">
        <f>IF(V597="Uncomprehended Twilight","Failed",IF(OR(ISBLANK(W597),ISBLANK(Y597))," ",IF(NOT(ISBLANK(X597)),"Failed",IF((W597+Character!$B$9+SUMIF(Character!$I$62:$I$66,"Enigmatic Wisdom",Character!$J$62:$J$66))&gt;=IF(Z597="Yes",0,(Y597+D592)),"Succeeded","Failed"))))</f>
        <v xml:space="preserve"> </v>
      </c>
      <c r="AB597" s="477" t="str">
        <f>IF(AA597=" "," ",IF(NOT(ISBLANK(X597)),VLOOKUP($D$3+X597,Calcs!$A$110:$C$122,3,TRUE),IF(AA597="Failed",VLOOKUP($D$3,Calcs!$A$110:$C$122,3,TRUE),VLOOKUP($D$3-(IF((Character!$B$9+W597)&gt;($D$3+Y597),(Character!$B$9+W597)-($D$3+Y597),0)),Calcs!$A$110:$C$122,3,TRUE))))</f>
        <v xml:space="preserve"> </v>
      </c>
      <c r="AC597" s="489"/>
      <c r="AD597" s="489" t="str">
        <f>IF(IF(AA597=" "," ",IF(NOT(ISBLANK(X597)),VLOOKUP($D$3+X597,Calcs!$A$110:$B$122,2,TRUE),IF(AA597="Failed",VLOOKUP($D$3,Calcs!$A$110:$B$122,2,TRUE),VLOOKUP($D$3-(IF((Character!$B$9+W597)&gt;($D$3+Y597),(Character!$B$9+W597)-($D$3+Y597),0)),Calcs!$A$110:$B$122,2,TRUE))))=Calcs!$B$120,IF(ISBLANK(AC597)," ",CONCATENATE(AC597+7," Years")),IF(AA597=" "," ",IF(NOT(ISBLANK(X597)),VLOOKUP($D$3+X597,Calcs!$A$110:$B$122,2,TRUE),IF(AA597="Failed",VLOOKUP($D$3,Calcs!$A$110:$B$122,2,TRUE),VLOOKUP($D$3-(IF((Character!$B$9+W597)&gt;($D$3+Y597),(Character!$B$9+W597)-($D$3+Y597),0)),Calcs!$A$110:$B$122,2,TRUE)))))</f>
        <v xml:space="preserve"> </v>
      </c>
      <c r="AE597" s="490"/>
      <c r="AF597" s="879"/>
      <c r="AG597" s="491"/>
    </row>
    <row r="598" spans="1:33" x14ac:dyDescent="0.2">
      <c r="A598" s="415">
        <f t="shared" si="16"/>
        <v>1359</v>
      </c>
      <c r="B598" s="419" t="str">
        <f t="shared" si="17"/>
        <v>Summer</v>
      </c>
      <c r="C598" s="455"/>
      <c r="D598" s="504"/>
      <c r="E598" s="455"/>
      <c r="F598" s="504"/>
      <c r="G598" s="455"/>
      <c r="H598" s="504"/>
      <c r="I598" s="455"/>
      <c r="J598" s="504"/>
      <c r="L598" s="472"/>
      <c r="M598" s="468"/>
      <c r="N598" s="468"/>
      <c r="O598" s="468"/>
      <c r="P598" s="468"/>
      <c r="Q598" s="473"/>
      <c r="R598" s="477" t="str">
        <f>IF(AND(COUNTIF('Start Character'!$I$63:$M$77,"Twilight Prone")=1,NOT(ISERROR(FIND("Magical Botch",M598)))),"Yes",IF(P598&gt;1,"Yes","No"))</f>
        <v>No</v>
      </c>
      <c r="S598" s="501"/>
      <c r="T598" s="478"/>
      <c r="U598" s="501"/>
      <c r="V598" s="479" t="str">
        <f>IF(R598="No","No Twilight",IF(T598="Yes","Uncomprehended Twilight",IF((Character!$B$14+IF(Character!$B$53="Yes",0,Character!$B$53)+IF(Magic!$C$5="Yes",2,0)+ROUNDUP((Magic!$B$30+IF(Magic!$C$30="Yes",3,0))/5,0)+S598)&gt;=($D$3+P598+SUMIF(Character!$I$62:$I$66,"Enigmatic Wisdom",Character!$J$62:$J$66)+Q598+U598),"No Twilight","Twilight")))</f>
        <v>No Twilight</v>
      </c>
      <c r="W598" s="483"/>
      <c r="X598" s="478"/>
      <c r="Y598" s="484"/>
      <c r="Z598" s="478"/>
      <c r="AA598" s="485" t="str">
        <f>IF(V598="Uncomprehended Twilight","Failed",IF(OR(ISBLANK(W598),ISBLANK(Y598))," ",IF(NOT(ISBLANK(X598)),"Failed",IF((W598+Character!$B$9+SUMIF(Character!$I$62:$I$66,"Enigmatic Wisdom",Character!$J$62:$J$66))&gt;=IF(Z598="Yes",0,(Y598+D593)),"Succeeded","Failed"))))</f>
        <v xml:space="preserve"> </v>
      </c>
      <c r="AB598" s="477" t="str">
        <f>IF(AA598=" "," ",IF(NOT(ISBLANK(X598)),VLOOKUP($D$3+X598,Calcs!$A$110:$C$122,3,TRUE),IF(AA598="Failed",VLOOKUP($D$3,Calcs!$A$110:$C$122,3,TRUE),VLOOKUP($D$3-(IF((Character!$B$9+W598)&gt;($D$3+Y598),(Character!$B$9+W598)-($D$3+Y598),0)),Calcs!$A$110:$C$122,3,TRUE))))</f>
        <v xml:space="preserve"> </v>
      </c>
      <c r="AC598" s="489"/>
      <c r="AD598" s="489" t="str">
        <f>IF(IF(AA598=" "," ",IF(NOT(ISBLANK(X598)),VLOOKUP($D$3+X598,Calcs!$A$110:$B$122,2,TRUE),IF(AA598="Failed",VLOOKUP($D$3,Calcs!$A$110:$B$122,2,TRUE),VLOOKUP($D$3-(IF((Character!$B$9+W598)&gt;($D$3+Y598),(Character!$B$9+W598)-($D$3+Y598),0)),Calcs!$A$110:$B$122,2,TRUE))))=Calcs!$B$120,IF(ISBLANK(AC598)," ",CONCATENATE(AC598+7," Years")),IF(AA598=" "," ",IF(NOT(ISBLANK(X598)),VLOOKUP($D$3+X598,Calcs!$A$110:$B$122,2,TRUE),IF(AA598="Failed",VLOOKUP($D$3,Calcs!$A$110:$B$122,2,TRUE),VLOOKUP($D$3-(IF((Character!$B$9+W598)&gt;($D$3+Y598),(Character!$B$9+W598)-($D$3+Y598),0)),Calcs!$A$110:$B$122,2,TRUE)))))</f>
        <v xml:space="preserve"> </v>
      </c>
      <c r="AE598" s="490"/>
      <c r="AF598" s="879"/>
      <c r="AG598" s="491"/>
    </row>
    <row r="599" spans="1:33" x14ac:dyDescent="0.2">
      <c r="A599" s="415">
        <f t="shared" si="16"/>
        <v>1359</v>
      </c>
      <c r="B599" s="419" t="str">
        <f t="shared" si="17"/>
        <v>Autumn</v>
      </c>
      <c r="C599" s="455"/>
      <c r="D599" s="504"/>
      <c r="E599" s="455"/>
      <c r="F599" s="504"/>
      <c r="G599" s="455"/>
      <c r="H599" s="504"/>
      <c r="I599" s="455"/>
      <c r="J599" s="504"/>
      <c r="L599" s="472"/>
      <c r="M599" s="468"/>
      <c r="N599" s="468"/>
      <c r="O599" s="468"/>
      <c r="P599" s="468"/>
      <c r="Q599" s="473"/>
      <c r="R599" s="477" t="str">
        <f>IF(AND(COUNTIF('Start Character'!$I$63:$M$77,"Twilight Prone")=1,NOT(ISERROR(FIND("Magical Botch",M599)))),"Yes",IF(P599&gt;1,"Yes","No"))</f>
        <v>No</v>
      </c>
      <c r="S599" s="501"/>
      <c r="T599" s="478"/>
      <c r="U599" s="501"/>
      <c r="V599" s="479" t="str">
        <f>IF(R599="No","No Twilight",IF(T599="Yes","Uncomprehended Twilight",IF((Character!$B$14+IF(Character!$B$53="Yes",0,Character!$B$53)+IF(Magic!$C$5="Yes",2,0)+ROUNDUP((Magic!$B$30+IF(Magic!$C$30="Yes",3,0))/5,0)+S599)&gt;=($D$3+P599+SUMIF(Character!$I$62:$I$66,"Enigmatic Wisdom",Character!$J$62:$J$66)+Q599+U599),"No Twilight","Twilight")))</f>
        <v>No Twilight</v>
      </c>
      <c r="W599" s="483"/>
      <c r="X599" s="478"/>
      <c r="Y599" s="484"/>
      <c r="Z599" s="478"/>
      <c r="AA599" s="485" t="str">
        <f>IF(V599="Uncomprehended Twilight","Failed",IF(OR(ISBLANK(W599),ISBLANK(Y599))," ",IF(NOT(ISBLANK(X599)),"Failed",IF((W599+Character!$B$9+SUMIF(Character!$I$62:$I$66,"Enigmatic Wisdom",Character!$J$62:$J$66))&gt;=IF(Z599="Yes",0,(Y599+D594)),"Succeeded","Failed"))))</f>
        <v xml:space="preserve"> </v>
      </c>
      <c r="AB599" s="477" t="str">
        <f>IF(AA599=" "," ",IF(NOT(ISBLANK(X599)),VLOOKUP($D$3+X599,Calcs!$A$110:$C$122,3,TRUE),IF(AA599="Failed",VLOOKUP($D$3,Calcs!$A$110:$C$122,3,TRUE),VLOOKUP($D$3-(IF((Character!$B$9+W599)&gt;($D$3+Y599),(Character!$B$9+W599)-($D$3+Y599),0)),Calcs!$A$110:$C$122,3,TRUE))))</f>
        <v xml:space="preserve"> </v>
      </c>
      <c r="AC599" s="489"/>
      <c r="AD599" s="489" t="str">
        <f>IF(IF(AA599=" "," ",IF(NOT(ISBLANK(X599)),VLOOKUP($D$3+X599,Calcs!$A$110:$B$122,2,TRUE),IF(AA599="Failed",VLOOKUP($D$3,Calcs!$A$110:$B$122,2,TRUE),VLOOKUP($D$3-(IF((Character!$B$9+W599)&gt;($D$3+Y599),(Character!$B$9+W599)-($D$3+Y599),0)),Calcs!$A$110:$B$122,2,TRUE))))=Calcs!$B$120,IF(ISBLANK(AC599)," ",CONCATENATE(AC599+7," Years")),IF(AA599=" "," ",IF(NOT(ISBLANK(X599)),VLOOKUP($D$3+X599,Calcs!$A$110:$B$122,2,TRUE),IF(AA599="Failed",VLOOKUP($D$3,Calcs!$A$110:$B$122,2,TRUE),VLOOKUP($D$3-(IF((Character!$B$9+W599)&gt;($D$3+Y599),(Character!$B$9+W599)-($D$3+Y599),0)),Calcs!$A$110:$B$122,2,TRUE)))))</f>
        <v xml:space="preserve"> </v>
      </c>
      <c r="AE599" s="490"/>
      <c r="AF599" s="879"/>
      <c r="AG599" s="491"/>
    </row>
    <row r="600" spans="1:33" x14ac:dyDescent="0.2">
      <c r="A600" s="415">
        <f t="shared" si="16"/>
        <v>1360</v>
      </c>
      <c r="B600" s="419" t="str">
        <f t="shared" si="17"/>
        <v>Winter</v>
      </c>
      <c r="C600" s="455"/>
      <c r="D600" s="504"/>
      <c r="E600" s="455"/>
      <c r="F600" s="504"/>
      <c r="G600" s="455"/>
      <c r="H600" s="504"/>
      <c r="I600" s="455"/>
      <c r="J600" s="504"/>
      <c r="L600" s="472"/>
      <c r="M600" s="468"/>
      <c r="N600" s="468"/>
      <c r="O600" s="468"/>
      <c r="P600" s="468"/>
      <c r="Q600" s="473"/>
      <c r="R600" s="477" t="str">
        <f>IF(AND(COUNTIF('Start Character'!$I$63:$M$77,"Twilight Prone")=1,NOT(ISERROR(FIND("Magical Botch",M600)))),"Yes",IF(P600&gt;1,"Yes","No"))</f>
        <v>No</v>
      </c>
      <c r="S600" s="501"/>
      <c r="T600" s="478"/>
      <c r="U600" s="501"/>
      <c r="V600" s="479" t="str">
        <f>IF(R600="No","No Twilight",IF(T600="Yes","Uncomprehended Twilight",IF((Character!$B$14+IF(Character!$B$53="Yes",0,Character!$B$53)+IF(Magic!$C$5="Yes",2,0)+ROUNDUP((Magic!$B$30+IF(Magic!$C$30="Yes",3,0))/5,0)+S600)&gt;=($D$3+P600+SUMIF(Character!$I$62:$I$66,"Enigmatic Wisdom",Character!$J$62:$J$66)+Q600+U600),"No Twilight","Twilight")))</f>
        <v>No Twilight</v>
      </c>
      <c r="W600" s="483"/>
      <c r="X600" s="478"/>
      <c r="Y600" s="484"/>
      <c r="Z600" s="478"/>
      <c r="AA600" s="485" t="str">
        <f>IF(V600="Uncomprehended Twilight","Failed",IF(OR(ISBLANK(W600),ISBLANK(Y600))," ",IF(NOT(ISBLANK(X600)),"Failed",IF((W600+Character!$B$9+SUMIF(Character!$I$62:$I$66,"Enigmatic Wisdom",Character!$J$62:$J$66))&gt;=IF(Z600="Yes",0,(Y600+D595)),"Succeeded","Failed"))))</f>
        <v xml:space="preserve"> </v>
      </c>
      <c r="AB600" s="477" t="str">
        <f>IF(AA600=" "," ",IF(NOT(ISBLANK(X600)),VLOOKUP($D$3+X600,Calcs!$A$110:$C$122,3,TRUE),IF(AA600="Failed",VLOOKUP($D$3,Calcs!$A$110:$C$122,3,TRUE),VLOOKUP($D$3-(IF((Character!$B$9+W600)&gt;($D$3+Y600),(Character!$B$9+W600)-($D$3+Y600),0)),Calcs!$A$110:$C$122,3,TRUE))))</f>
        <v xml:space="preserve"> </v>
      </c>
      <c r="AC600" s="489"/>
      <c r="AD600" s="489" t="str">
        <f>IF(IF(AA600=" "," ",IF(NOT(ISBLANK(X600)),VLOOKUP($D$3+X600,Calcs!$A$110:$B$122,2,TRUE),IF(AA600="Failed",VLOOKUP($D$3,Calcs!$A$110:$B$122,2,TRUE),VLOOKUP($D$3-(IF((Character!$B$9+W600)&gt;($D$3+Y600),(Character!$B$9+W600)-($D$3+Y600),0)),Calcs!$A$110:$B$122,2,TRUE))))=Calcs!$B$120,IF(ISBLANK(AC600)," ",CONCATENATE(AC600+7," Years")),IF(AA600=" "," ",IF(NOT(ISBLANK(X600)),VLOOKUP($D$3+X600,Calcs!$A$110:$B$122,2,TRUE),IF(AA600="Failed",VLOOKUP($D$3,Calcs!$A$110:$B$122,2,TRUE),VLOOKUP($D$3-(IF((Character!$B$9+W600)&gt;($D$3+Y600),(Character!$B$9+W600)-($D$3+Y600),0)),Calcs!$A$110:$B$122,2,TRUE)))))</f>
        <v xml:space="preserve"> </v>
      </c>
      <c r="AE600" s="490"/>
      <c r="AF600" s="879"/>
      <c r="AG600" s="491"/>
    </row>
    <row r="601" spans="1:33" x14ac:dyDescent="0.2">
      <c r="A601" s="415">
        <f t="shared" si="16"/>
        <v>1360</v>
      </c>
      <c r="B601" s="419" t="str">
        <f t="shared" si="17"/>
        <v>Spring</v>
      </c>
      <c r="C601" s="455"/>
      <c r="D601" s="504"/>
      <c r="E601" s="455"/>
      <c r="F601" s="504"/>
      <c r="G601" s="455"/>
      <c r="H601" s="504"/>
      <c r="I601" s="455"/>
      <c r="J601" s="504"/>
      <c r="L601" s="472"/>
      <c r="M601" s="468"/>
      <c r="N601" s="468"/>
      <c r="O601" s="468"/>
      <c r="P601" s="468"/>
      <c r="Q601" s="473"/>
      <c r="R601" s="477" t="str">
        <f>IF(AND(COUNTIF('Start Character'!$I$63:$M$77,"Twilight Prone")=1,NOT(ISERROR(FIND("Magical Botch",M601)))),"Yes",IF(P601&gt;1,"Yes","No"))</f>
        <v>No</v>
      </c>
      <c r="S601" s="501"/>
      <c r="T601" s="478"/>
      <c r="U601" s="501"/>
      <c r="V601" s="479" t="str">
        <f>IF(R601="No","No Twilight",IF(T601="Yes","Uncomprehended Twilight",IF((Character!$B$14+IF(Character!$B$53="Yes",0,Character!$B$53)+IF(Magic!$C$5="Yes",2,0)+ROUNDUP((Magic!$B$30+IF(Magic!$C$30="Yes",3,0))/5,0)+S601)&gt;=($D$3+P601+SUMIF(Character!$I$62:$I$66,"Enigmatic Wisdom",Character!$J$62:$J$66)+Q601+U601),"No Twilight","Twilight")))</f>
        <v>No Twilight</v>
      </c>
      <c r="W601" s="483"/>
      <c r="X601" s="478"/>
      <c r="Y601" s="484"/>
      <c r="Z601" s="478"/>
      <c r="AA601" s="485" t="str">
        <f>IF(V601="Uncomprehended Twilight","Failed",IF(OR(ISBLANK(W601),ISBLANK(Y601))," ",IF(NOT(ISBLANK(X601)),"Failed",IF((W601+Character!$B$9+SUMIF(Character!$I$62:$I$66,"Enigmatic Wisdom",Character!$J$62:$J$66))&gt;=IF(Z601="Yes",0,(Y601+D596)),"Succeeded","Failed"))))</f>
        <v xml:space="preserve"> </v>
      </c>
      <c r="AB601" s="477" t="str">
        <f>IF(AA601=" "," ",IF(NOT(ISBLANK(X601)),VLOOKUP($D$3+X601,Calcs!$A$110:$C$122,3,TRUE),IF(AA601="Failed",VLOOKUP($D$3,Calcs!$A$110:$C$122,3,TRUE),VLOOKUP($D$3-(IF((Character!$B$9+W601)&gt;($D$3+Y601),(Character!$B$9+W601)-($D$3+Y601),0)),Calcs!$A$110:$C$122,3,TRUE))))</f>
        <v xml:space="preserve"> </v>
      </c>
      <c r="AC601" s="489"/>
      <c r="AD601" s="489" t="str">
        <f>IF(IF(AA601=" "," ",IF(NOT(ISBLANK(X601)),VLOOKUP($D$3+X601,Calcs!$A$110:$B$122,2,TRUE),IF(AA601="Failed",VLOOKUP($D$3,Calcs!$A$110:$B$122,2,TRUE),VLOOKUP($D$3-(IF((Character!$B$9+W601)&gt;($D$3+Y601),(Character!$B$9+W601)-($D$3+Y601),0)),Calcs!$A$110:$B$122,2,TRUE))))=Calcs!$B$120,IF(ISBLANK(AC601)," ",CONCATENATE(AC601+7," Years")),IF(AA601=" "," ",IF(NOT(ISBLANK(X601)),VLOOKUP($D$3+X601,Calcs!$A$110:$B$122,2,TRUE),IF(AA601="Failed",VLOOKUP($D$3,Calcs!$A$110:$B$122,2,TRUE),VLOOKUP($D$3-(IF((Character!$B$9+W601)&gt;($D$3+Y601),(Character!$B$9+W601)-($D$3+Y601),0)),Calcs!$A$110:$B$122,2,TRUE)))))</f>
        <v xml:space="preserve"> </v>
      </c>
      <c r="AE601" s="490"/>
      <c r="AF601" s="879"/>
      <c r="AG601" s="491"/>
    </row>
    <row r="602" spans="1:33" x14ac:dyDescent="0.2">
      <c r="A602" s="415">
        <f t="shared" si="16"/>
        <v>1360</v>
      </c>
      <c r="B602" s="419" t="str">
        <f t="shared" si="17"/>
        <v>Summer</v>
      </c>
      <c r="C602" s="455"/>
      <c r="D602" s="504"/>
      <c r="E602" s="455"/>
      <c r="F602" s="504"/>
      <c r="G602" s="455"/>
      <c r="H602" s="504"/>
      <c r="I602" s="455"/>
      <c r="J602" s="504"/>
      <c r="L602" s="472"/>
      <c r="M602" s="468"/>
      <c r="N602" s="468"/>
      <c r="O602" s="468"/>
      <c r="P602" s="468"/>
      <c r="Q602" s="473"/>
      <c r="R602" s="477" t="str">
        <f>IF(AND(COUNTIF('Start Character'!$I$63:$M$77,"Twilight Prone")=1,NOT(ISERROR(FIND("Magical Botch",M602)))),"Yes",IF(P602&gt;1,"Yes","No"))</f>
        <v>No</v>
      </c>
      <c r="S602" s="501"/>
      <c r="T602" s="478"/>
      <c r="U602" s="501"/>
      <c r="V602" s="479" t="str">
        <f>IF(R602="No","No Twilight",IF(T602="Yes","Uncomprehended Twilight",IF((Character!$B$14+IF(Character!$B$53="Yes",0,Character!$B$53)+IF(Magic!$C$5="Yes",2,0)+ROUNDUP((Magic!$B$30+IF(Magic!$C$30="Yes",3,0))/5,0)+S602)&gt;=($D$3+P602+SUMIF(Character!$I$62:$I$66,"Enigmatic Wisdom",Character!$J$62:$J$66)+Q602+U602),"No Twilight","Twilight")))</f>
        <v>No Twilight</v>
      </c>
      <c r="W602" s="483"/>
      <c r="X602" s="478"/>
      <c r="Y602" s="484"/>
      <c r="Z602" s="478"/>
      <c r="AA602" s="485" t="str">
        <f>IF(V602="Uncomprehended Twilight","Failed",IF(OR(ISBLANK(W602),ISBLANK(Y602))," ",IF(NOT(ISBLANK(X602)),"Failed",IF((W602+Character!$B$9+SUMIF(Character!$I$62:$I$66,"Enigmatic Wisdom",Character!$J$62:$J$66))&gt;=IF(Z602="Yes",0,(Y602+D597)),"Succeeded","Failed"))))</f>
        <v xml:space="preserve"> </v>
      </c>
      <c r="AB602" s="477" t="str">
        <f>IF(AA602=" "," ",IF(NOT(ISBLANK(X602)),VLOOKUP($D$3+X602,Calcs!$A$110:$C$122,3,TRUE),IF(AA602="Failed",VLOOKUP($D$3,Calcs!$A$110:$C$122,3,TRUE),VLOOKUP($D$3-(IF((Character!$B$9+W602)&gt;($D$3+Y602),(Character!$B$9+W602)-($D$3+Y602),0)),Calcs!$A$110:$C$122,3,TRUE))))</f>
        <v xml:space="preserve"> </v>
      </c>
      <c r="AC602" s="489"/>
      <c r="AD602" s="489" t="str">
        <f>IF(IF(AA602=" "," ",IF(NOT(ISBLANK(X602)),VLOOKUP($D$3+X602,Calcs!$A$110:$B$122,2,TRUE),IF(AA602="Failed",VLOOKUP($D$3,Calcs!$A$110:$B$122,2,TRUE),VLOOKUP($D$3-(IF((Character!$B$9+W602)&gt;($D$3+Y602),(Character!$B$9+W602)-($D$3+Y602),0)),Calcs!$A$110:$B$122,2,TRUE))))=Calcs!$B$120,IF(ISBLANK(AC602)," ",CONCATENATE(AC602+7," Years")),IF(AA602=" "," ",IF(NOT(ISBLANK(X602)),VLOOKUP($D$3+X602,Calcs!$A$110:$B$122,2,TRUE),IF(AA602="Failed",VLOOKUP($D$3,Calcs!$A$110:$B$122,2,TRUE),VLOOKUP($D$3-(IF((Character!$B$9+W602)&gt;($D$3+Y602),(Character!$B$9+W602)-($D$3+Y602),0)),Calcs!$A$110:$B$122,2,TRUE)))))</f>
        <v xml:space="preserve"> </v>
      </c>
      <c r="AE602" s="490"/>
      <c r="AF602" s="879"/>
      <c r="AG602" s="491"/>
    </row>
    <row r="603" spans="1:33" x14ac:dyDescent="0.2">
      <c r="A603" s="415">
        <f t="shared" si="16"/>
        <v>1360</v>
      </c>
      <c r="B603" s="419" t="str">
        <f t="shared" si="17"/>
        <v>Autumn</v>
      </c>
      <c r="C603" s="455"/>
      <c r="D603" s="504"/>
      <c r="E603" s="455"/>
      <c r="F603" s="504"/>
      <c r="G603" s="455"/>
      <c r="H603" s="504"/>
      <c r="I603" s="455"/>
      <c r="J603" s="504"/>
      <c r="L603" s="472"/>
      <c r="M603" s="468"/>
      <c r="N603" s="468"/>
      <c r="O603" s="468"/>
      <c r="P603" s="468"/>
      <c r="Q603" s="473"/>
      <c r="R603" s="477" t="str">
        <f>IF(AND(COUNTIF('Start Character'!$I$63:$M$77,"Twilight Prone")=1,NOT(ISERROR(FIND("Magical Botch",M603)))),"Yes",IF(P603&gt;1,"Yes","No"))</f>
        <v>No</v>
      </c>
      <c r="S603" s="501"/>
      <c r="T603" s="478"/>
      <c r="U603" s="501"/>
      <c r="V603" s="479" t="str">
        <f>IF(R603="No","No Twilight",IF(T603="Yes","Uncomprehended Twilight",IF((Character!$B$14+IF(Character!$B$53="Yes",0,Character!$B$53)+IF(Magic!$C$5="Yes",2,0)+ROUNDUP((Magic!$B$30+IF(Magic!$C$30="Yes",3,0))/5,0)+S603)&gt;=($D$3+P603+SUMIF(Character!$I$62:$I$66,"Enigmatic Wisdom",Character!$J$62:$J$66)+Q603+U603),"No Twilight","Twilight")))</f>
        <v>No Twilight</v>
      </c>
      <c r="W603" s="483"/>
      <c r="X603" s="478"/>
      <c r="Y603" s="484"/>
      <c r="Z603" s="478"/>
      <c r="AA603" s="485" t="str">
        <f>IF(V603="Uncomprehended Twilight","Failed",IF(OR(ISBLANK(W603),ISBLANK(Y603))," ",IF(NOT(ISBLANK(X603)),"Failed",IF((W603+Character!$B$9+SUMIF(Character!$I$62:$I$66,"Enigmatic Wisdom",Character!$J$62:$J$66))&gt;=IF(Z603="Yes",0,(Y603+D598)),"Succeeded","Failed"))))</f>
        <v xml:space="preserve"> </v>
      </c>
      <c r="AB603" s="477" t="str">
        <f>IF(AA603=" "," ",IF(NOT(ISBLANK(X603)),VLOOKUP($D$3+X603,Calcs!$A$110:$C$122,3,TRUE),IF(AA603="Failed",VLOOKUP($D$3,Calcs!$A$110:$C$122,3,TRUE),VLOOKUP($D$3-(IF((Character!$B$9+W603)&gt;($D$3+Y603),(Character!$B$9+W603)-($D$3+Y603),0)),Calcs!$A$110:$C$122,3,TRUE))))</f>
        <v xml:space="preserve"> </v>
      </c>
      <c r="AC603" s="489"/>
      <c r="AD603" s="489" t="str">
        <f>IF(IF(AA603=" "," ",IF(NOT(ISBLANK(X603)),VLOOKUP($D$3+X603,Calcs!$A$110:$B$122,2,TRUE),IF(AA603="Failed",VLOOKUP($D$3,Calcs!$A$110:$B$122,2,TRUE),VLOOKUP($D$3-(IF((Character!$B$9+W603)&gt;($D$3+Y603),(Character!$B$9+W603)-($D$3+Y603),0)),Calcs!$A$110:$B$122,2,TRUE))))=Calcs!$B$120,IF(ISBLANK(AC603)," ",CONCATENATE(AC603+7," Years")),IF(AA603=" "," ",IF(NOT(ISBLANK(X603)),VLOOKUP($D$3+X603,Calcs!$A$110:$B$122,2,TRUE),IF(AA603="Failed",VLOOKUP($D$3,Calcs!$A$110:$B$122,2,TRUE),VLOOKUP($D$3-(IF((Character!$B$9+W603)&gt;($D$3+Y603),(Character!$B$9+W603)-($D$3+Y603),0)),Calcs!$A$110:$B$122,2,TRUE)))))</f>
        <v xml:space="preserve"> </v>
      </c>
      <c r="AE603" s="490"/>
      <c r="AF603" s="879"/>
      <c r="AG603" s="491"/>
    </row>
    <row r="604" spans="1:33" x14ac:dyDescent="0.2">
      <c r="A604" s="415">
        <f t="shared" si="16"/>
        <v>1361</v>
      </c>
      <c r="B604" s="419" t="str">
        <f t="shared" si="17"/>
        <v>Winter</v>
      </c>
      <c r="C604" s="455"/>
      <c r="D604" s="504"/>
      <c r="E604" s="455"/>
      <c r="F604" s="504"/>
      <c r="G604" s="455"/>
      <c r="H604" s="504"/>
      <c r="I604" s="455"/>
      <c r="J604" s="504"/>
      <c r="L604" s="472"/>
      <c r="M604" s="468"/>
      <c r="N604" s="468"/>
      <c r="O604" s="468"/>
      <c r="P604" s="468"/>
      <c r="Q604" s="473"/>
      <c r="R604" s="477" t="str">
        <f>IF(AND(COUNTIF('Start Character'!$I$63:$M$77,"Twilight Prone")=1,NOT(ISERROR(FIND("Magical Botch",M604)))),"Yes",IF(P604&gt;1,"Yes","No"))</f>
        <v>No</v>
      </c>
      <c r="S604" s="501"/>
      <c r="T604" s="478"/>
      <c r="U604" s="501"/>
      <c r="V604" s="479" t="str">
        <f>IF(R604="No","No Twilight",IF(T604="Yes","Uncomprehended Twilight",IF((Character!$B$14+IF(Character!$B$53="Yes",0,Character!$B$53)+IF(Magic!$C$5="Yes",2,0)+ROUNDUP((Magic!$B$30+IF(Magic!$C$30="Yes",3,0))/5,0)+S604)&gt;=($D$3+P604+SUMIF(Character!$I$62:$I$66,"Enigmatic Wisdom",Character!$J$62:$J$66)+Q604+U604),"No Twilight","Twilight")))</f>
        <v>No Twilight</v>
      </c>
      <c r="W604" s="483"/>
      <c r="X604" s="478"/>
      <c r="Y604" s="484"/>
      <c r="Z604" s="478"/>
      <c r="AA604" s="485" t="str">
        <f>IF(V604="Uncomprehended Twilight","Failed",IF(OR(ISBLANK(W604),ISBLANK(Y604))," ",IF(NOT(ISBLANK(X604)),"Failed",IF((W604+Character!$B$9+SUMIF(Character!$I$62:$I$66,"Enigmatic Wisdom",Character!$J$62:$J$66))&gt;=IF(Z604="Yes",0,(Y604+D599)),"Succeeded","Failed"))))</f>
        <v xml:space="preserve"> </v>
      </c>
      <c r="AB604" s="477" t="str">
        <f>IF(AA604=" "," ",IF(NOT(ISBLANK(X604)),VLOOKUP($D$3+X604,Calcs!$A$110:$C$122,3,TRUE),IF(AA604="Failed",VLOOKUP($D$3,Calcs!$A$110:$C$122,3,TRUE),VLOOKUP($D$3-(IF((Character!$B$9+W604)&gt;($D$3+Y604),(Character!$B$9+W604)-($D$3+Y604),0)),Calcs!$A$110:$C$122,3,TRUE))))</f>
        <v xml:space="preserve"> </v>
      </c>
      <c r="AC604" s="489"/>
      <c r="AD604" s="489" t="str">
        <f>IF(IF(AA604=" "," ",IF(NOT(ISBLANK(X604)),VLOOKUP($D$3+X604,Calcs!$A$110:$B$122,2,TRUE),IF(AA604="Failed",VLOOKUP($D$3,Calcs!$A$110:$B$122,2,TRUE),VLOOKUP($D$3-(IF((Character!$B$9+W604)&gt;($D$3+Y604),(Character!$B$9+W604)-($D$3+Y604),0)),Calcs!$A$110:$B$122,2,TRUE))))=Calcs!$B$120,IF(ISBLANK(AC604)," ",CONCATENATE(AC604+7," Years")),IF(AA604=" "," ",IF(NOT(ISBLANK(X604)),VLOOKUP($D$3+X604,Calcs!$A$110:$B$122,2,TRUE),IF(AA604="Failed",VLOOKUP($D$3,Calcs!$A$110:$B$122,2,TRUE),VLOOKUP($D$3-(IF((Character!$B$9+W604)&gt;($D$3+Y604),(Character!$B$9+W604)-($D$3+Y604),0)),Calcs!$A$110:$B$122,2,TRUE)))))</f>
        <v xml:space="preserve"> </v>
      </c>
      <c r="AE604" s="490"/>
      <c r="AF604" s="879"/>
      <c r="AG604" s="491"/>
    </row>
    <row r="605" spans="1:33" x14ac:dyDescent="0.2">
      <c r="A605" s="415">
        <f t="shared" ref="A605:A668" si="18">IF(B604="Autumn",A604+1,A604)</f>
        <v>1361</v>
      </c>
      <c r="B605" s="419" t="str">
        <f t="shared" ref="B605:B668" si="19">IF(B604="spring","Summer",IF(B604="Summer","Autumn",IF(B604="Autumn","Winter",IF(B604="Winter","Spring"," "))))</f>
        <v>Spring</v>
      </c>
      <c r="C605" s="455"/>
      <c r="D605" s="504"/>
      <c r="E605" s="455"/>
      <c r="F605" s="504"/>
      <c r="G605" s="455"/>
      <c r="H605" s="504"/>
      <c r="I605" s="455"/>
      <c r="J605" s="504"/>
      <c r="L605" s="472"/>
      <c r="M605" s="468"/>
      <c r="N605" s="468"/>
      <c r="O605" s="468"/>
      <c r="P605" s="468"/>
      <c r="Q605" s="473"/>
      <c r="R605" s="477" t="str">
        <f>IF(AND(COUNTIF('Start Character'!$I$63:$M$77,"Twilight Prone")=1,NOT(ISERROR(FIND("Magical Botch",M605)))),"Yes",IF(P605&gt;1,"Yes","No"))</f>
        <v>No</v>
      </c>
      <c r="S605" s="501"/>
      <c r="T605" s="478"/>
      <c r="U605" s="501"/>
      <c r="V605" s="479" t="str">
        <f>IF(R605="No","No Twilight",IF(T605="Yes","Uncomprehended Twilight",IF((Character!$B$14+IF(Character!$B$53="Yes",0,Character!$B$53)+IF(Magic!$C$5="Yes",2,0)+ROUNDUP((Magic!$B$30+IF(Magic!$C$30="Yes",3,0))/5,0)+S605)&gt;=($D$3+P605+SUMIF(Character!$I$62:$I$66,"Enigmatic Wisdom",Character!$J$62:$J$66)+Q605+U605),"No Twilight","Twilight")))</f>
        <v>No Twilight</v>
      </c>
      <c r="W605" s="483"/>
      <c r="X605" s="478"/>
      <c r="Y605" s="484"/>
      <c r="Z605" s="478"/>
      <c r="AA605" s="485" t="str">
        <f>IF(V605="Uncomprehended Twilight","Failed",IF(OR(ISBLANK(W605),ISBLANK(Y605))," ",IF(NOT(ISBLANK(X605)),"Failed",IF((W605+Character!$B$9+SUMIF(Character!$I$62:$I$66,"Enigmatic Wisdom",Character!$J$62:$J$66))&gt;=IF(Z605="Yes",0,(Y605+D600)),"Succeeded","Failed"))))</f>
        <v xml:space="preserve"> </v>
      </c>
      <c r="AB605" s="477" t="str">
        <f>IF(AA605=" "," ",IF(NOT(ISBLANK(X605)),VLOOKUP($D$3+X605,Calcs!$A$110:$C$122,3,TRUE),IF(AA605="Failed",VLOOKUP($D$3,Calcs!$A$110:$C$122,3,TRUE),VLOOKUP($D$3-(IF((Character!$B$9+W605)&gt;($D$3+Y605),(Character!$B$9+W605)-($D$3+Y605),0)),Calcs!$A$110:$C$122,3,TRUE))))</f>
        <v xml:space="preserve"> </v>
      </c>
      <c r="AC605" s="489"/>
      <c r="AD605" s="489" t="str">
        <f>IF(IF(AA605=" "," ",IF(NOT(ISBLANK(X605)),VLOOKUP($D$3+X605,Calcs!$A$110:$B$122,2,TRUE),IF(AA605="Failed",VLOOKUP($D$3,Calcs!$A$110:$B$122,2,TRUE),VLOOKUP($D$3-(IF((Character!$B$9+W605)&gt;($D$3+Y605),(Character!$B$9+W605)-($D$3+Y605),0)),Calcs!$A$110:$B$122,2,TRUE))))=Calcs!$B$120,IF(ISBLANK(AC605)," ",CONCATENATE(AC605+7," Years")),IF(AA605=" "," ",IF(NOT(ISBLANK(X605)),VLOOKUP($D$3+X605,Calcs!$A$110:$B$122,2,TRUE),IF(AA605="Failed",VLOOKUP($D$3,Calcs!$A$110:$B$122,2,TRUE),VLOOKUP($D$3-(IF((Character!$B$9+W605)&gt;($D$3+Y605),(Character!$B$9+W605)-($D$3+Y605),0)),Calcs!$A$110:$B$122,2,TRUE)))))</f>
        <v xml:space="preserve"> </v>
      </c>
      <c r="AE605" s="490"/>
      <c r="AF605" s="879"/>
      <c r="AG605" s="491"/>
    </row>
    <row r="606" spans="1:33" x14ac:dyDescent="0.2">
      <c r="A606" s="415">
        <f t="shared" si="18"/>
        <v>1361</v>
      </c>
      <c r="B606" s="419" t="str">
        <f t="shared" si="19"/>
        <v>Summer</v>
      </c>
      <c r="C606" s="455"/>
      <c r="D606" s="504"/>
      <c r="E606" s="455"/>
      <c r="F606" s="504"/>
      <c r="G606" s="455"/>
      <c r="H606" s="504"/>
      <c r="I606" s="455"/>
      <c r="J606" s="504"/>
      <c r="L606" s="472"/>
      <c r="M606" s="468"/>
      <c r="N606" s="468"/>
      <c r="O606" s="468"/>
      <c r="P606" s="468"/>
      <c r="Q606" s="473"/>
      <c r="R606" s="477" t="str">
        <f>IF(AND(COUNTIF('Start Character'!$I$63:$M$77,"Twilight Prone")=1,NOT(ISERROR(FIND("Magical Botch",M606)))),"Yes",IF(P606&gt;1,"Yes","No"))</f>
        <v>No</v>
      </c>
      <c r="S606" s="501"/>
      <c r="T606" s="478"/>
      <c r="U606" s="501"/>
      <c r="V606" s="479" t="str">
        <f>IF(R606="No","No Twilight",IF(T606="Yes","Uncomprehended Twilight",IF((Character!$B$14+IF(Character!$B$53="Yes",0,Character!$B$53)+IF(Magic!$C$5="Yes",2,0)+ROUNDUP((Magic!$B$30+IF(Magic!$C$30="Yes",3,0))/5,0)+S606)&gt;=($D$3+P606+SUMIF(Character!$I$62:$I$66,"Enigmatic Wisdom",Character!$J$62:$J$66)+Q606+U606),"No Twilight","Twilight")))</f>
        <v>No Twilight</v>
      </c>
      <c r="W606" s="483"/>
      <c r="X606" s="478"/>
      <c r="Y606" s="484"/>
      <c r="Z606" s="478"/>
      <c r="AA606" s="485" t="str">
        <f>IF(V606="Uncomprehended Twilight","Failed",IF(OR(ISBLANK(W606),ISBLANK(Y606))," ",IF(NOT(ISBLANK(X606)),"Failed",IF((W606+Character!$B$9+SUMIF(Character!$I$62:$I$66,"Enigmatic Wisdom",Character!$J$62:$J$66))&gt;=IF(Z606="Yes",0,(Y606+D601)),"Succeeded","Failed"))))</f>
        <v xml:space="preserve"> </v>
      </c>
      <c r="AB606" s="477" t="str">
        <f>IF(AA606=" "," ",IF(NOT(ISBLANK(X606)),VLOOKUP($D$3+X606,Calcs!$A$110:$C$122,3,TRUE),IF(AA606="Failed",VLOOKUP($D$3,Calcs!$A$110:$C$122,3,TRUE),VLOOKUP($D$3-(IF((Character!$B$9+W606)&gt;($D$3+Y606),(Character!$B$9+W606)-($D$3+Y606),0)),Calcs!$A$110:$C$122,3,TRUE))))</f>
        <v xml:space="preserve"> </v>
      </c>
      <c r="AC606" s="489"/>
      <c r="AD606" s="489" t="str">
        <f>IF(IF(AA606=" "," ",IF(NOT(ISBLANK(X606)),VLOOKUP($D$3+X606,Calcs!$A$110:$B$122,2,TRUE),IF(AA606="Failed",VLOOKUP($D$3,Calcs!$A$110:$B$122,2,TRUE),VLOOKUP($D$3-(IF((Character!$B$9+W606)&gt;($D$3+Y606),(Character!$B$9+W606)-($D$3+Y606),0)),Calcs!$A$110:$B$122,2,TRUE))))=Calcs!$B$120,IF(ISBLANK(AC606)," ",CONCATENATE(AC606+7," Years")),IF(AA606=" "," ",IF(NOT(ISBLANK(X606)),VLOOKUP($D$3+X606,Calcs!$A$110:$B$122,2,TRUE),IF(AA606="Failed",VLOOKUP($D$3,Calcs!$A$110:$B$122,2,TRUE),VLOOKUP($D$3-(IF((Character!$B$9+W606)&gt;($D$3+Y606),(Character!$B$9+W606)-($D$3+Y606),0)),Calcs!$A$110:$B$122,2,TRUE)))))</f>
        <v xml:space="preserve"> </v>
      </c>
      <c r="AE606" s="490"/>
      <c r="AF606" s="879"/>
      <c r="AG606" s="491"/>
    </row>
    <row r="607" spans="1:33" x14ac:dyDescent="0.2">
      <c r="A607" s="415">
        <f t="shared" si="18"/>
        <v>1361</v>
      </c>
      <c r="B607" s="419" t="str">
        <f t="shared" si="19"/>
        <v>Autumn</v>
      </c>
      <c r="C607" s="455"/>
      <c r="D607" s="504"/>
      <c r="E607" s="455"/>
      <c r="F607" s="504"/>
      <c r="G607" s="455"/>
      <c r="H607" s="504"/>
      <c r="I607" s="455"/>
      <c r="J607" s="504"/>
      <c r="L607" s="472"/>
      <c r="M607" s="468"/>
      <c r="N607" s="468"/>
      <c r="O607" s="468"/>
      <c r="P607" s="468"/>
      <c r="Q607" s="473"/>
      <c r="R607" s="477" t="str">
        <f>IF(AND(COUNTIF('Start Character'!$I$63:$M$77,"Twilight Prone")=1,NOT(ISERROR(FIND("Magical Botch",M607)))),"Yes",IF(P607&gt;1,"Yes","No"))</f>
        <v>No</v>
      </c>
      <c r="S607" s="501"/>
      <c r="T607" s="478"/>
      <c r="U607" s="501"/>
      <c r="V607" s="479" t="str">
        <f>IF(R607="No","No Twilight",IF(T607="Yes","Uncomprehended Twilight",IF((Character!$B$14+IF(Character!$B$53="Yes",0,Character!$B$53)+IF(Magic!$C$5="Yes",2,0)+ROUNDUP((Magic!$B$30+IF(Magic!$C$30="Yes",3,0))/5,0)+S607)&gt;=($D$3+P607+SUMIF(Character!$I$62:$I$66,"Enigmatic Wisdom",Character!$J$62:$J$66)+Q607+U607),"No Twilight","Twilight")))</f>
        <v>No Twilight</v>
      </c>
      <c r="W607" s="483"/>
      <c r="X607" s="478"/>
      <c r="Y607" s="484"/>
      <c r="Z607" s="478"/>
      <c r="AA607" s="485" t="str">
        <f>IF(V607="Uncomprehended Twilight","Failed",IF(OR(ISBLANK(W607),ISBLANK(Y607))," ",IF(NOT(ISBLANK(X607)),"Failed",IF((W607+Character!$B$9+SUMIF(Character!$I$62:$I$66,"Enigmatic Wisdom",Character!$J$62:$J$66))&gt;=IF(Z607="Yes",0,(Y607+D602)),"Succeeded","Failed"))))</f>
        <v xml:space="preserve"> </v>
      </c>
      <c r="AB607" s="477" t="str">
        <f>IF(AA607=" "," ",IF(NOT(ISBLANK(X607)),VLOOKUP($D$3+X607,Calcs!$A$110:$C$122,3,TRUE),IF(AA607="Failed",VLOOKUP($D$3,Calcs!$A$110:$C$122,3,TRUE),VLOOKUP($D$3-(IF((Character!$B$9+W607)&gt;($D$3+Y607),(Character!$B$9+W607)-($D$3+Y607),0)),Calcs!$A$110:$C$122,3,TRUE))))</f>
        <v xml:space="preserve"> </v>
      </c>
      <c r="AC607" s="489"/>
      <c r="AD607" s="489" t="str">
        <f>IF(IF(AA607=" "," ",IF(NOT(ISBLANK(X607)),VLOOKUP($D$3+X607,Calcs!$A$110:$B$122,2,TRUE),IF(AA607="Failed",VLOOKUP($D$3,Calcs!$A$110:$B$122,2,TRUE),VLOOKUP($D$3-(IF((Character!$B$9+W607)&gt;($D$3+Y607),(Character!$B$9+W607)-($D$3+Y607),0)),Calcs!$A$110:$B$122,2,TRUE))))=Calcs!$B$120,IF(ISBLANK(AC607)," ",CONCATENATE(AC607+7," Years")),IF(AA607=" "," ",IF(NOT(ISBLANK(X607)),VLOOKUP($D$3+X607,Calcs!$A$110:$B$122,2,TRUE),IF(AA607="Failed",VLOOKUP($D$3,Calcs!$A$110:$B$122,2,TRUE),VLOOKUP($D$3-(IF((Character!$B$9+W607)&gt;($D$3+Y607),(Character!$B$9+W607)-($D$3+Y607),0)),Calcs!$A$110:$B$122,2,TRUE)))))</f>
        <v xml:space="preserve"> </v>
      </c>
      <c r="AE607" s="490"/>
      <c r="AF607" s="879"/>
      <c r="AG607" s="491"/>
    </row>
    <row r="608" spans="1:33" x14ac:dyDescent="0.2">
      <c r="A608" s="415">
        <f t="shared" si="18"/>
        <v>1362</v>
      </c>
      <c r="B608" s="419" t="str">
        <f t="shared" si="19"/>
        <v>Winter</v>
      </c>
      <c r="C608" s="455"/>
      <c r="D608" s="504"/>
      <c r="E608" s="455"/>
      <c r="F608" s="504"/>
      <c r="G608" s="455"/>
      <c r="H608" s="504"/>
      <c r="I608" s="455"/>
      <c r="J608" s="504"/>
      <c r="L608" s="472"/>
      <c r="M608" s="468"/>
      <c r="N608" s="468"/>
      <c r="O608" s="468"/>
      <c r="P608" s="468"/>
      <c r="Q608" s="473"/>
      <c r="R608" s="477" t="str">
        <f>IF(AND(COUNTIF('Start Character'!$I$63:$M$77,"Twilight Prone")=1,NOT(ISERROR(FIND("Magical Botch",M608)))),"Yes",IF(P608&gt;1,"Yes","No"))</f>
        <v>No</v>
      </c>
      <c r="S608" s="501"/>
      <c r="T608" s="478"/>
      <c r="U608" s="501"/>
      <c r="V608" s="479" t="str">
        <f>IF(R608="No","No Twilight",IF(T608="Yes","Uncomprehended Twilight",IF((Character!$B$14+IF(Character!$B$53="Yes",0,Character!$B$53)+IF(Magic!$C$5="Yes",2,0)+ROUNDUP((Magic!$B$30+IF(Magic!$C$30="Yes",3,0))/5,0)+S608)&gt;=($D$3+P608+SUMIF(Character!$I$62:$I$66,"Enigmatic Wisdom",Character!$J$62:$J$66)+Q608+U608),"No Twilight","Twilight")))</f>
        <v>No Twilight</v>
      </c>
      <c r="W608" s="483"/>
      <c r="X608" s="478"/>
      <c r="Y608" s="484"/>
      <c r="Z608" s="478"/>
      <c r="AA608" s="485" t="str">
        <f>IF(V608="Uncomprehended Twilight","Failed",IF(OR(ISBLANK(W608),ISBLANK(Y608))," ",IF(NOT(ISBLANK(X608)),"Failed",IF((W608+Character!$B$9+SUMIF(Character!$I$62:$I$66,"Enigmatic Wisdom",Character!$J$62:$J$66))&gt;=IF(Z608="Yes",0,(Y608+D603)),"Succeeded","Failed"))))</f>
        <v xml:space="preserve"> </v>
      </c>
      <c r="AB608" s="477" t="str">
        <f>IF(AA608=" "," ",IF(NOT(ISBLANK(X608)),VLOOKUP($D$3+X608,Calcs!$A$110:$C$122,3,TRUE),IF(AA608="Failed",VLOOKUP($D$3,Calcs!$A$110:$C$122,3,TRUE),VLOOKUP($D$3-(IF((Character!$B$9+W608)&gt;($D$3+Y608),(Character!$B$9+W608)-($D$3+Y608),0)),Calcs!$A$110:$C$122,3,TRUE))))</f>
        <v xml:space="preserve"> </v>
      </c>
      <c r="AC608" s="489"/>
      <c r="AD608" s="489" t="str">
        <f>IF(IF(AA608=" "," ",IF(NOT(ISBLANK(X608)),VLOOKUP($D$3+X608,Calcs!$A$110:$B$122,2,TRUE),IF(AA608="Failed",VLOOKUP($D$3,Calcs!$A$110:$B$122,2,TRUE),VLOOKUP($D$3-(IF((Character!$B$9+W608)&gt;($D$3+Y608),(Character!$B$9+W608)-($D$3+Y608),0)),Calcs!$A$110:$B$122,2,TRUE))))=Calcs!$B$120,IF(ISBLANK(AC608)," ",CONCATENATE(AC608+7," Years")),IF(AA608=" "," ",IF(NOT(ISBLANK(X608)),VLOOKUP($D$3+X608,Calcs!$A$110:$B$122,2,TRUE),IF(AA608="Failed",VLOOKUP($D$3,Calcs!$A$110:$B$122,2,TRUE),VLOOKUP($D$3-(IF((Character!$B$9+W608)&gt;($D$3+Y608),(Character!$B$9+W608)-($D$3+Y608),0)),Calcs!$A$110:$B$122,2,TRUE)))))</f>
        <v xml:space="preserve"> </v>
      </c>
      <c r="AE608" s="490"/>
      <c r="AF608" s="879"/>
      <c r="AG608" s="491"/>
    </row>
    <row r="609" spans="1:33" x14ac:dyDescent="0.2">
      <c r="A609" s="415">
        <f t="shared" si="18"/>
        <v>1362</v>
      </c>
      <c r="B609" s="419" t="str">
        <f t="shared" si="19"/>
        <v>Spring</v>
      </c>
      <c r="C609" s="455"/>
      <c r="D609" s="504"/>
      <c r="E609" s="455"/>
      <c r="F609" s="504"/>
      <c r="G609" s="455"/>
      <c r="H609" s="504"/>
      <c r="I609" s="455"/>
      <c r="J609" s="504"/>
      <c r="L609" s="472"/>
      <c r="M609" s="468"/>
      <c r="N609" s="468"/>
      <c r="O609" s="468"/>
      <c r="P609" s="468"/>
      <c r="Q609" s="473"/>
      <c r="R609" s="477" t="str">
        <f>IF(AND(COUNTIF('Start Character'!$I$63:$M$77,"Twilight Prone")=1,NOT(ISERROR(FIND("Magical Botch",M609)))),"Yes",IF(P609&gt;1,"Yes","No"))</f>
        <v>No</v>
      </c>
      <c r="S609" s="501"/>
      <c r="T609" s="478"/>
      <c r="U609" s="501"/>
      <c r="V609" s="479" t="str">
        <f>IF(R609="No","No Twilight",IF(T609="Yes","Uncomprehended Twilight",IF((Character!$B$14+IF(Character!$B$53="Yes",0,Character!$B$53)+IF(Magic!$C$5="Yes",2,0)+ROUNDUP((Magic!$B$30+IF(Magic!$C$30="Yes",3,0))/5,0)+S609)&gt;=($D$3+P609+SUMIF(Character!$I$62:$I$66,"Enigmatic Wisdom",Character!$J$62:$J$66)+Q609+U609),"No Twilight","Twilight")))</f>
        <v>No Twilight</v>
      </c>
      <c r="W609" s="483"/>
      <c r="X609" s="478"/>
      <c r="Y609" s="484"/>
      <c r="Z609" s="478"/>
      <c r="AA609" s="485" t="str">
        <f>IF(V609="Uncomprehended Twilight","Failed",IF(OR(ISBLANK(W609),ISBLANK(Y609))," ",IF(NOT(ISBLANK(X609)),"Failed",IF((W609+Character!$B$9+SUMIF(Character!$I$62:$I$66,"Enigmatic Wisdom",Character!$J$62:$J$66))&gt;=IF(Z609="Yes",0,(Y609+D604)),"Succeeded","Failed"))))</f>
        <v xml:space="preserve"> </v>
      </c>
      <c r="AB609" s="477" t="str">
        <f>IF(AA609=" "," ",IF(NOT(ISBLANK(X609)),VLOOKUP($D$3+X609,Calcs!$A$110:$C$122,3,TRUE),IF(AA609="Failed",VLOOKUP($D$3,Calcs!$A$110:$C$122,3,TRUE),VLOOKUP($D$3-(IF((Character!$B$9+W609)&gt;($D$3+Y609),(Character!$B$9+W609)-($D$3+Y609),0)),Calcs!$A$110:$C$122,3,TRUE))))</f>
        <v xml:space="preserve"> </v>
      </c>
      <c r="AC609" s="489"/>
      <c r="AD609" s="489" t="str">
        <f>IF(IF(AA609=" "," ",IF(NOT(ISBLANK(X609)),VLOOKUP($D$3+X609,Calcs!$A$110:$B$122,2,TRUE),IF(AA609="Failed",VLOOKUP($D$3,Calcs!$A$110:$B$122,2,TRUE),VLOOKUP($D$3-(IF((Character!$B$9+W609)&gt;($D$3+Y609),(Character!$B$9+W609)-($D$3+Y609),0)),Calcs!$A$110:$B$122,2,TRUE))))=Calcs!$B$120,IF(ISBLANK(AC609)," ",CONCATENATE(AC609+7," Years")),IF(AA609=" "," ",IF(NOT(ISBLANK(X609)),VLOOKUP($D$3+X609,Calcs!$A$110:$B$122,2,TRUE),IF(AA609="Failed",VLOOKUP($D$3,Calcs!$A$110:$B$122,2,TRUE),VLOOKUP($D$3-(IF((Character!$B$9+W609)&gt;($D$3+Y609),(Character!$B$9+W609)-($D$3+Y609),0)),Calcs!$A$110:$B$122,2,TRUE)))))</f>
        <v xml:space="preserve"> </v>
      </c>
      <c r="AE609" s="490"/>
      <c r="AF609" s="879"/>
      <c r="AG609" s="491"/>
    </row>
    <row r="610" spans="1:33" x14ac:dyDescent="0.2">
      <c r="A610" s="415">
        <f t="shared" si="18"/>
        <v>1362</v>
      </c>
      <c r="B610" s="419" t="str">
        <f t="shared" si="19"/>
        <v>Summer</v>
      </c>
      <c r="C610" s="455"/>
      <c r="D610" s="504"/>
      <c r="E610" s="455"/>
      <c r="F610" s="504"/>
      <c r="G610" s="455"/>
      <c r="H610" s="504"/>
      <c r="I610" s="455"/>
      <c r="J610" s="504"/>
      <c r="L610" s="472"/>
      <c r="M610" s="468"/>
      <c r="N610" s="468"/>
      <c r="O610" s="468"/>
      <c r="P610" s="468"/>
      <c r="Q610" s="473"/>
      <c r="R610" s="477" t="str">
        <f>IF(AND(COUNTIF('Start Character'!$I$63:$M$77,"Twilight Prone")=1,NOT(ISERROR(FIND("Magical Botch",M610)))),"Yes",IF(P610&gt;1,"Yes","No"))</f>
        <v>No</v>
      </c>
      <c r="S610" s="501"/>
      <c r="T610" s="478"/>
      <c r="U610" s="501"/>
      <c r="V610" s="479" t="str">
        <f>IF(R610="No","No Twilight",IF(T610="Yes","Uncomprehended Twilight",IF((Character!$B$14+IF(Character!$B$53="Yes",0,Character!$B$53)+IF(Magic!$C$5="Yes",2,0)+ROUNDUP((Magic!$B$30+IF(Magic!$C$30="Yes",3,0))/5,0)+S610)&gt;=($D$3+P610+SUMIF(Character!$I$62:$I$66,"Enigmatic Wisdom",Character!$J$62:$J$66)+Q610+U610),"No Twilight","Twilight")))</f>
        <v>No Twilight</v>
      </c>
      <c r="W610" s="483"/>
      <c r="X610" s="478"/>
      <c r="Y610" s="484"/>
      <c r="Z610" s="478"/>
      <c r="AA610" s="485" t="str">
        <f>IF(V610="Uncomprehended Twilight","Failed",IF(OR(ISBLANK(W610),ISBLANK(Y610))," ",IF(NOT(ISBLANK(X610)),"Failed",IF((W610+Character!$B$9+SUMIF(Character!$I$62:$I$66,"Enigmatic Wisdom",Character!$J$62:$J$66))&gt;=IF(Z610="Yes",0,(Y610+D605)),"Succeeded","Failed"))))</f>
        <v xml:space="preserve"> </v>
      </c>
      <c r="AB610" s="477" t="str">
        <f>IF(AA610=" "," ",IF(NOT(ISBLANK(X610)),VLOOKUP($D$3+X610,Calcs!$A$110:$C$122,3,TRUE),IF(AA610="Failed",VLOOKUP($D$3,Calcs!$A$110:$C$122,3,TRUE),VLOOKUP($D$3-(IF((Character!$B$9+W610)&gt;($D$3+Y610),(Character!$B$9+W610)-($D$3+Y610),0)),Calcs!$A$110:$C$122,3,TRUE))))</f>
        <v xml:space="preserve"> </v>
      </c>
      <c r="AC610" s="489"/>
      <c r="AD610" s="489" t="str">
        <f>IF(IF(AA610=" "," ",IF(NOT(ISBLANK(X610)),VLOOKUP($D$3+X610,Calcs!$A$110:$B$122,2,TRUE),IF(AA610="Failed",VLOOKUP($D$3,Calcs!$A$110:$B$122,2,TRUE),VLOOKUP($D$3-(IF((Character!$B$9+W610)&gt;($D$3+Y610),(Character!$B$9+W610)-($D$3+Y610),0)),Calcs!$A$110:$B$122,2,TRUE))))=Calcs!$B$120,IF(ISBLANK(AC610)," ",CONCATENATE(AC610+7," Years")),IF(AA610=" "," ",IF(NOT(ISBLANK(X610)),VLOOKUP($D$3+X610,Calcs!$A$110:$B$122,2,TRUE),IF(AA610="Failed",VLOOKUP($D$3,Calcs!$A$110:$B$122,2,TRUE),VLOOKUP($D$3-(IF((Character!$B$9+W610)&gt;($D$3+Y610),(Character!$B$9+W610)-($D$3+Y610),0)),Calcs!$A$110:$B$122,2,TRUE)))))</f>
        <v xml:space="preserve"> </v>
      </c>
      <c r="AE610" s="490"/>
      <c r="AF610" s="879"/>
      <c r="AG610" s="491"/>
    </row>
    <row r="611" spans="1:33" x14ac:dyDescent="0.2">
      <c r="A611" s="415">
        <f t="shared" si="18"/>
        <v>1362</v>
      </c>
      <c r="B611" s="419" t="str">
        <f t="shared" si="19"/>
        <v>Autumn</v>
      </c>
      <c r="C611" s="455"/>
      <c r="D611" s="504"/>
      <c r="E611" s="455"/>
      <c r="F611" s="504"/>
      <c r="G611" s="455"/>
      <c r="H611" s="504"/>
      <c r="I611" s="455"/>
      <c r="J611" s="504"/>
      <c r="L611" s="472"/>
      <c r="M611" s="468"/>
      <c r="N611" s="468"/>
      <c r="O611" s="468"/>
      <c r="P611" s="468"/>
      <c r="Q611" s="473"/>
      <c r="R611" s="477" t="str">
        <f>IF(AND(COUNTIF('Start Character'!$I$63:$M$77,"Twilight Prone")=1,NOT(ISERROR(FIND("Magical Botch",M611)))),"Yes",IF(P611&gt;1,"Yes","No"))</f>
        <v>No</v>
      </c>
      <c r="S611" s="501"/>
      <c r="T611" s="478"/>
      <c r="U611" s="501"/>
      <c r="V611" s="479" t="str">
        <f>IF(R611="No","No Twilight",IF(T611="Yes","Uncomprehended Twilight",IF((Character!$B$14+IF(Character!$B$53="Yes",0,Character!$B$53)+IF(Magic!$C$5="Yes",2,0)+ROUNDUP((Magic!$B$30+IF(Magic!$C$30="Yes",3,0))/5,0)+S611)&gt;=($D$3+P611+SUMIF(Character!$I$62:$I$66,"Enigmatic Wisdom",Character!$J$62:$J$66)+Q611+U611),"No Twilight","Twilight")))</f>
        <v>No Twilight</v>
      </c>
      <c r="W611" s="483"/>
      <c r="X611" s="478"/>
      <c r="Y611" s="484"/>
      <c r="Z611" s="478"/>
      <c r="AA611" s="485" t="str">
        <f>IF(V611="Uncomprehended Twilight","Failed",IF(OR(ISBLANK(W611),ISBLANK(Y611))," ",IF(NOT(ISBLANK(X611)),"Failed",IF((W611+Character!$B$9+SUMIF(Character!$I$62:$I$66,"Enigmatic Wisdom",Character!$J$62:$J$66))&gt;=IF(Z611="Yes",0,(Y611+D606)),"Succeeded","Failed"))))</f>
        <v xml:space="preserve"> </v>
      </c>
      <c r="AB611" s="477" t="str">
        <f>IF(AA611=" "," ",IF(NOT(ISBLANK(X611)),VLOOKUP($D$3+X611,Calcs!$A$110:$C$122,3,TRUE),IF(AA611="Failed",VLOOKUP($D$3,Calcs!$A$110:$C$122,3,TRUE),VLOOKUP($D$3-(IF((Character!$B$9+W611)&gt;($D$3+Y611),(Character!$B$9+W611)-($D$3+Y611),0)),Calcs!$A$110:$C$122,3,TRUE))))</f>
        <v xml:space="preserve"> </v>
      </c>
      <c r="AC611" s="489"/>
      <c r="AD611" s="489" t="str">
        <f>IF(IF(AA611=" "," ",IF(NOT(ISBLANK(X611)),VLOOKUP($D$3+X611,Calcs!$A$110:$B$122,2,TRUE),IF(AA611="Failed",VLOOKUP($D$3,Calcs!$A$110:$B$122,2,TRUE),VLOOKUP($D$3-(IF((Character!$B$9+W611)&gt;($D$3+Y611),(Character!$B$9+W611)-($D$3+Y611),0)),Calcs!$A$110:$B$122,2,TRUE))))=Calcs!$B$120,IF(ISBLANK(AC611)," ",CONCATENATE(AC611+7," Years")),IF(AA611=" "," ",IF(NOT(ISBLANK(X611)),VLOOKUP($D$3+X611,Calcs!$A$110:$B$122,2,TRUE),IF(AA611="Failed",VLOOKUP($D$3,Calcs!$A$110:$B$122,2,TRUE),VLOOKUP($D$3-(IF((Character!$B$9+W611)&gt;($D$3+Y611),(Character!$B$9+W611)-($D$3+Y611),0)),Calcs!$A$110:$B$122,2,TRUE)))))</f>
        <v xml:space="preserve"> </v>
      </c>
      <c r="AE611" s="490"/>
      <c r="AF611" s="879"/>
      <c r="AG611" s="491"/>
    </row>
    <row r="612" spans="1:33" x14ac:dyDescent="0.2">
      <c r="A612" s="415">
        <f t="shared" si="18"/>
        <v>1363</v>
      </c>
      <c r="B612" s="419" t="str">
        <f t="shared" si="19"/>
        <v>Winter</v>
      </c>
      <c r="C612" s="455"/>
      <c r="D612" s="504"/>
      <c r="E612" s="455"/>
      <c r="F612" s="504"/>
      <c r="G612" s="455"/>
      <c r="H612" s="504"/>
      <c r="I612" s="455"/>
      <c r="J612" s="504"/>
      <c r="L612" s="472"/>
      <c r="M612" s="468"/>
      <c r="N612" s="468"/>
      <c r="O612" s="468"/>
      <c r="P612" s="468"/>
      <c r="Q612" s="473"/>
      <c r="R612" s="477" t="str">
        <f>IF(AND(COUNTIF('Start Character'!$I$63:$M$77,"Twilight Prone")=1,NOT(ISERROR(FIND("Magical Botch",M612)))),"Yes",IF(P612&gt;1,"Yes","No"))</f>
        <v>No</v>
      </c>
      <c r="S612" s="501"/>
      <c r="T612" s="478"/>
      <c r="U612" s="501"/>
      <c r="V612" s="479" t="str">
        <f>IF(R612="No","No Twilight",IF(T612="Yes","Uncomprehended Twilight",IF((Character!$B$14+IF(Character!$B$53="Yes",0,Character!$B$53)+IF(Magic!$C$5="Yes",2,0)+ROUNDUP((Magic!$B$30+IF(Magic!$C$30="Yes",3,0))/5,0)+S612)&gt;=($D$3+P612+SUMIF(Character!$I$62:$I$66,"Enigmatic Wisdom",Character!$J$62:$J$66)+Q612+U612),"No Twilight","Twilight")))</f>
        <v>No Twilight</v>
      </c>
      <c r="W612" s="483"/>
      <c r="X612" s="478"/>
      <c r="Y612" s="484"/>
      <c r="Z612" s="478"/>
      <c r="AA612" s="485" t="str">
        <f>IF(V612="Uncomprehended Twilight","Failed",IF(OR(ISBLANK(W612),ISBLANK(Y612))," ",IF(NOT(ISBLANK(X612)),"Failed",IF((W612+Character!$B$9+SUMIF(Character!$I$62:$I$66,"Enigmatic Wisdom",Character!$J$62:$J$66))&gt;=IF(Z612="Yes",0,(Y612+D607)),"Succeeded","Failed"))))</f>
        <v xml:space="preserve"> </v>
      </c>
      <c r="AB612" s="477" t="str">
        <f>IF(AA612=" "," ",IF(NOT(ISBLANK(X612)),VLOOKUP($D$3+X612,Calcs!$A$110:$C$122,3,TRUE),IF(AA612="Failed",VLOOKUP($D$3,Calcs!$A$110:$C$122,3,TRUE),VLOOKUP($D$3-(IF((Character!$B$9+W612)&gt;($D$3+Y612),(Character!$B$9+W612)-($D$3+Y612),0)),Calcs!$A$110:$C$122,3,TRUE))))</f>
        <v xml:space="preserve"> </v>
      </c>
      <c r="AC612" s="489"/>
      <c r="AD612" s="489" t="str">
        <f>IF(IF(AA612=" "," ",IF(NOT(ISBLANK(X612)),VLOOKUP($D$3+X612,Calcs!$A$110:$B$122,2,TRUE),IF(AA612="Failed",VLOOKUP($D$3,Calcs!$A$110:$B$122,2,TRUE),VLOOKUP($D$3-(IF((Character!$B$9+W612)&gt;($D$3+Y612),(Character!$B$9+W612)-($D$3+Y612),0)),Calcs!$A$110:$B$122,2,TRUE))))=Calcs!$B$120,IF(ISBLANK(AC612)," ",CONCATENATE(AC612+7," Years")),IF(AA612=" "," ",IF(NOT(ISBLANK(X612)),VLOOKUP($D$3+X612,Calcs!$A$110:$B$122,2,TRUE),IF(AA612="Failed",VLOOKUP($D$3,Calcs!$A$110:$B$122,2,TRUE),VLOOKUP($D$3-(IF((Character!$B$9+W612)&gt;($D$3+Y612),(Character!$B$9+W612)-($D$3+Y612),0)),Calcs!$A$110:$B$122,2,TRUE)))))</f>
        <v xml:space="preserve"> </v>
      </c>
      <c r="AE612" s="490"/>
      <c r="AF612" s="879"/>
      <c r="AG612" s="491"/>
    </row>
    <row r="613" spans="1:33" x14ac:dyDescent="0.2">
      <c r="A613" s="415">
        <f t="shared" si="18"/>
        <v>1363</v>
      </c>
      <c r="B613" s="419" t="str">
        <f t="shared" si="19"/>
        <v>Spring</v>
      </c>
      <c r="C613" s="455"/>
      <c r="D613" s="504"/>
      <c r="E613" s="455"/>
      <c r="F613" s="504"/>
      <c r="G613" s="455"/>
      <c r="H613" s="504"/>
      <c r="I613" s="455"/>
      <c r="J613" s="504"/>
      <c r="L613" s="472"/>
      <c r="M613" s="468"/>
      <c r="N613" s="468"/>
      <c r="O613" s="468"/>
      <c r="P613" s="468"/>
      <c r="Q613" s="473"/>
      <c r="R613" s="477" t="str">
        <f>IF(AND(COUNTIF('Start Character'!$I$63:$M$77,"Twilight Prone")=1,NOT(ISERROR(FIND("Magical Botch",M613)))),"Yes",IF(P613&gt;1,"Yes","No"))</f>
        <v>No</v>
      </c>
      <c r="S613" s="501"/>
      <c r="T613" s="478"/>
      <c r="U613" s="501"/>
      <c r="V613" s="479" t="str">
        <f>IF(R613="No","No Twilight",IF(T613="Yes","Uncomprehended Twilight",IF((Character!$B$14+IF(Character!$B$53="Yes",0,Character!$B$53)+IF(Magic!$C$5="Yes",2,0)+ROUNDUP((Magic!$B$30+IF(Magic!$C$30="Yes",3,0))/5,0)+S613)&gt;=($D$3+P613+SUMIF(Character!$I$62:$I$66,"Enigmatic Wisdom",Character!$J$62:$J$66)+Q613+U613),"No Twilight","Twilight")))</f>
        <v>No Twilight</v>
      </c>
      <c r="W613" s="483"/>
      <c r="X613" s="478"/>
      <c r="Y613" s="484"/>
      <c r="Z613" s="478"/>
      <c r="AA613" s="485" t="str">
        <f>IF(V613="Uncomprehended Twilight","Failed",IF(OR(ISBLANK(W613),ISBLANK(Y613))," ",IF(NOT(ISBLANK(X613)),"Failed",IF((W613+Character!$B$9+SUMIF(Character!$I$62:$I$66,"Enigmatic Wisdom",Character!$J$62:$J$66))&gt;=IF(Z613="Yes",0,(Y613+D608)),"Succeeded","Failed"))))</f>
        <v xml:space="preserve"> </v>
      </c>
      <c r="AB613" s="477" t="str">
        <f>IF(AA613=" "," ",IF(NOT(ISBLANK(X613)),VLOOKUP($D$3+X613,Calcs!$A$110:$C$122,3,TRUE),IF(AA613="Failed",VLOOKUP($D$3,Calcs!$A$110:$C$122,3,TRUE),VLOOKUP($D$3-(IF((Character!$B$9+W613)&gt;($D$3+Y613),(Character!$B$9+W613)-($D$3+Y613),0)),Calcs!$A$110:$C$122,3,TRUE))))</f>
        <v xml:space="preserve"> </v>
      </c>
      <c r="AC613" s="489"/>
      <c r="AD613" s="489" t="str">
        <f>IF(IF(AA613=" "," ",IF(NOT(ISBLANK(X613)),VLOOKUP($D$3+X613,Calcs!$A$110:$B$122,2,TRUE),IF(AA613="Failed",VLOOKUP($D$3,Calcs!$A$110:$B$122,2,TRUE),VLOOKUP($D$3-(IF((Character!$B$9+W613)&gt;($D$3+Y613),(Character!$B$9+W613)-($D$3+Y613),0)),Calcs!$A$110:$B$122,2,TRUE))))=Calcs!$B$120,IF(ISBLANK(AC613)," ",CONCATENATE(AC613+7," Years")),IF(AA613=" "," ",IF(NOT(ISBLANK(X613)),VLOOKUP($D$3+X613,Calcs!$A$110:$B$122,2,TRUE),IF(AA613="Failed",VLOOKUP($D$3,Calcs!$A$110:$B$122,2,TRUE),VLOOKUP($D$3-(IF((Character!$B$9+W613)&gt;($D$3+Y613),(Character!$B$9+W613)-($D$3+Y613),0)),Calcs!$A$110:$B$122,2,TRUE)))))</f>
        <v xml:space="preserve"> </v>
      </c>
      <c r="AE613" s="490"/>
      <c r="AF613" s="879"/>
      <c r="AG613" s="491"/>
    </row>
    <row r="614" spans="1:33" x14ac:dyDescent="0.2">
      <c r="A614" s="415">
        <f t="shared" si="18"/>
        <v>1363</v>
      </c>
      <c r="B614" s="419" t="str">
        <f t="shared" si="19"/>
        <v>Summer</v>
      </c>
      <c r="C614" s="455"/>
      <c r="D614" s="504"/>
      <c r="E614" s="455"/>
      <c r="F614" s="504"/>
      <c r="G614" s="455"/>
      <c r="H614" s="504"/>
      <c r="I614" s="455"/>
      <c r="J614" s="504"/>
      <c r="L614" s="472"/>
      <c r="M614" s="468"/>
      <c r="N614" s="468"/>
      <c r="O614" s="468"/>
      <c r="P614" s="468"/>
      <c r="Q614" s="473"/>
      <c r="R614" s="477" t="str">
        <f>IF(AND(COUNTIF('Start Character'!$I$63:$M$77,"Twilight Prone")=1,NOT(ISERROR(FIND("Magical Botch",M614)))),"Yes",IF(P614&gt;1,"Yes","No"))</f>
        <v>No</v>
      </c>
      <c r="S614" s="501"/>
      <c r="T614" s="478"/>
      <c r="U614" s="501"/>
      <c r="V614" s="479" t="str">
        <f>IF(R614="No","No Twilight",IF(T614="Yes","Uncomprehended Twilight",IF((Character!$B$14+IF(Character!$B$53="Yes",0,Character!$B$53)+IF(Magic!$C$5="Yes",2,0)+ROUNDUP((Magic!$B$30+IF(Magic!$C$30="Yes",3,0))/5,0)+S614)&gt;=($D$3+P614+SUMIF(Character!$I$62:$I$66,"Enigmatic Wisdom",Character!$J$62:$J$66)+Q614+U614),"No Twilight","Twilight")))</f>
        <v>No Twilight</v>
      </c>
      <c r="W614" s="483"/>
      <c r="X614" s="478"/>
      <c r="Y614" s="484"/>
      <c r="Z614" s="478"/>
      <c r="AA614" s="485" t="str">
        <f>IF(V614="Uncomprehended Twilight","Failed",IF(OR(ISBLANK(W614),ISBLANK(Y614))," ",IF(NOT(ISBLANK(X614)),"Failed",IF((W614+Character!$B$9+SUMIF(Character!$I$62:$I$66,"Enigmatic Wisdom",Character!$J$62:$J$66))&gt;=IF(Z614="Yes",0,(Y614+D609)),"Succeeded","Failed"))))</f>
        <v xml:space="preserve"> </v>
      </c>
      <c r="AB614" s="477" t="str">
        <f>IF(AA614=" "," ",IF(NOT(ISBLANK(X614)),VLOOKUP($D$3+X614,Calcs!$A$110:$C$122,3,TRUE),IF(AA614="Failed",VLOOKUP($D$3,Calcs!$A$110:$C$122,3,TRUE),VLOOKUP($D$3-(IF((Character!$B$9+W614)&gt;($D$3+Y614),(Character!$B$9+W614)-($D$3+Y614),0)),Calcs!$A$110:$C$122,3,TRUE))))</f>
        <v xml:space="preserve"> </v>
      </c>
      <c r="AC614" s="489"/>
      <c r="AD614" s="489" t="str">
        <f>IF(IF(AA614=" "," ",IF(NOT(ISBLANK(X614)),VLOOKUP($D$3+X614,Calcs!$A$110:$B$122,2,TRUE),IF(AA614="Failed",VLOOKUP($D$3,Calcs!$A$110:$B$122,2,TRUE),VLOOKUP($D$3-(IF((Character!$B$9+W614)&gt;($D$3+Y614),(Character!$B$9+W614)-($D$3+Y614),0)),Calcs!$A$110:$B$122,2,TRUE))))=Calcs!$B$120,IF(ISBLANK(AC614)," ",CONCATENATE(AC614+7," Years")),IF(AA614=" "," ",IF(NOT(ISBLANK(X614)),VLOOKUP($D$3+X614,Calcs!$A$110:$B$122,2,TRUE),IF(AA614="Failed",VLOOKUP($D$3,Calcs!$A$110:$B$122,2,TRUE),VLOOKUP($D$3-(IF((Character!$B$9+W614)&gt;($D$3+Y614),(Character!$B$9+W614)-($D$3+Y614),0)),Calcs!$A$110:$B$122,2,TRUE)))))</f>
        <v xml:space="preserve"> </v>
      </c>
      <c r="AE614" s="490"/>
      <c r="AF614" s="879"/>
      <c r="AG614" s="491"/>
    </row>
    <row r="615" spans="1:33" x14ac:dyDescent="0.2">
      <c r="A615" s="415">
        <f t="shared" si="18"/>
        <v>1363</v>
      </c>
      <c r="B615" s="419" t="str">
        <f t="shared" si="19"/>
        <v>Autumn</v>
      </c>
      <c r="C615" s="455"/>
      <c r="D615" s="504"/>
      <c r="E615" s="455"/>
      <c r="F615" s="504"/>
      <c r="G615" s="455"/>
      <c r="H615" s="504"/>
      <c r="I615" s="455"/>
      <c r="J615" s="504"/>
      <c r="L615" s="472"/>
      <c r="M615" s="468"/>
      <c r="N615" s="468"/>
      <c r="O615" s="468"/>
      <c r="P615" s="468"/>
      <c r="Q615" s="473"/>
      <c r="R615" s="477" t="str">
        <f>IF(AND(COUNTIF('Start Character'!$I$63:$M$77,"Twilight Prone")=1,NOT(ISERROR(FIND("Magical Botch",M615)))),"Yes",IF(P615&gt;1,"Yes","No"))</f>
        <v>No</v>
      </c>
      <c r="S615" s="501"/>
      <c r="T615" s="478"/>
      <c r="U615" s="501"/>
      <c r="V615" s="479" t="str">
        <f>IF(R615="No","No Twilight",IF(T615="Yes","Uncomprehended Twilight",IF((Character!$B$14+IF(Character!$B$53="Yes",0,Character!$B$53)+IF(Magic!$C$5="Yes",2,0)+ROUNDUP((Magic!$B$30+IF(Magic!$C$30="Yes",3,0))/5,0)+S615)&gt;=($D$3+P615+SUMIF(Character!$I$62:$I$66,"Enigmatic Wisdom",Character!$J$62:$J$66)+Q615+U615),"No Twilight","Twilight")))</f>
        <v>No Twilight</v>
      </c>
      <c r="W615" s="483"/>
      <c r="X615" s="478"/>
      <c r="Y615" s="484"/>
      <c r="Z615" s="478"/>
      <c r="AA615" s="485" t="str">
        <f>IF(V615="Uncomprehended Twilight","Failed",IF(OR(ISBLANK(W615),ISBLANK(Y615))," ",IF(NOT(ISBLANK(X615)),"Failed",IF((W615+Character!$B$9+SUMIF(Character!$I$62:$I$66,"Enigmatic Wisdom",Character!$J$62:$J$66))&gt;=IF(Z615="Yes",0,(Y615+D610)),"Succeeded","Failed"))))</f>
        <v xml:space="preserve"> </v>
      </c>
      <c r="AB615" s="477" t="str">
        <f>IF(AA615=" "," ",IF(NOT(ISBLANK(X615)),VLOOKUP($D$3+X615,Calcs!$A$110:$C$122,3,TRUE),IF(AA615="Failed",VLOOKUP($D$3,Calcs!$A$110:$C$122,3,TRUE),VLOOKUP($D$3-(IF((Character!$B$9+W615)&gt;($D$3+Y615),(Character!$B$9+W615)-($D$3+Y615),0)),Calcs!$A$110:$C$122,3,TRUE))))</f>
        <v xml:space="preserve"> </v>
      </c>
      <c r="AC615" s="489"/>
      <c r="AD615" s="489" t="str">
        <f>IF(IF(AA615=" "," ",IF(NOT(ISBLANK(X615)),VLOOKUP($D$3+X615,Calcs!$A$110:$B$122,2,TRUE),IF(AA615="Failed",VLOOKUP($D$3,Calcs!$A$110:$B$122,2,TRUE),VLOOKUP($D$3-(IF((Character!$B$9+W615)&gt;($D$3+Y615),(Character!$B$9+W615)-($D$3+Y615),0)),Calcs!$A$110:$B$122,2,TRUE))))=Calcs!$B$120,IF(ISBLANK(AC615)," ",CONCATENATE(AC615+7," Years")),IF(AA615=" "," ",IF(NOT(ISBLANK(X615)),VLOOKUP($D$3+X615,Calcs!$A$110:$B$122,2,TRUE),IF(AA615="Failed",VLOOKUP($D$3,Calcs!$A$110:$B$122,2,TRUE),VLOOKUP($D$3-(IF((Character!$B$9+W615)&gt;($D$3+Y615),(Character!$B$9+W615)-($D$3+Y615),0)),Calcs!$A$110:$B$122,2,TRUE)))))</f>
        <v xml:space="preserve"> </v>
      </c>
      <c r="AE615" s="490"/>
      <c r="AF615" s="879"/>
      <c r="AG615" s="491"/>
    </row>
    <row r="616" spans="1:33" x14ac:dyDescent="0.2">
      <c r="A616" s="415">
        <f t="shared" si="18"/>
        <v>1364</v>
      </c>
      <c r="B616" s="419" t="str">
        <f t="shared" si="19"/>
        <v>Winter</v>
      </c>
      <c r="C616" s="455"/>
      <c r="D616" s="504"/>
      <c r="E616" s="455"/>
      <c r="F616" s="504"/>
      <c r="G616" s="455"/>
      <c r="H616" s="504"/>
      <c r="I616" s="455"/>
      <c r="J616" s="504"/>
      <c r="L616" s="472"/>
      <c r="M616" s="468"/>
      <c r="N616" s="468"/>
      <c r="O616" s="468"/>
      <c r="P616" s="468"/>
      <c r="Q616" s="473"/>
      <c r="R616" s="477" t="str">
        <f>IF(AND(COUNTIF('Start Character'!$I$63:$M$77,"Twilight Prone")=1,NOT(ISERROR(FIND("Magical Botch",M616)))),"Yes",IF(P616&gt;1,"Yes","No"))</f>
        <v>No</v>
      </c>
      <c r="S616" s="501"/>
      <c r="T616" s="478"/>
      <c r="U616" s="501"/>
      <c r="V616" s="479" t="str">
        <f>IF(R616="No","No Twilight",IF(T616="Yes","Uncomprehended Twilight",IF((Character!$B$14+IF(Character!$B$53="Yes",0,Character!$B$53)+IF(Magic!$C$5="Yes",2,0)+ROUNDUP((Magic!$B$30+IF(Magic!$C$30="Yes",3,0))/5,0)+S616)&gt;=($D$3+P616+SUMIF(Character!$I$62:$I$66,"Enigmatic Wisdom",Character!$J$62:$J$66)+Q616+U616),"No Twilight","Twilight")))</f>
        <v>No Twilight</v>
      </c>
      <c r="W616" s="483"/>
      <c r="X616" s="478"/>
      <c r="Y616" s="484"/>
      <c r="Z616" s="478"/>
      <c r="AA616" s="485" t="str">
        <f>IF(V616="Uncomprehended Twilight","Failed",IF(OR(ISBLANK(W616),ISBLANK(Y616))," ",IF(NOT(ISBLANK(X616)),"Failed",IF((W616+Character!$B$9+SUMIF(Character!$I$62:$I$66,"Enigmatic Wisdom",Character!$J$62:$J$66))&gt;=IF(Z616="Yes",0,(Y616+D611)),"Succeeded","Failed"))))</f>
        <v xml:space="preserve"> </v>
      </c>
      <c r="AB616" s="477" t="str">
        <f>IF(AA616=" "," ",IF(NOT(ISBLANK(X616)),VLOOKUP($D$3+X616,Calcs!$A$110:$C$122,3,TRUE),IF(AA616="Failed",VLOOKUP($D$3,Calcs!$A$110:$C$122,3,TRUE),VLOOKUP($D$3-(IF((Character!$B$9+W616)&gt;($D$3+Y616),(Character!$B$9+W616)-($D$3+Y616),0)),Calcs!$A$110:$C$122,3,TRUE))))</f>
        <v xml:space="preserve"> </v>
      </c>
      <c r="AC616" s="489"/>
      <c r="AD616" s="489" t="str">
        <f>IF(IF(AA616=" "," ",IF(NOT(ISBLANK(X616)),VLOOKUP($D$3+X616,Calcs!$A$110:$B$122,2,TRUE),IF(AA616="Failed",VLOOKUP($D$3,Calcs!$A$110:$B$122,2,TRUE),VLOOKUP($D$3-(IF((Character!$B$9+W616)&gt;($D$3+Y616),(Character!$B$9+W616)-($D$3+Y616),0)),Calcs!$A$110:$B$122,2,TRUE))))=Calcs!$B$120,IF(ISBLANK(AC616)," ",CONCATENATE(AC616+7," Years")),IF(AA616=" "," ",IF(NOT(ISBLANK(X616)),VLOOKUP($D$3+X616,Calcs!$A$110:$B$122,2,TRUE),IF(AA616="Failed",VLOOKUP($D$3,Calcs!$A$110:$B$122,2,TRUE),VLOOKUP($D$3-(IF((Character!$B$9+W616)&gt;($D$3+Y616),(Character!$B$9+W616)-($D$3+Y616),0)),Calcs!$A$110:$B$122,2,TRUE)))))</f>
        <v xml:space="preserve"> </v>
      </c>
      <c r="AE616" s="490"/>
      <c r="AF616" s="879"/>
      <c r="AG616" s="491"/>
    </row>
    <row r="617" spans="1:33" x14ac:dyDescent="0.2">
      <c r="A617" s="415">
        <f t="shared" si="18"/>
        <v>1364</v>
      </c>
      <c r="B617" s="419" t="str">
        <f t="shared" si="19"/>
        <v>Spring</v>
      </c>
      <c r="C617" s="455"/>
      <c r="D617" s="504"/>
      <c r="E617" s="455"/>
      <c r="F617" s="504"/>
      <c r="G617" s="455"/>
      <c r="H617" s="504"/>
      <c r="I617" s="455"/>
      <c r="J617" s="504"/>
      <c r="L617" s="472"/>
      <c r="M617" s="468"/>
      <c r="N617" s="468"/>
      <c r="O617" s="468"/>
      <c r="P617" s="468"/>
      <c r="Q617" s="473"/>
      <c r="R617" s="477" t="str">
        <f>IF(AND(COUNTIF('Start Character'!$I$63:$M$77,"Twilight Prone")=1,NOT(ISERROR(FIND("Magical Botch",M617)))),"Yes",IF(P617&gt;1,"Yes","No"))</f>
        <v>No</v>
      </c>
      <c r="S617" s="501"/>
      <c r="T617" s="478"/>
      <c r="U617" s="501"/>
      <c r="V617" s="479" t="str">
        <f>IF(R617="No","No Twilight",IF(T617="Yes","Uncomprehended Twilight",IF((Character!$B$14+IF(Character!$B$53="Yes",0,Character!$B$53)+IF(Magic!$C$5="Yes",2,0)+ROUNDUP((Magic!$B$30+IF(Magic!$C$30="Yes",3,0))/5,0)+S617)&gt;=($D$3+P617+SUMIF(Character!$I$62:$I$66,"Enigmatic Wisdom",Character!$J$62:$J$66)+Q617+U617),"No Twilight","Twilight")))</f>
        <v>No Twilight</v>
      </c>
      <c r="W617" s="483"/>
      <c r="X617" s="478"/>
      <c r="Y617" s="484"/>
      <c r="Z617" s="478"/>
      <c r="AA617" s="485" t="str">
        <f>IF(V617="Uncomprehended Twilight","Failed",IF(OR(ISBLANK(W617),ISBLANK(Y617))," ",IF(NOT(ISBLANK(X617)),"Failed",IF((W617+Character!$B$9+SUMIF(Character!$I$62:$I$66,"Enigmatic Wisdom",Character!$J$62:$J$66))&gt;=IF(Z617="Yes",0,(Y617+D612)),"Succeeded","Failed"))))</f>
        <v xml:space="preserve"> </v>
      </c>
      <c r="AB617" s="477" t="str">
        <f>IF(AA617=" "," ",IF(NOT(ISBLANK(X617)),VLOOKUP($D$3+X617,Calcs!$A$110:$C$122,3,TRUE),IF(AA617="Failed",VLOOKUP($D$3,Calcs!$A$110:$C$122,3,TRUE),VLOOKUP($D$3-(IF((Character!$B$9+W617)&gt;($D$3+Y617),(Character!$B$9+W617)-($D$3+Y617),0)),Calcs!$A$110:$C$122,3,TRUE))))</f>
        <v xml:space="preserve"> </v>
      </c>
      <c r="AC617" s="489"/>
      <c r="AD617" s="489" t="str">
        <f>IF(IF(AA617=" "," ",IF(NOT(ISBLANK(X617)),VLOOKUP($D$3+X617,Calcs!$A$110:$B$122,2,TRUE),IF(AA617="Failed",VLOOKUP($D$3,Calcs!$A$110:$B$122,2,TRUE),VLOOKUP($D$3-(IF((Character!$B$9+W617)&gt;($D$3+Y617),(Character!$B$9+W617)-($D$3+Y617),0)),Calcs!$A$110:$B$122,2,TRUE))))=Calcs!$B$120,IF(ISBLANK(AC617)," ",CONCATENATE(AC617+7," Years")),IF(AA617=" "," ",IF(NOT(ISBLANK(X617)),VLOOKUP($D$3+X617,Calcs!$A$110:$B$122,2,TRUE),IF(AA617="Failed",VLOOKUP($D$3,Calcs!$A$110:$B$122,2,TRUE),VLOOKUP($D$3-(IF((Character!$B$9+W617)&gt;($D$3+Y617),(Character!$B$9+W617)-($D$3+Y617),0)),Calcs!$A$110:$B$122,2,TRUE)))))</f>
        <v xml:space="preserve"> </v>
      </c>
      <c r="AE617" s="490"/>
      <c r="AF617" s="879"/>
      <c r="AG617" s="491"/>
    </row>
    <row r="618" spans="1:33" x14ac:dyDescent="0.2">
      <c r="A618" s="415">
        <f t="shared" si="18"/>
        <v>1364</v>
      </c>
      <c r="B618" s="419" t="str">
        <f t="shared" si="19"/>
        <v>Summer</v>
      </c>
      <c r="C618" s="455"/>
      <c r="D618" s="504"/>
      <c r="E618" s="455"/>
      <c r="F618" s="504"/>
      <c r="G618" s="455"/>
      <c r="H618" s="504"/>
      <c r="I618" s="455"/>
      <c r="J618" s="504"/>
      <c r="L618" s="472"/>
      <c r="M618" s="468"/>
      <c r="N618" s="468"/>
      <c r="O618" s="468"/>
      <c r="P618" s="468"/>
      <c r="Q618" s="473"/>
      <c r="R618" s="477" t="str">
        <f>IF(AND(COUNTIF('Start Character'!$I$63:$M$77,"Twilight Prone")=1,NOT(ISERROR(FIND("Magical Botch",M618)))),"Yes",IF(P618&gt;1,"Yes","No"))</f>
        <v>No</v>
      </c>
      <c r="S618" s="501"/>
      <c r="T618" s="478"/>
      <c r="U618" s="501"/>
      <c r="V618" s="479" t="str">
        <f>IF(R618="No","No Twilight",IF(T618="Yes","Uncomprehended Twilight",IF((Character!$B$14+IF(Character!$B$53="Yes",0,Character!$B$53)+IF(Magic!$C$5="Yes",2,0)+ROUNDUP((Magic!$B$30+IF(Magic!$C$30="Yes",3,0))/5,0)+S618)&gt;=($D$3+P618+SUMIF(Character!$I$62:$I$66,"Enigmatic Wisdom",Character!$J$62:$J$66)+Q618+U618),"No Twilight","Twilight")))</f>
        <v>No Twilight</v>
      </c>
      <c r="W618" s="483"/>
      <c r="X618" s="478"/>
      <c r="Y618" s="484"/>
      <c r="Z618" s="478"/>
      <c r="AA618" s="485" t="str">
        <f>IF(V618="Uncomprehended Twilight","Failed",IF(OR(ISBLANK(W618),ISBLANK(Y618))," ",IF(NOT(ISBLANK(X618)),"Failed",IF((W618+Character!$B$9+SUMIF(Character!$I$62:$I$66,"Enigmatic Wisdom",Character!$J$62:$J$66))&gt;=IF(Z618="Yes",0,(Y618+D613)),"Succeeded","Failed"))))</f>
        <v xml:space="preserve"> </v>
      </c>
      <c r="AB618" s="477" t="str">
        <f>IF(AA618=" "," ",IF(NOT(ISBLANK(X618)),VLOOKUP($D$3+X618,Calcs!$A$110:$C$122,3,TRUE),IF(AA618="Failed",VLOOKUP($D$3,Calcs!$A$110:$C$122,3,TRUE),VLOOKUP($D$3-(IF((Character!$B$9+W618)&gt;($D$3+Y618),(Character!$B$9+W618)-($D$3+Y618),0)),Calcs!$A$110:$C$122,3,TRUE))))</f>
        <v xml:space="preserve"> </v>
      </c>
      <c r="AC618" s="489"/>
      <c r="AD618" s="489" t="str">
        <f>IF(IF(AA618=" "," ",IF(NOT(ISBLANK(X618)),VLOOKUP($D$3+X618,Calcs!$A$110:$B$122,2,TRUE),IF(AA618="Failed",VLOOKUP($D$3,Calcs!$A$110:$B$122,2,TRUE),VLOOKUP($D$3-(IF((Character!$B$9+W618)&gt;($D$3+Y618),(Character!$B$9+W618)-($D$3+Y618),0)),Calcs!$A$110:$B$122,2,TRUE))))=Calcs!$B$120,IF(ISBLANK(AC618)," ",CONCATENATE(AC618+7," Years")),IF(AA618=" "," ",IF(NOT(ISBLANK(X618)),VLOOKUP($D$3+X618,Calcs!$A$110:$B$122,2,TRUE),IF(AA618="Failed",VLOOKUP($D$3,Calcs!$A$110:$B$122,2,TRUE),VLOOKUP($D$3-(IF((Character!$B$9+W618)&gt;($D$3+Y618),(Character!$B$9+W618)-($D$3+Y618),0)),Calcs!$A$110:$B$122,2,TRUE)))))</f>
        <v xml:space="preserve"> </v>
      </c>
      <c r="AE618" s="490"/>
      <c r="AF618" s="879"/>
      <c r="AG618" s="491"/>
    </row>
    <row r="619" spans="1:33" x14ac:dyDescent="0.2">
      <c r="A619" s="415">
        <f t="shared" si="18"/>
        <v>1364</v>
      </c>
      <c r="B619" s="419" t="str">
        <f t="shared" si="19"/>
        <v>Autumn</v>
      </c>
      <c r="C619" s="455"/>
      <c r="D619" s="504"/>
      <c r="E619" s="455"/>
      <c r="F619" s="504"/>
      <c r="G619" s="455"/>
      <c r="H619" s="504"/>
      <c r="I619" s="455"/>
      <c r="J619" s="504"/>
      <c r="L619" s="472"/>
      <c r="M619" s="468"/>
      <c r="N619" s="468"/>
      <c r="O619" s="468"/>
      <c r="P619" s="468"/>
      <c r="Q619" s="473"/>
      <c r="R619" s="477" t="str">
        <f>IF(AND(COUNTIF('Start Character'!$I$63:$M$77,"Twilight Prone")=1,NOT(ISERROR(FIND("Magical Botch",M619)))),"Yes",IF(P619&gt;1,"Yes","No"))</f>
        <v>No</v>
      </c>
      <c r="S619" s="501"/>
      <c r="T619" s="478"/>
      <c r="U619" s="501"/>
      <c r="V619" s="479" t="str">
        <f>IF(R619="No","No Twilight",IF(T619="Yes","Uncomprehended Twilight",IF((Character!$B$14+IF(Character!$B$53="Yes",0,Character!$B$53)+IF(Magic!$C$5="Yes",2,0)+ROUNDUP((Magic!$B$30+IF(Magic!$C$30="Yes",3,0))/5,0)+S619)&gt;=($D$3+P619+SUMIF(Character!$I$62:$I$66,"Enigmatic Wisdom",Character!$J$62:$J$66)+Q619+U619),"No Twilight","Twilight")))</f>
        <v>No Twilight</v>
      </c>
      <c r="W619" s="483"/>
      <c r="X619" s="478"/>
      <c r="Y619" s="484"/>
      <c r="Z619" s="478"/>
      <c r="AA619" s="485" t="str">
        <f>IF(V619="Uncomprehended Twilight","Failed",IF(OR(ISBLANK(W619),ISBLANK(Y619))," ",IF(NOT(ISBLANK(X619)),"Failed",IF((W619+Character!$B$9+SUMIF(Character!$I$62:$I$66,"Enigmatic Wisdom",Character!$J$62:$J$66))&gt;=IF(Z619="Yes",0,(Y619+D614)),"Succeeded","Failed"))))</f>
        <v xml:space="preserve"> </v>
      </c>
      <c r="AB619" s="477" t="str">
        <f>IF(AA619=" "," ",IF(NOT(ISBLANK(X619)),VLOOKUP($D$3+X619,Calcs!$A$110:$C$122,3,TRUE),IF(AA619="Failed",VLOOKUP($D$3,Calcs!$A$110:$C$122,3,TRUE),VLOOKUP($D$3-(IF((Character!$B$9+W619)&gt;($D$3+Y619),(Character!$B$9+W619)-($D$3+Y619),0)),Calcs!$A$110:$C$122,3,TRUE))))</f>
        <v xml:space="preserve"> </v>
      </c>
      <c r="AC619" s="489"/>
      <c r="AD619" s="489" t="str">
        <f>IF(IF(AA619=" "," ",IF(NOT(ISBLANK(X619)),VLOOKUP($D$3+X619,Calcs!$A$110:$B$122,2,TRUE),IF(AA619="Failed",VLOOKUP($D$3,Calcs!$A$110:$B$122,2,TRUE),VLOOKUP($D$3-(IF((Character!$B$9+W619)&gt;($D$3+Y619),(Character!$B$9+W619)-($D$3+Y619),0)),Calcs!$A$110:$B$122,2,TRUE))))=Calcs!$B$120,IF(ISBLANK(AC619)," ",CONCATENATE(AC619+7," Years")),IF(AA619=" "," ",IF(NOT(ISBLANK(X619)),VLOOKUP($D$3+X619,Calcs!$A$110:$B$122,2,TRUE),IF(AA619="Failed",VLOOKUP($D$3,Calcs!$A$110:$B$122,2,TRUE),VLOOKUP($D$3-(IF((Character!$B$9+W619)&gt;($D$3+Y619),(Character!$B$9+W619)-($D$3+Y619),0)),Calcs!$A$110:$B$122,2,TRUE)))))</f>
        <v xml:space="preserve"> </v>
      </c>
      <c r="AE619" s="490"/>
      <c r="AF619" s="879"/>
      <c r="AG619" s="491"/>
    </row>
    <row r="620" spans="1:33" x14ac:dyDescent="0.2">
      <c r="A620" s="415">
        <f t="shared" si="18"/>
        <v>1365</v>
      </c>
      <c r="B620" s="419" t="str">
        <f t="shared" si="19"/>
        <v>Winter</v>
      </c>
      <c r="C620" s="455"/>
      <c r="D620" s="504"/>
      <c r="E620" s="455"/>
      <c r="F620" s="504"/>
      <c r="G620" s="455"/>
      <c r="H620" s="504"/>
      <c r="I620" s="455"/>
      <c r="J620" s="504"/>
      <c r="L620" s="472"/>
      <c r="M620" s="468"/>
      <c r="N620" s="468"/>
      <c r="O620" s="468"/>
      <c r="P620" s="468"/>
      <c r="Q620" s="473"/>
      <c r="R620" s="477" t="str">
        <f>IF(AND(COUNTIF('Start Character'!$I$63:$M$77,"Twilight Prone")=1,NOT(ISERROR(FIND("Magical Botch",M620)))),"Yes",IF(P620&gt;1,"Yes","No"))</f>
        <v>No</v>
      </c>
      <c r="S620" s="501"/>
      <c r="T620" s="478"/>
      <c r="U620" s="501"/>
      <c r="V620" s="479" t="str">
        <f>IF(R620="No","No Twilight",IF(T620="Yes","Uncomprehended Twilight",IF((Character!$B$14+IF(Character!$B$53="Yes",0,Character!$B$53)+IF(Magic!$C$5="Yes",2,0)+ROUNDUP((Magic!$B$30+IF(Magic!$C$30="Yes",3,0))/5,0)+S620)&gt;=($D$3+P620+SUMIF(Character!$I$62:$I$66,"Enigmatic Wisdom",Character!$J$62:$J$66)+Q620+U620),"No Twilight","Twilight")))</f>
        <v>No Twilight</v>
      </c>
      <c r="W620" s="483"/>
      <c r="X620" s="478"/>
      <c r="Y620" s="484"/>
      <c r="Z620" s="478"/>
      <c r="AA620" s="485" t="str">
        <f>IF(V620="Uncomprehended Twilight","Failed",IF(OR(ISBLANK(W620),ISBLANK(Y620))," ",IF(NOT(ISBLANK(X620)),"Failed",IF((W620+Character!$B$9+SUMIF(Character!$I$62:$I$66,"Enigmatic Wisdom",Character!$J$62:$J$66))&gt;=IF(Z620="Yes",0,(Y620+D615)),"Succeeded","Failed"))))</f>
        <v xml:space="preserve"> </v>
      </c>
      <c r="AB620" s="477" t="str">
        <f>IF(AA620=" "," ",IF(NOT(ISBLANK(X620)),VLOOKUP($D$3+X620,Calcs!$A$110:$C$122,3,TRUE),IF(AA620="Failed",VLOOKUP($D$3,Calcs!$A$110:$C$122,3,TRUE),VLOOKUP($D$3-(IF((Character!$B$9+W620)&gt;($D$3+Y620),(Character!$B$9+W620)-($D$3+Y620),0)),Calcs!$A$110:$C$122,3,TRUE))))</f>
        <v xml:space="preserve"> </v>
      </c>
      <c r="AC620" s="489"/>
      <c r="AD620" s="489" t="str">
        <f>IF(IF(AA620=" "," ",IF(NOT(ISBLANK(X620)),VLOOKUP($D$3+X620,Calcs!$A$110:$B$122,2,TRUE),IF(AA620="Failed",VLOOKUP($D$3,Calcs!$A$110:$B$122,2,TRUE),VLOOKUP($D$3-(IF((Character!$B$9+W620)&gt;($D$3+Y620),(Character!$B$9+W620)-($D$3+Y620),0)),Calcs!$A$110:$B$122,2,TRUE))))=Calcs!$B$120,IF(ISBLANK(AC620)," ",CONCATENATE(AC620+7," Years")),IF(AA620=" "," ",IF(NOT(ISBLANK(X620)),VLOOKUP($D$3+X620,Calcs!$A$110:$B$122,2,TRUE),IF(AA620="Failed",VLOOKUP($D$3,Calcs!$A$110:$B$122,2,TRUE),VLOOKUP($D$3-(IF((Character!$B$9+W620)&gt;($D$3+Y620),(Character!$B$9+W620)-($D$3+Y620),0)),Calcs!$A$110:$B$122,2,TRUE)))))</f>
        <v xml:space="preserve"> </v>
      </c>
      <c r="AE620" s="490"/>
      <c r="AF620" s="879"/>
      <c r="AG620" s="491"/>
    </row>
    <row r="621" spans="1:33" x14ac:dyDescent="0.2">
      <c r="A621" s="415">
        <f t="shared" si="18"/>
        <v>1365</v>
      </c>
      <c r="B621" s="419" t="str">
        <f t="shared" si="19"/>
        <v>Spring</v>
      </c>
      <c r="C621" s="455"/>
      <c r="D621" s="504"/>
      <c r="E621" s="455"/>
      <c r="F621" s="504"/>
      <c r="G621" s="455"/>
      <c r="H621" s="504"/>
      <c r="I621" s="455"/>
      <c r="J621" s="504"/>
      <c r="L621" s="472"/>
      <c r="M621" s="468"/>
      <c r="N621" s="468"/>
      <c r="O621" s="468"/>
      <c r="P621" s="468"/>
      <c r="Q621" s="473"/>
      <c r="R621" s="477" t="str">
        <f>IF(AND(COUNTIF('Start Character'!$I$63:$M$77,"Twilight Prone")=1,NOT(ISERROR(FIND("Magical Botch",M621)))),"Yes",IF(P621&gt;1,"Yes","No"))</f>
        <v>No</v>
      </c>
      <c r="S621" s="501"/>
      <c r="T621" s="478"/>
      <c r="U621" s="501"/>
      <c r="V621" s="479" t="str">
        <f>IF(R621="No","No Twilight",IF(T621="Yes","Uncomprehended Twilight",IF((Character!$B$14+IF(Character!$B$53="Yes",0,Character!$B$53)+IF(Magic!$C$5="Yes",2,0)+ROUNDUP((Magic!$B$30+IF(Magic!$C$30="Yes",3,0))/5,0)+S621)&gt;=($D$3+P621+SUMIF(Character!$I$62:$I$66,"Enigmatic Wisdom",Character!$J$62:$J$66)+Q621+U621),"No Twilight","Twilight")))</f>
        <v>No Twilight</v>
      </c>
      <c r="W621" s="483"/>
      <c r="X621" s="478"/>
      <c r="Y621" s="484"/>
      <c r="Z621" s="478"/>
      <c r="AA621" s="485" t="str">
        <f>IF(V621="Uncomprehended Twilight","Failed",IF(OR(ISBLANK(W621),ISBLANK(Y621))," ",IF(NOT(ISBLANK(X621)),"Failed",IF((W621+Character!$B$9+SUMIF(Character!$I$62:$I$66,"Enigmatic Wisdom",Character!$J$62:$J$66))&gt;=IF(Z621="Yes",0,(Y621+D616)),"Succeeded","Failed"))))</f>
        <v xml:space="preserve"> </v>
      </c>
      <c r="AB621" s="477" t="str">
        <f>IF(AA621=" "," ",IF(NOT(ISBLANK(X621)),VLOOKUP($D$3+X621,Calcs!$A$110:$C$122,3,TRUE),IF(AA621="Failed",VLOOKUP($D$3,Calcs!$A$110:$C$122,3,TRUE),VLOOKUP($D$3-(IF((Character!$B$9+W621)&gt;($D$3+Y621),(Character!$B$9+W621)-($D$3+Y621),0)),Calcs!$A$110:$C$122,3,TRUE))))</f>
        <v xml:space="preserve"> </v>
      </c>
      <c r="AC621" s="489"/>
      <c r="AD621" s="489" t="str">
        <f>IF(IF(AA621=" "," ",IF(NOT(ISBLANK(X621)),VLOOKUP($D$3+X621,Calcs!$A$110:$B$122,2,TRUE),IF(AA621="Failed",VLOOKUP($D$3,Calcs!$A$110:$B$122,2,TRUE),VLOOKUP($D$3-(IF((Character!$B$9+W621)&gt;($D$3+Y621),(Character!$B$9+W621)-($D$3+Y621),0)),Calcs!$A$110:$B$122,2,TRUE))))=Calcs!$B$120,IF(ISBLANK(AC621)," ",CONCATENATE(AC621+7," Years")),IF(AA621=" "," ",IF(NOT(ISBLANK(X621)),VLOOKUP($D$3+X621,Calcs!$A$110:$B$122,2,TRUE),IF(AA621="Failed",VLOOKUP($D$3,Calcs!$A$110:$B$122,2,TRUE),VLOOKUP($D$3-(IF((Character!$B$9+W621)&gt;($D$3+Y621),(Character!$B$9+W621)-($D$3+Y621),0)),Calcs!$A$110:$B$122,2,TRUE)))))</f>
        <v xml:space="preserve"> </v>
      </c>
      <c r="AE621" s="490"/>
      <c r="AF621" s="879"/>
      <c r="AG621" s="491"/>
    </row>
    <row r="622" spans="1:33" x14ac:dyDescent="0.2">
      <c r="A622" s="415">
        <f t="shared" si="18"/>
        <v>1365</v>
      </c>
      <c r="B622" s="419" t="str">
        <f t="shared" si="19"/>
        <v>Summer</v>
      </c>
      <c r="C622" s="455"/>
      <c r="D622" s="504"/>
      <c r="E622" s="455"/>
      <c r="F622" s="504"/>
      <c r="G622" s="455"/>
      <c r="H622" s="504"/>
      <c r="I622" s="455"/>
      <c r="J622" s="504"/>
      <c r="L622" s="472"/>
      <c r="M622" s="468"/>
      <c r="N622" s="468"/>
      <c r="O622" s="468"/>
      <c r="P622" s="468"/>
      <c r="Q622" s="473"/>
      <c r="R622" s="477" t="str">
        <f>IF(AND(COUNTIF('Start Character'!$I$63:$M$77,"Twilight Prone")=1,NOT(ISERROR(FIND("Magical Botch",M622)))),"Yes",IF(P622&gt;1,"Yes","No"))</f>
        <v>No</v>
      </c>
      <c r="S622" s="501"/>
      <c r="T622" s="478"/>
      <c r="U622" s="501"/>
      <c r="V622" s="479" t="str">
        <f>IF(R622="No","No Twilight",IF(T622="Yes","Uncomprehended Twilight",IF((Character!$B$14+IF(Character!$B$53="Yes",0,Character!$B$53)+IF(Magic!$C$5="Yes",2,0)+ROUNDUP((Magic!$B$30+IF(Magic!$C$30="Yes",3,0))/5,0)+S622)&gt;=($D$3+P622+SUMIF(Character!$I$62:$I$66,"Enigmatic Wisdom",Character!$J$62:$J$66)+Q622+U622),"No Twilight","Twilight")))</f>
        <v>No Twilight</v>
      </c>
      <c r="W622" s="483"/>
      <c r="X622" s="478"/>
      <c r="Y622" s="484"/>
      <c r="Z622" s="478"/>
      <c r="AA622" s="485" t="str">
        <f>IF(V622="Uncomprehended Twilight","Failed",IF(OR(ISBLANK(W622),ISBLANK(Y622))," ",IF(NOT(ISBLANK(X622)),"Failed",IF((W622+Character!$B$9+SUMIF(Character!$I$62:$I$66,"Enigmatic Wisdom",Character!$J$62:$J$66))&gt;=IF(Z622="Yes",0,(Y622+D617)),"Succeeded","Failed"))))</f>
        <v xml:space="preserve"> </v>
      </c>
      <c r="AB622" s="477" t="str">
        <f>IF(AA622=" "," ",IF(NOT(ISBLANK(X622)),VLOOKUP($D$3+X622,Calcs!$A$110:$C$122,3,TRUE),IF(AA622="Failed",VLOOKUP($D$3,Calcs!$A$110:$C$122,3,TRUE),VLOOKUP($D$3-(IF((Character!$B$9+W622)&gt;($D$3+Y622),(Character!$B$9+W622)-($D$3+Y622),0)),Calcs!$A$110:$C$122,3,TRUE))))</f>
        <v xml:space="preserve"> </v>
      </c>
      <c r="AC622" s="489"/>
      <c r="AD622" s="489" t="str">
        <f>IF(IF(AA622=" "," ",IF(NOT(ISBLANK(X622)),VLOOKUP($D$3+X622,Calcs!$A$110:$B$122,2,TRUE),IF(AA622="Failed",VLOOKUP($D$3,Calcs!$A$110:$B$122,2,TRUE),VLOOKUP($D$3-(IF((Character!$B$9+W622)&gt;($D$3+Y622),(Character!$B$9+W622)-($D$3+Y622),0)),Calcs!$A$110:$B$122,2,TRUE))))=Calcs!$B$120,IF(ISBLANK(AC622)," ",CONCATENATE(AC622+7," Years")),IF(AA622=" "," ",IF(NOT(ISBLANK(X622)),VLOOKUP($D$3+X622,Calcs!$A$110:$B$122,2,TRUE),IF(AA622="Failed",VLOOKUP($D$3,Calcs!$A$110:$B$122,2,TRUE),VLOOKUP($D$3-(IF((Character!$B$9+W622)&gt;($D$3+Y622),(Character!$B$9+W622)-($D$3+Y622),0)),Calcs!$A$110:$B$122,2,TRUE)))))</f>
        <v xml:space="preserve"> </v>
      </c>
      <c r="AE622" s="490"/>
      <c r="AF622" s="879"/>
      <c r="AG622" s="491"/>
    </row>
    <row r="623" spans="1:33" x14ac:dyDescent="0.2">
      <c r="A623" s="415">
        <f t="shared" si="18"/>
        <v>1365</v>
      </c>
      <c r="B623" s="419" t="str">
        <f t="shared" si="19"/>
        <v>Autumn</v>
      </c>
      <c r="C623" s="455"/>
      <c r="D623" s="504"/>
      <c r="E623" s="455"/>
      <c r="F623" s="504"/>
      <c r="G623" s="455"/>
      <c r="H623" s="504"/>
      <c r="I623" s="455"/>
      <c r="J623" s="504"/>
      <c r="L623" s="472"/>
      <c r="M623" s="468"/>
      <c r="N623" s="468"/>
      <c r="O623" s="468"/>
      <c r="P623" s="468"/>
      <c r="Q623" s="473"/>
      <c r="R623" s="477" t="str">
        <f>IF(AND(COUNTIF('Start Character'!$I$63:$M$77,"Twilight Prone")=1,NOT(ISERROR(FIND("Magical Botch",M623)))),"Yes",IF(P623&gt;1,"Yes","No"))</f>
        <v>No</v>
      </c>
      <c r="S623" s="501"/>
      <c r="T623" s="478"/>
      <c r="U623" s="501"/>
      <c r="V623" s="479" t="str">
        <f>IF(R623="No","No Twilight",IF(T623="Yes","Uncomprehended Twilight",IF((Character!$B$14+IF(Character!$B$53="Yes",0,Character!$B$53)+IF(Magic!$C$5="Yes",2,0)+ROUNDUP((Magic!$B$30+IF(Magic!$C$30="Yes",3,0))/5,0)+S623)&gt;=($D$3+P623+SUMIF(Character!$I$62:$I$66,"Enigmatic Wisdom",Character!$J$62:$J$66)+Q623+U623),"No Twilight","Twilight")))</f>
        <v>No Twilight</v>
      </c>
      <c r="W623" s="483"/>
      <c r="X623" s="478"/>
      <c r="Y623" s="484"/>
      <c r="Z623" s="478"/>
      <c r="AA623" s="485" t="str">
        <f>IF(V623="Uncomprehended Twilight","Failed",IF(OR(ISBLANK(W623),ISBLANK(Y623))," ",IF(NOT(ISBLANK(X623)),"Failed",IF((W623+Character!$B$9+SUMIF(Character!$I$62:$I$66,"Enigmatic Wisdom",Character!$J$62:$J$66))&gt;=IF(Z623="Yes",0,(Y623+D618)),"Succeeded","Failed"))))</f>
        <v xml:space="preserve"> </v>
      </c>
      <c r="AB623" s="477" t="str">
        <f>IF(AA623=" "," ",IF(NOT(ISBLANK(X623)),VLOOKUP($D$3+X623,Calcs!$A$110:$C$122,3,TRUE),IF(AA623="Failed",VLOOKUP($D$3,Calcs!$A$110:$C$122,3,TRUE),VLOOKUP($D$3-(IF((Character!$B$9+W623)&gt;($D$3+Y623),(Character!$B$9+W623)-($D$3+Y623),0)),Calcs!$A$110:$C$122,3,TRUE))))</f>
        <v xml:space="preserve"> </v>
      </c>
      <c r="AC623" s="489"/>
      <c r="AD623" s="489" t="str">
        <f>IF(IF(AA623=" "," ",IF(NOT(ISBLANK(X623)),VLOOKUP($D$3+X623,Calcs!$A$110:$B$122,2,TRUE),IF(AA623="Failed",VLOOKUP($D$3,Calcs!$A$110:$B$122,2,TRUE),VLOOKUP($D$3-(IF((Character!$B$9+W623)&gt;($D$3+Y623),(Character!$B$9+W623)-($D$3+Y623),0)),Calcs!$A$110:$B$122,2,TRUE))))=Calcs!$B$120,IF(ISBLANK(AC623)," ",CONCATENATE(AC623+7," Years")),IF(AA623=" "," ",IF(NOT(ISBLANK(X623)),VLOOKUP($D$3+X623,Calcs!$A$110:$B$122,2,TRUE),IF(AA623="Failed",VLOOKUP($D$3,Calcs!$A$110:$B$122,2,TRUE),VLOOKUP($D$3-(IF((Character!$B$9+W623)&gt;($D$3+Y623),(Character!$B$9+W623)-($D$3+Y623),0)),Calcs!$A$110:$B$122,2,TRUE)))))</f>
        <v xml:space="preserve"> </v>
      </c>
      <c r="AE623" s="490"/>
      <c r="AF623" s="879"/>
      <c r="AG623" s="491"/>
    </row>
    <row r="624" spans="1:33" x14ac:dyDescent="0.2">
      <c r="A624" s="415">
        <f t="shared" si="18"/>
        <v>1366</v>
      </c>
      <c r="B624" s="419" t="str">
        <f t="shared" si="19"/>
        <v>Winter</v>
      </c>
      <c r="C624" s="455"/>
      <c r="D624" s="504"/>
      <c r="E624" s="455"/>
      <c r="F624" s="504"/>
      <c r="G624" s="455"/>
      <c r="H624" s="504"/>
      <c r="I624" s="455"/>
      <c r="J624" s="504"/>
      <c r="L624" s="472"/>
      <c r="M624" s="468"/>
      <c r="N624" s="468"/>
      <c r="O624" s="468"/>
      <c r="P624" s="468"/>
      <c r="Q624" s="473"/>
      <c r="R624" s="477" t="str">
        <f>IF(AND(COUNTIF('Start Character'!$I$63:$M$77,"Twilight Prone")=1,NOT(ISERROR(FIND("Magical Botch",M624)))),"Yes",IF(P624&gt;1,"Yes","No"))</f>
        <v>No</v>
      </c>
      <c r="S624" s="501"/>
      <c r="T624" s="478"/>
      <c r="U624" s="501"/>
      <c r="V624" s="479" t="str">
        <f>IF(R624="No","No Twilight",IF(T624="Yes","Uncomprehended Twilight",IF((Character!$B$14+IF(Character!$B$53="Yes",0,Character!$B$53)+IF(Magic!$C$5="Yes",2,0)+ROUNDUP((Magic!$B$30+IF(Magic!$C$30="Yes",3,0))/5,0)+S624)&gt;=($D$3+P624+SUMIF(Character!$I$62:$I$66,"Enigmatic Wisdom",Character!$J$62:$J$66)+Q624+U624),"No Twilight","Twilight")))</f>
        <v>No Twilight</v>
      </c>
      <c r="W624" s="483"/>
      <c r="X624" s="478"/>
      <c r="Y624" s="484"/>
      <c r="Z624" s="478"/>
      <c r="AA624" s="485" t="str">
        <f>IF(V624="Uncomprehended Twilight","Failed",IF(OR(ISBLANK(W624),ISBLANK(Y624))," ",IF(NOT(ISBLANK(X624)),"Failed",IF((W624+Character!$B$9+SUMIF(Character!$I$62:$I$66,"Enigmatic Wisdom",Character!$J$62:$J$66))&gt;=IF(Z624="Yes",0,(Y624+D619)),"Succeeded","Failed"))))</f>
        <v xml:space="preserve"> </v>
      </c>
      <c r="AB624" s="477" t="str">
        <f>IF(AA624=" "," ",IF(NOT(ISBLANK(X624)),VLOOKUP($D$3+X624,Calcs!$A$110:$C$122,3,TRUE),IF(AA624="Failed",VLOOKUP($D$3,Calcs!$A$110:$C$122,3,TRUE),VLOOKUP($D$3-(IF((Character!$B$9+W624)&gt;($D$3+Y624),(Character!$B$9+W624)-($D$3+Y624),0)),Calcs!$A$110:$C$122,3,TRUE))))</f>
        <v xml:space="preserve"> </v>
      </c>
      <c r="AC624" s="489"/>
      <c r="AD624" s="489" t="str">
        <f>IF(IF(AA624=" "," ",IF(NOT(ISBLANK(X624)),VLOOKUP($D$3+X624,Calcs!$A$110:$B$122,2,TRUE),IF(AA624="Failed",VLOOKUP($D$3,Calcs!$A$110:$B$122,2,TRUE),VLOOKUP($D$3-(IF((Character!$B$9+W624)&gt;($D$3+Y624),(Character!$B$9+W624)-($D$3+Y624),0)),Calcs!$A$110:$B$122,2,TRUE))))=Calcs!$B$120,IF(ISBLANK(AC624)," ",CONCATENATE(AC624+7," Years")),IF(AA624=" "," ",IF(NOT(ISBLANK(X624)),VLOOKUP($D$3+X624,Calcs!$A$110:$B$122,2,TRUE),IF(AA624="Failed",VLOOKUP($D$3,Calcs!$A$110:$B$122,2,TRUE),VLOOKUP($D$3-(IF((Character!$B$9+W624)&gt;($D$3+Y624),(Character!$B$9+W624)-($D$3+Y624),0)),Calcs!$A$110:$B$122,2,TRUE)))))</f>
        <v xml:space="preserve"> </v>
      </c>
      <c r="AE624" s="490"/>
      <c r="AF624" s="879"/>
      <c r="AG624" s="491"/>
    </row>
    <row r="625" spans="1:33" x14ac:dyDescent="0.2">
      <c r="A625" s="415">
        <f t="shared" si="18"/>
        <v>1366</v>
      </c>
      <c r="B625" s="419" t="str">
        <f t="shared" si="19"/>
        <v>Spring</v>
      </c>
      <c r="C625" s="455"/>
      <c r="D625" s="504"/>
      <c r="E625" s="455"/>
      <c r="F625" s="504"/>
      <c r="G625" s="455"/>
      <c r="H625" s="504"/>
      <c r="I625" s="455"/>
      <c r="J625" s="504"/>
      <c r="L625" s="472"/>
      <c r="M625" s="468"/>
      <c r="N625" s="468"/>
      <c r="O625" s="468"/>
      <c r="P625" s="468"/>
      <c r="Q625" s="473"/>
      <c r="R625" s="477" t="str">
        <f>IF(AND(COUNTIF('Start Character'!$I$63:$M$77,"Twilight Prone")=1,NOT(ISERROR(FIND("Magical Botch",M625)))),"Yes",IF(P625&gt;1,"Yes","No"))</f>
        <v>No</v>
      </c>
      <c r="S625" s="501"/>
      <c r="T625" s="478"/>
      <c r="U625" s="501"/>
      <c r="V625" s="479" t="str">
        <f>IF(R625="No","No Twilight",IF(T625="Yes","Uncomprehended Twilight",IF((Character!$B$14+IF(Character!$B$53="Yes",0,Character!$B$53)+IF(Magic!$C$5="Yes",2,0)+ROUNDUP((Magic!$B$30+IF(Magic!$C$30="Yes",3,0))/5,0)+S625)&gt;=($D$3+P625+SUMIF(Character!$I$62:$I$66,"Enigmatic Wisdom",Character!$J$62:$J$66)+Q625+U625),"No Twilight","Twilight")))</f>
        <v>No Twilight</v>
      </c>
      <c r="W625" s="483"/>
      <c r="X625" s="478"/>
      <c r="Y625" s="484"/>
      <c r="Z625" s="478"/>
      <c r="AA625" s="485" t="str">
        <f>IF(V625="Uncomprehended Twilight","Failed",IF(OR(ISBLANK(W625),ISBLANK(Y625))," ",IF(NOT(ISBLANK(X625)),"Failed",IF((W625+Character!$B$9+SUMIF(Character!$I$62:$I$66,"Enigmatic Wisdom",Character!$J$62:$J$66))&gt;=IF(Z625="Yes",0,(Y625+D620)),"Succeeded","Failed"))))</f>
        <v xml:space="preserve"> </v>
      </c>
      <c r="AB625" s="477" t="str">
        <f>IF(AA625=" "," ",IF(NOT(ISBLANK(X625)),VLOOKUP($D$3+X625,Calcs!$A$110:$C$122,3,TRUE),IF(AA625="Failed",VLOOKUP($D$3,Calcs!$A$110:$C$122,3,TRUE),VLOOKUP($D$3-(IF((Character!$B$9+W625)&gt;($D$3+Y625),(Character!$B$9+W625)-($D$3+Y625),0)),Calcs!$A$110:$C$122,3,TRUE))))</f>
        <v xml:space="preserve"> </v>
      </c>
      <c r="AC625" s="489"/>
      <c r="AD625" s="489" t="str">
        <f>IF(IF(AA625=" "," ",IF(NOT(ISBLANK(X625)),VLOOKUP($D$3+X625,Calcs!$A$110:$B$122,2,TRUE),IF(AA625="Failed",VLOOKUP($D$3,Calcs!$A$110:$B$122,2,TRUE),VLOOKUP($D$3-(IF((Character!$B$9+W625)&gt;($D$3+Y625),(Character!$B$9+W625)-($D$3+Y625),0)),Calcs!$A$110:$B$122,2,TRUE))))=Calcs!$B$120,IF(ISBLANK(AC625)," ",CONCATENATE(AC625+7," Years")),IF(AA625=" "," ",IF(NOT(ISBLANK(X625)),VLOOKUP($D$3+X625,Calcs!$A$110:$B$122,2,TRUE),IF(AA625="Failed",VLOOKUP($D$3,Calcs!$A$110:$B$122,2,TRUE),VLOOKUP($D$3-(IF((Character!$B$9+W625)&gt;($D$3+Y625),(Character!$B$9+W625)-($D$3+Y625),0)),Calcs!$A$110:$B$122,2,TRUE)))))</f>
        <v xml:space="preserve"> </v>
      </c>
      <c r="AE625" s="490"/>
      <c r="AF625" s="879"/>
      <c r="AG625" s="491"/>
    </row>
    <row r="626" spans="1:33" x14ac:dyDescent="0.2">
      <c r="A626" s="415">
        <f t="shared" si="18"/>
        <v>1366</v>
      </c>
      <c r="B626" s="419" t="str">
        <f t="shared" si="19"/>
        <v>Summer</v>
      </c>
      <c r="C626" s="455"/>
      <c r="D626" s="504"/>
      <c r="E626" s="455"/>
      <c r="F626" s="504"/>
      <c r="G626" s="455"/>
      <c r="H626" s="504"/>
      <c r="I626" s="455"/>
      <c r="J626" s="504"/>
      <c r="L626" s="472"/>
      <c r="M626" s="468"/>
      <c r="N626" s="468"/>
      <c r="O626" s="468"/>
      <c r="P626" s="468"/>
      <c r="Q626" s="473"/>
      <c r="R626" s="477" t="str">
        <f>IF(AND(COUNTIF('Start Character'!$I$63:$M$77,"Twilight Prone")=1,NOT(ISERROR(FIND("Magical Botch",M626)))),"Yes",IF(P626&gt;1,"Yes","No"))</f>
        <v>No</v>
      </c>
      <c r="S626" s="501"/>
      <c r="T626" s="478"/>
      <c r="U626" s="501"/>
      <c r="V626" s="479" t="str">
        <f>IF(R626="No","No Twilight",IF(T626="Yes","Uncomprehended Twilight",IF((Character!$B$14+IF(Character!$B$53="Yes",0,Character!$B$53)+IF(Magic!$C$5="Yes",2,0)+ROUNDUP((Magic!$B$30+IF(Magic!$C$30="Yes",3,0))/5,0)+S626)&gt;=($D$3+P626+SUMIF(Character!$I$62:$I$66,"Enigmatic Wisdom",Character!$J$62:$J$66)+Q626+U626),"No Twilight","Twilight")))</f>
        <v>No Twilight</v>
      </c>
      <c r="W626" s="483"/>
      <c r="X626" s="478"/>
      <c r="Y626" s="484"/>
      <c r="Z626" s="478"/>
      <c r="AA626" s="485" t="str">
        <f>IF(V626="Uncomprehended Twilight","Failed",IF(OR(ISBLANK(W626),ISBLANK(Y626))," ",IF(NOT(ISBLANK(X626)),"Failed",IF((W626+Character!$B$9+SUMIF(Character!$I$62:$I$66,"Enigmatic Wisdom",Character!$J$62:$J$66))&gt;=IF(Z626="Yes",0,(Y626+D621)),"Succeeded","Failed"))))</f>
        <v xml:space="preserve"> </v>
      </c>
      <c r="AB626" s="477" t="str">
        <f>IF(AA626=" "," ",IF(NOT(ISBLANK(X626)),VLOOKUP($D$3+X626,Calcs!$A$110:$C$122,3,TRUE),IF(AA626="Failed",VLOOKUP($D$3,Calcs!$A$110:$C$122,3,TRUE),VLOOKUP($D$3-(IF((Character!$B$9+W626)&gt;($D$3+Y626),(Character!$B$9+W626)-($D$3+Y626),0)),Calcs!$A$110:$C$122,3,TRUE))))</f>
        <v xml:space="preserve"> </v>
      </c>
      <c r="AC626" s="489"/>
      <c r="AD626" s="489" t="str">
        <f>IF(IF(AA626=" "," ",IF(NOT(ISBLANK(X626)),VLOOKUP($D$3+X626,Calcs!$A$110:$B$122,2,TRUE),IF(AA626="Failed",VLOOKUP($D$3,Calcs!$A$110:$B$122,2,TRUE),VLOOKUP($D$3-(IF((Character!$B$9+W626)&gt;($D$3+Y626),(Character!$B$9+W626)-($D$3+Y626),0)),Calcs!$A$110:$B$122,2,TRUE))))=Calcs!$B$120,IF(ISBLANK(AC626)," ",CONCATENATE(AC626+7," Years")),IF(AA626=" "," ",IF(NOT(ISBLANK(X626)),VLOOKUP($D$3+X626,Calcs!$A$110:$B$122,2,TRUE),IF(AA626="Failed",VLOOKUP($D$3,Calcs!$A$110:$B$122,2,TRUE),VLOOKUP($D$3-(IF((Character!$B$9+W626)&gt;($D$3+Y626),(Character!$B$9+W626)-($D$3+Y626),0)),Calcs!$A$110:$B$122,2,TRUE)))))</f>
        <v xml:space="preserve"> </v>
      </c>
      <c r="AE626" s="490"/>
      <c r="AF626" s="879"/>
      <c r="AG626" s="491"/>
    </row>
    <row r="627" spans="1:33" x14ac:dyDescent="0.2">
      <c r="A627" s="415">
        <f t="shared" si="18"/>
        <v>1366</v>
      </c>
      <c r="B627" s="419" t="str">
        <f t="shared" si="19"/>
        <v>Autumn</v>
      </c>
      <c r="C627" s="455"/>
      <c r="D627" s="504"/>
      <c r="E627" s="455"/>
      <c r="F627" s="504"/>
      <c r="G627" s="455"/>
      <c r="H627" s="504"/>
      <c r="I627" s="455"/>
      <c r="J627" s="504"/>
      <c r="L627" s="472"/>
      <c r="M627" s="468"/>
      <c r="N627" s="468"/>
      <c r="O627" s="468"/>
      <c r="P627" s="468"/>
      <c r="Q627" s="473"/>
      <c r="R627" s="477" t="str">
        <f>IF(AND(COUNTIF('Start Character'!$I$63:$M$77,"Twilight Prone")=1,NOT(ISERROR(FIND("Magical Botch",M627)))),"Yes",IF(P627&gt;1,"Yes","No"))</f>
        <v>No</v>
      </c>
      <c r="S627" s="501"/>
      <c r="T627" s="478"/>
      <c r="U627" s="501"/>
      <c r="V627" s="479" t="str">
        <f>IF(R627="No","No Twilight",IF(T627="Yes","Uncomprehended Twilight",IF((Character!$B$14+IF(Character!$B$53="Yes",0,Character!$B$53)+IF(Magic!$C$5="Yes",2,0)+ROUNDUP((Magic!$B$30+IF(Magic!$C$30="Yes",3,0))/5,0)+S627)&gt;=($D$3+P627+SUMIF(Character!$I$62:$I$66,"Enigmatic Wisdom",Character!$J$62:$J$66)+Q627+U627),"No Twilight","Twilight")))</f>
        <v>No Twilight</v>
      </c>
      <c r="W627" s="483"/>
      <c r="X627" s="478"/>
      <c r="Y627" s="484"/>
      <c r="Z627" s="478"/>
      <c r="AA627" s="485" t="str">
        <f>IF(V627="Uncomprehended Twilight","Failed",IF(OR(ISBLANK(W627),ISBLANK(Y627))," ",IF(NOT(ISBLANK(X627)),"Failed",IF((W627+Character!$B$9+SUMIF(Character!$I$62:$I$66,"Enigmatic Wisdom",Character!$J$62:$J$66))&gt;=IF(Z627="Yes",0,(Y627+D622)),"Succeeded","Failed"))))</f>
        <v xml:space="preserve"> </v>
      </c>
      <c r="AB627" s="477" t="str">
        <f>IF(AA627=" "," ",IF(NOT(ISBLANK(X627)),VLOOKUP($D$3+X627,Calcs!$A$110:$C$122,3,TRUE),IF(AA627="Failed",VLOOKUP($D$3,Calcs!$A$110:$C$122,3,TRUE),VLOOKUP($D$3-(IF((Character!$B$9+W627)&gt;($D$3+Y627),(Character!$B$9+W627)-($D$3+Y627),0)),Calcs!$A$110:$C$122,3,TRUE))))</f>
        <v xml:space="preserve"> </v>
      </c>
      <c r="AC627" s="489"/>
      <c r="AD627" s="489" t="str">
        <f>IF(IF(AA627=" "," ",IF(NOT(ISBLANK(X627)),VLOOKUP($D$3+X627,Calcs!$A$110:$B$122,2,TRUE),IF(AA627="Failed",VLOOKUP($D$3,Calcs!$A$110:$B$122,2,TRUE),VLOOKUP($D$3-(IF((Character!$B$9+W627)&gt;($D$3+Y627),(Character!$B$9+W627)-($D$3+Y627),0)),Calcs!$A$110:$B$122,2,TRUE))))=Calcs!$B$120,IF(ISBLANK(AC627)," ",CONCATENATE(AC627+7," Years")),IF(AA627=" "," ",IF(NOT(ISBLANK(X627)),VLOOKUP($D$3+X627,Calcs!$A$110:$B$122,2,TRUE),IF(AA627="Failed",VLOOKUP($D$3,Calcs!$A$110:$B$122,2,TRUE),VLOOKUP($D$3-(IF((Character!$B$9+W627)&gt;($D$3+Y627),(Character!$B$9+W627)-($D$3+Y627),0)),Calcs!$A$110:$B$122,2,TRUE)))))</f>
        <v xml:space="preserve"> </v>
      </c>
      <c r="AE627" s="490"/>
      <c r="AF627" s="879"/>
      <c r="AG627" s="491"/>
    </row>
    <row r="628" spans="1:33" x14ac:dyDescent="0.2">
      <c r="A628" s="415">
        <f t="shared" si="18"/>
        <v>1367</v>
      </c>
      <c r="B628" s="419" t="str">
        <f t="shared" si="19"/>
        <v>Winter</v>
      </c>
      <c r="C628" s="455"/>
      <c r="D628" s="504"/>
      <c r="E628" s="455"/>
      <c r="F628" s="504"/>
      <c r="G628" s="455"/>
      <c r="H628" s="504"/>
      <c r="I628" s="455"/>
      <c r="J628" s="504"/>
      <c r="L628" s="472"/>
      <c r="M628" s="468"/>
      <c r="N628" s="468"/>
      <c r="O628" s="468"/>
      <c r="P628" s="468"/>
      <c r="Q628" s="473"/>
      <c r="R628" s="477" t="str">
        <f>IF(AND(COUNTIF('Start Character'!$I$63:$M$77,"Twilight Prone")=1,NOT(ISERROR(FIND("Magical Botch",M628)))),"Yes",IF(P628&gt;1,"Yes","No"))</f>
        <v>No</v>
      </c>
      <c r="S628" s="501"/>
      <c r="T628" s="478"/>
      <c r="U628" s="501"/>
      <c r="V628" s="479" t="str">
        <f>IF(R628="No","No Twilight",IF(T628="Yes","Uncomprehended Twilight",IF((Character!$B$14+IF(Character!$B$53="Yes",0,Character!$B$53)+IF(Magic!$C$5="Yes",2,0)+ROUNDUP((Magic!$B$30+IF(Magic!$C$30="Yes",3,0))/5,0)+S628)&gt;=($D$3+P628+SUMIF(Character!$I$62:$I$66,"Enigmatic Wisdom",Character!$J$62:$J$66)+Q628+U628),"No Twilight","Twilight")))</f>
        <v>No Twilight</v>
      </c>
      <c r="W628" s="483"/>
      <c r="X628" s="478"/>
      <c r="Y628" s="484"/>
      <c r="Z628" s="478"/>
      <c r="AA628" s="485" t="str">
        <f>IF(V628="Uncomprehended Twilight","Failed",IF(OR(ISBLANK(W628),ISBLANK(Y628))," ",IF(NOT(ISBLANK(X628)),"Failed",IF((W628+Character!$B$9+SUMIF(Character!$I$62:$I$66,"Enigmatic Wisdom",Character!$J$62:$J$66))&gt;=IF(Z628="Yes",0,(Y628+D623)),"Succeeded","Failed"))))</f>
        <v xml:space="preserve"> </v>
      </c>
      <c r="AB628" s="477" t="str">
        <f>IF(AA628=" "," ",IF(NOT(ISBLANK(X628)),VLOOKUP($D$3+X628,Calcs!$A$110:$C$122,3,TRUE),IF(AA628="Failed",VLOOKUP($D$3,Calcs!$A$110:$C$122,3,TRUE),VLOOKUP($D$3-(IF((Character!$B$9+W628)&gt;($D$3+Y628),(Character!$B$9+W628)-($D$3+Y628),0)),Calcs!$A$110:$C$122,3,TRUE))))</f>
        <v xml:space="preserve"> </v>
      </c>
      <c r="AC628" s="489"/>
      <c r="AD628" s="489" t="str">
        <f>IF(IF(AA628=" "," ",IF(NOT(ISBLANK(X628)),VLOOKUP($D$3+X628,Calcs!$A$110:$B$122,2,TRUE),IF(AA628="Failed",VLOOKUP($D$3,Calcs!$A$110:$B$122,2,TRUE),VLOOKUP($D$3-(IF((Character!$B$9+W628)&gt;($D$3+Y628),(Character!$B$9+W628)-($D$3+Y628),0)),Calcs!$A$110:$B$122,2,TRUE))))=Calcs!$B$120,IF(ISBLANK(AC628)," ",CONCATENATE(AC628+7," Years")),IF(AA628=" "," ",IF(NOT(ISBLANK(X628)),VLOOKUP($D$3+X628,Calcs!$A$110:$B$122,2,TRUE),IF(AA628="Failed",VLOOKUP($D$3,Calcs!$A$110:$B$122,2,TRUE),VLOOKUP($D$3-(IF((Character!$B$9+W628)&gt;($D$3+Y628),(Character!$B$9+W628)-($D$3+Y628),0)),Calcs!$A$110:$B$122,2,TRUE)))))</f>
        <v xml:space="preserve"> </v>
      </c>
      <c r="AE628" s="490"/>
      <c r="AF628" s="879"/>
      <c r="AG628" s="491"/>
    </row>
    <row r="629" spans="1:33" x14ac:dyDescent="0.2">
      <c r="A629" s="415">
        <f t="shared" si="18"/>
        <v>1367</v>
      </c>
      <c r="B629" s="419" t="str">
        <f t="shared" si="19"/>
        <v>Spring</v>
      </c>
      <c r="C629" s="455"/>
      <c r="D629" s="504"/>
      <c r="E629" s="455"/>
      <c r="F629" s="504"/>
      <c r="G629" s="455"/>
      <c r="H629" s="504"/>
      <c r="I629" s="455"/>
      <c r="J629" s="504"/>
      <c r="L629" s="472"/>
      <c r="M629" s="468"/>
      <c r="N629" s="468"/>
      <c r="O629" s="468"/>
      <c r="P629" s="468"/>
      <c r="Q629" s="473"/>
      <c r="R629" s="477" t="str">
        <f>IF(AND(COUNTIF('Start Character'!$I$63:$M$77,"Twilight Prone")=1,NOT(ISERROR(FIND("Magical Botch",M629)))),"Yes",IF(P629&gt;1,"Yes","No"))</f>
        <v>No</v>
      </c>
      <c r="S629" s="501"/>
      <c r="T629" s="478"/>
      <c r="U629" s="501"/>
      <c r="V629" s="479" t="str">
        <f>IF(R629="No","No Twilight",IF(T629="Yes","Uncomprehended Twilight",IF((Character!$B$14+IF(Character!$B$53="Yes",0,Character!$B$53)+IF(Magic!$C$5="Yes",2,0)+ROUNDUP((Magic!$B$30+IF(Magic!$C$30="Yes",3,0))/5,0)+S629)&gt;=($D$3+P629+SUMIF(Character!$I$62:$I$66,"Enigmatic Wisdom",Character!$J$62:$J$66)+Q629+U629),"No Twilight","Twilight")))</f>
        <v>No Twilight</v>
      </c>
      <c r="W629" s="483"/>
      <c r="X629" s="478"/>
      <c r="Y629" s="484"/>
      <c r="Z629" s="478"/>
      <c r="AA629" s="485" t="str">
        <f>IF(V629="Uncomprehended Twilight","Failed",IF(OR(ISBLANK(W629),ISBLANK(Y629))," ",IF(NOT(ISBLANK(X629)),"Failed",IF((W629+Character!$B$9+SUMIF(Character!$I$62:$I$66,"Enigmatic Wisdom",Character!$J$62:$J$66))&gt;=IF(Z629="Yes",0,(Y629+D624)),"Succeeded","Failed"))))</f>
        <v xml:space="preserve"> </v>
      </c>
      <c r="AB629" s="477" t="str">
        <f>IF(AA629=" "," ",IF(NOT(ISBLANK(X629)),VLOOKUP($D$3+X629,Calcs!$A$110:$C$122,3,TRUE),IF(AA629="Failed",VLOOKUP($D$3,Calcs!$A$110:$C$122,3,TRUE),VLOOKUP($D$3-(IF((Character!$B$9+W629)&gt;($D$3+Y629),(Character!$B$9+W629)-($D$3+Y629),0)),Calcs!$A$110:$C$122,3,TRUE))))</f>
        <v xml:space="preserve"> </v>
      </c>
      <c r="AC629" s="489"/>
      <c r="AD629" s="489" t="str">
        <f>IF(IF(AA629=" "," ",IF(NOT(ISBLANK(X629)),VLOOKUP($D$3+X629,Calcs!$A$110:$B$122,2,TRUE),IF(AA629="Failed",VLOOKUP($D$3,Calcs!$A$110:$B$122,2,TRUE),VLOOKUP($D$3-(IF((Character!$B$9+W629)&gt;($D$3+Y629),(Character!$B$9+W629)-($D$3+Y629),0)),Calcs!$A$110:$B$122,2,TRUE))))=Calcs!$B$120,IF(ISBLANK(AC629)," ",CONCATENATE(AC629+7," Years")),IF(AA629=" "," ",IF(NOT(ISBLANK(X629)),VLOOKUP($D$3+X629,Calcs!$A$110:$B$122,2,TRUE),IF(AA629="Failed",VLOOKUP($D$3,Calcs!$A$110:$B$122,2,TRUE),VLOOKUP($D$3-(IF((Character!$B$9+W629)&gt;($D$3+Y629),(Character!$B$9+W629)-($D$3+Y629),0)),Calcs!$A$110:$B$122,2,TRUE)))))</f>
        <v xml:space="preserve"> </v>
      </c>
      <c r="AE629" s="490"/>
      <c r="AF629" s="879"/>
      <c r="AG629" s="491"/>
    </row>
    <row r="630" spans="1:33" x14ac:dyDescent="0.2">
      <c r="A630" s="415">
        <f t="shared" si="18"/>
        <v>1367</v>
      </c>
      <c r="B630" s="419" t="str">
        <f t="shared" si="19"/>
        <v>Summer</v>
      </c>
      <c r="C630" s="455"/>
      <c r="D630" s="504"/>
      <c r="E630" s="455"/>
      <c r="F630" s="504"/>
      <c r="G630" s="455"/>
      <c r="H630" s="504"/>
      <c r="I630" s="455"/>
      <c r="J630" s="504"/>
      <c r="L630" s="472"/>
      <c r="M630" s="468"/>
      <c r="N630" s="468"/>
      <c r="O630" s="468"/>
      <c r="P630" s="468"/>
      <c r="Q630" s="473"/>
      <c r="R630" s="477" t="str">
        <f>IF(AND(COUNTIF('Start Character'!$I$63:$M$77,"Twilight Prone")=1,NOT(ISERROR(FIND("Magical Botch",M630)))),"Yes",IF(P630&gt;1,"Yes","No"))</f>
        <v>No</v>
      </c>
      <c r="S630" s="501"/>
      <c r="T630" s="478"/>
      <c r="U630" s="501"/>
      <c r="V630" s="479" t="str">
        <f>IF(R630="No","No Twilight",IF(T630="Yes","Uncomprehended Twilight",IF((Character!$B$14+IF(Character!$B$53="Yes",0,Character!$B$53)+IF(Magic!$C$5="Yes",2,0)+ROUNDUP((Magic!$B$30+IF(Magic!$C$30="Yes",3,0))/5,0)+S630)&gt;=($D$3+P630+SUMIF(Character!$I$62:$I$66,"Enigmatic Wisdom",Character!$J$62:$J$66)+Q630+U630),"No Twilight","Twilight")))</f>
        <v>No Twilight</v>
      </c>
      <c r="W630" s="483"/>
      <c r="X630" s="478"/>
      <c r="Y630" s="484"/>
      <c r="Z630" s="478"/>
      <c r="AA630" s="485" t="str">
        <f>IF(V630="Uncomprehended Twilight","Failed",IF(OR(ISBLANK(W630),ISBLANK(Y630))," ",IF(NOT(ISBLANK(X630)),"Failed",IF((W630+Character!$B$9+SUMIF(Character!$I$62:$I$66,"Enigmatic Wisdom",Character!$J$62:$J$66))&gt;=IF(Z630="Yes",0,(Y630+D625)),"Succeeded","Failed"))))</f>
        <v xml:space="preserve"> </v>
      </c>
      <c r="AB630" s="477" t="str">
        <f>IF(AA630=" "," ",IF(NOT(ISBLANK(X630)),VLOOKUP($D$3+X630,Calcs!$A$110:$C$122,3,TRUE),IF(AA630="Failed",VLOOKUP($D$3,Calcs!$A$110:$C$122,3,TRUE),VLOOKUP($D$3-(IF((Character!$B$9+W630)&gt;($D$3+Y630),(Character!$B$9+W630)-($D$3+Y630),0)),Calcs!$A$110:$C$122,3,TRUE))))</f>
        <v xml:space="preserve"> </v>
      </c>
      <c r="AC630" s="489"/>
      <c r="AD630" s="489" t="str">
        <f>IF(IF(AA630=" "," ",IF(NOT(ISBLANK(X630)),VLOOKUP($D$3+X630,Calcs!$A$110:$B$122,2,TRUE),IF(AA630="Failed",VLOOKUP($D$3,Calcs!$A$110:$B$122,2,TRUE),VLOOKUP($D$3-(IF((Character!$B$9+W630)&gt;($D$3+Y630),(Character!$B$9+W630)-($D$3+Y630),0)),Calcs!$A$110:$B$122,2,TRUE))))=Calcs!$B$120,IF(ISBLANK(AC630)," ",CONCATENATE(AC630+7," Years")),IF(AA630=" "," ",IF(NOT(ISBLANK(X630)),VLOOKUP($D$3+X630,Calcs!$A$110:$B$122,2,TRUE),IF(AA630="Failed",VLOOKUP($D$3,Calcs!$A$110:$B$122,2,TRUE),VLOOKUP($D$3-(IF((Character!$B$9+W630)&gt;($D$3+Y630),(Character!$B$9+W630)-($D$3+Y630),0)),Calcs!$A$110:$B$122,2,TRUE)))))</f>
        <v xml:space="preserve"> </v>
      </c>
      <c r="AE630" s="490"/>
      <c r="AF630" s="879"/>
      <c r="AG630" s="491"/>
    </row>
    <row r="631" spans="1:33" x14ac:dyDescent="0.2">
      <c r="A631" s="415">
        <f t="shared" si="18"/>
        <v>1367</v>
      </c>
      <c r="B631" s="419" t="str">
        <f t="shared" si="19"/>
        <v>Autumn</v>
      </c>
      <c r="C631" s="455"/>
      <c r="D631" s="504"/>
      <c r="E631" s="455"/>
      <c r="F631" s="504"/>
      <c r="G631" s="455"/>
      <c r="H631" s="504"/>
      <c r="I631" s="455"/>
      <c r="J631" s="504"/>
      <c r="L631" s="472"/>
      <c r="M631" s="468"/>
      <c r="N631" s="468"/>
      <c r="O631" s="468"/>
      <c r="P631" s="468"/>
      <c r="Q631" s="473"/>
      <c r="R631" s="477" t="str">
        <f>IF(AND(COUNTIF('Start Character'!$I$63:$M$77,"Twilight Prone")=1,NOT(ISERROR(FIND("Magical Botch",M631)))),"Yes",IF(P631&gt;1,"Yes","No"))</f>
        <v>No</v>
      </c>
      <c r="S631" s="501"/>
      <c r="T631" s="478"/>
      <c r="U631" s="501"/>
      <c r="V631" s="479" t="str">
        <f>IF(R631="No","No Twilight",IF(T631="Yes","Uncomprehended Twilight",IF((Character!$B$14+IF(Character!$B$53="Yes",0,Character!$B$53)+IF(Magic!$C$5="Yes",2,0)+ROUNDUP((Magic!$B$30+IF(Magic!$C$30="Yes",3,0))/5,0)+S631)&gt;=($D$3+P631+SUMIF(Character!$I$62:$I$66,"Enigmatic Wisdom",Character!$J$62:$J$66)+Q631+U631),"No Twilight","Twilight")))</f>
        <v>No Twilight</v>
      </c>
      <c r="W631" s="483"/>
      <c r="X631" s="478"/>
      <c r="Y631" s="484"/>
      <c r="Z631" s="478"/>
      <c r="AA631" s="485" t="str">
        <f>IF(V631="Uncomprehended Twilight","Failed",IF(OR(ISBLANK(W631),ISBLANK(Y631))," ",IF(NOT(ISBLANK(X631)),"Failed",IF((W631+Character!$B$9+SUMIF(Character!$I$62:$I$66,"Enigmatic Wisdom",Character!$J$62:$J$66))&gt;=IF(Z631="Yes",0,(Y631+D626)),"Succeeded","Failed"))))</f>
        <v xml:space="preserve"> </v>
      </c>
      <c r="AB631" s="477" t="str">
        <f>IF(AA631=" "," ",IF(NOT(ISBLANK(X631)),VLOOKUP($D$3+X631,Calcs!$A$110:$C$122,3,TRUE),IF(AA631="Failed",VLOOKUP($D$3,Calcs!$A$110:$C$122,3,TRUE),VLOOKUP($D$3-(IF((Character!$B$9+W631)&gt;($D$3+Y631),(Character!$B$9+W631)-($D$3+Y631),0)),Calcs!$A$110:$C$122,3,TRUE))))</f>
        <v xml:space="preserve"> </v>
      </c>
      <c r="AC631" s="489"/>
      <c r="AD631" s="489" t="str">
        <f>IF(IF(AA631=" "," ",IF(NOT(ISBLANK(X631)),VLOOKUP($D$3+X631,Calcs!$A$110:$B$122,2,TRUE),IF(AA631="Failed",VLOOKUP($D$3,Calcs!$A$110:$B$122,2,TRUE),VLOOKUP($D$3-(IF((Character!$B$9+W631)&gt;($D$3+Y631),(Character!$B$9+W631)-($D$3+Y631),0)),Calcs!$A$110:$B$122,2,TRUE))))=Calcs!$B$120,IF(ISBLANK(AC631)," ",CONCATENATE(AC631+7," Years")),IF(AA631=" "," ",IF(NOT(ISBLANK(X631)),VLOOKUP($D$3+X631,Calcs!$A$110:$B$122,2,TRUE),IF(AA631="Failed",VLOOKUP($D$3,Calcs!$A$110:$B$122,2,TRUE),VLOOKUP($D$3-(IF((Character!$B$9+W631)&gt;($D$3+Y631),(Character!$B$9+W631)-($D$3+Y631),0)),Calcs!$A$110:$B$122,2,TRUE)))))</f>
        <v xml:space="preserve"> </v>
      </c>
      <c r="AE631" s="490"/>
      <c r="AF631" s="879"/>
      <c r="AG631" s="491"/>
    </row>
    <row r="632" spans="1:33" x14ac:dyDescent="0.2">
      <c r="A632" s="415">
        <f t="shared" si="18"/>
        <v>1368</v>
      </c>
      <c r="B632" s="419" t="str">
        <f t="shared" si="19"/>
        <v>Winter</v>
      </c>
      <c r="C632" s="455"/>
      <c r="D632" s="504"/>
      <c r="E632" s="455"/>
      <c r="F632" s="504"/>
      <c r="G632" s="455"/>
      <c r="H632" s="504"/>
      <c r="I632" s="455"/>
      <c r="J632" s="504"/>
      <c r="L632" s="472"/>
      <c r="M632" s="468"/>
      <c r="N632" s="468"/>
      <c r="O632" s="468"/>
      <c r="P632" s="468"/>
      <c r="Q632" s="473"/>
      <c r="R632" s="477" t="str">
        <f>IF(AND(COUNTIF('Start Character'!$I$63:$M$77,"Twilight Prone")=1,NOT(ISERROR(FIND("Magical Botch",M632)))),"Yes",IF(P632&gt;1,"Yes","No"))</f>
        <v>No</v>
      </c>
      <c r="S632" s="501"/>
      <c r="T632" s="478"/>
      <c r="U632" s="501"/>
      <c r="V632" s="479" t="str">
        <f>IF(R632="No","No Twilight",IF(T632="Yes","Uncomprehended Twilight",IF((Character!$B$14+IF(Character!$B$53="Yes",0,Character!$B$53)+IF(Magic!$C$5="Yes",2,0)+ROUNDUP((Magic!$B$30+IF(Magic!$C$30="Yes",3,0))/5,0)+S632)&gt;=($D$3+P632+SUMIF(Character!$I$62:$I$66,"Enigmatic Wisdom",Character!$J$62:$J$66)+Q632+U632),"No Twilight","Twilight")))</f>
        <v>No Twilight</v>
      </c>
      <c r="W632" s="483"/>
      <c r="X632" s="478"/>
      <c r="Y632" s="484"/>
      <c r="Z632" s="478"/>
      <c r="AA632" s="485" t="str">
        <f>IF(V632="Uncomprehended Twilight","Failed",IF(OR(ISBLANK(W632),ISBLANK(Y632))," ",IF(NOT(ISBLANK(X632)),"Failed",IF((W632+Character!$B$9+SUMIF(Character!$I$62:$I$66,"Enigmatic Wisdom",Character!$J$62:$J$66))&gt;=IF(Z632="Yes",0,(Y632+D627)),"Succeeded","Failed"))))</f>
        <v xml:space="preserve"> </v>
      </c>
      <c r="AB632" s="477" t="str">
        <f>IF(AA632=" "," ",IF(NOT(ISBLANK(X632)),VLOOKUP($D$3+X632,Calcs!$A$110:$C$122,3,TRUE),IF(AA632="Failed",VLOOKUP($D$3,Calcs!$A$110:$C$122,3,TRUE),VLOOKUP($D$3-(IF((Character!$B$9+W632)&gt;($D$3+Y632),(Character!$B$9+W632)-($D$3+Y632),0)),Calcs!$A$110:$C$122,3,TRUE))))</f>
        <v xml:space="preserve"> </v>
      </c>
      <c r="AC632" s="489"/>
      <c r="AD632" s="489" t="str">
        <f>IF(IF(AA632=" "," ",IF(NOT(ISBLANK(X632)),VLOOKUP($D$3+X632,Calcs!$A$110:$B$122,2,TRUE),IF(AA632="Failed",VLOOKUP($D$3,Calcs!$A$110:$B$122,2,TRUE),VLOOKUP($D$3-(IF((Character!$B$9+W632)&gt;($D$3+Y632),(Character!$B$9+W632)-($D$3+Y632),0)),Calcs!$A$110:$B$122,2,TRUE))))=Calcs!$B$120,IF(ISBLANK(AC632)," ",CONCATENATE(AC632+7," Years")),IF(AA632=" "," ",IF(NOT(ISBLANK(X632)),VLOOKUP($D$3+X632,Calcs!$A$110:$B$122,2,TRUE),IF(AA632="Failed",VLOOKUP($D$3,Calcs!$A$110:$B$122,2,TRUE),VLOOKUP($D$3-(IF((Character!$B$9+W632)&gt;($D$3+Y632),(Character!$B$9+W632)-($D$3+Y632),0)),Calcs!$A$110:$B$122,2,TRUE)))))</f>
        <v xml:space="preserve"> </v>
      </c>
      <c r="AE632" s="490"/>
      <c r="AF632" s="879"/>
      <c r="AG632" s="491"/>
    </row>
    <row r="633" spans="1:33" x14ac:dyDescent="0.2">
      <c r="A633" s="415">
        <f t="shared" si="18"/>
        <v>1368</v>
      </c>
      <c r="B633" s="419" t="str">
        <f t="shared" si="19"/>
        <v>Spring</v>
      </c>
      <c r="C633" s="455"/>
      <c r="D633" s="504"/>
      <c r="E633" s="455"/>
      <c r="F633" s="504"/>
      <c r="G633" s="455"/>
      <c r="H633" s="504"/>
      <c r="I633" s="455"/>
      <c r="J633" s="504"/>
      <c r="L633" s="472"/>
      <c r="M633" s="468"/>
      <c r="N633" s="468"/>
      <c r="O633" s="468"/>
      <c r="P633" s="468"/>
      <c r="Q633" s="473"/>
      <c r="R633" s="477" t="str">
        <f>IF(AND(COUNTIF('Start Character'!$I$63:$M$77,"Twilight Prone")=1,NOT(ISERROR(FIND("Magical Botch",M633)))),"Yes",IF(P633&gt;1,"Yes","No"))</f>
        <v>No</v>
      </c>
      <c r="S633" s="501"/>
      <c r="T633" s="478"/>
      <c r="U633" s="501"/>
      <c r="V633" s="479" t="str">
        <f>IF(R633="No","No Twilight",IF(T633="Yes","Uncomprehended Twilight",IF((Character!$B$14+IF(Character!$B$53="Yes",0,Character!$B$53)+IF(Magic!$C$5="Yes",2,0)+ROUNDUP((Magic!$B$30+IF(Magic!$C$30="Yes",3,0))/5,0)+S633)&gt;=($D$3+P633+SUMIF(Character!$I$62:$I$66,"Enigmatic Wisdom",Character!$J$62:$J$66)+Q633+U633),"No Twilight","Twilight")))</f>
        <v>No Twilight</v>
      </c>
      <c r="W633" s="483"/>
      <c r="X633" s="478"/>
      <c r="Y633" s="484"/>
      <c r="Z633" s="478"/>
      <c r="AA633" s="485" t="str">
        <f>IF(V633="Uncomprehended Twilight","Failed",IF(OR(ISBLANK(W633),ISBLANK(Y633))," ",IF(NOT(ISBLANK(X633)),"Failed",IF((W633+Character!$B$9+SUMIF(Character!$I$62:$I$66,"Enigmatic Wisdom",Character!$J$62:$J$66))&gt;=IF(Z633="Yes",0,(Y633+D628)),"Succeeded","Failed"))))</f>
        <v xml:space="preserve"> </v>
      </c>
      <c r="AB633" s="477" t="str">
        <f>IF(AA633=" "," ",IF(NOT(ISBLANK(X633)),VLOOKUP($D$3+X633,Calcs!$A$110:$C$122,3,TRUE),IF(AA633="Failed",VLOOKUP($D$3,Calcs!$A$110:$C$122,3,TRUE),VLOOKUP($D$3-(IF((Character!$B$9+W633)&gt;($D$3+Y633),(Character!$B$9+W633)-($D$3+Y633),0)),Calcs!$A$110:$C$122,3,TRUE))))</f>
        <v xml:space="preserve"> </v>
      </c>
      <c r="AC633" s="489"/>
      <c r="AD633" s="489" t="str">
        <f>IF(IF(AA633=" "," ",IF(NOT(ISBLANK(X633)),VLOOKUP($D$3+X633,Calcs!$A$110:$B$122,2,TRUE),IF(AA633="Failed",VLOOKUP($D$3,Calcs!$A$110:$B$122,2,TRUE),VLOOKUP($D$3-(IF((Character!$B$9+W633)&gt;($D$3+Y633),(Character!$B$9+W633)-($D$3+Y633),0)),Calcs!$A$110:$B$122,2,TRUE))))=Calcs!$B$120,IF(ISBLANK(AC633)," ",CONCATENATE(AC633+7," Years")),IF(AA633=" "," ",IF(NOT(ISBLANK(X633)),VLOOKUP($D$3+X633,Calcs!$A$110:$B$122,2,TRUE),IF(AA633="Failed",VLOOKUP($D$3,Calcs!$A$110:$B$122,2,TRUE),VLOOKUP($D$3-(IF((Character!$B$9+W633)&gt;($D$3+Y633),(Character!$B$9+W633)-($D$3+Y633),0)),Calcs!$A$110:$B$122,2,TRUE)))))</f>
        <v xml:space="preserve"> </v>
      </c>
      <c r="AE633" s="490"/>
      <c r="AF633" s="879"/>
      <c r="AG633" s="491"/>
    </row>
    <row r="634" spans="1:33" x14ac:dyDescent="0.2">
      <c r="A634" s="415">
        <f t="shared" si="18"/>
        <v>1368</v>
      </c>
      <c r="B634" s="419" t="str">
        <f t="shared" si="19"/>
        <v>Summer</v>
      </c>
      <c r="C634" s="455"/>
      <c r="D634" s="504"/>
      <c r="E634" s="455"/>
      <c r="F634" s="504"/>
      <c r="G634" s="455"/>
      <c r="H634" s="504"/>
      <c r="I634" s="455"/>
      <c r="J634" s="504"/>
      <c r="L634" s="472"/>
      <c r="M634" s="468"/>
      <c r="N634" s="468"/>
      <c r="O634" s="468"/>
      <c r="P634" s="468"/>
      <c r="Q634" s="473"/>
      <c r="R634" s="477" t="str">
        <f>IF(AND(COUNTIF('Start Character'!$I$63:$M$77,"Twilight Prone")=1,NOT(ISERROR(FIND("Magical Botch",M634)))),"Yes",IF(P634&gt;1,"Yes","No"))</f>
        <v>No</v>
      </c>
      <c r="S634" s="501"/>
      <c r="T634" s="478"/>
      <c r="U634" s="501"/>
      <c r="V634" s="479" t="str">
        <f>IF(R634="No","No Twilight",IF(T634="Yes","Uncomprehended Twilight",IF((Character!$B$14+IF(Character!$B$53="Yes",0,Character!$B$53)+IF(Magic!$C$5="Yes",2,0)+ROUNDUP((Magic!$B$30+IF(Magic!$C$30="Yes",3,0))/5,0)+S634)&gt;=($D$3+P634+SUMIF(Character!$I$62:$I$66,"Enigmatic Wisdom",Character!$J$62:$J$66)+Q634+U634),"No Twilight","Twilight")))</f>
        <v>No Twilight</v>
      </c>
      <c r="W634" s="483"/>
      <c r="X634" s="478"/>
      <c r="Y634" s="484"/>
      <c r="Z634" s="478"/>
      <c r="AA634" s="485" t="str">
        <f>IF(V634="Uncomprehended Twilight","Failed",IF(OR(ISBLANK(W634),ISBLANK(Y634))," ",IF(NOT(ISBLANK(X634)),"Failed",IF((W634+Character!$B$9+SUMIF(Character!$I$62:$I$66,"Enigmatic Wisdom",Character!$J$62:$J$66))&gt;=IF(Z634="Yes",0,(Y634+D629)),"Succeeded","Failed"))))</f>
        <v xml:space="preserve"> </v>
      </c>
      <c r="AB634" s="477" t="str">
        <f>IF(AA634=" "," ",IF(NOT(ISBLANK(X634)),VLOOKUP($D$3+X634,Calcs!$A$110:$C$122,3,TRUE),IF(AA634="Failed",VLOOKUP($D$3,Calcs!$A$110:$C$122,3,TRUE),VLOOKUP($D$3-(IF((Character!$B$9+W634)&gt;($D$3+Y634),(Character!$B$9+W634)-($D$3+Y634),0)),Calcs!$A$110:$C$122,3,TRUE))))</f>
        <v xml:space="preserve"> </v>
      </c>
      <c r="AC634" s="489"/>
      <c r="AD634" s="489" t="str">
        <f>IF(IF(AA634=" "," ",IF(NOT(ISBLANK(X634)),VLOOKUP($D$3+X634,Calcs!$A$110:$B$122,2,TRUE),IF(AA634="Failed",VLOOKUP($D$3,Calcs!$A$110:$B$122,2,TRUE),VLOOKUP($D$3-(IF((Character!$B$9+W634)&gt;($D$3+Y634),(Character!$B$9+W634)-($D$3+Y634),0)),Calcs!$A$110:$B$122,2,TRUE))))=Calcs!$B$120,IF(ISBLANK(AC634)," ",CONCATENATE(AC634+7," Years")),IF(AA634=" "," ",IF(NOT(ISBLANK(X634)),VLOOKUP($D$3+X634,Calcs!$A$110:$B$122,2,TRUE),IF(AA634="Failed",VLOOKUP($D$3,Calcs!$A$110:$B$122,2,TRUE),VLOOKUP($D$3-(IF((Character!$B$9+W634)&gt;($D$3+Y634),(Character!$B$9+W634)-($D$3+Y634),0)),Calcs!$A$110:$B$122,2,TRUE)))))</f>
        <v xml:space="preserve"> </v>
      </c>
      <c r="AE634" s="490"/>
      <c r="AF634" s="879"/>
      <c r="AG634" s="491"/>
    </row>
    <row r="635" spans="1:33" x14ac:dyDescent="0.2">
      <c r="A635" s="415">
        <f t="shared" si="18"/>
        <v>1368</v>
      </c>
      <c r="B635" s="419" t="str">
        <f t="shared" si="19"/>
        <v>Autumn</v>
      </c>
      <c r="C635" s="455"/>
      <c r="D635" s="504"/>
      <c r="E635" s="455"/>
      <c r="F635" s="504"/>
      <c r="G635" s="455"/>
      <c r="H635" s="504"/>
      <c r="I635" s="455"/>
      <c r="J635" s="504"/>
      <c r="L635" s="472"/>
      <c r="M635" s="468"/>
      <c r="N635" s="468"/>
      <c r="O635" s="468"/>
      <c r="P635" s="468"/>
      <c r="Q635" s="473"/>
      <c r="R635" s="477" t="str">
        <f>IF(AND(COUNTIF('Start Character'!$I$63:$M$77,"Twilight Prone")=1,NOT(ISERROR(FIND("Magical Botch",M635)))),"Yes",IF(P635&gt;1,"Yes","No"))</f>
        <v>No</v>
      </c>
      <c r="S635" s="501"/>
      <c r="T635" s="478"/>
      <c r="U635" s="501"/>
      <c r="V635" s="479" t="str">
        <f>IF(R635="No","No Twilight",IF(T635="Yes","Uncomprehended Twilight",IF((Character!$B$14+IF(Character!$B$53="Yes",0,Character!$B$53)+IF(Magic!$C$5="Yes",2,0)+ROUNDUP((Magic!$B$30+IF(Magic!$C$30="Yes",3,0))/5,0)+S635)&gt;=($D$3+P635+SUMIF(Character!$I$62:$I$66,"Enigmatic Wisdom",Character!$J$62:$J$66)+Q635+U635),"No Twilight","Twilight")))</f>
        <v>No Twilight</v>
      </c>
      <c r="W635" s="483"/>
      <c r="X635" s="478"/>
      <c r="Y635" s="484"/>
      <c r="Z635" s="478"/>
      <c r="AA635" s="485" t="str">
        <f>IF(V635="Uncomprehended Twilight","Failed",IF(OR(ISBLANK(W635),ISBLANK(Y635))," ",IF(NOT(ISBLANK(X635)),"Failed",IF((W635+Character!$B$9+SUMIF(Character!$I$62:$I$66,"Enigmatic Wisdom",Character!$J$62:$J$66))&gt;=IF(Z635="Yes",0,(Y635+D630)),"Succeeded","Failed"))))</f>
        <v xml:space="preserve"> </v>
      </c>
      <c r="AB635" s="477" t="str">
        <f>IF(AA635=" "," ",IF(NOT(ISBLANK(X635)),VLOOKUP($D$3+X635,Calcs!$A$110:$C$122,3,TRUE),IF(AA635="Failed",VLOOKUP($D$3,Calcs!$A$110:$C$122,3,TRUE),VLOOKUP($D$3-(IF((Character!$B$9+W635)&gt;($D$3+Y635),(Character!$B$9+W635)-($D$3+Y635),0)),Calcs!$A$110:$C$122,3,TRUE))))</f>
        <v xml:space="preserve"> </v>
      </c>
      <c r="AC635" s="489"/>
      <c r="AD635" s="489" t="str">
        <f>IF(IF(AA635=" "," ",IF(NOT(ISBLANK(X635)),VLOOKUP($D$3+X635,Calcs!$A$110:$B$122,2,TRUE),IF(AA635="Failed",VLOOKUP($D$3,Calcs!$A$110:$B$122,2,TRUE),VLOOKUP($D$3-(IF((Character!$B$9+W635)&gt;($D$3+Y635),(Character!$B$9+W635)-($D$3+Y635),0)),Calcs!$A$110:$B$122,2,TRUE))))=Calcs!$B$120,IF(ISBLANK(AC635)," ",CONCATENATE(AC635+7," Years")),IF(AA635=" "," ",IF(NOT(ISBLANK(X635)),VLOOKUP($D$3+X635,Calcs!$A$110:$B$122,2,TRUE),IF(AA635="Failed",VLOOKUP($D$3,Calcs!$A$110:$B$122,2,TRUE),VLOOKUP($D$3-(IF((Character!$B$9+W635)&gt;($D$3+Y635),(Character!$B$9+W635)-($D$3+Y635),0)),Calcs!$A$110:$B$122,2,TRUE)))))</f>
        <v xml:space="preserve"> </v>
      </c>
      <c r="AE635" s="490"/>
      <c r="AF635" s="879"/>
      <c r="AG635" s="491"/>
    </row>
    <row r="636" spans="1:33" x14ac:dyDescent="0.2">
      <c r="A636" s="415">
        <f t="shared" si="18"/>
        <v>1369</v>
      </c>
      <c r="B636" s="419" t="str">
        <f t="shared" si="19"/>
        <v>Winter</v>
      </c>
      <c r="C636" s="455"/>
      <c r="D636" s="504"/>
      <c r="E636" s="455"/>
      <c r="F636" s="504"/>
      <c r="G636" s="455"/>
      <c r="H636" s="504"/>
      <c r="I636" s="455"/>
      <c r="J636" s="504"/>
      <c r="L636" s="472"/>
      <c r="M636" s="468"/>
      <c r="N636" s="468"/>
      <c r="O636" s="468"/>
      <c r="P636" s="468"/>
      <c r="Q636" s="473"/>
      <c r="R636" s="477" t="str">
        <f>IF(AND(COUNTIF('Start Character'!$I$63:$M$77,"Twilight Prone")=1,NOT(ISERROR(FIND("Magical Botch",M636)))),"Yes",IF(P636&gt;1,"Yes","No"))</f>
        <v>No</v>
      </c>
      <c r="S636" s="501"/>
      <c r="T636" s="478"/>
      <c r="U636" s="501"/>
      <c r="V636" s="479" t="str">
        <f>IF(R636="No","No Twilight",IF(T636="Yes","Uncomprehended Twilight",IF((Character!$B$14+IF(Character!$B$53="Yes",0,Character!$B$53)+IF(Magic!$C$5="Yes",2,0)+ROUNDUP((Magic!$B$30+IF(Magic!$C$30="Yes",3,0))/5,0)+S636)&gt;=($D$3+P636+SUMIF(Character!$I$62:$I$66,"Enigmatic Wisdom",Character!$J$62:$J$66)+Q636+U636),"No Twilight","Twilight")))</f>
        <v>No Twilight</v>
      </c>
      <c r="W636" s="483"/>
      <c r="X636" s="478"/>
      <c r="Y636" s="484"/>
      <c r="Z636" s="478"/>
      <c r="AA636" s="485" t="str">
        <f>IF(V636="Uncomprehended Twilight","Failed",IF(OR(ISBLANK(W636),ISBLANK(Y636))," ",IF(NOT(ISBLANK(X636)),"Failed",IF((W636+Character!$B$9+SUMIF(Character!$I$62:$I$66,"Enigmatic Wisdom",Character!$J$62:$J$66))&gt;=IF(Z636="Yes",0,(Y636+D631)),"Succeeded","Failed"))))</f>
        <v xml:space="preserve"> </v>
      </c>
      <c r="AB636" s="477" t="str">
        <f>IF(AA636=" "," ",IF(NOT(ISBLANK(X636)),VLOOKUP($D$3+X636,Calcs!$A$110:$C$122,3,TRUE),IF(AA636="Failed",VLOOKUP($D$3,Calcs!$A$110:$C$122,3,TRUE),VLOOKUP($D$3-(IF((Character!$B$9+W636)&gt;($D$3+Y636),(Character!$B$9+W636)-($D$3+Y636),0)),Calcs!$A$110:$C$122,3,TRUE))))</f>
        <v xml:space="preserve"> </v>
      </c>
      <c r="AC636" s="489"/>
      <c r="AD636" s="489" t="str">
        <f>IF(IF(AA636=" "," ",IF(NOT(ISBLANK(X636)),VLOOKUP($D$3+X636,Calcs!$A$110:$B$122,2,TRUE),IF(AA636="Failed",VLOOKUP($D$3,Calcs!$A$110:$B$122,2,TRUE),VLOOKUP($D$3-(IF((Character!$B$9+W636)&gt;($D$3+Y636),(Character!$B$9+W636)-($D$3+Y636),0)),Calcs!$A$110:$B$122,2,TRUE))))=Calcs!$B$120,IF(ISBLANK(AC636)," ",CONCATENATE(AC636+7," Years")),IF(AA636=" "," ",IF(NOT(ISBLANK(X636)),VLOOKUP($D$3+X636,Calcs!$A$110:$B$122,2,TRUE),IF(AA636="Failed",VLOOKUP($D$3,Calcs!$A$110:$B$122,2,TRUE),VLOOKUP($D$3-(IF((Character!$B$9+W636)&gt;($D$3+Y636),(Character!$B$9+W636)-($D$3+Y636),0)),Calcs!$A$110:$B$122,2,TRUE)))))</f>
        <v xml:space="preserve"> </v>
      </c>
      <c r="AE636" s="490"/>
      <c r="AF636" s="879"/>
      <c r="AG636" s="491"/>
    </row>
    <row r="637" spans="1:33" x14ac:dyDescent="0.2">
      <c r="A637" s="415">
        <f t="shared" si="18"/>
        <v>1369</v>
      </c>
      <c r="B637" s="419" t="str">
        <f t="shared" si="19"/>
        <v>Spring</v>
      </c>
      <c r="C637" s="455"/>
      <c r="D637" s="504"/>
      <c r="E637" s="455"/>
      <c r="F637" s="504"/>
      <c r="G637" s="455"/>
      <c r="H637" s="504"/>
      <c r="I637" s="455"/>
      <c r="J637" s="504"/>
      <c r="L637" s="472"/>
      <c r="M637" s="468"/>
      <c r="N637" s="468"/>
      <c r="O637" s="468"/>
      <c r="P637" s="468"/>
      <c r="Q637" s="473"/>
      <c r="R637" s="477" t="str">
        <f>IF(AND(COUNTIF('Start Character'!$I$63:$M$77,"Twilight Prone")=1,NOT(ISERROR(FIND("Magical Botch",M637)))),"Yes",IF(P637&gt;1,"Yes","No"))</f>
        <v>No</v>
      </c>
      <c r="S637" s="501"/>
      <c r="T637" s="478"/>
      <c r="U637" s="501"/>
      <c r="V637" s="479" t="str">
        <f>IF(R637="No","No Twilight",IF(T637="Yes","Uncomprehended Twilight",IF((Character!$B$14+IF(Character!$B$53="Yes",0,Character!$B$53)+IF(Magic!$C$5="Yes",2,0)+ROUNDUP((Magic!$B$30+IF(Magic!$C$30="Yes",3,0))/5,0)+S637)&gt;=($D$3+P637+SUMIF(Character!$I$62:$I$66,"Enigmatic Wisdom",Character!$J$62:$J$66)+Q637+U637),"No Twilight","Twilight")))</f>
        <v>No Twilight</v>
      </c>
      <c r="W637" s="483"/>
      <c r="X637" s="478"/>
      <c r="Y637" s="484"/>
      <c r="Z637" s="478"/>
      <c r="AA637" s="485" t="str">
        <f>IF(V637="Uncomprehended Twilight","Failed",IF(OR(ISBLANK(W637),ISBLANK(Y637))," ",IF(NOT(ISBLANK(X637)),"Failed",IF((W637+Character!$B$9+SUMIF(Character!$I$62:$I$66,"Enigmatic Wisdom",Character!$J$62:$J$66))&gt;=IF(Z637="Yes",0,(Y637+D632)),"Succeeded","Failed"))))</f>
        <v xml:space="preserve"> </v>
      </c>
      <c r="AB637" s="477" t="str">
        <f>IF(AA637=" "," ",IF(NOT(ISBLANK(X637)),VLOOKUP($D$3+X637,Calcs!$A$110:$C$122,3,TRUE),IF(AA637="Failed",VLOOKUP($D$3,Calcs!$A$110:$C$122,3,TRUE),VLOOKUP($D$3-(IF((Character!$B$9+W637)&gt;($D$3+Y637),(Character!$B$9+W637)-($D$3+Y637),0)),Calcs!$A$110:$C$122,3,TRUE))))</f>
        <v xml:space="preserve"> </v>
      </c>
      <c r="AC637" s="489"/>
      <c r="AD637" s="489" t="str">
        <f>IF(IF(AA637=" "," ",IF(NOT(ISBLANK(X637)),VLOOKUP($D$3+X637,Calcs!$A$110:$B$122,2,TRUE),IF(AA637="Failed",VLOOKUP($D$3,Calcs!$A$110:$B$122,2,TRUE),VLOOKUP($D$3-(IF((Character!$B$9+W637)&gt;($D$3+Y637),(Character!$B$9+W637)-($D$3+Y637),0)),Calcs!$A$110:$B$122,2,TRUE))))=Calcs!$B$120,IF(ISBLANK(AC637)," ",CONCATENATE(AC637+7," Years")),IF(AA637=" "," ",IF(NOT(ISBLANK(X637)),VLOOKUP($D$3+X637,Calcs!$A$110:$B$122,2,TRUE),IF(AA637="Failed",VLOOKUP($D$3,Calcs!$A$110:$B$122,2,TRUE),VLOOKUP($D$3-(IF((Character!$B$9+W637)&gt;($D$3+Y637),(Character!$B$9+W637)-($D$3+Y637),0)),Calcs!$A$110:$B$122,2,TRUE)))))</f>
        <v xml:space="preserve"> </v>
      </c>
      <c r="AE637" s="490"/>
      <c r="AF637" s="879"/>
      <c r="AG637" s="491"/>
    </row>
    <row r="638" spans="1:33" x14ac:dyDescent="0.2">
      <c r="A638" s="415">
        <f t="shared" si="18"/>
        <v>1369</v>
      </c>
      <c r="B638" s="419" t="str">
        <f t="shared" si="19"/>
        <v>Summer</v>
      </c>
      <c r="C638" s="455"/>
      <c r="D638" s="504"/>
      <c r="E638" s="455"/>
      <c r="F638" s="504"/>
      <c r="G638" s="455"/>
      <c r="H638" s="504"/>
      <c r="I638" s="455"/>
      <c r="J638" s="504"/>
      <c r="L638" s="472"/>
      <c r="M638" s="468"/>
      <c r="N638" s="468"/>
      <c r="O638" s="468"/>
      <c r="P638" s="468"/>
      <c r="Q638" s="473"/>
      <c r="R638" s="477" t="str">
        <f>IF(AND(COUNTIF('Start Character'!$I$63:$M$77,"Twilight Prone")=1,NOT(ISERROR(FIND("Magical Botch",M638)))),"Yes",IF(P638&gt;1,"Yes","No"))</f>
        <v>No</v>
      </c>
      <c r="S638" s="501"/>
      <c r="T638" s="478"/>
      <c r="U638" s="501"/>
      <c r="V638" s="479" t="str">
        <f>IF(R638="No","No Twilight",IF(T638="Yes","Uncomprehended Twilight",IF((Character!$B$14+IF(Character!$B$53="Yes",0,Character!$B$53)+IF(Magic!$C$5="Yes",2,0)+ROUNDUP((Magic!$B$30+IF(Magic!$C$30="Yes",3,0))/5,0)+S638)&gt;=($D$3+P638+SUMIF(Character!$I$62:$I$66,"Enigmatic Wisdom",Character!$J$62:$J$66)+Q638+U638),"No Twilight","Twilight")))</f>
        <v>No Twilight</v>
      </c>
      <c r="W638" s="483"/>
      <c r="X638" s="478"/>
      <c r="Y638" s="484"/>
      <c r="Z638" s="478"/>
      <c r="AA638" s="485" t="str">
        <f>IF(V638="Uncomprehended Twilight","Failed",IF(OR(ISBLANK(W638),ISBLANK(Y638))," ",IF(NOT(ISBLANK(X638)),"Failed",IF((W638+Character!$B$9+SUMIF(Character!$I$62:$I$66,"Enigmatic Wisdom",Character!$J$62:$J$66))&gt;=IF(Z638="Yes",0,(Y638+D633)),"Succeeded","Failed"))))</f>
        <v xml:space="preserve"> </v>
      </c>
      <c r="AB638" s="477" t="str">
        <f>IF(AA638=" "," ",IF(NOT(ISBLANK(X638)),VLOOKUP($D$3+X638,Calcs!$A$110:$C$122,3,TRUE),IF(AA638="Failed",VLOOKUP($D$3,Calcs!$A$110:$C$122,3,TRUE),VLOOKUP($D$3-(IF((Character!$B$9+W638)&gt;($D$3+Y638),(Character!$B$9+W638)-($D$3+Y638),0)),Calcs!$A$110:$C$122,3,TRUE))))</f>
        <v xml:space="preserve"> </v>
      </c>
      <c r="AC638" s="489"/>
      <c r="AD638" s="489" t="str">
        <f>IF(IF(AA638=" "," ",IF(NOT(ISBLANK(X638)),VLOOKUP($D$3+X638,Calcs!$A$110:$B$122,2,TRUE),IF(AA638="Failed",VLOOKUP($D$3,Calcs!$A$110:$B$122,2,TRUE),VLOOKUP($D$3-(IF((Character!$B$9+W638)&gt;($D$3+Y638),(Character!$B$9+W638)-($D$3+Y638),0)),Calcs!$A$110:$B$122,2,TRUE))))=Calcs!$B$120,IF(ISBLANK(AC638)," ",CONCATENATE(AC638+7," Years")),IF(AA638=" "," ",IF(NOT(ISBLANK(X638)),VLOOKUP($D$3+X638,Calcs!$A$110:$B$122,2,TRUE),IF(AA638="Failed",VLOOKUP($D$3,Calcs!$A$110:$B$122,2,TRUE),VLOOKUP($D$3-(IF((Character!$B$9+W638)&gt;($D$3+Y638),(Character!$B$9+W638)-($D$3+Y638),0)),Calcs!$A$110:$B$122,2,TRUE)))))</f>
        <v xml:space="preserve"> </v>
      </c>
      <c r="AE638" s="490"/>
      <c r="AF638" s="879"/>
      <c r="AG638" s="491"/>
    </row>
    <row r="639" spans="1:33" x14ac:dyDescent="0.2">
      <c r="A639" s="415">
        <f t="shared" si="18"/>
        <v>1369</v>
      </c>
      <c r="B639" s="419" t="str">
        <f t="shared" si="19"/>
        <v>Autumn</v>
      </c>
      <c r="C639" s="455"/>
      <c r="D639" s="504"/>
      <c r="E639" s="455"/>
      <c r="F639" s="504"/>
      <c r="G639" s="455"/>
      <c r="H639" s="504"/>
      <c r="I639" s="455"/>
      <c r="J639" s="504"/>
      <c r="L639" s="472"/>
      <c r="M639" s="468"/>
      <c r="N639" s="468"/>
      <c r="O639" s="468"/>
      <c r="P639" s="468"/>
      <c r="Q639" s="473"/>
      <c r="R639" s="477" t="str">
        <f>IF(AND(COUNTIF('Start Character'!$I$63:$M$77,"Twilight Prone")=1,NOT(ISERROR(FIND("Magical Botch",M639)))),"Yes",IF(P639&gt;1,"Yes","No"))</f>
        <v>No</v>
      </c>
      <c r="S639" s="501"/>
      <c r="T639" s="478"/>
      <c r="U639" s="501"/>
      <c r="V639" s="479" t="str">
        <f>IF(R639="No","No Twilight",IF(T639="Yes","Uncomprehended Twilight",IF((Character!$B$14+IF(Character!$B$53="Yes",0,Character!$B$53)+IF(Magic!$C$5="Yes",2,0)+ROUNDUP((Magic!$B$30+IF(Magic!$C$30="Yes",3,0))/5,0)+S639)&gt;=($D$3+P639+SUMIF(Character!$I$62:$I$66,"Enigmatic Wisdom",Character!$J$62:$J$66)+Q639+U639),"No Twilight","Twilight")))</f>
        <v>No Twilight</v>
      </c>
      <c r="W639" s="483"/>
      <c r="X639" s="478"/>
      <c r="Y639" s="484"/>
      <c r="Z639" s="478"/>
      <c r="AA639" s="485" t="str">
        <f>IF(V639="Uncomprehended Twilight","Failed",IF(OR(ISBLANK(W639),ISBLANK(Y639))," ",IF(NOT(ISBLANK(X639)),"Failed",IF((W639+Character!$B$9+SUMIF(Character!$I$62:$I$66,"Enigmatic Wisdom",Character!$J$62:$J$66))&gt;=IF(Z639="Yes",0,(Y639+D634)),"Succeeded","Failed"))))</f>
        <v xml:space="preserve"> </v>
      </c>
      <c r="AB639" s="477" t="str">
        <f>IF(AA639=" "," ",IF(NOT(ISBLANK(X639)),VLOOKUP($D$3+X639,Calcs!$A$110:$C$122,3,TRUE),IF(AA639="Failed",VLOOKUP($D$3,Calcs!$A$110:$C$122,3,TRUE),VLOOKUP($D$3-(IF((Character!$B$9+W639)&gt;($D$3+Y639),(Character!$B$9+W639)-($D$3+Y639),0)),Calcs!$A$110:$C$122,3,TRUE))))</f>
        <v xml:space="preserve"> </v>
      </c>
      <c r="AC639" s="489"/>
      <c r="AD639" s="489" t="str">
        <f>IF(IF(AA639=" "," ",IF(NOT(ISBLANK(X639)),VLOOKUP($D$3+X639,Calcs!$A$110:$B$122,2,TRUE),IF(AA639="Failed",VLOOKUP($D$3,Calcs!$A$110:$B$122,2,TRUE),VLOOKUP($D$3-(IF((Character!$B$9+W639)&gt;($D$3+Y639),(Character!$B$9+W639)-($D$3+Y639),0)),Calcs!$A$110:$B$122,2,TRUE))))=Calcs!$B$120,IF(ISBLANK(AC639)," ",CONCATENATE(AC639+7," Years")),IF(AA639=" "," ",IF(NOT(ISBLANK(X639)),VLOOKUP($D$3+X639,Calcs!$A$110:$B$122,2,TRUE),IF(AA639="Failed",VLOOKUP($D$3,Calcs!$A$110:$B$122,2,TRUE),VLOOKUP($D$3-(IF((Character!$B$9+W639)&gt;($D$3+Y639),(Character!$B$9+W639)-($D$3+Y639),0)),Calcs!$A$110:$B$122,2,TRUE)))))</f>
        <v xml:space="preserve"> </v>
      </c>
      <c r="AE639" s="490"/>
      <c r="AF639" s="879"/>
      <c r="AG639" s="491"/>
    </row>
    <row r="640" spans="1:33" x14ac:dyDescent="0.2">
      <c r="A640" s="415">
        <f t="shared" si="18"/>
        <v>1370</v>
      </c>
      <c r="B640" s="419" t="str">
        <f t="shared" si="19"/>
        <v>Winter</v>
      </c>
      <c r="C640" s="455"/>
      <c r="D640" s="504"/>
      <c r="E640" s="455"/>
      <c r="F640" s="504"/>
      <c r="G640" s="455"/>
      <c r="H640" s="504"/>
      <c r="I640" s="455"/>
      <c r="J640" s="504"/>
      <c r="L640" s="472"/>
      <c r="M640" s="468"/>
      <c r="N640" s="468"/>
      <c r="O640" s="468"/>
      <c r="P640" s="468"/>
      <c r="Q640" s="473"/>
      <c r="R640" s="477" t="str">
        <f>IF(AND(COUNTIF('Start Character'!$I$63:$M$77,"Twilight Prone")=1,NOT(ISERROR(FIND("Magical Botch",M640)))),"Yes",IF(P640&gt;1,"Yes","No"))</f>
        <v>No</v>
      </c>
      <c r="S640" s="501"/>
      <c r="T640" s="478"/>
      <c r="U640" s="501"/>
      <c r="V640" s="479" t="str">
        <f>IF(R640="No","No Twilight",IF(T640="Yes","Uncomprehended Twilight",IF((Character!$B$14+IF(Character!$B$53="Yes",0,Character!$B$53)+IF(Magic!$C$5="Yes",2,0)+ROUNDUP((Magic!$B$30+IF(Magic!$C$30="Yes",3,0))/5,0)+S640)&gt;=($D$3+P640+SUMIF(Character!$I$62:$I$66,"Enigmatic Wisdom",Character!$J$62:$J$66)+Q640+U640),"No Twilight","Twilight")))</f>
        <v>No Twilight</v>
      </c>
      <c r="W640" s="483"/>
      <c r="X640" s="478"/>
      <c r="Y640" s="484"/>
      <c r="Z640" s="478"/>
      <c r="AA640" s="485" t="str">
        <f>IF(V640="Uncomprehended Twilight","Failed",IF(OR(ISBLANK(W640),ISBLANK(Y640))," ",IF(NOT(ISBLANK(X640)),"Failed",IF((W640+Character!$B$9+SUMIF(Character!$I$62:$I$66,"Enigmatic Wisdom",Character!$J$62:$J$66))&gt;=IF(Z640="Yes",0,(Y640+D635)),"Succeeded","Failed"))))</f>
        <v xml:space="preserve"> </v>
      </c>
      <c r="AB640" s="477" t="str">
        <f>IF(AA640=" "," ",IF(NOT(ISBLANK(X640)),VLOOKUP($D$3+X640,Calcs!$A$110:$C$122,3,TRUE),IF(AA640="Failed",VLOOKUP($D$3,Calcs!$A$110:$C$122,3,TRUE),VLOOKUP($D$3-(IF((Character!$B$9+W640)&gt;($D$3+Y640),(Character!$B$9+W640)-($D$3+Y640),0)),Calcs!$A$110:$C$122,3,TRUE))))</f>
        <v xml:space="preserve"> </v>
      </c>
      <c r="AC640" s="489"/>
      <c r="AD640" s="489" t="str">
        <f>IF(IF(AA640=" "," ",IF(NOT(ISBLANK(X640)),VLOOKUP($D$3+X640,Calcs!$A$110:$B$122,2,TRUE),IF(AA640="Failed",VLOOKUP($D$3,Calcs!$A$110:$B$122,2,TRUE),VLOOKUP($D$3-(IF((Character!$B$9+W640)&gt;($D$3+Y640),(Character!$B$9+W640)-($D$3+Y640),0)),Calcs!$A$110:$B$122,2,TRUE))))=Calcs!$B$120,IF(ISBLANK(AC640)," ",CONCATENATE(AC640+7," Years")),IF(AA640=" "," ",IF(NOT(ISBLANK(X640)),VLOOKUP($D$3+X640,Calcs!$A$110:$B$122,2,TRUE),IF(AA640="Failed",VLOOKUP($D$3,Calcs!$A$110:$B$122,2,TRUE),VLOOKUP($D$3-(IF((Character!$B$9+W640)&gt;($D$3+Y640),(Character!$B$9+W640)-($D$3+Y640),0)),Calcs!$A$110:$B$122,2,TRUE)))))</f>
        <v xml:space="preserve"> </v>
      </c>
      <c r="AE640" s="490"/>
      <c r="AF640" s="879"/>
      <c r="AG640" s="491"/>
    </row>
    <row r="641" spans="1:33" x14ac:dyDescent="0.2">
      <c r="A641" s="415">
        <f t="shared" si="18"/>
        <v>1370</v>
      </c>
      <c r="B641" s="419" t="str">
        <f t="shared" si="19"/>
        <v>Spring</v>
      </c>
      <c r="C641" s="455"/>
      <c r="D641" s="504"/>
      <c r="E641" s="455"/>
      <c r="F641" s="504"/>
      <c r="G641" s="455"/>
      <c r="H641" s="504"/>
      <c r="I641" s="455"/>
      <c r="J641" s="504"/>
      <c r="L641" s="472"/>
      <c r="M641" s="468"/>
      <c r="N641" s="468"/>
      <c r="O641" s="468"/>
      <c r="P641" s="468"/>
      <c r="Q641" s="473"/>
      <c r="R641" s="477" t="str">
        <f>IF(AND(COUNTIF('Start Character'!$I$63:$M$77,"Twilight Prone")=1,NOT(ISERROR(FIND("Magical Botch",M641)))),"Yes",IF(P641&gt;1,"Yes","No"))</f>
        <v>No</v>
      </c>
      <c r="S641" s="501"/>
      <c r="T641" s="478"/>
      <c r="U641" s="501"/>
      <c r="V641" s="479" t="str">
        <f>IF(R641="No","No Twilight",IF(T641="Yes","Uncomprehended Twilight",IF((Character!$B$14+IF(Character!$B$53="Yes",0,Character!$B$53)+IF(Magic!$C$5="Yes",2,0)+ROUNDUP((Magic!$B$30+IF(Magic!$C$30="Yes",3,0))/5,0)+S641)&gt;=($D$3+P641+SUMIF(Character!$I$62:$I$66,"Enigmatic Wisdom",Character!$J$62:$J$66)+Q641+U641),"No Twilight","Twilight")))</f>
        <v>No Twilight</v>
      </c>
      <c r="W641" s="483"/>
      <c r="X641" s="478"/>
      <c r="Y641" s="484"/>
      <c r="Z641" s="478"/>
      <c r="AA641" s="485" t="str">
        <f>IF(V641="Uncomprehended Twilight","Failed",IF(OR(ISBLANK(W641),ISBLANK(Y641))," ",IF(NOT(ISBLANK(X641)),"Failed",IF((W641+Character!$B$9+SUMIF(Character!$I$62:$I$66,"Enigmatic Wisdom",Character!$J$62:$J$66))&gt;=IF(Z641="Yes",0,(Y641+D636)),"Succeeded","Failed"))))</f>
        <v xml:space="preserve"> </v>
      </c>
      <c r="AB641" s="477" t="str">
        <f>IF(AA641=" "," ",IF(NOT(ISBLANK(X641)),VLOOKUP($D$3+X641,Calcs!$A$110:$C$122,3,TRUE),IF(AA641="Failed",VLOOKUP($D$3,Calcs!$A$110:$C$122,3,TRUE),VLOOKUP($D$3-(IF((Character!$B$9+W641)&gt;($D$3+Y641),(Character!$B$9+W641)-($D$3+Y641),0)),Calcs!$A$110:$C$122,3,TRUE))))</f>
        <v xml:space="preserve"> </v>
      </c>
      <c r="AC641" s="489"/>
      <c r="AD641" s="489" t="str">
        <f>IF(IF(AA641=" "," ",IF(NOT(ISBLANK(X641)),VLOOKUP($D$3+X641,Calcs!$A$110:$B$122,2,TRUE),IF(AA641="Failed",VLOOKUP($D$3,Calcs!$A$110:$B$122,2,TRUE),VLOOKUP($D$3-(IF((Character!$B$9+W641)&gt;($D$3+Y641),(Character!$B$9+W641)-($D$3+Y641),0)),Calcs!$A$110:$B$122,2,TRUE))))=Calcs!$B$120,IF(ISBLANK(AC641)," ",CONCATENATE(AC641+7," Years")),IF(AA641=" "," ",IF(NOT(ISBLANK(X641)),VLOOKUP($D$3+X641,Calcs!$A$110:$B$122,2,TRUE),IF(AA641="Failed",VLOOKUP($D$3,Calcs!$A$110:$B$122,2,TRUE),VLOOKUP($D$3-(IF((Character!$B$9+W641)&gt;($D$3+Y641),(Character!$B$9+W641)-($D$3+Y641),0)),Calcs!$A$110:$B$122,2,TRUE)))))</f>
        <v xml:space="preserve"> </v>
      </c>
      <c r="AE641" s="490"/>
      <c r="AF641" s="879"/>
      <c r="AG641" s="491"/>
    </row>
    <row r="642" spans="1:33" x14ac:dyDescent="0.2">
      <c r="A642" s="415">
        <f t="shared" si="18"/>
        <v>1370</v>
      </c>
      <c r="B642" s="419" t="str">
        <f t="shared" si="19"/>
        <v>Summer</v>
      </c>
      <c r="C642" s="455"/>
      <c r="D642" s="504"/>
      <c r="E642" s="455"/>
      <c r="F642" s="504"/>
      <c r="G642" s="455"/>
      <c r="H642" s="504"/>
      <c r="I642" s="455"/>
      <c r="J642" s="504"/>
      <c r="L642" s="472"/>
      <c r="M642" s="468"/>
      <c r="N642" s="468"/>
      <c r="O642" s="468"/>
      <c r="P642" s="468"/>
      <c r="Q642" s="473"/>
      <c r="R642" s="477" t="str">
        <f>IF(AND(COUNTIF('Start Character'!$I$63:$M$77,"Twilight Prone")=1,NOT(ISERROR(FIND("Magical Botch",M642)))),"Yes",IF(P642&gt;1,"Yes","No"))</f>
        <v>No</v>
      </c>
      <c r="S642" s="501"/>
      <c r="T642" s="478"/>
      <c r="U642" s="501"/>
      <c r="V642" s="479" t="str">
        <f>IF(R642="No","No Twilight",IF(T642="Yes","Uncomprehended Twilight",IF((Character!$B$14+IF(Character!$B$53="Yes",0,Character!$B$53)+IF(Magic!$C$5="Yes",2,0)+ROUNDUP((Magic!$B$30+IF(Magic!$C$30="Yes",3,0))/5,0)+S642)&gt;=($D$3+P642+SUMIF(Character!$I$62:$I$66,"Enigmatic Wisdom",Character!$J$62:$J$66)+Q642+U642),"No Twilight","Twilight")))</f>
        <v>No Twilight</v>
      </c>
      <c r="W642" s="483"/>
      <c r="X642" s="478"/>
      <c r="Y642" s="484"/>
      <c r="Z642" s="478"/>
      <c r="AA642" s="485" t="str">
        <f>IF(V642="Uncomprehended Twilight","Failed",IF(OR(ISBLANK(W642),ISBLANK(Y642))," ",IF(NOT(ISBLANK(X642)),"Failed",IF((W642+Character!$B$9+SUMIF(Character!$I$62:$I$66,"Enigmatic Wisdom",Character!$J$62:$J$66))&gt;=IF(Z642="Yes",0,(Y642+D637)),"Succeeded","Failed"))))</f>
        <v xml:space="preserve"> </v>
      </c>
      <c r="AB642" s="477" t="str">
        <f>IF(AA642=" "," ",IF(NOT(ISBLANK(X642)),VLOOKUP($D$3+X642,Calcs!$A$110:$C$122,3,TRUE),IF(AA642="Failed",VLOOKUP($D$3,Calcs!$A$110:$C$122,3,TRUE),VLOOKUP($D$3-(IF((Character!$B$9+W642)&gt;($D$3+Y642),(Character!$B$9+W642)-($D$3+Y642),0)),Calcs!$A$110:$C$122,3,TRUE))))</f>
        <v xml:space="preserve"> </v>
      </c>
      <c r="AC642" s="489"/>
      <c r="AD642" s="489" t="str">
        <f>IF(IF(AA642=" "," ",IF(NOT(ISBLANK(X642)),VLOOKUP($D$3+X642,Calcs!$A$110:$B$122,2,TRUE),IF(AA642="Failed",VLOOKUP($D$3,Calcs!$A$110:$B$122,2,TRUE),VLOOKUP($D$3-(IF((Character!$B$9+W642)&gt;($D$3+Y642),(Character!$B$9+W642)-($D$3+Y642),0)),Calcs!$A$110:$B$122,2,TRUE))))=Calcs!$B$120,IF(ISBLANK(AC642)," ",CONCATENATE(AC642+7," Years")),IF(AA642=" "," ",IF(NOT(ISBLANK(X642)),VLOOKUP($D$3+X642,Calcs!$A$110:$B$122,2,TRUE),IF(AA642="Failed",VLOOKUP($D$3,Calcs!$A$110:$B$122,2,TRUE),VLOOKUP($D$3-(IF((Character!$B$9+W642)&gt;($D$3+Y642),(Character!$B$9+W642)-($D$3+Y642),0)),Calcs!$A$110:$B$122,2,TRUE)))))</f>
        <v xml:space="preserve"> </v>
      </c>
      <c r="AE642" s="490"/>
      <c r="AF642" s="879"/>
      <c r="AG642" s="491"/>
    </row>
    <row r="643" spans="1:33" x14ac:dyDescent="0.2">
      <c r="A643" s="415">
        <f t="shared" si="18"/>
        <v>1370</v>
      </c>
      <c r="B643" s="419" t="str">
        <f t="shared" si="19"/>
        <v>Autumn</v>
      </c>
      <c r="C643" s="455"/>
      <c r="D643" s="504"/>
      <c r="E643" s="455"/>
      <c r="F643" s="504"/>
      <c r="G643" s="455"/>
      <c r="H643" s="504"/>
      <c r="I643" s="455"/>
      <c r="J643" s="504"/>
      <c r="L643" s="472"/>
      <c r="M643" s="468"/>
      <c r="N643" s="468"/>
      <c r="O643" s="468"/>
      <c r="P643" s="468"/>
      <c r="Q643" s="473"/>
      <c r="R643" s="477" t="str">
        <f>IF(AND(COUNTIF('Start Character'!$I$63:$M$77,"Twilight Prone")=1,NOT(ISERROR(FIND("Magical Botch",M643)))),"Yes",IF(P643&gt;1,"Yes","No"))</f>
        <v>No</v>
      </c>
      <c r="S643" s="501"/>
      <c r="T643" s="478"/>
      <c r="U643" s="501"/>
      <c r="V643" s="479" t="str">
        <f>IF(R643="No","No Twilight",IF(T643="Yes","Uncomprehended Twilight",IF((Character!$B$14+IF(Character!$B$53="Yes",0,Character!$B$53)+IF(Magic!$C$5="Yes",2,0)+ROUNDUP((Magic!$B$30+IF(Magic!$C$30="Yes",3,0))/5,0)+S643)&gt;=($D$3+P643+SUMIF(Character!$I$62:$I$66,"Enigmatic Wisdom",Character!$J$62:$J$66)+Q643+U643),"No Twilight","Twilight")))</f>
        <v>No Twilight</v>
      </c>
      <c r="W643" s="483"/>
      <c r="X643" s="478"/>
      <c r="Y643" s="484"/>
      <c r="Z643" s="478"/>
      <c r="AA643" s="485" t="str">
        <f>IF(V643="Uncomprehended Twilight","Failed",IF(OR(ISBLANK(W643),ISBLANK(Y643))," ",IF(NOT(ISBLANK(X643)),"Failed",IF((W643+Character!$B$9+SUMIF(Character!$I$62:$I$66,"Enigmatic Wisdom",Character!$J$62:$J$66))&gt;=IF(Z643="Yes",0,(Y643+D638)),"Succeeded","Failed"))))</f>
        <v xml:space="preserve"> </v>
      </c>
      <c r="AB643" s="477" t="str">
        <f>IF(AA643=" "," ",IF(NOT(ISBLANK(X643)),VLOOKUP($D$3+X643,Calcs!$A$110:$C$122,3,TRUE),IF(AA643="Failed",VLOOKUP($D$3,Calcs!$A$110:$C$122,3,TRUE),VLOOKUP($D$3-(IF((Character!$B$9+W643)&gt;($D$3+Y643),(Character!$B$9+W643)-($D$3+Y643),0)),Calcs!$A$110:$C$122,3,TRUE))))</f>
        <v xml:space="preserve"> </v>
      </c>
      <c r="AC643" s="489"/>
      <c r="AD643" s="489" t="str">
        <f>IF(IF(AA643=" "," ",IF(NOT(ISBLANK(X643)),VLOOKUP($D$3+X643,Calcs!$A$110:$B$122,2,TRUE),IF(AA643="Failed",VLOOKUP($D$3,Calcs!$A$110:$B$122,2,TRUE),VLOOKUP($D$3-(IF((Character!$B$9+W643)&gt;($D$3+Y643),(Character!$B$9+W643)-($D$3+Y643),0)),Calcs!$A$110:$B$122,2,TRUE))))=Calcs!$B$120,IF(ISBLANK(AC643)," ",CONCATENATE(AC643+7," Years")),IF(AA643=" "," ",IF(NOT(ISBLANK(X643)),VLOOKUP($D$3+X643,Calcs!$A$110:$B$122,2,TRUE),IF(AA643="Failed",VLOOKUP($D$3,Calcs!$A$110:$B$122,2,TRUE),VLOOKUP($D$3-(IF((Character!$B$9+W643)&gt;($D$3+Y643),(Character!$B$9+W643)-($D$3+Y643),0)),Calcs!$A$110:$B$122,2,TRUE)))))</f>
        <v xml:space="preserve"> </v>
      </c>
      <c r="AE643" s="490"/>
      <c r="AF643" s="879"/>
      <c r="AG643" s="491"/>
    </row>
    <row r="644" spans="1:33" x14ac:dyDescent="0.2">
      <c r="A644" s="415">
        <f t="shared" si="18"/>
        <v>1371</v>
      </c>
      <c r="B644" s="419" t="str">
        <f t="shared" si="19"/>
        <v>Winter</v>
      </c>
      <c r="C644" s="455"/>
      <c r="D644" s="504"/>
      <c r="E644" s="455"/>
      <c r="F644" s="504"/>
      <c r="G644" s="455"/>
      <c r="H644" s="504"/>
      <c r="I644" s="455"/>
      <c r="J644" s="504"/>
      <c r="L644" s="472"/>
      <c r="M644" s="468"/>
      <c r="N644" s="468"/>
      <c r="O644" s="468"/>
      <c r="P644" s="468"/>
      <c r="Q644" s="473"/>
      <c r="R644" s="477" t="str">
        <f>IF(AND(COUNTIF('Start Character'!$I$63:$M$77,"Twilight Prone")=1,NOT(ISERROR(FIND("Magical Botch",M644)))),"Yes",IF(P644&gt;1,"Yes","No"))</f>
        <v>No</v>
      </c>
      <c r="S644" s="501"/>
      <c r="T644" s="478"/>
      <c r="U644" s="501"/>
      <c r="V644" s="479" t="str">
        <f>IF(R644="No","No Twilight",IF(T644="Yes","Uncomprehended Twilight",IF((Character!$B$14+IF(Character!$B$53="Yes",0,Character!$B$53)+IF(Magic!$C$5="Yes",2,0)+ROUNDUP((Magic!$B$30+IF(Magic!$C$30="Yes",3,0))/5,0)+S644)&gt;=($D$3+P644+SUMIF(Character!$I$62:$I$66,"Enigmatic Wisdom",Character!$J$62:$J$66)+Q644+U644),"No Twilight","Twilight")))</f>
        <v>No Twilight</v>
      </c>
      <c r="W644" s="483"/>
      <c r="X644" s="478"/>
      <c r="Y644" s="484"/>
      <c r="Z644" s="478"/>
      <c r="AA644" s="485" t="str">
        <f>IF(V644="Uncomprehended Twilight","Failed",IF(OR(ISBLANK(W644),ISBLANK(Y644))," ",IF(NOT(ISBLANK(X644)),"Failed",IF((W644+Character!$B$9+SUMIF(Character!$I$62:$I$66,"Enigmatic Wisdom",Character!$J$62:$J$66))&gt;=IF(Z644="Yes",0,(Y644+D639)),"Succeeded","Failed"))))</f>
        <v xml:space="preserve"> </v>
      </c>
      <c r="AB644" s="477" t="str">
        <f>IF(AA644=" "," ",IF(NOT(ISBLANK(X644)),VLOOKUP($D$3+X644,Calcs!$A$110:$C$122,3,TRUE),IF(AA644="Failed",VLOOKUP($D$3,Calcs!$A$110:$C$122,3,TRUE),VLOOKUP($D$3-(IF((Character!$B$9+W644)&gt;($D$3+Y644),(Character!$B$9+W644)-($D$3+Y644),0)),Calcs!$A$110:$C$122,3,TRUE))))</f>
        <v xml:space="preserve"> </v>
      </c>
      <c r="AC644" s="489"/>
      <c r="AD644" s="489" t="str">
        <f>IF(IF(AA644=" "," ",IF(NOT(ISBLANK(X644)),VLOOKUP($D$3+X644,Calcs!$A$110:$B$122,2,TRUE),IF(AA644="Failed",VLOOKUP($D$3,Calcs!$A$110:$B$122,2,TRUE),VLOOKUP($D$3-(IF((Character!$B$9+W644)&gt;($D$3+Y644),(Character!$B$9+W644)-($D$3+Y644),0)),Calcs!$A$110:$B$122,2,TRUE))))=Calcs!$B$120,IF(ISBLANK(AC644)," ",CONCATENATE(AC644+7," Years")),IF(AA644=" "," ",IF(NOT(ISBLANK(X644)),VLOOKUP($D$3+X644,Calcs!$A$110:$B$122,2,TRUE),IF(AA644="Failed",VLOOKUP($D$3,Calcs!$A$110:$B$122,2,TRUE),VLOOKUP($D$3-(IF((Character!$B$9+W644)&gt;($D$3+Y644),(Character!$B$9+W644)-($D$3+Y644),0)),Calcs!$A$110:$B$122,2,TRUE)))))</f>
        <v xml:space="preserve"> </v>
      </c>
      <c r="AE644" s="490"/>
      <c r="AF644" s="879"/>
      <c r="AG644" s="491"/>
    </row>
    <row r="645" spans="1:33" x14ac:dyDescent="0.2">
      <c r="A645" s="415">
        <f t="shared" si="18"/>
        <v>1371</v>
      </c>
      <c r="B645" s="419" t="str">
        <f t="shared" si="19"/>
        <v>Spring</v>
      </c>
      <c r="C645" s="455"/>
      <c r="D645" s="504"/>
      <c r="E645" s="455"/>
      <c r="F645" s="504"/>
      <c r="G645" s="455"/>
      <c r="H645" s="504"/>
      <c r="I645" s="455"/>
      <c r="J645" s="504"/>
      <c r="L645" s="472"/>
      <c r="M645" s="468"/>
      <c r="N645" s="468"/>
      <c r="O645" s="468"/>
      <c r="P645" s="468"/>
      <c r="Q645" s="473"/>
      <c r="R645" s="477" t="str">
        <f>IF(AND(COUNTIF('Start Character'!$I$63:$M$77,"Twilight Prone")=1,NOT(ISERROR(FIND("Magical Botch",M645)))),"Yes",IF(P645&gt;1,"Yes","No"))</f>
        <v>No</v>
      </c>
      <c r="S645" s="501"/>
      <c r="T645" s="478"/>
      <c r="U645" s="501"/>
      <c r="V645" s="479" t="str">
        <f>IF(R645="No","No Twilight",IF(T645="Yes","Uncomprehended Twilight",IF((Character!$B$14+IF(Character!$B$53="Yes",0,Character!$B$53)+IF(Magic!$C$5="Yes",2,0)+ROUNDUP((Magic!$B$30+IF(Magic!$C$30="Yes",3,0))/5,0)+S645)&gt;=($D$3+P645+SUMIF(Character!$I$62:$I$66,"Enigmatic Wisdom",Character!$J$62:$J$66)+Q645+U645),"No Twilight","Twilight")))</f>
        <v>No Twilight</v>
      </c>
      <c r="W645" s="483"/>
      <c r="X645" s="478"/>
      <c r="Y645" s="484"/>
      <c r="Z645" s="478"/>
      <c r="AA645" s="485" t="str">
        <f>IF(V645="Uncomprehended Twilight","Failed",IF(OR(ISBLANK(W645),ISBLANK(Y645))," ",IF(NOT(ISBLANK(X645)),"Failed",IF((W645+Character!$B$9+SUMIF(Character!$I$62:$I$66,"Enigmatic Wisdom",Character!$J$62:$J$66))&gt;=IF(Z645="Yes",0,(Y645+D640)),"Succeeded","Failed"))))</f>
        <v xml:space="preserve"> </v>
      </c>
      <c r="AB645" s="477" t="str">
        <f>IF(AA645=" "," ",IF(NOT(ISBLANK(X645)),VLOOKUP($D$3+X645,Calcs!$A$110:$C$122,3,TRUE),IF(AA645="Failed",VLOOKUP($D$3,Calcs!$A$110:$C$122,3,TRUE),VLOOKUP($D$3-(IF((Character!$B$9+W645)&gt;($D$3+Y645),(Character!$B$9+W645)-($D$3+Y645),0)),Calcs!$A$110:$C$122,3,TRUE))))</f>
        <v xml:space="preserve"> </v>
      </c>
      <c r="AC645" s="489"/>
      <c r="AD645" s="489" t="str">
        <f>IF(IF(AA645=" "," ",IF(NOT(ISBLANK(X645)),VLOOKUP($D$3+X645,Calcs!$A$110:$B$122,2,TRUE),IF(AA645="Failed",VLOOKUP($D$3,Calcs!$A$110:$B$122,2,TRUE),VLOOKUP($D$3-(IF((Character!$B$9+W645)&gt;($D$3+Y645),(Character!$B$9+W645)-($D$3+Y645),0)),Calcs!$A$110:$B$122,2,TRUE))))=Calcs!$B$120,IF(ISBLANK(AC645)," ",CONCATENATE(AC645+7," Years")),IF(AA645=" "," ",IF(NOT(ISBLANK(X645)),VLOOKUP($D$3+X645,Calcs!$A$110:$B$122,2,TRUE),IF(AA645="Failed",VLOOKUP($D$3,Calcs!$A$110:$B$122,2,TRUE),VLOOKUP($D$3-(IF((Character!$B$9+W645)&gt;($D$3+Y645),(Character!$B$9+W645)-($D$3+Y645),0)),Calcs!$A$110:$B$122,2,TRUE)))))</f>
        <v xml:space="preserve"> </v>
      </c>
      <c r="AE645" s="490"/>
      <c r="AF645" s="879"/>
      <c r="AG645" s="491"/>
    </row>
    <row r="646" spans="1:33" x14ac:dyDescent="0.2">
      <c r="A646" s="415">
        <f t="shared" si="18"/>
        <v>1371</v>
      </c>
      <c r="B646" s="419" t="str">
        <f t="shared" si="19"/>
        <v>Summer</v>
      </c>
      <c r="C646" s="455"/>
      <c r="D646" s="504"/>
      <c r="E646" s="455"/>
      <c r="F646" s="504"/>
      <c r="G646" s="455"/>
      <c r="H646" s="504"/>
      <c r="I646" s="455"/>
      <c r="J646" s="504"/>
      <c r="L646" s="472"/>
      <c r="M646" s="468"/>
      <c r="N646" s="468"/>
      <c r="O646" s="468"/>
      <c r="P646" s="468"/>
      <c r="Q646" s="473"/>
      <c r="R646" s="477" t="str">
        <f>IF(AND(COUNTIF('Start Character'!$I$63:$M$77,"Twilight Prone")=1,NOT(ISERROR(FIND("Magical Botch",M646)))),"Yes",IF(P646&gt;1,"Yes","No"))</f>
        <v>No</v>
      </c>
      <c r="S646" s="501"/>
      <c r="T646" s="478"/>
      <c r="U646" s="501"/>
      <c r="V646" s="479" t="str">
        <f>IF(R646="No","No Twilight",IF(T646="Yes","Uncomprehended Twilight",IF((Character!$B$14+IF(Character!$B$53="Yes",0,Character!$B$53)+IF(Magic!$C$5="Yes",2,0)+ROUNDUP((Magic!$B$30+IF(Magic!$C$30="Yes",3,0))/5,0)+S646)&gt;=($D$3+P646+SUMIF(Character!$I$62:$I$66,"Enigmatic Wisdom",Character!$J$62:$J$66)+Q646+U646),"No Twilight","Twilight")))</f>
        <v>No Twilight</v>
      </c>
      <c r="W646" s="483"/>
      <c r="X646" s="478"/>
      <c r="Y646" s="484"/>
      <c r="Z646" s="478"/>
      <c r="AA646" s="485" t="str">
        <f>IF(V646="Uncomprehended Twilight","Failed",IF(OR(ISBLANK(W646),ISBLANK(Y646))," ",IF(NOT(ISBLANK(X646)),"Failed",IF((W646+Character!$B$9+SUMIF(Character!$I$62:$I$66,"Enigmatic Wisdom",Character!$J$62:$J$66))&gt;=IF(Z646="Yes",0,(Y646+D641)),"Succeeded","Failed"))))</f>
        <v xml:space="preserve"> </v>
      </c>
      <c r="AB646" s="477" t="str">
        <f>IF(AA646=" "," ",IF(NOT(ISBLANK(X646)),VLOOKUP($D$3+X646,Calcs!$A$110:$C$122,3,TRUE),IF(AA646="Failed",VLOOKUP($D$3,Calcs!$A$110:$C$122,3,TRUE),VLOOKUP($D$3-(IF((Character!$B$9+W646)&gt;($D$3+Y646),(Character!$B$9+W646)-($D$3+Y646),0)),Calcs!$A$110:$C$122,3,TRUE))))</f>
        <v xml:space="preserve"> </v>
      </c>
      <c r="AC646" s="489"/>
      <c r="AD646" s="489" t="str">
        <f>IF(IF(AA646=" "," ",IF(NOT(ISBLANK(X646)),VLOOKUP($D$3+X646,Calcs!$A$110:$B$122,2,TRUE),IF(AA646="Failed",VLOOKUP($D$3,Calcs!$A$110:$B$122,2,TRUE),VLOOKUP($D$3-(IF((Character!$B$9+W646)&gt;($D$3+Y646),(Character!$B$9+W646)-($D$3+Y646),0)),Calcs!$A$110:$B$122,2,TRUE))))=Calcs!$B$120,IF(ISBLANK(AC646)," ",CONCATENATE(AC646+7," Years")),IF(AA646=" "," ",IF(NOT(ISBLANK(X646)),VLOOKUP($D$3+X646,Calcs!$A$110:$B$122,2,TRUE),IF(AA646="Failed",VLOOKUP($D$3,Calcs!$A$110:$B$122,2,TRUE),VLOOKUP($D$3-(IF((Character!$B$9+W646)&gt;($D$3+Y646),(Character!$B$9+W646)-($D$3+Y646),0)),Calcs!$A$110:$B$122,2,TRUE)))))</f>
        <v xml:space="preserve"> </v>
      </c>
      <c r="AE646" s="490"/>
      <c r="AF646" s="879"/>
      <c r="AG646" s="491"/>
    </row>
    <row r="647" spans="1:33" x14ac:dyDescent="0.2">
      <c r="A647" s="415">
        <f t="shared" si="18"/>
        <v>1371</v>
      </c>
      <c r="B647" s="419" t="str">
        <f t="shared" si="19"/>
        <v>Autumn</v>
      </c>
      <c r="C647" s="455"/>
      <c r="D647" s="504"/>
      <c r="E647" s="455"/>
      <c r="F647" s="504"/>
      <c r="G647" s="455"/>
      <c r="H647" s="504"/>
      <c r="I647" s="455"/>
      <c r="J647" s="504"/>
      <c r="L647" s="472"/>
      <c r="M647" s="468"/>
      <c r="N647" s="468"/>
      <c r="O647" s="468"/>
      <c r="P647" s="468"/>
      <c r="Q647" s="473"/>
      <c r="R647" s="477" t="str">
        <f>IF(AND(COUNTIF('Start Character'!$I$63:$M$77,"Twilight Prone")=1,NOT(ISERROR(FIND("Magical Botch",M647)))),"Yes",IF(P647&gt;1,"Yes","No"))</f>
        <v>No</v>
      </c>
      <c r="S647" s="501"/>
      <c r="T647" s="478"/>
      <c r="U647" s="501"/>
      <c r="V647" s="479" t="str">
        <f>IF(R647="No","No Twilight",IF(T647="Yes","Uncomprehended Twilight",IF((Character!$B$14+IF(Character!$B$53="Yes",0,Character!$B$53)+IF(Magic!$C$5="Yes",2,0)+ROUNDUP((Magic!$B$30+IF(Magic!$C$30="Yes",3,0))/5,0)+S647)&gt;=($D$3+P647+SUMIF(Character!$I$62:$I$66,"Enigmatic Wisdom",Character!$J$62:$J$66)+Q647+U647),"No Twilight","Twilight")))</f>
        <v>No Twilight</v>
      </c>
      <c r="W647" s="483"/>
      <c r="X647" s="478"/>
      <c r="Y647" s="484"/>
      <c r="Z647" s="478"/>
      <c r="AA647" s="485" t="str">
        <f>IF(V647="Uncomprehended Twilight","Failed",IF(OR(ISBLANK(W647),ISBLANK(Y647))," ",IF(NOT(ISBLANK(X647)),"Failed",IF((W647+Character!$B$9+SUMIF(Character!$I$62:$I$66,"Enigmatic Wisdom",Character!$J$62:$J$66))&gt;=IF(Z647="Yes",0,(Y647+D642)),"Succeeded","Failed"))))</f>
        <v xml:space="preserve"> </v>
      </c>
      <c r="AB647" s="477" t="str">
        <f>IF(AA647=" "," ",IF(NOT(ISBLANK(X647)),VLOOKUP($D$3+X647,Calcs!$A$110:$C$122,3,TRUE),IF(AA647="Failed",VLOOKUP($D$3,Calcs!$A$110:$C$122,3,TRUE),VLOOKUP($D$3-(IF((Character!$B$9+W647)&gt;($D$3+Y647),(Character!$B$9+W647)-($D$3+Y647),0)),Calcs!$A$110:$C$122,3,TRUE))))</f>
        <v xml:space="preserve"> </v>
      </c>
      <c r="AC647" s="489"/>
      <c r="AD647" s="489" t="str">
        <f>IF(IF(AA647=" "," ",IF(NOT(ISBLANK(X647)),VLOOKUP($D$3+X647,Calcs!$A$110:$B$122,2,TRUE),IF(AA647="Failed",VLOOKUP($D$3,Calcs!$A$110:$B$122,2,TRUE),VLOOKUP($D$3-(IF((Character!$B$9+W647)&gt;($D$3+Y647),(Character!$B$9+W647)-($D$3+Y647),0)),Calcs!$A$110:$B$122,2,TRUE))))=Calcs!$B$120,IF(ISBLANK(AC647)," ",CONCATENATE(AC647+7," Years")),IF(AA647=" "," ",IF(NOT(ISBLANK(X647)),VLOOKUP($D$3+X647,Calcs!$A$110:$B$122,2,TRUE),IF(AA647="Failed",VLOOKUP($D$3,Calcs!$A$110:$B$122,2,TRUE),VLOOKUP($D$3-(IF((Character!$B$9+W647)&gt;($D$3+Y647),(Character!$B$9+W647)-($D$3+Y647),0)),Calcs!$A$110:$B$122,2,TRUE)))))</f>
        <v xml:space="preserve"> </v>
      </c>
      <c r="AE647" s="490"/>
      <c r="AF647" s="879"/>
      <c r="AG647" s="491"/>
    </row>
    <row r="648" spans="1:33" x14ac:dyDescent="0.2">
      <c r="A648" s="415">
        <f t="shared" si="18"/>
        <v>1372</v>
      </c>
      <c r="B648" s="419" t="str">
        <f t="shared" si="19"/>
        <v>Winter</v>
      </c>
      <c r="C648" s="455"/>
      <c r="D648" s="504"/>
      <c r="E648" s="455"/>
      <c r="F648" s="504"/>
      <c r="G648" s="455"/>
      <c r="H648" s="504"/>
      <c r="I648" s="455"/>
      <c r="J648" s="504"/>
      <c r="L648" s="472"/>
      <c r="M648" s="468"/>
      <c r="N648" s="468"/>
      <c r="O648" s="468"/>
      <c r="P648" s="468"/>
      <c r="Q648" s="473"/>
      <c r="R648" s="477" t="str">
        <f>IF(AND(COUNTIF('Start Character'!$I$63:$M$77,"Twilight Prone")=1,NOT(ISERROR(FIND("Magical Botch",M648)))),"Yes",IF(P648&gt;1,"Yes","No"))</f>
        <v>No</v>
      </c>
      <c r="S648" s="501"/>
      <c r="T648" s="478"/>
      <c r="U648" s="501"/>
      <c r="V648" s="479" t="str">
        <f>IF(R648="No","No Twilight",IF(T648="Yes","Uncomprehended Twilight",IF((Character!$B$14+IF(Character!$B$53="Yes",0,Character!$B$53)+IF(Magic!$C$5="Yes",2,0)+ROUNDUP((Magic!$B$30+IF(Magic!$C$30="Yes",3,0))/5,0)+S648)&gt;=($D$3+P648+SUMIF(Character!$I$62:$I$66,"Enigmatic Wisdom",Character!$J$62:$J$66)+Q648+U648),"No Twilight","Twilight")))</f>
        <v>No Twilight</v>
      </c>
      <c r="W648" s="483"/>
      <c r="X648" s="478"/>
      <c r="Y648" s="484"/>
      <c r="Z648" s="478"/>
      <c r="AA648" s="485" t="str">
        <f>IF(V648="Uncomprehended Twilight","Failed",IF(OR(ISBLANK(W648),ISBLANK(Y648))," ",IF(NOT(ISBLANK(X648)),"Failed",IF((W648+Character!$B$9+SUMIF(Character!$I$62:$I$66,"Enigmatic Wisdom",Character!$J$62:$J$66))&gt;=IF(Z648="Yes",0,(Y648+D643)),"Succeeded","Failed"))))</f>
        <v xml:space="preserve"> </v>
      </c>
      <c r="AB648" s="477" t="str">
        <f>IF(AA648=" "," ",IF(NOT(ISBLANK(X648)),VLOOKUP($D$3+X648,Calcs!$A$110:$C$122,3,TRUE),IF(AA648="Failed",VLOOKUP($D$3,Calcs!$A$110:$C$122,3,TRUE),VLOOKUP($D$3-(IF((Character!$B$9+W648)&gt;($D$3+Y648),(Character!$B$9+W648)-($D$3+Y648),0)),Calcs!$A$110:$C$122,3,TRUE))))</f>
        <v xml:space="preserve"> </v>
      </c>
      <c r="AC648" s="489"/>
      <c r="AD648" s="489" t="str">
        <f>IF(IF(AA648=" "," ",IF(NOT(ISBLANK(X648)),VLOOKUP($D$3+X648,Calcs!$A$110:$B$122,2,TRUE),IF(AA648="Failed",VLOOKUP($D$3,Calcs!$A$110:$B$122,2,TRUE),VLOOKUP($D$3-(IF((Character!$B$9+W648)&gt;($D$3+Y648),(Character!$B$9+W648)-($D$3+Y648),0)),Calcs!$A$110:$B$122,2,TRUE))))=Calcs!$B$120,IF(ISBLANK(AC648)," ",CONCATENATE(AC648+7," Years")),IF(AA648=" "," ",IF(NOT(ISBLANK(X648)),VLOOKUP($D$3+X648,Calcs!$A$110:$B$122,2,TRUE),IF(AA648="Failed",VLOOKUP($D$3,Calcs!$A$110:$B$122,2,TRUE),VLOOKUP($D$3-(IF((Character!$B$9+W648)&gt;($D$3+Y648),(Character!$B$9+W648)-($D$3+Y648),0)),Calcs!$A$110:$B$122,2,TRUE)))))</f>
        <v xml:space="preserve"> </v>
      </c>
      <c r="AE648" s="490"/>
      <c r="AF648" s="879"/>
      <c r="AG648" s="491"/>
    </row>
    <row r="649" spans="1:33" x14ac:dyDescent="0.2">
      <c r="A649" s="415">
        <f t="shared" si="18"/>
        <v>1372</v>
      </c>
      <c r="B649" s="419" t="str">
        <f t="shared" si="19"/>
        <v>Spring</v>
      </c>
      <c r="C649" s="455"/>
      <c r="D649" s="504"/>
      <c r="E649" s="455"/>
      <c r="F649" s="504"/>
      <c r="G649" s="455"/>
      <c r="H649" s="504"/>
      <c r="I649" s="455"/>
      <c r="J649" s="504"/>
      <c r="L649" s="472"/>
      <c r="M649" s="468"/>
      <c r="N649" s="468"/>
      <c r="O649" s="468"/>
      <c r="P649" s="468"/>
      <c r="Q649" s="473"/>
      <c r="R649" s="477" t="str">
        <f>IF(AND(COUNTIF('Start Character'!$I$63:$M$77,"Twilight Prone")=1,NOT(ISERROR(FIND("Magical Botch",M649)))),"Yes",IF(P649&gt;1,"Yes","No"))</f>
        <v>No</v>
      </c>
      <c r="S649" s="501"/>
      <c r="T649" s="478"/>
      <c r="U649" s="501"/>
      <c r="V649" s="479" t="str">
        <f>IF(R649="No","No Twilight",IF(T649="Yes","Uncomprehended Twilight",IF((Character!$B$14+IF(Character!$B$53="Yes",0,Character!$B$53)+IF(Magic!$C$5="Yes",2,0)+ROUNDUP((Magic!$B$30+IF(Magic!$C$30="Yes",3,0))/5,0)+S649)&gt;=($D$3+P649+SUMIF(Character!$I$62:$I$66,"Enigmatic Wisdom",Character!$J$62:$J$66)+Q649+U649),"No Twilight","Twilight")))</f>
        <v>No Twilight</v>
      </c>
      <c r="W649" s="483"/>
      <c r="X649" s="478"/>
      <c r="Y649" s="484"/>
      <c r="Z649" s="478"/>
      <c r="AA649" s="485" t="str">
        <f>IF(V649="Uncomprehended Twilight","Failed",IF(OR(ISBLANK(W649),ISBLANK(Y649))," ",IF(NOT(ISBLANK(X649)),"Failed",IF((W649+Character!$B$9+SUMIF(Character!$I$62:$I$66,"Enigmatic Wisdom",Character!$J$62:$J$66))&gt;=IF(Z649="Yes",0,(Y649+D644)),"Succeeded","Failed"))))</f>
        <v xml:space="preserve"> </v>
      </c>
      <c r="AB649" s="477" t="str">
        <f>IF(AA649=" "," ",IF(NOT(ISBLANK(X649)),VLOOKUP($D$3+X649,Calcs!$A$110:$C$122,3,TRUE),IF(AA649="Failed",VLOOKUP($D$3,Calcs!$A$110:$C$122,3,TRUE),VLOOKUP($D$3-(IF((Character!$B$9+W649)&gt;($D$3+Y649),(Character!$B$9+W649)-($D$3+Y649),0)),Calcs!$A$110:$C$122,3,TRUE))))</f>
        <v xml:space="preserve"> </v>
      </c>
      <c r="AC649" s="489"/>
      <c r="AD649" s="489" t="str">
        <f>IF(IF(AA649=" "," ",IF(NOT(ISBLANK(X649)),VLOOKUP($D$3+X649,Calcs!$A$110:$B$122,2,TRUE),IF(AA649="Failed",VLOOKUP($D$3,Calcs!$A$110:$B$122,2,TRUE),VLOOKUP($D$3-(IF((Character!$B$9+W649)&gt;($D$3+Y649),(Character!$B$9+W649)-($D$3+Y649),0)),Calcs!$A$110:$B$122,2,TRUE))))=Calcs!$B$120,IF(ISBLANK(AC649)," ",CONCATENATE(AC649+7," Years")),IF(AA649=" "," ",IF(NOT(ISBLANK(X649)),VLOOKUP($D$3+X649,Calcs!$A$110:$B$122,2,TRUE),IF(AA649="Failed",VLOOKUP($D$3,Calcs!$A$110:$B$122,2,TRUE),VLOOKUP($D$3-(IF((Character!$B$9+W649)&gt;($D$3+Y649),(Character!$B$9+W649)-($D$3+Y649),0)),Calcs!$A$110:$B$122,2,TRUE)))))</f>
        <v xml:space="preserve"> </v>
      </c>
      <c r="AE649" s="490"/>
      <c r="AF649" s="879"/>
      <c r="AG649" s="491"/>
    </row>
    <row r="650" spans="1:33" x14ac:dyDescent="0.2">
      <c r="A650" s="415">
        <f t="shared" si="18"/>
        <v>1372</v>
      </c>
      <c r="B650" s="419" t="str">
        <f t="shared" si="19"/>
        <v>Summer</v>
      </c>
      <c r="C650" s="455"/>
      <c r="D650" s="504"/>
      <c r="E650" s="455"/>
      <c r="F650" s="504"/>
      <c r="G650" s="455"/>
      <c r="H650" s="504"/>
      <c r="I650" s="455"/>
      <c r="J650" s="504"/>
      <c r="L650" s="472"/>
      <c r="M650" s="468"/>
      <c r="N650" s="468"/>
      <c r="O650" s="468"/>
      <c r="P650" s="468"/>
      <c r="Q650" s="473"/>
      <c r="R650" s="477" t="str">
        <f>IF(AND(COUNTIF('Start Character'!$I$63:$M$77,"Twilight Prone")=1,NOT(ISERROR(FIND("Magical Botch",M650)))),"Yes",IF(P650&gt;1,"Yes","No"))</f>
        <v>No</v>
      </c>
      <c r="S650" s="501"/>
      <c r="T650" s="478"/>
      <c r="U650" s="501"/>
      <c r="V650" s="479" t="str">
        <f>IF(R650="No","No Twilight",IF(T650="Yes","Uncomprehended Twilight",IF((Character!$B$14+IF(Character!$B$53="Yes",0,Character!$B$53)+IF(Magic!$C$5="Yes",2,0)+ROUNDUP((Magic!$B$30+IF(Magic!$C$30="Yes",3,0))/5,0)+S650)&gt;=($D$3+P650+SUMIF(Character!$I$62:$I$66,"Enigmatic Wisdom",Character!$J$62:$J$66)+Q650+U650),"No Twilight","Twilight")))</f>
        <v>No Twilight</v>
      </c>
      <c r="W650" s="483"/>
      <c r="X650" s="478"/>
      <c r="Y650" s="484"/>
      <c r="Z650" s="478"/>
      <c r="AA650" s="485" t="str">
        <f>IF(V650="Uncomprehended Twilight","Failed",IF(OR(ISBLANK(W650),ISBLANK(Y650))," ",IF(NOT(ISBLANK(X650)),"Failed",IF((W650+Character!$B$9+SUMIF(Character!$I$62:$I$66,"Enigmatic Wisdom",Character!$J$62:$J$66))&gt;=IF(Z650="Yes",0,(Y650+D645)),"Succeeded","Failed"))))</f>
        <v xml:space="preserve"> </v>
      </c>
      <c r="AB650" s="477" t="str">
        <f>IF(AA650=" "," ",IF(NOT(ISBLANK(X650)),VLOOKUP($D$3+X650,Calcs!$A$110:$C$122,3,TRUE),IF(AA650="Failed",VLOOKUP($D$3,Calcs!$A$110:$C$122,3,TRUE),VLOOKUP($D$3-(IF((Character!$B$9+W650)&gt;($D$3+Y650),(Character!$B$9+W650)-($D$3+Y650),0)),Calcs!$A$110:$C$122,3,TRUE))))</f>
        <v xml:space="preserve"> </v>
      </c>
      <c r="AC650" s="489"/>
      <c r="AD650" s="489" t="str">
        <f>IF(IF(AA650=" "," ",IF(NOT(ISBLANK(X650)),VLOOKUP($D$3+X650,Calcs!$A$110:$B$122,2,TRUE),IF(AA650="Failed",VLOOKUP($D$3,Calcs!$A$110:$B$122,2,TRUE),VLOOKUP($D$3-(IF((Character!$B$9+W650)&gt;($D$3+Y650),(Character!$B$9+W650)-($D$3+Y650),0)),Calcs!$A$110:$B$122,2,TRUE))))=Calcs!$B$120,IF(ISBLANK(AC650)," ",CONCATENATE(AC650+7," Years")),IF(AA650=" "," ",IF(NOT(ISBLANK(X650)),VLOOKUP($D$3+X650,Calcs!$A$110:$B$122,2,TRUE),IF(AA650="Failed",VLOOKUP($D$3,Calcs!$A$110:$B$122,2,TRUE),VLOOKUP($D$3-(IF((Character!$B$9+W650)&gt;($D$3+Y650),(Character!$B$9+W650)-($D$3+Y650),0)),Calcs!$A$110:$B$122,2,TRUE)))))</f>
        <v xml:space="preserve"> </v>
      </c>
      <c r="AE650" s="490"/>
      <c r="AF650" s="879"/>
      <c r="AG650" s="491"/>
    </row>
    <row r="651" spans="1:33" x14ac:dyDescent="0.2">
      <c r="A651" s="415">
        <f t="shared" si="18"/>
        <v>1372</v>
      </c>
      <c r="B651" s="419" t="str">
        <f t="shared" si="19"/>
        <v>Autumn</v>
      </c>
      <c r="C651" s="455"/>
      <c r="D651" s="504"/>
      <c r="E651" s="455"/>
      <c r="F651" s="504"/>
      <c r="G651" s="455"/>
      <c r="H651" s="504"/>
      <c r="I651" s="455"/>
      <c r="J651" s="504"/>
      <c r="L651" s="472"/>
      <c r="M651" s="468"/>
      <c r="N651" s="468"/>
      <c r="O651" s="468"/>
      <c r="P651" s="468"/>
      <c r="Q651" s="473"/>
      <c r="R651" s="477" t="str">
        <f>IF(AND(COUNTIF('Start Character'!$I$63:$M$77,"Twilight Prone")=1,NOT(ISERROR(FIND("Magical Botch",M651)))),"Yes",IF(P651&gt;1,"Yes","No"))</f>
        <v>No</v>
      </c>
      <c r="S651" s="501"/>
      <c r="T651" s="478"/>
      <c r="U651" s="501"/>
      <c r="V651" s="479" t="str">
        <f>IF(R651="No","No Twilight",IF(T651="Yes","Uncomprehended Twilight",IF((Character!$B$14+IF(Character!$B$53="Yes",0,Character!$B$53)+IF(Magic!$C$5="Yes",2,0)+ROUNDUP((Magic!$B$30+IF(Magic!$C$30="Yes",3,0))/5,0)+S651)&gt;=($D$3+P651+SUMIF(Character!$I$62:$I$66,"Enigmatic Wisdom",Character!$J$62:$J$66)+Q651+U651),"No Twilight","Twilight")))</f>
        <v>No Twilight</v>
      </c>
      <c r="W651" s="483"/>
      <c r="X651" s="478"/>
      <c r="Y651" s="484"/>
      <c r="Z651" s="478"/>
      <c r="AA651" s="485" t="str">
        <f>IF(V651="Uncomprehended Twilight","Failed",IF(OR(ISBLANK(W651),ISBLANK(Y651))," ",IF(NOT(ISBLANK(X651)),"Failed",IF((W651+Character!$B$9+SUMIF(Character!$I$62:$I$66,"Enigmatic Wisdom",Character!$J$62:$J$66))&gt;=IF(Z651="Yes",0,(Y651+D646)),"Succeeded","Failed"))))</f>
        <v xml:space="preserve"> </v>
      </c>
      <c r="AB651" s="477" t="str">
        <f>IF(AA651=" "," ",IF(NOT(ISBLANK(X651)),VLOOKUP($D$3+X651,Calcs!$A$110:$C$122,3,TRUE),IF(AA651="Failed",VLOOKUP($D$3,Calcs!$A$110:$C$122,3,TRUE),VLOOKUP($D$3-(IF((Character!$B$9+W651)&gt;($D$3+Y651),(Character!$B$9+W651)-($D$3+Y651),0)),Calcs!$A$110:$C$122,3,TRUE))))</f>
        <v xml:space="preserve"> </v>
      </c>
      <c r="AC651" s="489"/>
      <c r="AD651" s="489" t="str">
        <f>IF(IF(AA651=" "," ",IF(NOT(ISBLANK(X651)),VLOOKUP($D$3+X651,Calcs!$A$110:$B$122,2,TRUE),IF(AA651="Failed",VLOOKUP($D$3,Calcs!$A$110:$B$122,2,TRUE),VLOOKUP($D$3-(IF((Character!$B$9+W651)&gt;($D$3+Y651),(Character!$B$9+W651)-($D$3+Y651),0)),Calcs!$A$110:$B$122,2,TRUE))))=Calcs!$B$120,IF(ISBLANK(AC651)," ",CONCATENATE(AC651+7," Years")),IF(AA651=" "," ",IF(NOT(ISBLANK(X651)),VLOOKUP($D$3+X651,Calcs!$A$110:$B$122,2,TRUE),IF(AA651="Failed",VLOOKUP($D$3,Calcs!$A$110:$B$122,2,TRUE),VLOOKUP($D$3-(IF((Character!$B$9+W651)&gt;($D$3+Y651),(Character!$B$9+W651)-($D$3+Y651),0)),Calcs!$A$110:$B$122,2,TRUE)))))</f>
        <v xml:space="preserve"> </v>
      </c>
      <c r="AE651" s="490"/>
      <c r="AF651" s="879"/>
      <c r="AG651" s="491"/>
    </row>
    <row r="652" spans="1:33" x14ac:dyDescent="0.2">
      <c r="A652" s="415">
        <f t="shared" si="18"/>
        <v>1373</v>
      </c>
      <c r="B652" s="419" t="str">
        <f t="shared" si="19"/>
        <v>Winter</v>
      </c>
      <c r="C652" s="455"/>
      <c r="D652" s="504"/>
      <c r="E652" s="455"/>
      <c r="F652" s="504"/>
      <c r="G652" s="455"/>
      <c r="H652" s="504"/>
      <c r="I652" s="455"/>
      <c r="J652" s="504"/>
      <c r="L652" s="472"/>
      <c r="M652" s="468"/>
      <c r="N652" s="468"/>
      <c r="O652" s="468"/>
      <c r="P652" s="468"/>
      <c r="Q652" s="473"/>
      <c r="R652" s="477" t="str">
        <f>IF(AND(COUNTIF('Start Character'!$I$63:$M$77,"Twilight Prone")=1,NOT(ISERROR(FIND("Magical Botch",M652)))),"Yes",IF(P652&gt;1,"Yes","No"))</f>
        <v>No</v>
      </c>
      <c r="S652" s="501"/>
      <c r="T652" s="478"/>
      <c r="U652" s="501"/>
      <c r="V652" s="479" t="str">
        <f>IF(R652="No","No Twilight",IF(T652="Yes","Uncomprehended Twilight",IF((Character!$B$14+IF(Character!$B$53="Yes",0,Character!$B$53)+IF(Magic!$C$5="Yes",2,0)+ROUNDUP((Magic!$B$30+IF(Magic!$C$30="Yes",3,0))/5,0)+S652)&gt;=($D$3+P652+SUMIF(Character!$I$62:$I$66,"Enigmatic Wisdom",Character!$J$62:$J$66)+Q652+U652),"No Twilight","Twilight")))</f>
        <v>No Twilight</v>
      </c>
      <c r="W652" s="483"/>
      <c r="X652" s="478"/>
      <c r="Y652" s="484"/>
      <c r="Z652" s="478"/>
      <c r="AA652" s="485" t="str">
        <f>IF(V652="Uncomprehended Twilight","Failed",IF(OR(ISBLANK(W652),ISBLANK(Y652))," ",IF(NOT(ISBLANK(X652)),"Failed",IF((W652+Character!$B$9+SUMIF(Character!$I$62:$I$66,"Enigmatic Wisdom",Character!$J$62:$J$66))&gt;=IF(Z652="Yes",0,(Y652+D647)),"Succeeded","Failed"))))</f>
        <v xml:space="preserve"> </v>
      </c>
      <c r="AB652" s="477" t="str">
        <f>IF(AA652=" "," ",IF(NOT(ISBLANK(X652)),VLOOKUP($D$3+X652,Calcs!$A$110:$C$122,3,TRUE),IF(AA652="Failed",VLOOKUP($D$3,Calcs!$A$110:$C$122,3,TRUE),VLOOKUP($D$3-(IF((Character!$B$9+W652)&gt;($D$3+Y652),(Character!$B$9+W652)-($D$3+Y652),0)),Calcs!$A$110:$C$122,3,TRUE))))</f>
        <v xml:space="preserve"> </v>
      </c>
      <c r="AC652" s="489"/>
      <c r="AD652" s="489" t="str">
        <f>IF(IF(AA652=" "," ",IF(NOT(ISBLANK(X652)),VLOOKUP($D$3+X652,Calcs!$A$110:$B$122,2,TRUE),IF(AA652="Failed",VLOOKUP($D$3,Calcs!$A$110:$B$122,2,TRUE),VLOOKUP($D$3-(IF((Character!$B$9+W652)&gt;($D$3+Y652),(Character!$B$9+W652)-($D$3+Y652),0)),Calcs!$A$110:$B$122,2,TRUE))))=Calcs!$B$120,IF(ISBLANK(AC652)," ",CONCATENATE(AC652+7," Years")),IF(AA652=" "," ",IF(NOT(ISBLANK(X652)),VLOOKUP($D$3+X652,Calcs!$A$110:$B$122,2,TRUE),IF(AA652="Failed",VLOOKUP($D$3,Calcs!$A$110:$B$122,2,TRUE),VLOOKUP($D$3-(IF((Character!$B$9+W652)&gt;($D$3+Y652),(Character!$B$9+W652)-($D$3+Y652),0)),Calcs!$A$110:$B$122,2,TRUE)))))</f>
        <v xml:space="preserve"> </v>
      </c>
      <c r="AE652" s="490"/>
      <c r="AF652" s="879"/>
      <c r="AG652" s="491"/>
    </row>
    <row r="653" spans="1:33" x14ac:dyDescent="0.2">
      <c r="A653" s="415">
        <f t="shared" si="18"/>
        <v>1373</v>
      </c>
      <c r="B653" s="419" t="str">
        <f t="shared" si="19"/>
        <v>Spring</v>
      </c>
      <c r="C653" s="455"/>
      <c r="D653" s="504"/>
      <c r="E653" s="455"/>
      <c r="F653" s="504"/>
      <c r="G653" s="455"/>
      <c r="H653" s="504"/>
      <c r="I653" s="455"/>
      <c r="J653" s="504"/>
      <c r="L653" s="472"/>
      <c r="M653" s="468"/>
      <c r="N653" s="468"/>
      <c r="O653" s="468"/>
      <c r="P653" s="468"/>
      <c r="Q653" s="473"/>
      <c r="R653" s="477" t="str">
        <f>IF(AND(COUNTIF('Start Character'!$I$63:$M$77,"Twilight Prone")=1,NOT(ISERROR(FIND("Magical Botch",M653)))),"Yes",IF(P653&gt;1,"Yes","No"))</f>
        <v>No</v>
      </c>
      <c r="S653" s="501"/>
      <c r="T653" s="478"/>
      <c r="U653" s="501"/>
      <c r="V653" s="479" t="str">
        <f>IF(R653="No","No Twilight",IF(T653="Yes","Uncomprehended Twilight",IF((Character!$B$14+IF(Character!$B$53="Yes",0,Character!$B$53)+IF(Magic!$C$5="Yes",2,0)+ROUNDUP((Magic!$B$30+IF(Magic!$C$30="Yes",3,0))/5,0)+S653)&gt;=($D$3+P653+SUMIF(Character!$I$62:$I$66,"Enigmatic Wisdom",Character!$J$62:$J$66)+Q653+U653),"No Twilight","Twilight")))</f>
        <v>No Twilight</v>
      </c>
      <c r="W653" s="483"/>
      <c r="X653" s="478"/>
      <c r="Y653" s="484"/>
      <c r="Z653" s="478"/>
      <c r="AA653" s="485" t="str">
        <f>IF(V653="Uncomprehended Twilight","Failed",IF(OR(ISBLANK(W653),ISBLANK(Y653))," ",IF(NOT(ISBLANK(X653)),"Failed",IF((W653+Character!$B$9+SUMIF(Character!$I$62:$I$66,"Enigmatic Wisdom",Character!$J$62:$J$66))&gt;=IF(Z653="Yes",0,(Y653+D648)),"Succeeded","Failed"))))</f>
        <v xml:space="preserve"> </v>
      </c>
      <c r="AB653" s="477" t="str">
        <f>IF(AA653=" "," ",IF(NOT(ISBLANK(X653)),VLOOKUP($D$3+X653,Calcs!$A$110:$C$122,3,TRUE),IF(AA653="Failed",VLOOKUP($D$3,Calcs!$A$110:$C$122,3,TRUE),VLOOKUP($D$3-(IF((Character!$B$9+W653)&gt;($D$3+Y653),(Character!$B$9+W653)-($D$3+Y653),0)),Calcs!$A$110:$C$122,3,TRUE))))</f>
        <v xml:space="preserve"> </v>
      </c>
      <c r="AC653" s="489"/>
      <c r="AD653" s="489" t="str">
        <f>IF(IF(AA653=" "," ",IF(NOT(ISBLANK(X653)),VLOOKUP($D$3+X653,Calcs!$A$110:$B$122,2,TRUE),IF(AA653="Failed",VLOOKUP($D$3,Calcs!$A$110:$B$122,2,TRUE),VLOOKUP($D$3-(IF((Character!$B$9+W653)&gt;($D$3+Y653),(Character!$B$9+W653)-($D$3+Y653),0)),Calcs!$A$110:$B$122,2,TRUE))))=Calcs!$B$120,IF(ISBLANK(AC653)," ",CONCATENATE(AC653+7," Years")),IF(AA653=" "," ",IF(NOT(ISBLANK(X653)),VLOOKUP($D$3+X653,Calcs!$A$110:$B$122,2,TRUE),IF(AA653="Failed",VLOOKUP($D$3,Calcs!$A$110:$B$122,2,TRUE),VLOOKUP($D$3-(IF((Character!$B$9+W653)&gt;($D$3+Y653),(Character!$B$9+W653)-($D$3+Y653),0)),Calcs!$A$110:$B$122,2,TRUE)))))</f>
        <v xml:space="preserve"> </v>
      </c>
      <c r="AE653" s="490"/>
      <c r="AF653" s="879"/>
      <c r="AG653" s="491"/>
    </row>
    <row r="654" spans="1:33" x14ac:dyDescent="0.2">
      <c r="A654" s="415">
        <f t="shared" si="18"/>
        <v>1373</v>
      </c>
      <c r="B654" s="419" t="str">
        <f t="shared" si="19"/>
        <v>Summer</v>
      </c>
      <c r="C654" s="455"/>
      <c r="D654" s="504"/>
      <c r="E654" s="455"/>
      <c r="F654" s="504"/>
      <c r="G654" s="455"/>
      <c r="H654" s="504"/>
      <c r="I654" s="455"/>
      <c r="J654" s="504"/>
      <c r="L654" s="472"/>
      <c r="M654" s="468"/>
      <c r="N654" s="468"/>
      <c r="O654" s="468"/>
      <c r="P654" s="468"/>
      <c r="Q654" s="473"/>
      <c r="R654" s="477" t="str">
        <f>IF(AND(COUNTIF('Start Character'!$I$63:$M$77,"Twilight Prone")=1,NOT(ISERROR(FIND("Magical Botch",M654)))),"Yes",IF(P654&gt;1,"Yes","No"))</f>
        <v>No</v>
      </c>
      <c r="S654" s="501"/>
      <c r="T654" s="478"/>
      <c r="U654" s="501"/>
      <c r="V654" s="479" t="str">
        <f>IF(R654="No","No Twilight",IF(T654="Yes","Uncomprehended Twilight",IF((Character!$B$14+IF(Character!$B$53="Yes",0,Character!$B$53)+IF(Magic!$C$5="Yes",2,0)+ROUNDUP((Magic!$B$30+IF(Magic!$C$30="Yes",3,0))/5,0)+S654)&gt;=($D$3+P654+SUMIF(Character!$I$62:$I$66,"Enigmatic Wisdom",Character!$J$62:$J$66)+Q654+U654),"No Twilight","Twilight")))</f>
        <v>No Twilight</v>
      </c>
      <c r="W654" s="483"/>
      <c r="X654" s="478"/>
      <c r="Y654" s="484"/>
      <c r="Z654" s="478"/>
      <c r="AA654" s="485" t="str">
        <f>IF(V654="Uncomprehended Twilight","Failed",IF(OR(ISBLANK(W654),ISBLANK(Y654))," ",IF(NOT(ISBLANK(X654)),"Failed",IF((W654+Character!$B$9+SUMIF(Character!$I$62:$I$66,"Enigmatic Wisdom",Character!$J$62:$J$66))&gt;=IF(Z654="Yes",0,(Y654+D649)),"Succeeded","Failed"))))</f>
        <v xml:space="preserve"> </v>
      </c>
      <c r="AB654" s="477" t="str">
        <f>IF(AA654=" "," ",IF(NOT(ISBLANK(X654)),VLOOKUP($D$3+X654,Calcs!$A$110:$C$122,3,TRUE),IF(AA654="Failed",VLOOKUP($D$3,Calcs!$A$110:$C$122,3,TRUE),VLOOKUP($D$3-(IF((Character!$B$9+W654)&gt;($D$3+Y654),(Character!$B$9+W654)-($D$3+Y654),0)),Calcs!$A$110:$C$122,3,TRUE))))</f>
        <v xml:space="preserve"> </v>
      </c>
      <c r="AC654" s="489"/>
      <c r="AD654" s="489" t="str">
        <f>IF(IF(AA654=" "," ",IF(NOT(ISBLANK(X654)),VLOOKUP($D$3+X654,Calcs!$A$110:$B$122,2,TRUE),IF(AA654="Failed",VLOOKUP($D$3,Calcs!$A$110:$B$122,2,TRUE),VLOOKUP($D$3-(IF((Character!$B$9+W654)&gt;($D$3+Y654),(Character!$B$9+W654)-($D$3+Y654),0)),Calcs!$A$110:$B$122,2,TRUE))))=Calcs!$B$120,IF(ISBLANK(AC654)," ",CONCATENATE(AC654+7," Years")),IF(AA654=" "," ",IF(NOT(ISBLANK(X654)),VLOOKUP($D$3+X654,Calcs!$A$110:$B$122,2,TRUE),IF(AA654="Failed",VLOOKUP($D$3,Calcs!$A$110:$B$122,2,TRUE),VLOOKUP($D$3-(IF((Character!$B$9+W654)&gt;($D$3+Y654),(Character!$B$9+W654)-($D$3+Y654),0)),Calcs!$A$110:$B$122,2,TRUE)))))</f>
        <v xml:space="preserve"> </v>
      </c>
      <c r="AE654" s="490"/>
      <c r="AF654" s="879"/>
      <c r="AG654" s="491"/>
    </row>
    <row r="655" spans="1:33" x14ac:dyDescent="0.2">
      <c r="A655" s="415">
        <f t="shared" si="18"/>
        <v>1373</v>
      </c>
      <c r="B655" s="419" t="str">
        <f t="shared" si="19"/>
        <v>Autumn</v>
      </c>
      <c r="C655" s="455"/>
      <c r="D655" s="504"/>
      <c r="E655" s="455"/>
      <c r="F655" s="504"/>
      <c r="G655" s="455"/>
      <c r="H655" s="504"/>
      <c r="I655" s="455"/>
      <c r="J655" s="504"/>
      <c r="L655" s="472"/>
      <c r="M655" s="468"/>
      <c r="N655" s="468"/>
      <c r="O655" s="468"/>
      <c r="P655" s="468"/>
      <c r="Q655" s="473"/>
      <c r="R655" s="477" t="str">
        <f>IF(AND(COUNTIF('Start Character'!$I$63:$M$77,"Twilight Prone")=1,NOT(ISERROR(FIND("Magical Botch",M655)))),"Yes",IF(P655&gt;1,"Yes","No"))</f>
        <v>No</v>
      </c>
      <c r="S655" s="501"/>
      <c r="T655" s="478"/>
      <c r="U655" s="501"/>
      <c r="V655" s="479" t="str">
        <f>IF(R655="No","No Twilight",IF(T655="Yes","Uncomprehended Twilight",IF((Character!$B$14+IF(Character!$B$53="Yes",0,Character!$B$53)+IF(Magic!$C$5="Yes",2,0)+ROUNDUP((Magic!$B$30+IF(Magic!$C$30="Yes",3,0))/5,0)+S655)&gt;=($D$3+P655+SUMIF(Character!$I$62:$I$66,"Enigmatic Wisdom",Character!$J$62:$J$66)+Q655+U655),"No Twilight","Twilight")))</f>
        <v>No Twilight</v>
      </c>
      <c r="W655" s="483"/>
      <c r="X655" s="478"/>
      <c r="Y655" s="484"/>
      <c r="Z655" s="478"/>
      <c r="AA655" s="485" t="str">
        <f>IF(V655="Uncomprehended Twilight","Failed",IF(OR(ISBLANK(W655),ISBLANK(Y655))," ",IF(NOT(ISBLANK(X655)),"Failed",IF((W655+Character!$B$9+SUMIF(Character!$I$62:$I$66,"Enigmatic Wisdom",Character!$J$62:$J$66))&gt;=IF(Z655="Yes",0,(Y655+D650)),"Succeeded","Failed"))))</f>
        <v xml:space="preserve"> </v>
      </c>
      <c r="AB655" s="477" t="str">
        <f>IF(AA655=" "," ",IF(NOT(ISBLANK(X655)),VLOOKUP($D$3+X655,Calcs!$A$110:$C$122,3,TRUE),IF(AA655="Failed",VLOOKUP($D$3,Calcs!$A$110:$C$122,3,TRUE),VLOOKUP($D$3-(IF((Character!$B$9+W655)&gt;($D$3+Y655),(Character!$B$9+W655)-($D$3+Y655),0)),Calcs!$A$110:$C$122,3,TRUE))))</f>
        <v xml:space="preserve"> </v>
      </c>
      <c r="AC655" s="489"/>
      <c r="AD655" s="489" t="str">
        <f>IF(IF(AA655=" "," ",IF(NOT(ISBLANK(X655)),VLOOKUP($D$3+X655,Calcs!$A$110:$B$122,2,TRUE),IF(AA655="Failed",VLOOKUP($D$3,Calcs!$A$110:$B$122,2,TRUE),VLOOKUP($D$3-(IF((Character!$B$9+W655)&gt;($D$3+Y655),(Character!$B$9+W655)-($D$3+Y655),0)),Calcs!$A$110:$B$122,2,TRUE))))=Calcs!$B$120,IF(ISBLANK(AC655)," ",CONCATENATE(AC655+7," Years")),IF(AA655=" "," ",IF(NOT(ISBLANK(X655)),VLOOKUP($D$3+X655,Calcs!$A$110:$B$122,2,TRUE),IF(AA655="Failed",VLOOKUP($D$3,Calcs!$A$110:$B$122,2,TRUE),VLOOKUP($D$3-(IF((Character!$B$9+W655)&gt;($D$3+Y655),(Character!$B$9+W655)-($D$3+Y655),0)),Calcs!$A$110:$B$122,2,TRUE)))))</f>
        <v xml:space="preserve"> </v>
      </c>
      <c r="AE655" s="490"/>
      <c r="AF655" s="879"/>
      <c r="AG655" s="491"/>
    </row>
    <row r="656" spans="1:33" x14ac:dyDescent="0.2">
      <c r="A656" s="415">
        <f t="shared" si="18"/>
        <v>1374</v>
      </c>
      <c r="B656" s="419" t="str">
        <f t="shared" si="19"/>
        <v>Winter</v>
      </c>
      <c r="C656" s="455"/>
      <c r="D656" s="504"/>
      <c r="E656" s="455"/>
      <c r="F656" s="504"/>
      <c r="G656" s="455"/>
      <c r="H656" s="504"/>
      <c r="I656" s="455"/>
      <c r="J656" s="504"/>
      <c r="L656" s="472"/>
      <c r="M656" s="468"/>
      <c r="N656" s="468"/>
      <c r="O656" s="468"/>
      <c r="P656" s="468"/>
      <c r="Q656" s="473"/>
      <c r="R656" s="477" t="str">
        <f>IF(AND(COUNTIF('Start Character'!$I$63:$M$77,"Twilight Prone")=1,NOT(ISERROR(FIND("Magical Botch",M656)))),"Yes",IF(P656&gt;1,"Yes","No"))</f>
        <v>No</v>
      </c>
      <c r="S656" s="501"/>
      <c r="T656" s="478"/>
      <c r="U656" s="501"/>
      <c r="V656" s="479" t="str">
        <f>IF(R656="No","No Twilight",IF(T656="Yes","Uncomprehended Twilight",IF((Character!$B$14+IF(Character!$B$53="Yes",0,Character!$B$53)+IF(Magic!$C$5="Yes",2,0)+ROUNDUP((Magic!$B$30+IF(Magic!$C$30="Yes",3,0))/5,0)+S656)&gt;=($D$3+P656+SUMIF(Character!$I$62:$I$66,"Enigmatic Wisdom",Character!$J$62:$J$66)+Q656+U656),"No Twilight","Twilight")))</f>
        <v>No Twilight</v>
      </c>
      <c r="W656" s="483"/>
      <c r="X656" s="478"/>
      <c r="Y656" s="484"/>
      <c r="Z656" s="478"/>
      <c r="AA656" s="485" t="str">
        <f>IF(V656="Uncomprehended Twilight","Failed",IF(OR(ISBLANK(W656),ISBLANK(Y656))," ",IF(NOT(ISBLANK(X656)),"Failed",IF((W656+Character!$B$9+SUMIF(Character!$I$62:$I$66,"Enigmatic Wisdom",Character!$J$62:$J$66))&gt;=IF(Z656="Yes",0,(Y656+D651)),"Succeeded","Failed"))))</f>
        <v xml:space="preserve"> </v>
      </c>
      <c r="AB656" s="477" t="str">
        <f>IF(AA656=" "," ",IF(NOT(ISBLANK(X656)),VLOOKUP($D$3+X656,Calcs!$A$110:$C$122,3,TRUE),IF(AA656="Failed",VLOOKUP($D$3,Calcs!$A$110:$C$122,3,TRUE),VLOOKUP($D$3-(IF((Character!$B$9+W656)&gt;($D$3+Y656),(Character!$B$9+W656)-($D$3+Y656),0)),Calcs!$A$110:$C$122,3,TRUE))))</f>
        <v xml:space="preserve"> </v>
      </c>
      <c r="AC656" s="489"/>
      <c r="AD656" s="489" t="str">
        <f>IF(IF(AA656=" "," ",IF(NOT(ISBLANK(X656)),VLOOKUP($D$3+X656,Calcs!$A$110:$B$122,2,TRUE),IF(AA656="Failed",VLOOKUP($D$3,Calcs!$A$110:$B$122,2,TRUE),VLOOKUP($D$3-(IF((Character!$B$9+W656)&gt;($D$3+Y656),(Character!$B$9+W656)-($D$3+Y656),0)),Calcs!$A$110:$B$122,2,TRUE))))=Calcs!$B$120,IF(ISBLANK(AC656)," ",CONCATENATE(AC656+7," Years")),IF(AA656=" "," ",IF(NOT(ISBLANK(X656)),VLOOKUP($D$3+X656,Calcs!$A$110:$B$122,2,TRUE),IF(AA656="Failed",VLOOKUP($D$3,Calcs!$A$110:$B$122,2,TRUE),VLOOKUP($D$3-(IF((Character!$B$9+W656)&gt;($D$3+Y656),(Character!$B$9+W656)-($D$3+Y656),0)),Calcs!$A$110:$B$122,2,TRUE)))))</f>
        <v xml:space="preserve"> </v>
      </c>
      <c r="AE656" s="490"/>
      <c r="AF656" s="879"/>
      <c r="AG656" s="491"/>
    </row>
    <row r="657" spans="1:33" x14ac:dyDescent="0.2">
      <c r="A657" s="415">
        <f t="shared" si="18"/>
        <v>1374</v>
      </c>
      <c r="B657" s="419" t="str">
        <f t="shared" si="19"/>
        <v>Spring</v>
      </c>
      <c r="C657" s="455"/>
      <c r="D657" s="504"/>
      <c r="E657" s="455"/>
      <c r="F657" s="504"/>
      <c r="G657" s="455"/>
      <c r="H657" s="504"/>
      <c r="I657" s="455"/>
      <c r="J657" s="504"/>
      <c r="L657" s="472"/>
      <c r="M657" s="468"/>
      <c r="N657" s="468"/>
      <c r="O657" s="468"/>
      <c r="P657" s="468"/>
      <c r="Q657" s="473"/>
      <c r="R657" s="477" t="str">
        <f>IF(AND(COUNTIF('Start Character'!$I$63:$M$77,"Twilight Prone")=1,NOT(ISERROR(FIND("Magical Botch",M657)))),"Yes",IF(P657&gt;1,"Yes","No"))</f>
        <v>No</v>
      </c>
      <c r="S657" s="501"/>
      <c r="T657" s="478"/>
      <c r="U657" s="501"/>
      <c r="V657" s="479" t="str">
        <f>IF(R657="No","No Twilight",IF(T657="Yes","Uncomprehended Twilight",IF((Character!$B$14+IF(Character!$B$53="Yes",0,Character!$B$53)+IF(Magic!$C$5="Yes",2,0)+ROUNDUP((Magic!$B$30+IF(Magic!$C$30="Yes",3,0))/5,0)+S657)&gt;=($D$3+P657+SUMIF(Character!$I$62:$I$66,"Enigmatic Wisdom",Character!$J$62:$J$66)+Q657+U657),"No Twilight","Twilight")))</f>
        <v>No Twilight</v>
      </c>
      <c r="W657" s="483"/>
      <c r="X657" s="478"/>
      <c r="Y657" s="484"/>
      <c r="Z657" s="478"/>
      <c r="AA657" s="485" t="str">
        <f>IF(V657="Uncomprehended Twilight","Failed",IF(OR(ISBLANK(W657),ISBLANK(Y657))," ",IF(NOT(ISBLANK(X657)),"Failed",IF((W657+Character!$B$9+SUMIF(Character!$I$62:$I$66,"Enigmatic Wisdom",Character!$J$62:$J$66))&gt;=IF(Z657="Yes",0,(Y657+D652)),"Succeeded","Failed"))))</f>
        <v xml:space="preserve"> </v>
      </c>
      <c r="AB657" s="477" t="str">
        <f>IF(AA657=" "," ",IF(NOT(ISBLANK(X657)),VLOOKUP($D$3+X657,Calcs!$A$110:$C$122,3,TRUE),IF(AA657="Failed",VLOOKUP($D$3,Calcs!$A$110:$C$122,3,TRUE),VLOOKUP($D$3-(IF((Character!$B$9+W657)&gt;($D$3+Y657),(Character!$B$9+W657)-($D$3+Y657),0)),Calcs!$A$110:$C$122,3,TRUE))))</f>
        <v xml:space="preserve"> </v>
      </c>
      <c r="AC657" s="489"/>
      <c r="AD657" s="489" t="str">
        <f>IF(IF(AA657=" "," ",IF(NOT(ISBLANK(X657)),VLOOKUP($D$3+X657,Calcs!$A$110:$B$122,2,TRUE),IF(AA657="Failed",VLOOKUP($D$3,Calcs!$A$110:$B$122,2,TRUE),VLOOKUP($D$3-(IF((Character!$B$9+W657)&gt;($D$3+Y657),(Character!$B$9+W657)-($D$3+Y657),0)),Calcs!$A$110:$B$122,2,TRUE))))=Calcs!$B$120,IF(ISBLANK(AC657)," ",CONCATENATE(AC657+7," Years")),IF(AA657=" "," ",IF(NOT(ISBLANK(X657)),VLOOKUP($D$3+X657,Calcs!$A$110:$B$122,2,TRUE),IF(AA657="Failed",VLOOKUP($D$3,Calcs!$A$110:$B$122,2,TRUE),VLOOKUP($D$3-(IF((Character!$B$9+W657)&gt;($D$3+Y657),(Character!$B$9+W657)-($D$3+Y657),0)),Calcs!$A$110:$B$122,2,TRUE)))))</f>
        <v xml:space="preserve"> </v>
      </c>
      <c r="AE657" s="490"/>
      <c r="AF657" s="879"/>
      <c r="AG657" s="491"/>
    </row>
    <row r="658" spans="1:33" x14ac:dyDescent="0.2">
      <c r="A658" s="415">
        <f t="shared" si="18"/>
        <v>1374</v>
      </c>
      <c r="B658" s="419" t="str">
        <f t="shared" si="19"/>
        <v>Summer</v>
      </c>
      <c r="C658" s="455"/>
      <c r="D658" s="504"/>
      <c r="E658" s="455"/>
      <c r="F658" s="504"/>
      <c r="G658" s="455"/>
      <c r="H658" s="504"/>
      <c r="I658" s="455"/>
      <c r="J658" s="504"/>
      <c r="L658" s="472"/>
      <c r="M658" s="468"/>
      <c r="N658" s="468"/>
      <c r="O658" s="468"/>
      <c r="P658" s="468"/>
      <c r="Q658" s="473"/>
      <c r="R658" s="477" t="str">
        <f>IF(AND(COUNTIF('Start Character'!$I$63:$M$77,"Twilight Prone")=1,NOT(ISERROR(FIND("Magical Botch",M658)))),"Yes",IF(P658&gt;1,"Yes","No"))</f>
        <v>No</v>
      </c>
      <c r="S658" s="501"/>
      <c r="T658" s="478"/>
      <c r="U658" s="501"/>
      <c r="V658" s="479" t="str">
        <f>IF(R658="No","No Twilight",IF(T658="Yes","Uncomprehended Twilight",IF((Character!$B$14+IF(Character!$B$53="Yes",0,Character!$B$53)+IF(Magic!$C$5="Yes",2,0)+ROUNDUP((Magic!$B$30+IF(Magic!$C$30="Yes",3,0))/5,0)+S658)&gt;=($D$3+P658+SUMIF(Character!$I$62:$I$66,"Enigmatic Wisdom",Character!$J$62:$J$66)+Q658+U658),"No Twilight","Twilight")))</f>
        <v>No Twilight</v>
      </c>
      <c r="W658" s="483"/>
      <c r="X658" s="478"/>
      <c r="Y658" s="484"/>
      <c r="Z658" s="478"/>
      <c r="AA658" s="485" t="str">
        <f>IF(V658="Uncomprehended Twilight","Failed",IF(OR(ISBLANK(W658),ISBLANK(Y658))," ",IF(NOT(ISBLANK(X658)),"Failed",IF((W658+Character!$B$9+SUMIF(Character!$I$62:$I$66,"Enigmatic Wisdom",Character!$J$62:$J$66))&gt;=IF(Z658="Yes",0,(Y658+D653)),"Succeeded","Failed"))))</f>
        <v xml:space="preserve"> </v>
      </c>
      <c r="AB658" s="477" t="str">
        <f>IF(AA658=" "," ",IF(NOT(ISBLANK(X658)),VLOOKUP($D$3+X658,Calcs!$A$110:$C$122,3,TRUE),IF(AA658="Failed",VLOOKUP($D$3,Calcs!$A$110:$C$122,3,TRUE),VLOOKUP($D$3-(IF((Character!$B$9+W658)&gt;($D$3+Y658),(Character!$B$9+W658)-($D$3+Y658),0)),Calcs!$A$110:$C$122,3,TRUE))))</f>
        <v xml:space="preserve"> </v>
      </c>
      <c r="AC658" s="489"/>
      <c r="AD658" s="489" t="str">
        <f>IF(IF(AA658=" "," ",IF(NOT(ISBLANK(X658)),VLOOKUP($D$3+X658,Calcs!$A$110:$B$122,2,TRUE),IF(AA658="Failed",VLOOKUP($D$3,Calcs!$A$110:$B$122,2,TRUE),VLOOKUP($D$3-(IF((Character!$B$9+W658)&gt;($D$3+Y658),(Character!$B$9+W658)-($D$3+Y658),0)),Calcs!$A$110:$B$122,2,TRUE))))=Calcs!$B$120,IF(ISBLANK(AC658)," ",CONCATENATE(AC658+7," Years")),IF(AA658=" "," ",IF(NOT(ISBLANK(X658)),VLOOKUP($D$3+X658,Calcs!$A$110:$B$122,2,TRUE),IF(AA658="Failed",VLOOKUP($D$3,Calcs!$A$110:$B$122,2,TRUE),VLOOKUP($D$3-(IF((Character!$B$9+W658)&gt;($D$3+Y658),(Character!$B$9+W658)-($D$3+Y658),0)),Calcs!$A$110:$B$122,2,TRUE)))))</f>
        <v xml:space="preserve"> </v>
      </c>
      <c r="AE658" s="490"/>
      <c r="AF658" s="879"/>
      <c r="AG658" s="491"/>
    </row>
    <row r="659" spans="1:33" x14ac:dyDescent="0.2">
      <c r="A659" s="415">
        <f t="shared" si="18"/>
        <v>1374</v>
      </c>
      <c r="B659" s="419" t="str">
        <f t="shared" si="19"/>
        <v>Autumn</v>
      </c>
      <c r="C659" s="455"/>
      <c r="D659" s="504"/>
      <c r="E659" s="455"/>
      <c r="F659" s="504"/>
      <c r="G659" s="455"/>
      <c r="H659" s="504"/>
      <c r="I659" s="455"/>
      <c r="J659" s="504"/>
      <c r="L659" s="472"/>
      <c r="M659" s="468"/>
      <c r="N659" s="468"/>
      <c r="O659" s="468"/>
      <c r="P659" s="468"/>
      <c r="Q659" s="473"/>
      <c r="R659" s="477" t="str">
        <f>IF(AND(COUNTIF('Start Character'!$I$63:$M$77,"Twilight Prone")=1,NOT(ISERROR(FIND("Magical Botch",M659)))),"Yes",IF(P659&gt;1,"Yes","No"))</f>
        <v>No</v>
      </c>
      <c r="S659" s="501"/>
      <c r="T659" s="478"/>
      <c r="U659" s="501"/>
      <c r="V659" s="479" t="str">
        <f>IF(R659="No","No Twilight",IF(T659="Yes","Uncomprehended Twilight",IF((Character!$B$14+IF(Character!$B$53="Yes",0,Character!$B$53)+IF(Magic!$C$5="Yes",2,0)+ROUNDUP((Magic!$B$30+IF(Magic!$C$30="Yes",3,0))/5,0)+S659)&gt;=($D$3+P659+SUMIF(Character!$I$62:$I$66,"Enigmatic Wisdom",Character!$J$62:$J$66)+Q659+U659),"No Twilight","Twilight")))</f>
        <v>No Twilight</v>
      </c>
      <c r="W659" s="483"/>
      <c r="X659" s="478"/>
      <c r="Y659" s="484"/>
      <c r="Z659" s="478"/>
      <c r="AA659" s="485" t="str">
        <f>IF(V659="Uncomprehended Twilight","Failed",IF(OR(ISBLANK(W659),ISBLANK(Y659))," ",IF(NOT(ISBLANK(X659)),"Failed",IF((W659+Character!$B$9+SUMIF(Character!$I$62:$I$66,"Enigmatic Wisdom",Character!$J$62:$J$66))&gt;=IF(Z659="Yes",0,(Y659+D654)),"Succeeded","Failed"))))</f>
        <v xml:space="preserve"> </v>
      </c>
      <c r="AB659" s="477" t="str">
        <f>IF(AA659=" "," ",IF(NOT(ISBLANK(X659)),VLOOKUP($D$3+X659,Calcs!$A$110:$C$122,3,TRUE),IF(AA659="Failed",VLOOKUP($D$3,Calcs!$A$110:$C$122,3,TRUE),VLOOKUP($D$3-(IF((Character!$B$9+W659)&gt;($D$3+Y659),(Character!$B$9+W659)-($D$3+Y659),0)),Calcs!$A$110:$C$122,3,TRUE))))</f>
        <v xml:space="preserve"> </v>
      </c>
      <c r="AC659" s="489"/>
      <c r="AD659" s="489" t="str">
        <f>IF(IF(AA659=" "," ",IF(NOT(ISBLANK(X659)),VLOOKUP($D$3+X659,Calcs!$A$110:$B$122,2,TRUE),IF(AA659="Failed",VLOOKUP($D$3,Calcs!$A$110:$B$122,2,TRUE),VLOOKUP($D$3-(IF((Character!$B$9+W659)&gt;($D$3+Y659),(Character!$B$9+W659)-($D$3+Y659),0)),Calcs!$A$110:$B$122,2,TRUE))))=Calcs!$B$120,IF(ISBLANK(AC659)," ",CONCATENATE(AC659+7," Years")),IF(AA659=" "," ",IF(NOT(ISBLANK(X659)),VLOOKUP($D$3+X659,Calcs!$A$110:$B$122,2,TRUE),IF(AA659="Failed",VLOOKUP($D$3,Calcs!$A$110:$B$122,2,TRUE),VLOOKUP($D$3-(IF((Character!$B$9+W659)&gt;($D$3+Y659),(Character!$B$9+W659)-($D$3+Y659),0)),Calcs!$A$110:$B$122,2,TRUE)))))</f>
        <v xml:space="preserve"> </v>
      </c>
      <c r="AE659" s="490"/>
      <c r="AF659" s="879"/>
      <c r="AG659" s="491"/>
    </row>
    <row r="660" spans="1:33" x14ac:dyDescent="0.2">
      <c r="A660" s="415">
        <f t="shared" si="18"/>
        <v>1375</v>
      </c>
      <c r="B660" s="419" t="str">
        <f t="shared" si="19"/>
        <v>Winter</v>
      </c>
      <c r="C660" s="455"/>
      <c r="D660" s="504"/>
      <c r="E660" s="455"/>
      <c r="F660" s="504"/>
      <c r="G660" s="455"/>
      <c r="H660" s="504"/>
      <c r="I660" s="455"/>
      <c r="J660" s="504"/>
      <c r="L660" s="472"/>
      <c r="M660" s="468"/>
      <c r="N660" s="468"/>
      <c r="O660" s="468"/>
      <c r="P660" s="468"/>
      <c r="Q660" s="473"/>
      <c r="R660" s="477" t="str">
        <f>IF(AND(COUNTIF('Start Character'!$I$63:$M$77,"Twilight Prone")=1,NOT(ISERROR(FIND("Magical Botch",M660)))),"Yes",IF(P660&gt;1,"Yes","No"))</f>
        <v>No</v>
      </c>
      <c r="S660" s="501"/>
      <c r="T660" s="478"/>
      <c r="U660" s="501"/>
      <c r="V660" s="479" t="str">
        <f>IF(R660="No","No Twilight",IF(T660="Yes","Uncomprehended Twilight",IF((Character!$B$14+IF(Character!$B$53="Yes",0,Character!$B$53)+IF(Magic!$C$5="Yes",2,0)+ROUNDUP((Magic!$B$30+IF(Magic!$C$30="Yes",3,0))/5,0)+S660)&gt;=($D$3+P660+SUMIF(Character!$I$62:$I$66,"Enigmatic Wisdom",Character!$J$62:$J$66)+Q660+U660),"No Twilight","Twilight")))</f>
        <v>No Twilight</v>
      </c>
      <c r="W660" s="483"/>
      <c r="X660" s="478"/>
      <c r="Y660" s="484"/>
      <c r="Z660" s="478"/>
      <c r="AA660" s="485" t="str">
        <f>IF(V660="Uncomprehended Twilight","Failed",IF(OR(ISBLANK(W660),ISBLANK(Y660))," ",IF(NOT(ISBLANK(X660)),"Failed",IF((W660+Character!$B$9+SUMIF(Character!$I$62:$I$66,"Enigmatic Wisdom",Character!$J$62:$J$66))&gt;=IF(Z660="Yes",0,(Y660+D655)),"Succeeded","Failed"))))</f>
        <v xml:space="preserve"> </v>
      </c>
      <c r="AB660" s="477" t="str">
        <f>IF(AA660=" "," ",IF(NOT(ISBLANK(X660)),VLOOKUP($D$3+X660,Calcs!$A$110:$C$122,3,TRUE),IF(AA660="Failed",VLOOKUP($D$3,Calcs!$A$110:$C$122,3,TRUE),VLOOKUP($D$3-(IF((Character!$B$9+W660)&gt;($D$3+Y660),(Character!$B$9+W660)-($D$3+Y660),0)),Calcs!$A$110:$C$122,3,TRUE))))</f>
        <v xml:space="preserve"> </v>
      </c>
      <c r="AC660" s="489"/>
      <c r="AD660" s="489" t="str">
        <f>IF(IF(AA660=" "," ",IF(NOT(ISBLANK(X660)),VLOOKUP($D$3+X660,Calcs!$A$110:$B$122,2,TRUE),IF(AA660="Failed",VLOOKUP($D$3,Calcs!$A$110:$B$122,2,TRUE),VLOOKUP($D$3-(IF((Character!$B$9+W660)&gt;($D$3+Y660),(Character!$B$9+W660)-($D$3+Y660),0)),Calcs!$A$110:$B$122,2,TRUE))))=Calcs!$B$120,IF(ISBLANK(AC660)," ",CONCATENATE(AC660+7," Years")),IF(AA660=" "," ",IF(NOT(ISBLANK(X660)),VLOOKUP($D$3+X660,Calcs!$A$110:$B$122,2,TRUE),IF(AA660="Failed",VLOOKUP($D$3,Calcs!$A$110:$B$122,2,TRUE),VLOOKUP($D$3-(IF((Character!$B$9+W660)&gt;($D$3+Y660),(Character!$B$9+W660)-($D$3+Y660),0)),Calcs!$A$110:$B$122,2,TRUE)))))</f>
        <v xml:space="preserve"> </v>
      </c>
      <c r="AE660" s="490"/>
      <c r="AF660" s="879"/>
      <c r="AG660" s="491"/>
    </row>
    <row r="661" spans="1:33" x14ac:dyDescent="0.2">
      <c r="A661" s="415">
        <f t="shared" si="18"/>
        <v>1375</v>
      </c>
      <c r="B661" s="419" t="str">
        <f t="shared" si="19"/>
        <v>Spring</v>
      </c>
      <c r="C661" s="455"/>
      <c r="D661" s="504"/>
      <c r="E661" s="455"/>
      <c r="F661" s="504"/>
      <c r="G661" s="455"/>
      <c r="H661" s="504"/>
      <c r="I661" s="455"/>
      <c r="J661" s="504"/>
      <c r="L661" s="472"/>
      <c r="M661" s="468"/>
      <c r="N661" s="468"/>
      <c r="O661" s="468"/>
      <c r="P661" s="468"/>
      <c r="Q661" s="473"/>
      <c r="R661" s="477" t="str">
        <f>IF(AND(COUNTIF('Start Character'!$I$63:$M$77,"Twilight Prone")=1,NOT(ISERROR(FIND("Magical Botch",M661)))),"Yes",IF(P661&gt;1,"Yes","No"))</f>
        <v>No</v>
      </c>
      <c r="S661" s="501"/>
      <c r="T661" s="478"/>
      <c r="U661" s="501"/>
      <c r="V661" s="479" t="str">
        <f>IF(R661="No","No Twilight",IF(T661="Yes","Uncomprehended Twilight",IF((Character!$B$14+IF(Character!$B$53="Yes",0,Character!$B$53)+IF(Magic!$C$5="Yes",2,0)+ROUNDUP((Magic!$B$30+IF(Magic!$C$30="Yes",3,0))/5,0)+S661)&gt;=($D$3+P661+SUMIF(Character!$I$62:$I$66,"Enigmatic Wisdom",Character!$J$62:$J$66)+Q661+U661),"No Twilight","Twilight")))</f>
        <v>No Twilight</v>
      </c>
      <c r="W661" s="483"/>
      <c r="X661" s="478"/>
      <c r="Y661" s="484"/>
      <c r="Z661" s="478"/>
      <c r="AA661" s="485" t="str">
        <f>IF(V661="Uncomprehended Twilight","Failed",IF(OR(ISBLANK(W661),ISBLANK(Y661))," ",IF(NOT(ISBLANK(X661)),"Failed",IF((W661+Character!$B$9+SUMIF(Character!$I$62:$I$66,"Enigmatic Wisdom",Character!$J$62:$J$66))&gt;=IF(Z661="Yes",0,(Y661+D656)),"Succeeded","Failed"))))</f>
        <v xml:space="preserve"> </v>
      </c>
      <c r="AB661" s="477" t="str">
        <f>IF(AA661=" "," ",IF(NOT(ISBLANK(X661)),VLOOKUP($D$3+X661,Calcs!$A$110:$C$122,3,TRUE),IF(AA661="Failed",VLOOKUP($D$3,Calcs!$A$110:$C$122,3,TRUE),VLOOKUP($D$3-(IF((Character!$B$9+W661)&gt;($D$3+Y661),(Character!$B$9+W661)-($D$3+Y661),0)),Calcs!$A$110:$C$122,3,TRUE))))</f>
        <v xml:space="preserve"> </v>
      </c>
      <c r="AC661" s="489"/>
      <c r="AD661" s="489" t="str">
        <f>IF(IF(AA661=" "," ",IF(NOT(ISBLANK(X661)),VLOOKUP($D$3+X661,Calcs!$A$110:$B$122,2,TRUE),IF(AA661="Failed",VLOOKUP($D$3,Calcs!$A$110:$B$122,2,TRUE),VLOOKUP($D$3-(IF((Character!$B$9+W661)&gt;($D$3+Y661),(Character!$B$9+W661)-($D$3+Y661),0)),Calcs!$A$110:$B$122,2,TRUE))))=Calcs!$B$120,IF(ISBLANK(AC661)," ",CONCATENATE(AC661+7," Years")),IF(AA661=" "," ",IF(NOT(ISBLANK(X661)),VLOOKUP($D$3+X661,Calcs!$A$110:$B$122,2,TRUE),IF(AA661="Failed",VLOOKUP($D$3,Calcs!$A$110:$B$122,2,TRUE),VLOOKUP($D$3-(IF((Character!$B$9+W661)&gt;($D$3+Y661),(Character!$B$9+W661)-($D$3+Y661),0)),Calcs!$A$110:$B$122,2,TRUE)))))</f>
        <v xml:space="preserve"> </v>
      </c>
      <c r="AE661" s="490"/>
      <c r="AF661" s="879"/>
      <c r="AG661" s="491"/>
    </row>
    <row r="662" spans="1:33" x14ac:dyDescent="0.2">
      <c r="A662" s="415">
        <f t="shared" si="18"/>
        <v>1375</v>
      </c>
      <c r="B662" s="419" t="str">
        <f t="shared" si="19"/>
        <v>Summer</v>
      </c>
      <c r="C662" s="455"/>
      <c r="D662" s="504"/>
      <c r="E662" s="455"/>
      <c r="F662" s="504"/>
      <c r="G662" s="455"/>
      <c r="H662" s="504"/>
      <c r="I662" s="455"/>
      <c r="J662" s="504"/>
      <c r="L662" s="472"/>
      <c r="M662" s="468"/>
      <c r="N662" s="468"/>
      <c r="O662" s="468"/>
      <c r="P662" s="468"/>
      <c r="Q662" s="473"/>
      <c r="R662" s="477" t="str">
        <f>IF(AND(COUNTIF('Start Character'!$I$63:$M$77,"Twilight Prone")=1,NOT(ISERROR(FIND("Magical Botch",M662)))),"Yes",IF(P662&gt;1,"Yes","No"))</f>
        <v>No</v>
      </c>
      <c r="S662" s="501"/>
      <c r="T662" s="478"/>
      <c r="U662" s="501"/>
      <c r="V662" s="479" t="str">
        <f>IF(R662="No","No Twilight",IF(T662="Yes","Uncomprehended Twilight",IF((Character!$B$14+IF(Character!$B$53="Yes",0,Character!$B$53)+IF(Magic!$C$5="Yes",2,0)+ROUNDUP((Magic!$B$30+IF(Magic!$C$30="Yes",3,0))/5,0)+S662)&gt;=($D$3+P662+SUMIF(Character!$I$62:$I$66,"Enigmatic Wisdom",Character!$J$62:$J$66)+Q662+U662),"No Twilight","Twilight")))</f>
        <v>No Twilight</v>
      </c>
      <c r="W662" s="483"/>
      <c r="X662" s="478"/>
      <c r="Y662" s="484"/>
      <c r="Z662" s="478"/>
      <c r="AA662" s="485" t="str">
        <f>IF(V662="Uncomprehended Twilight","Failed",IF(OR(ISBLANK(W662),ISBLANK(Y662))," ",IF(NOT(ISBLANK(X662)),"Failed",IF((W662+Character!$B$9+SUMIF(Character!$I$62:$I$66,"Enigmatic Wisdom",Character!$J$62:$J$66))&gt;=IF(Z662="Yes",0,(Y662+D657)),"Succeeded","Failed"))))</f>
        <v xml:space="preserve"> </v>
      </c>
      <c r="AB662" s="477" t="str">
        <f>IF(AA662=" "," ",IF(NOT(ISBLANK(X662)),VLOOKUP($D$3+X662,Calcs!$A$110:$C$122,3,TRUE),IF(AA662="Failed",VLOOKUP($D$3,Calcs!$A$110:$C$122,3,TRUE),VLOOKUP($D$3-(IF((Character!$B$9+W662)&gt;($D$3+Y662),(Character!$B$9+W662)-($D$3+Y662),0)),Calcs!$A$110:$C$122,3,TRUE))))</f>
        <v xml:space="preserve"> </v>
      </c>
      <c r="AC662" s="489"/>
      <c r="AD662" s="489" t="str">
        <f>IF(IF(AA662=" "," ",IF(NOT(ISBLANK(X662)),VLOOKUP($D$3+X662,Calcs!$A$110:$B$122,2,TRUE),IF(AA662="Failed",VLOOKUP($D$3,Calcs!$A$110:$B$122,2,TRUE),VLOOKUP($D$3-(IF((Character!$B$9+W662)&gt;($D$3+Y662),(Character!$B$9+W662)-($D$3+Y662),0)),Calcs!$A$110:$B$122,2,TRUE))))=Calcs!$B$120,IF(ISBLANK(AC662)," ",CONCATENATE(AC662+7," Years")),IF(AA662=" "," ",IF(NOT(ISBLANK(X662)),VLOOKUP($D$3+X662,Calcs!$A$110:$B$122,2,TRUE),IF(AA662="Failed",VLOOKUP($D$3,Calcs!$A$110:$B$122,2,TRUE),VLOOKUP($D$3-(IF((Character!$B$9+W662)&gt;($D$3+Y662),(Character!$B$9+W662)-($D$3+Y662),0)),Calcs!$A$110:$B$122,2,TRUE)))))</f>
        <v xml:space="preserve"> </v>
      </c>
      <c r="AE662" s="490"/>
      <c r="AF662" s="879"/>
      <c r="AG662" s="491"/>
    </row>
    <row r="663" spans="1:33" x14ac:dyDescent="0.2">
      <c r="A663" s="415">
        <f t="shared" si="18"/>
        <v>1375</v>
      </c>
      <c r="B663" s="419" t="str">
        <f t="shared" si="19"/>
        <v>Autumn</v>
      </c>
      <c r="C663" s="455"/>
      <c r="D663" s="504"/>
      <c r="E663" s="455"/>
      <c r="F663" s="504"/>
      <c r="G663" s="455"/>
      <c r="H663" s="504"/>
      <c r="I663" s="455"/>
      <c r="J663" s="504"/>
      <c r="L663" s="472"/>
      <c r="M663" s="468"/>
      <c r="N663" s="468"/>
      <c r="O663" s="468"/>
      <c r="P663" s="468"/>
      <c r="Q663" s="473"/>
      <c r="R663" s="477" t="str">
        <f>IF(AND(COUNTIF('Start Character'!$I$63:$M$77,"Twilight Prone")=1,NOT(ISERROR(FIND("Magical Botch",M663)))),"Yes",IF(P663&gt;1,"Yes","No"))</f>
        <v>No</v>
      </c>
      <c r="S663" s="501"/>
      <c r="T663" s="478"/>
      <c r="U663" s="501"/>
      <c r="V663" s="479" t="str">
        <f>IF(R663="No","No Twilight",IF(T663="Yes","Uncomprehended Twilight",IF((Character!$B$14+IF(Character!$B$53="Yes",0,Character!$B$53)+IF(Magic!$C$5="Yes",2,0)+ROUNDUP((Magic!$B$30+IF(Magic!$C$30="Yes",3,0))/5,0)+S663)&gt;=($D$3+P663+SUMIF(Character!$I$62:$I$66,"Enigmatic Wisdom",Character!$J$62:$J$66)+Q663+U663),"No Twilight","Twilight")))</f>
        <v>No Twilight</v>
      </c>
      <c r="W663" s="483"/>
      <c r="X663" s="478"/>
      <c r="Y663" s="484"/>
      <c r="Z663" s="478"/>
      <c r="AA663" s="485" t="str">
        <f>IF(V663="Uncomprehended Twilight","Failed",IF(OR(ISBLANK(W663),ISBLANK(Y663))," ",IF(NOT(ISBLANK(X663)),"Failed",IF((W663+Character!$B$9+SUMIF(Character!$I$62:$I$66,"Enigmatic Wisdom",Character!$J$62:$J$66))&gt;=IF(Z663="Yes",0,(Y663+D658)),"Succeeded","Failed"))))</f>
        <v xml:space="preserve"> </v>
      </c>
      <c r="AB663" s="477" t="str">
        <f>IF(AA663=" "," ",IF(NOT(ISBLANK(X663)),VLOOKUP($D$3+X663,Calcs!$A$110:$C$122,3,TRUE),IF(AA663="Failed",VLOOKUP($D$3,Calcs!$A$110:$C$122,3,TRUE),VLOOKUP($D$3-(IF((Character!$B$9+W663)&gt;($D$3+Y663),(Character!$B$9+W663)-($D$3+Y663),0)),Calcs!$A$110:$C$122,3,TRUE))))</f>
        <v xml:space="preserve"> </v>
      </c>
      <c r="AC663" s="489"/>
      <c r="AD663" s="489" t="str">
        <f>IF(IF(AA663=" "," ",IF(NOT(ISBLANK(X663)),VLOOKUP($D$3+X663,Calcs!$A$110:$B$122,2,TRUE),IF(AA663="Failed",VLOOKUP($D$3,Calcs!$A$110:$B$122,2,TRUE),VLOOKUP($D$3-(IF((Character!$B$9+W663)&gt;($D$3+Y663),(Character!$B$9+W663)-($D$3+Y663),0)),Calcs!$A$110:$B$122,2,TRUE))))=Calcs!$B$120,IF(ISBLANK(AC663)," ",CONCATENATE(AC663+7," Years")),IF(AA663=" "," ",IF(NOT(ISBLANK(X663)),VLOOKUP($D$3+X663,Calcs!$A$110:$B$122,2,TRUE),IF(AA663="Failed",VLOOKUP($D$3,Calcs!$A$110:$B$122,2,TRUE),VLOOKUP($D$3-(IF((Character!$B$9+W663)&gt;($D$3+Y663),(Character!$B$9+W663)-($D$3+Y663),0)),Calcs!$A$110:$B$122,2,TRUE)))))</f>
        <v xml:space="preserve"> </v>
      </c>
      <c r="AE663" s="490"/>
      <c r="AF663" s="879"/>
      <c r="AG663" s="491"/>
    </row>
    <row r="664" spans="1:33" x14ac:dyDescent="0.2">
      <c r="A664" s="415">
        <f t="shared" si="18"/>
        <v>1376</v>
      </c>
      <c r="B664" s="419" t="str">
        <f t="shared" si="19"/>
        <v>Winter</v>
      </c>
      <c r="C664" s="455"/>
      <c r="D664" s="504"/>
      <c r="E664" s="455"/>
      <c r="F664" s="504"/>
      <c r="G664" s="455"/>
      <c r="H664" s="504"/>
      <c r="I664" s="455"/>
      <c r="J664" s="504"/>
      <c r="L664" s="472"/>
      <c r="M664" s="468"/>
      <c r="N664" s="468"/>
      <c r="O664" s="468"/>
      <c r="P664" s="468"/>
      <c r="Q664" s="473"/>
      <c r="R664" s="477" t="str">
        <f>IF(AND(COUNTIF('Start Character'!$I$63:$M$77,"Twilight Prone")=1,NOT(ISERROR(FIND("Magical Botch",M664)))),"Yes",IF(P664&gt;1,"Yes","No"))</f>
        <v>No</v>
      </c>
      <c r="S664" s="501"/>
      <c r="T664" s="478"/>
      <c r="U664" s="501"/>
      <c r="V664" s="479" t="str">
        <f>IF(R664="No","No Twilight",IF(T664="Yes","Uncomprehended Twilight",IF((Character!$B$14+IF(Character!$B$53="Yes",0,Character!$B$53)+IF(Magic!$C$5="Yes",2,0)+ROUNDUP((Magic!$B$30+IF(Magic!$C$30="Yes",3,0))/5,0)+S664)&gt;=($D$3+P664+SUMIF(Character!$I$62:$I$66,"Enigmatic Wisdom",Character!$J$62:$J$66)+Q664+U664),"No Twilight","Twilight")))</f>
        <v>No Twilight</v>
      </c>
      <c r="W664" s="483"/>
      <c r="X664" s="478"/>
      <c r="Y664" s="484"/>
      <c r="Z664" s="478"/>
      <c r="AA664" s="485" t="str">
        <f>IF(V664="Uncomprehended Twilight","Failed",IF(OR(ISBLANK(W664),ISBLANK(Y664))," ",IF(NOT(ISBLANK(X664)),"Failed",IF((W664+Character!$B$9+SUMIF(Character!$I$62:$I$66,"Enigmatic Wisdom",Character!$J$62:$J$66))&gt;=IF(Z664="Yes",0,(Y664+D659)),"Succeeded","Failed"))))</f>
        <v xml:space="preserve"> </v>
      </c>
      <c r="AB664" s="477" t="str">
        <f>IF(AA664=" "," ",IF(NOT(ISBLANK(X664)),VLOOKUP($D$3+X664,Calcs!$A$110:$C$122,3,TRUE),IF(AA664="Failed",VLOOKUP($D$3,Calcs!$A$110:$C$122,3,TRUE),VLOOKUP($D$3-(IF((Character!$B$9+W664)&gt;($D$3+Y664),(Character!$B$9+W664)-($D$3+Y664),0)),Calcs!$A$110:$C$122,3,TRUE))))</f>
        <v xml:space="preserve"> </v>
      </c>
      <c r="AC664" s="489"/>
      <c r="AD664" s="489" t="str">
        <f>IF(IF(AA664=" "," ",IF(NOT(ISBLANK(X664)),VLOOKUP($D$3+X664,Calcs!$A$110:$B$122,2,TRUE),IF(AA664="Failed",VLOOKUP($D$3,Calcs!$A$110:$B$122,2,TRUE),VLOOKUP($D$3-(IF((Character!$B$9+W664)&gt;($D$3+Y664),(Character!$B$9+W664)-($D$3+Y664),0)),Calcs!$A$110:$B$122,2,TRUE))))=Calcs!$B$120,IF(ISBLANK(AC664)," ",CONCATENATE(AC664+7," Years")),IF(AA664=" "," ",IF(NOT(ISBLANK(X664)),VLOOKUP($D$3+X664,Calcs!$A$110:$B$122,2,TRUE),IF(AA664="Failed",VLOOKUP($D$3,Calcs!$A$110:$B$122,2,TRUE),VLOOKUP($D$3-(IF((Character!$B$9+W664)&gt;($D$3+Y664),(Character!$B$9+W664)-($D$3+Y664),0)),Calcs!$A$110:$B$122,2,TRUE)))))</f>
        <v xml:space="preserve"> </v>
      </c>
      <c r="AE664" s="490"/>
      <c r="AF664" s="879"/>
      <c r="AG664" s="491"/>
    </row>
    <row r="665" spans="1:33" x14ac:dyDescent="0.2">
      <c r="A665" s="415">
        <f t="shared" si="18"/>
        <v>1376</v>
      </c>
      <c r="B665" s="419" t="str">
        <f t="shared" si="19"/>
        <v>Spring</v>
      </c>
      <c r="C665" s="455"/>
      <c r="D665" s="504"/>
      <c r="E665" s="455"/>
      <c r="F665" s="504"/>
      <c r="G665" s="455"/>
      <c r="H665" s="504"/>
      <c r="I665" s="455"/>
      <c r="J665" s="504"/>
      <c r="L665" s="472"/>
      <c r="M665" s="468"/>
      <c r="N665" s="468"/>
      <c r="O665" s="468"/>
      <c r="P665" s="468"/>
      <c r="Q665" s="473"/>
      <c r="R665" s="477" t="str">
        <f>IF(AND(COUNTIF('Start Character'!$I$63:$M$77,"Twilight Prone")=1,NOT(ISERROR(FIND("Magical Botch",M665)))),"Yes",IF(P665&gt;1,"Yes","No"))</f>
        <v>No</v>
      </c>
      <c r="S665" s="501"/>
      <c r="T665" s="478"/>
      <c r="U665" s="501"/>
      <c r="V665" s="479" t="str">
        <f>IF(R665="No","No Twilight",IF(T665="Yes","Uncomprehended Twilight",IF((Character!$B$14+IF(Character!$B$53="Yes",0,Character!$B$53)+IF(Magic!$C$5="Yes",2,0)+ROUNDUP((Magic!$B$30+IF(Magic!$C$30="Yes",3,0))/5,0)+S665)&gt;=($D$3+P665+SUMIF(Character!$I$62:$I$66,"Enigmatic Wisdom",Character!$J$62:$J$66)+Q665+U665),"No Twilight","Twilight")))</f>
        <v>No Twilight</v>
      </c>
      <c r="W665" s="483"/>
      <c r="X665" s="478"/>
      <c r="Y665" s="484"/>
      <c r="Z665" s="478"/>
      <c r="AA665" s="485" t="str">
        <f>IF(V665="Uncomprehended Twilight","Failed",IF(OR(ISBLANK(W665),ISBLANK(Y665))," ",IF(NOT(ISBLANK(X665)),"Failed",IF((W665+Character!$B$9+SUMIF(Character!$I$62:$I$66,"Enigmatic Wisdom",Character!$J$62:$J$66))&gt;=IF(Z665="Yes",0,(Y665+D660)),"Succeeded","Failed"))))</f>
        <v xml:space="preserve"> </v>
      </c>
      <c r="AB665" s="477" t="str">
        <f>IF(AA665=" "," ",IF(NOT(ISBLANK(X665)),VLOOKUP($D$3+X665,Calcs!$A$110:$C$122,3,TRUE),IF(AA665="Failed",VLOOKUP($D$3,Calcs!$A$110:$C$122,3,TRUE),VLOOKUP($D$3-(IF((Character!$B$9+W665)&gt;($D$3+Y665),(Character!$B$9+W665)-($D$3+Y665),0)),Calcs!$A$110:$C$122,3,TRUE))))</f>
        <v xml:space="preserve"> </v>
      </c>
      <c r="AC665" s="489"/>
      <c r="AD665" s="489" t="str">
        <f>IF(IF(AA665=" "," ",IF(NOT(ISBLANK(X665)),VLOOKUP($D$3+X665,Calcs!$A$110:$B$122,2,TRUE),IF(AA665="Failed",VLOOKUP($D$3,Calcs!$A$110:$B$122,2,TRUE),VLOOKUP($D$3-(IF((Character!$B$9+W665)&gt;($D$3+Y665),(Character!$B$9+W665)-($D$3+Y665),0)),Calcs!$A$110:$B$122,2,TRUE))))=Calcs!$B$120,IF(ISBLANK(AC665)," ",CONCATENATE(AC665+7," Years")),IF(AA665=" "," ",IF(NOT(ISBLANK(X665)),VLOOKUP($D$3+X665,Calcs!$A$110:$B$122,2,TRUE),IF(AA665="Failed",VLOOKUP($D$3,Calcs!$A$110:$B$122,2,TRUE),VLOOKUP($D$3-(IF((Character!$B$9+W665)&gt;($D$3+Y665),(Character!$B$9+W665)-($D$3+Y665),0)),Calcs!$A$110:$B$122,2,TRUE)))))</f>
        <v xml:space="preserve"> </v>
      </c>
      <c r="AE665" s="490"/>
      <c r="AF665" s="879"/>
      <c r="AG665" s="491"/>
    </row>
    <row r="666" spans="1:33" x14ac:dyDescent="0.2">
      <c r="A666" s="415">
        <f t="shared" si="18"/>
        <v>1376</v>
      </c>
      <c r="B666" s="419" t="str">
        <f t="shared" si="19"/>
        <v>Summer</v>
      </c>
      <c r="C666" s="455"/>
      <c r="D666" s="504"/>
      <c r="E666" s="455"/>
      <c r="F666" s="504"/>
      <c r="G666" s="455"/>
      <c r="H666" s="504"/>
      <c r="I666" s="455"/>
      <c r="J666" s="504"/>
      <c r="L666" s="472"/>
      <c r="M666" s="468"/>
      <c r="N666" s="468"/>
      <c r="O666" s="468"/>
      <c r="P666" s="468"/>
      <c r="Q666" s="473"/>
      <c r="R666" s="477" t="str">
        <f>IF(AND(COUNTIF('Start Character'!$I$63:$M$77,"Twilight Prone")=1,NOT(ISERROR(FIND("Magical Botch",M666)))),"Yes",IF(P666&gt;1,"Yes","No"))</f>
        <v>No</v>
      </c>
      <c r="S666" s="501"/>
      <c r="T666" s="478"/>
      <c r="U666" s="501"/>
      <c r="V666" s="479" t="str">
        <f>IF(R666="No","No Twilight",IF(T666="Yes","Uncomprehended Twilight",IF((Character!$B$14+IF(Character!$B$53="Yes",0,Character!$B$53)+IF(Magic!$C$5="Yes",2,0)+ROUNDUP((Magic!$B$30+IF(Magic!$C$30="Yes",3,0))/5,0)+S666)&gt;=($D$3+P666+SUMIF(Character!$I$62:$I$66,"Enigmatic Wisdom",Character!$J$62:$J$66)+Q666+U666),"No Twilight","Twilight")))</f>
        <v>No Twilight</v>
      </c>
      <c r="W666" s="483"/>
      <c r="X666" s="478"/>
      <c r="Y666" s="484"/>
      <c r="Z666" s="478"/>
      <c r="AA666" s="485" t="str">
        <f>IF(V666="Uncomprehended Twilight","Failed",IF(OR(ISBLANK(W666),ISBLANK(Y666))," ",IF(NOT(ISBLANK(X666)),"Failed",IF((W666+Character!$B$9+SUMIF(Character!$I$62:$I$66,"Enigmatic Wisdom",Character!$J$62:$J$66))&gt;=IF(Z666="Yes",0,(Y666+D661)),"Succeeded","Failed"))))</f>
        <v xml:space="preserve"> </v>
      </c>
      <c r="AB666" s="477" t="str">
        <f>IF(AA666=" "," ",IF(NOT(ISBLANK(X666)),VLOOKUP($D$3+X666,Calcs!$A$110:$C$122,3,TRUE),IF(AA666="Failed",VLOOKUP($D$3,Calcs!$A$110:$C$122,3,TRUE),VLOOKUP($D$3-(IF((Character!$B$9+W666)&gt;($D$3+Y666),(Character!$B$9+W666)-($D$3+Y666),0)),Calcs!$A$110:$C$122,3,TRUE))))</f>
        <v xml:space="preserve"> </v>
      </c>
      <c r="AC666" s="489"/>
      <c r="AD666" s="489" t="str">
        <f>IF(IF(AA666=" "," ",IF(NOT(ISBLANK(X666)),VLOOKUP($D$3+X666,Calcs!$A$110:$B$122,2,TRUE),IF(AA666="Failed",VLOOKUP($D$3,Calcs!$A$110:$B$122,2,TRUE),VLOOKUP($D$3-(IF((Character!$B$9+W666)&gt;($D$3+Y666),(Character!$B$9+W666)-($D$3+Y666),0)),Calcs!$A$110:$B$122,2,TRUE))))=Calcs!$B$120,IF(ISBLANK(AC666)," ",CONCATENATE(AC666+7," Years")),IF(AA666=" "," ",IF(NOT(ISBLANK(X666)),VLOOKUP($D$3+X666,Calcs!$A$110:$B$122,2,TRUE),IF(AA666="Failed",VLOOKUP($D$3,Calcs!$A$110:$B$122,2,TRUE),VLOOKUP($D$3-(IF((Character!$B$9+W666)&gt;($D$3+Y666),(Character!$B$9+W666)-($D$3+Y666),0)),Calcs!$A$110:$B$122,2,TRUE)))))</f>
        <v xml:space="preserve"> </v>
      </c>
      <c r="AE666" s="490"/>
      <c r="AF666" s="879"/>
      <c r="AG666" s="491"/>
    </row>
    <row r="667" spans="1:33" x14ac:dyDescent="0.2">
      <c r="A667" s="415">
        <f t="shared" si="18"/>
        <v>1376</v>
      </c>
      <c r="B667" s="419" t="str">
        <f t="shared" si="19"/>
        <v>Autumn</v>
      </c>
      <c r="C667" s="455"/>
      <c r="D667" s="504"/>
      <c r="E667" s="455"/>
      <c r="F667" s="504"/>
      <c r="G667" s="455"/>
      <c r="H667" s="504"/>
      <c r="I667" s="455"/>
      <c r="J667" s="504"/>
      <c r="L667" s="472"/>
      <c r="M667" s="468"/>
      <c r="N667" s="468"/>
      <c r="O667" s="468"/>
      <c r="P667" s="468"/>
      <c r="Q667" s="473"/>
      <c r="R667" s="477" t="str">
        <f>IF(AND(COUNTIF('Start Character'!$I$63:$M$77,"Twilight Prone")=1,NOT(ISERROR(FIND("Magical Botch",M667)))),"Yes",IF(P667&gt;1,"Yes","No"))</f>
        <v>No</v>
      </c>
      <c r="S667" s="501"/>
      <c r="T667" s="478"/>
      <c r="U667" s="501"/>
      <c r="V667" s="479" t="str">
        <f>IF(R667="No","No Twilight",IF(T667="Yes","Uncomprehended Twilight",IF((Character!$B$14+IF(Character!$B$53="Yes",0,Character!$B$53)+IF(Magic!$C$5="Yes",2,0)+ROUNDUP((Magic!$B$30+IF(Magic!$C$30="Yes",3,0))/5,0)+S667)&gt;=($D$3+P667+SUMIF(Character!$I$62:$I$66,"Enigmatic Wisdom",Character!$J$62:$J$66)+Q667+U667),"No Twilight","Twilight")))</f>
        <v>No Twilight</v>
      </c>
      <c r="W667" s="483"/>
      <c r="X667" s="478"/>
      <c r="Y667" s="484"/>
      <c r="Z667" s="478"/>
      <c r="AA667" s="485" t="str">
        <f>IF(V667="Uncomprehended Twilight","Failed",IF(OR(ISBLANK(W667),ISBLANK(Y667))," ",IF(NOT(ISBLANK(X667)),"Failed",IF((W667+Character!$B$9+SUMIF(Character!$I$62:$I$66,"Enigmatic Wisdom",Character!$J$62:$J$66))&gt;=IF(Z667="Yes",0,(Y667+D662)),"Succeeded","Failed"))))</f>
        <v xml:space="preserve"> </v>
      </c>
      <c r="AB667" s="477" t="str">
        <f>IF(AA667=" "," ",IF(NOT(ISBLANK(X667)),VLOOKUP($D$3+X667,Calcs!$A$110:$C$122,3,TRUE),IF(AA667="Failed",VLOOKUP($D$3,Calcs!$A$110:$C$122,3,TRUE),VLOOKUP($D$3-(IF((Character!$B$9+W667)&gt;($D$3+Y667),(Character!$B$9+W667)-($D$3+Y667),0)),Calcs!$A$110:$C$122,3,TRUE))))</f>
        <v xml:space="preserve"> </v>
      </c>
      <c r="AC667" s="489"/>
      <c r="AD667" s="489" t="str">
        <f>IF(IF(AA667=" "," ",IF(NOT(ISBLANK(X667)),VLOOKUP($D$3+X667,Calcs!$A$110:$B$122,2,TRUE),IF(AA667="Failed",VLOOKUP($D$3,Calcs!$A$110:$B$122,2,TRUE),VLOOKUP($D$3-(IF((Character!$B$9+W667)&gt;($D$3+Y667),(Character!$B$9+W667)-($D$3+Y667),0)),Calcs!$A$110:$B$122,2,TRUE))))=Calcs!$B$120,IF(ISBLANK(AC667)," ",CONCATENATE(AC667+7," Years")),IF(AA667=" "," ",IF(NOT(ISBLANK(X667)),VLOOKUP($D$3+X667,Calcs!$A$110:$B$122,2,TRUE),IF(AA667="Failed",VLOOKUP($D$3,Calcs!$A$110:$B$122,2,TRUE),VLOOKUP($D$3-(IF((Character!$B$9+W667)&gt;($D$3+Y667),(Character!$B$9+W667)-($D$3+Y667),0)),Calcs!$A$110:$B$122,2,TRUE)))))</f>
        <v xml:space="preserve"> </v>
      </c>
      <c r="AE667" s="490"/>
      <c r="AF667" s="879"/>
      <c r="AG667" s="491"/>
    </row>
    <row r="668" spans="1:33" x14ac:dyDescent="0.2">
      <c r="A668" s="415">
        <f t="shared" si="18"/>
        <v>1377</v>
      </c>
      <c r="B668" s="419" t="str">
        <f t="shared" si="19"/>
        <v>Winter</v>
      </c>
      <c r="C668" s="455"/>
      <c r="D668" s="504"/>
      <c r="E668" s="455"/>
      <c r="F668" s="504"/>
      <c r="G668" s="455"/>
      <c r="H668" s="504"/>
      <c r="I668" s="455"/>
      <c r="J668" s="504"/>
      <c r="L668" s="472"/>
      <c r="M668" s="468"/>
      <c r="N668" s="468"/>
      <c r="O668" s="468"/>
      <c r="P668" s="468"/>
      <c r="Q668" s="473"/>
      <c r="R668" s="477" t="str">
        <f>IF(AND(COUNTIF('Start Character'!$I$63:$M$77,"Twilight Prone")=1,NOT(ISERROR(FIND("Magical Botch",M668)))),"Yes",IF(P668&gt;1,"Yes","No"))</f>
        <v>No</v>
      </c>
      <c r="S668" s="501"/>
      <c r="T668" s="478"/>
      <c r="U668" s="501"/>
      <c r="V668" s="479" t="str">
        <f>IF(R668="No","No Twilight",IF(T668="Yes","Uncomprehended Twilight",IF((Character!$B$14+IF(Character!$B$53="Yes",0,Character!$B$53)+IF(Magic!$C$5="Yes",2,0)+ROUNDUP((Magic!$B$30+IF(Magic!$C$30="Yes",3,0))/5,0)+S668)&gt;=($D$3+P668+SUMIF(Character!$I$62:$I$66,"Enigmatic Wisdom",Character!$J$62:$J$66)+Q668+U668),"No Twilight","Twilight")))</f>
        <v>No Twilight</v>
      </c>
      <c r="W668" s="483"/>
      <c r="X668" s="478"/>
      <c r="Y668" s="484"/>
      <c r="Z668" s="478"/>
      <c r="AA668" s="485" t="str">
        <f>IF(V668="Uncomprehended Twilight","Failed",IF(OR(ISBLANK(W668),ISBLANK(Y668))," ",IF(NOT(ISBLANK(X668)),"Failed",IF((W668+Character!$B$9+SUMIF(Character!$I$62:$I$66,"Enigmatic Wisdom",Character!$J$62:$J$66))&gt;=IF(Z668="Yes",0,(Y668+D663)),"Succeeded","Failed"))))</f>
        <v xml:space="preserve"> </v>
      </c>
      <c r="AB668" s="477" t="str">
        <f>IF(AA668=" "," ",IF(NOT(ISBLANK(X668)),VLOOKUP($D$3+X668,Calcs!$A$110:$C$122,3,TRUE),IF(AA668="Failed",VLOOKUP($D$3,Calcs!$A$110:$C$122,3,TRUE),VLOOKUP($D$3-(IF((Character!$B$9+W668)&gt;($D$3+Y668),(Character!$B$9+W668)-($D$3+Y668),0)),Calcs!$A$110:$C$122,3,TRUE))))</f>
        <v xml:space="preserve"> </v>
      </c>
      <c r="AC668" s="489"/>
      <c r="AD668" s="489" t="str">
        <f>IF(IF(AA668=" "," ",IF(NOT(ISBLANK(X668)),VLOOKUP($D$3+X668,Calcs!$A$110:$B$122,2,TRUE),IF(AA668="Failed",VLOOKUP($D$3,Calcs!$A$110:$B$122,2,TRUE),VLOOKUP($D$3-(IF((Character!$B$9+W668)&gt;($D$3+Y668),(Character!$B$9+W668)-($D$3+Y668),0)),Calcs!$A$110:$B$122,2,TRUE))))=Calcs!$B$120,IF(ISBLANK(AC668)," ",CONCATENATE(AC668+7," Years")),IF(AA668=" "," ",IF(NOT(ISBLANK(X668)),VLOOKUP($D$3+X668,Calcs!$A$110:$B$122,2,TRUE),IF(AA668="Failed",VLOOKUP($D$3,Calcs!$A$110:$B$122,2,TRUE),VLOOKUP($D$3-(IF((Character!$B$9+W668)&gt;($D$3+Y668),(Character!$B$9+W668)-($D$3+Y668),0)),Calcs!$A$110:$B$122,2,TRUE)))))</f>
        <v xml:space="preserve"> </v>
      </c>
      <c r="AE668" s="490"/>
      <c r="AF668" s="879"/>
      <c r="AG668" s="491"/>
    </row>
    <row r="669" spans="1:33" x14ac:dyDescent="0.2">
      <c r="A669" s="415">
        <f t="shared" ref="A669:A732" si="20">IF(B668="Autumn",A668+1,A668)</f>
        <v>1377</v>
      </c>
      <c r="B669" s="419" t="str">
        <f t="shared" ref="B669:B732" si="21">IF(B668="spring","Summer",IF(B668="Summer","Autumn",IF(B668="Autumn","Winter",IF(B668="Winter","Spring"," "))))</f>
        <v>Spring</v>
      </c>
      <c r="C669" s="455"/>
      <c r="D669" s="504"/>
      <c r="E669" s="455"/>
      <c r="F669" s="504"/>
      <c r="G669" s="455"/>
      <c r="H669" s="504"/>
      <c r="I669" s="455"/>
      <c r="J669" s="504"/>
      <c r="L669" s="472"/>
      <c r="M669" s="468"/>
      <c r="N669" s="468"/>
      <c r="O669" s="468"/>
      <c r="P669" s="468"/>
      <c r="Q669" s="473"/>
      <c r="R669" s="477" t="str">
        <f>IF(AND(COUNTIF('Start Character'!$I$63:$M$77,"Twilight Prone")=1,NOT(ISERROR(FIND("Magical Botch",M669)))),"Yes",IF(P669&gt;1,"Yes","No"))</f>
        <v>No</v>
      </c>
      <c r="S669" s="501"/>
      <c r="T669" s="478"/>
      <c r="U669" s="501"/>
      <c r="V669" s="479" t="str">
        <f>IF(R669="No","No Twilight",IF(T669="Yes","Uncomprehended Twilight",IF((Character!$B$14+IF(Character!$B$53="Yes",0,Character!$B$53)+IF(Magic!$C$5="Yes",2,0)+ROUNDUP((Magic!$B$30+IF(Magic!$C$30="Yes",3,0))/5,0)+S669)&gt;=($D$3+P669+SUMIF(Character!$I$62:$I$66,"Enigmatic Wisdom",Character!$J$62:$J$66)+Q669+U669),"No Twilight","Twilight")))</f>
        <v>No Twilight</v>
      </c>
      <c r="W669" s="483"/>
      <c r="X669" s="478"/>
      <c r="Y669" s="484"/>
      <c r="Z669" s="478"/>
      <c r="AA669" s="485" t="str">
        <f>IF(V669="Uncomprehended Twilight","Failed",IF(OR(ISBLANK(W669),ISBLANK(Y669))," ",IF(NOT(ISBLANK(X669)),"Failed",IF((W669+Character!$B$9+SUMIF(Character!$I$62:$I$66,"Enigmatic Wisdom",Character!$J$62:$J$66))&gt;=IF(Z669="Yes",0,(Y669+D664)),"Succeeded","Failed"))))</f>
        <v xml:space="preserve"> </v>
      </c>
      <c r="AB669" s="477" t="str">
        <f>IF(AA669=" "," ",IF(NOT(ISBLANK(X669)),VLOOKUP($D$3+X669,Calcs!$A$110:$C$122,3,TRUE),IF(AA669="Failed",VLOOKUP($D$3,Calcs!$A$110:$C$122,3,TRUE),VLOOKUP($D$3-(IF((Character!$B$9+W669)&gt;($D$3+Y669),(Character!$B$9+W669)-($D$3+Y669),0)),Calcs!$A$110:$C$122,3,TRUE))))</f>
        <v xml:space="preserve"> </v>
      </c>
      <c r="AC669" s="489"/>
      <c r="AD669" s="489" t="str">
        <f>IF(IF(AA669=" "," ",IF(NOT(ISBLANK(X669)),VLOOKUP($D$3+X669,Calcs!$A$110:$B$122,2,TRUE),IF(AA669="Failed",VLOOKUP($D$3,Calcs!$A$110:$B$122,2,TRUE),VLOOKUP($D$3-(IF((Character!$B$9+W669)&gt;($D$3+Y669),(Character!$B$9+W669)-($D$3+Y669),0)),Calcs!$A$110:$B$122,2,TRUE))))=Calcs!$B$120,IF(ISBLANK(AC669)," ",CONCATENATE(AC669+7," Years")),IF(AA669=" "," ",IF(NOT(ISBLANK(X669)),VLOOKUP($D$3+X669,Calcs!$A$110:$B$122,2,TRUE),IF(AA669="Failed",VLOOKUP($D$3,Calcs!$A$110:$B$122,2,TRUE),VLOOKUP($D$3-(IF((Character!$B$9+W669)&gt;($D$3+Y669),(Character!$B$9+W669)-($D$3+Y669),0)),Calcs!$A$110:$B$122,2,TRUE)))))</f>
        <v xml:space="preserve"> </v>
      </c>
      <c r="AE669" s="490"/>
      <c r="AF669" s="879"/>
      <c r="AG669" s="491"/>
    </row>
    <row r="670" spans="1:33" x14ac:dyDescent="0.2">
      <c r="A670" s="415">
        <f t="shared" si="20"/>
        <v>1377</v>
      </c>
      <c r="B670" s="419" t="str">
        <f t="shared" si="21"/>
        <v>Summer</v>
      </c>
      <c r="C670" s="455"/>
      <c r="D670" s="504"/>
      <c r="E670" s="455"/>
      <c r="F670" s="504"/>
      <c r="G670" s="455"/>
      <c r="H670" s="504"/>
      <c r="I670" s="455"/>
      <c r="J670" s="504"/>
      <c r="L670" s="472"/>
      <c r="M670" s="468"/>
      <c r="N670" s="468"/>
      <c r="O670" s="468"/>
      <c r="P670" s="468"/>
      <c r="Q670" s="473"/>
      <c r="R670" s="477" t="str">
        <f>IF(AND(COUNTIF('Start Character'!$I$63:$M$77,"Twilight Prone")=1,NOT(ISERROR(FIND("Magical Botch",M670)))),"Yes",IF(P670&gt;1,"Yes","No"))</f>
        <v>No</v>
      </c>
      <c r="S670" s="501"/>
      <c r="T670" s="478"/>
      <c r="U670" s="501"/>
      <c r="V670" s="479" t="str">
        <f>IF(R670="No","No Twilight",IF(T670="Yes","Uncomprehended Twilight",IF((Character!$B$14+IF(Character!$B$53="Yes",0,Character!$B$53)+IF(Magic!$C$5="Yes",2,0)+ROUNDUP((Magic!$B$30+IF(Magic!$C$30="Yes",3,0))/5,0)+S670)&gt;=($D$3+P670+SUMIF(Character!$I$62:$I$66,"Enigmatic Wisdom",Character!$J$62:$J$66)+Q670+U670),"No Twilight","Twilight")))</f>
        <v>No Twilight</v>
      </c>
      <c r="W670" s="483"/>
      <c r="X670" s="478"/>
      <c r="Y670" s="484"/>
      <c r="Z670" s="478"/>
      <c r="AA670" s="485" t="str">
        <f>IF(V670="Uncomprehended Twilight","Failed",IF(OR(ISBLANK(W670),ISBLANK(Y670))," ",IF(NOT(ISBLANK(X670)),"Failed",IF((W670+Character!$B$9+SUMIF(Character!$I$62:$I$66,"Enigmatic Wisdom",Character!$J$62:$J$66))&gt;=IF(Z670="Yes",0,(Y670+D665)),"Succeeded","Failed"))))</f>
        <v xml:space="preserve"> </v>
      </c>
      <c r="AB670" s="477" t="str">
        <f>IF(AA670=" "," ",IF(NOT(ISBLANK(X670)),VLOOKUP($D$3+X670,Calcs!$A$110:$C$122,3,TRUE),IF(AA670="Failed",VLOOKUP($D$3,Calcs!$A$110:$C$122,3,TRUE),VLOOKUP($D$3-(IF((Character!$B$9+W670)&gt;($D$3+Y670),(Character!$B$9+W670)-($D$3+Y670),0)),Calcs!$A$110:$C$122,3,TRUE))))</f>
        <v xml:space="preserve"> </v>
      </c>
      <c r="AC670" s="489"/>
      <c r="AD670" s="489" t="str">
        <f>IF(IF(AA670=" "," ",IF(NOT(ISBLANK(X670)),VLOOKUP($D$3+X670,Calcs!$A$110:$B$122,2,TRUE),IF(AA670="Failed",VLOOKUP($D$3,Calcs!$A$110:$B$122,2,TRUE),VLOOKUP($D$3-(IF((Character!$B$9+W670)&gt;($D$3+Y670),(Character!$B$9+W670)-($D$3+Y670),0)),Calcs!$A$110:$B$122,2,TRUE))))=Calcs!$B$120,IF(ISBLANK(AC670)," ",CONCATENATE(AC670+7," Years")),IF(AA670=" "," ",IF(NOT(ISBLANK(X670)),VLOOKUP($D$3+X670,Calcs!$A$110:$B$122,2,TRUE),IF(AA670="Failed",VLOOKUP($D$3,Calcs!$A$110:$B$122,2,TRUE),VLOOKUP($D$3-(IF((Character!$B$9+W670)&gt;($D$3+Y670),(Character!$B$9+W670)-($D$3+Y670),0)),Calcs!$A$110:$B$122,2,TRUE)))))</f>
        <v xml:space="preserve"> </v>
      </c>
      <c r="AE670" s="490"/>
      <c r="AF670" s="879"/>
      <c r="AG670" s="491"/>
    </row>
    <row r="671" spans="1:33" x14ac:dyDescent="0.2">
      <c r="A671" s="415">
        <f t="shared" si="20"/>
        <v>1377</v>
      </c>
      <c r="B671" s="419" t="str">
        <f t="shared" si="21"/>
        <v>Autumn</v>
      </c>
      <c r="C671" s="455"/>
      <c r="D671" s="504"/>
      <c r="E671" s="455"/>
      <c r="F671" s="504"/>
      <c r="G671" s="455"/>
      <c r="H671" s="504"/>
      <c r="I671" s="455"/>
      <c r="J671" s="504"/>
      <c r="L671" s="472"/>
      <c r="M671" s="468"/>
      <c r="N671" s="468"/>
      <c r="O671" s="468"/>
      <c r="P671" s="468"/>
      <c r="Q671" s="473"/>
      <c r="R671" s="477" t="str">
        <f>IF(AND(COUNTIF('Start Character'!$I$63:$M$77,"Twilight Prone")=1,NOT(ISERROR(FIND("Magical Botch",M671)))),"Yes",IF(P671&gt;1,"Yes","No"))</f>
        <v>No</v>
      </c>
      <c r="S671" s="501"/>
      <c r="T671" s="478"/>
      <c r="U671" s="501"/>
      <c r="V671" s="479" t="str">
        <f>IF(R671="No","No Twilight",IF(T671="Yes","Uncomprehended Twilight",IF((Character!$B$14+IF(Character!$B$53="Yes",0,Character!$B$53)+IF(Magic!$C$5="Yes",2,0)+ROUNDUP((Magic!$B$30+IF(Magic!$C$30="Yes",3,0))/5,0)+S671)&gt;=($D$3+P671+SUMIF(Character!$I$62:$I$66,"Enigmatic Wisdom",Character!$J$62:$J$66)+Q671+U671),"No Twilight","Twilight")))</f>
        <v>No Twilight</v>
      </c>
      <c r="W671" s="483"/>
      <c r="X671" s="478"/>
      <c r="Y671" s="484"/>
      <c r="Z671" s="478"/>
      <c r="AA671" s="485" t="str">
        <f>IF(V671="Uncomprehended Twilight","Failed",IF(OR(ISBLANK(W671),ISBLANK(Y671))," ",IF(NOT(ISBLANK(X671)),"Failed",IF((W671+Character!$B$9+SUMIF(Character!$I$62:$I$66,"Enigmatic Wisdom",Character!$J$62:$J$66))&gt;=IF(Z671="Yes",0,(Y671+D666)),"Succeeded","Failed"))))</f>
        <v xml:space="preserve"> </v>
      </c>
      <c r="AB671" s="477" t="str">
        <f>IF(AA671=" "," ",IF(NOT(ISBLANK(X671)),VLOOKUP($D$3+X671,Calcs!$A$110:$C$122,3,TRUE),IF(AA671="Failed",VLOOKUP($D$3,Calcs!$A$110:$C$122,3,TRUE),VLOOKUP($D$3-(IF((Character!$B$9+W671)&gt;($D$3+Y671),(Character!$B$9+W671)-($D$3+Y671),0)),Calcs!$A$110:$C$122,3,TRUE))))</f>
        <v xml:space="preserve"> </v>
      </c>
      <c r="AC671" s="489"/>
      <c r="AD671" s="489" t="str">
        <f>IF(IF(AA671=" "," ",IF(NOT(ISBLANK(X671)),VLOOKUP($D$3+X671,Calcs!$A$110:$B$122,2,TRUE),IF(AA671="Failed",VLOOKUP($D$3,Calcs!$A$110:$B$122,2,TRUE),VLOOKUP($D$3-(IF((Character!$B$9+W671)&gt;($D$3+Y671),(Character!$B$9+W671)-($D$3+Y671),0)),Calcs!$A$110:$B$122,2,TRUE))))=Calcs!$B$120,IF(ISBLANK(AC671)," ",CONCATENATE(AC671+7," Years")),IF(AA671=" "," ",IF(NOT(ISBLANK(X671)),VLOOKUP($D$3+X671,Calcs!$A$110:$B$122,2,TRUE),IF(AA671="Failed",VLOOKUP($D$3,Calcs!$A$110:$B$122,2,TRUE),VLOOKUP($D$3-(IF((Character!$B$9+W671)&gt;($D$3+Y671),(Character!$B$9+W671)-($D$3+Y671),0)),Calcs!$A$110:$B$122,2,TRUE)))))</f>
        <v xml:space="preserve"> </v>
      </c>
      <c r="AE671" s="490"/>
      <c r="AF671" s="879"/>
      <c r="AG671" s="491"/>
    </row>
    <row r="672" spans="1:33" x14ac:dyDescent="0.2">
      <c r="A672" s="415">
        <f t="shared" si="20"/>
        <v>1378</v>
      </c>
      <c r="B672" s="419" t="str">
        <f t="shared" si="21"/>
        <v>Winter</v>
      </c>
      <c r="C672" s="455"/>
      <c r="D672" s="504"/>
      <c r="E672" s="455"/>
      <c r="F672" s="504"/>
      <c r="G672" s="455"/>
      <c r="H672" s="504"/>
      <c r="I672" s="455"/>
      <c r="J672" s="504"/>
      <c r="L672" s="472"/>
      <c r="M672" s="468"/>
      <c r="N672" s="468"/>
      <c r="O672" s="468"/>
      <c r="P672" s="468"/>
      <c r="Q672" s="473"/>
      <c r="R672" s="477" t="str">
        <f>IF(AND(COUNTIF('Start Character'!$I$63:$M$77,"Twilight Prone")=1,NOT(ISERROR(FIND("Magical Botch",M672)))),"Yes",IF(P672&gt;1,"Yes","No"))</f>
        <v>No</v>
      </c>
      <c r="S672" s="501"/>
      <c r="T672" s="478"/>
      <c r="U672" s="501"/>
      <c r="V672" s="479" t="str">
        <f>IF(R672="No","No Twilight",IF(T672="Yes","Uncomprehended Twilight",IF((Character!$B$14+IF(Character!$B$53="Yes",0,Character!$B$53)+IF(Magic!$C$5="Yes",2,0)+ROUNDUP((Magic!$B$30+IF(Magic!$C$30="Yes",3,0))/5,0)+S672)&gt;=($D$3+P672+SUMIF(Character!$I$62:$I$66,"Enigmatic Wisdom",Character!$J$62:$J$66)+Q672+U672),"No Twilight","Twilight")))</f>
        <v>No Twilight</v>
      </c>
      <c r="W672" s="483"/>
      <c r="X672" s="478"/>
      <c r="Y672" s="484"/>
      <c r="Z672" s="478"/>
      <c r="AA672" s="485" t="str">
        <f>IF(V672="Uncomprehended Twilight","Failed",IF(OR(ISBLANK(W672),ISBLANK(Y672))," ",IF(NOT(ISBLANK(X672)),"Failed",IF((W672+Character!$B$9+SUMIF(Character!$I$62:$I$66,"Enigmatic Wisdom",Character!$J$62:$J$66))&gt;=IF(Z672="Yes",0,(Y672+D667)),"Succeeded","Failed"))))</f>
        <v xml:space="preserve"> </v>
      </c>
      <c r="AB672" s="477" t="str">
        <f>IF(AA672=" "," ",IF(NOT(ISBLANK(X672)),VLOOKUP($D$3+X672,Calcs!$A$110:$C$122,3,TRUE),IF(AA672="Failed",VLOOKUP($D$3,Calcs!$A$110:$C$122,3,TRUE),VLOOKUP($D$3-(IF((Character!$B$9+W672)&gt;($D$3+Y672),(Character!$B$9+W672)-($D$3+Y672),0)),Calcs!$A$110:$C$122,3,TRUE))))</f>
        <v xml:space="preserve"> </v>
      </c>
      <c r="AC672" s="489"/>
      <c r="AD672" s="489" t="str">
        <f>IF(IF(AA672=" "," ",IF(NOT(ISBLANK(X672)),VLOOKUP($D$3+X672,Calcs!$A$110:$B$122,2,TRUE),IF(AA672="Failed",VLOOKUP($D$3,Calcs!$A$110:$B$122,2,TRUE),VLOOKUP($D$3-(IF((Character!$B$9+W672)&gt;($D$3+Y672),(Character!$B$9+W672)-($D$3+Y672),0)),Calcs!$A$110:$B$122,2,TRUE))))=Calcs!$B$120,IF(ISBLANK(AC672)," ",CONCATENATE(AC672+7," Years")),IF(AA672=" "," ",IF(NOT(ISBLANK(X672)),VLOOKUP($D$3+X672,Calcs!$A$110:$B$122,2,TRUE),IF(AA672="Failed",VLOOKUP($D$3,Calcs!$A$110:$B$122,2,TRUE),VLOOKUP($D$3-(IF((Character!$B$9+W672)&gt;($D$3+Y672),(Character!$B$9+W672)-($D$3+Y672),0)),Calcs!$A$110:$B$122,2,TRUE)))))</f>
        <v xml:space="preserve"> </v>
      </c>
      <c r="AE672" s="490"/>
      <c r="AF672" s="879"/>
      <c r="AG672" s="491"/>
    </row>
    <row r="673" spans="1:33" x14ac:dyDescent="0.2">
      <c r="A673" s="415">
        <f t="shared" si="20"/>
        <v>1378</v>
      </c>
      <c r="B673" s="419" t="str">
        <f t="shared" si="21"/>
        <v>Spring</v>
      </c>
      <c r="C673" s="455"/>
      <c r="D673" s="504"/>
      <c r="E673" s="455"/>
      <c r="F673" s="504"/>
      <c r="G673" s="455"/>
      <c r="H673" s="504"/>
      <c r="I673" s="455"/>
      <c r="J673" s="504"/>
      <c r="L673" s="472"/>
      <c r="M673" s="468"/>
      <c r="N673" s="468"/>
      <c r="O673" s="468"/>
      <c r="P673" s="468"/>
      <c r="Q673" s="473"/>
      <c r="R673" s="477" t="str">
        <f>IF(AND(COUNTIF('Start Character'!$I$63:$M$77,"Twilight Prone")=1,NOT(ISERROR(FIND("Magical Botch",M673)))),"Yes",IF(P673&gt;1,"Yes","No"))</f>
        <v>No</v>
      </c>
      <c r="S673" s="501"/>
      <c r="T673" s="478"/>
      <c r="U673" s="501"/>
      <c r="V673" s="479" t="str">
        <f>IF(R673="No","No Twilight",IF(T673="Yes","Uncomprehended Twilight",IF((Character!$B$14+IF(Character!$B$53="Yes",0,Character!$B$53)+IF(Magic!$C$5="Yes",2,0)+ROUNDUP((Magic!$B$30+IF(Magic!$C$30="Yes",3,0))/5,0)+S673)&gt;=($D$3+P673+SUMIF(Character!$I$62:$I$66,"Enigmatic Wisdom",Character!$J$62:$J$66)+Q673+U673),"No Twilight","Twilight")))</f>
        <v>No Twilight</v>
      </c>
      <c r="W673" s="483"/>
      <c r="X673" s="478"/>
      <c r="Y673" s="484"/>
      <c r="Z673" s="478"/>
      <c r="AA673" s="485" t="str">
        <f>IF(V673="Uncomprehended Twilight","Failed",IF(OR(ISBLANK(W673),ISBLANK(Y673))," ",IF(NOT(ISBLANK(X673)),"Failed",IF((W673+Character!$B$9+SUMIF(Character!$I$62:$I$66,"Enigmatic Wisdom",Character!$J$62:$J$66))&gt;=IF(Z673="Yes",0,(Y673+D668)),"Succeeded","Failed"))))</f>
        <v xml:space="preserve"> </v>
      </c>
      <c r="AB673" s="477" t="str">
        <f>IF(AA673=" "," ",IF(NOT(ISBLANK(X673)),VLOOKUP($D$3+X673,Calcs!$A$110:$C$122,3,TRUE),IF(AA673="Failed",VLOOKUP($D$3,Calcs!$A$110:$C$122,3,TRUE),VLOOKUP($D$3-(IF((Character!$B$9+W673)&gt;($D$3+Y673),(Character!$B$9+W673)-($D$3+Y673),0)),Calcs!$A$110:$C$122,3,TRUE))))</f>
        <v xml:space="preserve"> </v>
      </c>
      <c r="AC673" s="489"/>
      <c r="AD673" s="489" t="str">
        <f>IF(IF(AA673=" "," ",IF(NOT(ISBLANK(X673)),VLOOKUP($D$3+X673,Calcs!$A$110:$B$122,2,TRUE),IF(AA673="Failed",VLOOKUP($D$3,Calcs!$A$110:$B$122,2,TRUE),VLOOKUP($D$3-(IF((Character!$B$9+W673)&gt;($D$3+Y673),(Character!$B$9+W673)-($D$3+Y673),0)),Calcs!$A$110:$B$122,2,TRUE))))=Calcs!$B$120,IF(ISBLANK(AC673)," ",CONCATENATE(AC673+7," Years")),IF(AA673=" "," ",IF(NOT(ISBLANK(X673)),VLOOKUP($D$3+X673,Calcs!$A$110:$B$122,2,TRUE),IF(AA673="Failed",VLOOKUP($D$3,Calcs!$A$110:$B$122,2,TRUE),VLOOKUP($D$3-(IF((Character!$B$9+W673)&gt;($D$3+Y673),(Character!$B$9+W673)-($D$3+Y673),0)),Calcs!$A$110:$B$122,2,TRUE)))))</f>
        <v xml:space="preserve"> </v>
      </c>
      <c r="AE673" s="490"/>
      <c r="AF673" s="879"/>
      <c r="AG673" s="491"/>
    </row>
    <row r="674" spans="1:33" x14ac:dyDescent="0.2">
      <c r="A674" s="415">
        <f t="shared" si="20"/>
        <v>1378</v>
      </c>
      <c r="B674" s="419" t="str">
        <f t="shared" si="21"/>
        <v>Summer</v>
      </c>
      <c r="C674" s="455"/>
      <c r="D674" s="504"/>
      <c r="E674" s="455"/>
      <c r="F674" s="504"/>
      <c r="G674" s="455"/>
      <c r="H674" s="504"/>
      <c r="I674" s="455"/>
      <c r="J674" s="504"/>
      <c r="L674" s="472"/>
      <c r="M674" s="468"/>
      <c r="N674" s="468"/>
      <c r="O674" s="468"/>
      <c r="P674" s="468"/>
      <c r="Q674" s="473"/>
      <c r="R674" s="477" t="str">
        <f>IF(AND(COUNTIF('Start Character'!$I$63:$M$77,"Twilight Prone")=1,NOT(ISERROR(FIND("Magical Botch",M674)))),"Yes",IF(P674&gt;1,"Yes","No"))</f>
        <v>No</v>
      </c>
      <c r="S674" s="501"/>
      <c r="T674" s="478"/>
      <c r="U674" s="501"/>
      <c r="V674" s="479" t="str">
        <f>IF(R674="No","No Twilight",IF(T674="Yes","Uncomprehended Twilight",IF((Character!$B$14+IF(Character!$B$53="Yes",0,Character!$B$53)+IF(Magic!$C$5="Yes",2,0)+ROUNDUP((Magic!$B$30+IF(Magic!$C$30="Yes",3,0))/5,0)+S674)&gt;=($D$3+P674+SUMIF(Character!$I$62:$I$66,"Enigmatic Wisdom",Character!$J$62:$J$66)+Q674+U674),"No Twilight","Twilight")))</f>
        <v>No Twilight</v>
      </c>
      <c r="W674" s="483"/>
      <c r="X674" s="478"/>
      <c r="Y674" s="484"/>
      <c r="Z674" s="478"/>
      <c r="AA674" s="485" t="str">
        <f>IF(V674="Uncomprehended Twilight","Failed",IF(OR(ISBLANK(W674),ISBLANK(Y674))," ",IF(NOT(ISBLANK(X674)),"Failed",IF((W674+Character!$B$9+SUMIF(Character!$I$62:$I$66,"Enigmatic Wisdom",Character!$J$62:$J$66))&gt;=IF(Z674="Yes",0,(Y674+D669)),"Succeeded","Failed"))))</f>
        <v xml:space="preserve"> </v>
      </c>
      <c r="AB674" s="477" t="str">
        <f>IF(AA674=" "," ",IF(NOT(ISBLANK(X674)),VLOOKUP($D$3+X674,Calcs!$A$110:$C$122,3,TRUE),IF(AA674="Failed",VLOOKUP($D$3,Calcs!$A$110:$C$122,3,TRUE),VLOOKUP($D$3-(IF((Character!$B$9+W674)&gt;($D$3+Y674),(Character!$B$9+W674)-($D$3+Y674),0)),Calcs!$A$110:$C$122,3,TRUE))))</f>
        <v xml:space="preserve"> </v>
      </c>
      <c r="AC674" s="489"/>
      <c r="AD674" s="489" t="str">
        <f>IF(IF(AA674=" "," ",IF(NOT(ISBLANK(X674)),VLOOKUP($D$3+X674,Calcs!$A$110:$B$122,2,TRUE),IF(AA674="Failed",VLOOKUP($D$3,Calcs!$A$110:$B$122,2,TRUE),VLOOKUP($D$3-(IF((Character!$B$9+W674)&gt;($D$3+Y674),(Character!$B$9+W674)-($D$3+Y674),0)),Calcs!$A$110:$B$122,2,TRUE))))=Calcs!$B$120,IF(ISBLANK(AC674)," ",CONCATENATE(AC674+7," Years")),IF(AA674=" "," ",IF(NOT(ISBLANK(X674)),VLOOKUP($D$3+X674,Calcs!$A$110:$B$122,2,TRUE),IF(AA674="Failed",VLOOKUP($D$3,Calcs!$A$110:$B$122,2,TRUE),VLOOKUP($D$3-(IF((Character!$B$9+W674)&gt;($D$3+Y674),(Character!$B$9+W674)-($D$3+Y674),0)),Calcs!$A$110:$B$122,2,TRUE)))))</f>
        <v xml:space="preserve"> </v>
      </c>
      <c r="AE674" s="490"/>
      <c r="AF674" s="879"/>
      <c r="AG674" s="491"/>
    </row>
    <row r="675" spans="1:33" x14ac:dyDescent="0.2">
      <c r="A675" s="415">
        <f t="shared" si="20"/>
        <v>1378</v>
      </c>
      <c r="B675" s="419" t="str">
        <f t="shared" si="21"/>
        <v>Autumn</v>
      </c>
      <c r="C675" s="455"/>
      <c r="D675" s="504"/>
      <c r="E675" s="455"/>
      <c r="F675" s="504"/>
      <c r="G675" s="455"/>
      <c r="H675" s="504"/>
      <c r="I675" s="455"/>
      <c r="J675" s="504"/>
      <c r="L675" s="472"/>
      <c r="M675" s="468"/>
      <c r="N675" s="468"/>
      <c r="O675" s="468"/>
      <c r="P675" s="468"/>
      <c r="Q675" s="473"/>
      <c r="R675" s="477" t="str">
        <f>IF(AND(COUNTIF('Start Character'!$I$63:$M$77,"Twilight Prone")=1,NOT(ISERROR(FIND("Magical Botch",M675)))),"Yes",IF(P675&gt;1,"Yes","No"))</f>
        <v>No</v>
      </c>
      <c r="S675" s="501"/>
      <c r="T675" s="478"/>
      <c r="U675" s="501"/>
      <c r="V675" s="479" t="str">
        <f>IF(R675="No","No Twilight",IF(T675="Yes","Uncomprehended Twilight",IF((Character!$B$14+IF(Character!$B$53="Yes",0,Character!$B$53)+IF(Magic!$C$5="Yes",2,0)+ROUNDUP((Magic!$B$30+IF(Magic!$C$30="Yes",3,0))/5,0)+S675)&gt;=($D$3+P675+SUMIF(Character!$I$62:$I$66,"Enigmatic Wisdom",Character!$J$62:$J$66)+Q675+U675),"No Twilight","Twilight")))</f>
        <v>No Twilight</v>
      </c>
      <c r="W675" s="483"/>
      <c r="X675" s="478"/>
      <c r="Y675" s="484"/>
      <c r="Z675" s="478"/>
      <c r="AA675" s="485" t="str">
        <f>IF(V675="Uncomprehended Twilight","Failed",IF(OR(ISBLANK(W675),ISBLANK(Y675))," ",IF(NOT(ISBLANK(X675)),"Failed",IF((W675+Character!$B$9+SUMIF(Character!$I$62:$I$66,"Enigmatic Wisdom",Character!$J$62:$J$66))&gt;=IF(Z675="Yes",0,(Y675+D670)),"Succeeded","Failed"))))</f>
        <v xml:space="preserve"> </v>
      </c>
      <c r="AB675" s="477" t="str">
        <f>IF(AA675=" "," ",IF(NOT(ISBLANK(X675)),VLOOKUP($D$3+X675,Calcs!$A$110:$C$122,3,TRUE),IF(AA675="Failed",VLOOKUP($D$3,Calcs!$A$110:$C$122,3,TRUE),VLOOKUP($D$3-(IF((Character!$B$9+W675)&gt;($D$3+Y675),(Character!$B$9+W675)-($D$3+Y675),0)),Calcs!$A$110:$C$122,3,TRUE))))</f>
        <v xml:space="preserve"> </v>
      </c>
      <c r="AC675" s="489"/>
      <c r="AD675" s="489" t="str">
        <f>IF(IF(AA675=" "," ",IF(NOT(ISBLANK(X675)),VLOOKUP($D$3+X675,Calcs!$A$110:$B$122,2,TRUE),IF(AA675="Failed",VLOOKUP($D$3,Calcs!$A$110:$B$122,2,TRUE),VLOOKUP($D$3-(IF((Character!$B$9+W675)&gt;($D$3+Y675),(Character!$B$9+W675)-($D$3+Y675),0)),Calcs!$A$110:$B$122,2,TRUE))))=Calcs!$B$120,IF(ISBLANK(AC675)," ",CONCATENATE(AC675+7," Years")),IF(AA675=" "," ",IF(NOT(ISBLANK(X675)),VLOOKUP($D$3+X675,Calcs!$A$110:$B$122,2,TRUE),IF(AA675="Failed",VLOOKUP($D$3,Calcs!$A$110:$B$122,2,TRUE),VLOOKUP($D$3-(IF((Character!$B$9+W675)&gt;($D$3+Y675),(Character!$B$9+W675)-($D$3+Y675),0)),Calcs!$A$110:$B$122,2,TRUE)))))</f>
        <v xml:space="preserve"> </v>
      </c>
      <c r="AE675" s="490"/>
      <c r="AF675" s="879"/>
      <c r="AG675" s="491"/>
    </row>
    <row r="676" spans="1:33" x14ac:dyDescent="0.2">
      <c r="A676" s="415">
        <f t="shared" si="20"/>
        <v>1379</v>
      </c>
      <c r="B676" s="419" t="str">
        <f t="shared" si="21"/>
        <v>Winter</v>
      </c>
      <c r="C676" s="455"/>
      <c r="D676" s="504"/>
      <c r="E676" s="455"/>
      <c r="F676" s="504"/>
      <c r="G676" s="455"/>
      <c r="H676" s="504"/>
      <c r="I676" s="455"/>
      <c r="J676" s="504"/>
      <c r="L676" s="472"/>
      <c r="M676" s="468"/>
      <c r="N676" s="468"/>
      <c r="O676" s="468"/>
      <c r="P676" s="468"/>
      <c r="Q676" s="473"/>
      <c r="R676" s="477" t="str">
        <f>IF(AND(COUNTIF('Start Character'!$I$63:$M$77,"Twilight Prone")=1,NOT(ISERROR(FIND("Magical Botch",M676)))),"Yes",IF(P676&gt;1,"Yes","No"))</f>
        <v>No</v>
      </c>
      <c r="S676" s="501"/>
      <c r="T676" s="478"/>
      <c r="U676" s="501"/>
      <c r="V676" s="479" t="str">
        <f>IF(R676="No","No Twilight",IF(T676="Yes","Uncomprehended Twilight",IF((Character!$B$14+IF(Character!$B$53="Yes",0,Character!$B$53)+IF(Magic!$C$5="Yes",2,0)+ROUNDUP((Magic!$B$30+IF(Magic!$C$30="Yes",3,0))/5,0)+S676)&gt;=($D$3+P676+SUMIF(Character!$I$62:$I$66,"Enigmatic Wisdom",Character!$J$62:$J$66)+Q676+U676),"No Twilight","Twilight")))</f>
        <v>No Twilight</v>
      </c>
      <c r="W676" s="483"/>
      <c r="X676" s="478"/>
      <c r="Y676" s="484"/>
      <c r="Z676" s="478"/>
      <c r="AA676" s="485" t="str">
        <f>IF(V676="Uncomprehended Twilight","Failed",IF(OR(ISBLANK(W676),ISBLANK(Y676))," ",IF(NOT(ISBLANK(X676)),"Failed",IF((W676+Character!$B$9+SUMIF(Character!$I$62:$I$66,"Enigmatic Wisdom",Character!$J$62:$J$66))&gt;=IF(Z676="Yes",0,(Y676+D671)),"Succeeded","Failed"))))</f>
        <v xml:space="preserve"> </v>
      </c>
      <c r="AB676" s="477" t="str">
        <f>IF(AA676=" "," ",IF(NOT(ISBLANK(X676)),VLOOKUP($D$3+X676,Calcs!$A$110:$C$122,3,TRUE),IF(AA676="Failed",VLOOKUP($D$3,Calcs!$A$110:$C$122,3,TRUE),VLOOKUP($D$3-(IF((Character!$B$9+W676)&gt;($D$3+Y676),(Character!$B$9+W676)-($D$3+Y676),0)),Calcs!$A$110:$C$122,3,TRUE))))</f>
        <v xml:space="preserve"> </v>
      </c>
      <c r="AC676" s="489"/>
      <c r="AD676" s="489" t="str">
        <f>IF(IF(AA676=" "," ",IF(NOT(ISBLANK(X676)),VLOOKUP($D$3+X676,Calcs!$A$110:$B$122,2,TRUE),IF(AA676="Failed",VLOOKUP($D$3,Calcs!$A$110:$B$122,2,TRUE),VLOOKUP($D$3-(IF((Character!$B$9+W676)&gt;($D$3+Y676),(Character!$B$9+W676)-($D$3+Y676),0)),Calcs!$A$110:$B$122,2,TRUE))))=Calcs!$B$120,IF(ISBLANK(AC676)," ",CONCATENATE(AC676+7," Years")),IF(AA676=" "," ",IF(NOT(ISBLANK(X676)),VLOOKUP($D$3+X676,Calcs!$A$110:$B$122,2,TRUE),IF(AA676="Failed",VLOOKUP($D$3,Calcs!$A$110:$B$122,2,TRUE),VLOOKUP($D$3-(IF((Character!$B$9+W676)&gt;($D$3+Y676),(Character!$B$9+W676)-($D$3+Y676),0)),Calcs!$A$110:$B$122,2,TRUE)))))</f>
        <v xml:space="preserve"> </v>
      </c>
      <c r="AE676" s="490"/>
      <c r="AF676" s="879"/>
      <c r="AG676" s="491"/>
    </row>
    <row r="677" spans="1:33" x14ac:dyDescent="0.2">
      <c r="A677" s="415">
        <f t="shared" si="20"/>
        <v>1379</v>
      </c>
      <c r="B677" s="419" t="str">
        <f t="shared" si="21"/>
        <v>Spring</v>
      </c>
      <c r="C677" s="455"/>
      <c r="D677" s="504"/>
      <c r="E677" s="455"/>
      <c r="F677" s="504"/>
      <c r="G677" s="455"/>
      <c r="H677" s="504"/>
      <c r="I677" s="455"/>
      <c r="J677" s="504"/>
      <c r="L677" s="472"/>
      <c r="M677" s="468"/>
      <c r="N677" s="468"/>
      <c r="O677" s="468"/>
      <c r="P677" s="468"/>
      <c r="Q677" s="473"/>
      <c r="R677" s="477" t="str">
        <f>IF(AND(COUNTIF('Start Character'!$I$63:$M$77,"Twilight Prone")=1,NOT(ISERROR(FIND("Magical Botch",M677)))),"Yes",IF(P677&gt;1,"Yes","No"))</f>
        <v>No</v>
      </c>
      <c r="S677" s="501"/>
      <c r="T677" s="478"/>
      <c r="U677" s="501"/>
      <c r="V677" s="479" t="str">
        <f>IF(R677="No","No Twilight",IF(T677="Yes","Uncomprehended Twilight",IF((Character!$B$14+IF(Character!$B$53="Yes",0,Character!$B$53)+IF(Magic!$C$5="Yes",2,0)+ROUNDUP((Magic!$B$30+IF(Magic!$C$30="Yes",3,0))/5,0)+S677)&gt;=($D$3+P677+SUMIF(Character!$I$62:$I$66,"Enigmatic Wisdom",Character!$J$62:$J$66)+Q677+U677),"No Twilight","Twilight")))</f>
        <v>No Twilight</v>
      </c>
      <c r="W677" s="483"/>
      <c r="X677" s="478"/>
      <c r="Y677" s="484"/>
      <c r="Z677" s="478"/>
      <c r="AA677" s="485" t="str">
        <f>IF(V677="Uncomprehended Twilight","Failed",IF(OR(ISBLANK(W677),ISBLANK(Y677))," ",IF(NOT(ISBLANK(X677)),"Failed",IF((W677+Character!$B$9+SUMIF(Character!$I$62:$I$66,"Enigmatic Wisdom",Character!$J$62:$J$66))&gt;=IF(Z677="Yes",0,(Y677+D672)),"Succeeded","Failed"))))</f>
        <v xml:space="preserve"> </v>
      </c>
      <c r="AB677" s="477" t="str">
        <f>IF(AA677=" "," ",IF(NOT(ISBLANK(X677)),VLOOKUP($D$3+X677,Calcs!$A$110:$C$122,3,TRUE),IF(AA677="Failed",VLOOKUP($D$3,Calcs!$A$110:$C$122,3,TRUE),VLOOKUP($D$3-(IF((Character!$B$9+W677)&gt;($D$3+Y677),(Character!$B$9+W677)-($D$3+Y677),0)),Calcs!$A$110:$C$122,3,TRUE))))</f>
        <v xml:space="preserve"> </v>
      </c>
      <c r="AC677" s="489"/>
      <c r="AD677" s="489" t="str">
        <f>IF(IF(AA677=" "," ",IF(NOT(ISBLANK(X677)),VLOOKUP($D$3+X677,Calcs!$A$110:$B$122,2,TRUE),IF(AA677="Failed",VLOOKUP($D$3,Calcs!$A$110:$B$122,2,TRUE),VLOOKUP($D$3-(IF((Character!$B$9+W677)&gt;($D$3+Y677),(Character!$B$9+W677)-($D$3+Y677),0)),Calcs!$A$110:$B$122,2,TRUE))))=Calcs!$B$120,IF(ISBLANK(AC677)," ",CONCATENATE(AC677+7," Years")),IF(AA677=" "," ",IF(NOT(ISBLANK(X677)),VLOOKUP($D$3+X677,Calcs!$A$110:$B$122,2,TRUE),IF(AA677="Failed",VLOOKUP($D$3,Calcs!$A$110:$B$122,2,TRUE),VLOOKUP($D$3-(IF((Character!$B$9+W677)&gt;($D$3+Y677),(Character!$B$9+W677)-($D$3+Y677),0)),Calcs!$A$110:$B$122,2,TRUE)))))</f>
        <v xml:space="preserve"> </v>
      </c>
      <c r="AE677" s="490"/>
      <c r="AF677" s="879"/>
      <c r="AG677" s="491"/>
    </row>
    <row r="678" spans="1:33" x14ac:dyDescent="0.2">
      <c r="A678" s="415">
        <f t="shared" si="20"/>
        <v>1379</v>
      </c>
      <c r="B678" s="419" t="str">
        <f t="shared" si="21"/>
        <v>Summer</v>
      </c>
      <c r="C678" s="455"/>
      <c r="D678" s="504"/>
      <c r="E678" s="455"/>
      <c r="F678" s="504"/>
      <c r="G678" s="455"/>
      <c r="H678" s="504"/>
      <c r="I678" s="455"/>
      <c r="J678" s="504"/>
      <c r="L678" s="472"/>
      <c r="M678" s="468"/>
      <c r="N678" s="468"/>
      <c r="O678" s="468"/>
      <c r="P678" s="468"/>
      <c r="Q678" s="473"/>
      <c r="R678" s="477" t="str">
        <f>IF(AND(COUNTIF('Start Character'!$I$63:$M$77,"Twilight Prone")=1,NOT(ISERROR(FIND("Magical Botch",M678)))),"Yes",IF(P678&gt;1,"Yes","No"))</f>
        <v>No</v>
      </c>
      <c r="S678" s="501"/>
      <c r="T678" s="478"/>
      <c r="U678" s="501"/>
      <c r="V678" s="479" t="str">
        <f>IF(R678="No","No Twilight",IF(T678="Yes","Uncomprehended Twilight",IF((Character!$B$14+IF(Character!$B$53="Yes",0,Character!$B$53)+IF(Magic!$C$5="Yes",2,0)+ROUNDUP((Magic!$B$30+IF(Magic!$C$30="Yes",3,0))/5,0)+S678)&gt;=($D$3+P678+SUMIF(Character!$I$62:$I$66,"Enigmatic Wisdom",Character!$J$62:$J$66)+Q678+U678),"No Twilight","Twilight")))</f>
        <v>No Twilight</v>
      </c>
      <c r="W678" s="483"/>
      <c r="X678" s="478"/>
      <c r="Y678" s="484"/>
      <c r="Z678" s="478"/>
      <c r="AA678" s="485" t="str">
        <f>IF(V678="Uncomprehended Twilight","Failed",IF(OR(ISBLANK(W678),ISBLANK(Y678))," ",IF(NOT(ISBLANK(X678)),"Failed",IF((W678+Character!$B$9+SUMIF(Character!$I$62:$I$66,"Enigmatic Wisdom",Character!$J$62:$J$66))&gt;=IF(Z678="Yes",0,(Y678+D673)),"Succeeded","Failed"))))</f>
        <v xml:space="preserve"> </v>
      </c>
      <c r="AB678" s="477" t="str">
        <f>IF(AA678=" "," ",IF(NOT(ISBLANK(X678)),VLOOKUP($D$3+X678,Calcs!$A$110:$C$122,3,TRUE),IF(AA678="Failed",VLOOKUP($D$3,Calcs!$A$110:$C$122,3,TRUE),VLOOKUP($D$3-(IF((Character!$B$9+W678)&gt;($D$3+Y678),(Character!$B$9+W678)-($D$3+Y678),0)),Calcs!$A$110:$C$122,3,TRUE))))</f>
        <v xml:space="preserve"> </v>
      </c>
      <c r="AC678" s="489"/>
      <c r="AD678" s="489" t="str">
        <f>IF(IF(AA678=" "," ",IF(NOT(ISBLANK(X678)),VLOOKUP($D$3+X678,Calcs!$A$110:$B$122,2,TRUE),IF(AA678="Failed",VLOOKUP($D$3,Calcs!$A$110:$B$122,2,TRUE),VLOOKUP($D$3-(IF((Character!$B$9+W678)&gt;($D$3+Y678),(Character!$B$9+W678)-($D$3+Y678),0)),Calcs!$A$110:$B$122,2,TRUE))))=Calcs!$B$120,IF(ISBLANK(AC678)," ",CONCATENATE(AC678+7," Years")),IF(AA678=" "," ",IF(NOT(ISBLANK(X678)),VLOOKUP($D$3+X678,Calcs!$A$110:$B$122,2,TRUE),IF(AA678="Failed",VLOOKUP($D$3,Calcs!$A$110:$B$122,2,TRUE),VLOOKUP($D$3-(IF((Character!$B$9+W678)&gt;($D$3+Y678),(Character!$B$9+W678)-($D$3+Y678),0)),Calcs!$A$110:$B$122,2,TRUE)))))</f>
        <v xml:space="preserve"> </v>
      </c>
      <c r="AE678" s="490"/>
      <c r="AF678" s="879"/>
      <c r="AG678" s="491"/>
    </row>
    <row r="679" spans="1:33" x14ac:dyDescent="0.2">
      <c r="A679" s="415">
        <f t="shared" si="20"/>
        <v>1379</v>
      </c>
      <c r="B679" s="419" t="str">
        <f t="shared" si="21"/>
        <v>Autumn</v>
      </c>
      <c r="C679" s="455"/>
      <c r="D679" s="504"/>
      <c r="E679" s="455"/>
      <c r="F679" s="504"/>
      <c r="G679" s="455"/>
      <c r="H679" s="504"/>
      <c r="I679" s="455"/>
      <c r="J679" s="504"/>
      <c r="L679" s="472"/>
      <c r="M679" s="468"/>
      <c r="N679" s="468"/>
      <c r="O679" s="468"/>
      <c r="P679" s="468"/>
      <c r="Q679" s="473"/>
      <c r="R679" s="477" t="str">
        <f>IF(AND(COUNTIF('Start Character'!$I$63:$M$77,"Twilight Prone")=1,NOT(ISERROR(FIND("Magical Botch",M679)))),"Yes",IF(P679&gt;1,"Yes","No"))</f>
        <v>No</v>
      </c>
      <c r="S679" s="501"/>
      <c r="T679" s="478"/>
      <c r="U679" s="501"/>
      <c r="V679" s="479" t="str">
        <f>IF(R679="No","No Twilight",IF(T679="Yes","Uncomprehended Twilight",IF((Character!$B$14+IF(Character!$B$53="Yes",0,Character!$B$53)+IF(Magic!$C$5="Yes",2,0)+ROUNDUP((Magic!$B$30+IF(Magic!$C$30="Yes",3,0))/5,0)+S679)&gt;=($D$3+P679+SUMIF(Character!$I$62:$I$66,"Enigmatic Wisdom",Character!$J$62:$J$66)+Q679+U679),"No Twilight","Twilight")))</f>
        <v>No Twilight</v>
      </c>
      <c r="W679" s="483"/>
      <c r="X679" s="478"/>
      <c r="Y679" s="484"/>
      <c r="Z679" s="478"/>
      <c r="AA679" s="485" t="str">
        <f>IF(V679="Uncomprehended Twilight","Failed",IF(OR(ISBLANK(W679),ISBLANK(Y679))," ",IF(NOT(ISBLANK(X679)),"Failed",IF((W679+Character!$B$9+SUMIF(Character!$I$62:$I$66,"Enigmatic Wisdom",Character!$J$62:$J$66))&gt;=IF(Z679="Yes",0,(Y679+D674)),"Succeeded","Failed"))))</f>
        <v xml:space="preserve"> </v>
      </c>
      <c r="AB679" s="477" t="str">
        <f>IF(AA679=" "," ",IF(NOT(ISBLANK(X679)),VLOOKUP($D$3+X679,Calcs!$A$110:$C$122,3,TRUE),IF(AA679="Failed",VLOOKUP($D$3,Calcs!$A$110:$C$122,3,TRUE),VLOOKUP($D$3-(IF((Character!$B$9+W679)&gt;($D$3+Y679),(Character!$B$9+W679)-($D$3+Y679),0)),Calcs!$A$110:$C$122,3,TRUE))))</f>
        <v xml:space="preserve"> </v>
      </c>
      <c r="AC679" s="489"/>
      <c r="AD679" s="489" t="str">
        <f>IF(IF(AA679=" "," ",IF(NOT(ISBLANK(X679)),VLOOKUP($D$3+X679,Calcs!$A$110:$B$122,2,TRUE),IF(AA679="Failed",VLOOKUP($D$3,Calcs!$A$110:$B$122,2,TRUE),VLOOKUP($D$3-(IF((Character!$B$9+W679)&gt;($D$3+Y679),(Character!$B$9+W679)-($D$3+Y679),0)),Calcs!$A$110:$B$122,2,TRUE))))=Calcs!$B$120,IF(ISBLANK(AC679)," ",CONCATENATE(AC679+7," Years")),IF(AA679=" "," ",IF(NOT(ISBLANK(X679)),VLOOKUP($D$3+X679,Calcs!$A$110:$B$122,2,TRUE),IF(AA679="Failed",VLOOKUP($D$3,Calcs!$A$110:$B$122,2,TRUE),VLOOKUP($D$3-(IF((Character!$B$9+W679)&gt;($D$3+Y679),(Character!$B$9+W679)-($D$3+Y679),0)),Calcs!$A$110:$B$122,2,TRUE)))))</f>
        <v xml:space="preserve"> </v>
      </c>
      <c r="AE679" s="490"/>
      <c r="AF679" s="879"/>
      <c r="AG679" s="491"/>
    </row>
    <row r="680" spans="1:33" x14ac:dyDescent="0.2">
      <c r="A680" s="415">
        <f t="shared" si="20"/>
        <v>1380</v>
      </c>
      <c r="B680" s="419" t="str">
        <f t="shared" si="21"/>
        <v>Winter</v>
      </c>
      <c r="C680" s="455"/>
      <c r="D680" s="504"/>
      <c r="E680" s="455"/>
      <c r="F680" s="504"/>
      <c r="G680" s="455"/>
      <c r="H680" s="504"/>
      <c r="I680" s="455"/>
      <c r="J680" s="504"/>
      <c r="L680" s="472"/>
      <c r="M680" s="468"/>
      <c r="N680" s="468"/>
      <c r="O680" s="468"/>
      <c r="P680" s="468"/>
      <c r="Q680" s="473"/>
      <c r="R680" s="477" t="str">
        <f>IF(AND(COUNTIF('Start Character'!$I$63:$M$77,"Twilight Prone")=1,NOT(ISERROR(FIND("Magical Botch",M680)))),"Yes",IF(P680&gt;1,"Yes","No"))</f>
        <v>No</v>
      </c>
      <c r="S680" s="501"/>
      <c r="T680" s="478"/>
      <c r="U680" s="501"/>
      <c r="V680" s="479" t="str">
        <f>IF(R680="No","No Twilight",IF(T680="Yes","Uncomprehended Twilight",IF((Character!$B$14+IF(Character!$B$53="Yes",0,Character!$B$53)+IF(Magic!$C$5="Yes",2,0)+ROUNDUP((Magic!$B$30+IF(Magic!$C$30="Yes",3,0))/5,0)+S680)&gt;=($D$3+P680+SUMIF(Character!$I$62:$I$66,"Enigmatic Wisdom",Character!$J$62:$J$66)+Q680+U680),"No Twilight","Twilight")))</f>
        <v>No Twilight</v>
      </c>
      <c r="W680" s="483"/>
      <c r="X680" s="478"/>
      <c r="Y680" s="484"/>
      <c r="Z680" s="478"/>
      <c r="AA680" s="485" t="str">
        <f>IF(V680="Uncomprehended Twilight","Failed",IF(OR(ISBLANK(W680),ISBLANK(Y680))," ",IF(NOT(ISBLANK(X680)),"Failed",IF((W680+Character!$B$9+SUMIF(Character!$I$62:$I$66,"Enigmatic Wisdom",Character!$J$62:$J$66))&gt;=IF(Z680="Yes",0,(Y680+D675)),"Succeeded","Failed"))))</f>
        <v xml:space="preserve"> </v>
      </c>
      <c r="AB680" s="477" t="str">
        <f>IF(AA680=" "," ",IF(NOT(ISBLANK(X680)),VLOOKUP($D$3+X680,Calcs!$A$110:$C$122,3,TRUE),IF(AA680="Failed",VLOOKUP($D$3,Calcs!$A$110:$C$122,3,TRUE),VLOOKUP($D$3-(IF((Character!$B$9+W680)&gt;($D$3+Y680),(Character!$B$9+W680)-($D$3+Y680),0)),Calcs!$A$110:$C$122,3,TRUE))))</f>
        <v xml:space="preserve"> </v>
      </c>
      <c r="AC680" s="489"/>
      <c r="AD680" s="489" t="str">
        <f>IF(IF(AA680=" "," ",IF(NOT(ISBLANK(X680)),VLOOKUP($D$3+X680,Calcs!$A$110:$B$122,2,TRUE),IF(AA680="Failed",VLOOKUP($D$3,Calcs!$A$110:$B$122,2,TRUE),VLOOKUP($D$3-(IF((Character!$B$9+W680)&gt;($D$3+Y680),(Character!$B$9+W680)-($D$3+Y680),0)),Calcs!$A$110:$B$122,2,TRUE))))=Calcs!$B$120,IF(ISBLANK(AC680)," ",CONCATENATE(AC680+7," Years")),IF(AA680=" "," ",IF(NOT(ISBLANK(X680)),VLOOKUP($D$3+X680,Calcs!$A$110:$B$122,2,TRUE),IF(AA680="Failed",VLOOKUP($D$3,Calcs!$A$110:$B$122,2,TRUE),VLOOKUP($D$3-(IF((Character!$B$9+W680)&gt;($D$3+Y680),(Character!$B$9+W680)-($D$3+Y680),0)),Calcs!$A$110:$B$122,2,TRUE)))))</f>
        <v xml:space="preserve"> </v>
      </c>
      <c r="AE680" s="490"/>
      <c r="AF680" s="879"/>
      <c r="AG680" s="491"/>
    </row>
    <row r="681" spans="1:33" x14ac:dyDescent="0.2">
      <c r="A681" s="415">
        <f t="shared" si="20"/>
        <v>1380</v>
      </c>
      <c r="B681" s="419" t="str">
        <f t="shared" si="21"/>
        <v>Spring</v>
      </c>
      <c r="C681" s="455"/>
      <c r="D681" s="504"/>
      <c r="E681" s="455"/>
      <c r="F681" s="504"/>
      <c r="G681" s="455"/>
      <c r="H681" s="504"/>
      <c r="I681" s="455"/>
      <c r="J681" s="504"/>
      <c r="L681" s="472"/>
      <c r="M681" s="468"/>
      <c r="N681" s="468"/>
      <c r="O681" s="468"/>
      <c r="P681" s="468"/>
      <c r="Q681" s="473"/>
      <c r="R681" s="477" t="str">
        <f>IF(AND(COUNTIF('Start Character'!$I$63:$M$77,"Twilight Prone")=1,NOT(ISERROR(FIND("Magical Botch",M681)))),"Yes",IF(P681&gt;1,"Yes","No"))</f>
        <v>No</v>
      </c>
      <c r="S681" s="501"/>
      <c r="T681" s="478"/>
      <c r="U681" s="501"/>
      <c r="V681" s="479" t="str">
        <f>IF(R681="No","No Twilight",IF(T681="Yes","Uncomprehended Twilight",IF((Character!$B$14+IF(Character!$B$53="Yes",0,Character!$B$53)+IF(Magic!$C$5="Yes",2,0)+ROUNDUP((Magic!$B$30+IF(Magic!$C$30="Yes",3,0))/5,0)+S681)&gt;=($D$3+P681+SUMIF(Character!$I$62:$I$66,"Enigmatic Wisdom",Character!$J$62:$J$66)+Q681+U681),"No Twilight","Twilight")))</f>
        <v>No Twilight</v>
      </c>
      <c r="W681" s="483"/>
      <c r="X681" s="478"/>
      <c r="Y681" s="484"/>
      <c r="Z681" s="478"/>
      <c r="AA681" s="485" t="str">
        <f>IF(V681="Uncomprehended Twilight","Failed",IF(OR(ISBLANK(W681),ISBLANK(Y681))," ",IF(NOT(ISBLANK(X681)),"Failed",IF((W681+Character!$B$9+SUMIF(Character!$I$62:$I$66,"Enigmatic Wisdom",Character!$J$62:$J$66))&gt;=IF(Z681="Yes",0,(Y681+D676)),"Succeeded","Failed"))))</f>
        <v xml:space="preserve"> </v>
      </c>
      <c r="AB681" s="477" t="str">
        <f>IF(AA681=" "," ",IF(NOT(ISBLANK(X681)),VLOOKUP($D$3+X681,Calcs!$A$110:$C$122,3,TRUE),IF(AA681="Failed",VLOOKUP($D$3,Calcs!$A$110:$C$122,3,TRUE),VLOOKUP($D$3-(IF((Character!$B$9+W681)&gt;($D$3+Y681),(Character!$B$9+W681)-($D$3+Y681),0)),Calcs!$A$110:$C$122,3,TRUE))))</f>
        <v xml:space="preserve"> </v>
      </c>
      <c r="AC681" s="489"/>
      <c r="AD681" s="489" t="str">
        <f>IF(IF(AA681=" "," ",IF(NOT(ISBLANK(X681)),VLOOKUP($D$3+X681,Calcs!$A$110:$B$122,2,TRUE),IF(AA681="Failed",VLOOKUP($D$3,Calcs!$A$110:$B$122,2,TRUE),VLOOKUP($D$3-(IF((Character!$B$9+W681)&gt;($D$3+Y681),(Character!$B$9+W681)-($D$3+Y681),0)),Calcs!$A$110:$B$122,2,TRUE))))=Calcs!$B$120,IF(ISBLANK(AC681)," ",CONCATENATE(AC681+7," Years")),IF(AA681=" "," ",IF(NOT(ISBLANK(X681)),VLOOKUP($D$3+X681,Calcs!$A$110:$B$122,2,TRUE),IF(AA681="Failed",VLOOKUP($D$3,Calcs!$A$110:$B$122,2,TRUE),VLOOKUP($D$3-(IF((Character!$B$9+W681)&gt;($D$3+Y681),(Character!$B$9+W681)-($D$3+Y681),0)),Calcs!$A$110:$B$122,2,TRUE)))))</f>
        <v xml:space="preserve"> </v>
      </c>
      <c r="AE681" s="490"/>
      <c r="AF681" s="879"/>
      <c r="AG681" s="491"/>
    </row>
    <row r="682" spans="1:33" x14ac:dyDescent="0.2">
      <c r="A682" s="415">
        <f t="shared" si="20"/>
        <v>1380</v>
      </c>
      <c r="B682" s="419" t="str">
        <f t="shared" si="21"/>
        <v>Summer</v>
      </c>
      <c r="C682" s="455"/>
      <c r="D682" s="504"/>
      <c r="E682" s="455"/>
      <c r="F682" s="504"/>
      <c r="G682" s="455"/>
      <c r="H682" s="504"/>
      <c r="I682" s="455"/>
      <c r="J682" s="504"/>
      <c r="L682" s="472"/>
      <c r="M682" s="468"/>
      <c r="N682" s="468"/>
      <c r="O682" s="468"/>
      <c r="P682" s="468"/>
      <c r="Q682" s="473"/>
      <c r="R682" s="477" t="str">
        <f>IF(AND(COUNTIF('Start Character'!$I$63:$M$77,"Twilight Prone")=1,NOT(ISERROR(FIND("Magical Botch",M682)))),"Yes",IF(P682&gt;1,"Yes","No"))</f>
        <v>No</v>
      </c>
      <c r="S682" s="501"/>
      <c r="T682" s="478"/>
      <c r="U682" s="501"/>
      <c r="V682" s="479" t="str">
        <f>IF(R682="No","No Twilight",IF(T682="Yes","Uncomprehended Twilight",IF((Character!$B$14+IF(Character!$B$53="Yes",0,Character!$B$53)+IF(Magic!$C$5="Yes",2,0)+ROUNDUP((Magic!$B$30+IF(Magic!$C$30="Yes",3,0))/5,0)+S682)&gt;=($D$3+P682+SUMIF(Character!$I$62:$I$66,"Enigmatic Wisdom",Character!$J$62:$J$66)+Q682+U682),"No Twilight","Twilight")))</f>
        <v>No Twilight</v>
      </c>
      <c r="W682" s="483"/>
      <c r="X682" s="478"/>
      <c r="Y682" s="484"/>
      <c r="Z682" s="478"/>
      <c r="AA682" s="485" t="str">
        <f>IF(V682="Uncomprehended Twilight","Failed",IF(OR(ISBLANK(W682),ISBLANK(Y682))," ",IF(NOT(ISBLANK(X682)),"Failed",IF((W682+Character!$B$9+SUMIF(Character!$I$62:$I$66,"Enigmatic Wisdom",Character!$J$62:$J$66))&gt;=IF(Z682="Yes",0,(Y682+D677)),"Succeeded","Failed"))))</f>
        <v xml:space="preserve"> </v>
      </c>
      <c r="AB682" s="477" t="str">
        <f>IF(AA682=" "," ",IF(NOT(ISBLANK(X682)),VLOOKUP($D$3+X682,Calcs!$A$110:$C$122,3,TRUE),IF(AA682="Failed",VLOOKUP($D$3,Calcs!$A$110:$C$122,3,TRUE),VLOOKUP($D$3-(IF((Character!$B$9+W682)&gt;($D$3+Y682),(Character!$B$9+W682)-($D$3+Y682),0)),Calcs!$A$110:$C$122,3,TRUE))))</f>
        <v xml:space="preserve"> </v>
      </c>
      <c r="AC682" s="489"/>
      <c r="AD682" s="489" t="str">
        <f>IF(IF(AA682=" "," ",IF(NOT(ISBLANK(X682)),VLOOKUP($D$3+X682,Calcs!$A$110:$B$122,2,TRUE),IF(AA682="Failed",VLOOKUP($D$3,Calcs!$A$110:$B$122,2,TRUE),VLOOKUP($D$3-(IF((Character!$B$9+W682)&gt;($D$3+Y682),(Character!$B$9+W682)-($D$3+Y682),0)),Calcs!$A$110:$B$122,2,TRUE))))=Calcs!$B$120,IF(ISBLANK(AC682)," ",CONCATENATE(AC682+7," Years")),IF(AA682=" "," ",IF(NOT(ISBLANK(X682)),VLOOKUP($D$3+X682,Calcs!$A$110:$B$122,2,TRUE),IF(AA682="Failed",VLOOKUP($D$3,Calcs!$A$110:$B$122,2,TRUE),VLOOKUP($D$3-(IF((Character!$B$9+W682)&gt;($D$3+Y682),(Character!$B$9+W682)-($D$3+Y682),0)),Calcs!$A$110:$B$122,2,TRUE)))))</f>
        <v xml:space="preserve"> </v>
      </c>
      <c r="AE682" s="490"/>
      <c r="AF682" s="879"/>
      <c r="AG682" s="491"/>
    </row>
    <row r="683" spans="1:33" x14ac:dyDescent="0.2">
      <c r="A683" s="415">
        <f t="shared" si="20"/>
        <v>1380</v>
      </c>
      <c r="B683" s="419" t="str">
        <f t="shared" si="21"/>
        <v>Autumn</v>
      </c>
      <c r="C683" s="455"/>
      <c r="D683" s="504"/>
      <c r="E683" s="455"/>
      <c r="F683" s="504"/>
      <c r="G683" s="455"/>
      <c r="H683" s="504"/>
      <c r="I683" s="455"/>
      <c r="J683" s="504"/>
      <c r="L683" s="472"/>
      <c r="M683" s="468"/>
      <c r="N683" s="468"/>
      <c r="O683" s="468"/>
      <c r="P683" s="468"/>
      <c r="Q683" s="473"/>
      <c r="R683" s="477" t="str">
        <f>IF(AND(COUNTIF('Start Character'!$I$63:$M$77,"Twilight Prone")=1,NOT(ISERROR(FIND("Magical Botch",M683)))),"Yes",IF(P683&gt;1,"Yes","No"))</f>
        <v>No</v>
      </c>
      <c r="S683" s="501"/>
      <c r="T683" s="478"/>
      <c r="U683" s="501"/>
      <c r="V683" s="479" t="str">
        <f>IF(R683="No","No Twilight",IF(T683="Yes","Uncomprehended Twilight",IF((Character!$B$14+IF(Character!$B$53="Yes",0,Character!$B$53)+IF(Magic!$C$5="Yes",2,0)+ROUNDUP((Magic!$B$30+IF(Magic!$C$30="Yes",3,0))/5,0)+S683)&gt;=($D$3+P683+SUMIF(Character!$I$62:$I$66,"Enigmatic Wisdom",Character!$J$62:$J$66)+Q683+U683),"No Twilight","Twilight")))</f>
        <v>No Twilight</v>
      </c>
      <c r="W683" s="483"/>
      <c r="X683" s="478"/>
      <c r="Y683" s="484"/>
      <c r="Z683" s="478"/>
      <c r="AA683" s="485" t="str">
        <f>IF(V683="Uncomprehended Twilight","Failed",IF(OR(ISBLANK(W683),ISBLANK(Y683))," ",IF(NOT(ISBLANK(X683)),"Failed",IF((W683+Character!$B$9+SUMIF(Character!$I$62:$I$66,"Enigmatic Wisdom",Character!$J$62:$J$66))&gt;=IF(Z683="Yes",0,(Y683+D678)),"Succeeded","Failed"))))</f>
        <v xml:space="preserve"> </v>
      </c>
      <c r="AB683" s="477" t="str">
        <f>IF(AA683=" "," ",IF(NOT(ISBLANK(X683)),VLOOKUP($D$3+X683,Calcs!$A$110:$C$122,3,TRUE),IF(AA683="Failed",VLOOKUP($D$3,Calcs!$A$110:$C$122,3,TRUE),VLOOKUP($D$3-(IF((Character!$B$9+W683)&gt;($D$3+Y683),(Character!$B$9+W683)-($D$3+Y683),0)),Calcs!$A$110:$C$122,3,TRUE))))</f>
        <v xml:space="preserve"> </v>
      </c>
      <c r="AC683" s="489"/>
      <c r="AD683" s="489" t="str">
        <f>IF(IF(AA683=" "," ",IF(NOT(ISBLANK(X683)),VLOOKUP($D$3+X683,Calcs!$A$110:$B$122,2,TRUE),IF(AA683="Failed",VLOOKUP($D$3,Calcs!$A$110:$B$122,2,TRUE),VLOOKUP($D$3-(IF((Character!$B$9+W683)&gt;($D$3+Y683),(Character!$B$9+W683)-($D$3+Y683),0)),Calcs!$A$110:$B$122,2,TRUE))))=Calcs!$B$120,IF(ISBLANK(AC683)," ",CONCATENATE(AC683+7," Years")),IF(AA683=" "," ",IF(NOT(ISBLANK(X683)),VLOOKUP($D$3+X683,Calcs!$A$110:$B$122,2,TRUE),IF(AA683="Failed",VLOOKUP($D$3,Calcs!$A$110:$B$122,2,TRUE),VLOOKUP($D$3-(IF((Character!$B$9+W683)&gt;($D$3+Y683),(Character!$B$9+W683)-($D$3+Y683),0)),Calcs!$A$110:$B$122,2,TRUE)))))</f>
        <v xml:space="preserve"> </v>
      </c>
      <c r="AE683" s="490"/>
      <c r="AF683" s="879"/>
      <c r="AG683" s="491"/>
    </row>
    <row r="684" spans="1:33" x14ac:dyDescent="0.2">
      <c r="A684" s="415">
        <f t="shared" si="20"/>
        <v>1381</v>
      </c>
      <c r="B684" s="419" t="str">
        <f t="shared" si="21"/>
        <v>Winter</v>
      </c>
      <c r="C684" s="455"/>
      <c r="D684" s="504"/>
      <c r="E684" s="455"/>
      <c r="F684" s="504"/>
      <c r="G684" s="455"/>
      <c r="H684" s="504"/>
      <c r="I684" s="455"/>
      <c r="J684" s="504"/>
      <c r="L684" s="472"/>
      <c r="M684" s="468"/>
      <c r="N684" s="468"/>
      <c r="O684" s="468"/>
      <c r="P684" s="468"/>
      <c r="Q684" s="473"/>
      <c r="R684" s="477" t="str">
        <f>IF(AND(COUNTIF('Start Character'!$I$63:$M$77,"Twilight Prone")=1,NOT(ISERROR(FIND("Magical Botch",M684)))),"Yes",IF(P684&gt;1,"Yes","No"))</f>
        <v>No</v>
      </c>
      <c r="S684" s="501"/>
      <c r="T684" s="478"/>
      <c r="U684" s="501"/>
      <c r="V684" s="479" t="str">
        <f>IF(R684="No","No Twilight",IF(T684="Yes","Uncomprehended Twilight",IF((Character!$B$14+IF(Character!$B$53="Yes",0,Character!$B$53)+IF(Magic!$C$5="Yes",2,0)+ROUNDUP((Magic!$B$30+IF(Magic!$C$30="Yes",3,0))/5,0)+S684)&gt;=($D$3+P684+SUMIF(Character!$I$62:$I$66,"Enigmatic Wisdom",Character!$J$62:$J$66)+Q684+U684),"No Twilight","Twilight")))</f>
        <v>No Twilight</v>
      </c>
      <c r="W684" s="483"/>
      <c r="X684" s="478"/>
      <c r="Y684" s="484"/>
      <c r="Z684" s="478"/>
      <c r="AA684" s="485" t="str">
        <f>IF(V684="Uncomprehended Twilight","Failed",IF(OR(ISBLANK(W684),ISBLANK(Y684))," ",IF(NOT(ISBLANK(X684)),"Failed",IF((W684+Character!$B$9+SUMIF(Character!$I$62:$I$66,"Enigmatic Wisdom",Character!$J$62:$J$66))&gt;=IF(Z684="Yes",0,(Y684+D679)),"Succeeded","Failed"))))</f>
        <v xml:space="preserve"> </v>
      </c>
      <c r="AB684" s="477" t="str">
        <f>IF(AA684=" "," ",IF(NOT(ISBLANK(X684)),VLOOKUP($D$3+X684,Calcs!$A$110:$C$122,3,TRUE),IF(AA684="Failed",VLOOKUP($D$3,Calcs!$A$110:$C$122,3,TRUE),VLOOKUP($D$3-(IF((Character!$B$9+W684)&gt;($D$3+Y684),(Character!$B$9+W684)-($D$3+Y684),0)),Calcs!$A$110:$C$122,3,TRUE))))</f>
        <v xml:space="preserve"> </v>
      </c>
      <c r="AC684" s="489"/>
      <c r="AD684" s="489" t="str">
        <f>IF(IF(AA684=" "," ",IF(NOT(ISBLANK(X684)),VLOOKUP($D$3+X684,Calcs!$A$110:$B$122,2,TRUE),IF(AA684="Failed",VLOOKUP($D$3,Calcs!$A$110:$B$122,2,TRUE),VLOOKUP($D$3-(IF((Character!$B$9+W684)&gt;($D$3+Y684),(Character!$B$9+W684)-($D$3+Y684),0)),Calcs!$A$110:$B$122,2,TRUE))))=Calcs!$B$120,IF(ISBLANK(AC684)," ",CONCATENATE(AC684+7," Years")),IF(AA684=" "," ",IF(NOT(ISBLANK(X684)),VLOOKUP($D$3+X684,Calcs!$A$110:$B$122,2,TRUE),IF(AA684="Failed",VLOOKUP($D$3,Calcs!$A$110:$B$122,2,TRUE),VLOOKUP($D$3-(IF((Character!$B$9+W684)&gt;($D$3+Y684),(Character!$B$9+W684)-($D$3+Y684),0)),Calcs!$A$110:$B$122,2,TRUE)))))</f>
        <v xml:space="preserve"> </v>
      </c>
      <c r="AE684" s="490"/>
      <c r="AF684" s="879"/>
      <c r="AG684" s="491"/>
    </row>
    <row r="685" spans="1:33" x14ac:dyDescent="0.2">
      <c r="A685" s="415">
        <f t="shared" si="20"/>
        <v>1381</v>
      </c>
      <c r="B685" s="419" t="str">
        <f t="shared" si="21"/>
        <v>Spring</v>
      </c>
      <c r="C685" s="455"/>
      <c r="D685" s="504"/>
      <c r="E685" s="455"/>
      <c r="F685" s="504"/>
      <c r="G685" s="455"/>
      <c r="H685" s="504"/>
      <c r="I685" s="455"/>
      <c r="J685" s="504"/>
      <c r="L685" s="472"/>
      <c r="M685" s="468"/>
      <c r="N685" s="468"/>
      <c r="O685" s="468"/>
      <c r="P685" s="468"/>
      <c r="Q685" s="473"/>
      <c r="R685" s="477" t="str">
        <f>IF(AND(COUNTIF('Start Character'!$I$63:$M$77,"Twilight Prone")=1,NOT(ISERROR(FIND("Magical Botch",M685)))),"Yes",IF(P685&gt;1,"Yes","No"))</f>
        <v>No</v>
      </c>
      <c r="S685" s="501"/>
      <c r="T685" s="478"/>
      <c r="U685" s="501"/>
      <c r="V685" s="479" t="str">
        <f>IF(R685="No","No Twilight",IF(T685="Yes","Uncomprehended Twilight",IF((Character!$B$14+IF(Character!$B$53="Yes",0,Character!$B$53)+IF(Magic!$C$5="Yes",2,0)+ROUNDUP((Magic!$B$30+IF(Magic!$C$30="Yes",3,0))/5,0)+S685)&gt;=($D$3+P685+SUMIF(Character!$I$62:$I$66,"Enigmatic Wisdom",Character!$J$62:$J$66)+Q685+U685),"No Twilight","Twilight")))</f>
        <v>No Twilight</v>
      </c>
      <c r="W685" s="483"/>
      <c r="X685" s="478"/>
      <c r="Y685" s="484"/>
      <c r="Z685" s="478"/>
      <c r="AA685" s="485" t="str">
        <f>IF(V685="Uncomprehended Twilight","Failed",IF(OR(ISBLANK(W685),ISBLANK(Y685))," ",IF(NOT(ISBLANK(X685)),"Failed",IF((W685+Character!$B$9+SUMIF(Character!$I$62:$I$66,"Enigmatic Wisdom",Character!$J$62:$J$66))&gt;=IF(Z685="Yes",0,(Y685+D680)),"Succeeded","Failed"))))</f>
        <v xml:space="preserve"> </v>
      </c>
      <c r="AB685" s="477" t="str">
        <f>IF(AA685=" "," ",IF(NOT(ISBLANK(X685)),VLOOKUP($D$3+X685,Calcs!$A$110:$C$122,3,TRUE),IF(AA685="Failed",VLOOKUP($D$3,Calcs!$A$110:$C$122,3,TRUE),VLOOKUP($D$3-(IF((Character!$B$9+W685)&gt;($D$3+Y685),(Character!$B$9+W685)-($D$3+Y685),0)),Calcs!$A$110:$C$122,3,TRUE))))</f>
        <v xml:space="preserve"> </v>
      </c>
      <c r="AC685" s="489"/>
      <c r="AD685" s="489" t="str">
        <f>IF(IF(AA685=" "," ",IF(NOT(ISBLANK(X685)),VLOOKUP($D$3+X685,Calcs!$A$110:$B$122,2,TRUE),IF(AA685="Failed",VLOOKUP($D$3,Calcs!$A$110:$B$122,2,TRUE),VLOOKUP($D$3-(IF((Character!$B$9+W685)&gt;($D$3+Y685),(Character!$B$9+W685)-($D$3+Y685),0)),Calcs!$A$110:$B$122,2,TRUE))))=Calcs!$B$120,IF(ISBLANK(AC685)," ",CONCATENATE(AC685+7," Years")),IF(AA685=" "," ",IF(NOT(ISBLANK(X685)),VLOOKUP($D$3+X685,Calcs!$A$110:$B$122,2,TRUE),IF(AA685="Failed",VLOOKUP($D$3,Calcs!$A$110:$B$122,2,TRUE),VLOOKUP($D$3-(IF((Character!$B$9+W685)&gt;($D$3+Y685),(Character!$B$9+W685)-($D$3+Y685),0)),Calcs!$A$110:$B$122,2,TRUE)))))</f>
        <v xml:space="preserve"> </v>
      </c>
      <c r="AE685" s="490"/>
      <c r="AF685" s="879"/>
      <c r="AG685" s="491"/>
    </row>
    <row r="686" spans="1:33" x14ac:dyDescent="0.2">
      <c r="A686" s="415">
        <f t="shared" si="20"/>
        <v>1381</v>
      </c>
      <c r="B686" s="419" t="str">
        <f t="shared" si="21"/>
        <v>Summer</v>
      </c>
      <c r="C686" s="455"/>
      <c r="D686" s="504"/>
      <c r="E686" s="455"/>
      <c r="F686" s="504"/>
      <c r="G686" s="455"/>
      <c r="H686" s="504"/>
      <c r="I686" s="455"/>
      <c r="J686" s="504"/>
      <c r="L686" s="472"/>
      <c r="M686" s="468"/>
      <c r="N686" s="468"/>
      <c r="O686" s="468"/>
      <c r="P686" s="468"/>
      <c r="Q686" s="473"/>
      <c r="R686" s="477" t="str">
        <f>IF(AND(COUNTIF('Start Character'!$I$63:$M$77,"Twilight Prone")=1,NOT(ISERROR(FIND("Magical Botch",M686)))),"Yes",IF(P686&gt;1,"Yes","No"))</f>
        <v>No</v>
      </c>
      <c r="S686" s="501"/>
      <c r="T686" s="478"/>
      <c r="U686" s="501"/>
      <c r="V686" s="479" t="str">
        <f>IF(R686="No","No Twilight",IF(T686="Yes","Uncomprehended Twilight",IF((Character!$B$14+IF(Character!$B$53="Yes",0,Character!$B$53)+IF(Magic!$C$5="Yes",2,0)+ROUNDUP((Magic!$B$30+IF(Magic!$C$30="Yes",3,0))/5,0)+S686)&gt;=($D$3+P686+SUMIF(Character!$I$62:$I$66,"Enigmatic Wisdom",Character!$J$62:$J$66)+Q686+U686),"No Twilight","Twilight")))</f>
        <v>No Twilight</v>
      </c>
      <c r="W686" s="483"/>
      <c r="X686" s="478"/>
      <c r="Y686" s="484"/>
      <c r="Z686" s="478"/>
      <c r="AA686" s="485" t="str">
        <f>IF(V686="Uncomprehended Twilight","Failed",IF(OR(ISBLANK(W686),ISBLANK(Y686))," ",IF(NOT(ISBLANK(X686)),"Failed",IF((W686+Character!$B$9+SUMIF(Character!$I$62:$I$66,"Enigmatic Wisdom",Character!$J$62:$J$66))&gt;=IF(Z686="Yes",0,(Y686+D681)),"Succeeded","Failed"))))</f>
        <v xml:space="preserve"> </v>
      </c>
      <c r="AB686" s="477" t="str">
        <f>IF(AA686=" "," ",IF(NOT(ISBLANK(X686)),VLOOKUP($D$3+X686,Calcs!$A$110:$C$122,3,TRUE),IF(AA686="Failed",VLOOKUP($D$3,Calcs!$A$110:$C$122,3,TRUE),VLOOKUP($D$3-(IF((Character!$B$9+W686)&gt;($D$3+Y686),(Character!$B$9+W686)-($D$3+Y686),0)),Calcs!$A$110:$C$122,3,TRUE))))</f>
        <v xml:space="preserve"> </v>
      </c>
      <c r="AC686" s="489"/>
      <c r="AD686" s="489" t="str">
        <f>IF(IF(AA686=" "," ",IF(NOT(ISBLANK(X686)),VLOOKUP($D$3+X686,Calcs!$A$110:$B$122,2,TRUE),IF(AA686="Failed",VLOOKUP($D$3,Calcs!$A$110:$B$122,2,TRUE),VLOOKUP($D$3-(IF((Character!$B$9+W686)&gt;($D$3+Y686),(Character!$B$9+W686)-($D$3+Y686),0)),Calcs!$A$110:$B$122,2,TRUE))))=Calcs!$B$120,IF(ISBLANK(AC686)," ",CONCATENATE(AC686+7," Years")),IF(AA686=" "," ",IF(NOT(ISBLANK(X686)),VLOOKUP($D$3+X686,Calcs!$A$110:$B$122,2,TRUE),IF(AA686="Failed",VLOOKUP($D$3,Calcs!$A$110:$B$122,2,TRUE),VLOOKUP($D$3-(IF((Character!$B$9+W686)&gt;($D$3+Y686),(Character!$B$9+W686)-($D$3+Y686),0)),Calcs!$A$110:$B$122,2,TRUE)))))</f>
        <v xml:space="preserve"> </v>
      </c>
      <c r="AE686" s="490"/>
      <c r="AF686" s="879"/>
      <c r="AG686" s="491"/>
    </row>
    <row r="687" spans="1:33" x14ac:dyDescent="0.2">
      <c r="A687" s="415">
        <f t="shared" si="20"/>
        <v>1381</v>
      </c>
      <c r="B687" s="419" t="str">
        <f t="shared" si="21"/>
        <v>Autumn</v>
      </c>
      <c r="C687" s="455"/>
      <c r="D687" s="504"/>
      <c r="E687" s="455"/>
      <c r="F687" s="504"/>
      <c r="G687" s="455"/>
      <c r="H687" s="504"/>
      <c r="I687" s="455"/>
      <c r="J687" s="504"/>
      <c r="L687" s="472"/>
      <c r="M687" s="468"/>
      <c r="N687" s="468"/>
      <c r="O687" s="468"/>
      <c r="P687" s="468"/>
      <c r="Q687" s="473"/>
      <c r="R687" s="477" t="str">
        <f>IF(AND(COUNTIF('Start Character'!$I$63:$M$77,"Twilight Prone")=1,NOT(ISERROR(FIND("Magical Botch",M687)))),"Yes",IF(P687&gt;1,"Yes","No"))</f>
        <v>No</v>
      </c>
      <c r="S687" s="501"/>
      <c r="T687" s="478"/>
      <c r="U687" s="501"/>
      <c r="V687" s="479" t="str">
        <f>IF(R687="No","No Twilight",IF(T687="Yes","Uncomprehended Twilight",IF((Character!$B$14+IF(Character!$B$53="Yes",0,Character!$B$53)+IF(Magic!$C$5="Yes",2,0)+ROUNDUP((Magic!$B$30+IF(Magic!$C$30="Yes",3,0))/5,0)+S687)&gt;=($D$3+P687+SUMIF(Character!$I$62:$I$66,"Enigmatic Wisdom",Character!$J$62:$J$66)+Q687+U687),"No Twilight","Twilight")))</f>
        <v>No Twilight</v>
      </c>
      <c r="W687" s="483"/>
      <c r="X687" s="478"/>
      <c r="Y687" s="484"/>
      <c r="Z687" s="478"/>
      <c r="AA687" s="485" t="str">
        <f>IF(V687="Uncomprehended Twilight","Failed",IF(OR(ISBLANK(W687),ISBLANK(Y687))," ",IF(NOT(ISBLANK(X687)),"Failed",IF((W687+Character!$B$9+SUMIF(Character!$I$62:$I$66,"Enigmatic Wisdom",Character!$J$62:$J$66))&gt;=IF(Z687="Yes",0,(Y687+D682)),"Succeeded","Failed"))))</f>
        <v xml:space="preserve"> </v>
      </c>
      <c r="AB687" s="477" t="str">
        <f>IF(AA687=" "," ",IF(NOT(ISBLANK(X687)),VLOOKUP($D$3+X687,Calcs!$A$110:$C$122,3,TRUE),IF(AA687="Failed",VLOOKUP($D$3,Calcs!$A$110:$C$122,3,TRUE),VLOOKUP($D$3-(IF((Character!$B$9+W687)&gt;($D$3+Y687),(Character!$B$9+W687)-($D$3+Y687),0)),Calcs!$A$110:$C$122,3,TRUE))))</f>
        <v xml:space="preserve"> </v>
      </c>
      <c r="AC687" s="489"/>
      <c r="AD687" s="489" t="str">
        <f>IF(IF(AA687=" "," ",IF(NOT(ISBLANK(X687)),VLOOKUP($D$3+X687,Calcs!$A$110:$B$122,2,TRUE),IF(AA687="Failed",VLOOKUP($D$3,Calcs!$A$110:$B$122,2,TRUE),VLOOKUP($D$3-(IF((Character!$B$9+W687)&gt;($D$3+Y687),(Character!$B$9+W687)-($D$3+Y687),0)),Calcs!$A$110:$B$122,2,TRUE))))=Calcs!$B$120,IF(ISBLANK(AC687)," ",CONCATENATE(AC687+7," Years")),IF(AA687=" "," ",IF(NOT(ISBLANK(X687)),VLOOKUP($D$3+X687,Calcs!$A$110:$B$122,2,TRUE),IF(AA687="Failed",VLOOKUP($D$3,Calcs!$A$110:$B$122,2,TRUE),VLOOKUP($D$3-(IF((Character!$B$9+W687)&gt;($D$3+Y687),(Character!$B$9+W687)-($D$3+Y687),0)),Calcs!$A$110:$B$122,2,TRUE)))))</f>
        <v xml:space="preserve"> </v>
      </c>
      <c r="AE687" s="490"/>
      <c r="AF687" s="879"/>
      <c r="AG687" s="491"/>
    </row>
    <row r="688" spans="1:33" x14ac:dyDescent="0.2">
      <c r="A688" s="415">
        <f t="shared" si="20"/>
        <v>1382</v>
      </c>
      <c r="B688" s="419" t="str">
        <f t="shared" si="21"/>
        <v>Winter</v>
      </c>
      <c r="C688" s="455"/>
      <c r="D688" s="504"/>
      <c r="E688" s="455"/>
      <c r="F688" s="504"/>
      <c r="G688" s="455"/>
      <c r="H688" s="504"/>
      <c r="I688" s="455"/>
      <c r="J688" s="504"/>
      <c r="L688" s="472"/>
      <c r="M688" s="468"/>
      <c r="N688" s="468"/>
      <c r="O688" s="468"/>
      <c r="P688" s="468"/>
      <c r="Q688" s="473"/>
      <c r="R688" s="477" t="str">
        <f>IF(AND(COUNTIF('Start Character'!$I$63:$M$77,"Twilight Prone")=1,NOT(ISERROR(FIND("Magical Botch",M688)))),"Yes",IF(P688&gt;1,"Yes","No"))</f>
        <v>No</v>
      </c>
      <c r="S688" s="501"/>
      <c r="T688" s="478"/>
      <c r="U688" s="501"/>
      <c r="V688" s="479" t="str">
        <f>IF(R688="No","No Twilight",IF(T688="Yes","Uncomprehended Twilight",IF((Character!$B$14+IF(Character!$B$53="Yes",0,Character!$B$53)+IF(Magic!$C$5="Yes",2,0)+ROUNDUP((Magic!$B$30+IF(Magic!$C$30="Yes",3,0))/5,0)+S688)&gt;=($D$3+P688+SUMIF(Character!$I$62:$I$66,"Enigmatic Wisdom",Character!$J$62:$J$66)+Q688+U688),"No Twilight","Twilight")))</f>
        <v>No Twilight</v>
      </c>
      <c r="W688" s="483"/>
      <c r="X688" s="478"/>
      <c r="Y688" s="484"/>
      <c r="Z688" s="478"/>
      <c r="AA688" s="485" t="str">
        <f>IF(V688="Uncomprehended Twilight","Failed",IF(OR(ISBLANK(W688),ISBLANK(Y688))," ",IF(NOT(ISBLANK(X688)),"Failed",IF((W688+Character!$B$9+SUMIF(Character!$I$62:$I$66,"Enigmatic Wisdom",Character!$J$62:$J$66))&gt;=IF(Z688="Yes",0,(Y688+D683)),"Succeeded","Failed"))))</f>
        <v xml:space="preserve"> </v>
      </c>
      <c r="AB688" s="477" t="str">
        <f>IF(AA688=" "," ",IF(NOT(ISBLANK(X688)),VLOOKUP($D$3+X688,Calcs!$A$110:$C$122,3,TRUE),IF(AA688="Failed",VLOOKUP($D$3,Calcs!$A$110:$C$122,3,TRUE),VLOOKUP($D$3-(IF((Character!$B$9+W688)&gt;($D$3+Y688),(Character!$B$9+W688)-($D$3+Y688),0)),Calcs!$A$110:$C$122,3,TRUE))))</f>
        <v xml:space="preserve"> </v>
      </c>
      <c r="AC688" s="489"/>
      <c r="AD688" s="489" t="str">
        <f>IF(IF(AA688=" "," ",IF(NOT(ISBLANK(X688)),VLOOKUP($D$3+X688,Calcs!$A$110:$B$122,2,TRUE),IF(AA688="Failed",VLOOKUP($D$3,Calcs!$A$110:$B$122,2,TRUE),VLOOKUP($D$3-(IF((Character!$B$9+W688)&gt;($D$3+Y688),(Character!$B$9+W688)-($D$3+Y688),0)),Calcs!$A$110:$B$122,2,TRUE))))=Calcs!$B$120,IF(ISBLANK(AC688)," ",CONCATENATE(AC688+7," Years")),IF(AA688=" "," ",IF(NOT(ISBLANK(X688)),VLOOKUP($D$3+X688,Calcs!$A$110:$B$122,2,TRUE),IF(AA688="Failed",VLOOKUP($D$3,Calcs!$A$110:$B$122,2,TRUE),VLOOKUP($D$3-(IF((Character!$B$9+W688)&gt;($D$3+Y688),(Character!$B$9+W688)-($D$3+Y688),0)),Calcs!$A$110:$B$122,2,TRUE)))))</f>
        <v xml:space="preserve"> </v>
      </c>
      <c r="AE688" s="490"/>
      <c r="AF688" s="879"/>
      <c r="AG688" s="491"/>
    </row>
    <row r="689" spans="1:33" x14ac:dyDescent="0.2">
      <c r="A689" s="415">
        <f t="shared" si="20"/>
        <v>1382</v>
      </c>
      <c r="B689" s="419" t="str">
        <f t="shared" si="21"/>
        <v>Spring</v>
      </c>
      <c r="C689" s="455"/>
      <c r="D689" s="504"/>
      <c r="E689" s="455"/>
      <c r="F689" s="504"/>
      <c r="G689" s="455"/>
      <c r="H689" s="504"/>
      <c r="I689" s="455"/>
      <c r="J689" s="504"/>
      <c r="L689" s="472"/>
      <c r="M689" s="468"/>
      <c r="N689" s="468"/>
      <c r="O689" s="468"/>
      <c r="P689" s="468"/>
      <c r="Q689" s="473"/>
      <c r="R689" s="477" t="str">
        <f>IF(AND(COUNTIF('Start Character'!$I$63:$M$77,"Twilight Prone")=1,NOT(ISERROR(FIND("Magical Botch",M689)))),"Yes",IF(P689&gt;1,"Yes","No"))</f>
        <v>No</v>
      </c>
      <c r="S689" s="501"/>
      <c r="T689" s="478"/>
      <c r="U689" s="501"/>
      <c r="V689" s="479" t="str">
        <f>IF(R689="No","No Twilight",IF(T689="Yes","Uncomprehended Twilight",IF((Character!$B$14+IF(Character!$B$53="Yes",0,Character!$B$53)+IF(Magic!$C$5="Yes",2,0)+ROUNDUP((Magic!$B$30+IF(Magic!$C$30="Yes",3,0))/5,0)+S689)&gt;=($D$3+P689+SUMIF(Character!$I$62:$I$66,"Enigmatic Wisdom",Character!$J$62:$J$66)+Q689+U689),"No Twilight","Twilight")))</f>
        <v>No Twilight</v>
      </c>
      <c r="W689" s="483"/>
      <c r="X689" s="478"/>
      <c r="Y689" s="484"/>
      <c r="Z689" s="478"/>
      <c r="AA689" s="485" t="str">
        <f>IF(V689="Uncomprehended Twilight","Failed",IF(OR(ISBLANK(W689),ISBLANK(Y689))," ",IF(NOT(ISBLANK(X689)),"Failed",IF((W689+Character!$B$9+SUMIF(Character!$I$62:$I$66,"Enigmatic Wisdom",Character!$J$62:$J$66))&gt;=IF(Z689="Yes",0,(Y689+D684)),"Succeeded","Failed"))))</f>
        <v xml:space="preserve"> </v>
      </c>
      <c r="AB689" s="477" t="str">
        <f>IF(AA689=" "," ",IF(NOT(ISBLANK(X689)),VLOOKUP($D$3+X689,Calcs!$A$110:$C$122,3,TRUE),IF(AA689="Failed",VLOOKUP($D$3,Calcs!$A$110:$C$122,3,TRUE),VLOOKUP($D$3-(IF((Character!$B$9+W689)&gt;($D$3+Y689),(Character!$B$9+W689)-($D$3+Y689),0)),Calcs!$A$110:$C$122,3,TRUE))))</f>
        <v xml:space="preserve"> </v>
      </c>
      <c r="AC689" s="489"/>
      <c r="AD689" s="489" t="str">
        <f>IF(IF(AA689=" "," ",IF(NOT(ISBLANK(X689)),VLOOKUP($D$3+X689,Calcs!$A$110:$B$122,2,TRUE),IF(AA689="Failed",VLOOKUP($D$3,Calcs!$A$110:$B$122,2,TRUE),VLOOKUP($D$3-(IF((Character!$B$9+W689)&gt;($D$3+Y689),(Character!$B$9+W689)-($D$3+Y689),0)),Calcs!$A$110:$B$122,2,TRUE))))=Calcs!$B$120,IF(ISBLANK(AC689)," ",CONCATENATE(AC689+7," Years")),IF(AA689=" "," ",IF(NOT(ISBLANK(X689)),VLOOKUP($D$3+X689,Calcs!$A$110:$B$122,2,TRUE),IF(AA689="Failed",VLOOKUP($D$3,Calcs!$A$110:$B$122,2,TRUE),VLOOKUP($D$3-(IF((Character!$B$9+W689)&gt;($D$3+Y689),(Character!$B$9+W689)-($D$3+Y689),0)),Calcs!$A$110:$B$122,2,TRUE)))))</f>
        <v xml:space="preserve"> </v>
      </c>
      <c r="AE689" s="490"/>
      <c r="AF689" s="879"/>
      <c r="AG689" s="491"/>
    </row>
    <row r="690" spans="1:33" x14ac:dyDescent="0.2">
      <c r="A690" s="415">
        <f t="shared" si="20"/>
        <v>1382</v>
      </c>
      <c r="B690" s="419" t="str">
        <f t="shared" si="21"/>
        <v>Summer</v>
      </c>
      <c r="C690" s="455"/>
      <c r="D690" s="504"/>
      <c r="E690" s="455"/>
      <c r="F690" s="504"/>
      <c r="G690" s="455"/>
      <c r="H690" s="504"/>
      <c r="I690" s="455"/>
      <c r="J690" s="504"/>
      <c r="L690" s="472"/>
      <c r="M690" s="468"/>
      <c r="N690" s="468"/>
      <c r="O690" s="468"/>
      <c r="P690" s="468"/>
      <c r="Q690" s="473"/>
      <c r="R690" s="477" t="str">
        <f>IF(AND(COUNTIF('Start Character'!$I$63:$M$77,"Twilight Prone")=1,NOT(ISERROR(FIND("Magical Botch",M690)))),"Yes",IF(P690&gt;1,"Yes","No"))</f>
        <v>No</v>
      </c>
      <c r="S690" s="501"/>
      <c r="T690" s="478"/>
      <c r="U690" s="501"/>
      <c r="V690" s="479" t="str">
        <f>IF(R690="No","No Twilight",IF(T690="Yes","Uncomprehended Twilight",IF((Character!$B$14+IF(Character!$B$53="Yes",0,Character!$B$53)+IF(Magic!$C$5="Yes",2,0)+ROUNDUP((Magic!$B$30+IF(Magic!$C$30="Yes",3,0))/5,0)+S690)&gt;=($D$3+P690+SUMIF(Character!$I$62:$I$66,"Enigmatic Wisdom",Character!$J$62:$J$66)+Q690+U690),"No Twilight","Twilight")))</f>
        <v>No Twilight</v>
      </c>
      <c r="W690" s="483"/>
      <c r="X690" s="478"/>
      <c r="Y690" s="484"/>
      <c r="Z690" s="478"/>
      <c r="AA690" s="485" t="str">
        <f>IF(V690="Uncomprehended Twilight","Failed",IF(OR(ISBLANK(W690),ISBLANK(Y690))," ",IF(NOT(ISBLANK(X690)),"Failed",IF((W690+Character!$B$9+SUMIF(Character!$I$62:$I$66,"Enigmatic Wisdom",Character!$J$62:$J$66))&gt;=IF(Z690="Yes",0,(Y690+D685)),"Succeeded","Failed"))))</f>
        <v xml:space="preserve"> </v>
      </c>
      <c r="AB690" s="477" t="str">
        <f>IF(AA690=" "," ",IF(NOT(ISBLANK(X690)),VLOOKUP($D$3+X690,Calcs!$A$110:$C$122,3,TRUE),IF(AA690="Failed",VLOOKUP($D$3,Calcs!$A$110:$C$122,3,TRUE),VLOOKUP($D$3-(IF((Character!$B$9+W690)&gt;($D$3+Y690),(Character!$B$9+W690)-($D$3+Y690),0)),Calcs!$A$110:$C$122,3,TRUE))))</f>
        <v xml:space="preserve"> </v>
      </c>
      <c r="AC690" s="489"/>
      <c r="AD690" s="489" t="str">
        <f>IF(IF(AA690=" "," ",IF(NOT(ISBLANK(X690)),VLOOKUP($D$3+X690,Calcs!$A$110:$B$122,2,TRUE),IF(AA690="Failed",VLOOKUP($D$3,Calcs!$A$110:$B$122,2,TRUE),VLOOKUP($D$3-(IF((Character!$B$9+W690)&gt;($D$3+Y690),(Character!$B$9+W690)-($D$3+Y690),0)),Calcs!$A$110:$B$122,2,TRUE))))=Calcs!$B$120,IF(ISBLANK(AC690)," ",CONCATENATE(AC690+7," Years")),IF(AA690=" "," ",IF(NOT(ISBLANK(X690)),VLOOKUP($D$3+X690,Calcs!$A$110:$B$122,2,TRUE),IF(AA690="Failed",VLOOKUP($D$3,Calcs!$A$110:$B$122,2,TRUE),VLOOKUP($D$3-(IF((Character!$B$9+W690)&gt;($D$3+Y690),(Character!$B$9+W690)-($D$3+Y690),0)),Calcs!$A$110:$B$122,2,TRUE)))))</f>
        <v xml:space="preserve"> </v>
      </c>
      <c r="AE690" s="490"/>
      <c r="AF690" s="879"/>
      <c r="AG690" s="491"/>
    </row>
    <row r="691" spans="1:33" x14ac:dyDescent="0.2">
      <c r="A691" s="415">
        <f t="shared" si="20"/>
        <v>1382</v>
      </c>
      <c r="B691" s="419" t="str">
        <f t="shared" si="21"/>
        <v>Autumn</v>
      </c>
      <c r="C691" s="455"/>
      <c r="D691" s="504"/>
      <c r="E691" s="455"/>
      <c r="F691" s="504"/>
      <c r="G691" s="455"/>
      <c r="H691" s="504"/>
      <c r="I691" s="455"/>
      <c r="J691" s="504"/>
      <c r="L691" s="472"/>
      <c r="M691" s="468"/>
      <c r="N691" s="468"/>
      <c r="O691" s="468"/>
      <c r="P691" s="468"/>
      <c r="Q691" s="473"/>
      <c r="R691" s="477" t="str">
        <f>IF(AND(COUNTIF('Start Character'!$I$63:$M$77,"Twilight Prone")=1,NOT(ISERROR(FIND("Magical Botch",M691)))),"Yes",IF(P691&gt;1,"Yes","No"))</f>
        <v>No</v>
      </c>
      <c r="S691" s="501"/>
      <c r="T691" s="478"/>
      <c r="U691" s="501"/>
      <c r="V691" s="479" t="str">
        <f>IF(R691="No","No Twilight",IF(T691="Yes","Uncomprehended Twilight",IF((Character!$B$14+IF(Character!$B$53="Yes",0,Character!$B$53)+IF(Magic!$C$5="Yes",2,0)+ROUNDUP((Magic!$B$30+IF(Magic!$C$30="Yes",3,0))/5,0)+S691)&gt;=($D$3+P691+SUMIF(Character!$I$62:$I$66,"Enigmatic Wisdom",Character!$J$62:$J$66)+Q691+U691),"No Twilight","Twilight")))</f>
        <v>No Twilight</v>
      </c>
      <c r="W691" s="483"/>
      <c r="X691" s="478"/>
      <c r="Y691" s="484"/>
      <c r="Z691" s="478"/>
      <c r="AA691" s="485" t="str">
        <f>IF(V691="Uncomprehended Twilight","Failed",IF(OR(ISBLANK(W691),ISBLANK(Y691))," ",IF(NOT(ISBLANK(X691)),"Failed",IF((W691+Character!$B$9+SUMIF(Character!$I$62:$I$66,"Enigmatic Wisdom",Character!$J$62:$J$66))&gt;=IF(Z691="Yes",0,(Y691+D686)),"Succeeded","Failed"))))</f>
        <v xml:space="preserve"> </v>
      </c>
      <c r="AB691" s="477" t="str">
        <f>IF(AA691=" "," ",IF(NOT(ISBLANK(X691)),VLOOKUP($D$3+X691,Calcs!$A$110:$C$122,3,TRUE),IF(AA691="Failed",VLOOKUP($D$3,Calcs!$A$110:$C$122,3,TRUE),VLOOKUP($D$3-(IF((Character!$B$9+W691)&gt;($D$3+Y691),(Character!$B$9+W691)-($D$3+Y691),0)),Calcs!$A$110:$C$122,3,TRUE))))</f>
        <v xml:space="preserve"> </v>
      </c>
      <c r="AC691" s="489"/>
      <c r="AD691" s="489" t="str">
        <f>IF(IF(AA691=" "," ",IF(NOT(ISBLANK(X691)),VLOOKUP($D$3+X691,Calcs!$A$110:$B$122,2,TRUE),IF(AA691="Failed",VLOOKUP($D$3,Calcs!$A$110:$B$122,2,TRUE),VLOOKUP($D$3-(IF((Character!$B$9+W691)&gt;($D$3+Y691),(Character!$B$9+W691)-($D$3+Y691),0)),Calcs!$A$110:$B$122,2,TRUE))))=Calcs!$B$120,IF(ISBLANK(AC691)," ",CONCATENATE(AC691+7," Years")),IF(AA691=" "," ",IF(NOT(ISBLANK(X691)),VLOOKUP($D$3+X691,Calcs!$A$110:$B$122,2,TRUE),IF(AA691="Failed",VLOOKUP($D$3,Calcs!$A$110:$B$122,2,TRUE),VLOOKUP($D$3-(IF((Character!$B$9+W691)&gt;($D$3+Y691),(Character!$B$9+W691)-($D$3+Y691),0)),Calcs!$A$110:$B$122,2,TRUE)))))</f>
        <v xml:space="preserve"> </v>
      </c>
      <c r="AE691" s="490"/>
      <c r="AF691" s="879"/>
      <c r="AG691" s="491"/>
    </row>
    <row r="692" spans="1:33" x14ac:dyDescent="0.2">
      <c r="A692" s="415">
        <f t="shared" si="20"/>
        <v>1383</v>
      </c>
      <c r="B692" s="419" t="str">
        <f t="shared" si="21"/>
        <v>Winter</v>
      </c>
      <c r="C692" s="455"/>
      <c r="D692" s="504"/>
      <c r="E692" s="455"/>
      <c r="F692" s="504"/>
      <c r="G692" s="455"/>
      <c r="H692" s="504"/>
      <c r="I692" s="455"/>
      <c r="J692" s="504"/>
      <c r="L692" s="472"/>
      <c r="M692" s="468"/>
      <c r="N692" s="468"/>
      <c r="O692" s="468"/>
      <c r="P692" s="468"/>
      <c r="Q692" s="473"/>
      <c r="R692" s="477" t="str">
        <f>IF(AND(COUNTIF('Start Character'!$I$63:$M$77,"Twilight Prone")=1,NOT(ISERROR(FIND("Magical Botch",M692)))),"Yes",IF(P692&gt;1,"Yes","No"))</f>
        <v>No</v>
      </c>
      <c r="S692" s="501"/>
      <c r="T692" s="478"/>
      <c r="U692" s="501"/>
      <c r="V692" s="479" t="str">
        <f>IF(R692="No","No Twilight",IF(T692="Yes","Uncomprehended Twilight",IF((Character!$B$14+IF(Character!$B$53="Yes",0,Character!$B$53)+IF(Magic!$C$5="Yes",2,0)+ROUNDUP((Magic!$B$30+IF(Magic!$C$30="Yes",3,0))/5,0)+S692)&gt;=($D$3+P692+SUMIF(Character!$I$62:$I$66,"Enigmatic Wisdom",Character!$J$62:$J$66)+Q692+U692),"No Twilight","Twilight")))</f>
        <v>No Twilight</v>
      </c>
      <c r="W692" s="483"/>
      <c r="X692" s="478"/>
      <c r="Y692" s="484"/>
      <c r="Z692" s="478"/>
      <c r="AA692" s="485" t="str">
        <f>IF(V692="Uncomprehended Twilight","Failed",IF(OR(ISBLANK(W692),ISBLANK(Y692))," ",IF(NOT(ISBLANK(X692)),"Failed",IF((W692+Character!$B$9+SUMIF(Character!$I$62:$I$66,"Enigmatic Wisdom",Character!$J$62:$J$66))&gt;=IF(Z692="Yes",0,(Y692+D687)),"Succeeded","Failed"))))</f>
        <v xml:space="preserve"> </v>
      </c>
      <c r="AB692" s="477" t="str">
        <f>IF(AA692=" "," ",IF(NOT(ISBLANK(X692)),VLOOKUP($D$3+X692,Calcs!$A$110:$C$122,3,TRUE),IF(AA692="Failed",VLOOKUP($D$3,Calcs!$A$110:$C$122,3,TRUE),VLOOKUP($D$3-(IF((Character!$B$9+W692)&gt;($D$3+Y692),(Character!$B$9+W692)-($D$3+Y692),0)),Calcs!$A$110:$C$122,3,TRUE))))</f>
        <v xml:space="preserve"> </v>
      </c>
      <c r="AC692" s="489"/>
      <c r="AD692" s="489" t="str">
        <f>IF(IF(AA692=" "," ",IF(NOT(ISBLANK(X692)),VLOOKUP($D$3+X692,Calcs!$A$110:$B$122,2,TRUE),IF(AA692="Failed",VLOOKUP($D$3,Calcs!$A$110:$B$122,2,TRUE),VLOOKUP($D$3-(IF((Character!$B$9+W692)&gt;($D$3+Y692),(Character!$B$9+W692)-($D$3+Y692),0)),Calcs!$A$110:$B$122,2,TRUE))))=Calcs!$B$120,IF(ISBLANK(AC692)," ",CONCATENATE(AC692+7," Years")),IF(AA692=" "," ",IF(NOT(ISBLANK(X692)),VLOOKUP($D$3+X692,Calcs!$A$110:$B$122,2,TRUE),IF(AA692="Failed",VLOOKUP($D$3,Calcs!$A$110:$B$122,2,TRUE),VLOOKUP($D$3-(IF((Character!$B$9+W692)&gt;($D$3+Y692),(Character!$B$9+W692)-($D$3+Y692),0)),Calcs!$A$110:$B$122,2,TRUE)))))</f>
        <v xml:space="preserve"> </v>
      </c>
      <c r="AE692" s="490"/>
      <c r="AF692" s="879"/>
      <c r="AG692" s="491"/>
    </row>
    <row r="693" spans="1:33" x14ac:dyDescent="0.2">
      <c r="A693" s="415">
        <f t="shared" si="20"/>
        <v>1383</v>
      </c>
      <c r="B693" s="419" t="str">
        <f t="shared" si="21"/>
        <v>Spring</v>
      </c>
      <c r="C693" s="455"/>
      <c r="D693" s="504"/>
      <c r="E693" s="455"/>
      <c r="F693" s="504"/>
      <c r="G693" s="455"/>
      <c r="H693" s="504"/>
      <c r="I693" s="455"/>
      <c r="J693" s="504"/>
      <c r="L693" s="472"/>
      <c r="M693" s="468"/>
      <c r="N693" s="468"/>
      <c r="O693" s="468"/>
      <c r="P693" s="468"/>
      <c r="Q693" s="473"/>
      <c r="R693" s="477" t="str">
        <f>IF(AND(COUNTIF('Start Character'!$I$63:$M$77,"Twilight Prone")=1,NOT(ISERROR(FIND("Magical Botch",M693)))),"Yes",IF(P693&gt;1,"Yes","No"))</f>
        <v>No</v>
      </c>
      <c r="S693" s="501"/>
      <c r="T693" s="478"/>
      <c r="U693" s="501"/>
      <c r="V693" s="479" t="str">
        <f>IF(R693="No","No Twilight",IF(T693="Yes","Uncomprehended Twilight",IF((Character!$B$14+IF(Character!$B$53="Yes",0,Character!$B$53)+IF(Magic!$C$5="Yes",2,0)+ROUNDUP((Magic!$B$30+IF(Magic!$C$30="Yes",3,0))/5,0)+S693)&gt;=($D$3+P693+SUMIF(Character!$I$62:$I$66,"Enigmatic Wisdom",Character!$J$62:$J$66)+Q693+U693),"No Twilight","Twilight")))</f>
        <v>No Twilight</v>
      </c>
      <c r="W693" s="483"/>
      <c r="X693" s="478"/>
      <c r="Y693" s="484"/>
      <c r="Z693" s="478"/>
      <c r="AA693" s="485" t="str">
        <f>IF(V693="Uncomprehended Twilight","Failed",IF(OR(ISBLANK(W693),ISBLANK(Y693))," ",IF(NOT(ISBLANK(X693)),"Failed",IF((W693+Character!$B$9+SUMIF(Character!$I$62:$I$66,"Enigmatic Wisdom",Character!$J$62:$J$66))&gt;=IF(Z693="Yes",0,(Y693+D688)),"Succeeded","Failed"))))</f>
        <v xml:space="preserve"> </v>
      </c>
      <c r="AB693" s="477" t="str">
        <f>IF(AA693=" "," ",IF(NOT(ISBLANK(X693)),VLOOKUP($D$3+X693,Calcs!$A$110:$C$122,3,TRUE),IF(AA693="Failed",VLOOKUP($D$3,Calcs!$A$110:$C$122,3,TRUE),VLOOKUP($D$3-(IF((Character!$B$9+W693)&gt;($D$3+Y693),(Character!$B$9+W693)-($D$3+Y693),0)),Calcs!$A$110:$C$122,3,TRUE))))</f>
        <v xml:space="preserve"> </v>
      </c>
      <c r="AC693" s="489"/>
      <c r="AD693" s="489" t="str">
        <f>IF(IF(AA693=" "," ",IF(NOT(ISBLANK(X693)),VLOOKUP($D$3+X693,Calcs!$A$110:$B$122,2,TRUE),IF(AA693="Failed",VLOOKUP($D$3,Calcs!$A$110:$B$122,2,TRUE),VLOOKUP($D$3-(IF((Character!$B$9+W693)&gt;($D$3+Y693),(Character!$B$9+W693)-($D$3+Y693),0)),Calcs!$A$110:$B$122,2,TRUE))))=Calcs!$B$120,IF(ISBLANK(AC693)," ",CONCATENATE(AC693+7," Years")),IF(AA693=" "," ",IF(NOT(ISBLANK(X693)),VLOOKUP($D$3+X693,Calcs!$A$110:$B$122,2,TRUE),IF(AA693="Failed",VLOOKUP($D$3,Calcs!$A$110:$B$122,2,TRUE),VLOOKUP($D$3-(IF((Character!$B$9+W693)&gt;($D$3+Y693),(Character!$B$9+W693)-($D$3+Y693),0)),Calcs!$A$110:$B$122,2,TRUE)))))</f>
        <v xml:space="preserve"> </v>
      </c>
      <c r="AE693" s="490"/>
      <c r="AF693" s="879"/>
      <c r="AG693" s="491"/>
    </row>
    <row r="694" spans="1:33" x14ac:dyDescent="0.2">
      <c r="A694" s="415">
        <f t="shared" si="20"/>
        <v>1383</v>
      </c>
      <c r="B694" s="419" t="str">
        <f t="shared" si="21"/>
        <v>Summer</v>
      </c>
      <c r="C694" s="455"/>
      <c r="D694" s="504"/>
      <c r="E694" s="455"/>
      <c r="F694" s="504"/>
      <c r="G694" s="455"/>
      <c r="H694" s="504"/>
      <c r="I694" s="455"/>
      <c r="J694" s="504"/>
      <c r="L694" s="472"/>
      <c r="M694" s="468"/>
      <c r="N694" s="468"/>
      <c r="O694" s="468"/>
      <c r="P694" s="468"/>
      <c r="Q694" s="473"/>
      <c r="R694" s="477" t="str">
        <f>IF(AND(COUNTIF('Start Character'!$I$63:$M$77,"Twilight Prone")=1,NOT(ISERROR(FIND("Magical Botch",M694)))),"Yes",IF(P694&gt;1,"Yes","No"))</f>
        <v>No</v>
      </c>
      <c r="S694" s="501"/>
      <c r="T694" s="478"/>
      <c r="U694" s="501"/>
      <c r="V694" s="479" t="str">
        <f>IF(R694="No","No Twilight",IF(T694="Yes","Uncomprehended Twilight",IF((Character!$B$14+IF(Character!$B$53="Yes",0,Character!$B$53)+IF(Magic!$C$5="Yes",2,0)+ROUNDUP((Magic!$B$30+IF(Magic!$C$30="Yes",3,0))/5,0)+S694)&gt;=($D$3+P694+SUMIF(Character!$I$62:$I$66,"Enigmatic Wisdom",Character!$J$62:$J$66)+Q694+U694),"No Twilight","Twilight")))</f>
        <v>No Twilight</v>
      </c>
      <c r="W694" s="483"/>
      <c r="X694" s="478"/>
      <c r="Y694" s="484"/>
      <c r="Z694" s="478"/>
      <c r="AA694" s="485" t="str">
        <f>IF(V694="Uncomprehended Twilight","Failed",IF(OR(ISBLANK(W694),ISBLANK(Y694))," ",IF(NOT(ISBLANK(X694)),"Failed",IF((W694+Character!$B$9+SUMIF(Character!$I$62:$I$66,"Enigmatic Wisdom",Character!$J$62:$J$66))&gt;=IF(Z694="Yes",0,(Y694+D689)),"Succeeded","Failed"))))</f>
        <v xml:space="preserve"> </v>
      </c>
      <c r="AB694" s="477" t="str">
        <f>IF(AA694=" "," ",IF(NOT(ISBLANK(X694)),VLOOKUP($D$3+X694,Calcs!$A$110:$C$122,3,TRUE),IF(AA694="Failed",VLOOKUP($D$3,Calcs!$A$110:$C$122,3,TRUE),VLOOKUP($D$3-(IF((Character!$B$9+W694)&gt;($D$3+Y694),(Character!$B$9+W694)-($D$3+Y694),0)),Calcs!$A$110:$C$122,3,TRUE))))</f>
        <v xml:space="preserve"> </v>
      </c>
      <c r="AC694" s="489"/>
      <c r="AD694" s="489" t="str">
        <f>IF(IF(AA694=" "," ",IF(NOT(ISBLANK(X694)),VLOOKUP($D$3+X694,Calcs!$A$110:$B$122,2,TRUE),IF(AA694="Failed",VLOOKUP($D$3,Calcs!$A$110:$B$122,2,TRUE),VLOOKUP($D$3-(IF((Character!$B$9+W694)&gt;($D$3+Y694),(Character!$B$9+W694)-($D$3+Y694),0)),Calcs!$A$110:$B$122,2,TRUE))))=Calcs!$B$120,IF(ISBLANK(AC694)," ",CONCATENATE(AC694+7," Years")),IF(AA694=" "," ",IF(NOT(ISBLANK(X694)),VLOOKUP($D$3+X694,Calcs!$A$110:$B$122,2,TRUE),IF(AA694="Failed",VLOOKUP($D$3,Calcs!$A$110:$B$122,2,TRUE),VLOOKUP($D$3-(IF((Character!$B$9+W694)&gt;($D$3+Y694),(Character!$B$9+W694)-($D$3+Y694),0)),Calcs!$A$110:$B$122,2,TRUE)))))</f>
        <v xml:space="preserve"> </v>
      </c>
      <c r="AE694" s="490"/>
      <c r="AF694" s="879"/>
      <c r="AG694" s="491"/>
    </row>
    <row r="695" spans="1:33" x14ac:dyDescent="0.2">
      <c r="A695" s="415">
        <f t="shared" si="20"/>
        <v>1383</v>
      </c>
      <c r="B695" s="419" t="str">
        <f t="shared" si="21"/>
        <v>Autumn</v>
      </c>
      <c r="C695" s="455"/>
      <c r="D695" s="504"/>
      <c r="E695" s="455"/>
      <c r="F695" s="504"/>
      <c r="G695" s="455"/>
      <c r="H695" s="504"/>
      <c r="I695" s="455"/>
      <c r="J695" s="504"/>
      <c r="L695" s="472"/>
      <c r="M695" s="468"/>
      <c r="N695" s="468"/>
      <c r="O695" s="468"/>
      <c r="P695" s="468"/>
      <c r="Q695" s="473"/>
      <c r="R695" s="477" t="str">
        <f>IF(AND(COUNTIF('Start Character'!$I$63:$M$77,"Twilight Prone")=1,NOT(ISERROR(FIND("Magical Botch",M695)))),"Yes",IF(P695&gt;1,"Yes","No"))</f>
        <v>No</v>
      </c>
      <c r="S695" s="501"/>
      <c r="T695" s="478"/>
      <c r="U695" s="501"/>
      <c r="V695" s="479" t="str">
        <f>IF(R695="No","No Twilight",IF(T695="Yes","Uncomprehended Twilight",IF((Character!$B$14+IF(Character!$B$53="Yes",0,Character!$B$53)+IF(Magic!$C$5="Yes",2,0)+ROUNDUP((Magic!$B$30+IF(Magic!$C$30="Yes",3,0))/5,0)+S695)&gt;=($D$3+P695+SUMIF(Character!$I$62:$I$66,"Enigmatic Wisdom",Character!$J$62:$J$66)+Q695+U695),"No Twilight","Twilight")))</f>
        <v>No Twilight</v>
      </c>
      <c r="W695" s="483"/>
      <c r="X695" s="478"/>
      <c r="Y695" s="484"/>
      <c r="Z695" s="478"/>
      <c r="AA695" s="485" t="str">
        <f>IF(V695="Uncomprehended Twilight","Failed",IF(OR(ISBLANK(W695),ISBLANK(Y695))," ",IF(NOT(ISBLANK(X695)),"Failed",IF((W695+Character!$B$9+SUMIF(Character!$I$62:$I$66,"Enigmatic Wisdom",Character!$J$62:$J$66))&gt;=IF(Z695="Yes",0,(Y695+D690)),"Succeeded","Failed"))))</f>
        <v xml:space="preserve"> </v>
      </c>
      <c r="AB695" s="477" t="str">
        <f>IF(AA695=" "," ",IF(NOT(ISBLANK(X695)),VLOOKUP($D$3+X695,Calcs!$A$110:$C$122,3,TRUE),IF(AA695="Failed",VLOOKUP($D$3,Calcs!$A$110:$C$122,3,TRUE),VLOOKUP($D$3-(IF((Character!$B$9+W695)&gt;($D$3+Y695),(Character!$B$9+W695)-($D$3+Y695),0)),Calcs!$A$110:$C$122,3,TRUE))))</f>
        <v xml:space="preserve"> </v>
      </c>
      <c r="AC695" s="489"/>
      <c r="AD695" s="489" t="str">
        <f>IF(IF(AA695=" "," ",IF(NOT(ISBLANK(X695)),VLOOKUP($D$3+X695,Calcs!$A$110:$B$122,2,TRUE),IF(AA695="Failed",VLOOKUP($D$3,Calcs!$A$110:$B$122,2,TRUE),VLOOKUP($D$3-(IF((Character!$B$9+W695)&gt;($D$3+Y695),(Character!$B$9+W695)-($D$3+Y695),0)),Calcs!$A$110:$B$122,2,TRUE))))=Calcs!$B$120,IF(ISBLANK(AC695)," ",CONCATENATE(AC695+7," Years")),IF(AA695=" "," ",IF(NOT(ISBLANK(X695)),VLOOKUP($D$3+X695,Calcs!$A$110:$B$122,2,TRUE),IF(AA695="Failed",VLOOKUP($D$3,Calcs!$A$110:$B$122,2,TRUE),VLOOKUP($D$3-(IF((Character!$B$9+W695)&gt;($D$3+Y695),(Character!$B$9+W695)-($D$3+Y695),0)),Calcs!$A$110:$B$122,2,TRUE)))))</f>
        <v xml:space="preserve"> </v>
      </c>
      <c r="AE695" s="490"/>
      <c r="AF695" s="879"/>
      <c r="AG695" s="491"/>
    </row>
    <row r="696" spans="1:33" x14ac:dyDescent="0.2">
      <c r="A696" s="415">
        <f t="shared" si="20"/>
        <v>1384</v>
      </c>
      <c r="B696" s="419" t="str">
        <f t="shared" si="21"/>
        <v>Winter</v>
      </c>
      <c r="C696" s="455"/>
      <c r="D696" s="504"/>
      <c r="E696" s="455"/>
      <c r="F696" s="504"/>
      <c r="G696" s="455"/>
      <c r="H696" s="504"/>
      <c r="I696" s="455"/>
      <c r="J696" s="504"/>
      <c r="L696" s="472"/>
      <c r="M696" s="468"/>
      <c r="N696" s="468"/>
      <c r="O696" s="468"/>
      <c r="P696" s="468"/>
      <c r="Q696" s="473"/>
      <c r="R696" s="477" t="str">
        <f>IF(AND(COUNTIF('Start Character'!$I$63:$M$77,"Twilight Prone")=1,NOT(ISERROR(FIND("Magical Botch",M696)))),"Yes",IF(P696&gt;1,"Yes","No"))</f>
        <v>No</v>
      </c>
      <c r="S696" s="501"/>
      <c r="T696" s="478"/>
      <c r="U696" s="501"/>
      <c r="V696" s="479" t="str">
        <f>IF(R696="No","No Twilight",IF(T696="Yes","Uncomprehended Twilight",IF((Character!$B$14+IF(Character!$B$53="Yes",0,Character!$B$53)+IF(Magic!$C$5="Yes",2,0)+ROUNDUP((Magic!$B$30+IF(Magic!$C$30="Yes",3,0))/5,0)+S696)&gt;=($D$3+P696+SUMIF(Character!$I$62:$I$66,"Enigmatic Wisdom",Character!$J$62:$J$66)+Q696+U696),"No Twilight","Twilight")))</f>
        <v>No Twilight</v>
      </c>
      <c r="W696" s="483"/>
      <c r="X696" s="478"/>
      <c r="Y696" s="484"/>
      <c r="Z696" s="478"/>
      <c r="AA696" s="485" t="str">
        <f>IF(V696="Uncomprehended Twilight","Failed",IF(OR(ISBLANK(W696),ISBLANK(Y696))," ",IF(NOT(ISBLANK(X696)),"Failed",IF((W696+Character!$B$9+SUMIF(Character!$I$62:$I$66,"Enigmatic Wisdom",Character!$J$62:$J$66))&gt;=IF(Z696="Yes",0,(Y696+D691)),"Succeeded","Failed"))))</f>
        <v xml:space="preserve"> </v>
      </c>
      <c r="AB696" s="477" t="str">
        <f>IF(AA696=" "," ",IF(NOT(ISBLANK(X696)),VLOOKUP($D$3+X696,Calcs!$A$110:$C$122,3,TRUE),IF(AA696="Failed",VLOOKUP($D$3,Calcs!$A$110:$C$122,3,TRUE),VLOOKUP($D$3-(IF((Character!$B$9+W696)&gt;($D$3+Y696),(Character!$B$9+W696)-($D$3+Y696),0)),Calcs!$A$110:$C$122,3,TRUE))))</f>
        <v xml:space="preserve"> </v>
      </c>
      <c r="AC696" s="489"/>
      <c r="AD696" s="489" t="str">
        <f>IF(IF(AA696=" "," ",IF(NOT(ISBLANK(X696)),VLOOKUP($D$3+X696,Calcs!$A$110:$B$122,2,TRUE),IF(AA696="Failed",VLOOKUP($D$3,Calcs!$A$110:$B$122,2,TRUE),VLOOKUP($D$3-(IF((Character!$B$9+W696)&gt;($D$3+Y696),(Character!$B$9+W696)-($D$3+Y696),0)),Calcs!$A$110:$B$122,2,TRUE))))=Calcs!$B$120,IF(ISBLANK(AC696)," ",CONCATENATE(AC696+7," Years")),IF(AA696=" "," ",IF(NOT(ISBLANK(X696)),VLOOKUP($D$3+X696,Calcs!$A$110:$B$122,2,TRUE),IF(AA696="Failed",VLOOKUP($D$3,Calcs!$A$110:$B$122,2,TRUE),VLOOKUP($D$3-(IF((Character!$B$9+W696)&gt;($D$3+Y696),(Character!$B$9+W696)-($D$3+Y696),0)),Calcs!$A$110:$B$122,2,TRUE)))))</f>
        <v xml:space="preserve"> </v>
      </c>
      <c r="AE696" s="490"/>
      <c r="AF696" s="879"/>
      <c r="AG696" s="491"/>
    </row>
    <row r="697" spans="1:33" x14ac:dyDescent="0.2">
      <c r="A697" s="415">
        <f t="shared" si="20"/>
        <v>1384</v>
      </c>
      <c r="B697" s="419" t="str">
        <f t="shared" si="21"/>
        <v>Spring</v>
      </c>
      <c r="C697" s="455"/>
      <c r="D697" s="504"/>
      <c r="E697" s="455"/>
      <c r="F697" s="504"/>
      <c r="G697" s="455"/>
      <c r="H697" s="504"/>
      <c r="I697" s="455"/>
      <c r="J697" s="504"/>
      <c r="L697" s="472"/>
      <c r="M697" s="468"/>
      <c r="N697" s="468"/>
      <c r="O697" s="468"/>
      <c r="P697" s="468"/>
      <c r="Q697" s="473"/>
      <c r="R697" s="477" t="str">
        <f>IF(AND(COUNTIF('Start Character'!$I$63:$M$77,"Twilight Prone")=1,NOT(ISERROR(FIND("Magical Botch",M697)))),"Yes",IF(P697&gt;1,"Yes","No"))</f>
        <v>No</v>
      </c>
      <c r="S697" s="501"/>
      <c r="T697" s="478"/>
      <c r="U697" s="501"/>
      <c r="V697" s="479" t="str">
        <f>IF(R697="No","No Twilight",IF(T697="Yes","Uncomprehended Twilight",IF((Character!$B$14+IF(Character!$B$53="Yes",0,Character!$B$53)+IF(Magic!$C$5="Yes",2,0)+ROUNDUP((Magic!$B$30+IF(Magic!$C$30="Yes",3,0))/5,0)+S697)&gt;=($D$3+P697+SUMIF(Character!$I$62:$I$66,"Enigmatic Wisdom",Character!$J$62:$J$66)+Q697+U697),"No Twilight","Twilight")))</f>
        <v>No Twilight</v>
      </c>
      <c r="W697" s="483"/>
      <c r="X697" s="478"/>
      <c r="Y697" s="484"/>
      <c r="Z697" s="478"/>
      <c r="AA697" s="485" t="str">
        <f>IF(V697="Uncomprehended Twilight","Failed",IF(OR(ISBLANK(W697),ISBLANK(Y697))," ",IF(NOT(ISBLANK(X697)),"Failed",IF((W697+Character!$B$9+SUMIF(Character!$I$62:$I$66,"Enigmatic Wisdom",Character!$J$62:$J$66))&gt;=IF(Z697="Yes",0,(Y697+D692)),"Succeeded","Failed"))))</f>
        <v xml:space="preserve"> </v>
      </c>
      <c r="AB697" s="477" t="str">
        <f>IF(AA697=" "," ",IF(NOT(ISBLANK(X697)),VLOOKUP($D$3+X697,Calcs!$A$110:$C$122,3,TRUE),IF(AA697="Failed",VLOOKUP($D$3,Calcs!$A$110:$C$122,3,TRUE),VLOOKUP($D$3-(IF((Character!$B$9+W697)&gt;($D$3+Y697),(Character!$B$9+W697)-($D$3+Y697),0)),Calcs!$A$110:$C$122,3,TRUE))))</f>
        <v xml:space="preserve"> </v>
      </c>
      <c r="AC697" s="489"/>
      <c r="AD697" s="489" t="str">
        <f>IF(IF(AA697=" "," ",IF(NOT(ISBLANK(X697)),VLOOKUP($D$3+X697,Calcs!$A$110:$B$122,2,TRUE),IF(AA697="Failed",VLOOKUP($D$3,Calcs!$A$110:$B$122,2,TRUE),VLOOKUP($D$3-(IF((Character!$B$9+W697)&gt;($D$3+Y697),(Character!$B$9+W697)-($D$3+Y697),0)),Calcs!$A$110:$B$122,2,TRUE))))=Calcs!$B$120,IF(ISBLANK(AC697)," ",CONCATENATE(AC697+7," Years")),IF(AA697=" "," ",IF(NOT(ISBLANK(X697)),VLOOKUP($D$3+X697,Calcs!$A$110:$B$122,2,TRUE),IF(AA697="Failed",VLOOKUP($D$3,Calcs!$A$110:$B$122,2,TRUE),VLOOKUP($D$3-(IF((Character!$B$9+W697)&gt;($D$3+Y697),(Character!$B$9+W697)-($D$3+Y697),0)),Calcs!$A$110:$B$122,2,TRUE)))))</f>
        <v xml:space="preserve"> </v>
      </c>
      <c r="AE697" s="490"/>
      <c r="AF697" s="879"/>
      <c r="AG697" s="491"/>
    </row>
    <row r="698" spans="1:33" x14ac:dyDescent="0.2">
      <c r="A698" s="415">
        <f t="shared" si="20"/>
        <v>1384</v>
      </c>
      <c r="B698" s="419" t="str">
        <f t="shared" si="21"/>
        <v>Summer</v>
      </c>
      <c r="C698" s="455"/>
      <c r="D698" s="504"/>
      <c r="E698" s="455"/>
      <c r="F698" s="504"/>
      <c r="G698" s="455"/>
      <c r="H698" s="504"/>
      <c r="I698" s="455"/>
      <c r="J698" s="504"/>
      <c r="L698" s="472"/>
      <c r="M698" s="468"/>
      <c r="N698" s="468"/>
      <c r="O698" s="468"/>
      <c r="P698" s="468"/>
      <c r="Q698" s="473"/>
      <c r="R698" s="477" t="str">
        <f>IF(AND(COUNTIF('Start Character'!$I$63:$M$77,"Twilight Prone")=1,NOT(ISERROR(FIND("Magical Botch",M698)))),"Yes",IF(P698&gt;1,"Yes","No"))</f>
        <v>No</v>
      </c>
      <c r="S698" s="501"/>
      <c r="T698" s="478"/>
      <c r="U698" s="501"/>
      <c r="V698" s="479" t="str">
        <f>IF(R698="No","No Twilight",IF(T698="Yes","Uncomprehended Twilight",IF((Character!$B$14+IF(Character!$B$53="Yes",0,Character!$B$53)+IF(Magic!$C$5="Yes",2,0)+ROUNDUP((Magic!$B$30+IF(Magic!$C$30="Yes",3,0))/5,0)+S698)&gt;=($D$3+P698+SUMIF(Character!$I$62:$I$66,"Enigmatic Wisdom",Character!$J$62:$J$66)+Q698+U698),"No Twilight","Twilight")))</f>
        <v>No Twilight</v>
      </c>
      <c r="W698" s="483"/>
      <c r="X698" s="478"/>
      <c r="Y698" s="484"/>
      <c r="Z698" s="478"/>
      <c r="AA698" s="485" t="str">
        <f>IF(V698="Uncomprehended Twilight","Failed",IF(OR(ISBLANK(W698),ISBLANK(Y698))," ",IF(NOT(ISBLANK(X698)),"Failed",IF((W698+Character!$B$9+SUMIF(Character!$I$62:$I$66,"Enigmatic Wisdom",Character!$J$62:$J$66))&gt;=IF(Z698="Yes",0,(Y698+D693)),"Succeeded","Failed"))))</f>
        <v xml:space="preserve"> </v>
      </c>
      <c r="AB698" s="477" t="str">
        <f>IF(AA698=" "," ",IF(NOT(ISBLANK(X698)),VLOOKUP($D$3+X698,Calcs!$A$110:$C$122,3,TRUE),IF(AA698="Failed",VLOOKUP($D$3,Calcs!$A$110:$C$122,3,TRUE),VLOOKUP($D$3-(IF((Character!$B$9+W698)&gt;($D$3+Y698),(Character!$B$9+W698)-($D$3+Y698),0)),Calcs!$A$110:$C$122,3,TRUE))))</f>
        <v xml:space="preserve"> </v>
      </c>
      <c r="AC698" s="489"/>
      <c r="AD698" s="489" t="str">
        <f>IF(IF(AA698=" "," ",IF(NOT(ISBLANK(X698)),VLOOKUP($D$3+X698,Calcs!$A$110:$B$122,2,TRUE),IF(AA698="Failed",VLOOKUP($D$3,Calcs!$A$110:$B$122,2,TRUE),VLOOKUP($D$3-(IF((Character!$B$9+W698)&gt;($D$3+Y698),(Character!$B$9+W698)-($D$3+Y698),0)),Calcs!$A$110:$B$122,2,TRUE))))=Calcs!$B$120,IF(ISBLANK(AC698)," ",CONCATENATE(AC698+7," Years")),IF(AA698=" "," ",IF(NOT(ISBLANK(X698)),VLOOKUP($D$3+X698,Calcs!$A$110:$B$122,2,TRUE),IF(AA698="Failed",VLOOKUP($D$3,Calcs!$A$110:$B$122,2,TRUE),VLOOKUP($D$3-(IF((Character!$B$9+W698)&gt;($D$3+Y698),(Character!$B$9+W698)-($D$3+Y698),0)),Calcs!$A$110:$B$122,2,TRUE)))))</f>
        <v xml:space="preserve"> </v>
      </c>
      <c r="AE698" s="490"/>
      <c r="AF698" s="879"/>
      <c r="AG698" s="491"/>
    </row>
    <row r="699" spans="1:33" x14ac:dyDescent="0.2">
      <c r="A699" s="415">
        <f t="shared" si="20"/>
        <v>1384</v>
      </c>
      <c r="B699" s="419" t="str">
        <f t="shared" si="21"/>
        <v>Autumn</v>
      </c>
      <c r="C699" s="455"/>
      <c r="D699" s="504"/>
      <c r="E699" s="455"/>
      <c r="F699" s="504"/>
      <c r="G699" s="455"/>
      <c r="H699" s="504"/>
      <c r="I699" s="455"/>
      <c r="J699" s="504"/>
      <c r="L699" s="472"/>
      <c r="M699" s="468"/>
      <c r="N699" s="468"/>
      <c r="O699" s="468"/>
      <c r="P699" s="468"/>
      <c r="Q699" s="473"/>
      <c r="R699" s="477" t="str">
        <f>IF(AND(COUNTIF('Start Character'!$I$63:$M$77,"Twilight Prone")=1,NOT(ISERROR(FIND("Magical Botch",M699)))),"Yes",IF(P699&gt;1,"Yes","No"))</f>
        <v>No</v>
      </c>
      <c r="S699" s="501"/>
      <c r="T699" s="478"/>
      <c r="U699" s="501"/>
      <c r="V699" s="479" t="str">
        <f>IF(R699="No","No Twilight",IF(T699="Yes","Uncomprehended Twilight",IF((Character!$B$14+IF(Character!$B$53="Yes",0,Character!$B$53)+IF(Magic!$C$5="Yes",2,0)+ROUNDUP((Magic!$B$30+IF(Magic!$C$30="Yes",3,0))/5,0)+S699)&gt;=($D$3+P699+SUMIF(Character!$I$62:$I$66,"Enigmatic Wisdom",Character!$J$62:$J$66)+Q699+U699),"No Twilight","Twilight")))</f>
        <v>No Twilight</v>
      </c>
      <c r="W699" s="483"/>
      <c r="X699" s="478"/>
      <c r="Y699" s="484"/>
      <c r="Z699" s="478"/>
      <c r="AA699" s="485" t="str">
        <f>IF(V699="Uncomprehended Twilight","Failed",IF(OR(ISBLANK(W699),ISBLANK(Y699))," ",IF(NOT(ISBLANK(X699)),"Failed",IF((W699+Character!$B$9+SUMIF(Character!$I$62:$I$66,"Enigmatic Wisdom",Character!$J$62:$J$66))&gt;=IF(Z699="Yes",0,(Y699+D694)),"Succeeded","Failed"))))</f>
        <v xml:space="preserve"> </v>
      </c>
      <c r="AB699" s="477" t="str">
        <f>IF(AA699=" "," ",IF(NOT(ISBLANK(X699)),VLOOKUP($D$3+X699,Calcs!$A$110:$C$122,3,TRUE),IF(AA699="Failed",VLOOKUP($D$3,Calcs!$A$110:$C$122,3,TRUE),VLOOKUP($D$3-(IF((Character!$B$9+W699)&gt;($D$3+Y699),(Character!$B$9+W699)-($D$3+Y699),0)),Calcs!$A$110:$C$122,3,TRUE))))</f>
        <v xml:space="preserve"> </v>
      </c>
      <c r="AC699" s="489"/>
      <c r="AD699" s="489" t="str">
        <f>IF(IF(AA699=" "," ",IF(NOT(ISBLANK(X699)),VLOOKUP($D$3+X699,Calcs!$A$110:$B$122,2,TRUE),IF(AA699="Failed",VLOOKUP($D$3,Calcs!$A$110:$B$122,2,TRUE),VLOOKUP($D$3-(IF((Character!$B$9+W699)&gt;($D$3+Y699),(Character!$B$9+W699)-($D$3+Y699),0)),Calcs!$A$110:$B$122,2,TRUE))))=Calcs!$B$120,IF(ISBLANK(AC699)," ",CONCATENATE(AC699+7," Years")),IF(AA699=" "," ",IF(NOT(ISBLANK(X699)),VLOOKUP($D$3+X699,Calcs!$A$110:$B$122,2,TRUE),IF(AA699="Failed",VLOOKUP($D$3,Calcs!$A$110:$B$122,2,TRUE),VLOOKUP($D$3-(IF((Character!$B$9+W699)&gt;($D$3+Y699),(Character!$B$9+W699)-($D$3+Y699),0)),Calcs!$A$110:$B$122,2,TRUE)))))</f>
        <v xml:space="preserve"> </v>
      </c>
      <c r="AE699" s="490"/>
      <c r="AF699" s="879"/>
      <c r="AG699" s="491"/>
    </row>
    <row r="700" spans="1:33" x14ac:dyDescent="0.2">
      <c r="A700" s="415">
        <f t="shared" si="20"/>
        <v>1385</v>
      </c>
      <c r="B700" s="419" t="str">
        <f t="shared" si="21"/>
        <v>Winter</v>
      </c>
      <c r="C700" s="455"/>
      <c r="D700" s="504"/>
      <c r="E700" s="455"/>
      <c r="F700" s="504"/>
      <c r="G700" s="455"/>
      <c r="H700" s="504"/>
      <c r="I700" s="455"/>
      <c r="J700" s="504"/>
      <c r="L700" s="472"/>
      <c r="M700" s="468"/>
      <c r="N700" s="468"/>
      <c r="O700" s="468"/>
      <c r="P700" s="468"/>
      <c r="Q700" s="473"/>
      <c r="R700" s="477" t="str">
        <f>IF(AND(COUNTIF('Start Character'!$I$63:$M$77,"Twilight Prone")=1,NOT(ISERROR(FIND("Magical Botch",M700)))),"Yes",IF(P700&gt;1,"Yes","No"))</f>
        <v>No</v>
      </c>
      <c r="S700" s="501"/>
      <c r="T700" s="478"/>
      <c r="U700" s="501"/>
      <c r="V700" s="479" t="str">
        <f>IF(R700="No","No Twilight",IF(T700="Yes","Uncomprehended Twilight",IF((Character!$B$14+IF(Character!$B$53="Yes",0,Character!$B$53)+IF(Magic!$C$5="Yes",2,0)+ROUNDUP((Magic!$B$30+IF(Magic!$C$30="Yes",3,0))/5,0)+S700)&gt;=($D$3+P700+SUMIF(Character!$I$62:$I$66,"Enigmatic Wisdom",Character!$J$62:$J$66)+Q700+U700),"No Twilight","Twilight")))</f>
        <v>No Twilight</v>
      </c>
      <c r="W700" s="483"/>
      <c r="X700" s="478"/>
      <c r="Y700" s="484"/>
      <c r="Z700" s="478"/>
      <c r="AA700" s="485" t="str">
        <f>IF(V700="Uncomprehended Twilight","Failed",IF(OR(ISBLANK(W700),ISBLANK(Y700))," ",IF(NOT(ISBLANK(X700)),"Failed",IF((W700+Character!$B$9+SUMIF(Character!$I$62:$I$66,"Enigmatic Wisdom",Character!$J$62:$J$66))&gt;=IF(Z700="Yes",0,(Y700+D695)),"Succeeded","Failed"))))</f>
        <v xml:space="preserve"> </v>
      </c>
      <c r="AB700" s="477" t="str">
        <f>IF(AA700=" "," ",IF(NOT(ISBLANK(X700)),VLOOKUP($D$3+X700,Calcs!$A$110:$C$122,3,TRUE),IF(AA700="Failed",VLOOKUP($D$3,Calcs!$A$110:$C$122,3,TRUE),VLOOKUP($D$3-(IF((Character!$B$9+W700)&gt;($D$3+Y700),(Character!$B$9+W700)-($D$3+Y700),0)),Calcs!$A$110:$C$122,3,TRUE))))</f>
        <v xml:space="preserve"> </v>
      </c>
      <c r="AC700" s="489"/>
      <c r="AD700" s="489" t="str">
        <f>IF(IF(AA700=" "," ",IF(NOT(ISBLANK(X700)),VLOOKUP($D$3+X700,Calcs!$A$110:$B$122,2,TRUE),IF(AA700="Failed",VLOOKUP($D$3,Calcs!$A$110:$B$122,2,TRUE),VLOOKUP($D$3-(IF((Character!$B$9+W700)&gt;($D$3+Y700),(Character!$B$9+W700)-($D$3+Y700),0)),Calcs!$A$110:$B$122,2,TRUE))))=Calcs!$B$120,IF(ISBLANK(AC700)," ",CONCATENATE(AC700+7," Years")),IF(AA700=" "," ",IF(NOT(ISBLANK(X700)),VLOOKUP($D$3+X700,Calcs!$A$110:$B$122,2,TRUE),IF(AA700="Failed",VLOOKUP($D$3,Calcs!$A$110:$B$122,2,TRUE),VLOOKUP($D$3-(IF((Character!$B$9+W700)&gt;($D$3+Y700),(Character!$B$9+W700)-($D$3+Y700),0)),Calcs!$A$110:$B$122,2,TRUE)))))</f>
        <v xml:space="preserve"> </v>
      </c>
      <c r="AE700" s="490"/>
      <c r="AF700" s="879"/>
      <c r="AG700" s="491"/>
    </row>
    <row r="701" spans="1:33" x14ac:dyDescent="0.2">
      <c r="A701" s="415">
        <f t="shared" si="20"/>
        <v>1385</v>
      </c>
      <c r="B701" s="419" t="str">
        <f t="shared" si="21"/>
        <v>Spring</v>
      </c>
      <c r="C701" s="455"/>
      <c r="D701" s="504"/>
      <c r="E701" s="455"/>
      <c r="F701" s="504"/>
      <c r="G701" s="455"/>
      <c r="H701" s="504"/>
      <c r="I701" s="455"/>
      <c r="J701" s="504"/>
      <c r="L701" s="472"/>
      <c r="M701" s="468"/>
      <c r="N701" s="468"/>
      <c r="O701" s="468"/>
      <c r="P701" s="468"/>
      <c r="Q701" s="473"/>
      <c r="R701" s="477" t="str">
        <f>IF(AND(COUNTIF('Start Character'!$I$63:$M$77,"Twilight Prone")=1,NOT(ISERROR(FIND("Magical Botch",M701)))),"Yes",IF(P701&gt;1,"Yes","No"))</f>
        <v>No</v>
      </c>
      <c r="S701" s="501"/>
      <c r="T701" s="478"/>
      <c r="U701" s="501"/>
      <c r="V701" s="479" t="str">
        <f>IF(R701="No","No Twilight",IF(T701="Yes","Uncomprehended Twilight",IF((Character!$B$14+IF(Character!$B$53="Yes",0,Character!$B$53)+IF(Magic!$C$5="Yes",2,0)+ROUNDUP((Magic!$B$30+IF(Magic!$C$30="Yes",3,0))/5,0)+S701)&gt;=($D$3+P701+SUMIF(Character!$I$62:$I$66,"Enigmatic Wisdom",Character!$J$62:$J$66)+Q701+U701),"No Twilight","Twilight")))</f>
        <v>No Twilight</v>
      </c>
      <c r="W701" s="483"/>
      <c r="X701" s="478"/>
      <c r="Y701" s="484"/>
      <c r="Z701" s="478"/>
      <c r="AA701" s="485" t="str">
        <f>IF(V701="Uncomprehended Twilight","Failed",IF(OR(ISBLANK(W701),ISBLANK(Y701))," ",IF(NOT(ISBLANK(X701)),"Failed",IF((W701+Character!$B$9+SUMIF(Character!$I$62:$I$66,"Enigmatic Wisdom",Character!$J$62:$J$66))&gt;=IF(Z701="Yes",0,(Y701+D696)),"Succeeded","Failed"))))</f>
        <v xml:space="preserve"> </v>
      </c>
      <c r="AB701" s="477" t="str">
        <f>IF(AA701=" "," ",IF(NOT(ISBLANK(X701)),VLOOKUP($D$3+X701,Calcs!$A$110:$C$122,3,TRUE),IF(AA701="Failed",VLOOKUP($D$3,Calcs!$A$110:$C$122,3,TRUE),VLOOKUP($D$3-(IF((Character!$B$9+W701)&gt;($D$3+Y701),(Character!$B$9+W701)-($D$3+Y701),0)),Calcs!$A$110:$C$122,3,TRUE))))</f>
        <v xml:space="preserve"> </v>
      </c>
      <c r="AC701" s="489"/>
      <c r="AD701" s="489" t="str">
        <f>IF(IF(AA701=" "," ",IF(NOT(ISBLANK(X701)),VLOOKUP($D$3+X701,Calcs!$A$110:$B$122,2,TRUE),IF(AA701="Failed",VLOOKUP($D$3,Calcs!$A$110:$B$122,2,TRUE),VLOOKUP($D$3-(IF((Character!$B$9+W701)&gt;($D$3+Y701),(Character!$B$9+W701)-($D$3+Y701),0)),Calcs!$A$110:$B$122,2,TRUE))))=Calcs!$B$120,IF(ISBLANK(AC701)," ",CONCATENATE(AC701+7," Years")),IF(AA701=" "," ",IF(NOT(ISBLANK(X701)),VLOOKUP($D$3+X701,Calcs!$A$110:$B$122,2,TRUE),IF(AA701="Failed",VLOOKUP($D$3,Calcs!$A$110:$B$122,2,TRUE),VLOOKUP($D$3-(IF((Character!$B$9+W701)&gt;($D$3+Y701),(Character!$B$9+W701)-($D$3+Y701),0)),Calcs!$A$110:$B$122,2,TRUE)))))</f>
        <v xml:space="preserve"> </v>
      </c>
      <c r="AE701" s="490"/>
      <c r="AF701" s="879"/>
      <c r="AG701" s="491"/>
    </row>
    <row r="702" spans="1:33" x14ac:dyDescent="0.2">
      <c r="A702" s="415">
        <f t="shared" si="20"/>
        <v>1385</v>
      </c>
      <c r="B702" s="419" t="str">
        <f t="shared" si="21"/>
        <v>Summer</v>
      </c>
      <c r="C702" s="455"/>
      <c r="D702" s="504"/>
      <c r="E702" s="455"/>
      <c r="F702" s="504"/>
      <c r="G702" s="455"/>
      <c r="H702" s="504"/>
      <c r="I702" s="455"/>
      <c r="J702" s="504"/>
      <c r="L702" s="472"/>
      <c r="M702" s="468"/>
      <c r="N702" s="468"/>
      <c r="O702" s="468"/>
      <c r="P702" s="468"/>
      <c r="Q702" s="473"/>
      <c r="R702" s="477" t="str">
        <f>IF(AND(COUNTIF('Start Character'!$I$63:$M$77,"Twilight Prone")=1,NOT(ISERROR(FIND("Magical Botch",M702)))),"Yes",IF(P702&gt;1,"Yes","No"))</f>
        <v>No</v>
      </c>
      <c r="S702" s="501"/>
      <c r="T702" s="478"/>
      <c r="U702" s="501"/>
      <c r="V702" s="479" t="str">
        <f>IF(R702="No","No Twilight",IF(T702="Yes","Uncomprehended Twilight",IF((Character!$B$14+IF(Character!$B$53="Yes",0,Character!$B$53)+IF(Magic!$C$5="Yes",2,0)+ROUNDUP((Magic!$B$30+IF(Magic!$C$30="Yes",3,0))/5,0)+S702)&gt;=($D$3+P702+SUMIF(Character!$I$62:$I$66,"Enigmatic Wisdom",Character!$J$62:$J$66)+Q702+U702),"No Twilight","Twilight")))</f>
        <v>No Twilight</v>
      </c>
      <c r="W702" s="483"/>
      <c r="X702" s="478"/>
      <c r="Y702" s="484"/>
      <c r="Z702" s="478"/>
      <c r="AA702" s="485" t="str">
        <f>IF(V702="Uncomprehended Twilight","Failed",IF(OR(ISBLANK(W702),ISBLANK(Y702))," ",IF(NOT(ISBLANK(X702)),"Failed",IF((W702+Character!$B$9+SUMIF(Character!$I$62:$I$66,"Enigmatic Wisdom",Character!$J$62:$J$66))&gt;=IF(Z702="Yes",0,(Y702+D697)),"Succeeded","Failed"))))</f>
        <v xml:space="preserve"> </v>
      </c>
      <c r="AB702" s="477" t="str">
        <f>IF(AA702=" "," ",IF(NOT(ISBLANK(X702)),VLOOKUP($D$3+X702,Calcs!$A$110:$C$122,3,TRUE),IF(AA702="Failed",VLOOKUP($D$3,Calcs!$A$110:$C$122,3,TRUE),VLOOKUP($D$3-(IF((Character!$B$9+W702)&gt;($D$3+Y702),(Character!$B$9+W702)-($D$3+Y702),0)),Calcs!$A$110:$C$122,3,TRUE))))</f>
        <v xml:space="preserve"> </v>
      </c>
      <c r="AC702" s="489"/>
      <c r="AD702" s="489" t="str">
        <f>IF(IF(AA702=" "," ",IF(NOT(ISBLANK(X702)),VLOOKUP($D$3+X702,Calcs!$A$110:$B$122,2,TRUE),IF(AA702="Failed",VLOOKUP($D$3,Calcs!$A$110:$B$122,2,TRUE),VLOOKUP($D$3-(IF((Character!$B$9+W702)&gt;($D$3+Y702),(Character!$B$9+W702)-($D$3+Y702),0)),Calcs!$A$110:$B$122,2,TRUE))))=Calcs!$B$120,IF(ISBLANK(AC702)," ",CONCATENATE(AC702+7," Years")),IF(AA702=" "," ",IF(NOT(ISBLANK(X702)),VLOOKUP($D$3+X702,Calcs!$A$110:$B$122,2,TRUE),IF(AA702="Failed",VLOOKUP($D$3,Calcs!$A$110:$B$122,2,TRUE),VLOOKUP($D$3-(IF((Character!$B$9+W702)&gt;($D$3+Y702),(Character!$B$9+W702)-($D$3+Y702),0)),Calcs!$A$110:$B$122,2,TRUE)))))</f>
        <v xml:space="preserve"> </v>
      </c>
      <c r="AE702" s="490"/>
      <c r="AF702" s="879"/>
      <c r="AG702" s="491"/>
    </row>
    <row r="703" spans="1:33" x14ac:dyDescent="0.2">
      <c r="A703" s="415">
        <f t="shared" si="20"/>
        <v>1385</v>
      </c>
      <c r="B703" s="419" t="str">
        <f t="shared" si="21"/>
        <v>Autumn</v>
      </c>
      <c r="C703" s="455"/>
      <c r="D703" s="504"/>
      <c r="E703" s="455"/>
      <c r="F703" s="504"/>
      <c r="G703" s="455"/>
      <c r="H703" s="504"/>
      <c r="I703" s="455"/>
      <c r="J703" s="504"/>
      <c r="L703" s="472"/>
      <c r="M703" s="468"/>
      <c r="N703" s="468"/>
      <c r="O703" s="468"/>
      <c r="P703" s="468"/>
      <c r="Q703" s="473"/>
      <c r="R703" s="477" t="str">
        <f>IF(AND(COUNTIF('Start Character'!$I$63:$M$77,"Twilight Prone")=1,NOT(ISERROR(FIND("Magical Botch",M703)))),"Yes",IF(P703&gt;1,"Yes","No"))</f>
        <v>No</v>
      </c>
      <c r="S703" s="501"/>
      <c r="T703" s="478"/>
      <c r="U703" s="501"/>
      <c r="V703" s="479" t="str">
        <f>IF(R703="No","No Twilight",IF(T703="Yes","Uncomprehended Twilight",IF((Character!$B$14+IF(Character!$B$53="Yes",0,Character!$B$53)+IF(Magic!$C$5="Yes",2,0)+ROUNDUP((Magic!$B$30+IF(Magic!$C$30="Yes",3,0))/5,0)+S703)&gt;=($D$3+P703+SUMIF(Character!$I$62:$I$66,"Enigmatic Wisdom",Character!$J$62:$J$66)+Q703+U703),"No Twilight","Twilight")))</f>
        <v>No Twilight</v>
      </c>
      <c r="W703" s="483"/>
      <c r="X703" s="478"/>
      <c r="Y703" s="484"/>
      <c r="Z703" s="478"/>
      <c r="AA703" s="485" t="str">
        <f>IF(V703="Uncomprehended Twilight","Failed",IF(OR(ISBLANK(W703),ISBLANK(Y703))," ",IF(NOT(ISBLANK(X703)),"Failed",IF((W703+Character!$B$9+SUMIF(Character!$I$62:$I$66,"Enigmatic Wisdom",Character!$J$62:$J$66))&gt;=IF(Z703="Yes",0,(Y703+D698)),"Succeeded","Failed"))))</f>
        <v xml:space="preserve"> </v>
      </c>
      <c r="AB703" s="477" t="str">
        <f>IF(AA703=" "," ",IF(NOT(ISBLANK(X703)),VLOOKUP($D$3+X703,Calcs!$A$110:$C$122,3,TRUE),IF(AA703="Failed",VLOOKUP($D$3,Calcs!$A$110:$C$122,3,TRUE),VLOOKUP($D$3-(IF((Character!$B$9+W703)&gt;($D$3+Y703),(Character!$B$9+W703)-($D$3+Y703),0)),Calcs!$A$110:$C$122,3,TRUE))))</f>
        <v xml:space="preserve"> </v>
      </c>
      <c r="AC703" s="489"/>
      <c r="AD703" s="489" t="str">
        <f>IF(IF(AA703=" "," ",IF(NOT(ISBLANK(X703)),VLOOKUP($D$3+X703,Calcs!$A$110:$B$122,2,TRUE),IF(AA703="Failed",VLOOKUP($D$3,Calcs!$A$110:$B$122,2,TRUE),VLOOKUP($D$3-(IF((Character!$B$9+W703)&gt;($D$3+Y703),(Character!$B$9+W703)-($D$3+Y703),0)),Calcs!$A$110:$B$122,2,TRUE))))=Calcs!$B$120,IF(ISBLANK(AC703)," ",CONCATENATE(AC703+7," Years")),IF(AA703=" "," ",IF(NOT(ISBLANK(X703)),VLOOKUP($D$3+X703,Calcs!$A$110:$B$122,2,TRUE),IF(AA703="Failed",VLOOKUP($D$3,Calcs!$A$110:$B$122,2,TRUE),VLOOKUP($D$3-(IF((Character!$B$9+W703)&gt;($D$3+Y703),(Character!$B$9+W703)-($D$3+Y703),0)),Calcs!$A$110:$B$122,2,TRUE)))))</f>
        <v xml:space="preserve"> </v>
      </c>
      <c r="AE703" s="490"/>
      <c r="AF703" s="879"/>
      <c r="AG703" s="491"/>
    </row>
    <row r="704" spans="1:33" x14ac:dyDescent="0.2">
      <c r="A704" s="415">
        <f t="shared" si="20"/>
        <v>1386</v>
      </c>
      <c r="B704" s="419" t="str">
        <f t="shared" si="21"/>
        <v>Winter</v>
      </c>
      <c r="C704" s="455"/>
      <c r="D704" s="504"/>
      <c r="E704" s="455"/>
      <c r="F704" s="504"/>
      <c r="G704" s="455"/>
      <c r="H704" s="504"/>
      <c r="I704" s="455"/>
      <c r="J704" s="504"/>
      <c r="L704" s="472"/>
      <c r="M704" s="468"/>
      <c r="N704" s="468"/>
      <c r="O704" s="468"/>
      <c r="P704" s="468"/>
      <c r="Q704" s="473"/>
      <c r="R704" s="477" t="str">
        <f>IF(AND(COUNTIF('Start Character'!$I$63:$M$77,"Twilight Prone")=1,NOT(ISERROR(FIND("Magical Botch",M704)))),"Yes",IF(P704&gt;1,"Yes","No"))</f>
        <v>No</v>
      </c>
      <c r="S704" s="501"/>
      <c r="T704" s="478"/>
      <c r="U704" s="501"/>
      <c r="V704" s="479" t="str">
        <f>IF(R704="No","No Twilight",IF(T704="Yes","Uncomprehended Twilight",IF((Character!$B$14+IF(Character!$B$53="Yes",0,Character!$B$53)+IF(Magic!$C$5="Yes",2,0)+ROUNDUP((Magic!$B$30+IF(Magic!$C$30="Yes",3,0))/5,0)+S704)&gt;=($D$3+P704+SUMIF(Character!$I$62:$I$66,"Enigmatic Wisdom",Character!$J$62:$J$66)+Q704+U704),"No Twilight","Twilight")))</f>
        <v>No Twilight</v>
      </c>
      <c r="W704" s="483"/>
      <c r="X704" s="478"/>
      <c r="Y704" s="484"/>
      <c r="Z704" s="478"/>
      <c r="AA704" s="485" t="str">
        <f>IF(V704="Uncomprehended Twilight","Failed",IF(OR(ISBLANK(W704),ISBLANK(Y704))," ",IF(NOT(ISBLANK(X704)),"Failed",IF((W704+Character!$B$9+SUMIF(Character!$I$62:$I$66,"Enigmatic Wisdom",Character!$J$62:$J$66))&gt;=IF(Z704="Yes",0,(Y704+D699)),"Succeeded","Failed"))))</f>
        <v xml:space="preserve"> </v>
      </c>
      <c r="AB704" s="477" t="str">
        <f>IF(AA704=" "," ",IF(NOT(ISBLANK(X704)),VLOOKUP($D$3+X704,Calcs!$A$110:$C$122,3,TRUE),IF(AA704="Failed",VLOOKUP($D$3,Calcs!$A$110:$C$122,3,TRUE),VLOOKUP($D$3-(IF((Character!$B$9+W704)&gt;($D$3+Y704),(Character!$B$9+W704)-($D$3+Y704),0)),Calcs!$A$110:$C$122,3,TRUE))))</f>
        <v xml:space="preserve"> </v>
      </c>
      <c r="AC704" s="489"/>
      <c r="AD704" s="489" t="str">
        <f>IF(IF(AA704=" "," ",IF(NOT(ISBLANK(X704)),VLOOKUP($D$3+X704,Calcs!$A$110:$B$122,2,TRUE),IF(AA704="Failed",VLOOKUP($D$3,Calcs!$A$110:$B$122,2,TRUE),VLOOKUP($D$3-(IF((Character!$B$9+W704)&gt;($D$3+Y704),(Character!$B$9+W704)-($D$3+Y704),0)),Calcs!$A$110:$B$122,2,TRUE))))=Calcs!$B$120,IF(ISBLANK(AC704)," ",CONCATENATE(AC704+7," Years")),IF(AA704=" "," ",IF(NOT(ISBLANK(X704)),VLOOKUP($D$3+X704,Calcs!$A$110:$B$122,2,TRUE),IF(AA704="Failed",VLOOKUP($D$3,Calcs!$A$110:$B$122,2,TRUE),VLOOKUP($D$3-(IF((Character!$B$9+W704)&gt;($D$3+Y704),(Character!$B$9+W704)-($D$3+Y704),0)),Calcs!$A$110:$B$122,2,TRUE)))))</f>
        <v xml:space="preserve"> </v>
      </c>
      <c r="AE704" s="490"/>
      <c r="AF704" s="879"/>
      <c r="AG704" s="491"/>
    </row>
    <row r="705" spans="1:33" x14ac:dyDescent="0.2">
      <c r="A705" s="415">
        <f t="shared" si="20"/>
        <v>1386</v>
      </c>
      <c r="B705" s="419" t="str">
        <f t="shared" si="21"/>
        <v>Spring</v>
      </c>
      <c r="C705" s="455"/>
      <c r="D705" s="504"/>
      <c r="E705" s="455"/>
      <c r="F705" s="504"/>
      <c r="G705" s="455"/>
      <c r="H705" s="504"/>
      <c r="I705" s="455"/>
      <c r="J705" s="504"/>
      <c r="L705" s="472"/>
      <c r="M705" s="468"/>
      <c r="N705" s="468"/>
      <c r="O705" s="468"/>
      <c r="P705" s="468"/>
      <c r="Q705" s="473"/>
      <c r="R705" s="477" t="str">
        <f>IF(AND(COUNTIF('Start Character'!$I$63:$M$77,"Twilight Prone")=1,NOT(ISERROR(FIND("Magical Botch",M705)))),"Yes",IF(P705&gt;1,"Yes","No"))</f>
        <v>No</v>
      </c>
      <c r="S705" s="501"/>
      <c r="T705" s="478"/>
      <c r="U705" s="501"/>
      <c r="V705" s="479" t="str">
        <f>IF(R705="No","No Twilight",IF(T705="Yes","Uncomprehended Twilight",IF((Character!$B$14+IF(Character!$B$53="Yes",0,Character!$B$53)+IF(Magic!$C$5="Yes",2,0)+ROUNDUP((Magic!$B$30+IF(Magic!$C$30="Yes",3,0))/5,0)+S705)&gt;=($D$3+P705+SUMIF(Character!$I$62:$I$66,"Enigmatic Wisdom",Character!$J$62:$J$66)+Q705+U705),"No Twilight","Twilight")))</f>
        <v>No Twilight</v>
      </c>
      <c r="W705" s="483"/>
      <c r="X705" s="478"/>
      <c r="Y705" s="484"/>
      <c r="Z705" s="478"/>
      <c r="AA705" s="485" t="str">
        <f>IF(V705="Uncomprehended Twilight","Failed",IF(OR(ISBLANK(W705),ISBLANK(Y705))," ",IF(NOT(ISBLANK(X705)),"Failed",IF((W705+Character!$B$9+SUMIF(Character!$I$62:$I$66,"Enigmatic Wisdom",Character!$J$62:$J$66))&gt;=IF(Z705="Yes",0,(Y705+D700)),"Succeeded","Failed"))))</f>
        <v xml:space="preserve"> </v>
      </c>
      <c r="AB705" s="477" t="str">
        <f>IF(AA705=" "," ",IF(NOT(ISBLANK(X705)),VLOOKUP($D$3+X705,Calcs!$A$110:$C$122,3,TRUE),IF(AA705="Failed",VLOOKUP($D$3,Calcs!$A$110:$C$122,3,TRUE),VLOOKUP($D$3-(IF((Character!$B$9+W705)&gt;($D$3+Y705),(Character!$B$9+W705)-($D$3+Y705),0)),Calcs!$A$110:$C$122,3,TRUE))))</f>
        <v xml:space="preserve"> </v>
      </c>
      <c r="AC705" s="489"/>
      <c r="AD705" s="489" t="str">
        <f>IF(IF(AA705=" "," ",IF(NOT(ISBLANK(X705)),VLOOKUP($D$3+X705,Calcs!$A$110:$B$122,2,TRUE),IF(AA705="Failed",VLOOKUP($D$3,Calcs!$A$110:$B$122,2,TRUE),VLOOKUP($D$3-(IF((Character!$B$9+W705)&gt;($D$3+Y705),(Character!$B$9+W705)-($D$3+Y705),0)),Calcs!$A$110:$B$122,2,TRUE))))=Calcs!$B$120,IF(ISBLANK(AC705)," ",CONCATENATE(AC705+7," Years")),IF(AA705=" "," ",IF(NOT(ISBLANK(X705)),VLOOKUP($D$3+X705,Calcs!$A$110:$B$122,2,TRUE),IF(AA705="Failed",VLOOKUP($D$3,Calcs!$A$110:$B$122,2,TRUE),VLOOKUP($D$3-(IF((Character!$B$9+W705)&gt;($D$3+Y705),(Character!$B$9+W705)-($D$3+Y705),0)),Calcs!$A$110:$B$122,2,TRUE)))))</f>
        <v xml:space="preserve"> </v>
      </c>
      <c r="AE705" s="490"/>
      <c r="AF705" s="879"/>
      <c r="AG705" s="491"/>
    </row>
    <row r="706" spans="1:33" x14ac:dyDescent="0.2">
      <c r="A706" s="415">
        <f t="shared" si="20"/>
        <v>1386</v>
      </c>
      <c r="B706" s="419" t="str">
        <f t="shared" si="21"/>
        <v>Summer</v>
      </c>
      <c r="C706" s="455"/>
      <c r="D706" s="504"/>
      <c r="E706" s="455"/>
      <c r="F706" s="504"/>
      <c r="G706" s="455"/>
      <c r="H706" s="504"/>
      <c r="I706" s="455"/>
      <c r="J706" s="504"/>
      <c r="L706" s="472"/>
      <c r="M706" s="468"/>
      <c r="N706" s="468"/>
      <c r="O706" s="468"/>
      <c r="P706" s="468"/>
      <c r="Q706" s="473"/>
      <c r="R706" s="477" t="str">
        <f>IF(AND(COUNTIF('Start Character'!$I$63:$M$77,"Twilight Prone")=1,NOT(ISERROR(FIND("Magical Botch",M706)))),"Yes",IF(P706&gt;1,"Yes","No"))</f>
        <v>No</v>
      </c>
      <c r="S706" s="501"/>
      <c r="T706" s="478"/>
      <c r="U706" s="501"/>
      <c r="V706" s="479" t="str">
        <f>IF(R706="No","No Twilight",IF(T706="Yes","Uncomprehended Twilight",IF((Character!$B$14+IF(Character!$B$53="Yes",0,Character!$B$53)+IF(Magic!$C$5="Yes",2,0)+ROUNDUP((Magic!$B$30+IF(Magic!$C$30="Yes",3,0))/5,0)+S706)&gt;=($D$3+P706+SUMIF(Character!$I$62:$I$66,"Enigmatic Wisdom",Character!$J$62:$J$66)+Q706+U706),"No Twilight","Twilight")))</f>
        <v>No Twilight</v>
      </c>
      <c r="W706" s="483"/>
      <c r="X706" s="478"/>
      <c r="Y706" s="484"/>
      <c r="Z706" s="478"/>
      <c r="AA706" s="485" t="str">
        <f>IF(V706="Uncomprehended Twilight","Failed",IF(OR(ISBLANK(W706),ISBLANK(Y706))," ",IF(NOT(ISBLANK(X706)),"Failed",IF((W706+Character!$B$9+SUMIF(Character!$I$62:$I$66,"Enigmatic Wisdom",Character!$J$62:$J$66))&gt;=IF(Z706="Yes",0,(Y706+D701)),"Succeeded","Failed"))))</f>
        <v xml:space="preserve"> </v>
      </c>
      <c r="AB706" s="477" t="str">
        <f>IF(AA706=" "," ",IF(NOT(ISBLANK(X706)),VLOOKUP($D$3+X706,Calcs!$A$110:$C$122,3,TRUE),IF(AA706="Failed",VLOOKUP($D$3,Calcs!$A$110:$C$122,3,TRUE),VLOOKUP($D$3-(IF((Character!$B$9+W706)&gt;($D$3+Y706),(Character!$B$9+W706)-($D$3+Y706),0)),Calcs!$A$110:$C$122,3,TRUE))))</f>
        <v xml:space="preserve"> </v>
      </c>
      <c r="AC706" s="489"/>
      <c r="AD706" s="489" t="str">
        <f>IF(IF(AA706=" "," ",IF(NOT(ISBLANK(X706)),VLOOKUP($D$3+X706,Calcs!$A$110:$B$122,2,TRUE),IF(AA706="Failed",VLOOKUP($D$3,Calcs!$A$110:$B$122,2,TRUE),VLOOKUP($D$3-(IF((Character!$B$9+W706)&gt;($D$3+Y706),(Character!$B$9+W706)-($D$3+Y706),0)),Calcs!$A$110:$B$122,2,TRUE))))=Calcs!$B$120,IF(ISBLANK(AC706)," ",CONCATENATE(AC706+7," Years")),IF(AA706=" "," ",IF(NOT(ISBLANK(X706)),VLOOKUP($D$3+X706,Calcs!$A$110:$B$122,2,TRUE),IF(AA706="Failed",VLOOKUP($D$3,Calcs!$A$110:$B$122,2,TRUE),VLOOKUP($D$3-(IF((Character!$B$9+W706)&gt;($D$3+Y706),(Character!$B$9+W706)-($D$3+Y706),0)),Calcs!$A$110:$B$122,2,TRUE)))))</f>
        <v xml:space="preserve"> </v>
      </c>
      <c r="AE706" s="490"/>
      <c r="AF706" s="879"/>
      <c r="AG706" s="491"/>
    </row>
    <row r="707" spans="1:33" x14ac:dyDescent="0.2">
      <c r="A707" s="415">
        <f t="shared" si="20"/>
        <v>1386</v>
      </c>
      <c r="B707" s="419" t="str">
        <f t="shared" si="21"/>
        <v>Autumn</v>
      </c>
      <c r="C707" s="455"/>
      <c r="D707" s="504"/>
      <c r="E707" s="455"/>
      <c r="F707" s="504"/>
      <c r="G707" s="455"/>
      <c r="H707" s="504"/>
      <c r="I707" s="455"/>
      <c r="J707" s="504"/>
      <c r="L707" s="472"/>
      <c r="M707" s="468"/>
      <c r="N707" s="468"/>
      <c r="O707" s="468"/>
      <c r="P707" s="468"/>
      <c r="Q707" s="473"/>
      <c r="R707" s="477" t="str">
        <f>IF(AND(COUNTIF('Start Character'!$I$63:$M$77,"Twilight Prone")=1,NOT(ISERROR(FIND("Magical Botch",M707)))),"Yes",IF(P707&gt;1,"Yes","No"))</f>
        <v>No</v>
      </c>
      <c r="S707" s="501"/>
      <c r="T707" s="478"/>
      <c r="U707" s="501"/>
      <c r="V707" s="479" t="str">
        <f>IF(R707="No","No Twilight",IF(T707="Yes","Uncomprehended Twilight",IF((Character!$B$14+IF(Character!$B$53="Yes",0,Character!$B$53)+IF(Magic!$C$5="Yes",2,0)+ROUNDUP((Magic!$B$30+IF(Magic!$C$30="Yes",3,0))/5,0)+S707)&gt;=($D$3+P707+SUMIF(Character!$I$62:$I$66,"Enigmatic Wisdom",Character!$J$62:$J$66)+Q707+U707),"No Twilight","Twilight")))</f>
        <v>No Twilight</v>
      </c>
      <c r="W707" s="483"/>
      <c r="X707" s="478"/>
      <c r="Y707" s="484"/>
      <c r="Z707" s="478"/>
      <c r="AA707" s="485" t="str">
        <f>IF(V707="Uncomprehended Twilight","Failed",IF(OR(ISBLANK(W707),ISBLANK(Y707))," ",IF(NOT(ISBLANK(X707)),"Failed",IF((W707+Character!$B$9+SUMIF(Character!$I$62:$I$66,"Enigmatic Wisdom",Character!$J$62:$J$66))&gt;=IF(Z707="Yes",0,(Y707+D702)),"Succeeded","Failed"))))</f>
        <v xml:space="preserve"> </v>
      </c>
      <c r="AB707" s="477" t="str">
        <f>IF(AA707=" "," ",IF(NOT(ISBLANK(X707)),VLOOKUP($D$3+X707,Calcs!$A$110:$C$122,3,TRUE),IF(AA707="Failed",VLOOKUP($D$3,Calcs!$A$110:$C$122,3,TRUE),VLOOKUP($D$3-(IF((Character!$B$9+W707)&gt;($D$3+Y707),(Character!$B$9+W707)-($D$3+Y707),0)),Calcs!$A$110:$C$122,3,TRUE))))</f>
        <v xml:space="preserve"> </v>
      </c>
      <c r="AC707" s="489"/>
      <c r="AD707" s="489" t="str">
        <f>IF(IF(AA707=" "," ",IF(NOT(ISBLANK(X707)),VLOOKUP($D$3+X707,Calcs!$A$110:$B$122,2,TRUE),IF(AA707="Failed",VLOOKUP($D$3,Calcs!$A$110:$B$122,2,TRUE),VLOOKUP($D$3-(IF((Character!$B$9+W707)&gt;($D$3+Y707),(Character!$B$9+W707)-($D$3+Y707),0)),Calcs!$A$110:$B$122,2,TRUE))))=Calcs!$B$120,IF(ISBLANK(AC707)," ",CONCATENATE(AC707+7," Years")),IF(AA707=" "," ",IF(NOT(ISBLANK(X707)),VLOOKUP($D$3+X707,Calcs!$A$110:$B$122,2,TRUE),IF(AA707="Failed",VLOOKUP($D$3,Calcs!$A$110:$B$122,2,TRUE),VLOOKUP($D$3-(IF((Character!$B$9+W707)&gt;($D$3+Y707),(Character!$B$9+W707)-($D$3+Y707),0)),Calcs!$A$110:$B$122,2,TRUE)))))</f>
        <v xml:space="preserve"> </v>
      </c>
      <c r="AE707" s="490"/>
      <c r="AF707" s="879"/>
      <c r="AG707" s="491"/>
    </row>
    <row r="708" spans="1:33" x14ac:dyDescent="0.2">
      <c r="A708" s="415">
        <f t="shared" si="20"/>
        <v>1387</v>
      </c>
      <c r="B708" s="419" t="str">
        <f t="shared" si="21"/>
        <v>Winter</v>
      </c>
      <c r="C708" s="455"/>
      <c r="D708" s="504"/>
      <c r="E708" s="455"/>
      <c r="F708" s="504"/>
      <c r="G708" s="455"/>
      <c r="H708" s="504"/>
      <c r="I708" s="455"/>
      <c r="J708" s="504"/>
      <c r="L708" s="472"/>
      <c r="M708" s="468"/>
      <c r="N708" s="468"/>
      <c r="O708" s="468"/>
      <c r="P708" s="468"/>
      <c r="Q708" s="473"/>
      <c r="R708" s="477" t="str">
        <f>IF(AND(COUNTIF('Start Character'!$I$63:$M$77,"Twilight Prone")=1,NOT(ISERROR(FIND("Magical Botch",M708)))),"Yes",IF(P708&gt;1,"Yes","No"))</f>
        <v>No</v>
      </c>
      <c r="S708" s="501"/>
      <c r="T708" s="478"/>
      <c r="U708" s="501"/>
      <c r="V708" s="479" t="str">
        <f>IF(R708="No","No Twilight",IF(T708="Yes","Uncomprehended Twilight",IF((Character!$B$14+IF(Character!$B$53="Yes",0,Character!$B$53)+IF(Magic!$C$5="Yes",2,0)+ROUNDUP((Magic!$B$30+IF(Magic!$C$30="Yes",3,0))/5,0)+S708)&gt;=($D$3+P708+SUMIF(Character!$I$62:$I$66,"Enigmatic Wisdom",Character!$J$62:$J$66)+Q708+U708),"No Twilight","Twilight")))</f>
        <v>No Twilight</v>
      </c>
      <c r="W708" s="483"/>
      <c r="X708" s="478"/>
      <c r="Y708" s="484"/>
      <c r="Z708" s="478"/>
      <c r="AA708" s="485" t="str">
        <f>IF(V708="Uncomprehended Twilight","Failed",IF(OR(ISBLANK(W708),ISBLANK(Y708))," ",IF(NOT(ISBLANK(X708)),"Failed",IF((W708+Character!$B$9+SUMIF(Character!$I$62:$I$66,"Enigmatic Wisdom",Character!$J$62:$J$66))&gt;=IF(Z708="Yes",0,(Y708+D703)),"Succeeded","Failed"))))</f>
        <v xml:space="preserve"> </v>
      </c>
      <c r="AB708" s="477" t="str">
        <f>IF(AA708=" "," ",IF(NOT(ISBLANK(X708)),VLOOKUP($D$3+X708,Calcs!$A$110:$C$122,3,TRUE),IF(AA708="Failed",VLOOKUP($D$3,Calcs!$A$110:$C$122,3,TRUE),VLOOKUP($D$3-(IF((Character!$B$9+W708)&gt;($D$3+Y708),(Character!$B$9+W708)-($D$3+Y708),0)),Calcs!$A$110:$C$122,3,TRUE))))</f>
        <v xml:space="preserve"> </v>
      </c>
      <c r="AC708" s="489"/>
      <c r="AD708" s="489" t="str">
        <f>IF(IF(AA708=" "," ",IF(NOT(ISBLANK(X708)),VLOOKUP($D$3+X708,Calcs!$A$110:$B$122,2,TRUE),IF(AA708="Failed",VLOOKUP($D$3,Calcs!$A$110:$B$122,2,TRUE),VLOOKUP($D$3-(IF((Character!$B$9+W708)&gt;($D$3+Y708),(Character!$B$9+W708)-($D$3+Y708),0)),Calcs!$A$110:$B$122,2,TRUE))))=Calcs!$B$120,IF(ISBLANK(AC708)," ",CONCATENATE(AC708+7," Years")),IF(AA708=" "," ",IF(NOT(ISBLANK(X708)),VLOOKUP($D$3+X708,Calcs!$A$110:$B$122,2,TRUE),IF(AA708="Failed",VLOOKUP($D$3,Calcs!$A$110:$B$122,2,TRUE),VLOOKUP($D$3-(IF((Character!$B$9+W708)&gt;($D$3+Y708),(Character!$B$9+W708)-($D$3+Y708),0)),Calcs!$A$110:$B$122,2,TRUE)))))</f>
        <v xml:space="preserve"> </v>
      </c>
      <c r="AE708" s="490"/>
      <c r="AF708" s="879"/>
      <c r="AG708" s="491"/>
    </row>
    <row r="709" spans="1:33" x14ac:dyDescent="0.2">
      <c r="A709" s="415">
        <f t="shared" si="20"/>
        <v>1387</v>
      </c>
      <c r="B709" s="419" t="str">
        <f t="shared" si="21"/>
        <v>Spring</v>
      </c>
      <c r="C709" s="455"/>
      <c r="D709" s="504"/>
      <c r="E709" s="455"/>
      <c r="F709" s="504"/>
      <c r="G709" s="455"/>
      <c r="H709" s="504"/>
      <c r="I709" s="455"/>
      <c r="J709" s="504"/>
      <c r="L709" s="472"/>
      <c r="M709" s="468"/>
      <c r="N709" s="468"/>
      <c r="O709" s="468"/>
      <c r="P709" s="468"/>
      <c r="Q709" s="473"/>
      <c r="R709" s="477" t="str">
        <f>IF(AND(COUNTIF('Start Character'!$I$63:$M$77,"Twilight Prone")=1,NOT(ISERROR(FIND("Magical Botch",M709)))),"Yes",IF(P709&gt;1,"Yes","No"))</f>
        <v>No</v>
      </c>
      <c r="S709" s="501"/>
      <c r="T709" s="478"/>
      <c r="U709" s="501"/>
      <c r="V709" s="479" t="str">
        <f>IF(R709="No","No Twilight",IF(T709="Yes","Uncomprehended Twilight",IF((Character!$B$14+IF(Character!$B$53="Yes",0,Character!$B$53)+IF(Magic!$C$5="Yes",2,0)+ROUNDUP((Magic!$B$30+IF(Magic!$C$30="Yes",3,0))/5,0)+S709)&gt;=($D$3+P709+SUMIF(Character!$I$62:$I$66,"Enigmatic Wisdom",Character!$J$62:$J$66)+Q709+U709),"No Twilight","Twilight")))</f>
        <v>No Twilight</v>
      </c>
      <c r="W709" s="483"/>
      <c r="X709" s="478"/>
      <c r="Y709" s="484"/>
      <c r="Z709" s="478"/>
      <c r="AA709" s="485" t="str">
        <f>IF(V709="Uncomprehended Twilight","Failed",IF(OR(ISBLANK(W709),ISBLANK(Y709))," ",IF(NOT(ISBLANK(X709)),"Failed",IF((W709+Character!$B$9+SUMIF(Character!$I$62:$I$66,"Enigmatic Wisdom",Character!$J$62:$J$66))&gt;=IF(Z709="Yes",0,(Y709+D704)),"Succeeded","Failed"))))</f>
        <v xml:space="preserve"> </v>
      </c>
      <c r="AB709" s="477" t="str">
        <f>IF(AA709=" "," ",IF(NOT(ISBLANK(X709)),VLOOKUP($D$3+X709,Calcs!$A$110:$C$122,3,TRUE),IF(AA709="Failed",VLOOKUP($D$3,Calcs!$A$110:$C$122,3,TRUE),VLOOKUP($D$3-(IF((Character!$B$9+W709)&gt;($D$3+Y709),(Character!$B$9+W709)-($D$3+Y709),0)),Calcs!$A$110:$C$122,3,TRUE))))</f>
        <v xml:space="preserve"> </v>
      </c>
      <c r="AC709" s="489"/>
      <c r="AD709" s="489" t="str">
        <f>IF(IF(AA709=" "," ",IF(NOT(ISBLANK(X709)),VLOOKUP($D$3+X709,Calcs!$A$110:$B$122,2,TRUE),IF(AA709="Failed",VLOOKUP($D$3,Calcs!$A$110:$B$122,2,TRUE),VLOOKUP($D$3-(IF((Character!$B$9+W709)&gt;($D$3+Y709),(Character!$B$9+W709)-($D$3+Y709),0)),Calcs!$A$110:$B$122,2,TRUE))))=Calcs!$B$120,IF(ISBLANK(AC709)," ",CONCATENATE(AC709+7," Years")),IF(AA709=" "," ",IF(NOT(ISBLANK(X709)),VLOOKUP($D$3+X709,Calcs!$A$110:$B$122,2,TRUE),IF(AA709="Failed",VLOOKUP($D$3,Calcs!$A$110:$B$122,2,TRUE),VLOOKUP($D$3-(IF((Character!$B$9+W709)&gt;($D$3+Y709),(Character!$B$9+W709)-($D$3+Y709),0)),Calcs!$A$110:$B$122,2,TRUE)))))</f>
        <v xml:space="preserve"> </v>
      </c>
      <c r="AE709" s="490"/>
      <c r="AF709" s="879"/>
      <c r="AG709" s="491"/>
    </row>
    <row r="710" spans="1:33" x14ac:dyDescent="0.2">
      <c r="A710" s="415">
        <f t="shared" si="20"/>
        <v>1387</v>
      </c>
      <c r="B710" s="419" t="str">
        <f t="shared" si="21"/>
        <v>Summer</v>
      </c>
      <c r="C710" s="455"/>
      <c r="D710" s="504"/>
      <c r="E710" s="455"/>
      <c r="F710" s="504"/>
      <c r="G710" s="455"/>
      <c r="H710" s="504"/>
      <c r="I710" s="455"/>
      <c r="J710" s="504"/>
      <c r="L710" s="472"/>
      <c r="M710" s="468"/>
      <c r="N710" s="468"/>
      <c r="O710" s="468"/>
      <c r="P710" s="468"/>
      <c r="Q710" s="473"/>
      <c r="R710" s="477" t="str">
        <f>IF(AND(COUNTIF('Start Character'!$I$63:$M$77,"Twilight Prone")=1,NOT(ISERROR(FIND("Magical Botch",M710)))),"Yes",IF(P710&gt;1,"Yes","No"))</f>
        <v>No</v>
      </c>
      <c r="S710" s="501"/>
      <c r="T710" s="478"/>
      <c r="U710" s="501"/>
      <c r="V710" s="479" t="str">
        <f>IF(R710="No","No Twilight",IF(T710="Yes","Uncomprehended Twilight",IF((Character!$B$14+IF(Character!$B$53="Yes",0,Character!$B$53)+IF(Magic!$C$5="Yes",2,0)+ROUNDUP((Magic!$B$30+IF(Magic!$C$30="Yes",3,0))/5,0)+S710)&gt;=($D$3+P710+SUMIF(Character!$I$62:$I$66,"Enigmatic Wisdom",Character!$J$62:$J$66)+Q710+U710),"No Twilight","Twilight")))</f>
        <v>No Twilight</v>
      </c>
      <c r="W710" s="483"/>
      <c r="X710" s="478"/>
      <c r="Y710" s="484"/>
      <c r="Z710" s="478"/>
      <c r="AA710" s="485" t="str">
        <f>IF(V710="Uncomprehended Twilight","Failed",IF(OR(ISBLANK(W710),ISBLANK(Y710))," ",IF(NOT(ISBLANK(X710)),"Failed",IF((W710+Character!$B$9+SUMIF(Character!$I$62:$I$66,"Enigmatic Wisdom",Character!$J$62:$J$66))&gt;=IF(Z710="Yes",0,(Y710+D705)),"Succeeded","Failed"))))</f>
        <v xml:space="preserve"> </v>
      </c>
      <c r="AB710" s="477" t="str">
        <f>IF(AA710=" "," ",IF(NOT(ISBLANK(X710)),VLOOKUP($D$3+X710,Calcs!$A$110:$C$122,3,TRUE),IF(AA710="Failed",VLOOKUP($D$3,Calcs!$A$110:$C$122,3,TRUE),VLOOKUP($D$3-(IF((Character!$B$9+W710)&gt;($D$3+Y710),(Character!$B$9+W710)-($D$3+Y710),0)),Calcs!$A$110:$C$122,3,TRUE))))</f>
        <v xml:space="preserve"> </v>
      </c>
      <c r="AC710" s="489"/>
      <c r="AD710" s="489" t="str">
        <f>IF(IF(AA710=" "," ",IF(NOT(ISBLANK(X710)),VLOOKUP($D$3+X710,Calcs!$A$110:$B$122,2,TRUE),IF(AA710="Failed",VLOOKUP($D$3,Calcs!$A$110:$B$122,2,TRUE),VLOOKUP($D$3-(IF((Character!$B$9+W710)&gt;($D$3+Y710),(Character!$B$9+W710)-($D$3+Y710),0)),Calcs!$A$110:$B$122,2,TRUE))))=Calcs!$B$120,IF(ISBLANK(AC710)," ",CONCATENATE(AC710+7," Years")),IF(AA710=" "," ",IF(NOT(ISBLANK(X710)),VLOOKUP($D$3+X710,Calcs!$A$110:$B$122,2,TRUE),IF(AA710="Failed",VLOOKUP($D$3,Calcs!$A$110:$B$122,2,TRUE),VLOOKUP($D$3-(IF((Character!$B$9+W710)&gt;($D$3+Y710),(Character!$B$9+W710)-($D$3+Y710),0)),Calcs!$A$110:$B$122,2,TRUE)))))</f>
        <v xml:space="preserve"> </v>
      </c>
      <c r="AE710" s="490"/>
      <c r="AF710" s="879"/>
      <c r="AG710" s="491"/>
    </row>
    <row r="711" spans="1:33" x14ac:dyDescent="0.2">
      <c r="A711" s="415">
        <f t="shared" si="20"/>
        <v>1387</v>
      </c>
      <c r="B711" s="419" t="str">
        <f t="shared" si="21"/>
        <v>Autumn</v>
      </c>
      <c r="C711" s="455"/>
      <c r="D711" s="504"/>
      <c r="E711" s="455"/>
      <c r="F711" s="504"/>
      <c r="G711" s="455"/>
      <c r="H711" s="504"/>
      <c r="I711" s="455"/>
      <c r="J711" s="504"/>
      <c r="L711" s="472"/>
      <c r="M711" s="468"/>
      <c r="N711" s="468"/>
      <c r="O711" s="468"/>
      <c r="P711" s="468"/>
      <c r="Q711" s="473"/>
      <c r="R711" s="477" t="str">
        <f>IF(AND(COUNTIF('Start Character'!$I$63:$M$77,"Twilight Prone")=1,NOT(ISERROR(FIND("Magical Botch",M711)))),"Yes",IF(P711&gt;1,"Yes","No"))</f>
        <v>No</v>
      </c>
      <c r="S711" s="501"/>
      <c r="T711" s="478"/>
      <c r="U711" s="501"/>
      <c r="V711" s="479" t="str">
        <f>IF(R711="No","No Twilight",IF(T711="Yes","Uncomprehended Twilight",IF((Character!$B$14+IF(Character!$B$53="Yes",0,Character!$B$53)+IF(Magic!$C$5="Yes",2,0)+ROUNDUP((Magic!$B$30+IF(Magic!$C$30="Yes",3,0))/5,0)+S711)&gt;=($D$3+P711+SUMIF(Character!$I$62:$I$66,"Enigmatic Wisdom",Character!$J$62:$J$66)+Q711+U711),"No Twilight","Twilight")))</f>
        <v>No Twilight</v>
      </c>
      <c r="W711" s="483"/>
      <c r="X711" s="478"/>
      <c r="Y711" s="484"/>
      <c r="Z711" s="478"/>
      <c r="AA711" s="485" t="str">
        <f>IF(V711="Uncomprehended Twilight","Failed",IF(OR(ISBLANK(W711),ISBLANK(Y711))," ",IF(NOT(ISBLANK(X711)),"Failed",IF((W711+Character!$B$9+SUMIF(Character!$I$62:$I$66,"Enigmatic Wisdom",Character!$J$62:$J$66))&gt;=IF(Z711="Yes",0,(Y711+D706)),"Succeeded","Failed"))))</f>
        <v xml:space="preserve"> </v>
      </c>
      <c r="AB711" s="477" t="str">
        <f>IF(AA711=" "," ",IF(NOT(ISBLANK(X711)),VLOOKUP($D$3+X711,Calcs!$A$110:$C$122,3,TRUE),IF(AA711="Failed",VLOOKUP($D$3,Calcs!$A$110:$C$122,3,TRUE),VLOOKUP($D$3-(IF((Character!$B$9+W711)&gt;($D$3+Y711),(Character!$B$9+W711)-($D$3+Y711),0)),Calcs!$A$110:$C$122,3,TRUE))))</f>
        <v xml:space="preserve"> </v>
      </c>
      <c r="AC711" s="489"/>
      <c r="AD711" s="489" t="str">
        <f>IF(IF(AA711=" "," ",IF(NOT(ISBLANK(X711)),VLOOKUP($D$3+X711,Calcs!$A$110:$B$122,2,TRUE),IF(AA711="Failed",VLOOKUP($D$3,Calcs!$A$110:$B$122,2,TRUE),VLOOKUP($D$3-(IF((Character!$B$9+W711)&gt;($D$3+Y711),(Character!$B$9+W711)-($D$3+Y711),0)),Calcs!$A$110:$B$122,2,TRUE))))=Calcs!$B$120,IF(ISBLANK(AC711)," ",CONCATENATE(AC711+7," Years")),IF(AA711=" "," ",IF(NOT(ISBLANK(X711)),VLOOKUP($D$3+X711,Calcs!$A$110:$B$122,2,TRUE),IF(AA711="Failed",VLOOKUP($D$3,Calcs!$A$110:$B$122,2,TRUE),VLOOKUP($D$3-(IF((Character!$B$9+W711)&gt;($D$3+Y711),(Character!$B$9+W711)-($D$3+Y711),0)),Calcs!$A$110:$B$122,2,TRUE)))))</f>
        <v xml:space="preserve"> </v>
      </c>
      <c r="AE711" s="490"/>
      <c r="AF711" s="879"/>
      <c r="AG711" s="491"/>
    </row>
    <row r="712" spans="1:33" x14ac:dyDescent="0.2">
      <c r="A712" s="415">
        <f t="shared" si="20"/>
        <v>1388</v>
      </c>
      <c r="B712" s="419" t="str">
        <f t="shared" si="21"/>
        <v>Winter</v>
      </c>
      <c r="C712" s="455"/>
      <c r="D712" s="504"/>
      <c r="E712" s="455"/>
      <c r="F712" s="504"/>
      <c r="G712" s="455"/>
      <c r="H712" s="504"/>
      <c r="I712" s="455"/>
      <c r="J712" s="504"/>
      <c r="L712" s="472"/>
      <c r="M712" s="468"/>
      <c r="N712" s="468"/>
      <c r="O712" s="468"/>
      <c r="P712" s="468"/>
      <c r="Q712" s="473"/>
      <c r="R712" s="477" t="str">
        <f>IF(AND(COUNTIF('Start Character'!$I$63:$M$77,"Twilight Prone")=1,NOT(ISERROR(FIND("Magical Botch",M712)))),"Yes",IF(P712&gt;1,"Yes","No"))</f>
        <v>No</v>
      </c>
      <c r="S712" s="501"/>
      <c r="T712" s="478"/>
      <c r="U712" s="501"/>
      <c r="V712" s="479" t="str">
        <f>IF(R712="No","No Twilight",IF(T712="Yes","Uncomprehended Twilight",IF((Character!$B$14+IF(Character!$B$53="Yes",0,Character!$B$53)+IF(Magic!$C$5="Yes",2,0)+ROUNDUP((Magic!$B$30+IF(Magic!$C$30="Yes",3,0))/5,0)+S712)&gt;=($D$3+P712+SUMIF(Character!$I$62:$I$66,"Enigmatic Wisdom",Character!$J$62:$J$66)+Q712+U712),"No Twilight","Twilight")))</f>
        <v>No Twilight</v>
      </c>
      <c r="W712" s="483"/>
      <c r="X712" s="478"/>
      <c r="Y712" s="484"/>
      <c r="Z712" s="478"/>
      <c r="AA712" s="485" t="str">
        <f>IF(V712="Uncomprehended Twilight","Failed",IF(OR(ISBLANK(W712),ISBLANK(Y712))," ",IF(NOT(ISBLANK(X712)),"Failed",IF((W712+Character!$B$9+SUMIF(Character!$I$62:$I$66,"Enigmatic Wisdom",Character!$J$62:$J$66))&gt;=IF(Z712="Yes",0,(Y712+D707)),"Succeeded","Failed"))))</f>
        <v xml:space="preserve"> </v>
      </c>
      <c r="AB712" s="477" t="str">
        <f>IF(AA712=" "," ",IF(NOT(ISBLANK(X712)),VLOOKUP($D$3+X712,Calcs!$A$110:$C$122,3,TRUE),IF(AA712="Failed",VLOOKUP($D$3,Calcs!$A$110:$C$122,3,TRUE),VLOOKUP($D$3-(IF((Character!$B$9+W712)&gt;($D$3+Y712),(Character!$B$9+W712)-($D$3+Y712),0)),Calcs!$A$110:$C$122,3,TRUE))))</f>
        <v xml:space="preserve"> </v>
      </c>
      <c r="AC712" s="489"/>
      <c r="AD712" s="489" t="str">
        <f>IF(IF(AA712=" "," ",IF(NOT(ISBLANK(X712)),VLOOKUP($D$3+X712,Calcs!$A$110:$B$122,2,TRUE),IF(AA712="Failed",VLOOKUP($D$3,Calcs!$A$110:$B$122,2,TRUE),VLOOKUP($D$3-(IF((Character!$B$9+W712)&gt;($D$3+Y712),(Character!$B$9+W712)-($D$3+Y712),0)),Calcs!$A$110:$B$122,2,TRUE))))=Calcs!$B$120,IF(ISBLANK(AC712)," ",CONCATENATE(AC712+7," Years")),IF(AA712=" "," ",IF(NOT(ISBLANK(X712)),VLOOKUP($D$3+X712,Calcs!$A$110:$B$122,2,TRUE),IF(AA712="Failed",VLOOKUP($D$3,Calcs!$A$110:$B$122,2,TRUE),VLOOKUP($D$3-(IF((Character!$B$9+W712)&gt;($D$3+Y712),(Character!$B$9+W712)-($D$3+Y712),0)),Calcs!$A$110:$B$122,2,TRUE)))))</f>
        <v xml:space="preserve"> </v>
      </c>
      <c r="AE712" s="490"/>
      <c r="AF712" s="879"/>
      <c r="AG712" s="491"/>
    </row>
    <row r="713" spans="1:33" x14ac:dyDescent="0.2">
      <c r="A713" s="415">
        <f t="shared" si="20"/>
        <v>1388</v>
      </c>
      <c r="B713" s="419" t="str">
        <f t="shared" si="21"/>
        <v>Spring</v>
      </c>
      <c r="C713" s="455"/>
      <c r="D713" s="504"/>
      <c r="E713" s="455"/>
      <c r="F713" s="504"/>
      <c r="G713" s="455"/>
      <c r="H713" s="504"/>
      <c r="I713" s="455"/>
      <c r="J713" s="504"/>
      <c r="L713" s="472"/>
      <c r="M713" s="468"/>
      <c r="N713" s="468"/>
      <c r="O713" s="468"/>
      <c r="P713" s="468"/>
      <c r="Q713" s="473"/>
      <c r="R713" s="477" t="str">
        <f>IF(AND(COUNTIF('Start Character'!$I$63:$M$77,"Twilight Prone")=1,NOT(ISERROR(FIND("Magical Botch",M713)))),"Yes",IF(P713&gt;1,"Yes","No"))</f>
        <v>No</v>
      </c>
      <c r="S713" s="501"/>
      <c r="T713" s="478"/>
      <c r="U713" s="501"/>
      <c r="V713" s="479" t="str">
        <f>IF(R713="No","No Twilight",IF(T713="Yes","Uncomprehended Twilight",IF((Character!$B$14+IF(Character!$B$53="Yes",0,Character!$B$53)+IF(Magic!$C$5="Yes",2,0)+ROUNDUP((Magic!$B$30+IF(Magic!$C$30="Yes",3,0))/5,0)+S713)&gt;=($D$3+P713+SUMIF(Character!$I$62:$I$66,"Enigmatic Wisdom",Character!$J$62:$J$66)+Q713+U713),"No Twilight","Twilight")))</f>
        <v>No Twilight</v>
      </c>
      <c r="W713" s="483"/>
      <c r="X713" s="478"/>
      <c r="Y713" s="484"/>
      <c r="Z713" s="478"/>
      <c r="AA713" s="485" t="str">
        <f>IF(V713="Uncomprehended Twilight","Failed",IF(OR(ISBLANK(W713),ISBLANK(Y713))," ",IF(NOT(ISBLANK(X713)),"Failed",IF((W713+Character!$B$9+SUMIF(Character!$I$62:$I$66,"Enigmatic Wisdom",Character!$J$62:$J$66))&gt;=IF(Z713="Yes",0,(Y713+D708)),"Succeeded","Failed"))))</f>
        <v xml:space="preserve"> </v>
      </c>
      <c r="AB713" s="477" t="str">
        <f>IF(AA713=" "," ",IF(NOT(ISBLANK(X713)),VLOOKUP($D$3+X713,Calcs!$A$110:$C$122,3,TRUE),IF(AA713="Failed",VLOOKUP($D$3,Calcs!$A$110:$C$122,3,TRUE),VLOOKUP($D$3-(IF((Character!$B$9+W713)&gt;($D$3+Y713),(Character!$B$9+W713)-($D$3+Y713),0)),Calcs!$A$110:$C$122,3,TRUE))))</f>
        <v xml:space="preserve"> </v>
      </c>
      <c r="AC713" s="489"/>
      <c r="AD713" s="489" t="str">
        <f>IF(IF(AA713=" "," ",IF(NOT(ISBLANK(X713)),VLOOKUP($D$3+X713,Calcs!$A$110:$B$122,2,TRUE),IF(AA713="Failed",VLOOKUP($D$3,Calcs!$A$110:$B$122,2,TRUE),VLOOKUP($D$3-(IF((Character!$B$9+W713)&gt;($D$3+Y713),(Character!$B$9+W713)-($D$3+Y713),0)),Calcs!$A$110:$B$122,2,TRUE))))=Calcs!$B$120,IF(ISBLANK(AC713)," ",CONCATENATE(AC713+7," Years")),IF(AA713=" "," ",IF(NOT(ISBLANK(X713)),VLOOKUP($D$3+X713,Calcs!$A$110:$B$122,2,TRUE),IF(AA713="Failed",VLOOKUP($D$3,Calcs!$A$110:$B$122,2,TRUE),VLOOKUP($D$3-(IF((Character!$B$9+W713)&gt;($D$3+Y713),(Character!$B$9+W713)-($D$3+Y713),0)),Calcs!$A$110:$B$122,2,TRUE)))))</f>
        <v xml:space="preserve"> </v>
      </c>
      <c r="AE713" s="490"/>
      <c r="AF713" s="879"/>
      <c r="AG713" s="491"/>
    </row>
    <row r="714" spans="1:33" x14ac:dyDescent="0.2">
      <c r="A714" s="415">
        <f t="shared" si="20"/>
        <v>1388</v>
      </c>
      <c r="B714" s="419" t="str">
        <f t="shared" si="21"/>
        <v>Summer</v>
      </c>
      <c r="C714" s="455"/>
      <c r="D714" s="504"/>
      <c r="E714" s="455"/>
      <c r="F714" s="504"/>
      <c r="G714" s="455"/>
      <c r="H714" s="504"/>
      <c r="I714" s="455"/>
      <c r="J714" s="504"/>
      <c r="L714" s="472"/>
      <c r="M714" s="468"/>
      <c r="N714" s="468"/>
      <c r="O714" s="468"/>
      <c r="P714" s="468"/>
      <c r="Q714" s="473"/>
      <c r="R714" s="477" t="str">
        <f>IF(AND(COUNTIF('Start Character'!$I$63:$M$77,"Twilight Prone")=1,NOT(ISERROR(FIND("Magical Botch",M714)))),"Yes",IF(P714&gt;1,"Yes","No"))</f>
        <v>No</v>
      </c>
      <c r="S714" s="501"/>
      <c r="T714" s="478"/>
      <c r="U714" s="501"/>
      <c r="V714" s="479" t="str">
        <f>IF(R714="No","No Twilight",IF(T714="Yes","Uncomprehended Twilight",IF((Character!$B$14+IF(Character!$B$53="Yes",0,Character!$B$53)+IF(Magic!$C$5="Yes",2,0)+ROUNDUP((Magic!$B$30+IF(Magic!$C$30="Yes",3,0))/5,0)+S714)&gt;=($D$3+P714+SUMIF(Character!$I$62:$I$66,"Enigmatic Wisdom",Character!$J$62:$J$66)+Q714+U714),"No Twilight","Twilight")))</f>
        <v>No Twilight</v>
      </c>
      <c r="W714" s="483"/>
      <c r="X714" s="478"/>
      <c r="Y714" s="484"/>
      <c r="Z714" s="478"/>
      <c r="AA714" s="485" t="str">
        <f>IF(V714="Uncomprehended Twilight","Failed",IF(OR(ISBLANK(W714),ISBLANK(Y714))," ",IF(NOT(ISBLANK(X714)),"Failed",IF((W714+Character!$B$9+SUMIF(Character!$I$62:$I$66,"Enigmatic Wisdom",Character!$J$62:$J$66))&gt;=IF(Z714="Yes",0,(Y714+D709)),"Succeeded","Failed"))))</f>
        <v xml:space="preserve"> </v>
      </c>
      <c r="AB714" s="477" t="str">
        <f>IF(AA714=" "," ",IF(NOT(ISBLANK(X714)),VLOOKUP($D$3+X714,Calcs!$A$110:$C$122,3,TRUE),IF(AA714="Failed",VLOOKUP($D$3,Calcs!$A$110:$C$122,3,TRUE),VLOOKUP($D$3-(IF((Character!$B$9+W714)&gt;($D$3+Y714),(Character!$B$9+W714)-($D$3+Y714),0)),Calcs!$A$110:$C$122,3,TRUE))))</f>
        <v xml:space="preserve"> </v>
      </c>
      <c r="AC714" s="489"/>
      <c r="AD714" s="489" t="str">
        <f>IF(IF(AA714=" "," ",IF(NOT(ISBLANK(X714)),VLOOKUP($D$3+X714,Calcs!$A$110:$B$122,2,TRUE),IF(AA714="Failed",VLOOKUP($D$3,Calcs!$A$110:$B$122,2,TRUE),VLOOKUP($D$3-(IF((Character!$B$9+W714)&gt;($D$3+Y714),(Character!$B$9+W714)-($D$3+Y714),0)),Calcs!$A$110:$B$122,2,TRUE))))=Calcs!$B$120,IF(ISBLANK(AC714)," ",CONCATENATE(AC714+7," Years")),IF(AA714=" "," ",IF(NOT(ISBLANK(X714)),VLOOKUP($D$3+X714,Calcs!$A$110:$B$122,2,TRUE),IF(AA714="Failed",VLOOKUP($D$3,Calcs!$A$110:$B$122,2,TRUE),VLOOKUP($D$3-(IF((Character!$B$9+W714)&gt;($D$3+Y714),(Character!$B$9+W714)-($D$3+Y714),0)),Calcs!$A$110:$B$122,2,TRUE)))))</f>
        <v xml:space="preserve"> </v>
      </c>
      <c r="AE714" s="490"/>
      <c r="AF714" s="879"/>
      <c r="AG714" s="491"/>
    </row>
    <row r="715" spans="1:33" x14ac:dyDescent="0.2">
      <c r="A715" s="415">
        <f t="shared" si="20"/>
        <v>1388</v>
      </c>
      <c r="B715" s="419" t="str">
        <f t="shared" si="21"/>
        <v>Autumn</v>
      </c>
      <c r="C715" s="455"/>
      <c r="D715" s="504"/>
      <c r="E715" s="455"/>
      <c r="F715" s="504"/>
      <c r="G715" s="455"/>
      <c r="H715" s="504"/>
      <c r="I715" s="455"/>
      <c r="J715" s="504"/>
      <c r="L715" s="472"/>
      <c r="M715" s="468"/>
      <c r="N715" s="468"/>
      <c r="O715" s="468"/>
      <c r="P715" s="468"/>
      <c r="Q715" s="473"/>
      <c r="R715" s="477" t="str">
        <f>IF(AND(COUNTIF('Start Character'!$I$63:$M$77,"Twilight Prone")=1,NOT(ISERROR(FIND("Magical Botch",M715)))),"Yes",IF(P715&gt;1,"Yes","No"))</f>
        <v>No</v>
      </c>
      <c r="S715" s="501"/>
      <c r="T715" s="478"/>
      <c r="U715" s="501"/>
      <c r="V715" s="479" t="str">
        <f>IF(R715="No","No Twilight",IF(T715="Yes","Uncomprehended Twilight",IF((Character!$B$14+IF(Character!$B$53="Yes",0,Character!$B$53)+IF(Magic!$C$5="Yes",2,0)+ROUNDUP((Magic!$B$30+IF(Magic!$C$30="Yes",3,0))/5,0)+S715)&gt;=($D$3+P715+SUMIF(Character!$I$62:$I$66,"Enigmatic Wisdom",Character!$J$62:$J$66)+Q715+U715),"No Twilight","Twilight")))</f>
        <v>No Twilight</v>
      </c>
      <c r="W715" s="483"/>
      <c r="X715" s="478"/>
      <c r="Y715" s="484"/>
      <c r="Z715" s="478"/>
      <c r="AA715" s="485" t="str">
        <f>IF(V715="Uncomprehended Twilight","Failed",IF(OR(ISBLANK(W715),ISBLANK(Y715))," ",IF(NOT(ISBLANK(X715)),"Failed",IF((W715+Character!$B$9+SUMIF(Character!$I$62:$I$66,"Enigmatic Wisdom",Character!$J$62:$J$66))&gt;=IF(Z715="Yes",0,(Y715+D710)),"Succeeded","Failed"))))</f>
        <v xml:space="preserve"> </v>
      </c>
      <c r="AB715" s="477" t="str">
        <f>IF(AA715=" "," ",IF(NOT(ISBLANK(X715)),VLOOKUP($D$3+X715,Calcs!$A$110:$C$122,3,TRUE),IF(AA715="Failed",VLOOKUP($D$3,Calcs!$A$110:$C$122,3,TRUE),VLOOKUP($D$3-(IF((Character!$B$9+W715)&gt;($D$3+Y715),(Character!$B$9+W715)-($D$3+Y715),0)),Calcs!$A$110:$C$122,3,TRUE))))</f>
        <v xml:space="preserve"> </v>
      </c>
      <c r="AC715" s="489"/>
      <c r="AD715" s="489" t="str">
        <f>IF(IF(AA715=" "," ",IF(NOT(ISBLANK(X715)),VLOOKUP($D$3+X715,Calcs!$A$110:$B$122,2,TRUE),IF(AA715="Failed",VLOOKUP($D$3,Calcs!$A$110:$B$122,2,TRUE),VLOOKUP($D$3-(IF((Character!$B$9+W715)&gt;($D$3+Y715),(Character!$B$9+W715)-($D$3+Y715),0)),Calcs!$A$110:$B$122,2,TRUE))))=Calcs!$B$120,IF(ISBLANK(AC715)," ",CONCATENATE(AC715+7," Years")),IF(AA715=" "," ",IF(NOT(ISBLANK(X715)),VLOOKUP($D$3+X715,Calcs!$A$110:$B$122,2,TRUE),IF(AA715="Failed",VLOOKUP($D$3,Calcs!$A$110:$B$122,2,TRUE),VLOOKUP($D$3-(IF((Character!$B$9+W715)&gt;($D$3+Y715),(Character!$B$9+W715)-($D$3+Y715),0)),Calcs!$A$110:$B$122,2,TRUE)))))</f>
        <v xml:space="preserve"> </v>
      </c>
      <c r="AE715" s="490"/>
      <c r="AF715" s="879"/>
      <c r="AG715" s="491"/>
    </row>
    <row r="716" spans="1:33" x14ac:dyDescent="0.2">
      <c r="A716" s="415">
        <f t="shared" si="20"/>
        <v>1389</v>
      </c>
      <c r="B716" s="419" t="str">
        <f t="shared" si="21"/>
        <v>Winter</v>
      </c>
      <c r="C716" s="455"/>
      <c r="D716" s="504"/>
      <c r="E716" s="455"/>
      <c r="F716" s="504"/>
      <c r="G716" s="455"/>
      <c r="H716" s="504"/>
      <c r="I716" s="455"/>
      <c r="J716" s="504"/>
      <c r="L716" s="472"/>
      <c r="M716" s="468"/>
      <c r="N716" s="468"/>
      <c r="O716" s="468"/>
      <c r="P716" s="468"/>
      <c r="Q716" s="473"/>
      <c r="R716" s="477" t="str">
        <f>IF(AND(COUNTIF('Start Character'!$I$63:$M$77,"Twilight Prone")=1,NOT(ISERROR(FIND("Magical Botch",M716)))),"Yes",IF(P716&gt;1,"Yes","No"))</f>
        <v>No</v>
      </c>
      <c r="S716" s="501"/>
      <c r="T716" s="478"/>
      <c r="U716" s="501"/>
      <c r="V716" s="479" t="str">
        <f>IF(R716="No","No Twilight",IF(T716="Yes","Uncomprehended Twilight",IF((Character!$B$14+IF(Character!$B$53="Yes",0,Character!$B$53)+IF(Magic!$C$5="Yes",2,0)+ROUNDUP((Magic!$B$30+IF(Magic!$C$30="Yes",3,0))/5,0)+S716)&gt;=($D$3+P716+SUMIF(Character!$I$62:$I$66,"Enigmatic Wisdom",Character!$J$62:$J$66)+Q716+U716),"No Twilight","Twilight")))</f>
        <v>No Twilight</v>
      </c>
      <c r="W716" s="483"/>
      <c r="X716" s="478"/>
      <c r="Y716" s="484"/>
      <c r="Z716" s="478"/>
      <c r="AA716" s="485" t="str">
        <f>IF(V716="Uncomprehended Twilight","Failed",IF(OR(ISBLANK(W716),ISBLANK(Y716))," ",IF(NOT(ISBLANK(X716)),"Failed",IF((W716+Character!$B$9+SUMIF(Character!$I$62:$I$66,"Enigmatic Wisdom",Character!$J$62:$J$66))&gt;=IF(Z716="Yes",0,(Y716+D711)),"Succeeded","Failed"))))</f>
        <v xml:space="preserve"> </v>
      </c>
      <c r="AB716" s="477" t="str">
        <f>IF(AA716=" "," ",IF(NOT(ISBLANK(X716)),VLOOKUP($D$3+X716,Calcs!$A$110:$C$122,3,TRUE),IF(AA716="Failed",VLOOKUP($D$3,Calcs!$A$110:$C$122,3,TRUE),VLOOKUP($D$3-(IF((Character!$B$9+W716)&gt;($D$3+Y716),(Character!$B$9+W716)-($D$3+Y716),0)),Calcs!$A$110:$C$122,3,TRUE))))</f>
        <v xml:space="preserve"> </v>
      </c>
      <c r="AC716" s="489"/>
      <c r="AD716" s="489" t="str">
        <f>IF(IF(AA716=" "," ",IF(NOT(ISBLANK(X716)),VLOOKUP($D$3+X716,Calcs!$A$110:$B$122,2,TRUE),IF(AA716="Failed",VLOOKUP($D$3,Calcs!$A$110:$B$122,2,TRUE),VLOOKUP($D$3-(IF((Character!$B$9+W716)&gt;($D$3+Y716),(Character!$B$9+W716)-($D$3+Y716),0)),Calcs!$A$110:$B$122,2,TRUE))))=Calcs!$B$120,IF(ISBLANK(AC716)," ",CONCATENATE(AC716+7," Years")),IF(AA716=" "," ",IF(NOT(ISBLANK(X716)),VLOOKUP($D$3+X716,Calcs!$A$110:$B$122,2,TRUE),IF(AA716="Failed",VLOOKUP($D$3,Calcs!$A$110:$B$122,2,TRUE),VLOOKUP($D$3-(IF((Character!$B$9+W716)&gt;($D$3+Y716),(Character!$B$9+W716)-($D$3+Y716),0)),Calcs!$A$110:$B$122,2,TRUE)))))</f>
        <v xml:space="preserve"> </v>
      </c>
      <c r="AE716" s="490"/>
      <c r="AF716" s="879"/>
      <c r="AG716" s="491"/>
    </row>
    <row r="717" spans="1:33" x14ac:dyDescent="0.2">
      <c r="A717" s="415">
        <f t="shared" si="20"/>
        <v>1389</v>
      </c>
      <c r="B717" s="419" t="str">
        <f t="shared" si="21"/>
        <v>Spring</v>
      </c>
      <c r="C717" s="455"/>
      <c r="D717" s="504"/>
      <c r="E717" s="455"/>
      <c r="F717" s="504"/>
      <c r="G717" s="455"/>
      <c r="H717" s="504"/>
      <c r="I717" s="455"/>
      <c r="J717" s="504"/>
      <c r="L717" s="472"/>
      <c r="M717" s="468"/>
      <c r="N717" s="468"/>
      <c r="O717" s="468"/>
      <c r="P717" s="468"/>
      <c r="Q717" s="473"/>
      <c r="R717" s="477" t="str">
        <f>IF(AND(COUNTIF('Start Character'!$I$63:$M$77,"Twilight Prone")=1,NOT(ISERROR(FIND("Magical Botch",M717)))),"Yes",IF(P717&gt;1,"Yes","No"))</f>
        <v>No</v>
      </c>
      <c r="S717" s="501"/>
      <c r="T717" s="478"/>
      <c r="U717" s="501"/>
      <c r="V717" s="479" t="str">
        <f>IF(R717="No","No Twilight",IF(T717="Yes","Uncomprehended Twilight",IF((Character!$B$14+IF(Character!$B$53="Yes",0,Character!$B$53)+IF(Magic!$C$5="Yes",2,0)+ROUNDUP((Magic!$B$30+IF(Magic!$C$30="Yes",3,0))/5,0)+S717)&gt;=($D$3+P717+SUMIF(Character!$I$62:$I$66,"Enigmatic Wisdom",Character!$J$62:$J$66)+Q717+U717),"No Twilight","Twilight")))</f>
        <v>No Twilight</v>
      </c>
      <c r="W717" s="483"/>
      <c r="X717" s="478"/>
      <c r="Y717" s="484"/>
      <c r="Z717" s="478"/>
      <c r="AA717" s="485" t="str">
        <f>IF(V717="Uncomprehended Twilight","Failed",IF(OR(ISBLANK(W717),ISBLANK(Y717))," ",IF(NOT(ISBLANK(X717)),"Failed",IF((W717+Character!$B$9+SUMIF(Character!$I$62:$I$66,"Enigmatic Wisdom",Character!$J$62:$J$66))&gt;=IF(Z717="Yes",0,(Y717+D712)),"Succeeded","Failed"))))</f>
        <v xml:space="preserve"> </v>
      </c>
      <c r="AB717" s="477" t="str">
        <f>IF(AA717=" "," ",IF(NOT(ISBLANK(X717)),VLOOKUP($D$3+X717,Calcs!$A$110:$C$122,3,TRUE),IF(AA717="Failed",VLOOKUP($D$3,Calcs!$A$110:$C$122,3,TRUE),VLOOKUP($D$3-(IF((Character!$B$9+W717)&gt;($D$3+Y717),(Character!$B$9+W717)-($D$3+Y717),0)),Calcs!$A$110:$C$122,3,TRUE))))</f>
        <v xml:space="preserve"> </v>
      </c>
      <c r="AC717" s="489"/>
      <c r="AD717" s="489" t="str">
        <f>IF(IF(AA717=" "," ",IF(NOT(ISBLANK(X717)),VLOOKUP($D$3+X717,Calcs!$A$110:$B$122,2,TRUE),IF(AA717="Failed",VLOOKUP($D$3,Calcs!$A$110:$B$122,2,TRUE),VLOOKUP($D$3-(IF((Character!$B$9+W717)&gt;($D$3+Y717),(Character!$B$9+W717)-($D$3+Y717),0)),Calcs!$A$110:$B$122,2,TRUE))))=Calcs!$B$120,IF(ISBLANK(AC717)," ",CONCATENATE(AC717+7," Years")),IF(AA717=" "," ",IF(NOT(ISBLANK(X717)),VLOOKUP($D$3+X717,Calcs!$A$110:$B$122,2,TRUE),IF(AA717="Failed",VLOOKUP($D$3,Calcs!$A$110:$B$122,2,TRUE),VLOOKUP($D$3-(IF((Character!$B$9+W717)&gt;($D$3+Y717),(Character!$B$9+W717)-($D$3+Y717),0)),Calcs!$A$110:$B$122,2,TRUE)))))</f>
        <v xml:space="preserve"> </v>
      </c>
      <c r="AE717" s="490"/>
      <c r="AF717" s="879"/>
      <c r="AG717" s="491"/>
    </row>
    <row r="718" spans="1:33" x14ac:dyDescent="0.2">
      <c r="A718" s="415">
        <f t="shared" si="20"/>
        <v>1389</v>
      </c>
      <c r="B718" s="419" t="str">
        <f t="shared" si="21"/>
        <v>Summer</v>
      </c>
      <c r="C718" s="455"/>
      <c r="D718" s="504"/>
      <c r="E718" s="455"/>
      <c r="F718" s="504"/>
      <c r="G718" s="455"/>
      <c r="H718" s="504"/>
      <c r="I718" s="455"/>
      <c r="J718" s="504"/>
      <c r="L718" s="472"/>
      <c r="M718" s="468"/>
      <c r="N718" s="468"/>
      <c r="O718" s="468"/>
      <c r="P718" s="468"/>
      <c r="Q718" s="473"/>
      <c r="R718" s="477" t="str">
        <f>IF(AND(COUNTIF('Start Character'!$I$63:$M$77,"Twilight Prone")=1,NOT(ISERROR(FIND("Magical Botch",M718)))),"Yes",IF(P718&gt;1,"Yes","No"))</f>
        <v>No</v>
      </c>
      <c r="S718" s="501"/>
      <c r="T718" s="478"/>
      <c r="U718" s="501"/>
      <c r="V718" s="479" t="str">
        <f>IF(R718="No","No Twilight",IF(T718="Yes","Uncomprehended Twilight",IF((Character!$B$14+IF(Character!$B$53="Yes",0,Character!$B$53)+IF(Magic!$C$5="Yes",2,0)+ROUNDUP((Magic!$B$30+IF(Magic!$C$30="Yes",3,0))/5,0)+S718)&gt;=($D$3+P718+SUMIF(Character!$I$62:$I$66,"Enigmatic Wisdom",Character!$J$62:$J$66)+Q718+U718),"No Twilight","Twilight")))</f>
        <v>No Twilight</v>
      </c>
      <c r="W718" s="483"/>
      <c r="X718" s="478"/>
      <c r="Y718" s="484"/>
      <c r="Z718" s="478"/>
      <c r="AA718" s="485" t="str">
        <f>IF(V718="Uncomprehended Twilight","Failed",IF(OR(ISBLANK(W718),ISBLANK(Y718))," ",IF(NOT(ISBLANK(X718)),"Failed",IF((W718+Character!$B$9+SUMIF(Character!$I$62:$I$66,"Enigmatic Wisdom",Character!$J$62:$J$66))&gt;=IF(Z718="Yes",0,(Y718+D713)),"Succeeded","Failed"))))</f>
        <v xml:space="preserve"> </v>
      </c>
      <c r="AB718" s="477" t="str">
        <f>IF(AA718=" "," ",IF(NOT(ISBLANK(X718)),VLOOKUP($D$3+X718,Calcs!$A$110:$C$122,3,TRUE),IF(AA718="Failed",VLOOKUP($D$3,Calcs!$A$110:$C$122,3,TRUE),VLOOKUP($D$3-(IF((Character!$B$9+W718)&gt;($D$3+Y718),(Character!$B$9+W718)-($D$3+Y718),0)),Calcs!$A$110:$C$122,3,TRUE))))</f>
        <v xml:space="preserve"> </v>
      </c>
      <c r="AC718" s="489"/>
      <c r="AD718" s="489" t="str">
        <f>IF(IF(AA718=" "," ",IF(NOT(ISBLANK(X718)),VLOOKUP($D$3+X718,Calcs!$A$110:$B$122,2,TRUE),IF(AA718="Failed",VLOOKUP($D$3,Calcs!$A$110:$B$122,2,TRUE),VLOOKUP($D$3-(IF((Character!$B$9+W718)&gt;($D$3+Y718),(Character!$B$9+W718)-($D$3+Y718),0)),Calcs!$A$110:$B$122,2,TRUE))))=Calcs!$B$120,IF(ISBLANK(AC718)," ",CONCATENATE(AC718+7," Years")),IF(AA718=" "," ",IF(NOT(ISBLANK(X718)),VLOOKUP($D$3+X718,Calcs!$A$110:$B$122,2,TRUE),IF(AA718="Failed",VLOOKUP($D$3,Calcs!$A$110:$B$122,2,TRUE),VLOOKUP($D$3-(IF((Character!$B$9+W718)&gt;($D$3+Y718),(Character!$B$9+W718)-($D$3+Y718),0)),Calcs!$A$110:$B$122,2,TRUE)))))</f>
        <v xml:space="preserve"> </v>
      </c>
      <c r="AE718" s="490"/>
      <c r="AF718" s="879"/>
      <c r="AG718" s="491"/>
    </row>
    <row r="719" spans="1:33" x14ac:dyDescent="0.2">
      <c r="A719" s="415">
        <f t="shared" si="20"/>
        <v>1389</v>
      </c>
      <c r="B719" s="419" t="str">
        <f t="shared" si="21"/>
        <v>Autumn</v>
      </c>
      <c r="C719" s="455"/>
      <c r="D719" s="504"/>
      <c r="E719" s="455"/>
      <c r="F719" s="504"/>
      <c r="G719" s="455"/>
      <c r="H719" s="504"/>
      <c r="I719" s="455"/>
      <c r="J719" s="504"/>
      <c r="L719" s="472"/>
      <c r="M719" s="468"/>
      <c r="N719" s="468"/>
      <c r="O719" s="468"/>
      <c r="P719" s="468"/>
      <c r="Q719" s="473"/>
      <c r="R719" s="477" t="str">
        <f>IF(AND(COUNTIF('Start Character'!$I$63:$M$77,"Twilight Prone")=1,NOT(ISERROR(FIND("Magical Botch",M719)))),"Yes",IF(P719&gt;1,"Yes","No"))</f>
        <v>No</v>
      </c>
      <c r="S719" s="501"/>
      <c r="T719" s="478"/>
      <c r="U719" s="501"/>
      <c r="V719" s="479" t="str">
        <f>IF(R719="No","No Twilight",IF(T719="Yes","Uncomprehended Twilight",IF((Character!$B$14+IF(Character!$B$53="Yes",0,Character!$B$53)+IF(Magic!$C$5="Yes",2,0)+ROUNDUP((Magic!$B$30+IF(Magic!$C$30="Yes",3,0))/5,0)+S719)&gt;=($D$3+P719+SUMIF(Character!$I$62:$I$66,"Enigmatic Wisdom",Character!$J$62:$J$66)+Q719+U719),"No Twilight","Twilight")))</f>
        <v>No Twilight</v>
      </c>
      <c r="W719" s="483"/>
      <c r="X719" s="478"/>
      <c r="Y719" s="484"/>
      <c r="Z719" s="478"/>
      <c r="AA719" s="485" t="str">
        <f>IF(V719="Uncomprehended Twilight","Failed",IF(OR(ISBLANK(W719),ISBLANK(Y719))," ",IF(NOT(ISBLANK(X719)),"Failed",IF((W719+Character!$B$9+SUMIF(Character!$I$62:$I$66,"Enigmatic Wisdom",Character!$J$62:$J$66))&gt;=IF(Z719="Yes",0,(Y719+D714)),"Succeeded","Failed"))))</f>
        <v xml:space="preserve"> </v>
      </c>
      <c r="AB719" s="477" t="str">
        <f>IF(AA719=" "," ",IF(NOT(ISBLANK(X719)),VLOOKUP($D$3+X719,Calcs!$A$110:$C$122,3,TRUE),IF(AA719="Failed",VLOOKUP($D$3,Calcs!$A$110:$C$122,3,TRUE),VLOOKUP($D$3-(IF((Character!$B$9+W719)&gt;($D$3+Y719),(Character!$B$9+W719)-($D$3+Y719),0)),Calcs!$A$110:$C$122,3,TRUE))))</f>
        <v xml:space="preserve"> </v>
      </c>
      <c r="AC719" s="489"/>
      <c r="AD719" s="489" t="str">
        <f>IF(IF(AA719=" "," ",IF(NOT(ISBLANK(X719)),VLOOKUP($D$3+X719,Calcs!$A$110:$B$122,2,TRUE),IF(AA719="Failed",VLOOKUP($D$3,Calcs!$A$110:$B$122,2,TRUE),VLOOKUP($D$3-(IF((Character!$B$9+W719)&gt;($D$3+Y719),(Character!$B$9+W719)-($D$3+Y719),0)),Calcs!$A$110:$B$122,2,TRUE))))=Calcs!$B$120,IF(ISBLANK(AC719)," ",CONCATENATE(AC719+7," Years")),IF(AA719=" "," ",IF(NOT(ISBLANK(X719)),VLOOKUP($D$3+X719,Calcs!$A$110:$B$122,2,TRUE),IF(AA719="Failed",VLOOKUP($D$3,Calcs!$A$110:$B$122,2,TRUE),VLOOKUP($D$3-(IF((Character!$B$9+W719)&gt;($D$3+Y719),(Character!$B$9+W719)-($D$3+Y719),0)),Calcs!$A$110:$B$122,2,TRUE)))))</f>
        <v xml:space="preserve"> </v>
      </c>
      <c r="AE719" s="490"/>
      <c r="AF719" s="879"/>
      <c r="AG719" s="491"/>
    </row>
    <row r="720" spans="1:33" x14ac:dyDescent="0.2">
      <c r="A720" s="415">
        <f t="shared" si="20"/>
        <v>1390</v>
      </c>
      <c r="B720" s="419" t="str">
        <f t="shared" si="21"/>
        <v>Winter</v>
      </c>
      <c r="C720" s="455"/>
      <c r="D720" s="504"/>
      <c r="E720" s="455"/>
      <c r="F720" s="504"/>
      <c r="G720" s="455"/>
      <c r="H720" s="504"/>
      <c r="I720" s="455"/>
      <c r="J720" s="504"/>
      <c r="L720" s="472"/>
      <c r="M720" s="468"/>
      <c r="N720" s="468"/>
      <c r="O720" s="468"/>
      <c r="P720" s="468"/>
      <c r="Q720" s="473"/>
      <c r="R720" s="477" t="str">
        <f>IF(AND(COUNTIF('Start Character'!$I$63:$M$77,"Twilight Prone")=1,NOT(ISERROR(FIND("Magical Botch",M720)))),"Yes",IF(P720&gt;1,"Yes","No"))</f>
        <v>No</v>
      </c>
      <c r="S720" s="501"/>
      <c r="T720" s="478"/>
      <c r="U720" s="501"/>
      <c r="V720" s="479" t="str">
        <f>IF(R720="No","No Twilight",IF(T720="Yes","Uncomprehended Twilight",IF((Character!$B$14+IF(Character!$B$53="Yes",0,Character!$B$53)+IF(Magic!$C$5="Yes",2,0)+ROUNDUP((Magic!$B$30+IF(Magic!$C$30="Yes",3,0))/5,0)+S720)&gt;=($D$3+P720+SUMIF(Character!$I$62:$I$66,"Enigmatic Wisdom",Character!$J$62:$J$66)+Q720+U720),"No Twilight","Twilight")))</f>
        <v>No Twilight</v>
      </c>
      <c r="W720" s="483"/>
      <c r="X720" s="478"/>
      <c r="Y720" s="484"/>
      <c r="Z720" s="478"/>
      <c r="AA720" s="485" t="str">
        <f>IF(V720="Uncomprehended Twilight","Failed",IF(OR(ISBLANK(W720),ISBLANK(Y720))," ",IF(NOT(ISBLANK(X720)),"Failed",IF((W720+Character!$B$9+SUMIF(Character!$I$62:$I$66,"Enigmatic Wisdom",Character!$J$62:$J$66))&gt;=IF(Z720="Yes",0,(Y720+D715)),"Succeeded","Failed"))))</f>
        <v xml:space="preserve"> </v>
      </c>
      <c r="AB720" s="477" t="str">
        <f>IF(AA720=" "," ",IF(NOT(ISBLANK(X720)),VLOOKUP($D$3+X720,Calcs!$A$110:$C$122,3,TRUE),IF(AA720="Failed",VLOOKUP($D$3,Calcs!$A$110:$C$122,3,TRUE),VLOOKUP($D$3-(IF((Character!$B$9+W720)&gt;($D$3+Y720),(Character!$B$9+W720)-($D$3+Y720),0)),Calcs!$A$110:$C$122,3,TRUE))))</f>
        <v xml:space="preserve"> </v>
      </c>
      <c r="AC720" s="489"/>
      <c r="AD720" s="489" t="str">
        <f>IF(IF(AA720=" "," ",IF(NOT(ISBLANK(X720)),VLOOKUP($D$3+X720,Calcs!$A$110:$B$122,2,TRUE),IF(AA720="Failed",VLOOKUP($D$3,Calcs!$A$110:$B$122,2,TRUE),VLOOKUP($D$3-(IF((Character!$B$9+W720)&gt;($D$3+Y720),(Character!$B$9+W720)-($D$3+Y720),0)),Calcs!$A$110:$B$122,2,TRUE))))=Calcs!$B$120,IF(ISBLANK(AC720)," ",CONCATENATE(AC720+7," Years")),IF(AA720=" "," ",IF(NOT(ISBLANK(X720)),VLOOKUP($D$3+X720,Calcs!$A$110:$B$122,2,TRUE),IF(AA720="Failed",VLOOKUP($D$3,Calcs!$A$110:$B$122,2,TRUE),VLOOKUP($D$3-(IF((Character!$B$9+W720)&gt;($D$3+Y720),(Character!$B$9+W720)-($D$3+Y720),0)),Calcs!$A$110:$B$122,2,TRUE)))))</f>
        <v xml:space="preserve"> </v>
      </c>
      <c r="AE720" s="490"/>
      <c r="AF720" s="879"/>
      <c r="AG720" s="491"/>
    </row>
    <row r="721" spans="1:33" x14ac:dyDescent="0.2">
      <c r="A721" s="415">
        <f t="shared" si="20"/>
        <v>1390</v>
      </c>
      <c r="B721" s="419" t="str">
        <f t="shared" si="21"/>
        <v>Spring</v>
      </c>
      <c r="C721" s="455"/>
      <c r="D721" s="504"/>
      <c r="E721" s="455"/>
      <c r="F721" s="504"/>
      <c r="G721" s="455"/>
      <c r="H721" s="504"/>
      <c r="I721" s="455"/>
      <c r="J721" s="504"/>
      <c r="L721" s="472"/>
      <c r="M721" s="468"/>
      <c r="N721" s="468"/>
      <c r="O721" s="468"/>
      <c r="P721" s="468"/>
      <c r="Q721" s="473"/>
      <c r="R721" s="477" t="str">
        <f>IF(AND(COUNTIF('Start Character'!$I$63:$M$77,"Twilight Prone")=1,NOT(ISERROR(FIND("Magical Botch",M721)))),"Yes",IF(P721&gt;1,"Yes","No"))</f>
        <v>No</v>
      </c>
      <c r="S721" s="501"/>
      <c r="T721" s="478"/>
      <c r="U721" s="501"/>
      <c r="V721" s="479" t="str">
        <f>IF(R721="No","No Twilight",IF(T721="Yes","Uncomprehended Twilight",IF((Character!$B$14+IF(Character!$B$53="Yes",0,Character!$B$53)+IF(Magic!$C$5="Yes",2,0)+ROUNDUP((Magic!$B$30+IF(Magic!$C$30="Yes",3,0))/5,0)+S721)&gt;=($D$3+P721+SUMIF(Character!$I$62:$I$66,"Enigmatic Wisdom",Character!$J$62:$J$66)+Q721+U721),"No Twilight","Twilight")))</f>
        <v>No Twilight</v>
      </c>
      <c r="W721" s="483"/>
      <c r="X721" s="478"/>
      <c r="Y721" s="484"/>
      <c r="Z721" s="478"/>
      <c r="AA721" s="485" t="str">
        <f>IF(V721="Uncomprehended Twilight","Failed",IF(OR(ISBLANK(W721),ISBLANK(Y721))," ",IF(NOT(ISBLANK(X721)),"Failed",IF((W721+Character!$B$9+SUMIF(Character!$I$62:$I$66,"Enigmatic Wisdom",Character!$J$62:$J$66))&gt;=IF(Z721="Yes",0,(Y721+D716)),"Succeeded","Failed"))))</f>
        <v xml:space="preserve"> </v>
      </c>
      <c r="AB721" s="477" t="str">
        <f>IF(AA721=" "," ",IF(NOT(ISBLANK(X721)),VLOOKUP($D$3+X721,Calcs!$A$110:$C$122,3,TRUE),IF(AA721="Failed",VLOOKUP($D$3,Calcs!$A$110:$C$122,3,TRUE),VLOOKUP($D$3-(IF((Character!$B$9+W721)&gt;($D$3+Y721),(Character!$B$9+W721)-($D$3+Y721),0)),Calcs!$A$110:$C$122,3,TRUE))))</f>
        <v xml:space="preserve"> </v>
      </c>
      <c r="AC721" s="489"/>
      <c r="AD721" s="489" t="str">
        <f>IF(IF(AA721=" "," ",IF(NOT(ISBLANK(X721)),VLOOKUP($D$3+X721,Calcs!$A$110:$B$122,2,TRUE),IF(AA721="Failed",VLOOKUP($D$3,Calcs!$A$110:$B$122,2,TRUE),VLOOKUP($D$3-(IF((Character!$B$9+W721)&gt;($D$3+Y721),(Character!$B$9+W721)-($D$3+Y721),0)),Calcs!$A$110:$B$122,2,TRUE))))=Calcs!$B$120,IF(ISBLANK(AC721)," ",CONCATENATE(AC721+7," Years")),IF(AA721=" "," ",IF(NOT(ISBLANK(X721)),VLOOKUP($D$3+X721,Calcs!$A$110:$B$122,2,TRUE),IF(AA721="Failed",VLOOKUP($D$3,Calcs!$A$110:$B$122,2,TRUE),VLOOKUP($D$3-(IF((Character!$B$9+W721)&gt;($D$3+Y721),(Character!$B$9+W721)-($D$3+Y721),0)),Calcs!$A$110:$B$122,2,TRUE)))))</f>
        <v xml:space="preserve"> </v>
      </c>
      <c r="AE721" s="490"/>
      <c r="AF721" s="879"/>
      <c r="AG721" s="491"/>
    </row>
    <row r="722" spans="1:33" x14ac:dyDescent="0.2">
      <c r="A722" s="415">
        <f t="shared" si="20"/>
        <v>1390</v>
      </c>
      <c r="B722" s="419" t="str">
        <f t="shared" si="21"/>
        <v>Summer</v>
      </c>
      <c r="C722" s="455"/>
      <c r="D722" s="504"/>
      <c r="E722" s="455"/>
      <c r="F722" s="504"/>
      <c r="G722" s="455"/>
      <c r="H722" s="504"/>
      <c r="I722" s="455"/>
      <c r="J722" s="504"/>
      <c r="L722" s="472"/>
      <c r="M722" s="468"/>
      <c r="N722" s="468"/>
      <c r="O722" s="468"/>
      <c r="P722" s="468"/>
      <c r="Q722" s="473"/>
      <c r="R722" s="477" t="str">
        <f>IF(AND(COUNTIF('Start Character'!$I$63:$M$77,"Twilight Prone")=1,NOT(ISERROR(FIND("Magical Botch",M722)))),"Yes",IF(P722&gt;1,"Yes","No"))</f>
        <v>No</v>
      </c>
      <c r="S722" s="501"/>
      <c r="T722" s="478"/>
      <c r="U722" s="501"/>
      <c r="V722" s="479" t="str">
        <f>IF(R722="No","No Twilight",IF(T722="Yes","Uncomprehended Twilight",IF((Character!$B$14+IF(Character!$B$53="Yes",0,Character!$B$53)+IF(Magic!$C$5="Yes",2,0)+ROUNDUP((Magic!$B$30+IF(Magic!$C$30="Yes",3,0))/5,0)+S722)&gt;=($D$3+P722+SUMIF(Character!$I$62:$I$66,"Enigmatic Wisdom",Character!$J$62:$J$66)+Q722+U722),"No Twilight","Twilight")))</f>
        <v>No Twilight</v>
      </c>
      <c r="W722" s="483"/>
      <c r="X722" s="478"/>
      <c r="Y722" s="484"/>
      <c r="Z722" s="478"/>
      <c r="AA722" s="485" t="str">
        <f>IF(V722="Uncomprehended Twilight","Failed",IF(OR(ISBLANK(W722),ISBLANK(Y722))," ",IF(NOT(ISBLANK(X722)),"Failed",IF((W722+Character!$B$9+SUMIF(Character!$I$62:$I$66,"Enigmatic Wisdom",Character!$J$62:$J$66))&gt;=IF(Z722="Yes",0,(Y722+D717)),"Succeeded","Failed"))))</f>
        <v xml:space="preserve"> </v>
      </c>
      <c r="AB722" s="477" t="str">
        <f>IF(AA722=" "," ",IF(NOT(ISBLANK(X722)),VLOOKUP($D$3+X722,Calcs!$A$110:$C$122,3,TRUE),IF(AA722="Failed",VLOOKUP($D$3,Calcs!$A$110:$C$122,3,TRUE),VLOOKUP($D$3-(IF((Character!$B$9+W722)&gt;($D$3+Y722),(Character!$B$9+W722)-($D$3+Y722),0)),Calcs!$A$110:$C$122,3,TRUE))))</f>
        <v xml:space="preserve"> </v>
      </c>
      <c r="AC722" s="489"/>
      <c r="AD722" s="489" t="str">
        <f>IF(IF(AA722=" "," ",IF(NOT(ISBLANK(X722)),VLOOKUP($D$3+X722,Calcs!$A$110:$B$122,2,TRUE),IF(AA722="Failed",VLOOKUP($D$3,Calcs!$A$110:$B$122,2,TRUE),VLOOKUP($D$3-(IF((Character!$B$9+W722)&gt;($D$3+Y722),(Character!$B$9+W722)-($D$3+Y722),0)),Calcs!$A$110:$B$122,2,TRUE))))=Calcs!$B$120,IF(ISBLANK(AC722)," ",CONCATENATE(AC722+7," Years")),IF(AA722=" "," ",IF(NOT(ISBLANK(X722)),VLOOKUP($D$3+X722,Calcs!$A$110:$B$122,2,TRUE),IF(AA722="Failed",VLOOKUP($D$3,Calcs!$A$110:$B$122,2,TRUE),VLOOKUP($D$3-(IF((Character!$B$9+W722)&gt;($D$3+Y722),(Character!$B$9+W722)-($D$3+Y722),0)),Calcs!$A$110:$B$122,2,TRUE)))))</f>
        <v xml:space="preserve"> </v>
      </c>
      <c r="AE722" s="490"/>
      <c r="AF722" s="879"/>
      <c r="AG722" s="491"/>
    </row>
    <row r="723" spans="1:33" x14ac:dyDescent="0.2">
      <c r="A723" s="415">
        <f t="shared" si="20"/>
        <v>1390</v>
      </c>
      <c r="B723" s="419" t="str">
        <f t="shared" si="21"/>
        <v>Autumn</v>
      </c>
      <c r="C723" s="455"/>
      <c r="D723" s="504"/>
      <c r="E723" s="455"/>
      <c r="F723" s="504"/>
      <c r="G723" s="455"/>
      <c r="H723" s="504"/>
      <c r="I723" s="455"/>
      <c r="J723" s="504"/>
      <c r="L723" s="472"/>
      <c r="M723" s="468"/>
      <c r="N723" s="468"/>
      <c r="O723" s="468"/>
      <c r="P723" s="468"/>
      <c r="Q723" s="473"/>
      <c r="R723" s="477" t="str">
        <f>IF(AND(COUNTIF('Start Character'!$I$63:$M$77,"Twilight Prone")=1,NOT(ISERROR(FIND("Magical Botch",M723)))),"Yes",IF(P723&gt;1,"Yes","No"))</f>
        <v>No</v>
      </c>
      <c r="S723" s="501"/>
      <c r="T723" s="478"/>
      <c r="U723" s="501"/>
      <c r="V723" s="479" t="str">
        <f>IF(R723="No","No Twilight",IF(T723="Yes","Uncomprehended Twilight",IF((Character!$B$14+IF(Character!$B$53="Yes",0,Character!$B$53)+IF(Magic!$C$5="Yes",2,0)+ROUNDUP((Magic!$B$30+IF(Magic!$C$30="Yes",3,0))/5,0)+S723)&gt;=($D$3+P723+SUMIF(Character!$I$62:$I$66,"Enigmatic Wisdom",Character!$J$62:$J$66)+Q723+U723),"No Twilight","Twilight")))</f>
        <v>No Twilight</v>
      </c>
      <c r="W723" s="483"/>
      <c r="X723" s="478"/>
      <c r="Y723" s="484"/>
      <c r="Z723" s="478"/>
      <c r="AA723" s="485" t="str">
        <f>IF(V723="Uncomprehended Twilight","Failed",IF(OR(ISBLANK(W723),ISBLANK(Y723))," ",IF(NOT(ISBLANK(X723)),"Failed",IF((W723+Character!$B$9+SUMIF(Character!$I$62:$I$66,"Enigmatic Wisdom",Character!$J$62:$J$66))&gt;=IF(Z723="Yes",0,(Y723+D718)),"Succeeded","Failed"))))</f>
        <v xml:space="preserve"> </v>
      </c>
      <c r="AB723" s="477" t="str">
        <f>IF(AA723=" "," ",IF(NOT(ISBLANK(X723)),VLOOKUP($D$3+X723,Calcs!$A$110:$C$122,3,TRUE),IF(AA723="Failed",VLOOKUP($D$3,Calcs!$A$110:$C$122,3,TRUE),VLOOKUP($D$3-(IF((Character!$B$9+W723)&gt;($D$3+Y723),(Character!$B$9+W723)-($D$3+Y723),0)),Calcs!$A$110:$C$122,3,TRUE))))</f>
        <v xml:space="preserve"> </v>
      </c>
      <c r="AC723" s="489"/>
      <c r="AD723" s="489" t="str">
        <f>IF(IF(AA723=" "," ",IF(NOT(ISBLANK(X723)),VLOOKUP($D$3+X723,Calcs!$A$110:$B$122,2,TRUE),IF(AA723="Failed",VLOOKUP($D$3,Calcs!$A$110:$B$122,2,TRUE),VLOOKUP($D$3-(IF((Character!$B$9+W723)&gt;($D$3+Y723),(Character!$B$9+W723)-($D$3+Y723),0)),Calcs!$A$110:$B$122,2,TRUE))))=Calcs!$B$120,IF(ISBLANK(AC723)," ",CONCATENATE(AC723+7," Years")),IF(AA723=" "," ",IF(NOT(ISBLANK(X723)),VLOOKUP($D$3+X723,Calcs!$A$110:$B$122,2,TRUE),IF(AA723="Failed",VLOOKUP($D$3,Calcs!$A$110:$B$122,2,TRUE),VLOOKUP($D$3-(IF((Character!$B$9+W723)&gt;($D$3+Y723),(Character!$B$9+W723)-($D$3+Y723),0)),Calcs!$A$110:$B$122,2,TRUE)))))</f>
        <v xml:space="preserve"> </v>
      </c>
      <c r="AE723" s="490"/>
      <c r="AF723" s="879"/>
      <c r="AG723" s="491"/>
    </row>
    <row r="724" spans="1:33" x14ac:dyDescent="0.2">
      <c r="A724" s="415">
        <f t="shared" si="20"/>
        <v>1391</v>
      </c>
      <c r="B724" s="419" t="str">
        <f t="shared" si="21"/>
        <v>Winter</v>
      </c>
      <c r="C724" s="455"/>
      <c r="D724" s="504"/>
      <c r="E724" s="455"/>
      <c r="F724" s="504"/>
      <c r="G724" s="455"/>
      <c r="H724" s="504"/>
      <c r="I724" s="455"/>
      <c r="J724" s="504"/>
      <c r="L724" s="472"/>
      <c r="M724" s="468"/>
      <c r="N724" s="468"/>
      <c r="O724" s="468"/>
      <c r="P724" s="468"/>
      <c r="Q724" s="473"/>
      <c r="R724" s="477" t="str">
        <f>IF(AND(COUNTIF('Start Character'!$I$63:$M$77,"Twilight Prone")=1,NOT(ISERROR(FIND("Magical Botch",M724)))),"Yes",IF(P724&gt;1,"Yes","No"))</f>
        <v>No</v>
      </c>
      <c r="S724" s="501"/>
      <c r="T724" s="478"/>
      <c r="U724" s="501"/>
      <c r="V724" s="479" t="str">
        <f>IF(R724="No","No Twilight",IF(T724="Yes","Uncomprehended Twilight",IF((Character!$B$14+IF(Character!$B$53="Yes",0,Character!$B$53)+IF(Magic!$C$5="Yes",2,0)+ROUNDUP((Magic!$B$30+IF(Magic!$C$30="Yes",3,0))/5,0)+S724)&gt;=($D$3+P724+SUMIF(Character!$I$62:$I$66,"Enigmatic Wisdom",Character!$J$62:$J$66)+Q724+U724),"No Twilight","Twilight")))</f>
        <v>No Twilight</v>
      </c>
      <c r="W724" s="483"/>
      <c r="X724" s="478"/>
      <c r="Y724" s="484"/>
      <c r="Z724" s="478"/>
      <c r="AA724" s="485" t="str">
        <f>IF(V724="Uncomprehended Twilight","Failed",IF(OR(ISBLANK(W724),ISBLANK(Y724))," ",IF(NOT(ISBLANK(X724)),"Failed",IF((W724+Character!$B$9+SUMIF(Character!$I$62:$I$66,"Enigmatic Wisdom",Character!$J$62:$J$66))&gt;=IF(Z724="Yes",0,(Y724+D719)),"Succeeded","Failed"))))</f>
        <v xml:space="preserve"> </v>
      </c>
      <c r="AB724" s="477" t="str">
        <f>IF(AA724=" "," ",IF(NOT(ISBLANK(X724)),VLOOKUP($D$3+X724,Calcs!$A$110:$C$122,3,TRUE),IF(AA724="Failed",VLOOKUP($D$3,Calcs!$A$110:$C$122,3,TRUE),VLOOKUP($D$3-(IF((Character!$B$9+W724)&gt;($D$3+Y724),(Character!$B$9+W724)-($D$3+Y724),0)),Calcs!$A$110:$C$122,3,TRUE))))</f>
        <v xml:space="preserve"> </v>
      </c>
      <c r="AC724" s="489"/>
      <c r="AD724" s="489" t="str">
        <f>IF(IF(AA724=" "," ",IF(NOT(ISBLANK(X724)),VLOOKUP($D$3+X724,Calcs!$A$110:$B$122,2,TRUE),IF(AA724="Failed",VLOOKUP($D$3,Calcs!$A$110:$B$122,2,TRUE),VLOOKUP($D$3-(IF((Character!$B$9+W724)&gt;($D$3+Y724),(Character!$B$9+W724)-($D$3+Y724),0)),Calcs!$A$110:$B$122,2,TRUE))))=Calcs!$B$120,IF(ISBLANK(AC724)," ",CONCATENATE(AC724+7," Years")),IF(AA724=" "," ",IF(NOT(ISBLANK(X724)),VLOOKUP($D$3+X724,Calcs!$A$110:$B$122,2,TRUE),IF(AA724="Failed",VLOOKUP($D$3,Calcs!$A$110:$B$122,2,TRUE),VLOOKUP($D$3-(IF((Character!$B$9+W724)&gt;($D$3+Y724),(Character!$B$9+W724)-($D$3+Y724),0)),Calcs!$A$110:$B$122,2,TRUE)))))</f>
        <v xml:space="preserve"> </v>
      </c>
      <c r="AE724" s="490"/>
      <c r="AF724" s="879"/>
      <c r="AG724" s="491"/>
    </row>
    <row r="725" spans="1:33" x14ac:dyDescent="0.2">
      <c r="A725" s="415">
        <f t="shared" si="20"/>
        <v>1391</v>
      </c>
      <c r="B725" s="419" t="str">
        <f t="shared" si="21"/>
        <v>Spring</v>
      </c>
      <c r="C725" s="455"/>
      <c r="D725" s="504"/>
      <c r="E725" s="455"/>
      <c r="F725" s="504"/>
      <c r="G725" s="455"/>
      <c r="H725" s="504"/>
      <c r="I725" s="455"/>
      <c r="J725" s="504"/>
      <c r="L725" s="472"/>
      <c r="M725" s="468"/>
      <c r="N725" s="468"/>
      <c r="O725" s="468"/>
      <c r="P725" s="468"/>
      <c r="Q725" s="473"/>
      <c r="R725" s="477" t="str">
        <f>IF(AND(COUNTIF('Start Character'!$I$63:$M$77,"Twilight Prone")=1,NOT(ISERROR(FIND("Magical Botch",M725)))),"Yes",IF(P725&gt;1,"Yes","No"))</f>
        <v>No</v>
      </c>
      <c r="S725" s="501"/>
      <c r="T725" s="478"/>
      <c r="U725" s="501"/>
      <c r="V725" s="479" t="str">
        <f>IF(R725="No","No Twilight",IF(T725="Yes","Uncomprehended Twilight",IF((Character!$B$14+IF(Character!$B$53="Yes",0,Character!$B$53)+IF(Magic!$C$5="Yes",2,0)+ROUNDUP((Magic!$B$30+IF(Magic!$C$30="Yes",3,0))/5,0)+S725)&gt;=($D$3+P725+SUMIF(Character!$I$62:$I$66,"Enigmatic Wisdom",Character!$J$62:$J$66)+Q725+U725),"No Twilight","Twilight")))</f>
        <v>No Twilight</v>
      </c>
      <c r="W725" s="483"/>
      <c r="X725" s="478"/>
      <c r="Y725" s="484"/>
      <c r="Z725" s="478"/>
      <c r="AA725" s="485" t="str">
        <f>IF(V725="Uncomprehended Twilight","Failed",IF(OR(ISBLANK(W725),ISBLANK(Y725))," ",IF(NOT(ISBLANK(X725)),"Failed",IF((W725+Character!$B$9+SUMIF(Character!$I$62:$I$66,"Enigmatic Wisdom",Character!$J$62:$J$66))&gt;=IF(Z725="Yes",0,(Y725+D720)),"Succeeded","Failed"))))</f>
        <v xml:space="preserve"> </v>
      </c>
      <c r="AB725" s="477" t="str">
        <f>IF(AA725=" "," ",IF(NOT(ISBLANK(X725)),VLOOKUP($D$3+X725,Calcs!$A$110:$C$122,3,TRUE),IF(AA725="Failed",VLOOKUP($D$3,Calcs!$A$110:$C$122,3,TRUE),VLOOKUP($D$3-(IF((Character!$B$9+W725)&gt;($D$3+Y725),(Character!$B$9+W725)-($D$3+Y725),0)),Calcs!$A$110:$C$122,3,TRUE))))</f>
        <v xml:space="preserve"> </v>
      </c>
      <c r="AC725" s="489"/>
      <c r="AD725" s="489" t="str">
        <f>IF(IF(AA725=" "," ",IF(NOT(ISBLANK(X725)),VLOOKUP($D$3+X725,Calcs!$A$110:$B$122,2,TRUE),IF(AA725="Failed",VLOOKUP($D$3,Calcs!$A$110:$B$122,2,TRUE),VLOOKUP($D$3-(IF((Character!$B$9+W725)&gt;($D$3+Y725),(Character!$B$9+W725)-($D$3+Y725),0)),Calcs!$A$110:$B$122,2,TRUE))))=Calcs!$B$120,IF(ISBLANK(AC725)," ",CONCATENATE(AC725+7," Years")),IF(AA725=" "," ",IF(NOT(ISBLANK(X725)),VLOOKUP($D$3+X725,Calcs!$A$110:$B$122,2,TRUE),IF(AA725="Failed",VLOOKUP($D$3,Calcs!$A$110:$B$122,2,TRUE),VLOOKUP($D$3-(IF((Character!$B$9+W725)&gt;($D$3+Y725),(Character!$B$9+W725)-($D$3+Y725),0)),Calcs!$A$110:$B$122,2,TRUE)))))</f>
        <v xml:space="preserve"> </v>
      </c>
      <c r="AE725" s="490"/>
      <c r="AF725" s="879"/>
      <c r="AG725" s="491"/>
    </row>
    <row r="726" spans="1:33" x14ac:dyDescent="0.2">
      <c r="A726" s="415">
        <f t="shared" si="20"/>
        <v>1391</v>
      </c>
      <c r="B726" s="419" t="str">
        <f t="shared" si="21"/>
        <v>Summer</v>
      </c>
      <c r="C726" s="455"/>
      <c r="D726" s="504"/>
      <c r="E726" s="455"/>
      <c r="F726" s="504"/>
      <c r="G726" s="455"/>
      <c r="H726" s="504"/>
      <c r="I726" s="455"/>
      <c r="J726" s="504"/>
      <c r="L726" s="472"/>
      <c r="M726" s="468"/>
      <c r="N726" s="468"/>
      <c r="O726" s="468"/>
      <c r="P726" s="468"/>
      <c r="Q726" s="473"/>
      <c r="R726" s="477" t="str">
        <f>IF(AND(COUNTIF('Start Character'!$I$63:$M$77,"Twilight Prone")=1,NOT(ISERROR(FIND("Magical Botch",M726)))),"Yes",IF(P726&gt;1,"Yes","No"))</f>
        <v>No</v>
      </c>
      <c r="S726" s="501"/>
      <c r="T726" s="478"/>
      <c r="U726" s="501"/>
      <c r="V726" s="479" t="str">
        <f>IF(R726="No","No Twilight",IF(T726="Yes","Uncomprehended Twilight",IF((Character!$B$14+IF(Character!$B$53="Yes",0,Character!$B$53)+IF(Magic!$C$5="Yes",2,0)+ROUNDUP((Magic!$B$30+IF(Magic!$C$30="Yes",3,0))/5,0)+S726)&gt;=($D$3+P726+SUMIF(Character!$I$62:$I$66,"Enigmatic Wisdom",Character!$J$62:$J$66)+Q726+U726),"No Twilight","Twilight")))</f>
        <v>No Twilight</v>
      </c>
      <c r="W726" s="483"/>
      <c r="X726" s="478"/>
      <c r="Y726" s="484"/>
      <c r="Z726" s="478"/>
      <c r="AA726" s="485" t="str">
        <f>IF(V726="Uncomprehended Twilight","Failed",IF(OR(ISBLANK(W726),ISBLANK(Y726))," ",IF(NOT(ISBLANK(X726)),"Failed",IF((W726+Character!$B$9+SUMIF(Character!$I$62:$I$66,"Enigmatic Wisdom",Character!$J$62:$J$66))&gt;=IF(Z726="Yes",0,(Y726+D721)),"Succeeded","Failed"))))</f>
        <v xml:space="preserve"> </v>
      </c>
      <c r="AB726" s="477" t="str">
        <f>IF(AA726=" "," ",IF(NOT(ISBLANK(X726)),VLOOKUP($D$3+X726,Calcs!$A$110:$C$122,3,TRUE),IF(AA726="Failed",VLOOKUP($D$3,Calcs!$A$110:$C$122,3,TRUE),VLOOKUP($D$3-(IF((Character!$B$9+W726)&gt;($D$3+Y726),(Character!$B$9+W726)-($D$3+Y726),0)),Calcs!$A$110:$C$122,3,TRUE))))</f>
        <v xml:space="preserve"> </v>
      </c>
      <c r="AC726" s="489"/>
      <c r="AD726" s="489" t="str">
        <f>IF(IF(AA726=" "," ",IF(NOT(ISBLANK(X726)),VLOOKUP($D$3+X726,Calcs!$A$110:$B$122,2,TRUE),IF(AA726="Failed",VLOOKUP($D$3,Calcs!$A$110:$B$122,2,TRUE),VLOOKUP($D$3-(IF((Character!$B$9+W726)&gt;($D$3+Y726),(Character!$B$9+W726)-($D$3+Y726),0)),Calcs!$A$110:$B$122,2,TRUE))))=Calcs!$B$120,IF(ISBLANK(AC726)," ",CONCATENATE(AC726+7," Years")),IF(AA726=" "," ",IF(NOT(ISBLANK(X726)),VLOOKUP($D$3+X726,Calcs!$A$110:$B$122,2,TRUE),IF(AA726="Failed",VLOOKUP($D$3,Calcs!$A$110:$B$122,2,TRUE),VLOOKUP($D$3-(IF((Character!$B$9+W726)&gt;($D$3+Y726),(Character!$B$9+W726)-($D$3+Y726),0)),Calcs!$A$110:$B$122,2,TRUE)))))</f>
        <v xml:space="preserve"> </v>
      </c>
      <c r="AE726" s="490"/>
      <c r="AF726" s="879"/>
      <c r="AG726" s="491"/>
    </row>
    <row r="727" spans="1:33" x14ac:dyDescent="0.2">
      <c r="A727" s="415">
        <f t="shared" si="20"/>
        <v>1391</v>
      </c>
      <c r="B727" s="419" t="str">
        <f t="shared" si="21"/>
        <v>Autumn</v>
      </c>
      <c r="C727" s="455"/>
      <c r="D727" s="504"/>
      <c r="E727" s="455"/>
      <c r="F727" s="504"/>
      <c r="G727" s="455"/>
      <c r="H727" s="504"/>
      <c r="I727" s="455"/>
      <c r="J727" s="504"/>
      <c r="L727" s="472"/>
      <c r="M727" s="468"/>
      <c r="N727" s="468"/>
      <c r="O727" s="468"/>
      <c r="P727" s="468"/>
      <c r="Q727" s="473"/>
      <c r="R727" s="477" t="str">
        <f>IF(AND(COUNTIF('Start Character'!$I$63:$M$77,"Twilight Prone")=1,NOT(ISERROR(FIND("Magical Botch",M727)))),"Yes",IF(P727&gt;1,"Yes","No"))</f>
        <v>No</v>
      </c>
      <c r="S727" s="501"/>
      <c r="T727" s="478"/>
      <c r="U727" s="501"/>
      <c r="V727" s="479" t="str">
        <f>IF(R727="No","No Twilight",IF(T727="Yes","Uncomprehended Twilight",IF((Character!$B$14+IF(Character!$B$53="Yes",0,Character!$B$53)+IF(Magic!$C$5="Yes",2,0)+ROUNDUP((Magic!$B$30+IF(Magic!$C$30="Yes",3,0))/5,0)+S727)&gt;=($D$3+P727+SUMIF(Character!$I$62:$I$66,"Enigmatic Wisdom",Character!$J$62:$J$66)+Q727+U727),"No Twilight","Twilight")))</f>
        <v>No Twilight</v>
      </c>
      <c r="W727" s="483"/>
      <c r="X727" s="478"/>
      <c r="Y727" s="484"/>
      <c r="Z727" s="478"/>
      <c r="AA727" s="485" t="str">
        <f>IF(V727="Uncomprehended Twilight","Failed",IF(OR(ISBLANK(W727),ISBLANK(Y727))," ",IF(NOT(ISBLANK(X727)),"Failed",IF((W727+Character!$B$9+SUMIF(Character!$I$62:$I$66,"Enigmatic Wisdom",Character!$J$62:$J$66))&gt;=IF(Z727="Yes",0,(Y727+D722)),"Succeeded","Failed"))))</f>
        <v xml:space="preserve"> </v>
      </c>
      <c r="AB727" s="477" t="str">
        <f>IF(AA727=" "," ",IF(NOT(ISBLANK(X727)),VLOOKUP($D$3+X727,Calcs!$A$110:$C$122,3,TRUE),IF(AA727="Failed",VLOOKUP($D$3,Calcs!$A$110:$C$122,3,TRUE),VLOOKUP($D$3-(IF((Character!$B$9+W727)&gt;($D$3+Y727),(Character!$B$9+W727)-($D$3+Y727),0)),Calcs!$A$110:$C$122,3,TRUE))))</f>
        <v xml:space="preserve"> </v>
      </c>
      <c r="AC727" s="489"/>
      <c r="AD727" s="489" t="str">
        <f>IF(IF(AA727=" "," ",IF(NOT(ISBLANK(X727)),VLOOKUP($D$3+X727,Calcs!$A$110:$B$122,2,TRUE),IF(AA727="Failed",VLOOKUP($D$3,Calcs!$A$110:$B$122,2,TRUE),VLOOKUP($D$3-(IF((Character!$B$9+W727)&gt;($D$3+Y727),(Character!$B$9+W727)-($D$3+Y727),0)),Calcs!$A$110:$B$122,2,TRUE))))=Calcs!$B$120,IF(ISBLANK(AC727)," ",CONCATENATE(AC727+7," Years")),IF(AA727=" "," ",IF(NOT(ISBLANK(X727)),VLOOKUP($D$3+X727,Calcs!$A$110:$B$122,2,TRUE),IF(AA727="Failed",VLOOKUP($D$3,Calcs!$A$110:$B$122,2,TRUE),VLOOKUP($D$3-(IF((Character!$B$9+W727)&gt;($D$3+Y727),(Character!$B$9+W727)-($D$3+Y727),0)),Calcs!$A$110:$B$122,2,TRUE)))))</f>
        <v xml:space="preserve"> </v>
      </c>
      <c r="AE727" s="490"/>
      <c r="AF727" s="879"/>
      <c r="AG727" s="491"/>
    </row>
    <row r="728" spans="1:33" x14ac:dyDescent="0.2">
      <c r="A728" s="415">
        <f t="shared" si="20"/>
        <v>1392</v>
      </c>
      <c r="B728" s="419" t="str">
        <f t="shared" si="21"/>
        <v>Winter</v>
      </c>
      <c r="C728" s="455"/>
      <c r="D728" s="504"/>
      <c r="E728" s="455"/>
      <c r="F728" s="504"/>
      <c r="G728" s="455"/>
      <c r="H728" s="504"/>
      <c r="I728" s="455"/>
      <c r="J728" s="504"/>
      <c r="L728" s="472"/>
      <c r="M728" s="468"/>
      <c r="N728" s="468"/>
      <c r="O728" s="468"/>
      <c r="P728" s="468"/>
      <c r="Q728" s="473"/>
      <c r="R728" s="477" t="str">
        <f>IF(AND(COUNTIF('Start Character'!$I$63:$M$77,"Twilight Prone")=1,NOT(ISERROR(FIND("Magical Botch",M728)))),"Yes",IF(P728&gt;1,"Yes","No"))</f>
        <v>No</v>
      </c>
      <c r="S728" s="501"/>
      <c r="T728" s="478"/>
      <c r="U728" s="501"/>
      <c r="V728" s="479" t="str">
        <f>IF(R728="No","No Twilight",IF(T728="Yes","Uncomprehended Twilight",IF((Character!$B$14+IF(Character!$B$53="Yes",0,Character!$B$53)+IF(Magic!$C$5="Yes",2,0)+ROUNDUP((Magic!$B$30+IF(Magic!$C$30="Yes",3,0))/5,0)+S728)&gt;=($D$3+P728+SUMIF(Character!$I$62:$I$66,"Enigmatic Wisdom",Character!$J$62:$J$66)+Q728+U728),"No Twilight","Twilight")))</f>
        <v>No Twilight</v>
      </c>
      <c r="W728" s="483"/>
      <c r="X728" s="478"/>
      <c r="Y728" s="484"/>
      <c r="Z728" s="478"/>
      <c r="AA728" s="485" t="str">
        <f>IF(V728="Uncomprehended Twilight","Failed",IF(OR(ISBLANK(W728),ISBLANK(Y728))," ",IF(NOT(ISBLANK(X728)),"Failed",IF((W728+Character!$B$9+SUMIF(Character!$I$62:$I$66,"Enigmatic Wisdom",Character!$J$62:$J$66))&gt;=IF(Z728="Yes",0,(Y728+D723)),"Succeeded","Failed"))))</f>
        <v xml:space="preserve"> </v>
      </c>
      <c r="AB728" s="477" t="str">
        <f>IF(AA728=" "," ",IF(NOT(ISBLANK(X728)),VLOOKUP($D$3+X728,Calcs!$A$110:$C$122,3,TRUE),IF(AA728="Failed",VLOOKUP($D$3,Calcs!$A$110:$C$122,3,TRUE),VLOOKUP($D$3-(IF((Character!$B$9+W728)&gt;($D$3+Y728),(Character!$B$9+W728)-($D$3+Y728),0)),Calcs!$A$110:$C$122,3,TRUE))))</f>
        <v xml:space="preserve"> </v>
      </c>
      <c r="AC728" s="489"/>
      <c r="AD728" s="489" t="str">
        <f>IF(IF(AA728=" "," ",IF(NOT(ISBLANK(X728)),VLOOKUP($D$3+X728,Calcs!$A$110:$B$122,2,TRUE),IF(AA728="Failed",VLOOKUP($D$3,Calcs!$A$110:$B$122,2,TRUE),VLOOKUP($D$3-(IF((Character!$B$9+W728)&gt;($D$3+Y728),(Character!$B$9+W728)-($D$3+Y728),0)),Calcs!$A$110:$B$122,2,TRUE))))=Calcs!$B$120,IF(ISBLANK(AC728)," ",CONCATENATE(AC728+7," Years")),IF(AA728=" "," ",IF(NOT(ISBLANK(X728)),VLOOKUP($D$3+X728,Calcs!$A$110:$B$122,2,TRUE),IF(AA728="Failed",VLOOKUP($D$3,Calcs!$A$110:$B$122,2,TRUE),VLOOKUP($D$3-(IF((Character!$B$9+W728)&gt;($D$3+Y728),(Character!$B$9+W728)-($D$3+Y728),0)),Calcs!$A$110:$B$122,2,TRUE)))))</f>
        <v xml:space="preserve"> </v>
      </c>
      <c r="AE728" s="490"/>
      <c r="AF728" s="879"/>
      <c r="AG728" s="491"/>
    </row>
    <row r="729" spans="1:33" x14ac:dyDescent="0.2">
      <c r="A729" s="415">
        <f t="shared" si="20"/>
        <v>1392</v>
      </c>
      <c r="B729" s="419" t="str">
        <f t="shared" si="21"/>
        <v>Spring</v>
      </c>
      <c r="C729" s="455"/>
      <c r="D729" s="504"/>
      <c r="E729" s="455"/>
      <c r="F729" s="504"/>
      <c r="G729" s="455"/>
      <c r="H729" s="504"/>
      <c r="I729" s="455"/>
      <c r="J729" s="504"/>
      <c r="L729" s="472"/>
      <c r="M729" s="468"/>
      <c r="N729" s="468"/>
      <c r="O729" s="468"/>
      <c r="P729" s="468"/>
      <c r="Q729" s="473"/>
      <c r="R729" s="477" t="str">
        <f>IF(AND(COUNTIF('Start Character'!$I$63:$M$77,"Twilight Prone")=1,NOT(ISERROR(FIND("Magical Botch",M729)))),"Yes",IF(P729&gt;1,"Yes","No"))</f>
        <v>No</v>
      </c>
      <c r="S729" s="501"/>
      <c r="T729" s="478"/>
      <c r="U729" s="501"/>
      <c r="V729" s="479" t="str">
        <f>IF(R729="No","No Twilight",IF(T729="Yes","Uncomprehended Twilight",IF((Character!$B$14+IF(Character!$B$53="Yes",0,Character!$B$53)+IF(Magic!$C$5="Yes",2,0)+ROUNDUP((Magic!$B$30+IF(Magic!$C$30="Yes",3,0))/5,0)+S729)&gt;=($D$3+P729+SUMIF(Character!$I$62:$I$66,"Enigmatic Wisdom",Character!$J$62:$J$66)+Q729+U729),"No Twilight","Twilight")))</f>
        <v>No Twilight</v>
      </c>
      <c r="W729" s="483"/>
      <c r="X729" s="478"/>
      <c r="Y729" s="484"/>
      <c r="Z729" s="478"/>
      <c r="AA729" s="485" t="str">
        <f>IF(V729="Uncomprehended Twilight","Failed",IF(OR(ISBLANK(W729),ISBLANK(Y729))," ",IF(NOT(ISBLANK(X729)),"Failed",IF((W729+Character!$B$9+SUMIF(Character!$I$62:$I$66,"Enigmatic Wisdom",Character!$J$62:$J$66))&gt;=IF(Z729="Yes",0,(Y729+D724)),"Succeeded","Failed"))))</f>
        <v xml:space="preserve"> </v>
      </c>
      <c r="AB729" s="477" t="str">
        <f>IF(AA729=" "," ",IF(NOT(ISBLANK(X729)),VLOOKUP($D$3+X729,Calcs!$A$110:$C$122,3,TRUE),IF(AA729="Failed",VLOOKUP($D$3,Calcs!$A$110:$C$122,3,TRUE),VLOOKUP($D$3-(IF((Character!$B$9+W729)&gt;($D$3+Y729),(Character!$B$9+W729)-($D$3+Y729),0)),Calcs!$A$110:$C$122,3,TRUE))))</f>
        <v xml:space="preserve"> </v>
      </c>
      <c r="AC729" s="489"/>
      <c r="AD729" s="489" t="str">
        <f>IF(IF(AA729=" "," ",IF(NOT(ISBLANK(X729)),VLOOKUP($D$3+X729,Calcs!$A$110:$B$122,2,TRUE),IF(AA729="Failed",VLOOKUP($D$3,Calcs!$A$110:$B$122,2,TRUE),VLOOKUP($D$3-(IF((Character!$B$9+W729)&gt;($D$3+Y729),(Character!$B$9+W729)-($D$3+Y729),0)),Calcs!$A$110:$B$122,2,TRUE))))=Calcs!$B$120,IF(ISBLANK(AC729)," ",CONCATENATE(AC729+7," Years")),IF(AA729=" "," ",IF(NOT(ISBLANK(X729)),VLOOKUP($D$3+X729,Calcs!$A$110:$B$122,2,TRUE),IF(AA729="Failed",VLOOKUP($D$3,Calcs!$A$110:$B$122,2,TRUE),VLOOKUP($D$3-(IF((Character!$B$9+W729)&gt;($D$3+Y729),(Character!$B$9+W729)-($D$3+Y729),0)),Calcs!$A$110:$B$122,2,TRUE)))))</f>
        <v xml:space="preserve"> </v>
      </c>
      <c r="AE729" s="490"/>
      <c r="AF729" s="879"/>
      <c r="AG729" s="491"/>
    </row>
    <row r="730" spans="1:33" x14ac:dyDescent="0.2">
      <c r="A730" s="415">
        <f t="shared" si="20"/>
        <v>1392</v>
      </c>
      <c r="B730" s="419" t="str">
        <f t="shared" si="21"/>
        <v>Summer</v>
      </c>
      <c r="C730" s="455"/>
      <c r="D730" s="504"/>
      <c r="E730" s="455"/>
      <c r="F730" s="504"/>
      <c r="G730" s="455"/>
      <c r="H730" s="504"/>
      <c r="I730" s="455"/>
      <c r="J730" s="504"/>
      <c r="L730" s="472"/>
      <c r="M730" s="468"/>
      <c r="N730" s="468"/>
      <c r="O730" s="468"/>
      <c r="P730" s="468"/>
      <c r="Q730" s="473"/>
      <c r="R730" s="477" t="str">
        <f>IF(AND(COUNTIF('Start Character'!$I$63:$M$77,"Twilight Prone")=1,NOT(ISERROR(FIND("Magical Botch",M730)))),"Yes",IF(P730&gt;1,"Yes","No"))</f>
        <v>No</v>
      </c>
      <c r="S730" s="501"/>
      <c r="T730" s="478"/>
      <c r="U730" s="501"/>
      <c r="V730" s="479" t="str">
        <f>IF(R730="No","No Twilight",IF(T730="Yes","Uncomprehended Twilight",IF((Character!$B$14+IF(Character!$B$53="Yes",0,Character!$B$53)+IF(Magic!$C$5="Yes",2,0)+ROUNDUP((Magic!$B$30+IF(Magic!$C$30="Yes",3,0))/5,0)+S730)&gt;=($D$3+P730+SUMIF(Character!$I$62:$I$66,"Enigmatic Wisdom",Character!$J$62:$J$66)+Q730+U730),"No Twilight","Twilight")))</f>
        <v>No Twilight</v>
      </c>
      <c r="W730" s="483"/>
      <c r="X730" s="478"/>
      <c r="Y730" s="484"/>
      <c r="Z730" s="478"/>
      <c r="AA730" s="485" t="str">
        <f>IF(V730="Uncomprehended Twilight","Failed",IF(OR(ISBLANK(W730),ISBLANK(Y730))," ",IF(NOT(ISBLANK(X730)),"Failed",IF((W730+Character!$B$9+SUMIF(Character!$I$62:$I$66,"Enigmatic Wisdom",Character!$J$62:$J$66))&gt;=IF(Z730="Yes",0,(Y730+D725)),"Succeeded","Failed"))))</f>
        <v xml:space="preserve"> </v>
      </c>
      <c r="AB730" s="477" t="str">
        <f>IF(AA730=" "," ",IF(NOT(ISBLANK(X730)),VLOOKUP($D$3+X730,Calcs!$A$110:$C$122,3,TRUE),IF(AA730="Failed",VLOOKUP($D$3,Calcs!$A$110:$C$122,3,TRUE),VLOOKUP($D$3-(IF((Character!$B$9+W730)&gt;($D$3+Y730),(Character!$B$9+W730)-($D$3+Y730),0)),Calcs!$A$110:$C$122,3,TRUE))))</f>
        <v xml:space="preserve"> </v>
      </c>
      <c r="AC730" s="489"/>
      <c r="AD730" s="489" t="str">
        <f>IF(IF(AA730=" "," ",IF(NOT(ISBLANK(X730)),VLOOKUP($D$3+X730,Calcs!$A$110:$B$122,2,TRUE),IF(AA730="Failed",VLOOKUP($D$3,Calcs!$A$110:$B$122,2,TRUE),VLOOKUP($D$3-(IF((Character!$B$9+W730)&gt;($D$3+Y730),(Character!$B$9+W730)-($D$3+Y730),0)),Calcs!$A$110:$B$122,2,TRUE))))=Calcs!$B$120,IF(ISBLANK(AC730)," ",CONCATENATE(AC730+7," Years")),IF(AA730=" "," ",IF(NOT(ISBLANK(X730)),VLOOKUP($D$3+X730,Calcs!$A$110:$B$122,2,TRUE),IF(AA730="Failed",VLOOKUP($D$3,Calcs!$A$110:$B$122,2,TRUE),VLOOKUP($D$3-(IF((Character!$B$9+W730)&gt;($D$3+Y730),(Character!$B$9+W730)-($D$3+Y730),0)),Calcs!$A$110:$B$122,2,TRUE)))))</f>
        <v xml:space="preserve"> </v>
      </c>
      <c r="AE730" s="490"/>
      <c r="AF730" s="879"/>
      <c r="AG730" s="491"/>
    </row>
    <row r="731" spans="1:33" x14ac:dyDescent="0.2">
      <c r="A731" s="415">
        <f t="shared" si="20"/>
        <v>1392</v>
      </c>
      <c r="B731" s="419" t="str">
        <f t="shared" si="21"/>
        <v>Autumn</v>
      </c>
      <c r="C731" s="455"/>
      <c r="D731" s="504"/>
      <c r="E731" s="455"/>
      <c r="F731" s="504"/>
      <c r="G731" s="455"/>
      <c r="H731" s="504"/>
      <c r="I731" s="455"/>
      <c r="J731" s="504"/>
      <c r="L731" s="472"/>
      <c r="M731" s="468"/>
      <c r="N731" s="468"/>
      <c r="O731" s="468"/>
      <c r="P731" s="468"/>
      <c r="Q731" s="473"/>
      <c r="R731" s="477" t="str">
        <f>IF(AND(COUNTIF('Start Character'!$I$63:$M$77,"Twilight Prone")=1,NOT(ISERROR(FIND("Magical Botch",M731)))),"Yes",IF(P731&gt;1,"Yes","No"))</f>
        <v>No</v>
      </c>
      <c r="S731" s="501"/>
      <c r="T731" s="478"/>
      <c r="U731" s="501"/>
      <c r="V731" s="479" t="str">
        <f>IF(R731="No","No Twilight",IF(T731="Yes","Uncomprehended Twilight",IF((Character!$B$14+IF(Character!$B$53="Yes",0,Character!$B$53)+IF(Magic!$C$5="Yes",2,0)+ROUNDUP((Magic!$B$30+IF(Magic!$C$30="Yes",3,0))/5,0)+S731)&gt;=($D$3+P731+SUMIF(Character!$I$62:$I$66,"Enigmatic Wisdom",Character!$J$62:$J$66)+Q731+U731),"No Twilight","Twilight")))</f>
        <v>No Twilight</v>
      </c>
      <c r="W731" s="483"/>
      <c r="X731" s="478"/>
      <c r="Y731" s="484"/>
      <c r="Z731" s="478"/>
      <c r="AA731" s="485" t="str">
        <f>IF(V731="Uncomprehended Twilight","Failed",IF(OR(ISBLANK(W731),ISBLANK(Y731))," ",IF(NOT(ISBLANK(X731)),"Failed",IF((W731+Character!$B$9+SUMIF(Character!$I$62:$I$66,"Enigmatic Wisdom",Character!$J$62:$J$66))&gt;=IF(Z731="Yes",0,(Y731+D726)),"Succeeded","Failed"))))</f>
        <v xml:space="preserve"> </v>
      </c>
      <c r="AB731" s="477" t="str">
        <f>IF(AA731=" "," ",IF(NOT(ISBLANK(X731)),VLOOKUP($D$3+X731,Calcs!$A$110:$C$122,3,TRUE),IF(AA731="Failed",VLOOKUP($D$3,Calcs!$A$110:$C$122,3,TRUE),VLOOKUP($D$3-(IF((Character!$B$9+W731)&gt;($D$3+Y731),(Character!$B$9+W731)-($D$3+Y731),0)),Calcs!$A$110:$C$122,3,TRUE))))</f>
        <v xml:space="preserve"> </v>
      </c>
      <c r="AC731" s="489"/>
      <c r="AD731" s="489" t="str">
        <f>IF(IF(AA731=" "," ",IF(NOT(ISBLANK(X731)),VLOOKUP($D$3+X731,Calcs!$A$110:$B$122,2,TRUE),IF(AA731="Failed",VLOOKUP($D$3,Calcs!$A$110:$B$122,2,TRUE),VLOOKUP($D$3-(IF((Character!$B$9+W731)&gt;($D$3+Y731),(Character!$B$9+W731)-($D$3+Y731),0)),Calcs!$A$110:$B$122,2,TRUE))))=Calcs!$B$120,IF(ISBLANK(AC731)," ",CONCATENATE(AC731+7," Years")),IF(AA731=" "," ",IF(NOT(ISBLANK(X731)),VLOOKUP($D$3+X731,Calcs!$A$110:$B$122,2,TRUE),IF(AA731="Failed",VLOOKUP($D$3,Calcs!$A$110:$B$122,2,TRUE),VLOOKUP($D$3-(IF((Character!$B$9+W731)&gt;($D$3+Y731),(Character!$B$9+W731)-($D$3+Y731),0)),Calcs!$A$110:$B$122,2,TRUE)))))</f>
        <v xml:space="preserve"> </v>
      </c>
      <c r="AE731" s="490"/>
      <c r="AF731" s="879"/>
      <c r="AG731" s="491"/>
    </row>
    <row r="732" spans="1:33" x14ac:dyDescent="0.2">
      <c r="A732" s="415">
        <f t="shared" si="20"/>
        <v>1393</v>
      </c>
      <c r="B732" s="419" t="str">
        <f t="shared" si="21"/>
        <v>Winter</v>
      </c>
      <c r="C732" s="455"/>
      <c r="D732" s="504"/>
      <c r="E732" s="455"/>
      <c r="F732" s="504"/>
      <c r="G732" s="455"/>
      <c r="H732" s="504"/>
      <c r="I732" s="455"/>
      <c r="J732" s="504"/>
      <c r="L732" s="472"/>
      <c r="M732" s="468"/>
      <c r="N732" s="468"/>
      <c r="O732" s="468"/>
      <c r="P732" s="468"/>
      <c r="Q732" s="473"/>
      <c r="R732" s="477" t="str">
        <f>IF(AND(COUNTIF('Start Character'!$I$63:$M$77,"Twilight Prone")=1,NOT(ISERROR(FIND("Magical Botch",M732)))),"Yes",IF(P732&gt;1,"Yes","No"))</f>
        <v>No</v>
      </c>
      <c r="S732" s="501"/>
      <c r="T732" s="478"/>
      <c r="U732" s="501"/>
      <c r="V732" s="479" t="str">
        <f>IF(R732="No","No Twilight",IF(T732="Yes","Uncomprehended Twilight",IF((Character!$B$14+IF(Character!$B$53="Yes",0,Character!$B$53)+IF(Magic!$C$5="Yes",2,0)+ROUNDUP((Magic!$B$30+IF(Magic!$C$30="Yes",3,0))/5,0)+S732)&gt;=($D$3+P732+SUMIF(Character!$I$62:$I$66,"Enigmatic Wisdom",Character!$J$62:$J$66)+Q732+U732),"No Twilight","Twilight")))</f>
        <v>No Twilight</v>
      </c>
      <c r="W732" s="483"/>
      <c r="X732" s="478"/>
      <c r="Y732" s="484"/>
      <c r="Z732" s="478"/>
      <c r="AA732" s="485" t="str">
        <f>IF(V732="Uncomprehended Twilight","Failed",IF(OR(ISBLANK(W732),ISBLANK(Y732))," ",IF(NOT(ISBLANK(X732)),"Failed",IF((W732+Character!$B$9+SUMIF(Character!$I$62:$I$66,"Enigmatic Wisdom",Character!$J$62:$J$66))&gt;=IF(Z732="Yes",0,(Y732+D727)),"Succeeded","Failed"))))</f>
        <v xml:space="preserve"> </v>
      </c>
      <c r="AB732" s="477" t="str">
        <f>IF(AA732=" "," ",IF(NOT(ISBLANK(X732)),VLOOKUP($D$3+X732,Calcs!$A$110:$C$122,3,TRUE),IF(AA732="Failed",VLOOKUP($D$3,Calcs!$A$110:$C$122,3,TRUE),VLOOKUP($D$3-(IF((Character!$B$9+W732)&gt;($D$3+Y732),(Character!$B$9+W732)-($D$3+Y732),0)),Calcs!$A$110:$C$122,3,TRUE))))</f>
        <v xml:space="preserve"> </v>
      </c>
      <c r="AC732" s="489"/>
      <c r="AD732" s="489" t="str">
        <f>IF(IF(AA732=" "," ",IF(NOT(ISBLANK(X732)),VLOOKUP($D$3+X732,Calcs!$A$110:$B$122,2,TRUE),IF(AA732="Failed",VLOOKUP($D$3,Calcs!$A$110:$B$122,2,TRUE),VLOOKUP($D$3-(IF((Character!$B$9+W732)&gt;($D$3+Y732),(Character!$B$9+W732)-($D$3+Y732),0)),Calcs!$A$110:$B$122,2,TRUE))))=Calcs!$B$120,IF(ISBLANK(AC732)," ",CONCATENATE(AC732+7," Years")),IF(AA732=" "," ",IF(NOT(ISBLANK(X732)),VLOOKUP($D$3+X732,Calcs!$A$110:$B$122,2,TRUE),IF(AA732="Failed",VLOOKUP($D$3,Calcs!$A$110:$B$122,2,TRUE),VLOOKUP($D$3-(IF((Character!$B$9+W732)&gt;($D$3+Y732),(Character!$B$9+W732)-($D$3+Y732),0)),Calcs!$A$110:$B$122,2,TRUE)))))</f>
        <v xml:space="preserve"> </v>
      </c>
      <c r="AE732" s="490"/>
      <c r="AF732" s="879"/>
      <c r="AG732" s="491"/>
    </row>
    <row r="733" spans="1:33" x14ac:dyDescent="0.2">
      <c r="A733" s="415">
        <f t="shared" ref="A733:A796" si="22">IF(B732="Autumn",A732+1,A732)</f>
        <v>1393</v>
      </c>
      <c r="B733" s="419" t="str">
        <f t="shared" ref="B733:B796" si="23">IF(B732="spring","Summer",IF(B732="Summer","Autumn",IF(B732="Autumn","Winter",IF(B732="Winter","Spring"," "))))</f>
        <v>Spring</v>
      </c>
      <c r="C733" s="455"/>
      <c r="D733" s="504"/>
      <c r="E733" s="455"/>
      <c r="F733" s="504"/>
      <c r="G733" s="455"/>
      <c r="H733" s="504"/>
      <c r="I733" s="455"/>
      <c r="J733" s="504"/>
      <c r="L733" s="472"/>
      <c r="M733" s="468"/>
      <c r="N733" s="468"/>
      <c r="O733" s="468"/>
      <c r="P733" s="468"/>
      <c r="Q733" s="473"/>
      <c r="R733" s="477" t="str">
        <f>IF(AND(COUNTIF('Start Character'!$I$63:$M$77,"Twilight Prone")=1,NOT(ISERROR(FIND("Magical Botch",M733)))),"Yes",IF(P733&gt;1,"Yes","No"))</f>
        <v>No</v>
      </c>
      <c r="S733" s="501"/>
      <c r="T733" s="478"/>
      <c r="U733" s="501"/>
      <c r="V733" s="479" t="str">
        <f>IF(R733="No","No Twilight",IF(T733="Yes","Uncomprehended Twilight",IF((Character!$B$14+IF(Character!$B$53="Yes",0,Character!$B$53)+IF(Magic!$C$5="Yes",2,0)+ROUNDUP((Magic!$B$30+IF(Magic!$C$30="Yes",3,0))/5,0)+S733)&gt;=($D$3+P733+SUMIF(Character!$I$62:$I$66,"Enigmatic Wisdom",Character!$J$62:$J$66)+Q733+U733),"No Twilight","Twilight")))</f>
        <v>No Twilight</v>
      </c>
      <c r="W733" s="483"/>
      <c r="X733" s="478"/>
      <c r="Y733" s="484"/>
      <c r="Z733" s="478"/>
      <c r="AA733" s="485" t="str">
        <f>IF(V733="Uncomprehended Twilight","Failed",IF(OR(ISBLANK(W733),ISBLANK(Y733))," ",IF(NOT(ISBLANK(X733)),"Failed",IF((W733+Character!$B$9+SUMIF(Character!$I$62:$I$66,"Enigmatic Wisdom",Character!$J$62:$J$66))&gt;=IF(Z733="Yes",0,(Y733+D728)),"Succeeded","Failed"))))</f>
        <v xml:space="preserve"> </v>
      </c>
      <c r="AB733" s="477" t="str">
        <f>IF(AA733=" "," ",IF(NOT(ISBLANK(X733)),VLOOKUP($D$3+X733,Calcs!$A$110:$C$122,3,TRUE),IF(AA733="Failed",VLOOKUP($D$3,Calcs!$A$110:$C$122,3,TRUE),VLOOKUP($D$3-(IF((Character!$B$9+W733)&gt;($D$3+Y733),(Character!$B$9+W733)-($D$3+Y733),0)),Calcs!$A$110:$C$122,3,TRUE))))</f>
        <v xml:space="preserve"> </v>
      </c>
      <c r="AC733" s="489"/>
      <c r="AD733" s="489" t="str">
        <f>IF(IF(AA733=" "," ",IF(NOT(ISBLANK(X733)),VLOOKUP($D$3+X733,Calcs!$A$110:$B$122,2,TRUE),IF(AA733="Failed",VLOOKUP($D$3,Calcs!$A$110:$B$122,2,TRUE),VLOOKUP($D$3-(IF((Character!$B$9+W733)&gt;($D$3+Y733),(Character!$B$9+W733)-($D$3+Y733),0)),Calcs!$A$110:$B$122,2,TRUE))))=Calcs!$B$120,IF(ISBLANK(AC733)," ",CONCATENATE(AC733+7," Years")),IF(AA733=" "," ",IF(NOT(ISBLANK(X733)),VLOOKUP($D$3+X733,Calcs!$A$110:$B$122,2,TRUE),IF(AA733="Failed",VLOOKUP($D$3,Calcs!$A$110:$B$122,2,TRUE),VLOOKUP($D$3-(IF((Character!$B$9+W733)&gt;($D$3+Y733),(Character!$B$9+W733)-($D$3+Y733),0)),Calcs!$A$110:$B$122,2,TRUE)))))</f>
        <v xml:space="preserve"> </v>
      </c>
      <c r="AE733" s="490"/>
      <c r="AF733" s="879"/>
      <c r="AG733" s="491"/>
    </row>
    <row r="734" spans="1:33" x14ac:dyDescent="0.2">
      <c r="A734" s="415">
        <f t="shared" si="22"/>
        <v>1393</v>
      </c>
      <c r="B734" s="419" t="str">
        <f t="shared" si="23"/>
        <v>Summer</v>
      </c>
      <c r="C734" s="455"/>
      <c r="D734" s="504"/>
      <c r="E734" s="455"/>
      <c r="F734" s="504"/>
      <c r="G734" s="455"/>
      <c r="H734" s="504"/>
      <c r="I734" s="455"/>
      <c r="J734" s="504"/>
      <c r="L734" s="472"/>
      <c r="M734" s="468"/>
      <c r="N734" s="468"/>
      <c r="O734" s="468"/>
      <c r="P734" s="468"/>
      <c r="Q734" s="473"/>
      <c r="R734" s="477" t="str">
        <f>IF(AND(COUNTIF('Start Character'!$I$63:$M$77,"Twilight Prone")=1,NOT(ISERROR(FIND("Magical Botch",M734)))),"Yes",IF(P734&gt;1,"Yes","No"))</f>
        <v>No</v>
      </c>
      <c r="S734" s="501"/>
      <c r="T734" s="478"/>
      <c r="U734" s="501"/>
      <c r="V734" s="479" t="str">
        <f>IF(R734="No","No Twilight",IF(T734="Yes","Uncomprehended Twilight",IF((Character!$B$14+IF(Character!$B$53="Yes",0,Character!$B$53)+IF(Magic!$C$5="Yes",2,0)+ROUNDUP((Magic!$B$30+IF(Magic!$C$30="Yes",3,0))/5,0)+S734)&gt;=($D$3+P734+SUMIF(Character!$I$62:$I$66,"Enigmatic Wisdom",Character!$J$62:$J$66)+Q734+U734),"No Twilight","Twilight")))</f>
        <v>No Twilight</v>
      </c>
      <c r="W734" s="483"/>
      <c r="X734" s="478"/>
      <c r="Y734" s="484"/>
      <c r="Z734" s="478"/>
      <c r="AA734" s="485" t="str">
        <f>IF(V734="Uncomprehended Twilight","Failed",IF(OR(ISBLANK(W734),ISBLANK(Y734))," ",IF(NOT(ISBLANK(X734)),"Failed",IF((W734+Character!$B$9+SUMIF(Character!$I$62:$I$66,"Enigmatic Wisdom",Character!$J$62:$J$66))&gt;=IF(Z734="Yes",0,(Y734+D729)),"Succeeded","Failed"))))</f>
        <v xml:space="preserve"> </v>
      </c>
      <c r="AB734" s="477" t="str">
        <f>IF(AA734=" "," ",IF(NOT(ISBLANK(X734)),VLOOKUP($D$3+X734,Calcs!$A$110:$C$122,3,TRUE),IF(AA734="Failed",VLOOKUP($D$3,Calcs!$A$110:$C$122,3,TRUE),VLOOKUP($D$3-(IF((Character!$B$9+W734)&gt;($D$3+Y734),(Character!$B$9+W734)-($D$3+Y734),0)),Calcs!$A$110:$C$122,3,TRUE))))</f>
        <v xml:space="preserve"> </v>
      </c>
      <c r="AC734" s="489"/>
      <c r="AD734" s="489" t="str">
        <f>IF(IF(AA734=" "," ",IF(NOT(ISBLANK(X734)),VLOOKUP($D$3+X734,Calcs!$A$110:$B$122,2,TRUE),IF(AA734="Failed",VLOOKUP($D$3,Calcs!$A$110:$B$122,2,TRUE),VLOOKUP($D$3-(IF((Character!$B$9+W734)&gt;($D$3+Y734),(Character!$B$9+W734)-($D$3+Y734),0)),Calcs!$A$110:$B$122,2,TRUE))))=Calcs!$B$120,IF(ISBLANK(AC734)," ",CONCATENATE(AC734+7," Years")),IF(AA734=" "," ",IF(NOT(ISBLANK(X734)),VLOOKUP($D$3+X734,Calcs!$A$110:$B$122,2,TRUE),IF(AA734="Failed",VLOOKUP($D$3,Calcs!$A$110:$B$122,2,TRUE),VLOOKUP($D$3-(IF((Character!$B$9+W734)&gt;($D$3+Y734),(Character!$B$9+W734)-($D$3+Y734),0)),Calcs!$A$110:$B$122,2,TRUE)))))</f>
        <v xml:space="preserve"> </v>
      </c>
      <c r="AE734" s="490"/>
      <c r="AF734" s="879"/>
      <c r="AG734" s="491"/>
    </row>
    <row r="735" spans="1:33" x14ac:dyDescent="0.2">
      <c r="A735" s="415">
        <f t="shared" si="22"/>
        <v>1393</v>
      </c>
      <c r="B735" s="419" t="str">
        <f t="shared" si="23"/>
        <v>Autumn</v>
      </c>
      <c r="C735" s="455"/>
      <c r="D735" s="504"/>
      <c r="E735" s="455"/>
      <c r="F735" s="504"/>
      <c r="G735" s="455"/>
      <c r="H735" s="504"/>
      <c r="I735" s="455"/>
      <c r="J735" s="504"/>
      <c r="L735" s="472"/>
      <c r="M735" s="468"/>
      <c r="N735" s="468"/>
      <c r="O735" s="468"/>
      <c r="P735" s="468"/>
      <c r="Q735" s="473"/>
      <c r="R735" s="477" t="str">
        <f>IF(AND(COUNTIF('Start Character'!$I$63:$M$77,"Twilight Prone")=1,NOT(ISERROR(FIND("Magical Botch",M735)))),"Yes",IF(P735&gt;1,"Yes","No"))</f>
        <v>No</v>
      </c>
      <c r="S735" s="501"/>
      <c r="T735" s="478"/>
      <c r="U735" s="501"/>
      <c r="V735" s="479" t="str">
        <f>IF(R735="No","No Twilight",IF(T735="Yes","Uncomprehended Twilight",IF((Character!$B$14+IF(Character!$B$53="Yes",0,Character!$B$53)+IF(Magic!$C$5="Yes",2,0)+ROUNDUP((Magic!$B$30+IF(Magic!$C$30="Yes",3,0))/5,0)+S735)&gt;=($D$3+P735+SUMIF(Character!$I$62:$I$66,"Enigmatic Wisdom",Character!$J$62:$J$66)+Q735+U735),"No Twilight","Twilight")))</f>
        <v>No Twilight</v>
      </c>
      <c r="W735" s="483"/>
      <c r="X735" s="478"/>
      <c r="Y735" s="484"/>
      <c r="Z735" s="478"/>
      <c r="AA735" s="485" t="str">
        <f>IF(V735="Uncomprehended Twilight","Failed",IF(OR(ISBLANK(W735),ISBLANK(Y735))," ",IF(NOT(ISBLANK(X735)),"Failed",IF((W735+Character!$B$9+SUMIF(Character!$I$62:$I$66,"Enigmatic Wisdom",Character!$J$62:$J$66))&gt;=IF(Z735="Yes",0,(Y735+D730)),"Succeeded","Failed"))))</f>
        <v xml:space="preserve"> </v>
      </c>
      <c r="AB735" s="477" t="str">
        <f>IF(AA735=" "," ",IF(NOT(ISBLANK(X735)),VLOOKUP($D$3+X735,Calcs!$A$110:$C$122,3,TRUE),IF(AA735="Failed",VLOOKUP($D$3,Calcs!$A$110:$C$122,3,TRUE),VLOOKUP($D$3-(IF((Character!$B$9+W735)&gt;($D$3+Y735),(Character!$B$9+W735)-($D$3+Y735),0)),Calcs!$A$110:$C$122,3,TRUE))))</f>
        <v xml:space="preserve"> </v>
      </c>
      <c r="AC735" s="489"/>
      <c r="AD735" s="489" t="str">
        <f>IF(IF(AA735=" "," ",IF(NOT(ISBLANK(X735)),VLOOKUP($D$3+X735,Calcs!$A$110:$B$122,2,TRUE),IF(AA735="Failed",VLOOKUP($D$3,Calcs!$A$110:$B$122,2,TRUE),VLOOKUP($D$3-(IF((Character!$B$9+W735)&gt;($D$3+Y735),(Character!$B$9+W735)-($D$3+Y735),0)),Calcs!$A$110:$B$122,2,TRUE))))=Calcs!$B$120,IF(ISBLANK(AC735)," ",CONCATENATE(AC735+7," Years")),IF(AA735=" "," ",IF(NOT(ISBLANK(X735)),VLOOKUP($D$3+X735,Calcs!$A$110:$B$122,2,TRUE),IF(AA735="Failed",VLOOKUP($D$3,Calcs!$A$110:$B$122,2,TRUE),VLOOKUP($D$3-(IF((Character!$B$9+W735)&gt;($D$3+Y735),(Character!$B$9+W735)-($D$3+Y735),0)),Calcs!$A$110:$B$122,2,TRUE)))))</f>
        <v xml:space="preserve"> </v>
      </c>
      <c r="AE735" s="490"/>
      <c r="AF735" s="879"/>
      <c r="AG735" s="491"/>
    </row>
    <row r="736" spans="1:33" x14ac:dyDescent="0.2">
      <c r="A736" s="415">
        <f t="shared" si="22"/>
        <v>1394</v>
      </c>
      <c r="B736" s="419" t="str">
        <f t="shared" si="23"/>
        <v>Winter</v>
      </c>
      <c r="C736" s="455"/>
      <c r="D736" s="504"/>
      <c r="E736" s="455"/>
      <c r="F736" s="504"/>
      <c r="G736" s="455"/>
      <c r="H736" s="504"/>
      <c r="I736" s="455"/>
      <c r="J736" s="504"/>
      <c r="L736" s="472"/>
      <c r="M736" s="468"/>
      <c r="N736" s="468"/>
      <c r="O736" s="468"/>
      <c r="P736" s="468"/>
      <c r="Q736" s="473"/>
      <c r="R736" s="477" t="str">
        <f>IF(AND(COUNTIF('Start Character'!$I$63:$M$77,"Twilight Prone")=1,NOT(ISERROR(FIND("Magical Botch",M736)))),"Yes",IF(P736&gt;1,"Yes","No"))</f>
        <v>No</v>
      </c>
      <c r="S736" s="501"/>
      <c r="T736" s="478"/>
      <c r="U736" s="501"/>
      <c r="V736" s="479" t="str">
        <f>IF(R736="No","No Twilight",IF(T736="Yes","Uncomprehended Twilight",IF((Character!$B$14+IF(Character!$B$53="Yes",0,Character!$B$53)+IF(Magic!$C$5="Yes",2,0)+ROUNDUP((Magic!$B$30+IF(Magic!$C$30="Yes",3,0))/5,0)+S736)&gt;=($D$3+P736+SUMIF(Character!$I$62:$I$66,"Enigmatic Wisdom",Character!$J$62:$J$66)+Q736+U736),"No Twilight","Twilight")))</f>
        <v>No Twilight</v>
      </c>
      <c r="W736" s="483"/>
      <c r="X736" s="478"/>
      <c r="Y736" s="484"/>
      <c r="Z736" s="478"/>
      <c r="AA736" s="485" t="str">
        <f>IF(V736="Uncomprehended Twilight","Failed",IF(OR(ISBLANK(W736),ISBLANK(Y736))," ",IF(NOT(ISBLANK(X736)),"Failed",IF((W736+Character!$B$9+SUMIF(Character!$I$62:$I$66,"Enigmatic Wisdom",Character!$J$62:$J$66))&gt;=IF(Z736="Yes",0,(Y736+D731)),"Succeeded","Failed"))))</f>
        <v xml:space="preserve"> </v>
      </c>
      <c r="AB736" s="477" t="str">
        <f>IF(AA736=" "," ",IF(NOT(ISBLANK(X736)),VLOOKUP($D$3+X736,Calcs!$A$110:$C$122,3,TRUE),IF(AA736="Failed",VLOOKUP($D$3,Calcs!$A$110:$C$122,3,TRUE),VLOOKUP($D$3-(IF((Character!$B$9+W736)&gt;($D$3+Y736),(Character!$B$9+W736)-($D$3+Y736),0)),Calcs!$A$110:$C$122,3,TRUE))))</f>
        <v xml:space="preserve"> </v>
      </c>
      <c r="AC736" s="489"/>
      <c r="AD736" s="489" t="str">
        <f>IF(IF(AA736=" "," ",IF(NOT(ISBLANK(X736)),VLOOKUP($D$3+X736,Calcs!$A$110:$B$122,2,TRUE),IF(AA736="Failed",VLOOKUP($D$3,Calcs!$A$110:$B$122,2,TRUE),VLOOKUP($D$3-(IF((Character!$B$9+W736)&gt;($D$3+Y736),(Character!$B$9+W736)-($D$3+Y736),0)),Calcs!$A$110:$B$122,2,TRUE))))=Calcs!$B$120,IF(ISBLANK(AC736)," ",CONCATENATE(AC736+7," Years")),IF(AA736=" "," ",IF(NOT(ISBLANK(X736)),VLOOKUP($D$3+X736,Calcs!$A$110:$B$122,2,TRUE),IF(AA736="Failed",VLOOKUP($D$3,Calcs!$A$110:$B$122,2,TRUE),VLOOKUP($D$3-(IF((Character!$B$9+W736)&gt;($D$3+Y736),(Character!$B$9+W736)-($D$3+Y736),0)),Calcs!$A$110:$B$122,2,TRUE)))))</f>
        <v xml:space="preserve"> </v>
      </c>
      <c r="AE736" s="490"/>
      <c r="AF736" s="879"/>
      <c r="AG736" s="491"/>
    </row>
    <row r="737" spans="1:33" x14ac:dyDescent="0.2">
      <c r="A737" s="415">
        <f t="shared" si="22"/>
        <v>1394</v>
      </c>
      <c r="B737" s="419" t="str">
        <f t="shared" si="23"/>
        <v>Spring</v>
      </c>
      <c r="C737" s="455"/>
      <c r="D737" s="504"/>
      <c r="E737" s="455"/>
      <c r="F737" s="504"/>
      <c r="G737" s="455"/>
      <c r="H737" s="504"/>
      <c r="I737" s="455"/>
      <c r="J737" s="504"/>
      <c r="L737" s="472"/>
      <c r="M737" s="468"/>
      <c r="N737" s="468"/>
      <c r="O737" s="468"/>
      <c r="P737" s="468"/>
      <c r="Q737" s="473"/>
      <c r="R737" s="477" t="str">
        <f>IF(AND(COUNTIF('Start Character'!$I$63:$M$77,"Twilight Prone")=1,NOT(ISERROR(FIND("Magical Botch",M737)))),"Yes",IF(P737&gt;1,"Yes","No"))</f>
        <v>No</v>
      </c>
      <c r="S737" s="501"/>
      <c r="T737" s="478"/>
      <c r="U737" s="501"/>
      <c r="V737" s="479" t="str">
        <f>IF(R737="No","No Twilight",IF(T737="Yes","Uncomprehended Twilight",IF((Character!$B$14+IF(Character!$B$53="Yes",0,Character!$B$53)+IF(Magic!$C$5="Yes",2,0)+ROUNDUP((Magic!$B$30+IF(Magic!$C$30="Yes",3,0))/5,0)+S737)&gt;=($D$3+P737+SUMIF(Character!$I$62:$I$66,"Enigmatic Wisdom",Character!$J$62:$J$66)+Q737+U737),"No Twilight","Twilight")))</f>
        <v>No Twilight</v>
      </c>
      <c r="W737" s="483"/>
      <c r="X737" s="478"/>
      <c r="Y737" s="484"/>
      <c r="Z737" s="478"/>
      <c r="AA737" s="485" t="str">
        <f>IF(V737="Uncomprehended Twilight","Failed",IF(OR(ISBLANK(W737),ISBLANK(Y737))," ",IF(NOT(ISBLANK(X737)),"Failed",IF((W737+Character!$B$9+SUMIF(Character!$I$62:$I$66,"Enigmatic Wisdom",Character!$J$62:$J$66))&gt;=IF(Z737="Yes",0,(Y737+D732)),"Succeeded","Failed"))))</f>
        <v xml:space="preserve"> </v>
      </c>
      <c r="AB737" s="477" t="str">
        <f>IF(AA737=" "," ",IF(NOT(ISBLANK(X737)),VLOOKUP($D$3+X737,Calcs!$A$110:$C$122,3,TRUE),IF(AA737="Failed",VLOOKUP($D$3,Calcs!$A$110:$C$122,3,TRUE),VLOOKUP($D$3-(IF((Character!$B$9+W737)&gt;($D$3+Y737),(Character!$B$9+W737)-($D$3+Y737),0)),Calcs!$A$110:$C$122,3,TRUE))))</f>
        <v xml:space="preserve"> </v>
      </c>
      <c r="AC737" s="489"/>
      <c r="AD737" s="489" t="str">
        <f>IF(IF(AA737=" "," ",IF(NOT(ISBLANK(X737)),VLOOKUP($D$3+X737,Calcs!$A$110:$B$122,2,TRUE),IF(AA737="Failed",VLOOKUP($D$3,Calcs!$A$110:$B$122,2,TRUE),VLOOKUP($D$3-(IF((Character!$B$9+W737)&gt;($D$3+Y737),(Character!$B$9+W737)-($D$3+Y737),0)),Calcs!$A$110:$B$122,2,TRUE))))=Calcs!$B$120,IF(ISBLANK(AC737)," ",CONCATENATE(AC737+7," Years")),IF(AA737=" "," ",IF(NOT(ISBLANK(X737)),VLOOKUP($D$3+X737,Calcs!$A$110:$B$122,2,TRUE),IF(AA737="Failed",VLOOKUP($D$3,Calcs!$A$110:$B$122,2,TRUE),VLOOKUP($D$3-(IF((Character!$B$9+W737)&gt;($D$3+Y737),(Character!$B$9+W737)-($D$3+Y737),0)),Calcs!$A$110:$B$122,2,TRUE)))))</f>
        <v xml:space="preserve"> </v>
      </c>
      <c r="AE737" s="490"/>
      <c r="AF737" s="879"/>
      <c r="AG737" s="491"/>
    </row>
    <row r="738" spans="1:33" x14ac:dyDescent="0.2">
      <c r="A738" s="415">
        <f t="shared" si="22"/>
        <v>1394</v>
      </c>
      <c r="B738" s="419" t="str">
        <f t="shared" si="23"/>
        <v>Summer</v>
      </c>
      <c r="C738" s="455"/>
      <c r="D738" s="504"/>
      <c r="E738" s="455"/>
      <c r="F738" s="504"/>
      <c r="G738" s="455"/>
      <c r="H738" s="504"/>
      <c r="I738" s="455"/>
      <c r="J738" s="504"/>
      <c r="L738" s="472"/>
      <c r="M738" s="468"/>
      <c r="N738" s="468"/>
      <c r="O738" s="468"/>
      <c r="P738" s="468"/>
      <c r="Q738" s="473"/>
      <c r="R738" s="477" t="str">
        <f>IF(AND(COUNTIF('Start Character'!$I$63:$M$77,"Twilight Prone")=1,NOT(ISERROR(FIND("Magical Botch",M738)))),"Yes",IF(P738&gt;1,"Yes","No"))</f>
        <v>No</v>
      </c>
      <c r="S738" s="501"/>
      <c r="T738" s="478"/>
      <c r="U738" s="501"/>
      <c r="V738" s="479" t="str">
        <f>IF(R738="No","No Twilight",IF(T738="Yes","Uncomprehended Twilight",IF((Character!$B$14+IF(Character!$B$53="Yes",0,Character!$B$53)+IF(Magic!$C$5="Yes",2,0)+ROUNDUP((Magic!$B$30+IF(Magic!$C$30="Yes",3,0))/5,0)+S738)&gt;=($D$3+P738+SUMIF(Character!$I$62:$I$66,"Enigmatic Wisdom",Character!$J$62:$J$66)+Q738+U738),"No Twilight","Twilight")))</f>
        <v>No Twilight</v>
      </c>
      <c r="W738" s="483"/>
      <c r="X738" s="478"/>
      <c r="Y738" s="484"/>
      <c r="Z738" s="478"/>
      <c r="AA738" s="485" t="str">
        <f>IF(V738="Uncomprehended Twilight","Failed",IF(OR(ISBLANK(W738),ISBLANK(Y738))," ",IF(NOT(ISBLANK(X738)),"Failed",IF((W738+Character!$B$9+SUMIF(Character!$I$62:$I$66,"Enigmatic Wisdom",Character!$J$62:$J$66))&gt;=IF(Z738="Yes",0,(Y738+D733)),"Succeeded","Failed"))))</f>
        <v xml:space="preserve"> </v>
      </c>
      <c r="AB738" s="477" t="str">
        <f>IF(AA738=" "," ",IF(NOT(ISBLANK(X738)),VLOOKUP($D$3+X738,Calcs!$A$110:$C$122,3,TRUE),IF(AA738="Failed",VLOOKUP($D$3,Calcs!$A$110:$C$122,3,TRUE),VLOOKUP($D$3-(IF((Character!$B$9+W738)&gt;($D$3+Y738),(Character!$B$9+W738)-($D$3+Y738),0)),Calcs!$A$110:$C$122,3,TRUE))))</f>
        <v xml:space="preserve"> </v>
      </c>
      <c r="AC738" s="489"/>
      <c r="AD738" s="489" t="str">
        <f>IF(IF(AA738=" "," ",IF(NOT(ISBLANK(X738)),VLOOKUP($D$3+X738,Calcs!$A$110:$B$122,2,TRUE),IF(AA738="Failed",VLOOKUP($D$3,Calcs!$A$110:$B$122,2,TRUE),VLOOKUP($D$3-(IF((Character!$B$9+W738)&gt;($D$3+Y738),(Character!$B$9+W738)-($D$3+Y738),0)),Calcs!$A$110:$B$122,2,TRUE))))=Calcs!$B$120,IF(ISBLANK(AC738)," ",CONCATENATE(AC738+7," Years")),IF(AA738=" "," ",IF(NOT(ISBLANK(X738)),VLOOKUP($D$3+X738,Calcs!$A$110:$B$122,2,TRUE),IF(AA738="Failed",VLOOKUP($D$3,Calcs!$A$110:$B$122,2,TRUE),VLOOKUP($D$3-(IF((Character!$B$9+W738)&gt;($D$3+Y738),(Character!$B$9+W738)-($D$3+Y738),0)),Calcs!$A$110:$B$122,2,TRUE)))))</f>
        <v xml:space="preserve"> </v>
      </c>
      <c r="AE738" s="490"/>
      <c r="AF738" s="879"/>
      <c r="AG738" s="491"/>
    </row>
    <row r="739" spans="1:33" x14ac:dyDescent="0.2">
      <c r="A739" s="415">
        <f t="shared" si="22"/>
        <v>1394</v>
      </c>
      <c r="B739" s="419" t="str">
        <f t="shared" si="23"/>
        <v>Autumn</v>
      </c>
      <c r="C739" s="455"/>
      <c r="D739" s="504"/>
      <c r="E739" s="455"/>
      <c r="F739" s="504"/>
      <c r="G739" s="455"/>
      <c r="H739" s="504"/>
      <c r="I739" s="455"/>
      <c r="J739" s="504"/>
      <c r="L739" s="472"/>
      <c r="M739" s="468"/>
      <c r="N739" s="468"/>
      <c r="O739" s="468"/>
      <c r="P739" s="468"/>
      <c r="Q739" s="473"/>
      <c r="R739" s="477" t="str">
        <f>IF(AND(COUNTIF('Start Character'!$I$63:$M$77,"Twilight Prone")=1,NOT(ISERROR(FIND("Magical Botch",M739)))),"Yes",IF(P739&gt;1,"Yes","No"))</f>
        <v>No</v>
      </c>
      <c r="S739" s="501"/>
      <c r="T739" s="478"/>
      <c r="U739" s="501"/>
      <c r="V739" s="479" t="str">
        <f>IF(R739="No","No Twilight",IF(T739="Yes","Uncomprehended Twilight",IF((Character!$B$14+IF(Character!$B$53="Yes",0,Character!$B$53)+IF(Magic!$C$5="Yes",2,0)+ROUNDUP((Magic!$B$30+IF(Magic!$C$30="Yes",3,0))/5,0)+S739)&gt;=($D$3+P739+SUMIF(Character!$I$62:$I$66,"Enigmatic Wisdom",Character!$J$62:$J$66)+Q739+U739),"No Twilight","Twilight")))</f>
        <v>No Twilight</v>
      </c>
      <c r="W739" s="483"/>
      <c r="X739" s="478"/>
      <c r="Y739" s="484"/>
      <c r="Z739" s="478"/>
      <c r="AA739" s="485" t="str">
        <f>IF(V739="Uncomprehended Twilight","Failed",IF(OR(ISBLANK(W739),ISBLANK(Y739))," ",IF(NOT(ISBLANK(X739)),"Failed",IF((W739+Character!$B$9+SUMIF(Character!$I$62:$I$66,"Enigmatic Wisdom",Character!$J$62:$J$66))&gt;=IF(Z739="Yes",0,(Y739+D734)),"Succeeded","Failed"))))</f>
        <v xml:space="preserve"> </v>
      </c>
      <c r="AB739" s="477" t="str">
        <f>IF(AA739=" "," ",IF(NOT(ISBLANK(X739)),VLOOKUP($D$3+X739,Calcs!$A$110:$C$122,3,TRUE),IF(AA739="Failed",VLOOKUP($D$3,Calcs!$A$110:$C$122,3,TRUE),VLOOKUP($D$3-(IF((Character!$B$9+W739)&gt;($D$3+Y739),(Character!$B$9+W739)-($D$3+Y739),0)),Calcs!$A$110:$C$122,3,TRUE))))</f>
        <v xml:space="preserve"> </v>
      </c>
      <c r="AC739" s="489"/>
      <c r="AD739" s="489" t="str">
        <f>IF(IF(AA739=" "," ",IF(NOT(ISBLANK(X739)),VLOOKUP($D$3+X739,Calcs!$A$110:$B$122,2,TRUE),IF(AA739="Failed",VLOOKUP($D$3,Calcs!$A$110:$B$122,2,TRUE),VLOOKUP($D$3-(IF((Character!$B$9+W739)&gt;($D$3+Y739),(Character!$B$9+W739)-($D$3+Y739),0)),Calcs!$A$110:$B$122,2,TRUE))))=Calcs!$B$120,IF(ISBLANK(AC739)," ",CONCATENATE(AC739+7," Years")),IF(AA739=" "," ",IF(NOT(ISBLANK(X739)),VLOOKUP($D$3+X739,Calcs!$A$110:$B$122,2,TRUE),IF(AA739="Failed",VLOOKUP($D$3,Calcs!$A$110:$B$122,2,TRUE),VLOOKUP($D$3-(IF((Character!$B$9+W739)&gt;($D$3+Y739),(Character!$B$9+W739)-($D$3+Y739),0)),Calcs!$A$110:$B$122,2,TRUE)))))</f>
        <v xml:space="preserve"> </v>
      </c>
      <c r="AE739" s="490"/>
      <c r="AF739" s="879"/>
      <c r="AG739" s="491"/>
    </row>
    <row r="740" spans="1:33" x14ac:dyDescent="0.2">
      <c r="A740" s="415">
        <f t="shared" si="22"/>
        <v>1395</v>
      </c>
      <c r="B740" s="419" t="str">
        <f t="shared" si="23"/>
        <v>Winter</v>
      </c>
      <c r="C740" s="455"/>
      <c r="D740" s="504"/>
      <c r="E740" s="455"/>
      <c r="F740" s="504"/>
      <c r="G740" s="455"/>
      <c r="H740" s="504"/>
      <c r="I740" s="455"/>
      <c r="J740" s="504"/>
      <c r="L740" s="472"/>
      <c r="M740" s="468"/>
      <c r="N740" s="468"/>
      <c r="O740" s="468"/>
      <c r="P740" s="468"/>
      <c r="Q740" s="473"/>
      <c r="R740" s="477" t="str">
        <f>IF(AND(COUNTIF('Start Character'!$I$63:$M$77,"Twilight Prone")=1,NOT(ISERROR(FIND("Magical Botch",M740)))),"Yes",IF(P740&gt;1,"Yes","No"))</f>
        <v>No</v>
      </c>
      <c r="S740" s="501"/>
      <c r="T740" s="478"/>
      <c r="U740" s="501"/>
      <c r="V740" s="479" t="str">
        <f>IF(R740="No","No Twilight",IF(T740="Yes","Uncomprehended Twilight",IF((Character!$B$14+IF(Character!$B$53="Yes",0,Character!$B$53)+IF(Magic!$C$5="Yes",2,0)+ROUNDUP((Magic!$B$30+IF(Magic!$C$30="Yes",3,0))/5,0)+S740)&gt;=($D$3+P740+SUMIF(Character!$I$62:$I$66,"Enigmatic Wisdom",Character!$J$62:$J$66)+Q740+U740),"No Twilight","Twilight")))</f>
        <v>No Twilight</v>
      </c>
      <c r="W740" s="483"/>
      <c r="X740" s="478"/>
      <c r="Y740" s="484"/>
      <c r="Z740" s="478"/>
      <c r="AA740" s="485" t="str">
        <f>IF(V740="Uncomprehended Twilight","Failed",IF(OR(ISBLANK(W740),ISBLANK(Y740))," ",IF(NOT(ISBLANK(X740)),"Failed",IF((W740+Character!$B$9+SUMIF(Character!$I$62:$I$66,"Enigmatic Wisdom",Character!$J$62:$J$66))&gt;=IF(Z740="Yes",0,(Y740+D735)),"Succeeded","Failed"))))</f>
        <v xml:space="preserve"> </v>
      </c>
      <c r="AB740" s="477" t="str">
        <f>IF(AA740=" "," ",IF(NOT(ISBLANK(X740)),VLOOKUP($D$3+X740,Calcs!$A$110:$C$122,3,TRUE),IF(AA740="Failed",VLOOKUP($D$3,Calcs!$A$110:$C$122,3,TRUE),VLOOKUP($D$3-(IF((Character!$B$9+W740)&gt;($D$3+Y740),(Character!$B$9+W740)-($D$3+Y740),0)),Calcs!$A$110:$C$122,3,TRUE))))</f>
        <v xml:space="preserve"> </v>
      </c>
      <c r="AC740" s="489"/>
      <c r="AD740" s="489" t="str">
        <f>IF(IF(AA740=" "," ",IF(NOT(ISBLANK(X740)),VLOOKUP($D$3+X740,Calcs!$A$110:$B$122,2,TRUE),IF(AA740="Failed",VLOOKUP($D$3,Calcs!$A$110:$B$122,2,TRUE),VLOOKUP($D$3-(IF((Character!$B$9+W740)&gt;($D$3+Y740),(Character!$B$9+W740)-($D$3+Y740),0)),Calcs!$A$110:$B$122,2,TRUE))))=Calcs!$B$120,IF(ISBLANK(AC740)," ",CONCATENATE(AC740+7," Years")),IF(AA740=" "," ",IF(NOT(ISBLANK(X740)),VLOOKUP($D$3+X740,Calcs!$A$110:$B$122,2,TRUE),IF(AA740="Failed",VLOOKUP($D$3,Calcs!$A$110:$B$122,2,TRUE),VLOOKUP($D$3-(IF((Character!$B$9+W740)&gt;($D$3+Y740),(Character!$B$9+W740)-($D$3+Y740),0)),Calcs!$A$110:$B$122,2,TRUE)))))</f>
        <v xml:space="preserve"> </v>
      </c>
      <c r="AE740" s="490"/>
      <c r="AF740" s="879"/>
      <c r="AG740" s="491"/>
    </row>
    <row r="741" spans="1:33" x14ac:dyDescent="0.2">
      <c r="A741" s="415">
        <f t="shared" si="22"/>
        <v>1395</v>
      </c>
      <c r="B741" s="419" t="str">
        <f t="shared" si="23"/>
        <v>Spring</v>
      </c>
      <c r="C741" s="455"/>
      <c r="D741" s="504"/>
      <c r="E741" s="455"/>
      <c r="F741" s="504"/>
      <c r="G741" s="455"/>
      <c r="H741" s="504"/>
      <c r="I741" s="455"/>
      <c r="J741" s="504"/>
      <c r="L741" s="472"/>
      <c r="M741" s="468"/>
      <c r="N741" s="468"/>
      <c r="O741" s="468"/>
      <c r="P741" s="468"/>
      <c r="Q741" s="473"/>
      <c r="R741" s="477" t="str">
        <f>IF(AND(COUNTIF('Start Character'!$I$63:$M$77,"Twilight Prone")=1,NOT(ISERROR(FIND("Magical Botch",M741)))),"Yes",IF(P741&gt;1,"Yes","No"))</f>
        <v>No</v>
      </c>
      <c r="S741" s="501"/>
      <c r="T741" s="478"/>
      <c r="U741" s="501"/>
      <c r="V741" s="479" t="str">
        <f>IF(R741="No","No Twilight",IF(T741="Yes","Uncomprehended Twilight",IF((Character!$B$14+IF(Character!$B$53="Yes",0,Character!$B$53)+IF(Magic!$C$5="Yes",2,0)+ROUNDUP((Magic!$B$30+IF(Magic!$C$30="Yes",3,0))/5,0)+S741)&gt;=($D$3+P741+SUMIF(Character!$I$62:$I$66,"Enigmatic Wisdom",Character!$J$62:$J$66)+Q741+U741),"No Twilight","Twilight")))</f>
        <v>No Twilight</v>
      </c>
      <c r="W741" s="483"/>
      <c r="X741" s="478"/>
      <c r="Y741" s="484"/>
      <c r="Z741" s="478"/>
      <c r="AA741" s="485" t="str">
        <f>IF(V741="Uncomprehended Twilight","Failed",IF(OR(ISBLANK(W741),ISBLANK(Y741))," ",IF(NOT(ISBLANK(X741)),"Failed",IF((W741+Character!$B$9+SUMIF(Character!$I$62:$I$66,"Enigmatic Wisdom",Character!$J$62:$J$66))&gt;=IF(Z741="Yes",0,(Y741+D736)),"Succeeded","Failed"))))</f>
        <v xml:space="preserve"> </v>
      </c>
      <c r="AB741" s="477" t="str">
        <f>IF(AA741=" "," ",IF(NOT(ISBLANK(X741)),VLOOKUP($D$3+X741,Calcs!$A$110:$C$122,3,TRUE),IF(AA741="Failed",VLOOKUP($D$3,Calcs!$A$110:$C$122,3,TRUE),VLOOKUP($D$3-(IF((Character!$B$9+W741)&gt;($D$3+Y741),(Character!$B$9+W741)-($D$3+Y741),0)),Calcs!$A$110:$C$122,3,TRUE))))</f>
        <v xml:space="preserve"> </v>
      </c>
      <c r="AC741" s="489"/>
      <c r="AD741" s="489" t="str">
        <f>IF(IF(AA741=" "," ",IF(NOT(ISBLANK(X741)),VLOOKUP($D$3+X741,Calcs!$A$110:$B$122,2,TRUE),IF(AA741="Failed",VLOOKUP($D$3,Calcs!$A$110:$B$122,2,TRUE),VLOOKUP($D$3-(IF((Character!$B$9+W741)&gt;($D$3+Y741),(Character!$B$9+W741)-($D$3+Y741),0)),Calcs!$A$110:$B$122,2,TRUE))))=Calcs!$B$120,IF(ISBLANK(AC741)," ",CONCATENATE(AC741+7," Years")),IF(AA741=" "," ",IF(NOT(ISBLANK(X741)),VLOOKUP($D$3+X741,Calcs!$A$110:$B$122,2,TRUE),IF(AA741="Failed",VLOOKUP($D$3,Calcs!$A$110:$B$122,2,TRUE),VLOOKUP($D$3-(IF((Character!$B$9+W741)&gt;($D$3+Y741),(Character!$B$9+W741)-($D$3+Y741),0)),Calcs!$A$110:$B$122,2,TRUE)))))</f>
        <v xml:space="preserve"> </v>
      </c>
      <c r="AE741" s="490"/>
      <c r="AF741" s="879"/>
      <c r="AG741" s="491"/>
    </row>
    <row r="742" spans="1:33" x14ac:dyDescent="0.2">
      <c r="A742" s="415">
        <f t="shared" si="22"/>
        <v>1395</v>
      </c>
      <c r="B742" s="419" t="str">
        <f t="shared" si="23"/>
        <v>Summer</v>
      </c>
      <c r="C742" s="455"/>
      <c r="D742" s="504"/>
      <c r="E742" s="455"/>
      <c r="F742" s="504"/>
      <c r="G742" s="455"/>
      <c r="H742" s="504"/>
      <c r="I742" s="455"/>
      <c r="J742" s="504"/>
      <c r="L742" s="472"/>
      <c r="M742" s="468"/>
      <c r="N742" s="468"/>
      <c r="O742" s="468"/>
      <c r="P742" s="468"/>
      <c r="Q742" s="473"/>
      <c r="R742" s="477" t="str">
        <f>IF(AND(COUNTIF('Start Character'!$I$63:$M$77,"Twilight Prone")=1,NOT(ISERROR(FIND("Magical Botch",M742)))),"Yes",IF(P742&gt;1,"Yes","No"))</f>
        <v>No</v>
      </c>
      <c r="S742" s="501"/>
      <c r="T742" s="478"/>
      <c r="U742" s="501"/>
      <c r="V742" s="479" t="str">
        <f>IF(R742="No","No Twilight",IF(T742="Yes","Uncomprehended Twilight",IF((Character!$B$14+IF(Character!$B$53="Yes",0,Character!$B$53)+IF(Magic!$C$5="Yes",2,0)+ROUNDUP((Magic!$B$30+IF(Magic!$C$30="Yes",3,0))/5,0)+S742)&gt;=($D$3+P742+SUMIF(Character!$I$62:$I$66,"Enigmatic Wisdom",Character!$J$62:$J$66)+Q742+U742),"No Twilight","Twilight")))</f>
        <v>No Twilight</v>
      </c>
      <c r="W742" s="483"/>
      <c r="X742" s="478"/>
      <c r="Y742" s="484"/>
      <c r="Z742" s="478"/>
      <c r="AA742" s="485" t="str">
        <f>IF(V742="Uncomprehended Twilight","Failed",IF(OR(ISBLANK(W742),ISBLANK(Y742))," ",IF(NOT(ISBLANK(X742)),"Failed",IF((W742+Character!$B$9+SUMIF(Character!$I$62:$I$66,"Enigmatic Wisdom",Character!$J$62:$J$66))&gt;=IF(Z742="Yes",0,(Y742+D737)),"Succeeded","Failed"))))</f>
        <v xml:space="preserve"> </v>
      </c>
      <c r="AB742" s="477" t="str">
        <f>IF(AA742=" "," ",IF(NOT(ISBLANK(X742)),VLOOKUP($D$3+X742,Calcs!$A$110:$C$122,3,TRUE),IF(AA742="Failed",VLOOKUP($D$3,Calcs!$A$110:$C$122,3,TRUE),VLOOKUP($D$3-(IF((Character!$B$9+W742)&gt;($D$3+Y742),(Character!$B$9+W742)-($D$3+Y742),0)),Calcs!$A$110:$C$122,3,TRUE))))</f>
        <v xml:space="preserve"> </v>
      </c>
      <c r="AC742" s="489"/>
      <c r="AD742" s="489" t="str">
        <f>IF(IF(AA742=" "," ",IF(NOT(ISBLANK(X742)),VLOOKUP($D$3+X742,Calcs!$A$110:$B$122,2,TRUE),IF(AA742="Failed",VLOOKUP($D$3,Calcs!$A$110:$B$122,2,TRUE),VLOOKUP($D$3-(IF((Character!$B$9+W742)&gt;($D$3+Y742),(Character!$B$9+W742)-($D$3+Y742),0)),Calcs!$A$110:$B$122,2,TRUE))))=Calcs!$B$120,IF(ISBLANK(AC742)," ",CONCATENATE(AC742+7," Years")),IF(AA742=" "," ",IF(NOT(ISBLANK(X742)),VLOOKUP($D$3+X742,Calcs!$A$110:$B$122,2,TRUE),IF(AA742="Failed",VLOOKUP($D$3,Calcs!$A$110:$B$122,2,TRUE),VLOOKUP($D$3-(IF((Character!$B$9+W742)&gt;($D$3+Y742),(Character!$B$9+W742)-($D$3+Y742),0)),Calcs!$A$110:$B$122,2,TRUE)))))</f>
        <v xml:space="preserve"> </v>
      </c>
      <c r="AE742" s="490"/>
      <c r="AF742" s="879"/>
      <c r="AG742" s="491"/>
    </row>
    <row r="743" spans="1:33" x14ac:dyDescent="0.2">
      <c r="A743" s="415">
        <f t="shared" si="22"/>
        <v>1395</v>
      </c>
      <c r="B743" s="419" t="str">
        <f t="shared" si="23"/>
        <v>Autumn</v>
      </c>
      <c r="C743" s="455"/>
      <c r="D743" s="504"/>
      <c r="E743" s="455"/>
      <c r="F743" s="504"/>
      <c r="G743" s="455"/>
      <c r="H743" s="504"/>
      <c r="I743" s="455"/>
      <c r="J743" s="504"/>
      <c r="L743" s="472"/>
      <c r="M743" s="468"/>
      <c r="N743" s="468"/>
      <c r="O743" s="468"/>
      <c r="P743" s="468"/>
      <c r="Q743" s="473"/>
      <c r="R743" s="477" t="str">
        <f>IF(AND(COUNTIF('Start Character'!$I$63:$M$77,"Twilight Prone")=1,NOT(ISERROR(FIND("Magical Botch",M743)))),"Yes",IF(P743&gt;1,"Yes","No"))</f>
        <v>No</v>
      </c>
      <c r="S743" s="501"/>
      <c r="T743" s="478"/>
      <c r="U743" s="501"/>
      <c r="V743" s="479" t="str">
        <f>IF(R743="No","No Twilight",IF(T743="Yes","Uncomprehended Twilight",IF((Character!$B$14+IF(Character!$B$53="Yes",0,Character!$B$53)+IF(Magic!$C$5="Yes",2,0)+ROUNDUP((Magic!$B$30+IF(Magic!$C$30="Yes",3,0))/5,0)+S743)&gt;=($D$3+P743+SUMIF(Character!$I$62:$I$66,"Enigmatic Wisdom",Character!$J$62:$J$66)+Q743+U743),"No Twilight","Twilight")))</f>
        <v>No Twilight</v>
      </c>
      <c r="W743" s="483"/>
      <c r="X743" s="478"/>
      <c r="Y743" s="484"/>
      <c r="Z743" s="478"/>
      <c r="AA743" s="485" t="str">
        <f>IF(V743="Uncomprehended Twilight","Failed",IF(OR(ISBLANK(W743),ISBLANK(Y743))," ",IF(NOT(ISBLANK(X743)),"Failed",IF((W743+Character!$B$9+SUMIF(Character!$I$62:$I$66,"Enigmatic Wisdom",Character!$J$62:$J$66))&gt;=IF(Z743="Yes",0,(Y743+D738)),"Succeeded","Failed"))))</f>
        <v xml:space="preserve"> </v>
      </c>
      <c r="AB743" s="477" t="str">
        <f>IF(AA743=" "," ",IF(NOT(ISBLANK(X743)),VLOOKUP($D$3+X743,Calcs!$A$110:$C$122,3,TRUE),IF(AA743="Failed",VLOOKUP($D$3,Calcs!$A$110:$C$122,3,TRUE),VLOOKUP($D$3-(IF((Character!$B$9+W743)&gt;($D$3+Y743),(Character!$B$9+W743)-($D$3+Y743),0)),Calcs!$A$110:$C$122,3,TRUE))))</f>
        <v xml:space="preserve"> </v>
      </c>
      <c r="AC743" s="489"/>
      <c r="AD743" s="489" t="str">
        <f>IF(IF(AA743=" "," ",IF(NOT(ISBLANK(X743)),VLOOKUP($D$3+X743,Calcs!$A$110:$B$122,2,TRUE),IF(AA743="Failed",VLOOKUP($D$3,Calcs!$A$110:$B$122,2,TRUE),VLOOKUP($D$3-(IF((Character!$B$9+W743)&gt;($D$3+Y743),(Character!$B$9+W743)-($D$3+Y743),0)),Calcs!$A$110:$B$122,2,TRUE))))=Calcs!$B$120,IF(ISBLANK(AC743)," ",CONCATENATE(AC743+7," Years")),IF(AA743=" "," ",IF(NOT(ISBLANK(X743)),VLOOKUP($D$3+X743,Calcs!$A$110:$B$122,2,TRUE),IF(AA743="Failed",VLOOKUP($D$3,Calcs!$A$110:$B$122,2,TRUE),VLOOKUP($D$3-(IF((Character!$B$9+W743)&gt;($D$3+Y743),(Character!$B$9+W743)-($D$3+Y743),0)),Calcs!$A$110:$B$122,2,TRUE)))))</f>
        <v xml:space="preserve"> </v>
      </c>
      <c r="AE743" s="490"/>
      <c r="AF743" s="879"/>
      <c r="AG743" s="491"/>
    </row>
    <row r="744" spans="1:33" x14ac:dyDescent="0.2">
      <c r="A744" s="415">
        <f t="shared" si="22"/>
        <v>1396</v>
      </c>
      <c r="B744" s="419" t="str">
        <f t="shared" si="23"/>
        <v>Winter</v>
      </c>
      <c r="C744" s="455"/>
      <c r="D744" s="504"/>
      <c r="E744" s="455"/>
      <c r="F744" s="504"/>
      <c r="G744" s="455"/>
      <c r="H744" s="504"/>
      <c r="I744" s="455"/>
      <c r="J744" s="504"/>
      <c r="L744" s="472"/>
      <c r="M744" s="468"/>
      <c r="N744" s="468"/>
      <c r="O744" s="468"/>
      <c r="P744" s="468"/>
      <c r="Q744" s="473"/>
      <c r="R744" s="477" t="str">
        <f>IF(AND(COUNTIF('Start Character'!$I$63:$M$77,"Twilight Prone")=1,NOT(ISERROR(FIND("Magical Botch",M744)))),"Yes",IF(P744&gt;1,"Yes","No"))</f>
        <v>No</v>
      </c>
      <c r="S744" s="501"/>
      <c r="T744" s="478"/>
      <c r="U744" s="501"/>
      <c r="V744" s="479" t="str">
        <f>IF(R744="No","No Twilight",IF(T744="Yes","Uncomprehended Twilight",IF((Character!$B$14+IF(Character!$B$53="Yes",0,Character!$B$53)+IF(Magic!$C$5="Yes",2,0)+ROUNDUP((Magic!$B$30+IF(Magic!$C$30="Yes",3,0))/5,0)+S744)&gt;=($D$3+P744+SUMIF(Character!$I$62:$I$66,"Enigmatic Wisdom",Character!$J$62:$J$66)+Q744+U744),"No Twilight","Twilight")))</f>
        <v>No Twilight</v>
      </c>
      <c r="W744" s="483"/>
      <c r="X744" s="478"/>
      <c r="Y744" s="484"/>
      <c r="Z744" s="478"/>
      <c r="AA744" s="485" t="str">
        <f>IF(V744="Uncomprehended Twilight","Failed",IF(OR(ISBLANK(W744),ISBLANK(Y744))," ",IF(NOT(ISBLANK(X744)),"Failed",IF((W744+Character!$B$9+SUMIF(Character!$I$62:$I$66,"Enigmatic Wisdom",Character!$J$62:$J$66))&gt;=IF(Z744="Yes",0,(Y744+D739)),"Succeeded","Failed"))))</f>
        <v xml:space="preserve"> </v>
      </c>
      <c r="AB744" s="477" t="str">
        <f>IF(AA744=" "," ",IF(NOT(ISBLANK(X744)),VLOOKUP($D$3+X744,Calcs!$A$110:$C$122,3,TRUE),IF(AA744="Failed",VLOOKUP($D$3,Calcs!$A$110:$C$122,3,TRUE),VLOOKUP($D$3-(IF((Character!$B$9+W744)&gt;($D$3+Y744),(Character!$B$9+W744)-($D$3+Y744),0)),Calcs!$A$110:$C$122,3,TRUE))))</f>
        <v xml:space="preserve"> </v>
      </c>
      <c r="AC744" s="489"/>
      <c r="AD744" s="489" t="str">
        <f>IF(IF(AA744=" "," ",IF(NOT(ISBLANK(X744)),VLOOKUP($D$3+X744,Calcs!$A$110:$B$122,2,TRUE),IF(AA744="Failed",VLOOKUP($D$3,Calcs!$A$110:$B$122,2,TRUE),VLOOKUP($D$3-(IF((Character!$B$9+W744)&gt;($D$3+Y744),(Character!$B$9+W744)-($D$3+Y744),0)),Calcs!$A$110:$B$122,2,TRUE))))=Calcs!$B$120,IF(ISBLANK(AC744)," ",CONCATENATE(AC744+7," Years")),IF(AA744=" "," ",IF(NOT(ISBLANK(X744)),VLOOKUP($D$3+X744,Calcs!$A$110:$B$122,2,TRUE),IF(AA744="Failed",VLOOKUP($D$3,Calcs!$A$110:$B$122,2,TRUE),VLOOKUP($D$3-(IF((Character!$B$9+W744)&gt;($D$3+Y744),(Character!$B$9+W744)-($D$3+Y744),0)),Calcs!$A$110:$B$122,2,TRUE)))))</f>
        <v xml:space="preserve"> </v>
      </c>
      <c r="AE744" s="490"/>
      <c r="AF744" s="879"/>
      <c r="AG744" s="491"/>
    </row>
    <row r="745" spans="1:33" x14ac:dyDescent="0.2">
      <c r="A745" s="415">
        <f t="shared" si="22"/>
        <v>1396</v>
      </c>
      <c r="B745" s="419" t="str">
        <f t="shared" si="23"/>
        <v>Spring</v>
      </c>
      <c r="C745" s="455"/>
      <c r="D745" s="504"/>
      <c r="E745" s="455"/>
      <c r="F745" s="504"/>
      <c r="G745" s="455"/>
      <c r="H745" s="504"/>
      <c r="I745" s="455"/>
      <c r="J745" s="504"/>
      <c r="L745" s="472"/>
      <c r="M745" s="468"/>
      <c r="N745" s="468"/>
      <c r="O745" s="468"/>
      <c r="P745" s="468"/>
      <c r="Q745" s="473"/>
      <c r="R745" s="477" t="str">
        <f>IF(AND(COUNTIF('Start Character'!$I$63:$M$77,"Twilight Prone")=1,NOT(ISERROR(FIND("Magical Botch",M745)))),"Yes",IF(P745&gt;1,"Yes","No"))</f>
        <v>No</v>
      </c>
      <c r="S745" s="501"/>
      <c r="T745" s="478"/>
      <c r="U745" s="501"/>
      <c r="V745" s="479" t="str">
        <f>IF(R745="No","No Twilight",IF(T745="Yes","Uncomprehended Twilight",IF((Character!$B$14+IF(Character!$B$53="Yes",0,Character!$B$53)+IF(Magic!$C$5="Yes",2,0)+ROUNDUP((Magic!$B$30+IF(Magic!$C$30="Yes",3,0))/5,0)+S745)&gt;=($D$3+P745+SUMIF(Character!$I$62:$I$66,"Enigmatic Wisdom",Character!$J$62:$J$66)+Q745+U745),"No Twilight","Twilight")))</f>
        <v>No Twilight</v>
      </c>
      <c r="W745" s="483"/>
      <c r="X745" s="478"/>
      <c r="Y745" s="484"/>
      <c r="Z745" s="478"/>
      <c r="AA745" s="485" t="str">
        <f>IF(V745="Uncomprehended Twilight","Failed",IF(OR(ISBLANK(W745),ISBLANK(Y745))," ",IF(NOT(ISBLANK(X745)),"Failed",IF((W745+Character!$B$9+SUMIF(Character!$I$62:$I$66,"Enigmatic Wisdom",Character!$J$62:$J$66))&gt;=IF(Z745="Yes",0,(Y745+D740)),"Succeeded","Failed"))))</f>
        <v xml:space="preserve"> </v>
      </c>
      <c r="AB745" s="477" t="str">
        <f>IF(AA745=" "," ",IF(NOT(ISBLANK(X745)),VLOOKUP($D$3+X745,Calcs!$A$110:$C$122,3,TRUE),IF(AA745="Failed",VLOOKUP($D$3,Calcs!$A$110:$C$122,3,TRUE),VLOOKUP($D$3-(IF((Character!$B$9+W745)&gt;($D$3+Y745),(Character!$B$9+W745)-($D$3+Y745),0)),Calcs!$A$110:$C$122,3,TRUE))))</f>
        <v xml:space="preserve"> </v>
      </c>
      <c r="AC745" s="489"/>
      <c r="AD745" s="489" t="str">
        <f>IF(IF(AA745=" "," ",IF(NOT(ISBLANK(X745)),VLOOKUP($D$3+X745,Calcs!$A$110:$B$122,2,TRUE),IF(AA745="Failed",VLOOKUP($D$3,Calcs!$A$110:$B$122,2,TRUE),VLOOKUP($D$3-(IF((Character!$B$9+W745)&gt;($D$3+Y745),(Character!$B$9+W745)-($D$3+Y745),0)),Calcs!$A$110:$B$122,2,TRUE))))=Calcs!$B$120,IF(ISBLANK(AC745)," ",CONCATENATE(AC745+7," Years")),IF(AA745=" "," ",IF(NOT(ISBLANK(X745)),VLOOKUP($D$3+X745,Calcs!$A$110:$B$122,2,TRUE),IF(AA745="Failed",VLOOKUP($D$3,Calcs!$A$110:$B$122,2,TRUE),VLOOKUP($D$3-(IF((Character!$B$9+W745)&gt;($D$3+Y745),(Character!$B$9+W745)-($D$3+Y745),0)),Calcs!$A$110:$B$122,2,TRUE)))))</f>
        <v xml:space="preserve"> </v>
      </c>
      <c r="AE745" s="490"/>
      <c r="AF745" s="879"/>
      <c r="AG745" s="491"/>
    </row>
    <row r="746" spans="1:33" x14ac:dyDescent="0.2">
      <c r="A746" s="415">
        <f t="shared" si="22"/>
        <v>1396</v>
      </c>
      <c r="B746" s="419" t="str">
        <f t="shared" si="23"/>
        <v>Summer</v>
      </c>
      <c r="C746" s="455"/>
      <c r="D746" s="504"/>
      <c r="E746" s="455"/>
      <c r="F746" s="504"/>
      <c r="G746" s="455"/>
      <c r="H746" s="504"/>
      <c r="I746" s="455"/>
      <c r="J746" s="504"/>
      <c r="L746" s="472"/>
      <c r="M746" s="468"/>
      <c r="N746" s="468"/>
      <c r="O746" s="468"/>
      <c r="P746" s="468"/>
      <c r="Q746" s="473"/>
      <c r="R746" s="477" t="str">
        <f>IF(AND(COUNTIF('Start Character'!$I$63:$M$77,"Twilight Prone")=1,NOT(ISERROR(FIND("Magical Botch",M746)))),"Yes",IF(P746&gt;1,"Yes","No"))</f>
        <v>No</v>
      </c>
      <c r="S746" s="501"/>
      <c r="T746" s="478"/>
      <c r="U746" s="501"/>
      <c r="V746" s="479" t="str">
        <f>IF(R746="No","No Twilight",IF(T746="Yes","Uncomprehended Twilight",IF((Character!$B$14+IF(Character!$B$53="Yes",0,Character!$B$53)+IF(Magic!$C$5="Yes",2,0)+ROUNDUP((Magic!$B$30+IF(Magic!$C$30="Yes",3,0))/5,0)+S746)&gt;=($D$3+P746+SUMIF(Character!$I$62:$I$66,"Enigmatic Wisdom",Character!$J$62:$J$66)+Q746+U746),"No Twilight","Twilight")))</f>
        <v>No Twilight</v>
      </c>
      <c r="W746" s="483"/>
      <c r="X746" s="478"/>
      <c r="Y746" s="484"/>
      <c r="Z746" s="478"/>
      <c r="AA746" s="485" t="str">
        <f>IF(V746="Uncomprehended Twilight","Failed",IF(OR(ISBLANK(W746),ISBLANK(Y746))," ",IF(NOT(ISBLANK(X746)),"Failed",IF((W746+Character!$B$9+SUMIF(Character!$I$62:$I$66,"Enigmatic Wisdom",Character!$J$62:$J$66))&gt;=IF(Z746="Yes",0,(Y746+D741)),"Succeeded","Failed"))))</f>
        <v xml:space="preserve"> </v>
      </c>
      <c r="AB746" s="477" t="str">
        <f>IF(AA746=" "," ",IF(NOT(ISBLANK(X746)),VLOOKUP($D$3+X746,Calcs!$A$110:$C$122,3,TRUE),IF(AA746="Failed",VLOOKUP($D$3,Calcs!$A$110:$C$122,3,TRUE),VLOOKUP($D$3-(IF((Character!$B$9+W746)&gt;($D$3+Y746),(Character!$B$9+W746)-($D$3+Y746),0)),Calcs!$A$110:$C$122,3,TRUE))))</f>
        <v xml:space="preserve"> </v>
      </c>
      <c r="AC746" s="489"/>
      <c r="AD746" s="489" t="str">
        <f>IF(IF(AA746=" "," ",IF(NOT(ISBLANK(X746)),VLOOKUP($D$3+X746,Calcs!$A$110:$B$122,2,TRUE),IF(AA746="Failed",VLOOKUP($D$3,Calcs!$A$110:$B$122,2,TRUE),VLOOKUP($D$3-(IF((Character!$B$9+W746)&gt;($D$3+Y746),(Character!$B$9+W746)-($D$3+Y746),0)),Calcs!$A$110:$B$122,2,TRUE))))=Calcs!$B$120,IF(ISBLANK(AC746)," ",CONCATENATE(AC746+7," Years")),IF(AA746=" "," ",IF(NOT(ISBLANK(X746)),VLOOKUP($D$3+X746,Calcs!$A$110:$B$122,2,TRUE),IF(AA746="Failed",VLOOKUP($D$3,Calcs!$A$110:$B$122,2,TRUE),VLOOKUP($D$3-(IF((Character!$B$9+W746)&gt;($D$3+Y746),(Character!$B$9+W746)-($D$3+Y746),0)),Calcs!$A$110:$B$122,2,TRUE)))))</f>
        <v xml:space="preserve"> </v>
      </c>
      <c r="AE746" s="490"/>
      <c r="AF746" s="879"/>
      <c r="AG746" s="491"/>
    </row>
    <row r="747" spans="1:33" x14ac:dyDescent="0.2">
      <c r="A747" s="415">
        <f t="shared" si="22"/>
        <v>1396</v>
      </c>
      <c r="B747" s="419" t="str">
        <f t="shared" si="23"/>
        <v>Autumn</v>
      </c>
      <c r="C747" s="455"/>
      <c r="D747" s="504"/>
      <c r="E747" s="455"/>
      <c r="F747" s="504"/>
      <c r="G747" s="455"/>
      <c r="H747" s="504"/>
      <c r="I747" s="455"/>
      <c r="J747" s="504"/>
      <c r="L747" s="472"/>
      <c r="M747" s="468"/>
      <c r="N747" s="468"/>
      <c r="O747" s="468"/>
      <c r="P747" s="468"/>
      <c r="Q747" s="473"/>
      <c r="R747" s="477" t="str">
        <f>IF(AND(COUNTIF('Start Character'!$I$63:$M$77,"Twilight Prone")=1,NOT(ISERROR(FIND("Magical Botch",M747)))),"Yes",IF(P747&gt;1,"Yes","No"))</f>
        <v>No</v>
      </c>
      <c r="S747" s="501"/>
      <c r="T747" s="478"/>
      <c r="U747" s="501"/>
      <c r="V747" s="479" t="str">
        <f>IF(R747="No","No Twilight",IF(T747="Yes","Uncomprehended Twilight",IF((Character!$B$14+IF(Character!$B$53="Yes",0,Character!$B$53)+IF(Magic!$C$5="Yes",2,0)+ROUNDUP((Magic!$B$30+IF(Magic!$C$30="Yes",3,0))/5,0)+S747)&gt;=($D$3+P747+SUMIF(Character!$I$62:$I$66,"Enigmatic Wisdom",Character!$J$62:$J$66)+Q747+U747),"No Twilight","Twilight")))</f>
        <v>No Twilight</v>
      </c>
      <c r="W747" s="483"/>
      <c r="X747" s="478"/>
      <c r="Y747" s="484"/>
      <c r="Z747" s="478"/>
      <c r="AA747" s="485" t="str">
        <f>IF(V747="Uncomprehended Twilight","Failed",IF(OR(ISBLANK(W747),ISBLANK(Y747))," ",IF(NOT(ISBLANK(X747)),"Failed",IF((W747+Character!$B$9+SUMIF(Character!$I$62:$I$66,"Enigmatic Wisdom",Character!$J$62:$J$66))&gt;=IF(Z747="Yes",0,(Y747+D742)),"Succeeded","Failed"))))</f>
        <v xml:space="preserve"> </v>
      </c>
      <c r="AB747" s="477" t="str">
        <f>IF(AA747=" "," ",IF(NOT(ISBLANK(X747)),VLOOKUP($D$3+X747,Calcs!$A$110:$C$122,3,TRUE),IF(AA747="Failed",VLOOKUP($D$3,Calcs!$A$110:$C$122,3,TRUE),VLOOKUP($D$3-(IF((Character!$B$9+W747)&gt;($D$3+Y747),(Character!$B$9+W747)-($D$3+Y747),0)),Calcs!$A$110:$C$122,3,TRUE))))</f>
        <v xml:space="preserve"> </v>
      </c>
      <c r="AC747" s="489"/>
      <c r="AD747" s="489" t="str">
        <f>IF(IF(AA747=" "," ",IF(NOT(ISBLANK(X747)),VLOOKUP($D$3+X747,Calcs!$A$110:$B$122,2,TRUE),IF(AA747="Failed",VLOOKUP($D$3,Calcs!$A$110:$B$122,2,TRUE),VLOOKUP($D$3-(IF((Character!$B$9+W747)&gt;($D$3+Y747),(Character!$B$9+W747)-($D$3+Y747),0)),Calcs!$A$110:$B$122,2,TRUE))))=Calcs!$B$120,IF(ISBLANK(AC747)," ",CONCATENATE(AC747+7," Years")),IF(AA747=" "," ",IF(NOT(ISBLANK(X747)),VLOOKUP($D$3+X747,Calcs!$A$110:$B$122,2,TRUE),IF(AA747="Failed",VLOOKUP($D$3,Calcs!$A$110:$B$122,2,TRUE),VLOOKUP($D$3-(IF((Character!$B$9+W747)&gt;($D$3+Y747),(Character!$B$9+W747)-($D$3+Y747),0)),Calcs!$A$110:$B$122,2,TRUE)))))</f>
        <v xml:space="preserve"> </v>
      </c>
      <c r="AE747" s="490"/>
      <c r="AF747" s="879"/>
      <c r="AG747" s="491"/>
    </row>
    <row r="748" spans="1:33" x14ac:dyDescent="0.2">
      <c r="A748" s="415">
        <f t="shared" si="22"/>
        <v>1397</v>
      </c>
      <c r="B748" s="419" t="str">
        <f t="shared" si="23"/>
        <v>Winter</v>
      </c>
      <c r="C748" s="455"/>
      <c r="D748" s="504"/>
      <c r="E748" s="455"/>
      <c r="F748" s="504"/>
      <c r="G748" s="455"/>
      <c r="H748" s="504"/>
      <c r="I748" s="455"/>
      <c r="J748" s="504"/>
      <c r="L748" s="472"/>
      <c r="M748" s="468"/>
      <c r="N748" s="468"/>
      <c r="O748" s="468"/>
      <c r="P748" s="468"/>
      <c r="Q748" s="473"/>
      <c r="R748" s="477" t="str">
        <f>IF(AND(COUNTIF('Start Character'!$I$63:$M$77,"Twilight Prone")=1,NOT(ISERROR(FIND("Magical Botch",M748)))),"Yes",IF(P748&gt;1,"Yes","No"))</f>
        <v>No</v>
      </c>
      <c r="S748" s="501"/>
      <c r="T748" s="478"/>
      <c r="U748" s="501"/>
      <c r="V748" s="479" t="str">
        <f>IF(R748="No","No Twilight",IF(T748="Yes","Uncomprehended Twilight",IF((Character!$B$14+IF(Character!$B$53="Yes",0,Character!$B$53)+IF(Magic!$C$5="Yes",2,0)+ROUNDUP((Magic!$B$30+IF(Magic!$C$30="Yes",3,0))/5,0)+S748)&gt;=($D$3+P748+SUMIF(Character!$I$62:$I$66,"Enigmatic Wisdom",Character!$J$62:$J$66)+Q748+U748),"No Twilight","Twilight")))</f>
        <v>No Twilight</v>
      </c>
      <c r="W748" s="483"/>
      <c r="X748" s="478"/>
      <c r="Y748" s="484"/>
      <c r="Z748" s="478"/>
      <c r="AA748" s="485" t="str">
        <f>IF(V748="Uncomprehended Twilight","Failed",IF(OR(ISBLANK(W748),ISBLANK(Y748))," ",IF(NOT(ISBLANK(X748)),"Failed",IF((W748+Character!$B$9+SUMIF(Character!$I$62:$I$66,"Enigmatic Wisdom",Character!$J$62:$J$66))&gt;=IF(Z748="Yes",0,(Y748+D743)),"Succeeded","Failed"))))</f>
        <v xml:space="preserve"> </v>
      </c>
      <c r="AB748" s="477" t="str">
        <f>IF(AA748=" "," ",IF(NOT(ISBLANK(X748)),VLOOKUP($D$3+X748,Calcs!$A$110:$C$122,3,TRUE),IF(AA748="Failed",VLOOKUP($D$3,Calcs!$A$110:$C$122,3,TRUE),VLOOKUP($D$3-(IF((Character!$B$9+W748)&gt;($D$3+Y748),(Character!$B$9+W748)-($D$3+Y748),0)),Calcs!$A$110:$C$122,3,TRUE))))</f>
        <v xml:space="preserve"> </v>
      </c>
      <c r="AC748" s="489"/>
      <c r="AD748" s="489" t="str">
        <f>IF(IF(AA748=" "," ",IF(NOT(ISBLANK(X748)),VLOOKUP($D$3+X748,Calcs!$A$110:$B$122,2,TRUE),IF(AA748="Failed",VLOOKUP($D$3,Calcs!$A$110:$B$122,2,TRUE),VLOOKUP($D$3-(IF((Character!$B$9+W748)&gt;($D$3+Y748),(Character!$B$9+W748)-($D$3+Y748),0)),Calcs!$A$110:$B$122,2,TRUE))))=Calcs!$B$120,IF(ISBLANK(AC748)," ",CONCATENATE(AC748+7," Years")),IF(AA748=" "," ",IF(NOT(ISBLANK(X748)),VLOOKUP($D$3+X748,Calcs!$A$110:$B$122,2,TRUE),IF(AA748="Failed",VLOOKUP($D$3,Calcs!$A$110:$B$122,2,TRUE),VLOOKUP($D$3-(IF((Character!$B$9+W748)&gt;($D$3+Y748),(Character!$B$9+W748)-($D$3+Y748),0)),Calcs!$A$110:$B$122,2,TRUE)))))</f>
        <v xml:space="preserve"> </v>
      </c>
      <c r="AE748" s="490"/>
      <c r="AF748" s="879"/>
      <c r="AG748" s="491"/>
    </row>
    <row r="749" spans="1:33" x14ac:dyDescent="0.2">
      <c r="A749" s="415">
        <f t="shared" si="22"/>
        <v>1397</v>
      </c>
      <c r="B749" s="419" t="str">
        <f t="shared" si="23"/>
        <v>Spring</v>
      </c>
      <c r="C749" s="455"/>
      <c r="D749" s="504"/>
      <c r="E749" s="455"/>
      <c r="F749" s="504"/>
      <c r="G749" s="455"/>
      <c r="H749" s="504"/>
      <c r="I749" s="455"/>
      <c r="J749" s="504"/>
      <c r="L749" s="472"/>
      <c r="M749" s="468"/>
      <c r="N749" s="468"/>
      <c r="O749" s="468"/>
      <c r="P749" s="468"/>
      <c r="Q749" s="473"/>
      <c r="R749" s="477" t="str">
        <f>IF(AND(COUNTIF('Start Character'!$I$63:$M$77,"Twilight Prone")=1,NOT(ISERROR(FIND("Magical Botch",M749)))),"Yes",IF(P749&gt;1,"Yes","No"))</f>
        <v>No</v>
      </c>
      <c r="S749" s="501"/>
      <c r="T749" s="478"/>
      <c r="U749" s="501"/>
      <c r="V749" s="479" t="str">
        <f>IF(R749="No","No Twilight",IF(T749="Yes","Uncomprehended Twilight",IF((Character!$B$14+IF(Character!$B$53="Yes",0,Character!$B$53)+IF(Magic!$C$5="Yes",2,0)+ROUNDUP((Magic!$B$30+IF(Magic!$C$30="Yes",3,0))/5,0)+S749)&gt;=($D$3+P749+SUMIF(Character!$I$62:$I$66,"Enigmatic Wisdom",Character!$J$62:$J$66)+Q749+U749),"No Twilight","Twilight")))</f>
        <v>No Twilight</v>
      </c>
      <c r="W749" s="483"/>
      <c r="X749" s="478"/>
      <c r="Y749" s="484"/>
      <c r="Z749" s="478"/>
      <c r="AA749" s="485" t="str">
        <f>IF(V749="Uncomprehended Twilight","Failed",IF(OR(ISBLANK(W749),ISBLANK(Y749))," ",IF(NOT(ISBLANK(X749)),"Failed",IF((W749+Character!$B$9+SUMIF(Character!$I$62:$I$66,"Enigmatic Wisdom",Character!$J$62:$J$66))&gt;=IF(Z749="Yes",0,(Y749+D744)),"Succeeded","Failed"))))</f>
        <v xml:space="preserve"> </v>
      </c>
      <c r="AB749" s="477" t="str">
        <f>IF(AA749=" "," ",IF(NOT(ISBLANK(X749)),VLOOKUP($D$3+X749,Calcs!$A$110:$C$122,3,TRUE),IF(AA749="Failed",VLOOKUP($D$3,Calcs!$A$110:$C$122,3,TRUE),VLOOKUP($D$3-(IF((Character!$B$9+W749)&gt;($D$3+Y749),(Character!$B$9+W749)-($D$3+Y749),0)),Calcs!$A$110:$C$122,3,TRUE))))</f>
        <v xml:space="preserve"> </v>
      </c>
      <c r="AC749" s="489"/>
      <c r="AD749" s="489" t="str">
        <f>IF(IF(AA749=" "," ",IF(NOT(ISBLANK(X749)),VLOOKUP($D$3+X749,Calcs!$A$110:$B$122,2,TRUE),IF(AA749="Failed",VLOOKUP($D$3,Calcs!$A$110:$B$122,2,TRUE),VLOOKUP($D$3-(IF((Character!$B$9+W749)&gt;($D$3+Y749),(Character!$B$9+W749)-($D$3+Y749),0)),Calcs!$A$110:$B$122,2,TRUE))))=Calcs!$B$120,IF(ISBLANK(AC749)," ",CONCATENATE(AC749+7," Years")),IF(AA749=" "," ",IF(NOT(ISBLANK(X749)),VLOOKUP($D$3+X749,Calcs!$A$110:$B$122,2,TRUE),IF(AA749="Failed",VLOOKUP($D$3,Calcs!$A$110:$B$122,2,TRUE),VLOOKUP($D$3-(IF((Character!$B$9+W749)&gt;($D$3+Y749),(Character!$B$9+W749)-($D$3+Y749),0)),Calcs!$A$110:$B$122,2,TRUE)))))</f>
        <v xml:space="preserve"> </v>
      </c>
      <c r="AE749" s="490"/>
      <c r="AF749" s="879"/>
      <c r="AG749" s="491"/>
    </row>
    <row r="750" spans="1:33" x14ac:dyDescent="0.2">
      <c r="A750" s="415">
        <f t="shared" si="22"/>
        <v>1397</v>
      </c>
      <c r="B750" s="419" t="str">
        <f t="shared" si="23"/>
        <v>Summer</v>
      </c>
      <c r="C750" s="455"/>
      <c r="D750" s="504"/>
      <c r="E750" s="455"/>
      <c r="F750" s="504"/>
      <c r="G750" s="455"/>
      <c r="H750" s="504"/>
      <c r="I750" s="455"/>
      <c r="J750" s="504"/>
      <c r="L750" s="472"/>
      <c r="M750" s="468"/>
      <c r="N750" s="468"/>
      <c r="O750" s="468"/>
      <c r="P750" s="468"/>
      <c r="Q750" s="473"/>
      <c r="R750" s="477" t="str">
        <f>IF(AND(COUNTIF('Start Character'!$I$63:$M$77,"Twilight Prone")=1,NOT(ISERROR(FIND("Magical Botch",M750)))),"Yes",IF(P750&gt;1,"Yes","No"))</f>
        <v>No</v>
      </c>
      <c r="S750" s="501"/>
      <c r="T750" s="478"/>
      <c r="U750" s="501"/>
      <c r="V750" s="479" t="str">
        <f>IF(R750="No","No Twilight",IF(T750="Yes","Uncomprehended Twilight",IF((Character!$B$14+IF(Character!$B$53="Yes",0,Character!$B$53)+IF(Magic!$C$5="Yes",2,0)+ROUNDUP((Magic!$B$30+IF(Magic!$C$30="Yes",3,0))/5,0)+S750)&gt;=($D$3+P750+SUMIF(Character!$I$62:$I$66,"Enigmatic Wisdom",Character!$J$62:$J$66)+Q750+U750),"No Twilight","Twilight")))</f>
        <v>No Twilight</v>
      </c>
      <c r="W750" s="483"/>
      <c r="X750" s="478"/>
      <c r="Y750" s="484"/>
      <c r="Z750" s="478"/>
      <c r="AA750" s="485" t="str">
        <f>IF(V750="Uncomprehended Twilight","Failed",IF(OR(ISBLANK(W750),ISBLANK(Y750))," ",IF(NOT(ISBLANK(X750)),"Failed",IF((W750+Character!$B$9+SUMIF(Character!$I$62:$I$66,"Enigmatic Wisdom",Character!$J$62:$J$66))&gt;=IF(Z750="Yes",0,(Y750+D745)),"Succeeded","Failed"))))</f>
        <v xml:space="preserve"> </v>
      </c>
      <c r="AB750" s="477" t="str">
        <f>IF(AA750=" "," ",IF(NOT(ISBLANK(X750)),VLOOKUP($D$3+X750,Calcs!$A$110:$C$122,3,TRUE),IF(AA750="Failed",VLOOKUP($D$3,Calcs!$A$110:$C$122,3,TRUE),VLOOKUP($D$3-(IF((Character!$B$9+W750)&gt;($D$3+Y750),(Character!$B$9+W750)-($D$3+Y750),0)),Calcs!$A$110:$C$122,3,TRUE))))</f>
        <v xml:space="preserve"> </v>
      </c>
      <c r="AC750" s="489"/>
      <c r="AD750" s="489" t="str">
        <f>IF(IF(AA750=" "," ",IF(NOT(ISBLANK(X750)),VLOOKUP($D$3+X750,Calcs!$A$110:$B$122,2,TRUE),IF(AA750="Failed",VLOOKUP($D$3,Calcs!$A$110:$B$122,2,TRUE),VLOOKUP($D$3-(IF((Character!$B$9+W750)&gt;($D$3+Y750),(Character!$B$9+W750)-($D$3+Y750),0)),Calcs!$A$110:$B$122,2,TRUE))))=Calcs!$B$120,IF(ISBLANK(AC750)," ",CONCATENATE(AC750+7," Years")),IF(AA750=" "," ",IF(NOT(ISBLANK(X750)),VLOOKUP($D$3+X750,Calcs!$A$110:$B$122,2,TRUE),IF(AA750="Failed",VLOOKUP($D$3,Calcs!$A$110:$B$122,2,TRUE),VLOOKUP($D$3-(IF((Character!$B$9+W750)&gt;($D$3+Y750),(Character!$B$9+W750)-($D$3+Y750),0)),Calcs!$A$110:$B$122,2,TRUE)))))</f>
        <v xml:space="preserve"> </v>
      </c>
      <c r="AE750" s="490"/>
      <c r="AF750" s="879"/>
      <c r="AG750" s="491"/>
    </row>
    <row r="751" spans="1:33" x14ac:dyDescent="0.2">
      <c r="A751" s="415">
        <f t="shared" si="22"/>
        <v>1397</v>
      </c>
      <c r="B751" s="419" t="str">
        <f t="shared" si="23"/>
        <v>Autumn</v>
      </c>
      <c r="C751" s="455"/>
      <c r="D751" s="504"/>
      <c r="E751" s="455"/>
      <c r="F751" s="504"/>
      <c r="G751" s="455"/>
      <c r="H751" s="504"/>
      <c r="I751" s="455"/>
      <c r="J751" s="504"/>
      <c r="L751" s="472"/>
      <c r="M751" s="468"/>
      <c r="N751" s="468"/>
      <c r="O751" s="468"/>
      <c r="P751" s="468"/>
      <c r="Q751" s="473"/>
      <c r="R751" s="477" t="str">
        <f>IF(AND(COUNTIF('Start Character'!$I$63:$M$77,"Twilight Prone")=1,NOT(ISERROR(FIND("Magical Botch",M751)))),"Yes",IF(P751&gt;1,"Yes","No"))</f>
        <v>No</v>
      </c>
      <c r="S751" s="501"/>
      <c r="T751" s="478"/>
      <c r="U751" s="501"/>
      <c r="V751" s="479" t="str">
        <f>IF(R751="No","No Twilight",IF(T751="Yes","Uncomprehended Twilight",IF((Character!$B$14+IF(Character!$B$53="Yes",0,Character!$B$53)+IF(Magic!$C$5="Yes",2,0)+ROUNDUP((Magic!$B$30+IF(Magic!$C$30="Yes",3,0))/5,0)+S751)&gt;=($D$3+P751+SUMIF(Character!$I$62:$I$66,"Enigmatic Wisdom",Character!$J$62:$J$66)+Q751+U751),"No Twilight","Twilight")))</f>
        <v>No Twilight</v>
      </c>
      <c r="W751" s="483"/>
      <c r="X751" s="478"/>
      <c r="Y751" s="484"/>
      <c r="Z751" s="478"/>
      <c r="AA751" s="485" t="str">
        <f>IF(V751="Uncomprehended Twilight","Failed",IF(OR(ISBLANK(W751),ISBLANK(Y751))," ",IF(NOT(ISBLANK(X751)),"Failed",IF((W751+Character!$B$9+SUMIF(Character!$I$62:$I$66,"Enigmatic Wisdom",Character!$J$62:$J$66))&gt;=IF(Z751="Yes",0,(Y751+D746)),"Succeeded","Failed"))))</f>
        <v xml:space="preserve"> </v>
      </c>
      <c r="AB751" s="477" t="str">
        <f>IF(AA751=" "," ",IF(NOT(ISBLANK(X751)),VLOOKUP($D$3+X751,Calcs!$A$110:$C$122,3,TRUE),IF(AA751="Failed",VLOOKUP($D$3,Calcs!$A$110:$C$122,3,TRUE),VLOOKUP($D$3-(IF((Character!$B$9+W751)&gt;($D$3+Y751),(Character!$B$9+W751)-($D$3+Y751),0)),Calcs!$A$110:$C$122,3,TRUE))))</f>
        <v xml:space="preserve"> </v>
      </c>
      <c r="AC751" s="489"/>
      <c r="AD751" s="489" t="str">
        <f>IF(IF(AA751=" "," ",IF(NOT(ISBLANK(X751)),VLOOKUP($D$3+X751,Calcs!$A$110:$B$122,2,TRUE),IF(AA751="Failed",VLOOKUP($D$3,Calcs!$A$110:$B$122,2,TRUE),VLOOKUP($D$3-(IF((Character!$B$9+W751)&gt;($D$3+Y751),(Character!$B$9+W751)-($D$3+Y751),0)),Calcs!$A$110:$B$122,2,TRUE))))=Calcs!$B$120,IF(ISBLANK(AC751)," ",CONCATENATE(AC751+7," Years")),IF(AA751=" "," ",IF(NOT(ISBLANK(X751)),VLOOKUP($D$3+X751,Calcs!$A$110:$B$122,2,TRUE),IF(AA751="Failed",VLOOKUP($D$3,Calcs!$A$110:$B$122,2,TRUE),VLOOKUP($D$3-(IF((Character!$B$9+W751)&gt;($D$3+Y751),(Character!$B$9+W751)-($D$3+Y751),0)),Calcs!$A$110:$B$122,2,TRUE)))))</f>
        <v xml:space="preserve"> </v>
      </c>
      <c r="AE751" s="490"/>
      <c r="AF751" s="879"/>
      <c r="AG751" s="491"/>
    </row>
    <row r="752" spans="1:33" x14ac:dyDescent="0.2">
      <c r="A752" s="415">
        <f t="shared" si="22"/>
        <v>1398</v>
      </c>
      <c r="B752" s="419" t="str">
        <f t="shared" si="23"/>
        <v>Winter</v>
      </c>
      <c r="C752" s="455"/>
      <c r="D752" s="504"/>
      <c r="E752" s="455"/>
      <c r="F752" s="504"/>
      <c r="G752" s="455"/>
      <c r="H752" s="504"/>
      <c r="I752" s="455"/>
      <c r="J752" s="504"/>
      <c r="L752" s="472"/>
      <c r="M752" s="468"/>
      <c r="N752" s="468"/>
      <c r="O752" s="468"/>
      <c r="P752" s="468"/>
      <c r="Q752" s="473"/>
      <c r="R752" s="477" t="str">
        <f>IF(AND(COUNTIF('Start Character'!$I$63:$M$77,"Twilight Prone")=1,NOT(ISERROR(FIND("Magical Botch",M752)))),"Yes",IF(P752&gt;1,"Yes","No"))</f>
        <v>No</v>
      </c>
      <c r="S752" s="501"/>
      <c r="T752" s="478"/>
      <c r="U752" s="501"/>
      <c r="V752" s="479" t="str">
        <f>IF(R752="No","No Twilight",IF(T752="Yes","Uncomprehended Twilight",IF((Character!$B$14+IF(Character!$B$53="Yes",0,Character!$B$53)+IF(Magic!$C$5="Yes",2,0)+ROUNDUP((Magic!$B$30+IF(Magic!$C$30="Yes",3,0))/5,0)+S752)&gt;=($D$3+P752+SUMIF(Character!$I$62:$I$66,"Enigmatic Wisdom",Character!$J$62:$J$66)+Q752+U752),"No Twilight","Twilight")))</f>
        <v>No Twilight</v>
      </c>
      <c r="W752" s="483"/>
      <c r="X752" s="478"/>
      <c r="Y752" s="484"/>
      <c r="Z752" s="478"/>
      <c r="AA752" s="485" t="str">
        <f>IF(V752="Uncomprehended Twilight","Failed",IF(OR(ISBLANK(W752),ISBLANK(Y752))," ",IF(NOT(ISBLANK(X752)),"Failed",IF((W752+Character!$B$9+SUMIF(Character!$I$62:$I$66,"Enigmatic Wisdom",Character!$J$62:$J$66))&gt;=IF(Z752="Yes",0,(Y752+D747)),"Succeeded","Failed"))))</f>
        <v xml:space="preserve"> </v>
      </c>
      <c r="AB752" s="477" t="str">
        <f>IF(AA752=" "," ",IF(NOT(ISBLANK(X752)),VLOOKUP($D$3+X752,Calcs!$A$110:$C$122,3,TRUE),IF(AA752="Failed",VLOOKUP($D$3,Calcs!$A$110:$C$122,3,TRUE),VLOOKUP($D$3-(IF((Character!$B$9+W752)&gt;($D$3+Y752),(Character!$B$9+W752)-($D$3+Y752),0)),Calcs!$A$110:$C$122,3,TRUE))))</f>
        <v xml:space="preserve"> </v>
      </c>
      <c r="AC752" s="489"/>
      <c r="AD752" s="489" t="str">
        <f>IF(IF(AA752=" "," ",IF(NOT(ISBLANK(X752)),VLOOKUP($D$3+X752,Calcs!$A$110:$B$122,2,TRUE),IF(AA752="Failed",VLOOKUP($D$3,Calcs!$A$110:$B$122,2,TRUE),VLOOKUP($D$3-(IF((Character!$B$9+W752)&gt;($D$3+Y752),(Character!$B$9+W752)-($D$3+Y752),0)),Calcs!$A$110:$B$122,2,TRUE))))=Calcs!$B$120,IF(ISBLANK(AC752)," ",CONCATENATE(AC752+7," Years")),IF(AA752=" "," ",IF(NOT(ISBLANK(X752)),VLOOKUP($D$3+X752,Calcs!$A$110:$B$122,2,TRUE),IF(AA752="Failed",VLOOKUP($D$3,Calcs!$A$110:$B$122,2,TRUE),VLOOKUP($D$3-(IF((Character!$B$9+W752)&gt;($D$3+Y752),(Character!$B$9+W752)-($D$3+Y752),0)),Calcs!$A$110:$B$122,2,TRUE)))))</f>
        <v xml:space="preserve"> </v>
      </c>
      <c r="AE752" s="490"/>
      <c r="AF752" s="879"/>
      <c r="AG752" s="491"/>
    </row>
    <row r="753" spans="1:33" x14ac:dyDescent="0.2">
      <c r="A753" s="415">
        <f t="shared" si="22"/>
        <v>1398</v>
      </c>
      <c r="B753" s="419" t="str">
        <f t="shared" si="23"/>
        <v>Spring</v>
      </c>
      <c r="C753" s="455"/>
      <c r="D753" s="504"/>
      <c r="E753" s="455"/>
      <c r="F753" s="504"/>
      <c r="G753" s="455"/>
      <c r="H753" s="504"/>
      <c r="I753" s="455"/>
      <c r="J753" s="504"/>
      <c r="L753" s="472"/>
      <c r="M753" s="468"/>
      <c r="N753" s="468"/>
      <c r="O753" s="468"/>
      <c r="P753" s="468"/>
      <c r="Q753" s="473"/>
      <c r="R753" s="477" t="str">
        <f>IF(AND(COUNTIF('Start Character'!$I$63:$M$77,"Twilight Prone")=1,NOT(ISERROR(FIND("Magical Botch",M753)))),"Yes",IF(P753&gt;1,"Yes","No"))</f>
        <v>No</v>
      </c>
      <c r="S753" s="501"/>
      <c r="T753" s="478"/>
      <c r="U753" s="501"/>
      <c r="V753" s="479" t="str">
        <f>IF(R753="No","No Twilight",IF(T753="Yes","Uncomprehended Twilight",IF((Character!$B$14+IF(Character!$B$53="Yes",0,Character!$B$53)+IF(Magic!$C$5="Yes",2,0)+ROUNDUP((Magic!$B$30+IF(Magic!$C$30="Yes",3,0))/5,0)+S753)&gt;=($D$3+P753+SUMIF(Character!$I$62:$I$66,"Enigmatic Wisdom",Character!$J$62:$J$66)+Q753+U753),"No Twilight","Twilight")))</f>
        <v>No Twilight</v>
      </c>
      <c r="W753" s="483"/>
      <c r="X753" s="478"/>
      <c r="Y753" s="484"/>
      <c r="Z753" s="478"/>
      <c r="AA753" s="485" t="str">
        <f>IF(V753="Uncomprehended Twilight","Failed",IF(OR(ISBLANK(W753),ISBLANK(Y753))," ",IF(NOT(ISBLANK(X753)),"Failed",IF((W753+Character!$B$9+SUMIF(Character!$I$62:$I$66,"Enigmatic Wisdom",Character!$J$62:$J$66))&gt;=IF(Z753="Yes",0,(Y753+D748)),"Succeeded","Failed"))))</f>
        <v xml:space="preserve"> </v>
      </c>
      <c r="AB753" s="477" t="str">
        <f>IF(AA753=" "," ",IF(NOT(ISBLANK(X753)),VLOOKUP($D$3+X753,Calcs!$A$110:$C$122,3,TRUE),IF(AA753="Failed",VLOOKUP($D$3,Calcs!$A$110:$C$122,3,TRUE),VLOOKUP($D$3-(IF((Character!$B$9+W753)&gt;($D$3+Y753),(Character!$B$9+W753)-($D$3+Y753),0)),Calcs!$A$110:$C$122,3,TRUE))))</f>
        <v xml:space="preserve"> </v>
      </c>
      <c r="AC753" s="489"/>
      <c r="AD753" s="489" t="str">
        <f>IF(IF(AA753=" "," ",IF(NOT(ISBLANK(X753)),VLOOKUP($D$3+X753,Calcs!$A$110:$B$122,2,TRUE),IF(AA753="Failed",VLOOKUP($D$3,Calcs!$A$110:$B$122,2,TRUE),VLOOKUP($D$3-(IF((Character!$B$9+W753)&gt;($D$3+Y753),(Character!$B$9+W753)-($D$3+Y753),0)),Calcs!$A$110:$B$122,2,TRUE))))=Calcs!$B$120,IF(ISBLANK(AC753)," ",CONCATENATE(AC753+7," Years")),IF(AA753=" "," ",IF(NOT(ISBLANK(X753)),VLOOKUP($D$3+X753,Calcs!$A$110:$B$122,2,TRUE),IF(AA753="Failed",VLOOKUP($D$3,Calcs!$A$110:$B$122,2,TRUE),VLOOKUP($D$3-(IF((Character!$B$9+W753)&gt;($D$3+Y753),(Character!$B$9+W753)-($D$3+Y753),0)),Calcs!$A$110:$B$122,2,TRUE)))))</f>
        <v xml:space="preserve"> </v>
      </c>
      <c r="AE753" s="490"/>
      <c r="AF753" s="879"/>
      <c r="AG753" s="491"/>
    </row>
    <row r="754" spans="1:33" x14ac:dyDescent="0.2">
      <c r="A754" s="415">
        <f t="shared" si="22"/>
        <v>1398</v>
      </c>
      <c r="B754" s="419" t="str">
        <f t="shared" si="23"/>
        <v>Summer</v>
      </c>
      <c r="C754" s="455"/>
      <c r="D754" s="504"/>
      <c r="E754" s="455"/>
      <c r="F754" s="504"/>
      <c r="G754" s="455"/>
      <c r="H754" s="504"/>
      <c r="I754" s="455"/>
      <c r="J754" s="504"/>
      <c r="L754" s="472"/>
      <c r="M754" s="468"/>
      <c r="N754" s="468"/>
      <c r="O754" s="468"/>
      <c r="P754" s="468"/>
      <c r="Q754" s="473"/>
      <c r="R754" s="477" t="str">
        <f>IF(AND(COUNTIF('Start Character'!$I$63:$M$77,"Twilight Prone")=1,NOT(ISERROR(FIND("Magical Botch",M754)))),"Yes",IF(P754&gt;1,"Yes","No"))</f>
        <v>No</v>
      </c>
      <c r="S754" s="501"/>
      <c r="T754" s="478"/>
      <c r="U754" s="501"/>
      <c r="V754" s="479" t="str">
        <f>IF(R754="No","No Twilight",IF(T754="Yes","Uncomprehended Twilight",IF((Character!$B$14+IF(Character!$B$53="Yes",0,Character!$B$53)+IF(Magic!$C$5="Yes",2,0)+ROUNDUP((Magic!$B$30+IF(Magic!$C$30="Yes",3,0))/5,0)+S754)&gt;=($D$3+P754+SUMIF(Character!$I$62:$I$66,"Enigmatic Wisdom",Character!$J$62:$J$66)+Q754+U754),"No Twilight","Twilight")))</f>
        <v>No Twilight</v>
      </c>
      <c r="W754" s="483"/>
      <c r="X754" s="478"/>
      <c r="Y754" s="484"/>
      <c r="Z754" s="478"/>
      <c r="AA754" s="485" t="str">
        <f>IF(V754="Uncomprehended Twilight","Failed",IF(OR(ISBLANK(W754),ISBLANK(Y754))," ",IF(NOT(ISBLANK(X754)),"Failed",IF((W754+Character!$B$9+SUMIF(Character!$I$62:$I$66,"Enigmatic Wisdom",Character!$J$62:$J$66))&gt;=IF(Z754="Yes",0,(Y754+D749)),"Succeeded","Failed"))))</f>
        <v xml:space="preserve"> </v>
      </c>
      <c r="AB754" s="477" t="str">
        <f>IF(AA754=" "," ",IF(NOT(ISBLANK(X754)),VLOOKUP($D$3+X754,Calcs!$A$110:$C$122,3,TRUE),IF(AA754="Failed",VLOOKUP($D$3,Calcs!$A$110:$C$122,3,TRUE),VLOOKUP($D$3-(IF((Character!$B$9+W754)&gt;($D$3+Y754),(Character!$B$9+W754)-($D$3+Y754),0)),Calcs!$A$110:$C$122,3,TRUE))))</f>
        <v xml:space="preserve"> </v>
      </c>
      <c r="AC754" s="489"/>
      <c r="AD754" s="489" t="str">
        <f>IF(IF(AA754=" "," ",IF(NOT(ISBLANK(X754)),VLOOKUP($D$3+X754,Calcs!$A$110:$B$122,2,TRUE),IF(AA754="Failed",VLOOKUP($D$3,Calcs!$A$110:$B$122,2,TRUE),VLOOKUP($D$3-(IF((Character!$B$9+W754)&gt;($D$3+Y754),(Character!$B$9+W754)-($D$3+Y754),0)),Calcs!$A$110:$B$122,2,TRUE))))=Calcs!$B$120,IF(ISBLANK(AC754)," ",CONCATENATE(AC754+7," Years")),IF(AA754=" "," ",IF(NOT(ISBLANK(X754)),VLOOKUP($D$3+X754,Calcs!$A$110:$B$122,2,TRUE),IF(AA754="Failed",VLOOKUP($D$3,Calcs!$A$110:$B$122,2,TRUE),VLOOKUP($D$3-(IF((Character!$B$9+W754)&gt;($D$3+Y754),(Character!$B$9+W754)-($D$3+Y754),0)),Calcs!$A$110:$B$122,2,TRUE)))))</f>
        <v xml:space="preserve"> </v>
      </c>
      <c r="AE754" s="490"/>
      <c r="AF754" s="879"/>
      <c r="AG754" s="491"/>
    </row>
    <row r="755" spans="1:33" x14ac:dyDescent="0.2">
      <c r="A755" s="415">
        <f t="shared" si="22"/>
        <v>1398</v>
      </c>
      <c r="B755" s="419" t="str">
        <f t="shared" si="23"/>
        <v>Autumn</v>
      </c>
      <c r="C755" s="455"/>
      <c r="D755" s="504"/>
      <c r="E755" s="455"/>
      <c r="F755" s="504"/>
      <c r="G755" s="455"/>
      <c r="H755" s="504"/>
      <c r="I755" s="455"/>
      <c r="J755" s="504"/>
      <c r="L755" s="472"/>
      <c r="M755" s="468"/>
      <c r="N755" s="468"/>
      <c r="O755" s="468"/>
      <c r="P755" s="468"/>
      <c r="Q755" s="473"/>
      <c r="R755" s="477" t="str">
        <f>IF(AND(COUNTIF('Start Character'!$I$63:$M$77,"Twilight Prone")=1,NOT(ISERROR(FIND("Magical Botch",M755)))),"Yes",IF(P755&gt;1,"Yes","No"))</f>
        <v>No</v>
      </c>
      <c r="S755" s="501"/>
      <c r="T755" s="478"/>
      <c r="U755" s="501"/>
      <c r="V755" s="479" t="str">
        <f>IF(R755="No","No Twilight",IF(T755="Yes","Uncomprehended Twilight",IF((Character!$B$14+IF(Character!$B$53="Yes",0,Character!$B$53)+IF(Magic!$C$5="Yes",2,0)+ROUNDUP((Magic!$B$30+IF(Magic!$C$30="Yes",3,0))/5,0)+S755)&gt;=($D$3+P755+SUMIF(Character!$I$62:$I$66,"Enigmatic Wisdom",Character!$J$62:$J$66)+Q755+U755),"No Twilight","Twilight")))</f>
        <v>No Twilight</v>
      </c>
      <c r="W755" s="483"/>
      <c r="X755" s="478"/>
      <c r="Y755" s="484"/>
      <c r="Z755" s="478"/>
      <c r="AA755" s="485" t="str">
        <f>IF(V755="Uncomprehended Twilight","Failed",IF(OR(ISBLANK(W755),ISBLANK(Y755))," ",IF(NOT(ISBLANK(X755)),"Failed",IF((W755+Character!$B$9+SUMIF(Character!$I$62:$I$66,"Enigmatic Wisdom",Character!$J$62:$J$66))&gt;=IF(Z755="Yes",0,(Y755+D750)),"Succeeded","Failed"))))</f>
        <v xml:space="preserve"> </v>
      </c>
      <c r="AB755" s="477" t="str">
        <f>IF(AA755=" "," ",IF(NOT(ISBLANK(X755)),VLOOKUP($D$3+X755,Calcs!$A$110:$C$122,3,TRUE),IF(AA755="Failed",VLOOKUP($D$3,Calcs!$A$110:$C$122,3,TRUE),VLOOKUP($D$3-(IF((Character!$B$9+W755)&gt;($D$3+Y755),(Character!$B$9+W755)-($D$3+Y755),0)),Calcs!$A$110:$C$122,3,TRUE))))</f>
        <v xml:space="preserve"> </v>
      </c>
      <c r="AC755" s="489"/>
      <c r="AD755" s="489" t="str">
        <f>IF(IF(AA755=" "," ",IF(NOT(ISBLANK(X755)),VLOOKUP($D$3+X755,Calcs!$A$110:$B$122,2,TRUE),IF(AA755="Failed",VLOOKUP($D$3,Calcs!$A$110:$B$122,2,TRUE),VLOOKUP($D$3-(IF((Character!$B$9+W755)&gt;($D$3+Y755),(Character!$B$9+W755)-($D$3+Y755),0)),Calcs!$A$110:$B$122,2,TRUE))))=Calcs!$B$120,IF(ISBLANK(AC755)," ",CONCATENATE(AC755+7," Years")),IF(AA755=" "," ",IF(NOT(ISBLANK(X755)),VLOOKUP($D$3+X755,Calcs!$A$110:$B$122,2,TRUE),IF(AA755="Failed",VLOOKUP($D$3,Calcs!$A$110:$B$122,2,TRUE),VLOOKUP($D$3-(IF((Character!$B$9+W755)&gt;($D$3+Y755),(Character!$B$9+W755)-($D$3+Y755),0)),Calcs!$A$110:$B$122,2,TRUE)))))</f>
        <v xml:space="preserve"> </v>
      </c>
      <c r="AE755" s="490"/>
      <c r="AF755" s="879"/>
      <c r="AG755" s="491"/>
    </row>
    <row r="756" spans="1:33" x14ac:dyDescent="0.2">
      <c r="A756" s="415">
        <f t="shared" si="22"/>
        <v>1399</v>
      </c>
      <c r="B756" s="419" t="str">
        <f t="shared" si="23"/>
        <v>Winter</v>
      </c>
      <c r="C756" s="455"/>
      <c r="D756" s="504"/>
      <c r="E756" s="455"/>
      <c r="F756" s="504"/>
      <c r="G756" s="455"/>
      <c r="H756" s="504"/>
      <c r="I756" s="455"/>
      <c r="J756" s="504"/>
      <c r="L756" s="472"/>
      <c r="M756" s="468"/>
      <c r="N756" s="468"/>
      <c r="O756" s="468"/>
      <c r="P756" s="468"/>
      <c r="Q756" s="473"/>
      <c r="R756" s="477" t="str">
        <f>IF(AND(COUNTIF('Start Character'!$I$63:$M$77,"Twilight Prone")=1,NOT(ISERROR(FIND("Magical Botch",M756)))),"Yes",IF(P756&gt;1,"Yes","No"))</f>
        <v>No</v>
      </c>
      <c r="S756" s="501"/>
      <c r="T756" s="478"/>
      <c r="U756" s="501"/>
      <c r="V756" s="479" t="str">
        <f>IF(R756="No","No Twilight",IF(T756="Yes","Uncomprehended Twilight",IF((Character!$B$14+IF(Character!$B$53="Yes",0,Character!$B$53)+IF(Magic!$C$5="Yes",2,0)+ROUNDUP((Magic!$B$30+IF(Magic!$C$30="Yes",3,0))/5,0)+S756)&gt;=($D$3+P756+SUMIF(Character!$I$62:$I$66,"Enigmatic Wisdom",Character!$J$62:$J$66)+Q756+U756),"No Twilight","Twilight")))</f>
        <v>No Twilight</v>
      </c>
      <c r="W756" s="483"/>
      <c r="X756" s="478"/>
      <c r="Y756" s="484"/>
      <c r="Z756" s="478"/>
      <c r="AA756" s="485" t="str">
        <f>IF(V756="Uncomprehended Twilight","Failed",IF(OR(ISBLANK(W756),ISBLANK(Y756))," ",IF(NOT(ISBLANK(X756)),"Failed",IF((W756+Character!$B$9+SUMIF(Character!$I$62:$I$66,"Enigmatic Wisdom",Character!$J$62:$J$66))&gt;=IF(Z756="Yes",0,(Y756+D751)),"Succeeded","Failed"))))</f>
        <v xml:space="preserve"> </v>
      </c>
      <c r="AB756" s="477" t="str">
        <f>IF(AA756=" "," ",IF(NOT(ISBLANK(X756)),VLOOKUP($D$3+X756,Calcs!$A$110:$C$122,3,TRUE),IF(AA756="Failed",VLOOKUP($D$3,Calcs!$A$110:$C$122,3,TRUE),VLOOKUP($D$3-(IF((Character!$B$9+W756)&gt;($D$3+Y756),(Character!$B$9+W756)-($D$3+Y756),0)),Calcs!$A$110:$C$122,3,TRUE))))</f>
        <v xml:space="preserve"> </v>
      </c>
      <c r="AC756" s="489"/>
      <c r="AD756" s="489" t="str">
        <f>IF(IF(AA756=" "," ",IF(NOT(ISBLANK(X756)),VLOOKUP($D$3+X756,Calcs!$A$110:$B$122,2,TRUE),IF(AA756="Failed",VLOOKUP($D$3,Calcs!$A$110:$B$122,2,TRUE),VLOOKUP($D$3-(IF((Character!$B$9+W756)&gt;($D$3+Y756),(Character!$B$9+W756)-($D$3+Y756),0)),Calcs!$A$110:$B$122,2,TRUE))))=Calcs!$B$120,IF(ISBLANK(AC756)," ",CONCATENATE(AC756+7," Years")),IF(AA756=" "," ",IF(NOT(ISBLANK(X756)),VLOOKUP($D$3+X756,Calcs!$A$110:$B$122,2,TRUE),IF(AA756="Failed",VLOOKUP($D$3,Calcs!$A$110:$B$122,2,TRUE),VLOOKUP($D$3-(IF((Character!$B$9+W756)&gt;($D$3+Y756),(Character!$B$9+W756)-($D$3+Y756),0)),Calcs!$A$110:$B$122,2,TRUE)))))</f>
        <v xml:space="preserve"> </v>
      </c>
      <c r="AE756" s="490"/>
      <c r="AF756" s="879"/>
      <c r="AG756" s="491"/>
    </row>
    <row r="757" spans="1:33" x14ac:dyDescent="0.2">
      <c r="A757" s="415">
        <f t="shared" si="22"/>
        <v>1399</v>
      </c>
      <c r="B757" s="419" t="str">
        <f t="shared" si="23"/>
        <v>Spring</v>
      </c>
      <c r="C757" s="455"/>
      <c r="D757" s="504"/>
      <c r="E757" s="455"/>
      <c r="F757" s="504"/>
      <c r="G757" s="455"/>
      <c r="H757" s="504"/>
      <c r="I757" s="455"/>
      <c r="J757" s="504"/>
      <c r="L757" s="472"/>
      <c r="M757" s="468"/>
      <c r="N757" s="468"/>
      <c r="O757" s="468"/>
      <c r="P757" s="468"/>
      <c r="Q757" s="473"/>
      <c r="R757" s="477" t="str">
        <f>IF(AND(COUNTIF('Start Character'!$I$63:$M$77,"Twilight Prone")=1,NOT(ISERROR(FIND("Magical Botch",M757)))),"Yes",IF(P757&gt;1,"Yes","No"))</f>
        <v>No</v>
      </c>
      <c r="S757" s="501"/>
      <c r="T757" s="478"/>
      <c r="U757" s="501"/>
      <c r="V757" s="479" t="str">
        <f>IF(R757="No","No Twilight",IF(T757="Yes","Uncomprehended Twilight",IF((Character!$B$14+IF(Character!$B$53="Yes",0,Character!$B$53)+IF(Magic!$C$5="Yes",2,0)+ROUNDUP((Magic!$B$30+IF(Magic!$C$30="Yes",3,0))/5,0)+S757)&gt;=($D$3+P757+SUMIF(Character!$I$62:$I$66,"Enigmatic Wisdom",Character!$J$62:$J$66)+Q757+U757),"No Twilight","Twilight")))</f>
        <v>No Twilight</v>
      </c>
      <c r="W757" s="483"/>
      <c r="X757" s="478"/>
      <c r="Y757" s="484"/>
      <c r="Z757" s="478"/>
      <c r="AA757" s="485" t="str">
        <f>IF(V757="Uncomprehended Twilight","Failed",IF(OR(ISBLANK(W757),ISBLANK(Y757))," ",IF(NOT(ISBLANK(X757)),"Failed",IF((W757+Character!$B$9+SUMIF(Character!$I$62:$I$66,"Enigmatic Wisdom",Character!$J$62:$J$66))&gt;=IF(Z757="Yes",0,(Y757+D752)),"Succeeded","Failed"))))</f>
        <v xml:space="preserve"> </v>
      </c>
      <c r="AB757" s="477" t="str">
        <f>IF(AA757=" "," ",IF(NOT(ISBLANK(X757)),VLOOKUP($D$3+X757,Calcs!$A$110:$C$122,3,TRUE),IF(AA757="Failed",VLOOKUP($D$3,Calcs!$A$110:$C$122,3,TRUE),VLOOKUP($D$3-(IF((Character!$B$9+W757)&gt;($D$3+Y757),(Character!$B$9+W757)-($D$3+Y757),0)),Calcs!$A$110:$C$122,3,TRUE))))</f>
        <v xml:space="preserve"> </v>
      </c>
      <c r="AC757" s="489"/>
      <c r="AD757" s="489" t="str">
        <f>IF(IF(AA757=" "," ",IF(NOT(ISBLANK(X757)),VLOOKUP($D$3+X757,Calcs!$A$110:$B$122,2,TRUE),IF(AA757="Failed",VLOOKUP($D$3,Calcs!$A$110:$B$122,2,TRUE),VLOOKUP($D$3-(IF((Character!$B$9+W757)&gt;($D$3+Y757),(Character!$B$9+W757)-($D$3+Y757),0)),Calcs!$A$110:$B$122,2,TRUE))))=Calcs!$B$120,IF(ISBLANK(AC757)," ",CONCATENATE(AC757+7," Years")),IF(AA757=" "," ",IF(NOT(ISBLANK(X757)),VLOOKUP($D$3+X757,Calcs!$A$110:$B$122,2,TRUE),IF(AA757="Failed",VLOOKUP($D$3,Calcs!$A$110:$B$122,2,TRUE),VLOOKUP($D$3-(IF((Character!$B$9+W757)&gt;($D$3+Y757),(Character!$B$9+W757)-($D$3+Y757),0)),Calcs!$A$110:$B$122,2,TRUE)))))</f>
        <v xml:space="preserve"> </v>
      </c>
      <c r="AE757" s="490"/>
      <c r="AF757" s="879"/>
      <c r="AG757" s="491"/>
    </row>
    <row r="758" spans="1:33" x14ac:dyDescent="0.2">
      <c r="A758" s="415">
        <f t="shared" si="22"/>
        <v>1399</v>
      </c>
      <c r="B758" s="419" t="str">
        <f t="shared" si="23"/>
        <v>Summer</v>
      </c>
      <c r="C758" s="455"/>
      <c r="D758" s="504"/>
      <c r="E758" s="455"/>
      <c r="F758" s="504"/>
      <c r="G758" s="455"/>
      <c r="H758" s="504"/>
      <c r="I758" s="455"/>
      <c r="J758" s="504"/>
      <c r="L758" s="472"/>
      <c r="M758" s="468"/>
      <c r="N758" s="468"/>
      <c r="O758" s="468"/>
      <c r="P758" s="468"/>
      <c r="Q758" s="473"/>
      <c r="R758" s="477" t="str">
        <f>IF(AND(COUNTIF('Start Character'!$I$63:$M$77,"Twilight Prone")=1,NOT(ISERROR(FIND("Magical Botch",M758)))),"Yes",IF(P758&gt;1,"Yes","No"))</f>
        <v>No</v>
      </c>
      <c r="S758" s="501"/>
      <c r="T758" s="478"/>
      <c r="U758" s="501"/>
      <c r="V758" s="479" t="str">
        <f>IF(R758="No","No Twilight",IF(T758="Yes","Uncomprehended Twilight",IF((Character!$B$14+IF(Character!$B$53="Yes",0,Character!$B$53)+IF(Magic!$C$5="Yes",2,0)+ROUNDUP((Magic!$B$30+IF(Magic!$C$30="Yes",3,0))/5,0)+S758)&gt;=($D$3+P758+SUMIF(Character!$I$62:$I$66,"Enigmatic Wisdom",Character!$J$62:$J$66)+Q758+U758),"No Twilight","Twilight")))</f>
        <v>No Twilight</v>
      </c>
      <c r="W758" s="483"/>
      <c r="X758" s="478"/>
      <c r="Y758" s="484"/>
      <c r="Z758" s="478"/>
      <c r="AA758" s="485" t="str">
        <f>IF(V758="Uncomprehended Twilight","Failed",IF(OR(ISBLANK(W758),ISBLANK(Y758))," ",IF(NOT(ISBLANK(X758)),"Failed",IF((W758+Character!$B$9+SUMIF(Character!$I$62:$I$66,"Enigmatic Wisdom",Character!$J$62:$J$66))&gt;=IF(Z758="Yes",0,(Y758+D753)),"Succeeded","Failed"))))</f>
        <v xml:space="preserve"> </v>
      </c>
      <c r="AB758" s="477" t="str">
        <f>IF(AA758=" "," ",IF(NOT(ISBLANK(X758)),VLOOKUP($D$3+X758,Calcs!$A$110:$C$122,3,TRUE),IF(AA758="Failed",VLOOKUP($D$3,Calcs!$A$110:$C$122,3,TRUE),VLOOKUP($D$3-(IF((Character!$B$9+W758)&gt;($D$3+Y758),(Character!$B$9+W758)-($D$3+Y758),0)),Calcs!$A$110:$C$122,3,TRUE))))</f>
        <v xml:space="preserve"> </v>
      </c>
      <c r="AC758" s="489"/>
      <c r="AD758" s="489" t="str">
        <f>IF(IF(AA758=" "," ",IF(NOT(ISBLANK(X758)),VLOOKUP($D$3+X758,Calcs!$A$110:$B$122,2,TRUE),IF(AA758="Failed",VLOOKUP($D$3,Calcs!$A$110:$B$122,2,TRUE),VLOOKUP($D$3-(IF((Character!$B$9+W758)&gt;($D$3+Y758),(Character!$B$9+W758)-($D$3+Y758),0)),Calcs!$A$110:$B$122,2,TRUE))))=Calcs!$B$120,IF(ISBLANK(AC758)," ",CONCATENATE(AC758+7," Years")),IF(AA758=" "," ",IF(NOT(ISBLANK(X758)),VLOOKUP($D$3+X758,Calcs!$A$110:$B$122,2,TRUE),IF(AA758="Failed",VLOOKUP($D$3,Calcs!$A$110:$B$122,2,TRUE),VLOOKUP($D$3-(IF((Character!$B$9+W758)&gt;($D$3+Y758),(Character!$B$9+W758)-($D$3+Y758),0)),Calcs!$A$110:$B$122,2,TRUE)))))</f>
        <v xml:space="preserve"> </v>
      </c>
      <c r="AE758" s="490"/>
      <c r="AF758" s="879"/>
      <c r="AG758" s="491"/>
    </row>
    <row r="759" spans="1:33" x14ac:dyDescent="0.2">
      <c r="A759" s="415">
        <f t="shared" si="22"/>
        <v>1399</v>
      </c>
      <c r="B759" s="419" t="str">
        <f t="shared" si="23"/>
        <v>Autumn</v>
      </c>
      <c r="C759" s="455"/>
      <c r="D759" s="504"/>
      <c r="E759" s="455"/>
      <c r="F759" s="504"/>
      <c r="G759" s="455"/>
      <c r="H759" s="504"/>
      <c r="I759" s="455"/>
      <c r="J759" s="504"/>
      <c r="L759" s="472"/>
      <c r="M759" s="468"/>
      <c r="N759" s="468"/>
      <c r="O759" s="468"/>
      <c r="P759" s="468"/>
      <c r="Q759" s="473"/>
      <c r="R759" s="477" t="str">
        <f>IF(AND(COUNTIF('Start Character'!$I$63:$M$77,"Twilight Prone")=1,NOT(ISERROR(FIND("Magical Botch",M759)))),"Yes",IF(P759&gt;1,"Yes","No"))</f>
        <v>No</v>
      </c>
      <c r="S759" s="501"/>
      <c r="T759" s="478"/>
      <c r="U759" s="501"/>
      <c r="V759" s="479" t="str">
        <f>IF(R759="No","No Twilight",IF(T759="Yes","Uncomprehended Twilight",IF((Character!$B$14+IF(Character!$B$53="Yes",0,Character!$B$53)+IF(Magic!$C$5="Yes",2,0)+ROUNDUP((Magic!$B$30+IF(Magic!$C$30="Yes",3,0))/5,0)+S759)&gt;=($D$3+P759+SUMIF(Character!$I$62:$I$66,"Enigmatic Wisdom",Character!$J$62:$J$66)+Q759+U759),"No Twilight","Twilight")))</f>
        <v>No Twilight</v>
      </c>
      <c r="W759" s="483"/>
      <c r="X759" s="478"/>
      <c r="Y759" s="484"/>
      <c r="Z759" s="478"/>
      <c r="AA759" s="485" t="str">
        <f>IF(V759="Uncomprehended Twilight","Failed",IF(OR(ISBLANK(W759),ISBLANK(Y759))," ",IF(NOT(ISBLANK(X759)),"Failed",IF((W759+Character!$B$9+SUMIF(Character!$I$62:$I$66,"Enigmatic Wisdom",Character!$J$62:$J$66))&gt;=IF(Z759="Yes",0,(Y759+D754)),"Succeeded","Failed"))))</f>
        <v xml:space="preserve"> </v>
      </c>
      <c r="AB759" s="477" t="str">
        <f>IF(AA759=" "," ",IF(NOT(ISBLANK(X759)),VLOOKUP($D$3+X759,Calcs!$A$110:$C$122,3,TRUE),IF(AA759="Failed",VLOOKUP($D$3,Calcs!$A$110:$C$122,3,TRUE),VLOOKUP($D$3-(IF((Character!$B$9+W759)&gt;($D$3+Y759),(Character!$B$9+W759)-($D$3+Y759),0)),Calcs!$A$110:$C$122,3,TRUE))))</f>
        <v xml:space="preserve"> </v>
      </c>
      <c r="AC759" s="489"/>
      <c r="AD759" s="489" t="str">
        <f>IF(IF(AA759=" "," ",IF(NOT(ISBLANK(X759)),VLOOKUP($D$3+X759,Calcs!$A$110:$B$122,2,TRUE),IF(AA759="Failed",VLOOKUP($D$3,Calcs!$A$110:$B$122,2,TRUE),VLOOKUP($D$3-(IF((Character!$B$9+W759)&gt;($D$3+Y759),(Character!$B$9+W759)-($D$3+Y759),0)),Calcs!$A$110:$B$122,2,TRUE))))=Calcs!$B$120,IF(ISBLANK(AC759)," ",CONCATENATE(AC759+7," Years")),IF(AA759=" "," ",IF(NOT(ISBLANK(X759)),VLOOKUP($D$3+X759,Calcs!$A$110:$B$122,2,TRUE),IF(AA759="Failed",VLOOKUP($D$3,Calcs!$A$110:$B$122,2,TRUE),VLOOKUP($D$3-(IF((Character!$B$9+W759)&gt;($D$3+Y759),(Character!$B$9+W759)-($D$3+Y759),0)),Calcs!$A$110:$B$122,2,TRUE)))))</f>
        <v xml:space="preserve"> </v>
      </c>
      <c r="AE759" s="490"/>
      <c r="AF759" s="879"/>
      <c r="AG759" s="491"/>
    </row>
    <row r="760" spans="1:33" x14ac:dyDescent="0.2">
      <c r="A760" s="415">
        <f t="shared" si="22"/>
        <v>1400</v>
      </c>
      <c r="B760" s="419" t="str">
        <f t="shared" si="23"/>
        <v>Winter</v>
      </c>
      <c r="C760" s="455"/>
      <c r="D760" s="504"/>
      <c r="E760" s="455"/>
      <c r="F760" s="504"/>
      <c r="G760" s="455"/>
      <c r="H760" s="504"/>
      <c r="I760" s="455"/>
      <c r="J760" s="504"/>
      <c r="L760" s="472"/>
      <c r="M760" s="468"/>
      <c r="N760" s="468"/>
      <c r="O760" s="468"/>
      <c r="P760" s="468"/>
      <c r="Q760" s="473"/>
      <c r="R760" s="477" t="str">
        <f>IF(AND(COUNTIF('Start Character'!$I$63:$M$77,"Twilight Prone")=1,NOT(ISERROR(FIND("Magical Botch",M760)))),"Yes",IF(P760&gt;1,"Yes","No"))</f>
        <v>No</v>
      </c>
      <c r="S760" s="501"/>
      <c r="T760" s="478"/>
      <c r="U760" s="501"/>
      <c r="V760" s="479" t="str">
        <f>IF(R760="No","No Twilight",IF(T760="Yes","Uncomprehended Twilight",IF((Character!$B$14+IF(Character!$B$53="Yes",0,Character!$B$53)+IF(Magic!$C$5="Yes",2,0)+ROUNDUP((Magic!$B$30+IF(Magic!$C$30="Yes",3,0))/5,0)+S760)&gt;=($D$3+P760+SUMIF(Character!$I$62:$I$66,"Enigmatic Wisdom",Character!$J$62:$J$66)+Q760+U760),"No Twilight","Twilight")))</f>
        <v>No Twilight</v>
      </c>
      <c r="W760" s="483"/>
      <c r="X760" s="478"/>
      <c r="Y760" s="484"/>
      <c r="Z760" s="478"/>
      <c r="AA760" s="485" t="str">
        <f>IF(V760="Uncomprehended Twilight","Failed",IF(OR(ISBLANK(W760),ISBLANK(Y760))," ",IF(NOT(ISBLANK(X760)),"Failed",IF((W760+Character!$B$9+SUMIF(Character!$I$62:$I$66,"Enigmatic Wisdom",Character!$J$62:$J$66))&gt;=IF(Z760="Yes",0,(Y760+D755)),"Succeeded","Failed"))))</f>
        <v xml:space="preserve"> </v>
      </c>
      <c r="AB760" s="477" t="str">
        <f>IF(AA760=" "," ",IF(NOT(ISBLANK(X760)),VLOOKUP($D$3+X760,Calcs!$A$110:$C$122,3,TRUE),IF(AA760="Failed",VLOOKUP($D$3,Calcs!$A$110:$C$122,3,TRUE),VLOOKUP($D$3-(IF((Character!$B$9+W760)&gt;($D$3+Y760),(Character!$B$9+W760)-($D$3+Y760),0)),Calcs!$A$110:$C$122,3,TRUE))))</f>
        <v xml:space="preserve"> </v>
      </c>
      <c r="AC760" s="489"/>
      <c r="AD760" s="489" t="str">
        <f>IF(IF(AA760=" "," ",IF(NOT(ISBLANK(X760)),VLOOKUP($D$3+X760,Calcs!$A$110:$B$122,2,TRUE),IF(AA760="Failed",VLOOKUP($D$3,Calcs!$A$110:$B$122,2,TRUE),VLOOKUP($D$3-(IF((Character!$B$9+W760)&gt;($D$3+Y760),(Character!$B$9+W760)-($D$3+Y760),0)),Calcs!$A$110:$B$122,2,TRUE))))=Calcs!$B$120,IF(ISBLANK(AC760)," ",CONCATENATE(AC760+7," Years")),IF(AA760=" "," ",IF(NOT(ISBLANK(X760)),VLOOKUP($D$3+X760,Calcs!$A$110:$B$122,2,TRUE),IF(AA760="Failed",VLOOKUP($D$3,Calcs!$A$110:$B$122,2,TRUE),VLOOKUP($D$3-(IF((Character!$B$9+W760)&gt;($D$3+Y760),(Character!$B$9+W760)-($D$3+Y760),0)),Calcs!$A$110:$B$122,2,TRUE)))))</f>
        <v xml:space="preserve"> </v>
      </c>
      <c r="AE760" s="490"/>
      <c r="AF760" s="879"/>
      <c r="AG760" s="491"/>
    </row>
    <row r="761" spans="1:33" x14ac:dyDescent="0.2">
      <c r="A761" s="415">
        <f t="shared" si="22"/>
        <v>1400</v>
      </c>
      <c r="B761" s="419" t="str">
        <f t="shared" si="23"/>
        <v>Spring</v>
      </c>
      <c r="C761" s="455"/>
      <c r="D761" s="504"/>
      <c r="E761" s="455"/>
      <c r="F761" s="504"/>
      <c r="G761" s="455"/>
      <c r="H761" s="504"/>
      <c r="I761" s="455"/>
      <c r="J761" s="504"/>
      <c r="L761" s="472"/>
      <c r="M761" s="468"/>
      <c r="N761" s="468"/>
      <c r="O761" s="468"/>
      <c r="P761" s="468"/>
      <c r="Q761" s="473"/>
      <c r="R761" s="477" t="str">
        <f>IF(AND(COUNTIF('Start Character'!$I$63:$M$77,"Twilight Prone")=1,NOT(ISERROR(FIND("Magical Botch",M761)))),"Yes",IF(P761&gt;1,"Yes","No"))</f>
        <v>No</v>
      </c>
      <c r="S761" s="501"/>
      <c r="T761" s="478"/>
      <c r="U761" s="501"/>
      <c r="V761" s="479" t="str">
        <f>IF(R761="No","No Twilight",IF(T761="Yes","Uncomprehended Twilight",IF((Character!$B$14+IF(Character!$B$53="Yes",0,Character!$B$53)+IF(Magic!$C$5="Yes",2,0)+ROUNDUP((Magic!$B$30+IF(Magic!$C$30="Yes",3,0))/5,0)+S761)&gt;=($D$3+P761+SUMIF(Character!$I$62:$I$66,"Enigmatic Wisdom",Character!$J$62:$J$66)+Q761+U761),"No Twilight","Twilight")))</f>
        <v>No Twilight</v>
      </c>
      <c r="W761" s="483"/>
      <c r="X761" s="478"/>
      <c r="Y761" s="484"/>
      <c r="Z761" s="478"/>
      <c r="AA761" s="485" t="str">
        <f>IF(V761="Uncomprehended Twilight","Failed",IF(OR(ISBLANK(W761),ISBLANK(Y761))," ",IF(NOT(ISBLANK(X761)),"Failed",IF((W761+Character!$B$9+SUMIF(Character!$I$62:$I$66,"Enigmatic Wisdom",Character!$J$62:$J$66))&gt;=IF(Z761="Yes",0,(Y761+D756)),"Succeeded","Failed"))))</f>
        <v xml:space="preserve"> </v>
      </c>
      <c r="AB761" s="477" t="str">
        <f>IF(AA761=" "," ",IF(NOT(ISBLANK(X761)),VLOOKUP($D$3+X761,Calcs!$A$110:$C$122,3,TRUE),IF(AA761="Failed",VLOOKUP($D$3,Calcs!$A$110:$C$122,3,TRUE),VLOOKUP($D$3-(IF((Character!$B$9+W761)&gt;($D$3+Y761),(Character!$B$9+W761)-($D$3+Y761),0)),Calcs!$A$110:$C$122,3,TRUE))))</f>
        <v xml:space="preserve"> </v>
      </c>
      <c r="AC761" s="489"/>
      <c r="AD761" s="489" t="str">
        <f>IF(IF(AA761=" "," ",IF(NOT(ISBLANK(X761)),VLOOKUP($D$3+X761,Calcs!$A$110:$B$122,2,TRUE),IF(AA761="Failed",VLOOKUP($D$3,Calcs!$A$110:$B$122,2,TRUE),VLOOKUP($D$3-(IF((Character!$B$9+W761)&gt;($D$3+Y761),(Character!$B$9+W761)-($D$3+Y761),0)),Calcs!$A$110:$B$122,2,TRUE))))=Calcs!$B$120,IF(ISBLANK(AC761)," ",CONCATENATE(AC761+7," Years")),IF(AA761=" "," ",IF(NOT(ISBLANK(X761)),VLOOKUP($D$3+X761,Calcs!$A$110:$B$122,2,TRUE),IF(AA761="Failed",VLOOKUP($D$3,Calcs!$A$110:$B$122,2,TRUE),VLOOKUP($D$3-(IF((Character!$B$9+W761)&gt;($D$3+Y761),(Character!$B$9+W761)-($D$3+Y761),0)),Calcs!$A$110:$B$122,2,TRUE)))))</f>
        <v xml:space="preserve"> </v>
      </c>
      <c r="AE761" s="490"/>
      <c r="AF761" s="879"/>
      <c r="AG761" s="491"/>
    </row>
    <row r="762" spans="1:33" x14ac:dyDescent="0.2">
      <c r="A762" s="415">
        <f t="shared" si="22"/>
        <v>1400</v>
      </c>
      <c r="B762" s="419" t="str">
        <f t="shared" si="23"/>
        <v>Summer</v>
      </c>
      <c r="C762" s="455"/>
      <c r="D762" s="504"/>
      <c r="E762" s="455"/>
      <c r="F762" s="504"/>
      <c r="G762" s="455"/>
      <c r="H762" s="504"/>
      <c r="I762" s="455"/>
      <c r="J762" s="504"/>
      <c r="L762" s="472"/>
      <c r="M762" s="468"/>
      <c r="N762" s="468"/>
      <c r="O762" s="468"/>
      <c r="P762" s="468"/>
      <c r="Q762" s="473"/>
      <c r="R762" s="477" t="str">
        <f>IF(AND(COUNTIF('Start Character'!$I$63:$M$77,"Twilight Prone")=1,NOT(ISERROR(FIND("Magical Botch",M762)))),"Yes",IF(P762&gt;1,"Yes","No"))</f>
        <v>No</v>
      </c>
      <c r="S762" s="501"/>
      <c r="T762" s="478"/>
      <c r="U762" s="501"/>
      <c r="V762" s="479" t="str">
        <f>IF(R762="No","No Twilight",IF(T762="Yes","Uncomprehended Twilight",IF((Character!$B$14+IF(Character!$B$53="Yes",0,Character!$B$53)+IF(Magic!$C$5="Yes",2,0)+ROUNDUP((Magic!$B$30+IF(Magic!$C$30="Yes",3,0))/5,0)+S762)&gt;=($D$3+P762+SUMIF(Character!$I$62:$I$66,"Enigmatic Wisdom",Character!$J$62:$J$66)+Q762+U762),"No Twilight","Twilight")))</f>
        <v>No Twilight</v>
      </c>
      <c r="W762" s="483"/>
      <c r="X762" s="478"/>
      <c r="Y762" s="484"/>
      <c r="Z762" s="478"/>
      <c r="AA762" s="485" t="str">
        <f>IF(V762="Uncomprehended Twilight","Failed",IF(OR(ISBLANK(W762),ISBLANK(Y762))," ",IF(NOT(ISBLANK(X762)),"Failed",IF((W762+Character!$B$9+SUMIF(Character!$I$62:$I$66,"Enigmatic Wisdom",Character!$J$62:$J$66))&gt;=IF(Z762="Yes",0,(Y762+D757)),"Succeeded","Failed"))))</f>
        <v xml:space="preserve"> </v>
      </c>
      <c r="AB762" s="477" t="str">
        <f>IF(AA762=" "," ",IF(NOT(ISBLANK(X762)),VLOOKUP($D$3+X762,Calcs!$A$110:$C$122,3,TRUE),IF(AA762="Failed",VLOOKUP($D$3,Calcs!$A$110:$C$122,3,TRUE),VLOOKUP($D$3-(IF((Character!$B$9+W762)&gt;($D$3+Y762),(Character!$B$9+W762)-($D$3+Y762),0)),Calcs!$A$110:$C$122,3,TRUE))))</f>
        <v xml:space="preserve"> </v>
      </c>
      <c r="AC762" s="489"/>
      <c r="AD762" s="489" t="str">
        <f>IF(IF(AA762=" "," ",IF(NOT(ISBLANK(X762)),VLOOKUP($D$3+X762,Calcs!$A$110:$B$122,2,TRUE),IF(AA762="Failed",VLOOKUP($D$3,Calcs!$A$110:$B$122,2,TRUE),VLOOKUP($D$3-(IF((Character!$B$9+W762)&gt;($D$3+Y762),(Character!$B$9+W762)-($D$3+Y762),0)),Calcs!$A$110:$B$122,2,TRUE))))=Calcs!$B$120,IF(ISBLANK(AC762)," ",CONCATENATE(AC762+7," Years")),IF(AA762=" "," ",IF(NOT(ISBLANK(X762)),VLOOKUP($D$3+X762,Calcs!$A$110:$B$122,2,TRUE),IF(AA762="Failed",VLOOKUP($D$3,Calcs!$A$110:$B$122,2,TRUE),VLOOKUP($D$3-(IF((Character!$B$9+W762)&gt;($D$3+Y762),(Character!$B$9+W762)-($D$3+Y762),0)),Calcs!$A$110:$B$122,2,TRUE)))))</f>
        <v xml:space="preserve"> </v>
      </c>
      <c r="AE762" s="490"/>
      <c r="AF762" s="879"/>
      <c r="AG762" s="491"/>
    </row>
    <row r="763" spans="1:33" x14ac:dyDescent="0.2">
      <c r="A763" s="415">
        <f t="shared" si="22"/>
        <v>1400</v>
      </c>
      <c r="B763" s="419" t="str">
        <f t="shared" si="23"/>
        <v>Autumn</v>
      </c>
      <c r="C763" s="455"/>
      <c r="D763" s="504"/>
      <c r="E763" s="455"/>
      <c r="F763" s="504"/>
      <c r="G763" s="455"/>
      <c r="H763" s="504"/>
      <c r="I763" s="455"/>
      <c r="J763" s="504"/>
      <c r="L763" s="472"/>
      <c r="M763" s="468"/>
      <c r="N763" s="468"/>
      <c r="O763" s="468"/>
      <c r="P763" s="468"/>
      <c r="Q763" s="473"/>
      <c r="R763" s="477" t="str">
        <f>IF(AND(COUNTIF('Start Character'!$I$63:$M$77,"Twilight Prone")=1,NOT(ISERROR(FIND("Magical Botch",M763)))),"Yes",IF(P763&gt;1,"Yes","No"))</f>
        <v>No</v>
      </c>
      <c r="S763" s="501"/>
      <c r="T763" s="478"/>
      <c r="U763" s="501"/>
      <c r="V763" s="479" t="str">
        <f>IF(R763="No","No Twilight",IF(T763="Yes","Uncomprehended Twilight",IF((Character!$B$14+IF(Character!$B$53="Yes",0,Character!$B$53)+IF(Magic!$C$5="Yes",2,0)+ROUNDUP((Magic!$B$30+IF(Magic!$C$30="Yes",3,0))/5,0)+S763)&gt;=($D$3+P763+SUMIF(Character!$I$62:$I$66,"Enigmatic Wisdom",Character!$J$62:$J$66)+Q763+U763),"No Twilight","Twilight")))</f>
        <v>No Twilight</v>
      </c>
      <c r="W763" s="483"/>
      <c r="X763" s="478"/>
      <c r="Y763" s="484"/>
      <c r="Z763" s="478"/>
      <c r="AA763" s="485" t="str">
        <f>IF(V763="Uncomprehended Twilight","Failed",IF(OR(ISBLANK(W763),ISBLANK(Y763))," ",IF(NOT(ISBLANK(X763)),"Failed",IF((W763+Character!$B$9+SUMIF(Character!$I$62:$I$66,"Enigmatic Wisdom",Character!$J$62:$J$66))&gt;=IF(Z763="Yes",0,(Y763+D758)),"Succeeded","Failed"))))</f>
        <v xml:space="preserve"> </v>
      </c>
      <c r="AB763" s="477" t="str">
        <f>IF(AA763=" "," ",IF(NOT(ISBLANK(X763)),VLOOKUP($D$3+X763,Calcs!$A$110:$C$122,3,TRUE),IF(AA763="Failed",VLOOKUP($D$3,Calcs!$A$110:$C$122,3,TRUE),VLOOKUP($D$3-(IF((Character!$B$9+W763)&gt;($D$3+Y763),(Character!$B$9+W763)-($D$3+Y763),0)),Calcs!$A$110:$C$122,3,TRUE))))</f>
        <v xml:space="preserve"> </v>
      </c>
      <c r="AC763" s="489"/>
      <c r="AD763" s="489" t="str">
        <f>IF(IF(AA763=" "," ",IF(NOT(ISBLANK(X763)),VLOOKUP($D$3+X763,Calcs!$A$110:$B$122,2,TRUE),IF(AA763="Failed",VLOOKUP($D$3,Calcs!$A$110:$B$122,2,TRUE),VLOOKUP($D$3-(IF((Character!$B$9+W763)&gt;($D$3+Y763),(Character!$B$9+W763)-($D$3+Y763),0)),Calcs!$A$110:$B$122,2,TRUE))))=Calcs!$B$120,IF(ISBLANK(AC763)," ",CONCATENATE(AC763+7," Years")),IF(AA763=" "," ",IF(NOT(ISBLANK(X763)),VLOOKUP($D$3+X763,Calcs!$A$110:$B$122,2,TRUE),IF(AA763="Failed",VLOOKUP($D$3,Calcs!$A$110:$B$122,2,TRUE),VLOOKUP($D$3-(IF((Character!$B$9+W763)&gt;($D$3+Y763),(Character!$B$9+W763)-($D$3+Y763),0)),Calcs!$A$110:$B$122,2,TRUE)))))</f>
        <v xml:space="preserve"> </v>
      </c>
      <c r="AE763" s="490"/>
      <c r="AF763" s="879"/>
      <c r="AG763" s="491"/>
    </row>
    <row r="764" spans="1:33" x14ac:dyDescent="0.2">
      <c r="A764" s="415">
        <f t="shared" si="22"/>
        <v>1401</v>
      </c>
      <c r="B764" s="419" t="str">
        <f t="shared" si="23"/>
        <v>Winter</v>
      </c>
      <c r="C764" s="455"/>
      <c r="D764" s="504"/>
      <c r="E764" s="455"/>
      <c r="F764" s="504"/>
      <c r="G764" s="455"/>
      <c r="H764" s="504"/>
      <c r="I764" s="455"/>
      <c r="J764" s="504"/>
      <c r="L764" s="472"/>
      <c r="M764" s="468"/>
      <c r="N764" s="468"/>
      <c r="O764" s="468"/>
      <c r="P764" s="468"/>
      <c r="Q764" s="473"/>
      <c r="R764" s="477" t="str">
        <f>IF(AND(COUNTIF('Start Character'!$I$63:$M$77,"Twilight Prone")=1,NOT(ISERROR(FIND("Magical Botch",M764)))),"Yes",IF(P764&gt;1,"Yes","No"))</f>
        <v>No</v>
      </c>
      <c r="S764" s="501"/>
      <c r="T764" s="478"/>
      <c r="U764" s="501"/>
      <c r="V764" s="479" t="str">
        <f>IF(R764="No","No Twilight",IF(T764="Yes","Uncomprehended Twilight",IF((Character!$B$14+IF(Character!$B$53="Yes",0,Character!$B$53)+IF(Magic!$C$5="Yes",2,0)+ROUNDUP((Magic!$B$30+IF(Magic!$C$30="Yes",3,0))/5,0)+S764)&gt;=($D$3+P764+SUMIF(Character!$I$62:$I$66,"Enigmatic Wisdom",Character!$J$62:$J$66)+Q764+U764),"No Twilight","Twilight")))</f>
        <v>No Twilight</v>
      </c>
      <c r="W764" s="483"/>
      <c r="X764" s="478"/>
      <c r="Y764" s="484"/>
      <c r="Z764" s="478"/>
      <c r="AA764" s="485" t="str">
        <f>IF(V764="Uncomprehended Twilight","Failed",IF(OR(ISBLANK(W764),ISBLANK(Y764))," ",IF(NOT(ISBLANK(X764)),"Failed",IF((W764+Character!$B$9+SUMIF(Character!$I$62:$I$66,"Enigmatic Wisdom",Character!$J$62:$J$66))&gt;=IF(Z764="Yes",0,(Y764+D759)),"Succeeded","Failed"))))</f>
        <v xml:space="preserve"> </v>
      </c>
      <c r="AB764" s="477" t="str">
        <f>IF(AA764=" "," ",IF(NOT(ISBLANK(X764)),VLOOKUP($D$3+X764,Calcs!$A$110:$C$122,3,TRUE),IF(AA764="Failed",VLOOKUP($D$3,Calcs!$A$110:$C$122,3,TRUE),VLOOKUP($D$3-(IF((Character!$B$9+W764)&gt;($D$3+Y764),(Character!$B$9+W764)-($D$3+Y764),0)),Calcs!$A$110:$C$122,3,TRUE))))</f>
        <v xml:space="preserve"> </v>
      </c>
      <c r="AC764" s="489"/>
      <c r="AD764" s="489" t="str">
        <f>IF(IF(AA764=" "," ",IF(NOT(ISBLANK(X764)),VLOOKUP($D$3+X764,Calcs!$A$110:$B$122,2,TRUE),IF(AA764="Failed",VLOOKUP($D$3,Calcs!$A$110:$B$122,2,TRUE),VLOOKUP($D$3-(IF((Character!$B$9+W764)&gt;($D$3+Y764),(Character!$B$9+W764)-($D$3+Y764),0)),Calcs!$A$110:$B$122,2,TRUE))))=Calcs!$B$120,IF(ISBLANK(AC764)," ",CONCATENATE(AC764+7," Years")),IF(AA764=" "," ",IF(NOT(ISBLANK(X764)),VLOOKUP($D$3+X764,Calcs!$A$110:$B$122,2,TRUE),IF(AA764="Failed",VLOOKUP($D$3,Calcs!$A$110:$B$122,2,TRUE),VLOOKUP($D$3-(IF((Character!$B$9+W764)&gt;($D$3+Y764),(Character!$B$9+W764)-($D$3+Y764),0)),Calcs!$A$110:$B$122,2,TRUE)))))</f>
        <v xml:space="preserve"> </v>
      </c>
      <c r="AE764" s="490"/>
      <c r="AF764" s="879"/>
      <c r="AG764" s="491"/>
    </row>
    <row r="765" spans="1:33" x14ac:dyDescent="0.2">
      <c r="A765" s="415">
        <f t="shared" si="22"/>
        <v>1401</v>
      </c>
      <c r="B765" s="419" t="str">
        <f t="shared" si="23"/>
        <v>Spring</v>
      </c>
      <c r="C765" s="455"/>
      <c r="D765" s="504"/>
      <c r="E765" s="455"/>
      <c r="F765" s="504"/>
      <c r="G765" s="455"/>
      <c r="H765" s="504"/>
      <c r="I765" s="455"/>
      <c r="J765" s="504"/>
      <c r="L765" s="472"/>
      <c r="M765" s="468"/>
      <c r="N765" s="468"/>
      <c r="O765" s="468"/>
      <c r="P765" s="468"/>
      <c r="Q765" s="473"/>
      <c r="R765" s="477" t="str">
        <f>IF(AND(COUNTIF('Start Character'!$I$63:$M$77,"Twilight Prone")=1,NOT(ISERROR(FIND("Magical Botch",M765)))),"Yes",IF(P765&gt;1,"Yes","No"))</f>
        <v>No</v>
      </c>
      <c r="S765" s="501"/>
      <c r="T765" s="478"/>
      <c r="U765" s="501"/>
      <c r="V765" s="479" t="str">
        <f>IF(R765="No","No Twilight",IF(T765="Yes","Uncomprehended Twilight",IF((Character!$B$14+IF(Character!$B$53="Yes",0,Character!$B$53)+IF(Magic!$C$5="Yes",2,0)+ROUNDUP((Magic!$B$30+IF(Magic!$C$30="Yes",3,0))/5,0)+S765)&gt;=($D$3+P765+SUMIF(Character!$I$62:$I$66,"Enigmatic Wisdom",Character!$J$62:$J$66)+Q765+U765),"No Twilight","Twilight")))</f>
        <v>No Twilight</v>
      </c>
      <c r="W765" s="483"/>
      <c r="X765" s="478"/>
      <c r="Y765" s="484"/>
      <c r="Z765" s="478"/>
      <c r="AA765" s="485" t="str">
        <f>IF(V765="Uncomprehended Twilight","Failed",IF(OR(ISBLANK(W765),ISBLANK(Y765))," ",IF(NOT(ISBLANK(X765)),"Failed",IF((W765+Character!$B$9+SUMIF(Character!$I$62:$I$66,"Enigmatic Wisdom",Character!$J$62:$J$66))&gt;=IF(Z765="Yes",0,(Y765+D760)),"Succeeded","Failed"))))</f>
        <v xml:space="preserve"> </v>
      </c>
      <c r="AB765" s="477" t="str">
        <f>IF(AA765=" "," ",IF(NOT(ISBLANK(X765)),VLOOKUP($D$3+X765,Calcs!$A$110:$C$122,3,TRUE),IF(AA765="Failed",VLOOKUP($D$3,Calcs!$A$110:$C$122,3,TRUE),VLOOKUP($D$3-(IF((Character!$B$9+W765)&gt;($D$3+Y765),(Character!$B$9+W765)-($D$3+Y765),0)),Calcs!$A$110:$C$122,3,TRUE))))</f>
        <v xml:space="preserve"> </v>
      </c>
      <c r="AC765" s="489"/>
      <c r="AD765" s="489" t="str">
        <f>IF(IF(AA765=" "," ",IF(NOT(ISBLANK(X765)),VLOOKUP($D$3+X765,Calcs!$A$110:$B$122,2,TRUE),IF(AA765="Failed",VLOOKUP($D$3,Calcs!$A$110:$B$122,2,TRUE),VLOOKUP($D$3-(IF((Character!$B$9+W765)&gt;($D$3+Y765),(Character!$B$9+W765)-($D$3+Y765),0)),Calcs!$A$110:$B$122,2,TRUE))))=Calcs!$B$120,IF(ISBLANK(AC765)," ",CONCATENATE(AC765+7," Years")),IF(AA765=" "," ",IF(NOT(ISBLANK(X765)),VLOOKUP($D$3+X765,Calcs!$A$110:$B$122,2,TRUE),IF(AA765="Failed",VLOOKUP($D$3,Calcs!$A$110:$B$122,2,TRUE),VLOOKUP($D$3-(IF((Character!$B$9+W765)&gt;($D$3+Y765),(Character!$B$9+W765)-($D$3+Y765),0)),Calcs!$A$110:$B$122,2,TRUE)))))</f>
        <v xml:space="preserve"> </v>
      </c>
      <c r="AE765" s="490"/>
      <c r="AF765" s="879"/>
      <c r="AG765" s="491"/>
    </row>
    <row r="766" spans="1:33" x14ac:dyDescent="0.2">
      <c r="A766" s="415">
        <f t="shared" si="22"/>
        <v>1401</v>
      </c>
      <c r="B766" s="419" t="str">
        <f t="shared" si="23"/>
        <v>Summer</v>
      </c>
      <c r="C766" s="455"/>
      <c r="D766" s="504"/>
      <c r="E766" s="455"/>
      <c r="F766" s="504"/>
      <c r="G766" s="455"/>
      <c r="H766" s="504"/>
      <c r="I766" s="455"/>
      <c r="J766" s="504"/>
      <c r="L766" s="472"/>
      <c r="M766" s="468"/>
      <c r="N766" s="468"/>
      <c r="O766" s="468"/>
      <c r="P766" s="468"/>
      <c r="Q766" s="473"/>
      <c r="R766" s="477" t="str">
        <f>IF(AND(COUNTIF('Start Character'!$I$63:$M$77,"Twilight Prone")=1,NOT(ISERROR(FIND("Magical Botch",M766)))),"Yes",IF(P766&gt;1,"Yes","No"))</f>
        <v>No</v>
      </c>
      <c r="S766" s="501"/>
      <c r="T766" s="478"/>
      <c r="U766" s="501"/>
      <c r="V766" s="479" t="str">
        <f>IF(R766="No","No Twilight",IF(T766="Yes","Uncomprehended Twilight",IF((Character!$B$14+IF(Character!$B$53="Yes",0,Character!$B$53)+IF(Magic!$C$5="Yes",2,0)+ROUNDUP((Magic!$B$30+IF(Magic!$C$30="Yes",3,0))/5,0)+S766)&gt;=($D$3+P766+SUMIF(Character!$I$62:$I$66,"Enigmatic Wisdom",Character!$J$62:$J$66)+Q766+U766),"No Twilight","Twilight")))</f>
        <v>No Twilight</v>
      </c>
      <c r="W766" s="483"/>
      <c r="X766" s="478"/>
      <c r="Y766" s="484"/>
      <c r="Z766" s="478"/>
      <c r="AA766" s="485" t="str">
        <f>IF(V766="Uncomprehended Twilight","Failed",IF(OR(ISBLANK(W766),ISBLANK(Y766))," ",IF(NOT(ISBLANK(X766)),"Failed",IF((W766+Character!$B$9+SUMIF(Character!$I$62:$I$66,"Enigmatic Wisdom",Character!$J$62:$J$66))&gt;=IF(Z766="Yes",0,(Y766+D761)),"Succeeded","Failed"))))</f>
        <v xml:space="preserve"> </v>
      </c>
      <c r="AB766" s="477" t="str">
        <f>IF(AA766=" "," ",IF(NOT(ISBLANK(X766)),VLOOKUP($D$3+X766,Calcs!$A$110:$C$122,3,TRUE),IF(AA766="Failed",VLOOKUP($D$3,Calcs!$A$110:$C$122,3,TRUE),VLOOKUP($D$3-(IF((Character!$B$9+W766)&gt;($D$3+Y766),(Character!$B$9+W766)-($D$3+Y766),0)),Calcs!$A$110:$C$122,3,TRUE))))</f>
        <v xml:space="preserve"> </v>
      </c>
      <c r="AC766" s="489"/>
      <c r="AD766" s="489" t="str">
        <f>IF(IF(AA766=" "," ",IF(NOT(ISBLANK(X766)),VLOOKUP($D$3+X766,Calcs!$A$110:$B$122,2,TRUE),IF(AA766="Failed",VLOOKUP($D$3,Calcs!$A$110:$B$122,2,TRUE),VLOOKUP($D$3-(IF((Character!$B$9+W766)&gt;($D$3+Y766),(Character!$B$9+W766)-($D$3+Y766),0)),Calcs!$A$110:$B$122,2,TRUE))))=Calcs!$B$120,IF(ISBLANK(AC766)," ",CONCATENATE(AC766+7," Years")),IF(AA766=" "," ",IF(NOT(ISBLANK(X766)),VLOOKUP($D$3+X766,Calcs!$A$110:$B$122,2,TRUE),IF(AA766="Failed",VLOOKUP($D$3,Calcs!$A$110:$B$122,2,TRUE),VLOOKUP($D$3-(IF((Character!$B$9+W766)&gt;($D$3+Y766),(Character!$B$9+W766)-($D$3+Y766),0)),Calcs!$A$110:$B$122,2,TRUE)))))</f>
        <v xml:space="preserve"> </v>
      </c>
      <c r="AE766" s="490"/>
      <c r="AF766" s="879"/>
      <c r="AG766" s="491"/>
    </row>
    <row r="767" spans="1:33" x14ac:dyDescent="0.2">
      <c r="A767" s="415">
        <f t="shared" si="22"/>
        <v>1401</v>
      </c>
      <c r="B767" s="419" t="str">
        <f t="shared" si="23"/>
        <v>Autumn</v>
      </c>
      <c r="C767" s="455"/>
      <c r="D767" s="504"/>
      <c r="E767" s="455"/>
      <c r="F767" s="504"/>
      <c r="G767" s="455"/>
      <c r="H767" s="504"/>
      <c r="I767" s="455"/>
      <c r="J767" s="504"/>
      <c r="L767" s="472"/>
      <c r="M767" s="468"/>
      <c r="N767" s="468"/>
      <c r="O767" s="468"/>
      <c r="P767" s="468"/>
      <c r="Q767" s="473"/>
      <c r="R767" s="477" t="str">
        <f>IF(AND(COUNTIF('Start Character'!$I$63:$M$77,"Twilight Prone")=1,NOT(ISERROR(FIND("Magical Botch",M767)))),"Yes",IF(P767&gt;1,"Yes","No"))</f>
        <v>No</v>
      </c>
      <c r="S767" s="501"/>
      <c r="T767" s="478"/>
      <c r="U767" s="501"/>
      <c r="V767" s="479" t="str">
        <f>IF(R767="No","No Twilight",IF(T767="Yes","Uncomprehended Twilight",IF((Character!$B$14+IF(Character!$B$53="Yes",0,Character!$B$53)+IF(Magic!$C$5="Yes",2,0)+ROUNDUP((Magic!$B$30+IF(Magic!$C$30="Yes",3,0))/5,0)+S767)&gt;=($D$3+P767+SUMIF(Character!$I$62:$I$66,"Enigmatic Wisdom",Character!$J$62:$J$66)+Q767+U767),"No Twilight","Twilight")))</f>
        <v>No Twilight</v>
      </c>
      <c r="W767" s="483"/>
      <c r="X767" s="478"/>
      <c r="Y767" s="484"/>
      <c r="Z767" s="478"/>
      <c r="AA767" s="485" t="str">
        <f>IF(V767="Uncomprehended Twilight","Failed",IF(OR(ISBLANK(W767),ISBLANK(Y767))," ",IF(NOT(ISBLANK(X767)),"Failed",IF((W767+Character!$B$9+SUMIF(Character!$I$62:$I$66,"Enigmatic Wisdom",Character!$J$62:$J$66))&gt;=IF(Z767="Yes",0,(Y767+D762)),"Succeeded","Failed"))))</f>
        <v xml:space="preserve"> </v>
      </c>
      <c r="AB767" s="477" t="str">
        <f>IF(AA767=" "," ",IF(NOT(ISBLANK(X767)),VLOOKUP($D$3+X767,Calcs!$A$110:$C$122,3,TRUE),IF(AA767="Failed",VLOOKUP($D$3,Calcs!$A$110:$C$122,3,TRUE),VLOOKUP($D$3-(IF((Character!$B$9+W767)&gt;($D$3+Y767),(Character!$B$9+W767)-($D$3+Y767),0)),Calcs!$A$110:$C$122,3,TRUE))))</f>
        <v xml:space="preserve"> </v>
      </c>
      <c r="AC767" s="489"/>
      <c r="AD767" s="489" t="str">
        <f>IF(IF(AA767=" "," ",IF(NOT(ISBLANK(X767)),VLOOKUP($D$3+X767,Calcs!$A$110:$B$122,2,TRUE),IF(AA767="Failed",VLOOKUP($D$3,Calcs!$A$110:$B$122,2,TRUE),VLOOKUP($D$3-(IF((Character!$B$9+W767)&gt;($D$3+Y767),(Character!$B$9+W767)-($D$3+Y767),0)),Calcs!$A$110:$B$122,2,TRUE))))=Calcs!$B$120,IF(ISBLANK(AC767)," ",CONCATENATE(AC767+7," Years")),IF(AA767=" "," ",IF(NOT(ISBLANK(X767)),VLOOKUP($D$3+X767,Calcs!$A$110:$B$122,2,TRUE),IF(AA767="Failed",VLOOKUP($D$3,Calcs!$A$110:$B$122,2,TRUE),VLOOKUP($D$3-(IF((Character!$B$9+W767)&gt;($D$3+Y767),(Character!$B$9+W767)-($D$3+Y767),0)),Calcs!$A$110:$B$122,2,TRUE)))))</f>
        <v xml:space="preserve"> </v>
      </c>
      <c r="AE767" s="490"/>
      <c r="AF767" s="879"/>
      <c r="AG767" s="491"/>
    </row>
    <row r="768" spans="1:33" x14ac:dyDescent="0.2">
      <c r="A768" s="415">
        <f t="shared" si="22"/>
        <v>1402</v>
      </c>
      <c r="B768" s="419" t="str">
        <f t="shared" si="23"/>
        <v>Winter</v>
      </c>
      <c r="C768" s="455"/>
      <c r="D768" s="504"/>
      <c r="E768" s="455"/>
      <c r="F768" s="504"/>
      <c r="G768" s="455"/>
      <c r="H768" s="504"/>
      <c r="I768" s="455"/>
      <c r="J768" s="504"/>
      <c r="L768" s="472"/>
      <c r="M768" s="468"/>
      <c r="N768" s="468"/>
      <c r="O768" s="468"/>
      <c r="P768" s="468"/>
      <c r="Q768" s="473"/>
      <c r="R768" s="477" t="str">
        <f>IF(AND(COUNTIF('Start Character'!$I$63:$M$77,"Twilight Prone")=1,NOT(ISERROR(FIND("Magical Botch",M768)))),"Yes",IF(P768&gt;1,"Yes","No"))</f>
        <v>No</v>
      </c>
      <c r="S768" s="501"/>
      <c r="T768" s="478"/>
      <c r="U768" s="501"/>
      <c r="V768" s="479" t="str">
        <f>IF(R768="No","No Twilight",IF(T768="Yes","Uncomprehended Twilight",IF((Character!$B$14+IF(Character!$B$53="Yes",0,Character!$B$53)+IF(Magic!$C$5="Yes",2,0)+ROUNDUP((Magic!$B$30+IF(Magic!$C$30="Yes",3,0))/5,0)+S768)&gt;=($D$3+P768+SUMIF(Character!$I$62:$I$66,"Enigmatic Wisdom",Character!$J$62:$J$66)+Q768+U768),"No Twilight","Twilight")))</f>
        <v>No Twilight</v>
      </c>
      <c r="W768" s="483"/>
      <c r="X768" s="478"/>
      <c r="Y768" s="484"/>
      <c r="Z768" s="478"/>
      <c r="AA768" s="485" t="str">
        <f>IF(V768="Uncomprehended Twilight","Failed",IF(OR(ISBLANK(W768),ISBLANK(Y768))," ",IF(NOT(ISBLANK(X768)),"Failed",IF((W768+Character!$B$9+SUMIF(Character!$I$62:$I$66,"Enigmatic Wisdom",Character!$J$62:$J$66))&gt;=IF(Z768="Yes",0,(Y768+D763)),"Succeeded","Failed"))))</f>
        <v xml:space="preserve"> </v>
      </c>
      <c r="AB768" s="477" t="str">
        <f>IF(AA768=" "," ",IF(NOT(ISBLANK(X768)),VLOOKUP($D$3+X768,Calcs!$A$110:$C$122,3,TRUE),IF(AA768="Failed",VLOOKUP($D$3,Calcs!$A$110:$C$122,3,TRUE),VLOOKUP($D$3-(IF((Character!$B$9+W768)&gt;($D$3+Y768),(Character!$B$9+W768)-($D$3+Y768),0)),Calcs!$A$110:$C$122,3,TRUE))))</f>
        <v xml:space="preserve"> </v>
      </c>
      <c r="AC768" s="489"/>
      <c r="AD768" s="489" t="str">
        <f>IF(IF(AA768=" "," ",IF(NOT(ISBLANK(X768)),VLOOKUP($D$3+X768,Calcs!$A$110:$B$122,2,TRUE),IF(AA768="Failed",VLOOKUP($D$3,Calcs!$A$110:$B$122,2,TRUE),VLOOKUP($D$3-(IF((Character!$B$9+W768)&gt;($D$3+Y768),(Character!$B$9+W768)-($D$3+Y768),0)),Calcs!$A$110:$B$122,2,TRUE))))=Calcs!$B$120,IF(ISBLANK(AC768)," ",CONCATENATE(AC768+7," Years")),IF(AA768=" "," ",IF(NOT(ISBLANK(X768)),VLOOKUP($D$3+X768,Calcs!$A$110:$B$122,2,TRUE),IF(AA768="Failed",VLOOKUP($D$3,Calcs!$A$110:$B$122,2,TRUE),VLOOKUP($D$3-(IF((Character!$B$9+W768)&gt;($D$3+Y768),(Character!$B$9+W768)-($D$3+Y768),0)),Calcs!$A$110:$B$122,2,TRUE)))))</f>
        <v xml:space="preserve"> </v>
      </c>
      <c r="AE768" s="490"/>
      <c r="AF768" s="879"/>
      <c r="AG768" s="491"/>
    </row>
    <row r="769" spans="1:33" x14ac:dyDescent="0.2">
      <c r="A769" s="415">
        <f t="shared" si="22"/>
        <v>1402</v>
      </c>
      <c r="B769" s="419" t="str">
        <f t="shared" si="23"/>
        <v>Spring</v>
      </c>
      <c r="C769" s="455"/>
      <c r="D769" s="504"/>
      <c r="E769" s="455"/>
      <c r="F769" s="504"/>
      <c r="G769" s="455"/>
      <c r="H769" s="504"/>
      <c r="I769" s="455"/>
      <c r="J769" s="504"/>
      <c r="L769" s="472"/>
      <c r="M769" s="468"/>
      <c r="N769" s="468"/>
      <c r="O769" s="468"/>
      <c r="P769" s="468"/>
      <c r="Q769" s="473"/>
      <c r="R769" s="477" t="str">
        <f>IF(AND(COUNTIF('Start Character'!$I$63:$M$77,"Twilight Prone")=1,NOT(ISERROR(FIND("Magical Botch",M769)))),"Yes",IF(P769&gt;1,"Yes","No"))</f>
        <v>No</v>
      </c>
      <c r="S769" s="501"/>
      <c r="T769" s="478"/>
      <c r="U769" s="501"/>
      <c r="V769" s="479" t="str">
        <f>IF(R769="No","No Twilight",IF(T769="Yes","Uncomprehended Twilight",IF((Character!$B$14+IF(Character!$B$53="Yes",0,Character!$B$53)+IF(Magic!$C$5="Yes",2,0)+ROUNDUP((Magic!$B$30+IF(Magic!$C$30="Yes",3,0))/5,0)+S769)&gt;=($D$3+P769+SUMIF(Character!$I$62:$I$66,"Enigmatic Wisdom",Character!$J$62:$J$66)+Q769+U769),"No Twilight","Twilight")))</f>
        <v>No Twilight</v>
      </c>
      <c r="W769" s="483"/>
      <c r="X769" s="478"/>
      <c r="Y769" s="484"/>
      <c r="Z769" s="478"/>
      <c r="AA769" s="485" t="str">
        <f>IF(V769="Uncomprehended Twilight","Failed",IF(OR(ISBLANK(W769),ISBLANK(Y769))," ",IF(NOT(ISBLANK(X769)),"Failed",IF((W769+Character!$B$9+SUMIF(Character!$I$62:$I$66,"Enigmatic Wisdom",Character!$J$62:$J$66))&gt;=IF(Z769="Yes",0,(Y769+D764)),"Succeeded","Failed"))))</f>
        <v xml:space="preserve"> </v>
      </c>
      <c r="AB769" s="477" t="str">
        <f>IF(AA769=" "," ",IF(NOT(ISBLANK(X769)),VLOOKUP($D$3+X769,Calcs!$A$110:$C$122,3,TRUE),IF(AA769="Failed",VLOOKUP($D$3,Calcs!$A$110:$C$122,3,TRUE),VLOOKUP($D$3-(IF((Character!$B$9+W769)&gt;($D$3+Y769),(Character!$B$9+W769)-($D$3+Y769),0)),Calcs!$A$110:$C$122,3,TRUE))))</f>
        <v xml:space="preserve"> </v>
      </c>
      <c r="AC769" s="489"/>
      <c r="AD769" s="489" t="str">
        <f>IF(IF(AA769=" "," ",IF(NOT(ISBLANK(X769)),VLOOKUP($D$3+X769,Calcs!$A$110:$B$122,2,TRUE),IF(AA769="Failed",VLOOKUP($D$3,Calcs!$A$110:$B$122,2,TRUE),VLOOKUP($D$3-(IF((Character!$B$9+W769)&gt;($D$3+Y769),(Character!$B$9+W769)-($D$3+Y769),0)),Calcs!$A$110:$B$122,2,TRUE))))=Calcs!$B$120,IF(ISBLANK(AC769)," ",CONCATENATE(AC769+7," Years")),IF(AA769=" "," ",IF(NOT(ISBLANK(X769)),VLOOKUP($D$3+X769,Calcs!$A$110:$B$122,2,TRUE),IF(AA769="Failed",VLOOKUP($D$3,Calcs!$A$110:$B$122,2,TRUE),VLOOKUP($D$3-(IF((Character!$B$9+W769)&gt;($D$3+Y769),(Character!$B$9+W769)-($D$3+Y769),0)),Calcs!$A$110:$B$122,2,TRUE)))))</f>
        <v xml:space="preserve"> </v>
      </c>
      <c r="AE769" s="490"/>
      <c r="AF769" s="879"/>
      <c r="AG769" s="491"/>
    </row>
    <row r="770" spans="1:33" x14ac:dyDescent="0.2">
      <c r="A770" s="415">
        <f t="shared" si="22"/>
        <v>1402</v>
      </c>
      <c r="B770" s="419" t="str">
        <f t="shared" si="23"/>
        <v>Summer</v>
      </c>
      <c r="C770" s="455"/>
      <c r="D770" s="504"/>
      <c r="E770" s="455"/>
      <c r="F770" s="504"/>
      <c r="G770" s="455"/>
      <c r="H770" s="504"/>
      <c r="I770" s="455"/>
      <c r="J770" s="504"/>
      <c r="L770" s="472"/>
      <c r="M770" s="468"/>
      <c r="N770" s="468"/>
      <c r="O770" s="468"/>
      <c r="P770" s="468"/>
      <c r="Q770" s="473"/>
      <c r="R770" s="477" t="str">
        <f>IF(AND(COUNTIF('Start Character'!$I$63:$M$77,"Twilight Prone")=1,NOT(ISERROR(FIND("Magical Botch",M770)))),"Yes",IF(P770&gt;1,"Yes","No"))</f>
        <v>No</v>
      </c>
      <c r="S770" s="501"/>
      <c r="T770" s="478"/>
      <c r="U770" s="501"/>
      <c r="V770" s="479" t="str">
        <f>IF(R770="No","No Twilight",IF(T770="Yes","Uncomprehended Twilight",IF((Character!$B$14+IF(Character!$B$53="Yes",0,Character!$B$53)+IF(Magic!$C$5="Yes",2,0)+ROUNDUP((Magic!$B$30+IF(Magic!$C$30="Yes",3,0))/5,0)+S770)&gt;=($D$3+P770+SUMIF(Character!$I$62:$I$66,"Enigmatic Wisdom",Character!$J$62:$J$66)+Q770+U770),"No Twilight","Twilight")))</f>
        <v>No Twilight</v>
      </c>
      <c r="W770" s="483"/>
      <c r="X770" s="478"/>
      <c r="Y770" s="484"/>
      <c r="Z770" s="478"/>
      <c r="AA770" s="485" t="str">
        <f>IF(V770="Uncomprehended Twilight","Failed",IF(OR(ISBLANK(W770),ISBLANK(Y770))," ",IF(NOT(ISBLANK(X770)),"Failed",IF((W770+Character!$B$9+SUMIF(Character!$I$62:$I$66,"Enigmatic Wisdom",Character!$J$62:$J$66))&gt;=IF(Z770="Yes",0,(Y770+D765)),"Succeeded","Failed"))))</f>
        <v xml:space="preserve"> </v>
      </c>
      <c r="AB770" s="477" t="str">
        <f>IF(AA770=" "," ",IF(NOT(ISBLANK(X770)),VLOOKUP($D$3+X770,Calcs!$A$110:$C$122,3,TRUE),IF(AA770="Failed",VLOOKUP($D$3,Calcs!$A$110:$C$122,3,TRUE),VLOOKUP($D$3-(IF((Character!$B$9+W770)&gt;($D$3+Y770),(Character!$B$9+W770)-($D$3+Y770),0)),Calcs!$A$110:$C$122,3,TRUE))))</f>
        <v xml:space="preserve"> </v>
      </c>
      <c r="AC770" s="489"/>
      <c r="AD770" s="489" t="str">
        <f>IF(IF(AA770=" "," ",IF(NOT(ISBLANK(X770)),VLOOKUP($D$3+X770,Calcs!$A$110:$B$122,2,TRUE),IF(AA770="Failed",VLOOKUP($D$3,Calcs!$A$110:$B$122,2,TRUE),VLOOKUP($D$3-(IF((Character!$B$9+W770)&gt;($D$3+Y770),(Character!$B$9+W770)-($D$3+Y770),0)),Calcs!$A$110:$B$122,2,TRUE))))=Calcs!$B$120,IF(ISBLANK(AC770)," ",CONCATENATE(AC770+7," Years")),IF(AA770=" "," ",IF(NOT(ISBLANK(X770)),VLOOKUP($D$3+X770,Calcs!$A$110:$B$122,2,TRUE),IF(AA770="Failed",VLOOKUP($D$3,Calcs!$A$110:$B$122,2,TRUE),VLOOKUP($D$3-(IF((Character!$B$9+W770)&gt;($D$3+Y770),(Character!$B$9+W770)-($D$3+Y770),0)),Calcs!$A$110:$B$122,2,TRUE)))))</f>
        <v xml:space="preserve"> </v>
      </c>
      <c r="AE770" s="490"/>
      <c r="AF770" s="879"/>
      <c r="AG770" s="491"/>
    </row>
    <row r="771" spans="1:33" x14ac:dyDescent="0.2">
      <c r="A771" s="415">
        <f t="shared" si="22"/>
        <v>1402</v>
      </c>
      <c r="B771" s="419" t="str">
        <f t="shared" si="23"/>
        <v>Autumn</v>
      </c>
      <c r="C771" s="455"/>
      <c r="D771" s="504"/>
      <c r="E771" s="455"/>
      <c r="F771" s="504"/>
      <c r="G771" s="455"/>
      <c r="H771" s="504"/>
      <c r="I771" s="455"/>
      <c r="J771" s="504"/>
      <c r="L771" s="472"/>
      <c r="M771" s="468"/>
      <c r="N771" s="468"/>
      <c r="O771" s="468"/>
      <c r="P771" s="468"/>
      <c r="Q771" s="473"/>
      <c r="R771" s="477" t="str">
        <f>IF(AND(COUNTIF('Start Character'!$I$63:$M$77,"Twilight Prone")=1,NOT(ISERROR(FIND("Magical Botch",M771)))),"Yes",IF(P771&gt;1,"Yes","No"))</f>
        <v>No</v>
      </c>
      <c r="S771" s="501"/>
      <c r="T771" s="478"/>
      <c r="U771" s="501"/>
      <c r="V771" s="479" t="str">
        <f>IF(R771="No","No Twilight",IF(T771="Yes","Uncomprehended Twilight",IF((Character!$B$14+IF(Character!$B$53="Yes",0,Character!$B$53)+IF(Magic!$C$5="Yes",2,0)+ROUNDUP((Magic!$B$30+IF(Magic!$C$30="Yes",3,0))/5,0)+S771)&gt;=($D$3+P771+SUMIF(Character!$I$62:$I$66,"Enigmatic Wisdom",Character!$J$62:$J$66)+Q771+U771),"No Twilight","Twilight")))</f>
        <v>No Twilight</v>
      </c>
      <c r="W771" s="483"/>
      <c r="X771" s="478"/>
      <c r="Y771" s="484"/>
      <c r="Z771" s="478"/>
      <c r="AA771" s="485" t="str">
        <f>IF(V771="Uncomprehended Twilight","Failed",IF(OR(ISBLANK(W771),ISBLANK(Y771))," ",IF(NOT(ISBLANK(X771)),"Failed",IF((W771+Character!$B$9+SUMIF(Character!$I$62:$I$66,"Enigmatic Wisdom",Character!$J$62:$J$66))&gt;=IF(Z771="Yes",0,(Y771+D766)),"Succeeded","Failed"))))</f>
        <v xml:space="preserve"> </v>
      </c>
      <c r="AB771" s="477" t="str">
        <f>IF(AA771=" "," ",IF(NOT(ISBLANK(X771)),VLOOKUP($D$3+X771,Calcs!$A$110:$C$122,3,TRUE),IF(AA771="Failed",VLOOKUP($D$3,Calcs!$A$110:$C$122,3,TRUE),VLOOKUP($D$3-(IF((Character!$B$9+W771)&gt;($D$3+Y771),(Character!$B$9+W771)-($D$3+Y771),0)),Calcs!$A$110:$C$122,3,TRUE))))</f>
        <v xml:space="preserve"> </v>
      </c>
      <c r="AC771" s="489"/>
      <c r="AD771" s="489" t="str">
        <f>IF(IF(AA771=" "," ",IF(NOT(ISBLANK(X771)),VLOOKUP($D$3+X771,Calcs!$A$110:$B$122,2,TRUE),IF(AA771="Failed",VLOOKUP($D$3,Calcs!$A$110:$B$122,2,TRUE),VLOOKUP($D$3-(IF((Character!$B$9+W771)&gt;($D$3+Y771),(Character!$B$9+W771)-($D$3+Y771),0)),Calcs!$A$110:$B$122,2,TRUE))))=Calcs!$B$120,IF(ISBLANK(AC771)," ",CONCATENATE(AC771+7," Years")),IF(AA771=" "," ",IF(NOT(ISBLANK(X771)),VLOOKUP($D$3+X771,Calcs!$A$110:$B$122,2,TRUE),IF(AA771="Failed",VLOOKUP($D$3,Calcs!$A$110:$B$122,2,TRUE),VLOOKUP($D$3-(IF((Character!$B$9+W771)&gt;($D$3+Y771),(Character!$B$9+W771)-($D$3+Y771),0)),Calcs!$A$110:$B$122,2,TRUE)))))</f>
        <v xml:space="preserve"> </v>
      </c>
      <c r="AE771" s="490"/>
      <c r="AF771" s="879"/>
      <c r="AG771" s="491"/>
    </row>
    <row r="772" spans="1:33" x14ac:dyDescent="0.2">
      <c r="A772" s="415">
        <f t="shared" si="22"/>
        <v>1403</v>
      </c>
      <c r="B772" s="419" t="str">
        <f t="shared" si="23"/>
        <v>Winter</v>
      </c>
      <c r="C772" s="455"/>
      <c r="D772" s="504"/>
      <c r="E772" s="455"/>
      <c r="F772" s="504"/>
      <c r="G772" s="455"/>
      <c r="H772" s="504"/>
      <c r="I772" s="455"/>
      <c r="J772" s="504"/>
      <c r="L772" s="472"/>
      <c r="M772" s="468"/>
      <c r="N772" s="468"/>
      <c r="O772" s="468"/>
      <c r="P772" s="468"/>
      <c r="Q772" s="473"/>
      <c r="R772" s="477" t="str">
        <f>IF(AND(COUNTIF('Start Character'!$I$63:$M$77,"Twilight Prone")=1,NOT(ISERROR(FIND("Magical Botch",M772)))),"Yes",IF(P772&gt;1,"Yes","No"))</f>
        <v>No</v>
      </c>
      <c r="S772" s="501"/>
      <c r="T772" s="478"/>
      <c r="U772" s="501"/>
      <c r="V772" s="479" t="str">
        <f>IF(R772="No","No Twilight",IF(T772="Yes","Uncomprehended Twilight",IF((Character!$B$14+IF(Character!$B$53="Yes",0,Character!$B$53)+IF(Magic!$C$5="Yes",2,0)+ROUNDUP((Magic!$B$30+IF(Magic!$C$30="Yes",3,0))/5,0)+S772)&gt;=($D$3+P772+SUMIF(Character!$I$62:$I$66,"Enigmatic Wisdom",Character!$J$62:$J$66)+Q772+U772),"No Twilight","Twilight")))</f>
        <v>No Twilight</v>
      </c>
      <c r="W772" s="483"/>
      <c r="X772" s="478"/>
      <c r="Y772" s="484"/>
      <c r="Z772" s="478"/>
      <c r="AA772" s="485" t="str">
        <f>IF(V772="Uncomprehended Twilight","Failed",IF(OR(ISBLANK(W772),ISBLANK(Y772))," ",IF(NOT(ISBLANK(X772)),"Failed",IF((W772+Character!$B$9+SUMIF(Character!$I$62:$I$66,"Enigmatic Wisdom",Character!$J$62:$J$66))&gt;=IF(Z772="Yes",0,(Y772+D767)),"Succeeded","Failed"))))</f>
        <v xml:space="preserve"> </v>
      </c>
      <c r="AB772" s="477" t="str">
        <f>IF(AA772=" "," ",IF(NOT(ISBLANK(X772)),VLOOKUP($D$3+X772,Calcs!$A$110:$C$122,3,TRUE),IF(AA772="Failed",VLOOKUP($D$3,Calcs!$A$110:$C$122,3,TRUE),VLOOKUP($D$3-(IF((Character!$B$9+W772)&gt;($D$3+Y772),(Character!$B$9+W772)-($D$3+Y772),0)),Calcs!$A$110:$C$122,3,TRUE))))</f>
        <v xml:space="preserve"> </v>
      </c>
      <c r="AC772" s="489"/>
      <c r="AD772" s="489" t="str">
        <f>IF(IF(AA772=" "," ",IF(NOT(ISBLANK(X772)),VLOOKUP($D$3+X772,Calcs!$A$110:$B$122,2,TRUE),IF(AA772="Failed",VLOOKUP($D$3,Calcs!$A$110:$B$122,2,TRUE),VLOOKUP($D$3-(IF((Character!$B$9+W772)&gt;($D$3+Y772),(Character!$B$9+W772)-($D$3+Y772),0)),Calcs!$A$110:$B$122,2,TRUE))))=Calcs!$B$120,IF(ISBLANK(AC772)," ",CONCATENATE(AC772+7," Years")),IF(AA772=" "," ",IF(NOT(ISBLANK(X772)),VLOOKUP($D$3+X772,Calcs!$A$110:$B$122,2,TRUE),IF(AA772="Failed",VLOOKUP($D$3,Calcs!$A$110:$B$122,2,TRUE),VLOOKUP($D$3-(IF((Character!$B$9+W772)&gt;($D$3+Y772),(Character!$B$9+W772)-($D$3+Y772),0)),Calcs!$A$110:$B$122,2,TRUE)))))</f>
        <v xml:space="preserve"> </v>
      </c>
      <c r="AE772" s="490"/>
      <c r="AF772" s="879"/>
      <c r="AG772" s="491"/>
    </row>
    <row r="773" spans="1:33" x14ac:dyDescent="0.2">
      <c r="A773" s="415">
        <f t="shared" si="22"/>
        <v>1403</v>
      </c>
      <c r="B773" s="419" t="str">
        <f t="shared" si="23"/>
        <v>Spring</v>
      </c>
      <c r="C773" s="455"/>
      <c r="D773" s="504"/>
      <c r="E773" s="455"/>
      <c r="F773" s="504"/>
      <c r="G773" s="455"/>
      <c r="H773" s="504"/>
      <c r="I773" s="455"/>
      <c r="J773" s="504"/>
      <c r="L773" s="472"/>
      <c r="M773" s="468"/>
      <c r="N773" s="468"/>
      <c r="O773" s="468"/>
      <c r="P773" s="468"/>
      <c r="Q773" s="473"/>
      <c r="R773" s="477" t="str">
        <f>IF(AND(COUNTIF('Start Character'!$I$63:$M$77,"Twilight Prone")=1,NOT(ISERROR(FIND("Magical Botch",M773)))),"Yes",IF(P773&gt;1,"Yes","No"))</f>
        <v>No</v>
      </c>
      <c r="S773" s="501"/>
      <c r="T773" s="478"/>
      <c r="U773" s="501"/>
      <c r="V773" s="479" t="str">
        <f>IF(R773="No","No Twilight",IF(T773="Yes","Uncomprehended Twilight",IF((Character!$B$14+IF(Character!$B$53="Yes",0,Character!$B$53)+IF(Magic!$C$5="Yes",2,0)+ROUNDUP((Magic!$B$30+IF(Magic!$C$30="Yes",3,0))/5,0)+S773)&gt;=($D$3+P773+SUMIF(Character!$I$62:$I$66,"Enigmatic Wisdom",Character!$J$62:$J$66)+Q773+U773),"No Twilight","Twilight")))</f>
        <v>No Twilight</v>
      </c>
      <c r="W773" s="483"/>
      <c r="X773" s="478"/>
      <c r="Y773" s="484"/>
      <c r="Z773" s="478"/>
      <c r="AA773" s="485" t="str">
        <f>IF(V773="Uncomprehended Twilight","Failed",IF(OR(ISBLANK(W773),ISBLANK(Y773))," ",IF(NOT(ISBLANK(X773)),"Failed",IF((W773+Character!$B$9+SUMIF(Character!$I$62:$I$66,"Enigmatic Wisdom",Character!$J$62:$J$66))&gt;=IF(Z773="Yes",0,(Y773+D768)),"Succeeded","Failed"))))</f>
        <v xml:space="preserve"> </v>
      </c>
      <c r="AB773" s="477" t="str">
        <f>IF(AA773=" "," ",IF(NOT(ISBLANK(X773)),VLOOKUP($D$3+X773,Calcs!$A$110:$C$122,3,TRUE),IF(AA773="Failed",VLOOKUP($D$3,Calcs!$A$110:$C$122,3,TRUE),VLOOKUP($D$3-(IF((Character!$B$9+W773)&gt;($D$3+Y773),(Character!$B$9+W773)-($D$3+Y773),0)),Calcs!$A$110:$C$122,3,TRUE))))</f>
        <v xml:space="preserve"> </v>
      </c>
      <c r="AC773" s="489"/>
      <c r="AD773" s="489" t="str">
        <f>IF(IF(AA773=" "," ",IF(NOT(ISBLANK(X773)),VLOOKUP($D$3+X773,Calcs!$A$110:$B$122,2,TRUE),IF(AA773="Failed",VLOOKUP($D$3,Calcs!$A$110:$B$122,2,TRUE),VLOOKUP($D$3-(IF((Character!$B$9+W773)&gt;($D$3+Y773),(Character!$B$9+W773)-($D$3+Y773),0)),Calcs!$A$110:$B$122,2,TRUE))))=Calcs!$B$120,IF(ISBLANK(AC773)," ",CONCATENATE(AC773+7," Years")),IF(AA773=" "," ",IF(NOT(ISBLANK(X773)),VLOOKUP($D$3+X773,Calcs!$A$110:$B$122,2,TRUE),IF(AA773="Failed",VLOOKUP($D$3,Calcs!$A$110:$B$122,2,TRUE),VLOOKUP($D$3-(IF((Character!$B$9+W773)&gt;($D$3+Y773),(Character!$B$9+W773)-($D$3+Y773),0)),Calcs!$A$110:$B$122,2,TRUE)))))</f>
        <v xml:space="preserve"> </v>
      </c>
      <c r="AE773" s="490"/>
      <c r="AF773" s="879"/>
      <c r="AG773" s="491"/>
    </row>
    <row r="774" spans="1:33" x14ac:dyDescent="0.2">
      <c r="A774" s="415">
        <f t="shared" si="22"/>
        <v>1403</v>
      </c>
      <c r="B774" s="419" t="str">
        <f t="shared" si="23"/>
        <v>Summer</v>
      </c>
      <c r="C774" s="455"/>
      <c r="D774" s="504"/>
      <c r="E774" s="455"/>
      <c r="F774" s="504"/>
      <c r="G774" s="455"/>
      <c r="H774" s="504"/>
      <c r="I774" s="455"/>
      <c r="J774" s="504"/>
      <c r="L774" s="472"/>
      <c r="M774" s="468"/>
      <c r="N774" s="468"/>
      <c r="O774" s="468"/>
      <c r="P774" s="468"/>
      <c r="Q774" s="473"/>
      <c r="R774" s="477" t="str">
        <f>IF(AND(COUNTIF('Start Character'!$I$63:$M$77,"Twilight Prone")=1,NOT(ISERROR(FIND("Magical Botch",M774)))),"Yes",IF(P774&gt;1,"Yes","No"))</f>
        <v>No</v>
      </c>
      <c r="S774" s="501"/>
      <c r="T774" s="478"/>
      <c r="U774" s="501"/>
      <c r="V774" s="479" t="str">
        <f>IF(R774="No","No Twilight",IF(T774="Yes","Uncomprehended Twilight",IF((Character!$B$14+IF(Character!$B$53="Yes",0,Character!$B$53)+IF(Magic!$C$5="Yes",2,0)+ROUNDUP((Magic!$B$30+IF(Magic!$C$30="Yes",3,0))/5,0)+S774)&gt;=($D$3+P774+SUMIF(Character!$I$62:$I$66,"Enigmatic Wisdom",Character!$J$62:$J$66)+Q774+U774),"No Twilight","Twilight")))</f>
        <v>No Twilight</v>
      </c>
      <c r="W774" s="483"/>
      <c r="X774" s="478"/>
      <c r="Y774" s="484"/>
      <c r="Z774" s="478"/>
      <c r="AA774" s="485" t="str">
        <f>IF(V774="Uncomprehended Twilight","Failed",IF(OR(ISBLANK(W774),ISBLANK(Y774))," ",IF(NOT(ISBLANK(X774)),"Failed",IF((W774+Character!$B$9+SUMIF(Character!$I$62:$I$66,"Enigmatic Wisdom",Character!$J$62:$J$66))&gt;=IF(Z774="Yes",0,(Y774+D769)),"Succeeded","Failed"))))</f>
        <v xml:space="preserve"> </v>
      </c>
      <c r="AB774" s="477" t="str">
        <f>IF(AA774=" "," ",IF(NOT(ISBLANK(X774)),VLOOKUP($D$3+X774,Calcs!$A$110:$C$122,3,TRUE),IF(AA774="Failed",VLOOKUP($D$3,Calcs!$A$110:$C$122,3,TRUE),VLOOKUP($D$3-(IF((Character!$B$9+W774)&gt;($D$3+Y774),(Character!$B$9+W774)-($D$3+Y774),0)),Calcs!$A$110:$C$122,3,TRUE))))</f>
        <v xml:space="preserve"> </v>
      </c>
      <c r="AC774" s="489"/>
      <c r="AD774" s="489" t="str">
        <f>IF(IF(AA774=" "," ",IF(NOT(ISBLANK(X774)),VLOOKUP($D$3+X774,Calcs!$A$110:$B$122,2,TRUE),IF(AA774="Failed",VLOOKUP($D$3,Calcs!$A$110:$B$122,2,TRUE),VLOOKUP($D$3-(IF((Character!$B$9+W774)&gt;($D$3+Y774),(Character!$B$9+W774)-($D$3+Y774),0)),Calcs!$A$110:$B$122,2,TRUE))))=Calcs!$B$120,IF(ISBLANK(AC774)," ",CONCATENATE(AC774+7," Years")),IF(AA774=" "," ",IF(NOT(ISBLANK(X774)),VLOOKUP($D$3+X774,Calcs!$A$110:$B$122,2,TRUE),IF(AA774="Failed",VLOOKUP($D$3,Calcs!$A$110:$B$122,2,TRUE),VLOOKUP($D$3-(IF((Character!$B$9+W774)&gt;($D$3+Y774),(Character!$B$9+W774)-($D$3+Y774),0)),Calcs!$A$110:$B$122,2,TRUE)))))</f>
        <v xml:space="preserve"> </v>
      </c>
      <c r="AE774" s="490"/>
      <c r="AF774" s="879"/>
      <c r="AG774" s="491"/>
    </row>
    <row r="775" spans="1:33" x14ac:dyDescent="0.2">
      <c r="A775" s="415">
        <f t="shared" si="22"/>
        <v>1403</v>
      </c>
      <c r="B775" s="419" t="str">
        <f t="shared" si="23"/>
        <v>Autumn</v>
      </c>
      <c r="C775" s="455"/>
      <c r="D775" s="504"/>
      <c r="E775" s="455"/>
      <c r="F775" s="504"/>
      <c r="G775" s="455"/>
      <c r="H775" s="504"/>
      <c r="I775" s="455"/>
      <c r="J775" s="504"/>
      <c r="L775" s="472"/>
      <c r="M775" s="468"/>
      <c r="N775" s="468"/>
      <c r="O775" s="468"/>
      <c r="P775" s="468"/>
      <c r="Q775" s="473"/>
      <c r="R775" s="477" t="str">
        <f>IF(AND(COUNTIF('Start Character'!$I$63:$M$77,"Twilight Prone")=1,NOT(ISERROR(FIND("Magical Botch",M775)))),"Yes",IF(P775&gt;1,"Yes","No"))</f>
        <v>No</v>
      </c>
      <c r="S775" s="501"/>
      <c r="T775" s="478"/>
      <c r="U775" s="501"/>
      <c r="V775" s="479" t="str">
        <f>IF(R775="No","No Twilight",IF(T775="Yes","Uncomprehended Twilight",IF((Character!$B$14+IF(Character!$B$53="Yes",0,Character!$B$53)+IF(Magic!$C$5="Yes",2,0)+ROUNDUP((Magic!$B$30+IF(Magic!$C$30="Yes",3,0))/5,0)+S775)&gt;=($D$3+P775+SUMIF(Character!$I$62:$I$66,"Enigmatic Wisdom",Character!$J$62:$J$66)+Q775+U775),"No Twilight","Twilight")))</f>
        <v>No Twilight</v>
      </c>
      <c r="W775" s="483"/>
      <c r="X775" s="478"/>
      <c r="Y775" s="484"/>
      <c r="Z775" s="478"/>
      <c r="AA775" s="485" t="str">
        <f>IF(V775="Uncomprehended Twilight","Failed",IF(OR(ISBLANK(W775),ISBLANK(Y775))," ",IF(NOT(ISBLANK(X775)),"Failed",IF((W775+Character!$B$9+SUMIF(Character!$I$62:$I$66,"Enigmatic Wisdom",Character!$J$62:$J$66))&gt;=IF(Z775="Yes",0,(Y775+D770)),"Succeeded","Failed"))))</f>
        <v xml:space="preserve"> </v>
      </c>
      <c r="AB775" s="477" t="str">
        <f>IF(AA775=" "," ",IF(NOT(ISBLANK(X775)),VLOOKUP($D$3+X775,Calcs!$A$110:$C$122,3,TRUE),IF(AA775="Failed",VLOOKUP($D$3,Calcs!$A$110:$C$122,3,TRUE),VLOOKUP($D$3-(IF((Character!$B$9+W775)&gt;($D$3+Y775),(Character!$B$9+W775)-($D$3+Y775),0)),Calcs!$A$110:$C$122,3,TRUE))))</f>
        <v xml:space="preserve"> </v>
      </c>
      <c r="AC775" s="489"/>
      <c r="AD775" s="489" t="str">
        <f>IF(IF(AA775=" "," ",IF(NOT(ISBLANK(X775)),VLOOKUP($D$3+X775,Calcs!$A$110:$B$122,2,TRUE),IF(AA775="Failed",VLOOKUP($D$3,Calcs!$A$110:$B$122,2,TRUE),VLOOKUP($D$3-(IF((Character!$B$9+W775)&gt;($D$3+Y775),(Character!$B$9+W775)-($D$3+Y775),0)),Calcs!$A$110:$B$122,2,TRUE))))=Calcs!$B$120,IF(ISBLANK(AC775)," ",CONCATENATE(AC775+7," Years")),IF(AA775=" "," ",IF(NOT(ISBLANK(X775)),VLOOKUP($D$3+X775,Calcs!$A$110:$B$122,2,TRUE),IF(AA775="Failed",VLOOKUP($D$3,Calcs!$A$110:$B$122,2,TRUE),VLOOKUP($D$3-(IF((Character!$B$9+W775)&gt;($D$3+Y775),(Character!$B$9+W775)-($D$3+Y775),0)),Calcs!$A$110:$B$122,2,TRUE)))))</f>
        <v xml:space="preserve"> </v>
      </c>
      <c r="AE775" s="490"/>
      <c r="AF775" s="879"/>
      <c r="AG775" s="491"/>
    </row>
    <row r="776" spans="1:33" x14ac:dyDescent="0.2">
      <c r="A776" s="415">
        <f t="shared" si="22"/>
        <v>1404</v>
      </c>
      <c r="B776" s="419" t="str">
        <f t="shared" si="23"/>
        <v>Winter</v>
      </c>
      <c r="C776" s="455"/>
      <c r="D776" s="504"/>
      <c r="E776" s="455"/>
      <c r="F776" s="504"/>
      <c r="G776" s="455"/>
      <c r="H776" s="504"/>
      <c r="I776" s="455"/>
      <c r="J776" s="504"/>
      <c r="L776" s="472"/>
      <c r="M776" s="468"/>
      <c r="N776" s="468"/>
      <c r="O776" s="468"/>
      <c r="P776" s="468"/>
      <c r="Q776" s="473"/>
      <c r="R776" s="477" t="str">
        <f>IF(AND(COUNTIF('Start Character'!$I$63:$M$77,"Twilight Prone")=1,NOT(ISERROR(FIND("Magical Botch",M776)))),"Yes",IF(P776&gt;1,"Yes","No"))</f>
        <v>No</v>
      </c>
      <c r="S776" s="501"/>
      <c r="T776" s="478"/>
      <c r="U776" s="501"/>
      <c r="V776" s="479" t="str">
        <f>IF(R776="No","No Twilight",IF(T776="Yes","Uncomprehended Twilight",IF((Character!$B$14+IF(Character!$B$53="Yes",0,Character!$B$53)+IF(Magic!$C$5="Yes",2,0)+ROUNDUP((Magic!$B$30+IF(Magic!$C$30="Yes",3,0))/5,0)+S776)&gt;=($D$3+P776+SUMIF(Character!$I$62:$I$66,"Enigmatic Wisdom",Character!$J$62:$J$66)+Q776+U776),"No Twilight","Twilight")))</f>
        <v>No Twilight</v>
      </c>
      <c r="W776" s="483"/>
      <c r="X776" s="478"/>
      <c r="Y776" s="484"/>
      <c r="Z776" s="478"/>
      <c r="AA776" s="485" t="str">
        <f>IF(V776="Uncomprehended Twilight","Failed",IF(OR(ISBLANK(W776),ISBLANK(Y776))," ",IF(NOT(ISBLANK(X776)),"Failed",IF((W776+Character!$B$9+SUMIF(Character!$I$62:$I$66,"Enigmatic Wisdom",Character!$J$62:$J$66))&gt;=IF(Z776="Yes",0,(Y776+D771)),"Succeeded","Failed"))))</f>
        <v xml:space="preserve"> </v>
      </c>
      <c r="AB776" s="477" t="str">
        <f>IF(AA776=" "," ",IF(NOT(ISBLANK(X776)),VLOOKUP($D$3+X776,Calcs!$A$110:$C$122,3,TRUE),IF(AA776="Failed",VLOOKUP($D$3,Calcs!$A$110:$C$122,3,TRUE),VLOOKUP($D$3-(IF((Character!$B$9+W776)&gt;($D$3+Y776),(Character!$B$9+W776)-($D$3+Y776),0)),Calcs!$A$110:$C$122,3,TRUE))))</f>
        <v xml:space="preserve"> </v>
      </c>
      <c r="AC776" s="489"/>
      <c r="AD776" s="489" t="str">
        <f>IF(IF(AA776=" "," ",IF(NOT(ISBLANK(X776)),VLOOKUP($D$3+X776,Calcs!$A$110:$B$122,2,TRUE),IF(AA776="Failed",VLOOKUP($D$3,Calcs!$A$110:$B$122,2,TRUE),VLOOKUP($D$3-(IF((Character!$B$9+W776)&gt;($D$3+Y776),(Character!$B$9+W776)-($D$3+Y776),0)),Calcs!$A$110:$B$122,2,TRUE))))=Calcs!$B$120,IF(ISBLANK(AC776)," ",CONCATENATE(AC776+7," Years")),IF(AA776=" "," ",IF(NOT(ISBLANK(X776)),VLOOKUP($D$3+X776,Calcs!$A$110:$B$122,2,TRUE),IF(AA776="Failed",VLOOKUP($D$3,Calcs!$A$110:$B$122,2,TRUE),VLOOKUP($D$3-(IF((Character!$B$9+W776)&gt;($D$3+Y776),(Character!$B$9+W776)-($D$3+Y776),0)),Calcs!$A$110:$B$122,2,TRUE)))))</f>
        <v xml:space="preserve"> </v>
      </c>
      <c r="AE776" s="490"/>
      <c r="AF776" s="879"/>
      <c r="AG776" s="491"/>
    </row>
    <row r="777" spans="1:33" x14ac:dyDescent="0.2">
      <c r="A777" s="415">
        <f t="shared" si="22"/>
        <v>1404</v>
      </c>
      <c r="B777" s="419" t="str">
        <f t="shared" si="23"/>
        <v>Spring</v>
      </c>
      <c r="C777" s="455"/>
      <c r="D777" s="504"/>
      <c r="E777" s="455"/>
      <c r="F777" s="504"/>
      <c r="G777" s="455"/>
      <c r="H777" s="504"/>
      <c r="I777" s="455"/>
      <c r="J777" s="504"/>
      <c r="L777" s="472"/>
      <c r="M777" s="468"/>
      <c r="N777" s="468"/>
      <c r="O777" s="468"/>
      <c r="P777" s="468"/>
      <c r="Q777" s="473"/>
      <c r="R777" s="477" t="str">
        <f>IF(AND(COUNTIF('Start Character'!$I$63:$M$77,"Twilight Prone")=1,NOT(ISERROR(FIND("Magical Botch",M777)))),"Yes",IF(P777&gt;1,"Yes","No"))</f>
        <v>No</v>
      </c>
      <c r="S777" s="501"/>
      <c r="T777" s="478"/>
      <c r="U777" s="501"/>
      <c r="V777" s="479" t="str">
        <f>IF(R777="No","No Twilight",IF(T777="Yes","Uncomprehended Twilight",IF((Character!$B$14+IF(Character!$B$53="Yes",0,Character!$B$53)+IF(Magic!$C$5="Yes",2,0)+ROUNDUP((Magic!$B$30+IF(Magic!$C$30="Yes",3,0))/5,0)+S777)&gt;=($D$3+P777+SUMIF(Character!$I$62:$I$66,"Enigmatic Wisdom",Character!$J$62:$J$66)+Q777+U777),"No Twilight","Twilight")))</f>
        <v>No Twilight</v>
      </c>
      <c r="W777" s="483"/>
      <c r="X777" s="478"/>
      <c r="Y777" s="484"/>
      <c r="Z777" s="478"/>
      <c r="AA777" s="485" t="str">
        <f>IF(V777="Uncomprehended Twilight","Failed",IF(OR(ISBLANK(W777),ISBLANK(Y777))," ",IF(NOT(ISBLANK(X777)),"Failed",IF((W777+Character!$B$9+SUMIF(Character!$I$62:$I$66,"Enigmatic Wisdom",Character!$J$62:$J$66))&gt;=IF(Z777="Yes",0,(Y777+D772)),"Succeeded","Failed"))))</f>
        <v xml:space="preserve"> </v>
      </c>
      <c r="AB777" s="477" t="str">
        <f>IF(AA777=" "," ",IF(NOT(ISBLANK(X777)),VLOOKUP($D$3+X777,Calcs!$A$110:$C$122,3,TRUE),IF(AA777="Failed",VLOOKUP($D$3,Calcs!$A$110:$C$122,3,TRUE),VLOOKUP($D$3-(IF((Character!$B$9+W777)&gt;($D$3+Y777),(Character!$B$9+W777)-($D$3+Y777),0)),Calcs!$A$110:$C$122,3,TRUE))))</f>
        <v xml:space="preserve"> </v>
      </c>
      <c r="AC777" s="489"/>
      <c r="AD777" s="489" t="str">
        <f>IF(IF(AA777=" "," ",IF(NOT(ISBLANK(X777)),VLOOKUP($D$3+X777,Calcs!$A$110:$B$122,2,TRUE),IF(AA777="Failed",VLOOKUP($D$3,Calcs!$A$110:$B$122,2,TRUE),VLOOKUP($D$3-(IF((Character!$B$9+W777)&gt;($D$3+Y777),(Character!$B$9+W777)-($D$3+Y777),0)),Calcs!$A$110:$B$122,2,TRUE))))=Calcs!$B$120,IF(ISBLANK(AC777)," ",CONCATENATE(AC777+7," Years")),IF(AA777=" "," ",IF(NOT(ISBLANK(X777)),VLOOKUP($D$3+X777,Calcs!$A$110:$B$122,2,TRUE),IF(AA777="Failed",VLOOKUP($D$3,Calcs!$A$110:$B$122,2,TRUE),VLOOKUP($D$3-(IF((Character!$B$9+W777)&gt;($D$3+Y777),(Character!$B$9+W777)-($D$3+Y777),0)),Calcs!$A$110:$B$122,2,TRUE)))))</f>
        <v xml:space="preserve"> </v>
      </c>
      <c r="AE777" s="490"/>
      <c r="AF777" s="879"/>
      <c r="AG777" s="491"/>
    </row>
    <row r="778" spans="1:33" x14ac:dyDescent="0.2">
      <c r="A778" s="415">
        <f t="shared" si="22"/>
        <v>1404</v>
      </c>
      <c r="B778" s="419" t="str">
        <f t="shared" si="23"/>
        <v>Summer</v>
      </c>
      <c r="C778" s="455"/>
      <c r="D778" s="504"/>
      <c r="E778" s="455"/>
      <c r="F778" s="504"/>
      <c r="G778" s="455"/>
      <c r="H778" s="504"/>
      <c r="I778" s="455"/>
      <c r="J778" s="504"/>
      <c r="L778" s="472"/>
      <c r="M778" s="468"/>
      <c r="N778" s="468"/>
      <c r="O778" s="468"/>
      <c r="P778" s="468"/>
      <c r="Q778" s="473"/>
      <c r="R778" s="477" t="str">
        <f>IF(AND(COUNTIF('Start Character'!$I$63:$M$77,"Twilight Prone")=1,NOT(ISERROR(FIND("Magical Botch",M778)))),"Yes",IF(P778&gt;1,"Yes","No"))</f>
        <v>No</v>
      </c>
      <c r="S778" s="501"/>
      <c r="T778" s="478"/>
      <c r="U778" s="501"/>
      <c r="V778" s="479" t="str">
        <f>IF(R778="No","No Twilight",IF(T778="Yes","Uncomprehended Twilight",IF((Character!$B$14+IF(Character!$B$53="Yes",0,Character!$B$53)+IF(Magic!$C$5="Yes",2,0)+ROUNDUP((Magic!$B$30+IF(Magic!$C$30="Yes",3,0))/5,0)+S778)&gt;=($D$3+P778+SUMIF(Character!$I$62:$I$66,"Enigmatic Wisdom",Character!$J$62:$J$66)+Q778+U778),"No Twilight","Twilight")))</f>
        <v>No Twilight</v>
      </c>
      <c r="W778" s="483"/>
      <c r="X778" s="478"/>
      <c r="Y778" s="484"/>
      <c r="Z778" s="478"/>
      <c r="AA778" s="485" t="str">
        <f>IF(V778="Uncomprehended Twilight","Failed",IF(OR(ISBLANK(W778),ISBLANK(Y778))," ",IF(NOT(ISBLANK(X778)),"Failed",IF((W778+Character!$B$9+SUMIF(Character!$I$62:$I$66,"Enigmatic Wisdom",Character!$J$62:$J$66))&gt;=IF(Z778="Yes",0,(Y778+D773)),"Succeeded","Failed"))))</f>
        <v xml:space="preserve"> </v>
      </c>
      <c r="AB778" s="477" t="str">
        <f>IF(AA778=" "," ",IF(NOT(ISBLANK(X778)),VLOOKUP($D$3+X778,Calcs!$A$110:$C$122,3,TRUE),IF(AA778="Failed",VLOOKUP($D$3,Calcs!$A$110:$C$122,3,TRUE),VLOOKUP($D$3-(IF((Character!$B$9+W778)&gt;($D$3+Y778),(Character!$B$9+W778)-($D$3+Y778),0)),Calcs!$A$110:$C$122,3,TRUE))))</f>
        <v xml:space="preserve"> </v>
      </c>
      <c r="AC778" s="489"/>
      <c r="AD778" s="489" t="str">
        <f>IF(IF(AA778=" "," ",IF(NOT(ISBLANK(X778)),VLOOKUP($D$3+X778,Calcs!$A$110:$B$122,2,TRUE),IF(AA778="Failed",VLOOKUP($D$3,Calcs!$A$110:$B$122,2,TRUE),VLOOKUP($D$3-(IF((Character!$B$9+W778)&gt;($D$3+Y778),(Character!$B$9+W778)-($D$3+Y778),0)),Calcs!$A$110:$B$122,2,TRUE))))=Calcs!$B$120,IF(ISBLANK(AC778)," ",CONCATENATE(AC778+7," Years")),IF(AA778=" "," ",IF(NOT(ISBLANK(X778)),VLOOKUP($D$3+X778,Calcs!$A$110:$B$122,2,TRUE),IF(AA778="Failed",VLOOKUP($D$3,Calcs!$A$110:$B$122,2,TRUE),VLOOKUP($D$3-(IF((Character!$B$9+W778)&gt;($D$3+Y778),(Character!$B$9+W778)-($D$3+Y778),0)),Calcs!$A$110:$B$122,2,TRUE)))))</f>
        <v xml:space="preserve"> </v>
      </c>
      <c r="AE778" s="490"/>
      <c r="AF778" s="879"/>
      <c r="AG778" s="491"/>
    </row>
    <row r="779" spans="1:33" x14ac:dyDescent="0.2">
      <c r="A779" s="415">
        <f t="shared" si="22"/>
        <v>1404</v>
      </c>
      <c r="B779" s="419" t="str">
        <f t="shared" si="23"/>
        <v>Autumn</v>
      </c>
      <c r="C779" s="455"/>
      <c r="D779" s="504"/>
      <c r="E779" s="455"/>
      <c r="F779" s="504"/>
      <c r="G779" s="455"/>
      <c r="H779" s="504"/>
      <c r="I779" s="455"/>
      <c r="J779" s="504"/>
      <c r="L779" s="472"/>
      <c r="M779" s="468"/>
      <c r="N779" s="468"/>
      <c r="O779" s="468"/>
      <c r="P779" s="468"/>
      <c r="Q779" s="473"/>
      <c r="R779" s="477" t="str">
        <f>IF(AND(COUNTIF('Start Character'!$I$63:$M$77,"Twilight Prone")=1,NOT(ISERROR(FIND("Magical Botch",M779)))),"Yes",IF(P779&gt;1,"Yes","No"))</f>
        <v>No</v>
      </c>
      <c r="S779" s="501"/>
      <c r="T779" s="478"/>
      <c r="U779" s="501"/>
      <c r="V779" s="479" t="str">
        <f>IF(R779="No","No Twilight",IF(T779="Yes","Uncomprehended Twilight",IF((Character!$B$14+IF(Character!$B$53="Yes",0,Character!$B$53)+IF(Magic!$C$5="Yes",2,0)+ROUNDUP((Magic!$B$30+IF(Magic!$C$30="Yes",3,0))/5,0)+S779)&gt;=($D$3+P779+SUMIF(Character!$I$62:$I$66,"Enigmatic Wisdom",Character!$J$62:$J$66)+Q779+U779),"No Twilight","Twilight")))</f>
        <v>No Twilight</v>
      </c>
      <c r="W779" s="483"/>
      <c r="X779" s="478"/>
      <c r="Y779" s="484"/>
      <c r="Z779" s="478"/>
      <c r="AA779" s="485" t="str">
        <f>IF(V779="Uncomprehended Twilight","Failed",IF(OR(ISBLANK(W779),ISBLANK(Y779))," ",IF(NOT(ISBLANK(X779)),"Failed",IF((W779+Character!$B$9+SUMIF(Character!$I$62:$I$66,"Enigmatic Wisdom",Character!$J$62:$J$66))&gt;=IF(Z779="Yes",0,(Y779+D774)),"Succeeded","Failed"))))</f>
        <v xml:space="preserve"> </v>
      </c>
      <c r="AB779" s="477" t="str">
        <f>IF(AA779=" "," ",IF(NOT(ISBLANK(X779)),VLOOKUP($D$3+X779,Calcs!$A$110:$C$122,3,TRUE),IF(AA779="Failed",VLOOKUP($D$3,Calcs!$A$110:$C$122,3,TRUE),VLOOKUP($D$3-(IF((Character!$B$9+W779)&gt;($D$3+Y779),(Character!$B$9+W779)-($D$3+Y779),0)),Calcs!$A$110:$C$122,3,TRUE))))</f>
        <v xml:space="preserve"> </v>
      </c>
      <c r="AC779" s="489"/>
      <c r="AD779" s="489" t="str">
        <f>IF(IF(AA779=" "," ",IF(NOT(ISBLANK(X779)),VLOOKUP($D$3+X779,Calcs!$A$110:$B$122,2,TRUE),IF(AA779="Failed",VLOOKUP($D$3,Calcs!$A$110:$B$122,2,TRUE),VLOOKUP($D$3-(IF((Character!$B$9+W779)&gt;($D$3+Y779),(Character!$B$9+W779)-($D$3+Y779),0)),Calcs!$A$110:$B$122,2,TRUE))))=Calcs!$B$120,IF(ISBLANK(AC779)," ",CONCATENATE(AC779+7," Years")),IF(AA779=" "," ",IF(NOT(ISBLANK(X779)),VLOOKUP($D$3+X779,Calcs!$A$110:$B$122,2,TRUE),IF(AA779="Failed",VLOOKUP($D$3,Calcs!$A$110:$B$122,2,TRUE),VLOOKUP($D$3-(IF((Character!$B$9+W779)&gt;($D$3+Y779),(Character!$B$9+W779)-($D$3+Y779),0)),Calcs!$A$110:$B$122,2,TRUE)))))</f>
        <v xml:space="preserve"> </v>
      </c>
      <c r="AE779" s="490"/>
      <c r="AF779" s="879"/>
      <c r="AG779" s="491"/>
    </row>
    <row r="780" spans="1:33" x14ac:dyDescent="0.2">
      <c r="A780" s="415">
        <f t="shared" si="22"/>
        <v>1405</v>
      </c>
      <c r="B780" s="419" t="str">
        <f t="shared" si="23"/>
        <v>Winter</v>
      </c>
      <c r="C780" s="455"/>
      <c r="D780" s="504"/>
      <c r="E780" s="455"/>
      <c r="F780" s="504"/>
      <c r="G780" s="455"/>
      <c r="H780" s="504"/>
      <c r="I780" s="455"/>
      <c r="J780" s="504"/>
      <c r="L780" s="472"/>
      <c r="M780" s="468"/>
      <c r="N780" s="468"/>
      <c r="O780" s="468"/>
      <c r="P780" s="468"/>
      <c r="Q780" s="473"/>
      <c r="R780" s="477" t="str">
        <f>IF(AND(COUNTIF('Start Character'!$I$63:$M$77,"Twilight Prone")=1,NOT(ISERROR(FIND("Magical Botch",M780)))),"Yes",IF(P780&gt;1,"Yes","No"))</f>
        <v>No</v>
      </c>
      <c r="S780" s="501"/>
      <c r="T780" s="478"/>
      <c r="U780" s="501"/>
      <c r="V780" s="479" t="str">
        <f>IF(R780="No","No Twilight",IF(T780="Yes","Uncomprehended Twilight",IF((Character!$B$14+IF(Character!$B$53="Yes",0,Character!$B$53)+IF(Magic!$C$5="Yes",2,0)+ROUNDUP((Magic!$B$30+IF(Magic!$C$30="Yes",3,0))/5,0)+S780)&gt;=($D$3+P780+SUMIF(Character!$I$62:$I$66,"Enigmatic Wisdom",Character!$J$62:$J$66)+Q780+U780),"No Twilight","Twilight")))</f>
        <v>No Twilight</v>
      </c>
      <c r="W780" s="483"/>
      <c r="X780" s="478"/>
      <c r="Y780" s="484"/>
      <c r="Z780" s="478"/>
      <c r="AA780" s="485" t="str">
        <f>IF(V780="Uncomprehended Twilight","Failed",IF(OR(ISBLANK(W780),ISBLANK(Y780))," ",IF(NOT(ISBLANK(X780)),"Failed",IF((W780+Character!$B$9+SUMIF(Character!$I$62:$I$66,"Enigmatic Wisdom",Character!$J$62:$J$66))&gt;=IF(Z780="Yes",0,(Y780+D775)),"Succeeded","Failed"))))</f>
        <v xml:space="preserve"> </v>
      </c>
      <c r="AB780" s="477" t="str">
        <f>IF(AA780=" "," ",IF(NOT(ISBLANK(X780)),VLOOKUP($D$3+X780,Calcs!$A$110:$C$122,3,TRUE),IF(AA780="Failed",VLOOKUP($D$3,Calcs!$A$110:$C$122,3,TRUE),VLOOKUP($D$3-(IF((Character!$B$9+W780)&gt;($D$3+Y780),(Character!$B$9+W780)-($D$3+Y780),0)),Calcs!$A$110:$C$122,3,TRUE))))</f>
        <v xml:space="preserve"> </v>
      </c>
      <c r="AC780" s="489"/>
      <c r="AD780" s="489" t="str">
        <f>IF(IF(AA780=" "," ",IF(NOT(ISBLANK(X780)),VLOOKUP($D$3+X780,Calcs!$A$110:$B$122,2,TRUE),IF(AA780="Failed",VLOOKUP($D$3,Calcs!$A$110:$B$122,2,TRUE),VLOOKUP($D$3-(IF((Character!$B$9+W780)&gt;($D$3+Y780),(Character!$B$9+W780)-($D$3+Y780),0)),Calcs!$A$110:$B$122,2,TRUE))))=Calcs!$B$120,IF(ISBLANK(AC780)," ",CONCATENATE(AC780+7," Years")),IF(AA780=" "," ",IF(NOT(ISBLANK(X780)),VLOOKUP($D$3+X780,Calcs!$A$110:$B$122,2,TRUE),IF(AA780="Failed",VLOOKUP($D$3,Calcs!$A$110:$B$122,2,TRUE),VLOOKUP($D$3-(IF((Character!$B$9+W780)&gt;($D$3+Y780),(Character!$B$9+W780)-($D$3+Y780),0)),Calcs!$A$110:$B$122,2,TRUE)))))</f>
        <v xml:space="preserve"> </v>
      </c>
      <c r="AE780" s="490"/>
      <c r="AF780" s="879"/>
      <c r="AG780" s="491"/>
    </row>
    <row r="781" spans="1:33" x14ac:dyDescent="0.2">
      <c r="A781" s="415">
        <f t="shared" si="22"/>
        <v>1405</v>
      </c>
      <c r="B781" s="419" t="str">
        <f t="shared" si="23"/>
        <v>Spring</v>
      </c>
      <c r="C781" s="455"/>
      <c r="D781" s="504"/>
      <c r="E781" s="455"/>
      <c r="F781" s="504"/>
      <c r="G781" s="455"/>
      <c r="H781" s="504"/>
      <c r="I781" s="455"/>
      <c r="J781" s="504"/>
      <c r="L781" s="472"/>
      <c r="M781" s="468"/>
      <c r="N781" s="468"/>
      <c r="O781" s="468"/>
      <c r="P781" s="468"/>
      <c r="Q781" s="473"/>
      <c r="R781" s="477" t="str">
        <f>IF(AND(COUNTIF('Start Character'!$I$63:$M$77,"Twilight Prone")=1,NOT(ISERROR(FIND("Magical Botch",M781)))),"Yes",IF(P781&gt;1,"Yes","No"))</f>
        <v>No</v>
      </c>
      <c r="S781" s="501"/>
      <c r="T781" s="478"/>
      <c r="U781" s="501"/>
      <c r="V781" s="479" t="str">
        <f>IF(R781="No","No Twilight",IF(T781="Yes","Uncomprehended Twilight",IF((Character!$B$14+IF(Character!$B$53="Yes",0,Character!$B$53)+IF(Magic!$C$5="Yes",2,0)+ROUNDUP((Magic!$B$30+IF(Magic!$C$30="Yes",3,0))/5,0)+S781)&gt;=($D$3+P781+SUMIF(Character!$I$62:$I$66,"Enigmatic Wisdom",Character!$J$62:$J$66)+Q781+U781),"No Twilight","Twilight")))</f>
        <v>No Twilight</v>
      </c>
      <c r="W781" s="483"/>
      <c r="X781" s="478"/>
      <c r="Y781" s="484"/>
      <c r="Z781" s="478"/>
      <c r="AA781" s="485" t="str">
        <f>IF(V781="Uncomprehended Twilight","Failed",IF(OR(ISBLANK(W781),ISBLANK(Y781))," ",IF(NOT(ISBLANK(X781)),"Failed",IF((W781+Character!$B$9+SUMIF(Character!$I$62:$I$66,"Enigmatic Wisdom",Character!$J$62:$J$66))&gt;=IF(Z781="Yes",0,(Y781+D776)),"Succeeded","Failed"))))</f>
        <v xml:space="preserve"> </v>
      </c>
      <c r="AB781" s="477" t="str">
        <f>IF(AA781=" "," ",IF(NOT(ISBLANK(X781)),VLOOKUP($D$3+X781,Calcs!$A$110:$C$122,3,TRUE),IF(AA781="Failed",VLOOKUP($D$3,Calcs!$A$110:$C$122,3,TRUE),VLOOKUP($D$3-(IF((Character!$B$9+W781)&gt;($D$3+Y781),(Character!$B$9+W781)-($D$3+Y781),0)),Calcs!$A$110:$C$122,3,TRUE))))</f>
        <v xml:space="preserve"> </v>
      </c>
      <c r="AC781" s="489"/>
      <c r="AD781" s="489" t="str">
        <f>IF(IF(AA781=" "," ",IF(NOT(ISBLANK(X781)),VLOOKUP($D$3+X781,Calcs!$A$110:$B$122,2,TRUE),IF(AA781="Failed",VLOOKUP($D$3,Calcs!$A$110:$B$122,2,TRUE),VLOOKUP($D$3-(IF((Character!$B$9+W781)&gt;($D$3+Y781),(Character!$B$9+W781)-($D$3+Y781),0)),Calcs!$A$110:$B$122,2,TRUE))))=Calcs!$B$120,IF(ISBLANK(AC781)," ",CONCATENATE(AC781+7," Years")),IF(AA781=" "," ",IF(NOT(ISBLANK(X781)),VLOOKUP($D$3+X781,Calcs!$A$110:$B$122,2,TRUE),IF(AA781="Failed",VLOOKUP($D$3,Calcs!$A$110:$B$122,2,TRUE),VLOOKUP($D$3-(IF((Character!$B$9+W781)&gt;($D$3+Y781),(Character!$B$9+W781)-($D$3+Y781),0)),Calcs!$A$110:$B$122,2,TRUE)))))</f>
        <v xml:space="preserve"> </v>
      </c>
      <c r="AE781" s="490"/>
      <c r="AF781" s="879"/>
      <c r="AG781" s="491"/>
    </row>
    <row r="782" spans="1:33" x14ac:dyDescent="0.2">
      <c r="A782" s="415">
        <f t="shared" si="22"/>
        <v>1405</v>
      </c>
      <c r="B782" s="419" t="str">
        <f t="shared" si="23"/>
        <v>Summer</v>
      </c>
      <c r="C782" s="455"/>
      <c r="D782" s="504"/>
      <c r="E782" s="455"/>
      <c r="F782" s="504"/>
      <c r="G782" s="455"/>
      <c r="H782" s="504"/>
      <c r="I782" s="455"/>
      <c r="J782" s="504"/>
      <c r="L782" s="472"/>
      <c r="M782" s="468"/>
      <c r="N782" s="468"/>
      <c r="O782" s="468"/>
      <c r="P782" s="468"/>
      <c r="Q782" s="473"/>
      <c r="R782" s="477" t="str">
        <f>IF(AND(COUNTIF('Start Character'!$I$63:$M$77,"Twilight Prone")=1,NOT(ISERROR(FIND("Magical Botch",M782)))),"Yes",IF(P782&gt;1,"Yes","No"))</f>
        <v>No</v>
      </c>
      <c r="S782" s="501"/>
      <c r="T782" s="478"/>
      <c r="U782" s="501"/>
      <c r="V782" s="479" t="str">
        <f>IF(R782="No","No Twilight",IF(T782="Yes","Uncomprehended Twilight",IF((Character!$B$14+IF(Character!$B$53="Yes",0,Character!$B$53)+IF(Magic!$C$5="Yes",2,0)+ROUNDUP((Magic!$B$30+IF(Magic!$C$30="Yes",3,0))/5,0)+S782)&gt;=($D$3+P782+SUMIF(Character!$I$62:$I$66,"Enigmatic Wisdom",Character!$J$62:$J$66)+Q782+U782),"No Twilight","Twilight")))</f>
        <v>No Twilight</v>
      </c>
      <c r="W782" s="483"/>
      <c r="X782" s="478"/>
      <c r="Y782" s="484"/>
      <c r="Z782" s="478"/>
      <c r="AA782" s="485" t="str">
        <f>IF(V782="Uncomprehended Twilight","Failed",IF(OR(ISBLANK(W782),ISBLANK(Y782))," ",IF(NOT(ISBLANK(X782)),"Failed",IF((W782+Character!$B$9+SUMIF(Character!$I$62:$I$66,"Enigmatic Wisdom",Character!$J$62:$J$66))&gt;=IF(Z782="Yes",0,(Y782+D777)),"Succeeded","Failed"))))</f>
        <v xml:space="preserve"> </v>
      </c>
      <c r="AB782" s="477" t="str">
        <f>IF(AA782=" "," ",IF(NOT(ISBLANK(X782)),VLOOKUP($D$3+X782,Calcs!$A$110:$C$122,3,TRUE),IF(AA782="Failed",VLOOKUP($D$3,Calcs!$A$110:$C$122,3,TRUE),VLOOKUP($D$3-(IF((Character!$B$9+W782)&gt;($D$3+Y782),(Character!$B$9+W782)-($D$3+Y782),0)),Calcs!$A$110:$C$122,3,TRUE))))</f>
        <v xml:space="preserve"> </v>
      </c>
      <c r="AC782" s="489"/>
      <c r="AD782" s="489" t="str">
        <f>IF(IF(AA782=" "," ",IF(NOT(ISBLANK(X782)),VLOOKUP($D$3+X782,Calcs!$A$110:$B$122,2,TRUE),IF(AA782="Failed",VLOOKUP($D$3,Calcs!$A$110:$B$122,2,TRUE),VLOOKUP($D$3-(IF((Character!$B$9+W782)&gt;($D$3+Y782),(Character!$B$9+W782)-($D$3+Y782),0)),Calcs!$A$110:$B$122,2,TRUE))))=Calcs!$B$120,IF(ISBLANK(AC782)," ",CONCATENATE(AC782+7," Years")),IF(AA782=" "," ",IF(NOT(ISBLANK(X782)),VLOOKUP($D$3+X782,Calcs!$A$110:$B$122,2,TRUE),IF(AA782="Failed",VLOOKUP($D$3,Calcs!$A$110:$B$122,2,TRUE),VLOOKUP($D$3-(IF((Character!$B$9+W782)&gt;($D$3+Y782),(Character!$B$9+W782)-($D$3+Y782),0)),Calcs!$A$110:$B$122,2,TRUE)))))</f>
        <v xml:space="preserve"> </v>
      </c>
      <c r="AE782" s="490"/>
      <c r="AF782" s="879"/>
      <c r="AG782" s="491"/>
    </row>
    <row r="783" spans="1:33" x14ac:dyDescent="0.2">
      <c r="A783" s="415">
        <f t="shared" si="22"/>
        <v>1405</v>
      </c>
      <c r="B783" s="419" t="str">
        <f t="shared" si="23"/>
        <v>Autumn</v>
      </c>
      <c r="C783" s="455"/>
      <c r="D783" s="504"/>
      <c r="E783" s="455"/>
      <c r="F783" s="504"/>
      <c r="G783" s="455"/>
      <c r="H783" s="504"/>
      <c r="I783" s="455"/>
      <c r="J783" s="504"/>
      <c r="L783" s="472"/>
      <c r="M783" s="468"/>
      <c r="N783" s="468"/>
      <c r="O783" s="468"/>
      <c r="P783" s="468"/>
      <c r="Q783" s="473"/>
      <c r="R783" s="477" t="str">
        <f>IF(AND(COUNTIF('Start Character'!$I$63:$M$77,"Twilight Prone")=1,NOT(ISERROR(FIND("Magical Botch",M783)))),"Yes",IF(P783&gt;1,"Yes","No"))</f>
        <v>No</v>
      </c>
      <c r="S783" s="501"/>
      <c r="T783" s="478"/>
      <c r="U783" s="501"/>
      <c r="V783" s="479" t="str">
        <f>IF(R783="No","No Twilight",IF(T783="Yes","Uncomprehended Twilight",IF((Character!$B$14+IF(Character!$B$53="Yes",0,Character!$B$53)+IF(Magic!$C$5="Yes",2,0)+ROUNDUP((Magic!$B$30+IF(Magic!$C$30="Yes",3,0))/5,0)+S783)&gt;=($D$3+P783+SUMIF(Character!$I$62:$I$66,"Enigmatic Wisdom",Character!$J$62:$J$66)+Q783+U783),"No Twilight","Twilight")))</f>
        <v>No Twilight</v>
      </c>
      <c r="W783" s="483"/>
      <c r="X783" s="478"/>
      <c r="Y783" s="484"/>
      <c r="Z783" s="478"/>
      <c r="AA783" s="485" t="str">
        <f>IF(V783="Uncomprehended Twilight","Failed",IF(OR(ISBLANK(W783),ISBLANK(Y783))," ",IF(NOT(ISBLANK(X783)),"Failed",IF((W783+Character!$B$9+SUMIF(Character!$I$62:$I$66,"Enigmatic Wisdom",Character!$J$62:$J$66))&gt;=IF(Z783="Yes",0,(Y783+D778)),"Succeeded","Failed"))))</f>
        <v xml:space="preserve"> </v>
      </c>
      <c r="AB783" s="477" t="str">
        <f>IF(AA783=" "," ",IF(NOT(ISBLANK(X783)),VLOOKUP($D$3+X783,Calcs!$A$110:$C$122,3,TRUE),IF(AA783="Failed",VLOOKUP($D$3,Calcs!$A$110:$C$122,3,TRUE),VLOOKUP($D$3-(IF((Character!$B$9+W783)&gt;($D$3+Y783),(Character!$B$9+W783)-($D$3+Y783),0)),Calcs!$A$110:$C$122,3,TRUE))))</f>
        <v xml:space="preserve"> </v>
      </c>
      <c r="AC783" s="489"/>
      <c r="AD783" s="489" t="str">
        <f>IF(IF(AA783=" "," ",IF(NOT(ISBLANK(X783)),VLOOKUP($D$3+X783,Calcs!$A$110:$B$122,2,TRUE),IF(AA783="Failed",VLOOKUP($D$3,Calcs!$A$110:$B$122,2,TRUE),VLOOKUP($D$3-(IF((Character!$B$9+W783)&gt;($D$3+Y783),(Character!$B$9+W783)-($D$3+Y783),0)),Calcs!$A$110:$B$122,2,TRUE))))=Calcs!$B$120,IF(ISBLANK(AC783)," ",CONCATENATE(AC783+7," Years")),IF(AA783=" "," ",IF(NOT(ISBLANK(X783)),VLOOKUP($D$3+X783,Calcs!$A$110:$B$122,2,TRUE),IF(AA783="Failed",VLOOKUP($D$3,Calcs!$A$110:$B$122,2,TRUE),VLOOKUP($D$3-(IF((Character!$B$9+W783)&gt;($D$3+Y783),(Character!$B$9+W783)-($D$3+Y783),0)),Calcs!$A$110:$B$122,2,TRUE)))))</f>
        <v xml:space="preserve"> </v>
      </c>
      <c r="AE783" s="490"/>
      <c r="AF783" s="879"/>
      <c r="AG783" s="491"/>
    </row>
    <row r="784" spans="1:33" x14ac:dyDescent="0.2">
      <c r="A784" s="415">
        <f t="shared" si="22"/>
        <v>1406</v>
      </c>
      <c r="B784" s="419" t="str">
        <f t="shared" si="23"/>
        <v>Winter</v>
      </c>
      <c r="C784" s="455"/>
      <c r="D784" s="504"/>
      <c r="E784" s="455"/>
      <c r="F784" s="504"/>
      <c r="G784" s="455"/>
      <c r="H784" s="504"/>
      <c r="I784" s="455"/>
      <c r="J784" s="504"/>
      <c r="L784" s="472"/>
      <c r="M784" s="468"/>
      <c r="N784" s="468"/>
      <c r="O784" s="468"/>
      <c r="P784" s="468"/>
      <c r="Q784" s="473"/>
      <c r="R784" s="477" t="str">
        <f>IF(AND(COUNTIF('Start Character'!$I$63:$M$77,"Twilight Prone")=1,NOT(ISERROR(FIND("Magical Botch",M784)))),"Yes",IF(P784&gt;1,"Yes","No"))</f>
        <v>No</v>
      </c>
      <c r="S784" s="501"/>
      <c r="T784" s="478"/>
      <c r="U784" s="501"/>
      <c r="V784" s="479" t="str">
        <f>IF(R784="No","No Twilight",IF(T784="Yes","Uncomprehended Twilight",IF((Character!$B$14+IF(Character!$B$53="Yes",0,Character!$B$53)+IF(Magic!$C$5="Yes",2,0)+ROUNDUP((Magic!$B$30+IF(Magic!$C$30="Yes",3,0))/5,0)+S784)&gt;=($D$3+P784+SUMIF(Character!$I$62:$I$66,"Enigmatic Wisdom",Character!$J$62:$J$66)+Q784+U784),"No Twilight","Twilight")))</f>
        <v>No Twilight</v>
      </c>
      <c r="W784" s="483"/>
      <c r="X784" s="478"/>
      <c r="Y784" s="484"/>
      <c r="Z784" s="478"/>
      <c r="AA784" s="485" t="str">
        <f>IF(V784="Uncomprehended Twilight","Failed",IF(OR(ISBLANK(W784),ISBLANK(Y784))," ",IF(NOT(ISBLANK(X784)),"Failed",IF((W784+Character!$B$9+SUMIF(Character!$I$62:$I$66,"Enigmatic Wisdom",Character!$J$62:$J$66))&gt;=IF(Z784="Yes",0,(Y784+D779)),"Succeeded","Failed"))))</f>
        <v xml:space="preserve"> </v>
      </c>
      <c r="AB784" s="477" t="str">
        <f>IF(AA784=" "," ",IF(NOT(ISBLANK(X784)),VLOOKUP($D$3+X784,Calcs!$A$110:$C$122,3,TRUE),IF(AA784="Failed",VLOOKUP($D$3,Calcs!$A$110:$C$122,3,TRUE),VLOOKUP($D$3-(IF((Character!$B$9+W784)&gt;($D$3+Y784),(Character!$B$9+W784)-($D$3+Y784),0)),Calcs!$A$110:$C$122,3,TRUE))))</f>
        <v xml:space="preserve"> </v>
      </c>
      <c r="AC784" s="489"/>
      <c r="AD784" s="489" t="str">
        <f>IF(IF(AA784=" "," ",IF(NOT(ISBLANK(X784)),VLOOKUP($D$3+X784,Calcs!$A$110:$B$122,2,TRUE),IF(AA784="Failed",VLOOKUP($D$3,Calcs!$A$110:$B$122,2,TRUE),VLOOKUP($D$3-(IF((Character!$B$9+W784)&gt;($D$3+Y784),(Character!$B$9+W784)-($D$3+Y784),0)),Calcs!$A$110:$B$122,2,TRUE))))=Calcs!$B$120,IF(ISBLANK(AC784)," ",CONCATENATE(AC784+7," Years")),IF(AA784=" "," ",IF(NOT(ISBLANK(X784)),VLOOKUP($D$3+X784,Calcs!$A$110:$B$122,2,TRUE),IF(AA784="Failed",VLOOKUP($D$3,Calcs!$A$110:$B$122,2,TRUE),VLOOKUP($D$3-(IF((Character!$B$9+W784)&gt;($D$3+Y784),(Character!$B$9+W784)-($D$3+Y784),0)),Calcs!$A$110:$B$122,2,TRUE)))))</f>
        <v xml:space="preserve"> </v>
      </c>
      <c r="AE784" s="490"/>
      <c r="AF784" s="879"/>
      <c r="AG784" s="491"/>
    </row>
    <row r="785" spans="1:33" x14ac:dyDescent="0.2">
      <c r="A785" s="415">
        <f t="shared" si="22"/>
        <v>1406</v>
      </c>
      <c r="B785" s="419" t="str">
        <f t="shared" si="23"/>
        <v>Spring</v>
      </c>
      <c r="C785" s="455"/>
      <c r="D785" s="504"/>
      <c r="E785" s="455"/>
      <c r="F785" s="504"/>
      <c r="G785" s="455"/>
      <c r="H785" s="504"/>
      <c r="I785" s="455"/>
      <c r="J785" s="504"/>
      <c r="L785" s="472"/>
      <c r="M785" s="468"/>
      <c r="N785" s="468"/>
      <c r="O785" s="468"/>
      <c r="P785" s="468"/>
      <c r="Q785" s="473"/>
      <c r="R785" s="477" t="str">
        <f>IF(AND(COUNTIF('Start Character'!$I$63:$M$77,"Twilight Prone")=1,NOT(ISERROR(FIND("Magical Botch",M785)))),"Yes",IF(P785&gt;1,"Yes","No"))</f>
        <v>No</v>
      </c>
      <c r="S785" s="501"/>
      <c r="T785" s="478"/>
      <c r="U785" s="501"/>
      <c r="V785" s="479" t="str">
        <f>IF(R785="No","No Twilight",IF(T785="Yes","Uncomprehended Twilight",IF((Character!$B$14+IF(Character!$B$53="Yes",0,Character!$B$53)+IF(Magic!$C$5="Yes",2,0)+ROUNDUP((Magic!$B$30+IF(Magic!$C$30="Yes",3,0))/5,0)+S785)&gt;=($D$3+P785+SUMIF(Character!$I$62:$I$66,"Enigmatic Wisdom",Character!$J$62:$J$66)+Q785+U785),"No Twilight","Twilight")))</f>
        <v>No Twilight</v>
      </c>
      <c r="W785" s="483"/>
      <c r="X785" s="478"/>
      <c r="Y785" s="484"/>
      <c r="Z785" s="478"/>
      <c r="AA785" s="485" t="str">
        <f>IF(V785="Uncomprehended Twilight","Failed",IF(OR(ISBLANK(W785),ISBLANK(Y785))," ",IF(NOT(ISBLANK(X785)),"Failed",IF((W785+Character!$B$9+SUMIF(Character!$I$62:$I$66,"Enigmatic Wisdom",Character!$J$62:$J$66))&gt;=IF(Z785="Yes",0,(Y785+D780)),"Succeeded","Failed"))))</f>
        <v xml:space="preserve"> </v>
      </c>
      <c r="AB785" s="477" t="str">
        <f>IF(AA785=" "," ",IF(NOT(ISBLANK(X785)),VLOOKUP($D$3+X785,Calcs!$A$110:$C$122,3,TRUE),IF(AA785="Failed",VLOOKUP($D$3,Calcs!$A$110:$C$122,3,TRUE),VLOOKUP($D$3-(IF((Character!$B$9+W785)&gt;($D$3+Y785),(Character!$B$9+W785)-($D$3+Y785),0)),Calcs!$A$110:$C$122,3,TRUE))))</f>
        <v xml:space="preserve"> </v>
      </c>
      <c r="AC785" s="489"/>
      <c r="AD785" s="489" t="str">
        <f>IF(IF(AA785=" "," ",IF(NOT(ISBLANK(X785)),VLOOKUP($D$3+X785,Calcs!$A$110:$B$122,2,TRUE),IF(AA785="Failed",VLOOKUP($D$3,Calcs!$A$110:$B$122,2,TRUE),VLOOKUP($D$3-(IF((Character!$B$9+W785)&gt;($D$3+Y785),(Character!$B$9+W785)-($D$3+Y785),0)),Calcs!$A$110:$B$122,2,TRUE))))=Calcs!$B$120,IF(ISBLANK(AC785)," ",CONCATENATE(AC785+7," Years")),IF(AA785=" "," ",IF(NOT(ISBLANK(X785)),VLOOKUP($D$3+X785,Calcs!$A$110:$B$122,2,TRUE),IF(AA785="Failed",VLOOKUP($D$3,Calcs!$A$110:$B$122,2,TRUE),VLOOKUP($D$3-(IF((Character!$B$9+W785)&gt;($D$3+Y785),(Character!$B$9+W785)-($D$3+Y785),0)),Calcs!$A$110:$B$122,2,TRUE)))))</f>
        <v xml:space="preserve"> </v>
      </c>
      <c r="AE785" s="490"/>
      <c r="AF785" s="879"/>
      <c r="AG785" s="491"/>
    </row>
    <row r="786" spans="1:33" x14ac:dyDescent="0.2">
      <c r="A786" s="415">
        <f t="shared" si="22"/>
        <v>1406</v>
      </c>
      <c r="B786" s="419" t="str">
        <f t="shared" si="23"/>
        <v>Summer</v>
      </c>
      <c r="C786" s="455"/>
      <c r="D786" s="504"/>
      <c r="E786" s="455"/>
      <c r="F786" s="504"/>
      <c r="G786" s="455"/>
      <c r="H786" s="504"/>
      <c r="I786" s="455"/>
      <c r="J786" s="504"/>
      <c r="L786" s="472"/>
      <c r="M786" s="468"/>
      <c r="N786" s="468"/>
      <c r="O786" s="468"/>
      <c r="P786" s="468"/>
      <c r="Q786" s="473"/>
      <c r="R786" s="477" t="str">
        <f>IF(AND(COUNTIF('Start Character'!$I$63:$M$77,"Twilight Prone")=1,NOT(ISERROR(FIND("Magical Botch",M786)))),"Yes",IF(P786&gt;1,"Yes","No"))</f>
        <v>No</v>
      </c>
      <c r="S786" s="501"/>
      <c r="T786" s="478"/>
      <c r="U786" s="501"/>
      <c r="V786" s="479" t="str">
        <f>IF(R786="No","No Twilight",IF(T786="Yes","Uncomprehended Twilight",IF((Character!$B$14+IF(Character!$B$53="Yes",0,Character!$B$53)+IF(Magic!$C$5="Yes",2,0)+ROUNDUP((Magic!$B$30+IF(Magic!$C$30="Yes",3,0))/5,0)+S786)&gt;=($D$3+P786+SUMIF(Character!$I$62:$I$66,"Enigmatic Wisdom",Character!$J$62:$J$66)+Q786+U786),"No Twilight","Twilight")))</f>
        <v>No Twilight</v>
      </c>
      <c r="W786" s="483"/>
      <c r="X786" s="478"/>
      <c r="Y786" s="484"/>
      <c r="Z786" s="478"/>
      <c r="AA786" s="485" t="str">
        <f>IF(V786="Uncomprehended Twilight","Failed",IF(OR(ISBLANK(W786),ISBLANK(Y786))," ",IF(NOT(ISBLANK(X786)),"Failed",IF((W786+Character!$B$9+SUMIF(Character!$I$62:$I$66,"Enigmatic Wisdom",Character!$J$62:$J$66))&gt;=IF(Z786="Yes",0,(Y786+D781)),"Succeeded","Failed"))))</f>
        <v xml:space="preserve"> </v>
      </c>
      <c r="AB786" s="477" t="str">
        <f>IF(AA786=" "," ",IF(NOT(ISBLANK(X786)),VLOOKUP($D$3+X786,Calcs!$A$110:$C$122,3,TRUE),IF(AA786="Failed",VLOOKUP($D$3,Calcs!$A$110:$C$122,3,TRUE),VLOOKUP($D$3-(IF((Character!$B$9+W786)&gt;($D$3+Y786),(Character!$B$9+W786)-($D$3+Y786),0)),Calcs!$A$110:$C$122,3,TRUE))))</f>
        <v xml:space="preserve"> </v>
      </c>
      <c r="AC786" s="489"/>
      <c r="AD786" s="489" t="str">
        <f>IF(IF(AA786=" "," ",IF(NOT(ISBLANK(X786)),VLOOKUP($D$3+X786,Calcs!$A$110:$B$122,2,TRUE),IF(AA786="Failed",VLOOKUP($D$3,Calcs!$A$110:$B$122,2,TRUE),VLOOKUP($D$3-(IF((Character!$B$9+W786)&gt;($D$3+Y786),(Character!$B$9+W786)-($D$3+Y786),0)),Calcs!$A$110:$B$122,2,TRUE))))=Calcs!$B$120,IF(ISBLANK(AC786)," ",CONCATENATE(AC786+7," Years")),IF(AA786=" "," ",IF(NOT(ISBLANK(X786)),VLOOKUP($D$3+X786,Calcs!$A$110:$B$122,2,TRUE),IF(AA786="Failed",VLOOKUP($D$3,Calcs!$A$110:$B$122,2,TRUE),VLOOKUP($D$3-(IF((Character!$B$9+W786)&gt;($D$3+Y786),(Character!$B$9+W786)-($D$3+Y786),0)),Calcs!$A$110:$B$122,2,TRUE)))))</f>
        <v xml:space="preserve"> </v>
      </c>
      <c r="AE786" s="490"/>
      <c r="AF786" s="879"/>
      <c r="AG786" s="491"/>
    </row>
    <row r="787" spans="1:33" x14ac:dyDescent="0.2">
      <c r="A787" s="415">
        <f t="shared" si="22"/>
        <v>1406</v>
      </c>
      <c r="B787" s="419" t="str">
        <f t="shared" si="23"/>
        <v>Autumn</v>
      </c>
      <c r="C787" s="455"/>
      <c r="D787" s="504"/>
      <c r="E787" s="455"/>
      <c r="F787" s="504"/>
      <c r="G787" s="455"/>
      <c r="H787" s="504"/>
      <c r="I787" s="455"/>
      <c r="J787" s="504"/>
      <c r="L787" s="472"/>
      <c r="M787" s="468"/>
      <c r="N787" s="468"/>
      <c r="O787" s="468"/>
      <c r="P787" s="468"/>
      <c r="Q787" s="473"/>
      <c r="R787" s="477" t="str">
        <f>IF(AND(COUNTIF('Start Character'!$I$63:$M$77,"Twilight Prone")=1,NOT(ISERROR(FIND("Magical Botch",M787)))),"Yes",IF(P787&gt;1,"Yes","No"))</f>
        <v>No</v>
      </c>
      <c r="S787" s="501"/>
      <c r="T787" s="478"/>
      <c r="U787" s="501"/>
      <c r="V787" s="479" t="str">
        <f>IF(R787="No","No Twilight",IF(T787="Yes","Uncomprehended Twilight",IF((Character!$B$14+IF(Character!$B$53="Yes",0,Character!$B$53)+IF(Magic!$C$5="Yes",2,0)+ROUNDUP((Magic!$B$30+IF(Magic!$C$30="Yes",3,0))/5,0)+S787)&gt;=($D$3+P787+SUMIF(Character!$I$62:$I$66,"Enigmatic Wisdom",Character!$J$62:$J$66)+Q787+U787),"No Twilight","Twilight")))</f>
        <v>No Twilight</v>
      </c>
      <c r="W787" s="483"/>
      <c r="X787" s="478"/>
      <c r="Y787" s="484"/>
      <c r="Z787" s="478"/>
      <c r="AA787" s="485" t="str">
        <f>IF(V787="Uncomprehended Twilight","Failed",IF(OR(ISBLANK(W787),ISBLANK(Y787))," ",IF(NOT(ISBLANK(X787)),"Failed",IF((W787+Character!$B$9+SUMIF(Character!$I$62:$I$66,"Enigmatic Wisdom",Character!$J$62:$J$66))&gt;=IF(Z787="Yes",0,(Y787+D782)),"Succeeded","Failed"))))</f>
        <v xml:space="preserve"> </v>
      </c>
      <c r="AB787" s="477" t="str">
        <f>IF(AA787=" "," ",IF(NOT(ISBLANK(X787)),VLOOKUP($D$3+X787,Calcs!$A$110:$C$122,3,TRUE),IF(AA787="Failed",VLOOKUP($D$3,Calcs!$A$110:$C$122,3,TRUE),VLOOKUP($D$3-(IF((Character!$B$9+W787)&gt;($D$3+Y787),(Character!$B$9+W787)-($D$3+Y787),0)),Calcs!$A$110:$C$122,3,TRUE))))</f>
        <v xml:space="preserve"> </v>
      </c>
      <c r="AC787" s="489"/>
      <c r="AD787" s="489" t="str">
        <f>IF(IF(AA787=" "," ",IF(NOT(ISBLANK(X787)),VLOOKUP($D$3+X787,Calcs!$A$110:$B$122,2,TRUE),IF(AA787="Failed",VLOOKUP($D$3,Calcs!$A$110:$B$122,2,TRUE),VLOOKUP($D$3-(IF((Character!$B$9+W787)&gt;($D$3+Y787),(Character!$B$9+W787)-($D$3+Y787),0)),Calcs!$A$110:$B$122,2,TRUE))))=Calcs!$B$120,IF(ISBLANK(AC787)," ",CONCATENATE(AC787+7," Years")),IF(AA787=" "," ",IF(NOT(ISBLANK(X787)),VLOOKUP($D$3+X787,Calcs!$A$110:$B$122,2,TRUE),IF(AA787="Failed",VLOOKUP($D$3,Calcs!$A$110:$B$122,2,TRUE),VLOOKUP($D$3-(IF((Character!$B$9+W787)&gt;($D$3+Y787),(Character!$B$9+W787)-($D$3+Y787),0)),Calcs!$A$110:$B$122,2,TRUE)))))</f>
        <v xml:space="preserve"> </v>
      </c>
      <c r="AE787" s="490"/>
      <c r="AF787" s="879"/>
      <c r="AG787" s="491"/>
    </row>
    <row r="788" spans="1:33" x14ac:dyDescent="0.2">
      <c r="A788" s="415">
        <f t="shared" si="22"/>
        <v>1407</v>
      </c>
      <c r="B788" s="419" t="str">
        <f t="shared" si="23"/>
        <v>Winter</v>
      </c>
      <c r="C788" s="455"/>
      <c r="D788" s="504"/>
      <c r="E788" s="455"/>
      <c r="F788" s="504"/>
      <c r="G788" s="455"/>
      <c r="H788" s="504"/>
      <c r="I788" s="455"/>
      <c r="J788" s="504"/>
      <c r="L788" s="472"/>
      <c r="M788" s="468"/>
      <c r="N788" s="468"/>
      <c r="O788" s="468"/>
      <c r="P788" s="468"/>
      <c r="Q788" s="473"/>
      <c r="R788" s="477" t="str">
        <f>IF(AND(COUNTIF('Start Character'!$I$63:$M$77,"Twilight Prone")=1,NOT(ISERROR(FIND("Magical Botch",M788)))),"Yes",IF(P788&gt;1,"Yes","No"))</f>
        <v>No</v>
      </c>
      <c r="S788" s="501"/>
      <c r="T788" s="478"/>
      <c r="U788" s="501"/>
      <c r="V788" s="479" t="str">
        <f>IF(R788="No","No Twilight",IF(T788="Yes","Uncomprehended Twilight",IF((Character!$B$14+IF(Character!$B$53="Yes",0,Character!$B$53)+IF(Magic!$C$5="Yes",2,0)+ROUNDUP((Magic!$B$30+IF(Magic!$C$30="Yes",3,0))/5,0)+S788)&gt;=($D$3+P788+SUMIF(Character!$I$62:$I$66,"Enigmatic Wisdom",Character!$J$62:$J$66)+Q788+U788),"No Twilight","Twilight")))</f>
        <v>No Twilight</v>
      </c>
      <c r="W788" s="483"/>
      <c r="X788" s="478"/>
      <c r="Y788" s="484"/>
      <c r="Z788" s="478"/>
      <c r="AA788" s="485" t="str">
        <f>IF(V788="Uncomprehended Twilight","Failed",IF(OR(ISBLANK(W788),ISBLANK(Y788))," ",IF(NOT(ISBLANK(X788)),"Failed",IF((W788+Character!$B$9+SUMIF(Character!$I$62:$I$66,"Enigmatic Wisdom",Character!$J$62:$J$66))&gt;=IF(Z788="Yes",0,(Y788+D783)),"Succeeded","Failed"))))</f>
        <v xml:space="preserve"> </v>
      </c>
      <c r="AB788" s="477" t="str">
        <f>IF(AA788=" "," ",IF(NOT(ISBLANK(X788)),VLOOKUP($D$3+X788,Calcs!$A$110:$C$122,3,TRUE),IF(AA788="Failed",VLOOKUP($D$3,Calcs!$A$110:$C$122,3,TRUE),VLOOKUP($D$3-(IF((Character!$B$9+W788)&gt;($D$3+Y788),(Character!$B$9+W788)-($D$3+Y788),0)),Calcs!$A$110:$C$122,3,TRUE))))</f>
        <v xml:space="preserve"> </v>
      </c>
      <c r="AC788" s="489"/>
      <c r="AD788" s="489" t="str">
        <f>IF(IF(AA788=" "," ",IF(NOT(ISBLANK(X788)),VLOOKUP($D$3+X788,Calcs!$A$110:$B$122,2,TRUE),IF(AA788="Failed",VLOOKUP($D$3,Calcs!$A$110:$B$122,2,TRUE),VLOOKUP($D$3-(IF((Character!$B$9+W788)&gt;($D$3+Y788),(Character!$B$9+W788)-($D$3+Y788),0)),Calcs!$A$110:$B$122,2,TRUE))))=Calcs!$B$120,IF(ISBLANK(AC788)," ",CONCATENATE(AC788+7," Years")),IF(AA788=" "," ",IF(NOT(ISBLANK(X788)),VLOOKUP($D$3+X788,Calcs!$A$110:$B$122,2,TRUE),IF(AA788="Failed",VLOOKUP($D$3,Calcs!$A$110:$B$122,2,TRUE),VLOOKUP($D$3-(IF((Character!$B$9+W788)&gt;($D$3+Y788),(Character!$B$9+W788)-($D$3+Y788),0)),Calcs!$A$110:$B$122,2,TRUE)))))</f>
        <v xml:space="preserve"> </v>
      </c>
      <c r="AE788" s="490"/>
      <c r="AF788" s="879"/>
      <c r="AG788" s="491"/>
    </row>
    <row r="789" spans="1:33" x14ac:dyDescent="0.2">
      <c r="A789" s="415">
        <f t="shared" si="22"/>
        <v>1407</v>
      </c>
      <c r="B789" s="419" t="str">
        <f t="shared" si="23"/>
        <v>Spring</v>
      </c>
      <c r="C789" s="455"/>
      <c r="D789" s="504"/>
      <c r="E789" s="455"/>
      <c r="F789" s="504"/>
      <c r="G789" s="455"/>
      <c r="H789" s="504"/>
      <c r="I789" s="455"/>
      <c r="J789" s="504"/>
      <c r="L789" s="472"/>
      <c r="M789" s="468"/>
      <c r="N789" s="468"/>
      <c r="O789" s="468"/>
      <c r="P789" s="468"/>
      <c r="Q789" s="473"/>
      <c r="R789" s="477" t="str">
        <f>IF(AND(COUNTIF('Start Character'!$I$63:$M$77,"Twilight Prone")=1,NOT(ISERROR(FIND("Magical Botch",M789)))),"Yes",IF(P789&gt;1,"Yes","No"))</f>
        <v>No</v>
      </c>
      <c r="S789" s="501"/>
      <c r="T789" s="478"/>
      <c r="U789" s="501"/>
      <c r="V789" s="479" t="str">
        <f>IF(R789="No","No Twilight",IF(T789="Yes","Uncomprehended Twilight",IF((Character!$B$14+IF(Character!$B$53="Yes",0,Character!$B$53)+IF(Magic!$C$5="Yes",2,0)+ROUNDUP((Magic!$B$30+IF(Magic!$C$30="Yes",3,0))/5,0)+S789)&gt;=($D$3+P789+SUMIF(Character!$I$62:$I$66,"Enigmatic Wisdom",Character!$J$62:$J$66)+Q789+U789),"No Twilight","Twilight")))</f>
        <v>No Twilight</v>
      </c>
      <c r="W789" s="483"/>
      <c r="X789" s="478"/>
      <c r="Y789" s="484"/>
      <c r="Z789" s="478"/>
      <c r="AA789" s="485" t="str">
        <f>IF(V789="Uncomprehended Twilight","Failed",IF(OR(ISBLANK(W789),ISBLANK(Y789))," ",IF(NOT(ISBLANK(X789)),"Failed",IF((W789+Character!$B$9+SUMIF(Character!$I$62:$I$66,"Enigmatic Wisdom",Character!$J$62:$J$66))&gt;=IF(Z789="Yes",0,(Y789+D784)),"Succeeded","Failed"))))</f>
        <v xml:space="preserve"> </v>
      </c>
      <c r="AB789" s="477" t="str">
        <f>IF(AA789=" "," ",IF(NOT(ISBLANK(X789)),VLOOKUP($D$3+X789,Calcs!$A$110:$C$122,3,TRUE),IF(AA789="Failed",VLOOKUP($D$3,Calcs!$A$110:$C$122,3,TRUE),VLOOKUP($D$3-(IF((Character!$B$9+W789)&gt;($D$3+Y789),(Character!$B$9+W789)-($D$3+Y789),0)),Calcs!$A$110:$C$122,3,TRUE))))</f>
        <v xml:space="preserve"> </v>
      </c>
      <c r="AC789" s="489"/>
      <c r="AD789" s="489" t="str">
        <f>IF(IF(AA789=" "," ",IF(NOT(ISBLANK(X789)),VLOOKUP($D$3+X789,Calcs!$A$110:$B$122,2,TRUE),IF(AA789="Failed",VLOOKUP($D$3,Calcs!$A$110:$B$122,2,TRUE),VLOOKUP($D$3-(IF((Character!$B$9+W789)&gt;($D$3+Y789),(Character!$B$9+W789)-($D$3+Y789),0)),Calcs!$A$110:$B$122,2,TRUE))))=Calcs!$B$120,IF(ISBLANK(AC789)," ",CONCATENATE(AC789+7," Years")),IF(AA789=" "," ",IF(NOT(ISBLANK(X789)),VLOOKUP($D$3+X789,Calcs!$A$110:$B$122,2,TRUE),IF(AA789="Failed",VLOOKUP($D$3,Calcs!$A$110:$B$122,2,TRUE),VLOOKUP($D$3-(IF((Character!$B$9+W789)&gt;($D$3+Y789),(Character!$B$9+W789)-($D$3+Y789),0)),Calcs!$A$110:$B$122,2,TRUE)))))</f>
        <v xml:space="preserve"> </v>
      </c>
      <c r="AE789" s="490"/>
      <c r="AF789" s="879"/>
      <c r="AG789" s="491"/>
    </row>
    <row r="790" spans="1:33" x14ac:dyDescent="0.2">
      <c r="A790" s="415">
        <f t="shared" si="22"/>
        <v>1407</v>
      </c>
      <c r="B790" s="419" t="str">
        <f t="shared" si="23"/>
        <v>Summer</v>
      </c>
      <c r="C790" s="455"/>
      <c r="D790" s="504"/>
      <c r="E790" s="455"/>
      <c r="F790" s="504"/>
      <c r="G790" s="455"/>
      <c r="H790" s="504"/>
      <c r="I790" s="455"/>
      <c r="J790" s="504"/>
      <c r="L790" s="472"/>
      <c r="M790" s="468"/>
      <c r="N790" s="468"/>
      <c r="O790" s="468"/>
      <c r="P790" s="468"/>
      <c r="Q790" s="473"/>
      <c r="R790" s="477" t="str">
        <f>IF(AND(COUNTIF('Start Character'!$I$63:$M$77,"Twilight Prone")=1,NOT(ISERROR(FIND("Magical Botch",M790)))),"Yes",IF(P790&gt;1,"Yes","No"))</f>
        <v>No</v>
      </c>
      <c r="S790" s="501"/>
      <c r="T790" s="478"/>
      <c r="U790" s="501"/>
      <c r="V790" s="479" t="str">
        <f>IF(R790="No","No Twilight",IF(T790="Yes","Uncomprehended Twilight",IF((Character!$B$14+IF(Character!$B$53="Yes",0,Character!$B$53)+IF(Magic!$C$5="Yes",2,0)+ROUNDUP((Magic!$B$30+IF(Magic!$C$30="Yes",3,0))/5,0)+S790)&gt;=($D$3+P790+SUMIF(Character!$I$62:$I$66,"Enigmatic Wisdom",Character!$J$62:$J$66)+Q790+U790),"No Twilight","Twilight")))</f>
        <v>No Twilight</v>
      </c>
      <c r="W790" s="483"/>
      <c r="X790" s="478"/>
      <c r="Y790" s="484"/>
      <c r="Z790" s="478"/>
      <c r="AA790" s="485" t="str">
        <f>IF(V790="Uncomprehended Twilight","Failed",IF(OR(ISBLANK(W790),ISBLANK(Y790))," ",IF(NOT(ISBLANK(X790)),"Failed",IF((W790+Character!$B$9+SUMIF(Character!$I$62:$I$66,"Enigmatic Wisdom",Character!$J$62:$J$66))&gt;=IF(Z790="Yes",0,(Y790+D785)),"Succeeded","Failed"))))</f>
        <v xml:space="preserve"> </v>
      </c>
      <c r="AB790" s="477" t="str">
        <f>IF(AA790=" "," ",IF(NOT(ISBLANK(X790)),VLOOKUP($D$3+X790,Calcs!$A$110:$C$122,3,TRUE),IF(AA790="Failed",VLOOKUP($D$3,Calcs!$A$110:$C$122,3,TRUE),VLOOKUP($D$3-(IF((Character!$B$9+W790)&gt;($D$3+Y790),(Character!$B$9+W790)-($D$3+Y790),0)),Calcs!$A$110:$C$122,3,TRUE))))</f>
        <v xml:space="preserve"> </v>
      </c>
      <c r="AC790" s="489"/>
      <c r="AD790" s="489" t="str">
        <f>IF(IF(AA790=" "," ",IF(NOT(ISBLANK(X790)),VLOOKUP($D$3+X790,Calcs!$A$110:$B$122,2,TRUE),IF(AA790="Failed",VLOOKUP($D$3,Calcs!$A$110:$B$122,2,TRUE),VLOOKUP($D$3-(IF((Character!$B$9+W790)&gt;($D$3+Y790),(Character!$B$9+W790)-($D$3+Y790),0)),Calcs!$A$110:$B$122,2,TRUE))))=Calcs!$B$120,IF(ISBLANK(AC790)," ",CONCATENATE(AC790+7," Years")),IF(AA790=" "," ",IF(NOT(ISBLANK(X790)),VLOOKUP($D$3+X790,Calcs!$A$110:$B$122,2,TRUE),IF(AA790="Failed",VLOOKUP($D$3,Calcs!$A$110:$B$122,2,TRUE),VLOOKUP($D$3-(IF((Character!$B$9+W790)&gt;($D$3+Y790),(Character!$B$9+W790)-($D$3+Y790),0)),Calcs!$A$110:$B$122,2,TRUE)))))</f>
        <v xml:space="preserve"> </v>
      </c>
      <c r="AE790" s="490"/>
      <c r="AF790" s="879"/>
      <c r="AG790" s="491"/>
    </row>
    <row r="791" spans="1:33" x14ac:dyDescent="0.2">
      <c r="A791" s="415">
        <f t="shared" si="22"/>
        <v>1407</v>
      </c>
      <c r="B791" s="419" t="str">
        <f t="shared" si="23"/>
        <v>Autumn</v>
      </c>
      <c r="C791" s="455"/>
      <c r="D791" s="504"/>
      <c r="E791" s="455"/>
      <c r="F791" s="504"/>
      <c r="G791" s="455"/>
      <c r="H791" s="504"/>
      <c r="I791" s="455"/>
      <c r="J791" s="504"/>
      <c r="L791" s="472"/>
      <c r="M791" s="468"/>
      <c r="N791" s="468"/>
      <c r="O791" s="468"/>
      <c r="P791" s="468"/>
      <c r="Q791" s="473"/>
      <c r="R791" s="477" t="str">
        <f>IF(AND(COUNTIF('Start Character'!$I$63:$M$77,"Twilight Prone")=1,NOT(ISERROR(FIND("Magical Botch",M791)))),"Yes",IF(P791&gt;1,"Yes","No"))</f>
        <v>No</v>
      </c>
      <c r="S791" s="501"/>
      <c r="T791" s="478"/>
      <c r="U791" s="501"/>
      <c r="V791" s="479" t="str">
        <f>IF(R791="No","No Twilight",IF(T791="Yes","Uncomprehended Twilight",IF((Character!$B$14+IF(Character!$B$53="Yes",0,Character!$B$53)+IF(Magic!$C$5="Yes",2,0)+ROUNDUP((Magic!$B$30+IF(Magic!$C$30="Yes",3,0))/5,0)+S791)&gt;=($D$3+P791+SUMIF(Character!$I$62:$I$66,"Enigmatic Wisdom",Character!$J$62:$J$66)+Q791+U791),"No Twilight","Twilight")))</f>
        <v>No Twilight</v>
      </c>
      <c r="W791" s="483"/>
      <c r="X791" s="478"/>
      <c r="Y791" s="484"/>
      <c r="Z791" s="478"/>
      <c r="AA791" s="485" t="str">
        <f>IF(V791="Uncomprehended Twilight","Failed",IF(OR(ISBLANK(W791),ISBLANK(Y791))," ",IF(NOT(ISBLANK(X791)),"Failed",IF((W791+Character!$B$9+SUMIF(Character!$I$62:$I$66,"Enigmatic Wisdom",Character!$J$62:$J$66))&gt;=IF(Z791="Yes",0,(Y791+D786)),"Succeeded","Failed"))))</f>
        <v xml:space="preserve"> </v>
      </c>
      <c r="AB791" s="477" t="str">
        <f>IF(AA791=" "," ",IF(NOT(ISBLANK(X791)),VLOOKUP($D$3+X791,Calcs!$A$110:$C$122,3,TRUE),IF(AA791="Failed",VLOOKUP($D$3,Calcs!$A$110:$C$122,3,TRUE),VLOOKUP($D$3-(IF((Character!$B$9+W791)&gt;($D$3+Y791),(Character!$B$9+W791)-($D$3+Y791),0)),Calcs!$A$110:$C$122,3,TRUE))))</f>
        <v xml:space="preserve"> </v>
      </c>
      <c r="AC791" s="489"/>
      <c r="AD791" s="489" t="str">
        <f>IF(IF(AA791=" "," ",IF(NOT(ISBLANK(X791)),VLOOKUP($D$3+X791,Calcs!$A$110:$B$122,2,TRUE),IF(AA791="Failed",VLOOKUP($D$3,Calcs!$A$110:$B$122,2,TRUE),VLOOKUP($D$3-(IF((Character!$B$9+W791)&gt;($D$3+Y791),(Character!$B$9+W791)-($D$3+Y791),0)),Calcs!$A$110:$B$122,2,TRUE))))=Calcs!$B$120,IF(ISBLANK(AC791)," ",CONCATENATE(AC791+7," Years")),IF(AA791=" "," ",IF(NOT(ISBLANK(X791)),VLOOKUP($D$3+X791,Calcs!$A$110:$B$122,2,TRUE),IF(AA791="Failed",VLOOKUP($D$3,Calcs!$A$110:$B$122,2,TRUE),VLOOKUP($D$3-(IF((Character!$B$9+W791)&gt;($D$3+Y791),(Character!$B$9+W791)-($D$3+Y791),0)),Calcs!$A$110:$B$122,2,TRUE)))))</f>
        <v xml:space="preserve"> </v>
      </c>
      <c r="AE791" s="490"/>
      <c r="AF791" s="879"/>
      <c r="AG791" s="491"/>
    </row>
    <row r="792" spans="1:33" x14ac:dyDescent="0.2">
      <c r="A792" s="415">
        <f t="shared" si="22"/>
        <v>1408</v>
      </c>
      <c r="B792" s="419" t="str">
        <f t="shared" si="23"/>
        <v>Winter</v>
      </c>
      <c r="C792" s="455"/>
      <c r="D792" s="504"/>
      <c r="E792" s="455"/>
      <c r="F792" s="504"/>
      <c r="G792" s="455"/>
      <c r="H792" s="504"/>
      <c r="I792" s="455"/>
      <c r="J792" s="504"/>
      <c r="L792" s="472"/>
      <c r="M792" s="468"/>
      <c r="N792" s="468"/>
      <c r="O792" s="468"/>
      <c r="P792" s="468"/>
      <c r="Q792" s="473"/>
      <c r="R792" s="477" t="str">
        <f>IF(AND(COUNTIF('Start Character'!$I$63:$M$77,"Twilight Prone")=1,NOT(ISERROR(FIND("Magical Botch",M792)))),"Yes",IF(P792&gt;1,"Yes","No"))</f>
        <v>No</v>
      </c>
      <c r="S792" s="501"/>
      <c r="T792" s="478"/>
      <c r="U792" s="501"/>
      <c r="V792" s="479" t="str">
        <f>IF(R792="No","No Twilight",IF(T792="Yes","Uncomprehended Twilight",IF((Character!$B$14+IF(Character!$B$53="Yes",0,Character!$B$53)+IF(Magic!$C$5="Yes",2,0)+ROUNDUP((Magic!$B$30+IF(Magic!$C$30="Yes",3,0))/5,0)+S792)&gt;=($D$3+P792+SUMIF(Character!$I$62:$I$66,"Enigmatic Wisdom",Character!$J$62:$J$66)+Q792+U792),"No Twilight","Twilight")))</f>
        <v>No Twilight</v>
      </c>
      <c r="W792" s="483"/>
      <c r="X792" s="478"/>
      <c r="Y792" s="484"/>
      <c r="Z792" s="478"/>
      <c r="AA792" s="485" t="str">
        <f>IF(V792="Uncomprehended Twilight","Failed",IF(OR(ISBLANK(W792),ISBLANK(Y792))," ",IF(NOT(ISBLANK(X792)),"Failed",IF((W792+Character!$B$9+SUMIF(Character!$I$62:$I$66,"Enigmatic Wisdom",Character!$J$62:$J$66))&gt;=IF(Z792="Yes",0,(Y792+D787)),"Succeeded","Failed"))))</f>
        <v xml:space="preserve"> </v>
      </c>
      <c r="AB792" s="477" t="str">
        <f>IF(AA792=" "," ",IF(NOT(ISBLANK(X792)),VLOOKUP($D$3+X792,Calcs!$A$110:$C$122,3,TRUE),IF(AA792="Failed",VLOOKUP($D$3,Calcs!$A$110:$C$122,3,TRUE),VLOOKUP($D$3-(IF((Character!$B$9+W792)&gt;($D$3+Y792),(Character!$B$9+W792)-($D$3+Y792),0)),Calcs!$A$110:$C$122,3,TRUE))))</f>
        <v xml:space="preserve"> </v>
      </c>
      <c r="AC792" s="489"/>
      <c r="AD792" s="489" t="str">
        <f>IF(IF(AA792=" "," ",IF(NOT(ISBLANK(X792)),VLOOKUP($D$3+X792,Calcs!$A$110:$B$122,2,TRUE),IF(AA792="Failed",VLOOKUP($D$3,Calcs!$A$110:$B$122,2,TRUE),VLOOKUP($D$3-(IF((Character!$B$9+W792)&gt;($D$3+Y792),(Character!$B$9+W792)-($D$3+Y792),0)),Calcs!$A$110:$B$122,2,TRUE))))=Calcs!$B$120,IF(ISBLANK(AC792)," ",CONCATENATE(AC792+7," Years")),IF(AA792=" "," ",IF(NOT(ISBLANK(X792)),VLOOKUP($D$3+X792,Calcs!$A$110:$B$122,2,TRUE),IF(AA792="Failed",VLOOKUP($D$3,Calcs!$A$110:$B$122,2,TRUE),VLOOKUP($D$3-(IF((Character!$B$9+W792)&gt;($D$3+Y792),(Character!$B$9+W792)-($D$3+Y792),0)),Calcs!$A$110:$B$122,2,TRUE)))))</f>
        <v xml:space="preserve"> </v>
      </c>
      <c r="AE792" s="490"/>
      <c r="AF792" s="879"/>
      <c r="AG792" s="491"/>
    </row>
    <row r="793" spans="1:33" x14ac:dyDescent="0.2">
      <c r="A793" s="415">
        <f t="shared" si="22"/>
        <v>1408</v>
      </c>
      <c r="B793" s="419" t="str">
        <f t="shared" si="23"/>
        <v>Spring</v>
      </c>
      <c r="C793" s="455"/>
      <c r="D793" s="504"/>
      <c r="E793" s="455"/>
      <c r="F793" s="504"/>
      <c r="G793" s="455"/>
      <c r="H793" s="504"/>
      <c r="I793" s="455"/>
      <c r="J793" s="504"/>
      <c r="L793" s="472"/>
      <c r="M793" s="468"/>
      <c r="N793" s="468"/>
      <c r="O793" s="468"/>
      <c r="P793" s="468"/>
      <c r="Q793" s="473"/>
      <c r="R793" s="477" t="str">
        <f>IF(AND(COUNTIF('Start Character'!$I$63:$M$77,"Twilight Prone")=1,NOT(ISERROR(FIND("Magical Botch",M793)))),"Yes",IF(P793&gt;1,"Yes","No"))</f>
        <v>No</v>
      </c>
      <c r="S793" s="501"/>
      <c r="T793" s="478"/>
      <c r="U793" s="501"/>
      <c r="V793" s="479" t="str">
        <f>IF(R793="No","No Twilight",IF(T793="Yes","Uncomprehended Twilight",IF((Character!$B$14+IF(Character!$B$53="Yes",0,Character!$B$53)+IF(Magic!$C$5="Yes",2,0)+ROUNDUP((Magic!$B$30+IF(Magic!$C$30="Yes",3,0))/5,0)+S793)&gt;=($D$3+P793+SUMIF(Character!$I$62:$I$66,"Enigmatic Wisdom",Character!$J$62:$J$66)+Q793+U793),"No Twilight","Twilight")))</f>
        <v>No Twilight</v>
      </c>
      <c r="W793" s="483"/>
      <c r="X793" s="478"/>
      <c r="Y793" s="484"/>
      <c r="Z793" s="478"/>
      <c r="AA793" s="485" t="str">
        <f>IF(V793="Uncomprehended Twilight","Failed",IF(OR(ISBLANK(W793),ISBLANK(Y793))," ",IF(NOT(ISBLANK(X793)),"Failed",IF((W793+Character!$B$9+SUMIF(Character!$I$62:$I$66,"Enigmatic Wisdom",Character!$J$62:$J$66))&gt;=IF(Z793="Yes",0,(Y793+D788)),"Succeeded","Failed"))))</f>
        <v xml:space="preserve"> </v>
      </c>
      <c r="AB793" s="477" t="str">
        <f>IF(AA793=" "," ",IF(NOT(ISBLANK(X793)),VLOOKUP($D$3+X793,Calcs!$A$110:$C$122,3,TRUE),IF(AA793="Failed",VLOOKUP($D$3,Calcs!$A$110:$C$122,3,TRUE),VLOOKUP($D$3-(IF((Character!$B$9+W793)&gt;($D$3+Y793),(Character!$B$9+W793)-($D$3+Y793),0)),Calcs!$A$110:$C$122,3,TRUE))))</f>
        <v xml:space="preserve"> </v>
      </c>
      <c r="AC793" s="489"/>
      <c r="AD793" s="489" t="str">
        <f>IF(IF(AA793=" "," ",IF(NOT(ISBLANK(X793)),VLOOKUP($D$3+X793,Calcs!$A$110:$B$122,2,TRUE),IF(AA793="Failed",VLOOKUP($D$3,Calcs!$A$110:$B$122,2,TRUE),VLOOKUP($D$3-(IF((Character!$B$9+W793)&gt;($D$3+Y793),(Character!$B$9+W793)-($D$3+Y793),0)),Calcs!$A$110:$B$122,2,TRUE))))=Calcs!$B$120,IF(ISBLANK(AC793)," ",CONCATENATE(AC793+7," Years")),IF(AA793=" "," ",IF(NOT(ISBLANK(X793)),VLOOKUP($D$3+X793,Calcs!$A$110:$B$122,2,TRUE),IF(AA793="Failed",VLOOKUP($D$3,Calcs!$A$110:$B$122,2,TRUE),VLOOKUP($D$3-(IF((Character!$B$9+W793)&gt;($D$3+Y793),(Character!$B$9+W793)-($D$3+Y793),0)),Calcs!$A$110:$B$122,2,TRUE)))))</f>
        <v xml:space="preserve"> </v>
      </c>
      <c r="AE793" s="490"/>
      <c r="AF793" s="879"/>
      <c r="AG793" s="491"/>
    </row>
    <row r="794" spans="1:33" x14ac:dyDescent="0.2">
      <c r="A794" s="415">
        <f t="shared" si="22"/>
        <v>1408</v>
      </c>
      <c r="B794" s="419" t="str">
        <f t="shared" si="23"/>
        <v>Summer</v>
      </c>
      <c r="C794" s="455"/>
      <c r="D794" s="504"/>
      <c r="E794" s="455"/>
      <c r="F794" s="504"/>
      <c r="G794" s="455"/>
      <c r="H794" s="504"/>
      <c r="I794" s="455"/>
      <c r="J794" s="504"/>
      <c r="L794" s="472"/>
      <c r="M794" s="468"/>
      <c r="N794" s="468"/>
      <c r="O794" s="468"/>
      <c r="P794" s="468"/>
      <c r="Q794" s="473"/>
      <c r="R794" s="477" t="str">
        <f>IF(AND(COUNTIF('Start Character'!$I$63:$M$77,"Twilight Prone")=1,NOT(ISERROR(FIND("Magical Botch",M794)))),"Yes",IF(P794&gt;1,"Yes","No"))</f>
        <v>No</v>
      </c>
      <c r="S794" s="501"/>
      <c r="T794" s="478"/>
      <c r="U794" s="501"/>
      <c r="V794" s="479" t="str">
        <f>IF(R794="No","No Twilight",IF(T794="Yes","Uncomprehended Twilight",IF((Character!$B$14+IF(Character!$B$53="Yes",0,Character!$B$53)+IF(Magic!$C$5="Yes",2,0)+ROUNDUP((Magic!$B$30+IF(Magic!$C$30="Yes",3,0))/5,0)+S794)&gt;=($D$3+P794+SUMIF(Character!$I$62:$I$66,"Enigmatic Wisdom",Character!$J$62:$J$66)+Q794+U794),"No Twilight","Twilight")))</f>
        <v>No Twilight</v>
      </c>
      <c r="W794" s="483"/>
      <c r="X794" s="478"/>
      <c r="Y794" s="484"/>
      <c r="Z794" s="478"/>
      <c r="AA794" s="485" t="str">
        <f>IF(V794="Uncomprehended Twilight","Failed",IF(OR(ISBLANK(W794),ISBLANK(Y794))," ",IF(NOT(ISBLANK(X794)),"Failed",IF((W794+Character!$B$9+SUMIF(Character!$I$62:$I$66,"Enigmatic Wisdom",Character!$J$62:$J$66))&gt;=IF(Z794="Yes",0,(Y794+D789)),"Succeeded","Failed"))))</f>
        <v xml:space="preserve"> </v>
      </c>
      <c r="AB794" s="477" t="str">
        <f>IF(AA794=" "," ",IF(NOT(ISBLANK(X794)),VLOOKUP($D$3+X794,Calcs!$A$110:$C$122,3,TRUE),IF(AA794="Failed",VLOOKUP($D$3,Calcs!$A$110:$C$122,3,TRUE),VLOOKUP($D$3-(IF((Character!$B$9+W794)&gt;($D$3+Y794),(Character!$B$9+W794)-($D$3+Y794),0)),Calcs!$A$110:$C$122,3,TRUE))))</f>
        <v xml:space="preserve"> </v>
      </c>
      <c r="AC794" s="489"/>
      <c r="AD794" s="489" t="str">
        <f>IF(IF(AA794=" "," ",IF(NOT(ISBLANK(X794)),VLOOKUP($D$3+X794,Calcs!$A$110:$B$122,2,TRUE),IF(AA794="Failed",VLOOKUP($D$3,Calcs!$A$110:$B$122,2,TRUE),VLOOKUP($D$3-(IF((Character!$B$9+W794)&gt;($D$3+Y794),(Character!$B$9+W794)-($D$3+Y794),0)),Calcs!$A$110:$B$122,2,TRUE))))=Calcs!$B$120,IF(ISBLANK(AC794)," ",CONCATENATE(AC794+7," Years")),IF(AA794=" "," ",IF(NOT(ISBLANK(X794)),VLOOKUP($D$3+X794,Calcs!$A$110:$B$122,2,TRUE),IF(AA794="Failed",VLOOKUP($D$3,Calcs!$A$110:$B$122,2,TRUE),VLOOKUP($D$3-(IF((Character!$B$9+W794)&gt;($D$3+Y794),(Character!$B$9+W794)-($D$3+Y794),0)),Calcs!$A$110:$B$122,2,TRUE)))))</f>
        <v xml:space="preserve"> </v>
      </c>
      <c r="AE794" s="490"/>
      <c r="AF794" s="879"/>
      <c r="AG794" s="491"/>
    </row>
    <row r="795" spans="1:33" x14ac:dyDescent="0.2">
      <c r="A795" s="415">
        <f t="shared" si="22"/>
        <v>1408</v>
      </c>
      <c r="B795" s="419" t="str">
        <f t="shared" si="23"/>
        <v>Autumn</v>
      </c>
      <c r="C795" s="455"/>
      <c r="D795" s="504"/>
      <c r="E795" s="455"/>
      <c r="F795" s="504"/>
      <c r="G795" s="455"/>
      <c r="H795" s="504"/>
      <c r="I795" s="455"/>
      <c r="J795" s="504"/>
      <c r="L795" s="472"/>
      <c r="M795" s="468"/>
      <c r="N795" s="468"/>
      <c r="O795" s="468"/>
      <c r="P795" s="468"/>
      <c r="Q795" s="473"/>
      <c r="R795" s="477" t="str">
        <f>IF(AND(COUNTIF('Start Character'!$I$63:$M$77,"Twilight Prone")=1,NOT(ISERROR(FIND("Magical Botch",M795)))),"Yes",IF(P795&gt;1,"Yes","No"))</f>
        <v>No</v>
      </c>
      <c r="S795" s="501"/>
      <c r="T795" s="478"/>
      <c r="U795" s="501"/>
      <c r="V795" s="479" t="str">
        <f>IF(R795="No","No Twilight",IF(T795="Yes","Uncomprehended Twilight",IF((Character!$B$14+IF(Character!$B$53="Yes",0,Character!$B$53)+IF(Magic!$C$5="Yes",2,0)+ROUNDUP((Magic!$B$30+IF(Magic!$C$30="Yes",3,0))/5,0)+S795)&gt;=($D$3+P795+SUMIF(Character!$I$62:$I$66,"Enigmatic Wisdom",Character!$J$62:$J$66)+Q795+U795),"No Twilight","Twilight")))</f>
        <v>No Twilight</v>
      </c>
      <c r="W795" s="483"/>
      <c r="X795" s="478"/>
      <c r="Y795" s="484"/>
      <c r="Z795" s="478"/>
      <c r="AA795" s="485" t="str">
        <f>IF(V795="Uncomprehended Twilight","Failed",IF(OR(ISBLANK(W795),ISBLANK(Y795))," ",IF(NOT(ISBLANK(X795)),"Failed",IF((W795+Character!$B$9+SUMIF(Character!$I$62:$I$66,"Enigmatic Wisdom",Character!$J$62:$J$66))&gt;=IF(Z795="Yes",0,(Y795+D790)),"Succeeded","Failed"))))</f>
        <v xml:space="preserve"> </v>
      </c>
      <c r="AB795" s="477" t="str">
        <f>IF(AA795=" "," ",IF(NOT(ISBLANK(X795)),VLOOKUP($D$3+X795,Calcs!$A$110:$C$122,3,TRUE),IF(AA795="Failed",VLOOKUP($D$3,Calcs!$A$110:$C$122,3,TRUE),VLOOKUP($D$3-(IF((Character!$B$9+W795)&gt;($D$3+Y795),(Character!$B$9+W795)-($D$3+Y795),0)),Calcs!$A$110:$C$122,3,TRUE))))</f>
        <v xml:space="preserve"> </v>
      </c>
      <c r="AC795" s="489"/>
      <c r="AD795" s="489" t="str">
        <f>IF(IF(AA795=" "," ",IF(NOT(ISBLANK(X795)),VLOOKUP($D$3+X795,Calcs!$A$110:$B$122,2,TRUE),IF(AA795="Failed",VLOOKUP($D$3,Calcs!$A$110:$B$122,2,TRUE),VLOOKUP($D$3-(IF((Character!$B$9+W795)&gt;($D$3+Y795),(Character!$B$9+W795)-($D$3+Y795),0)),Calcs!$A$110:$B$122,2,TRUE))))=Calcs!$B$120,IF(ISBLANK(AC795)," ",CONCATENATE(AC795+7," Years")),IF(AA795=" "," ",IF(NOT(ISBLANK(X795)),VLOOKUP($D$3+X795,Calcs!$A$110:$B$122,2,TRUE),IF(AA795="Failed",VLOOKUP($D$3,Calcs!$A$110:$B$122,2,TRUE),VLOOKUP($D$3-(IF((Character!$B$9+W795)&gt;($D$3+Y795),(Character!$B$9+W795)-($D$3+Y795),0)),Calcs!$A$110:$B$122,2,TRUE)))))</f>
        <v xml:space="preserve"> </v>
      </c>
      <c r="AE795" s="490"/>
      <c r="AF795" s="879"/>
      <c r="AG795" s="491"/>
    </row>
    <row r="796" spans="1:33" x14ac:dyDescent="0.2">
      <c r="A796" s="415">
        <f t="shared" si="22"/>
        <v>1409</v>
      </c>
      <c r="B796" s="419" t="str">
        <f t="shared" si="23"/>
        <v>Winter</v>
      </c>
      <c r="C796" s="455"/>
      <c r="D796" s="504"/>
      <c r="E796" s="455"/>
      <c r="F796" s="504"/>
      <c r="G796" s="455"/>
      <c r="H796" s="504"/>
      <c r="I796" s="455"/>
      <c r="J796" s="504"/>
      <c r="L796" s="472"/>
      <c r="M796" s="468"/>
      <c r="N796" s="468"/>
      <c r="O796" s="468"/>
      <c r="P796" s="468"/>
      <c r="Q796" s="473"/>
      <c r="R796" s="477" t="str">
        <f>IF(AND(COUNTIF('Start Character'!$I$63:$M$77,"Twilight Prone")=1,NOT(ISERROR(FIND("Magical Botch",M796)))),"Yes",IF(P796&gt;1,"Yes","No"))</f>
        <v>No</v>
      </c>
      <c r="S796" s="501"/>
      <c r="T796" s="478"/>
      <c r="U796" s="501"/>
      <c r="V796" s="479" t="str">
        <f>IF(R796="No","No Twilight",IF(T796="Yes","Uncomprehended Twilight",IF((Character!$B$14+IF(Character!$B$53="Yes",0,Character!$B$53)+IF(Magic!$C$5="Yes",2,0)+ROUNDUP((Magic!$B$30+IF(Magic!$C$30="Yes",3,0))/5,0)+S796)&gt;=($D$3+P796+SUMIF(Character!$I$62:$I$66,"Enigmatic Wisdom",Character!$J$62:$J$66)+Q796+U796),"No Twilight","Twilight")))</f>
        <v>No Twilight</v>
      </c>
      <c r="W796" s="483"/>
      <c r="X796" s="478"/>
      <c r="Y796" s="484"/>
      <c r="Z796" s="478"/>
      <c r="AA796" s="485" t="str">
        <f>IF(V796="Uncomprehended Twilight","Failed",IF(OR(ISBLANK(W796),ISBLANK(Y796))," ",IF(NOT(ISBLANK(X796)),"Failed",IF((W796+Character!$B$9+SUMIF(Character!$I$62:$I$66,"Enigmatic Wisdom",Character!$J$62:$J$66))&gt;=IF(Z796="Yes",0,(Y796+D791)),"Succeeded","Failed"))))</f>
        <v xml:space="preserve"> </v>
      </c>
      <c r="AB796" s="477" t="str">
        <f>IF(AA796=" "," ",IF(NOT(ISBLANK(X796)),VLOOKUP($D$3+X796,Calcs!$A$110:$C$122,3,TRUE),IF(AA796="Failed",VLOOKUP($D$3,Calcs!$A$110:$C$122,3,TRUE),VLOOKUP($D$3-(IF((Character!$B$9+W796)&gt;($D$3+Y796),(Character!$B$9+W796)-($D$3+Y796),0)),Calcs!$A$110:$C$122,3,TRUE))))</f>
        <v xml:space="preserve"> </v>
      </c>
      <c r="AC796" s="489"/>
      <c r="AD796" s="489" t="str">
        <f>IF(IF(AA796=" "," ",IF(NOT(ISBLANK(X796)),VLOOKUP($D$3+X796,Calcs!$A$110:$B$122,2,TRUE),IF(AA796="Failed",VLOOKUP($D$3,Calcs!$A$110:$B$122,2,TRUE),VLOOKUP($D$3-(IF((Character!$B$9+W796)&gt;($D$3+Y796),(Character!$B$9+W796)-($D$3+Y796),0)),Calcs!$A$110:$B$122,2,TRUE))))=Calcs!$B$120,IF(ISBLANK(AC796)," ",CONCATENATE(AC796+7," Years")),IF(AA796=" "," ",IF(NOT(ISBLANK(X796)),VLOOKUP($D$3+X796,Calcs!$A$110:$B$122,2,TRUE),IF(AA796="Failed",VLOOKUP($D$3,Calcs!$A$110:$B$122,2,TRUE),VLOOKUP($D$3-(IF((Character!$B$9+W796)&gt;($D$3+Y796),(Character!$B$9+W796)-($D$3+Y796),0)),Calcs!$A$110:$B$122,2,TRUE)))))</f>
        <v xml:space="preserve"> </v>
      </c>
      <c r="AE796" s="490"/>
      <c r="AF796" s="879"/>
      <c r="AG796" s="491"/>
    </row>
    <row r="797" spans="1:33" x14ac:dyDescent="0.2">
      <c r="A797" s="415">
        <f t="shared" ref="A797:A860" si="24">IF(B796="Autumn",A796+1,A796)</f>
        <v>1409</v>
      </c>
      <c r="B797" s="419" t="str">
        <f t="shared" ref="B797:B860" si="25">IF(B796="spring","Summer",IF(B796="Summer","Autumn",IF(B796="Autumn","Winter",IF(B796="Winter","Spring"," "))))</f>
        <v>Spring</v>
      </c>
      <c r="C797" s="455"/>
      <c r="D797" s="504"/>
      <c r="E797" s="455"/>
      <c r="F797" s="504"/>
      <c r="G797" s="455"/>
      <c r="H797" s="504"/>
      <c r="I797" s="455"/>
      <c r="J797" s="504"/>
      <c r="L797" s="472"/>
      <c r="M797" s="468"/>
      <c r="N797" s="468"/>
      <c r="O797" s="468"/>
      <c r="P797" s="468"/>
      <c r="Q797" s="473"/>
      <c r="R797" s="477" t="str">
        <f>IF(AND(COUNTIF('Start Character'!$I$63:$M$77,"Twilight Prone")=1,NOT(ISERROR(FIND("Magical Botch",M797)))),"Yes",IF(P797&gt;1,"Yes","No"))</f>
        <v>No</v>
      </c>
      <c r="S797" s="501"/>
      <c r="T797" s="478"/>
      <c r="U797" s="501"/>
      <c r="V797" s="479" t="str">
        <f>IF(R797="No","No Twilight",IF(T797="Yes","Uncomprehended Twilight",IF((Character!$B$14+IF(Character!$B$53="Yes",0,Character!$B$53)+IF(Magic!$C$5="Yes",2,0)+ROUNDUP((Magic!$B$30+IF(Magic!$C$30="Yes",3,0))/5,0)+S797)&gt;=($D$3+P797+SUMIF(Character!$I$62:$I$66,"Enigmatic Wisdom",Character!$J$62:$J$66)+Q797+U797),"No Twilight","Twilight")))</f>
        <v>No Twilight</v>
      </c>
      <c r="W797" s="483"/>
      <c r="X797" s="478"/>
      <c r="Y797" s="484"/>
      <c r="Z797" s="478"/>
      <c r="AA797" s="485" t="str">
        <f>IF(V797="Uncomprehended Twilight","Failed",IF(OR(ISBLANK(W797),ISBLANK(Y797))," ",IF(NOT(ISBLANK(X797)),"Failed",IF((W797+Character!$B$9+SUMIF(Character!$I$62:$I$66,"Enigmatic Wisdom",Character!$J$62:$J$66))&gt;=IF(Z797="Yes",0,(Y797+D792)),"Succeeded","Failed"))))</f>
        <v xml:space="preserve"> </v>
      </c>
      <c r="AB797" s="477" t="str">
        <f>IF(AA797=" "," ",IF(NOT(ISBLANK(X797)),VLOOKUP($D$3+X797,Calcs!$A$110:$C$122,3,TRUE),IF(AA797="Failed",VLOOKUP($D$3,Calcs!$A$110:$C$122,3,TRUE),VLOOKUP($D$3-(IF((Character!$B$9+W797)&gt;($D$3+Y797),(Character!$B$9+W797)-($D$3+Y797),0)),Calcs!$A$110:$C$122,3,TRUE))))</f>
        <v xml:space="preserve"> </v>
      </c>
      <c r="AC797" s="489"/>
      <c r="AD797" s="489" t="str">
        <f>IF(IF(AA797=" "," ",IF(NOT(ISBLANK(X797)),VLOOKUP($D$3+X797,Calcs!$A$110:$B$122,2,TRUE),IF(AA797="Failed",VLOOKUP($D$3,Calcs!$A$110:$B$122,2,TRUE),VLOOKUP($D$3-(IF((Character!$B$9+W797)&gt;($D$3+Y797),(Character!$B$9+W797)-($D$3+Y797),0)),Calcs!$A$110:$B$122,2,TRUE))))=Calcs!$B$120,IF(ISBLANK(AC797)," ",CONCATENATE(AC797+7," Years")),IF(AA797=" "," ",IF(NOT(ISBLANK(X797)),VLOOKUP($D$3+X797,Calcs!$A$110:$B$122,2,TRUE),IF(AA797="Failed",VLOOKUP($D$3,Calcs!$A$110:$B$122,2,TRUE),VLOOKUP($D$3-(IF((Character!$B$9+W797)&gt;($D$3+Y797),(Character!$B$9+W797)-($D$3+Y797),0)),Calcs!$A$110:$B$122,2,TRUE)))))</f>
        <v xml:space="preserve"> </v>
      </c>
      <c r="AE797" s="490"/>
      <c r="AF797" s="879"/>
      <c r="AG797" s="491"/>
    </row>
    <row r="798" spans="1:33" x14ac:dyDescent="0.2">
      <c r="A798" s="415">
        <f t="shared" si="24"/>
        <v>1409</v>
      </c>
      <c r="B798" s="419" t="str">
        <f t="shared" si="25"/>
        <v>Summer</v>
      </c>
      <c r="C798" s="455"/>
      <c r="D798" s="504"/>
      <c r="E798" s="455"/>
      <c r="F798" s="504"/>
      <c r="G798" s="455"/>
      <c r="H798" s="504"/>
      <c r="I798" s="455"/>
      <c r="J798" s="504"/>
      <c r="L798" s="472"/>
      <c r="M798" s="468"/>
      <c r="N798" s="468"/>
      <c r="O798" s="468"/>
      <c r="P798" s="468"/>
      <c r="Q798" s="473"/>
      <c r="R798" s="477" t="str">
        <f>IF(AND(COUNTIF('Start Character'!$I$63:$M$77,"Twilight Prone")=1,NOT(ISERROR(FIND("Magical Botch",M798)))),"Yes",IF(P798&gt;1,"Yes","No"))</f>
        <v>No</v>
      </c>
      <c r="S798" s="501"/>
      <c r="T798" s="478"/>
      <c r="U798" s="501"/>
      <c r="V798" s="479" t="str">
        <f>IF(R798="No","No Twilight",IF(T798="Yes","Uncomprehended Twilight",IF((Character!$B$14+IF(Character!$B$53="Yes",0,Character!$B$53)+IF(Magic!$C$5="Yes",2,0)+ROUNDUP((Magic!$B$30+IF(Magic!$C$30="Yes",3,0))/5,0)+S798)&gt;=($D$3+P798+SUMIF(Character!$I$62:$I$66,"Enigmatic Wisdom",Character!$J$62:$J$66)+Q798+U798),"No Twilight","Twilight")))</f>
        <v>No Twilight</v>
      </c>
      <c r="W798" s="483"/>
      <c r="X798" s="478"/>
      <c r="Y798" s="484"/>
      <c r="Z798" s="478"/>
      <c r="AA798" s="485" t="str">
        <f>IF(V798="Uncomprehended Twilight","Failed",IF(OR(ISBLANK(W798),ISBLANK(Y798))," ",IF(NOT(ISBLANK(X798)),"Failed",IF((W798+Character!$B$9+SUMIF(Character!$I$62:$I$66,"Enigmatic Wisdom",Character!$J$62:$J$66))&gt;=IF(Z798="Yes",0,(Y798+D793)),"Succeeded","Failed"))))</f>
        <v xml:space="preserve"> </v>
      </c>
      <c r="AB798" s="477" t="str">
        <f>IF(AA798=" "," ",IF(NOT(ISBLANK(X798)),VLOOKUP($D$3+X798,Calcs!$A$110:$C$122,3,TRUE),IF(AA798="Failed",VLOOKUP($D$3,Calcs!$A$110:$C$122,3,TRUE),VLOOKUP($D$3-(IF((Character!$B$9+W798)&gt;($D$3+Y798),(Character!$B$9+W798)-($D$3+Y798),0)),Calcs!$A$110:$C$122,3,TRUE))))</f>
        <v xml:space="preserve"> </v>
      </c>
      <c r="AC798" s="489"/>
      <c r="AD798" s="489" t="str">
        <f>IF(IF(AA798=" "," ",IF(NOT(ISBLANK(X798)),VLOOKUP($D$3+X798,Calcs!$A$110:$B$122,2,TRUE),IF(AA798="Failed",VLOOKUP($D$3,Calcs!$A$110:$B$122,2,TRUE),VLOOKUP($D$3-(IF((Character!$B$9+W798)&gt;($D$3+Y798),(Character!$B$9+W798)-($D$3+Y798),0)),Calcs!$A$110:$B$122,2,TRUE))))=Calcs!$B$120,IF(ISBLANK(AC798)," ",CONCATENATE(AC798+7," Years")),IF(AA798=" "," ",IF(NOT(ISBLANK(X798)),VLOOKUP($D$3+X798,Calcs!$A$110:$B$122,2,TRUE),IF(AA798="Failed",VLOOKUP($D$3,Calcs!$A$110:$B$122,2,TRUE),VLOOKUP($D$3-(IF((Character!$B$9+W798)&gt;($D$3+Y798),(Character!$B$9+W798)-($D$3+Y798),0)),Calcs!$A$110:$B$122,2,TRUE)))))</f>
        <v xml:space="preserve"> </v>
      </c>
      <c r="AE798" s="490"/>
      <c r="AF798" s="879"/>
      <c r="AG798" s="491"/>
    </row>
    <row r="799" spans="1:33" x14ac:dyDescent="0.2">
      <c r="A799" s="415">
        <f t="shared" si="24"/>
        <v>1409</v>
      </c>
      <c r="B799" s="419" t="str">
        <f t="shared" si="25"/>
        <v>Autumn</v>
      </c>
      <c r="C799" s="455"/>
      <c r="D799" s="504"/>
      <c r="E799" s="455"/>
      <c r="F799" s="504"/>
      <c r="G799" s="455"/>
      <c r="H799" s="504"/>
      <c r="I799" s="455"/>
      <c r="J799" s="504"/>
      <c r="L799" s="472"/>
      <c r="M799" s="468"/>
      <c r="N799" s="468"/>
      <c r="O799" s="468"/>
      <c r="P799" s="468"/>
      <c r="Q799" s="473"/>
      <c r="R799" s="477" t="str">
        <f>IF(AND(COUNTIF('Start Character'!$I$63:$M$77,"Twilight Prone")=1,NOT(ISERROR(FIND("Magical Botch",M799)))),"Yes",IF(P799&gt;1,"Yes","No"))</f>
        <v>No</v>
      </c>
      <c r="S799" s="501"/>
      <c r="T799" s="478"/>
      <c r="U799" s="501"/>
      <c r="V799" s="479" t="str">
        <f>IF(R799="No","No Twilight",IF(T799="Yes","Uncomprehended Twilight",IF((Character!$B$14+IF(Character!$B$53="Yes",0,Character!$B$53)+IF(Magic!$C$5="Yes",2,0)+ROUNDUP((Magic!$B$30+IF(Magic!$C$30="Yes",3,0))/5,0)+S799)&gt;=($D$3+P799+SUMIF(Character!$I$62:$I$66,"Enigmatic Wisdom",Character!$J$62:$J$66)+Q799+U799),"No Twilight","Twilight")))</f>
        <v>No Twilight</v>
      </c>
      <c r="W799" s="483"/>
      <c r="X799" s="478"/>
      <c r="Y799" s="484"/>
      <c r="Z799" s="478"/>
      <c r="AA799" s="485" t="str">
        <f>IF(V799="Uncomprehended Twilight","Failed",IF(OR(ISBLANK(W799),ISBLANK(Y799))," ",IF(NOT(ISBLANK(X799)),"Failed",IF((W799+Character!$B$9+SUMIF(Character!$I$62:$I$66,"Enigmatic Wisdom",Character!$J$62:$J$66))&gt;=IF(Z799="Yes",0,(Y799+D794)),"Succeeded","Failed"))))</f>
        <v xml:space="preserve"> </v>
      </c>
      <c r="AB799" s="477" t="str">
        <f>IF(AA799=" "," ",IF(NOT(ISBLANK(X799)),VLOOKUP($D$3+X799,Calcs!$A$110:$C$122,3,TRUE),IF(AA799="Failed",VLOOKUP($D$3,Calcs!$A$110:$C$122,3,TRUE),VLOOKUP($D$3-(IF((Character!$B$9+W799)&gt;($D$3+Y799),(Character!$B$9+W799)-($D$3+Y799),0)),Calcs!$A$110:$C$122,3,TRUE))))</f>
        <v xml:space="preserve"> </v>
      </c>
      <c r="AC799" s="489"/>
      <c r="AD799" s="489" t="str">
        <f>IF(IF(AA799=" "," ",IF(NOT(ISBLANK(X799)),VLOOKUP($D$3+X799,Calcs!$A$110:$B$122,2,TRUE),IF(AA799="Failed",VLOOKUP($D$3,Calcs!$A$110:$B$122,2,TRUE),VLOOKUP($D$3-(IF((Character!$B$9+W799)&gt;($D$3+Y799),(Character!$B$9+W799)-($D$3+Y799),0)),Calcs!$A$110:$B$122,2,TRUE))))=Calcs!$B$120,IF(ISBLANK(AC799)," ",CONCATENATE(AC799+7," Years")),IF(AA799=" "," ",IF(NOT(ISBLANK(X799)),VLOOKUP($D$3+X799,Calcs!$A$110:$B$122,2,TRUE),IF(AA799="Failed",VLOOKUP($D$3,Calcs!$A$110:$B$122,2,TRUE),VLOOKUP($D$3-(IF((Character!$B$9+W799)&gt;($D$3+Y799),(Character!$B$9+W799)-($D$3+Y799),0)),Calcs!$A$110:$B$122,2,TRUE)))))</f>
        <v xml:space="preserve"> </v>
      </c>
      <c r="AE799" s="490"/>
      <c r="AF799" s="879"/>
      <c r="AG799" s="491"/>
    </row>
    <row r="800" spans="1:33" x14ac:dyDescent="0.2">
      <c r="A800" s="415">
        <f t="shared" si="24"/>
        <v>1410</v>
      </c>
      <c r="B800" s="419" t="str">
        <f t="shared" si="25"/>
        <v>Winter</v>
      </c>
      <c r="C800" s="455"/>
      <c r="D800" s="504"/>
      <c r="E800" s="455"/>
      <c r="F800" s="504"/>
      <c r="G800" s="455"/>
      <c r="H800" s="504"/>
      <c r="I800" s="455"/>
      <c r="J800" s="504"/>
      <c r="L800" s="472"/>
      <c r="M800" s="468"/>
      <c r="N800" s="468"/>
      <c r="O800" s="468"/>
      <c r="P800" s="468"/>
      <c r="Q800" s="473"/>
      <c r="R800" s="477" t="str">
        <f>IF(AND(COUNTIF('Start Character'!$I$63:$M$77,"Twilight Prone")=1,NOT(ISERROR(FIND("Magical Botch",M800)))),"Yes",IF(P800&gt;1,"Yes","No"))</f>
        <v>No</v>
      </c>
      <c r="S800" s="501"/>
      <c r="T800" s="478"/>
      <c r="U800" s="501"/>
      <c r="V800" s="479" t="str">
        <f>IF(R800="No","No Twilight",IF(T800="Yes","Uncomprehended Twilight",IF((Character!$B$14+IF(Character!$B$53="Yes",0,Character!$B$53)+IF(Magic!$C$5="Yes",2,0)+ROUNDUP((Magic!$B$30+IF(Magic!$C$30="Yes",3,0))/5,0)+S800)&gt;=($D$3+P800+SUMIF(Character!$I$62:$I$66,"Enigmatic Wisdom",Character!$J$62:$J$66)+Q800+U800),"No Twilight","Twilight")))</f>
        <v>No Twilight</v>
      </c>
      <c r="W800" s="483"/>
      <c r="X800" s="478"/>
      <c r="Y800" s="484"/>
      <c r="Z800" s="478"/>
      <c r="AA800" s="485" t="str">
        <f>IF(V800="Uncomprehended Twilight","Failed",IF(OR(ISBLANK(W800),ISBLANK(Y800))," ",IF(NOT(ISBLANK(X800)),"Failed",IF((W800+Character!$B$9+SUMIF(Character!$I$62:$I$66,"Enigmatic Wisdom",Character!$J$62:$J$66))&gt;=IF(Z800="Yes",0,(Y800+D795)),"Succeeded","Failed"))))</f>
        <v xml:space="preserve"> </v>
      </c>
      <c r="AB800" s="477" t="str">
        <f>IF(AA800=" "," ",IF(NOT(ISBLANK(X800)),VLOOKUP($D$3+X800,Calcs!$A$110:$C$122,3,TRUE),IF(AA800="Failed",VLOOKUP($D$3,Calcs!$A$110:$C$122,3,TRUE),VLOOKUP($D$3-(IF((Character!$B$9+W800)&gt;($D$3+Y800),(Character!$B$9+W800)-($D$3+Y800),0)),Calcs!$A$110:$C$122,3,TRUE))))</f>
        <v xml:space="preserve"> </v>
      </c>
      <c r="AC800" s="489"/>
      <c r="AD800" s="489" t="str">
        <f>IF(IF(AA800=" "," ",IF(NOT(ISBLANK(X800)),VLOOKUP($D$3+X800,Calcs!$A$110:$B$122,2,TRUE),IF(AA800="Failed",VLOOKUP($D$3,Calcs!$A$110:$B$122,2,TRUE),VLOOKUP($D$3-(IF((Character!$B$9+W800)&gt;($D$3+Y800),(Character!$B$9+W800)-($D$3+Y800),0)),Calcs!$A$110:$B$122,2,TRUE))))=Calcs!$B$120,IF(ISBLANK(AC800)," ",CONCATENATE(AC800+7," Years")),IF(AA800=" "," ",IF(NOT(ISBLANK(X800)),VLOOKUP($D$3+X800,Calcs!$A$110:$B$122,2,TRUE),IF(AA800="Failed",VLOOKUP($D$3,Calcs!$A$110:$B$122,2,TRUE),VLOOKUP($D$3-(IF((Character!$B$9+W800)&gt;($D$3+Y800),(Character!$B$9+W800)-($D$3+Y800),0)),Calcs!$A$110:$B$122,2,TRUE)))))</f>
        <v xml:space="preserve"> </v>
      </c>
      <c r="AE800" s="490"/>
      <c r="AF800" s="879"/>
      <c r="AG800" s="491"/>
    </row>
    <row r="801" spans="1:33" x14ac:dyDescent="0.2">
      <c r="A801" s="415">
        <f t="shared" si="24"/>
        <v>1410</v>
      </c>
      <c r="B801" s="419" t="str">
        <f t="shared" si="25"/>
        <v>Spring</v>
      </c>
      <c r="C801" s="455"/>
      <c r="D801" s="504"/>
      <c r="E801" s="455"/>
      <c r="F801" s="504"/>
      <c r="G801" s="455"/>
      <c r="H801" s="504"/>
      <c r="I801" s="455"/>
      <c r="J801" s="504"/>
      <c r="L801" s="472"/>
      <c r="M801" s="468"/>
      <c r="N801" s="468"/>
      <c r="O801" s="468"/>
      <c r="P801" s="468"/>
      <c r="Q801" s="473"/>
      <c r="R801" s="477" t="str">
        <f>IF(AND(COUNTIF('Start Character'!$I$63:$M$77,"Twilight Prone")=1,NOT(ISERROR(FIND("Magical Botch",M801)))),"Yes",IF(P801&gt;1,"Yes","No"))</f>
        <v>No</v>
      </c>
      <c r="S801" s="501"/>
      <c r="T801" s="478"/>
      <c r="U801" s="501"/>
      <c r="V801" s="479" t="str">
        <f>IF(R801="No","No Twilight",IF(T801="Yes","Uncomprehended Twilight",IF((Character!$B$14+IF(Character!$B$53="Yes",0,Character!$B$53)+IF(Magic!$C$5="Yes",2,0)+ROUNDUP((Magic!$B$30+IF(Magic!$C$30="Yes",3,0))/5,0)+S801)&gt;=($D$3+P801+SUMIF(Character!$I$62:$I$66,"Enigmatic Wisdom",Character!$J$62:$J$66)+Q801+U801),"No Twilight","Twilight")))</f>
        <v>No Twilight</v>
      </c>
      <c r="W801" s="483"/>
      <c r="X801" s="478"/>
      <c r="Y801" s="484"/>
      <c r="Z801" s="478"/>
      <c r="AA801" s="485" t="str">
        <f>IF(V801="Uncomprehended Twilight","Failed",IF(OR(ISBLANK(W801),ISBLANK(Y801))," ",IF(NOT(ISBLANK(X801)),"Failed",IF((W801+Character!$B$9+SUMIF(Character!$I$62:$I$66,"Enigmatic Wisdom",Character!$J$62:$J$66))&gt;=IF(Z801="Yes",0,(Y801+D796)),"Succeeded","Failed"))))</f>
        <v xml:space="preserve"> </v>
      </c>
      <c r="AB801" s="477" t="str">
        <f>IF(AA801=" "," ",IF(NOT(ISBLANK(X801)),VLOOKUP($D$3+X801,Calcs!$A$110:$C$122,3,TRUE),IF(AA801="Failed",VLOOKUP($D$3,Calcs!$A$110:$C$122,3,TRUE),VLOOKUP($D$3-(IF((Character!$B$9+W801)&gt;($D$3+Y801),(Character!$B$9+W801)-($D$3+Y801),0)),Calcs!$A$110:$C$122,3,TRUE))))</f>
        <v xml:space="preserve"> </v>
      </c>
      <c r="AC801" s="489"/>
      <c r="AD801" s="489" t="str">
        <f>IF(IF(AA801=" "," ",IF(NOT(ISBLANK(X801)),VLOOKUP($D$3+X801,Calcs!$A$110:$B$122,2,TRUE),IF(AA801="Failed",VLOOKUP($D$3,Calcs!$A$110:$B$122,2,TRUE),VLOOKUP($D$3-(IF((Character!$B$9+W801)&gt;($D$3+Y801),(Character!$B$9+W801)-($D$3+Y801),0)),Calcs!$A$110:$B$122,2,TRUE))))=Calcs!$B$120,IF(ISBLANK(AC801)," ",CONCATENATE(AC801+7," Years")),IF(AA801=" "," ",IF(NOT(ISBLANK(X801)),VLOOKUP($D$3+X801,Calcs!$A$110:$B$122,2,TRUE),IF(AA801="Failed",VLOOKUP($D$3,Calcs!$A$110:$B$122,2,TRUE),VLOOKUP($D$3-(IF((Character!$B$9+W801)&gt;($D$3+Y801),(Character!$B$9+W801)-($D$3+Y801),0)),Calcs!$A$110:$B$122,2,TRUE)))))</f>
        <v xml:space="preserve"> </v>
      </c>
      <c r="AE801" s="490"/>
      <c r="AF801" s="879"/>
      <c r="AG801" s="491"/>
    </row>
    <row r="802" spans="1:33" x14ac:dyDescent="0.2">
      <c r="A802" s="415">
        <f t="shared" si="24"/>
        <v>1410</v>
      </c>
      <c r="B802" s="419" t="str">
        <f t="shared" si="25"/>
        <v>Summer</v>
      </c>
      <c r="C802" s="455"/>
      <c r="D802" s="504"/>
      <c r="E802" s="455"/>
      <c r="F802" s="504"/>
      <c r="G802" s="455"/>
      <c r="H802" s="504"/>
      <c r="I802" s="455"/>
      <c r="J802" s="504"/>
      <c r="L802" s="472"/>
      <c r="M802" s="468"/>
      <c r="N802" s="468"/>
      <c r="O802" s="468"/>
      <c r="P802" s="468"/>
      <c r="Q802" s="473"/>
      <c r="R802" s="477" t="str">
        <f>IF(AND(COUNTIF('Start Character'!$I$63:$M$77,"Twilight Prone")=1,NOT(ISERROR(FIND("Magical Botch",M802)))),"Yes",IF(P802&gt;1,"Yes","No"))</f>
        <v>No</v>
      </c>
      <c r="S802" s="501"/>
      <c r="T802" s="478"/>
      <c r="U802" s="501"/>
      <c r="V802" s="479" t="str">
        <f>IF(R802="No","No Twilight",IF(T802="Yes","Uncomprehended Twilight",IF((Character!$B$14+IF(Character!$B$53="Yes",0,Character!$B$53)+IF(Magic!$C$5="Yes",2,0)+ROUNDUP((Magic!$B$30+IF(Magic!$C$30="Yes",3,0))/5,0)+S802)&gt;=($D$3+P802+SUMIF(Character!$I$62:$I$66,"Enigmatic Wisdom",Character!$J$62:$J$66)+Q802+U802),"No Twilight","Twilight")))</f>
        <v>No Twilight</v>
      </c>
      <c r="W802" s="483"/>
      <c r="X802" s="478"/>
      <c r="Y802" s="484"/>
      <c r="Z802" s="478"/>
      <c r="AA802" s="485" t="str">
        <f>IF(V802="Uncomprehended Twilight","Failed",IF(OR(ISBLANK(W802),ISBLANK(Y802))," ",IF(NOT(ISBLANK(X802)),"Failed",IF((W802+Character!$B$9+SUMIF(Character!$I$62:$I$66,"Enigmatic Wisdom",Character!$J$62:$J$66))&gt;=IF(Z802="Yes",0,(Y802+D797)),"Succeeded","Failed"))))</f>
        <v xml:space="preserve"> </v>
      </c>
      <c r="AB802" s="477" t="str">
        <f>IF(AA802=" "," ",IF(NOT(ISBLANK(X802)),VLOOKUP($D$3+X802,Calcs!$A$110:$C$122,3,TRUE),IF(AA802="Failed",VLOOKUP($D$3,Calcs!$A$110:$C$122,3,TRUE),VLOOKUP($D$3-(IF((Character!$B$9+W802)&gt;($D$3+Y802),(Character!$B$9+W802)-($D$3+Y802),0)),Calcs!$A$110:$C$122,3,TRUE))))</f>
        <v xml:space="preserve"> </v>
      </c>
      <c r="AC802" s="489"/>
      <c r="AD802" s="489" t="str">
        <f>IF(IF(AA802=" "," ",IF(NOT(ISBLANK(X802)),VLOOKUP($D$3+X802,Calcs!$A$110:$B$122,2,TRUE),IF(AA802="Failed",VLOOKUP($D$3,Calcs!$A$110:$B$122,2,TRUE),VLOOKUP($D$3-(IF((Character!$B$9+W802)&gt;($D$3+Y802),(Character!$B$9+W802)-($D$3+Y802),0)),Calcs!$A$110:$B$122,2,TRUE))))=Calcs!$B$120,IF(ISBLANK(AC802)," ",CONCATENATE(AC802+7," Years")),IF(AA802=" "," ",IF(NOT(ISBLANK(X802)),VLOOKUP($D$3+X802,Calcs!$A$110:$B$122,2,TRUE),IF(AA802="Failed",VLOOKUP($D$3,Calcs!$A$110:$B$122,2,TRUE),VLOOKUP($D$3-(IF((Character!$B$9+W802)&gt;($D$3+Y802),(Character!$B$9+W802)-($D$3+Y802),0)),Calcs!$A$110:$B$122,2,TRUE)))))</f>
        <v xml:space="preserve"> </v>
      </c>
      <c r="AE802" s="490"/>
      <c r="AF802" s="879"/>
      <c r="AG802" s="491"/>
    </row>
    <row r="803" spans="1:33" x14ac:dyDescent="0.2">
      <c r="A803" s="415">
        <f t="shared" si="24"/>
        <v>1410</v>
      </c>
      <c r="B803" s="419" t="str">
        <f t="shared" si="25"/>
        <v>Autumn</v>
      </c>
      <c r="C803" s="455"/>
      <c r="D803" s="504"/>
      <c r="E803" s="455"/>
      <c r="F803" s="504"/>
      <c r="G803" s="455"/>
      <c r="H803" s="504"/>
      <c r="I803" s="455"/>
      <c r="J803" s="504"/>
      <c r="L803" s="472"/>
      <c r="M803" s="468"/>
      <c r="N803" s="468"/>
      <c r="O803" s="468"/>
      <c r="P803" s="468"/>
      <c r="Q803" s="473"/>
      <c r="R803" s="477" t="str">
        <f>IF(AND(COUNTIF('Start Character'!$I$63:$M$77,"Twilight Prone")=1,NOT(ISERROR(FIND("Magical Botch",M803)))),"Yes",IF(P803&gt;1,"Yes","No"))</f>
        <v>No</v>
      </c>
      <c r="S803" s="501"/>
      <c r="T803" s="478"/>
      <c r="U803" s="501"/>
      <c r="V803" s="479" t="str">
        <f>IF(R803="No","No Twilight",IF(T803="Yes","Uncomprehended Twilight",IF((Character!$B$14+IF(Character!$B$53="Yes",0,Character!$B$53)+IF(Magic!$C$5="Yes",2,0)+ROUNDUP((Magic!$B$30+IF(Magic!$C$30="Yes",3,0))/5,0)+S803)&gt;=($D$3+P803+SUMIF(Character!$I$62:$I$66,"Enigmatic Wisdom",Character!$J$62:$J$66)+Q803+U803),"No Twilight","Twilight")))</f>
        <v>No Twilight</v>
      </c>
      <c r="W803" s="483"/>
      <c r="X803" s="478"/>
      <c r="Y803" s="484"/>
      <c r="Z803" s="478"/>
      <c r="AA803" s="485" t="str">
        <f>IF(V803="Uncomprehended Twilight","Failed",IF(OR(ISBLANK(W803),ISBLANK(Y803))," ",IF(NOT(ISBLANK(X803)),"Failed",IF((W803+Character!$B$9+SUMIF(Character!$I$62:$I$66,"Enigmatic Wisdom",Character!$J$62:$J$66))&gt;=IF(Z803="Yes",0,(Y803+D798)),"Succeeded","Failed"))))</f>
        <v xml:space="preserve"> </v>
      </c>
      <c r="AB803" s="477" t="str">
        <f>IF(AA803=" "," ",IF(NOT(ISBLANK(X803)),VLOOKUP($D$3+X803,Calcs!$A$110:$C$122,3,TRUE),IF(AA803="Failed",VLOOKUP($D$3,Calcs!$A$110:$C$122,3,TRUE),VLOOKUP($D$3-(IF((Character!$B$9+W803)&gt;($D$3+Y803),(Character!$B$9+W803)-($D$3+Y803),0)),Calcs!$A$110:$C$122,3,TRUE))))</f>
        <v xml:space="preserve"> </v>
      </c>
      <c r="AC803" s="489"/>
      <c r="AD803" s="489" t="str">
        <f>IF(IF(AA803=" "," ",IF(NOT(ISBLANK(X803)),VLOOKUP($D$3+X803,Calcs!$A$110:$B$122,2,TRUE),IF(AA803="Failed",VLOOKUP($D$3,Calcs!$A$110:$B$122,2,TRUE),VLOOKUP($D$3-(IF((Character!$B$9+W803)&gt;($D$3+Y803),(Character!$B$9+W803)-($D$3+Y803),0)),Calcs!$A$110:$B$122,2,TRUE))))=Calcs!$B$120,IF(ISBLANK(AC803)," ",CONCATENATE(AC803+7," Years")),IF(AA803=" "," ",IF(NOT(ISBLANK(X803)),VLOOKUP($D$3+X803,Calcs!$A$110:$B$122,2,TRUE),IF(AA803="Failed",VLOOKUP($D$3,Calcs!$A$110:$B$122,2,TRUE),VLOOKUP($D$3-(IF((Character!$B$9+W803)&gt;($D$3+Y803),(Character!$B$9+W803)-($D$3+Y803),0)),Calcs!$A$110:$B$122,2,TRUE)))))</f>
        <v xml:space="preserve"> </v>
      </c>
      <c r="AE803" s="490"/>
      <c r="AF803" s="879"/>
      <c r="AG803" s="491"/>
    </row>
    <row r="804" spans="1:33" x14ac:dyDescent="0.2">
      <c r="A804" s="415">
        <f t="shared" si="24"/>
        <v>1411</v>
      </c>
      <c r="B804" s="419" t="str">
        <f t="shared" si="25"/>
        <v>Winter</v>
      </c>
      <c r="C804" s="455"/>
      <c r="D804" s="504"/>
      <c r="E804" s="455"/>
      <c r="F804" s="504"/>
      <c r="G804" s="455"/>
      <c r="H804" s="504"/>
      <c r="I804" s="455"/>
      <c r="J804" s="504"/>
      <c r="L804" s="472"/>
      <c r="M804" s="468"/>
      <c r="N804" s="468"/>
      <c r="O804" s="468"/>
      <c r="P804" s="468"/>
      <c r="Q804" s="473"/>
      <c r="R804" s="477" t="str">
        <f>IF(AND(COUNTIF('Start Character'!$I$63:$M$77,"Twilight Prone")=1,NOT(ISERROR(FIND("Magical Botch",M804)))),"Yes",IF(P804&gt;1,"Yes","No"))</f>
        <v>No</v>
      </c>
      <c r="S804" s="501"/>
      <c r="T804" s="478"/>
      <c r="U804" s="501"/>
      <c r="V804" s="479" t="str">
        <f>IF(R804="No","No Twilight",IF(T804="Yes","Uncomprehended Twilight",IF((Character!$B$14+IF(Character!$B$53="Yes",0,Character!$B$53)+IF(Magic!$C$5="Yes",2,0)+ROUNDUP((Magic!$B$30+IF(Magic!$C$30="Yes",3,0))/5,0)+S804)&gt;=($D$3+P804+SUMIF(Character!$I$62:$I$66,"Enigmatic Wisdom",Character!$J$62:$J$66)+Q804+U804),"No Twilight","Twilight")))</f>
        <v>No Twilight</v>
      </c>
      <c r="W804" s="483"/>
      <c r="X804" s="478"/>
      <c r="Y804" s="484"/>
      <c r="Z804" s="478"/>
      <c r="AA804" s="485" t="str">
        <f>IF(V804="Uncomprehended Twilight","Failed",IF(OR(ISBLANK(W804),ISBLANK(Y804))," ",IF(NOT(ISBLANK(X804)),"Failed",IF((W804+Character!$B$9+SUMIF(Character!$I$62:$I$66,"Enigmatic Wisdom",Character!$J$62:$J$66))&gt;=IF(Z804="Yes",0,(Y804+D799)),"Succeeded","Failed"))))</f>
        <v xml:space="preserve"> </v>
      </c>
      <c r="AB804" s="477" t="str">
        <f>IF(AA804=" "," ",IF(NOT(ISBLANK(X804)),VLOOKUP($D$3+X804,Calcs!$A$110:$C$122,3,TRUE),IF(AA804="Failed",VLOOKUP($D$3,Calcs!$A$110:$C$122,3,TRUE),VLOOKUP($D$3-(IF((Character!$B$9+W804)&gt;($D$3+Y804),(Character!$B$9+W804)-($D$3+Y804),0)),Calcs!$A$110:$C$122,3,TRUE))))</f>
        <v xml:space="preserve"> </v>
      </c>
      <c r="AC804" s="489"/>
      <c r="AD804" s="489" t="str">
        <f>IF(IF(AA804=" "," ",IF(NOT(ISBLANK(X804)),VLOOKUP($D$3+X804,Calcs!$A$110:$B$122,2,TRUE),IF(AA804="Failed",VLOOKUP($D$3,Calcs!$A$110:$B$122,2,TRUE),VLOOKUP($D$3-(IF((Character!$B$9+W804)&gt;($D$3+Y804),(Character!$B$9+W804)-($D$3+Y804),0)),Calcs!$A$110:$B$122,2,TRUE))))=Calcs!$B$120,IF(ISBLANK(AC804)," ",CONCATENATE(AC804+7," Years")),IF(AA804=" "," ",IF(NOT(ISBLANK(X804)),VLOOKUP($D$3+X804,Calcs!$A$110:$B$122,2,TRUE),IF(AA804="Failed",VLOOKUP($D$3,Calcs!$A$110:$B$122,2,TRUE),VLOOKUP($D$3-(IF((Character!$B$9+W804)&gt;($D$3+Y804),(Character!$B$9+W804)-($D$3+Y804),0)),Calcs!$A$110:$B$122,2,TRUE)))))</f>
        <v xml:space="preserve"> </v>
      </c>
      <c r="AE804" s="490"/>
      <c r="AF804" s="879"/>
      <c r="AG804" s="491"/>
    </row>
    <row r="805" spans="1:33" x14ac:dyDescent="0.2">
      <c r="A805" s="415">
        <f t="shared" si="24"/>
        <v>1411</v>
      </c>
      <c r="B805" s="419" t="str">
        <f t="shared" si="25"/>
        <v>Spring</v>
      </c>
      <c r="C805" s="455"/>
      <c r="D805" s="504"/>
      <c r="E805" s="455"/>
      <c r="F805" s="504"/>
      <c r="G805" s="455"/>
      <c r="H805" s="504"/>
      <c r="I805" s="455"/>
      <c r="J805" s="504"/>
      <c r="L805" s="472"/>
      <c r="M805" s="468"/>
      <c r="N805" s="468"/>
      <c r="O805" s="468"/>
      <c r="P805" s="468"/>
      <c r="Q805" s="473"/>
      <c r="R805" s="477" t="str">
        <f>IF(AND(COUNTIF('Start Character'!$I$63:$M$77,"Twilight Prone")=1,NOT(ISERROR(FIND("Magical Botch",M805)))),"Yes",IF(P805&gt;1,"Yes","No"))</f>
        <v>No</v>
      </c>
      <c r="S805" s="501"/>
      <c r="T805" s="478"/>
      <c r="U805" s="501"/>
      <c r="V805" s="479" t="str">
        <f>IF(R805="No","No Twilight",IF(T805="Yes","Uncomprehended Twilight",IF((Character!$B$14+IF(Character!$B$53="Yes",0,Character!$B$53)+IF(Magic!$C$5="Yes",2,0)+ROUNDUP((Magic!$B$30+IF(Magic!$C$30="Yes",3,0))/5,0)+S805)&gt;=($D$3+P805+SUMIF(Character!$I$62:$I$66,"Enigmatic Wisdom",Character!$J$62:$J$66)+Q805+U805),"No Twilight","Twilight")))</f>
        <v>No Twilight</v>
      </c>
      <c r="W805" s="483"/>
      <c r="X805" s="478"/>
      <c r="Y805" s="484"/>
      <c r="Z805" s="478"/>
      <c r="AA805" s="485" t="str">
        <f>IF(V805="Uncomprehended Twilight","Failed",IF(OR(ISBLANK(W805),ISBLANK(Y805))," ",IF(NOT(ISBLANK(X805)),"Failed",IF((W805+Character!$B$9+SUMIF(Character!$I$62:$I$66,"Enigmatic Wisdom",Character!$J$62:$J$66))&gt;=IF(Z805="Yes",0,(Y805+D800)),"Succeeded","Failed"))))</f>
        <v xml:space="preserve"> </v>
      </c>
      <c r="AB805" s="477" t="str">
        <f>IF(AA805=" "," ",IF(NOT(ISBLANK(X805)),VLOOKUP($D$3+X805,Calcs!$A$110:$C$122,3,TRUE),IF(AA805="Failed",VLOOKUP($D$3,Calcs!$A$110:$C$122,3,TRUE),VLOOKUP($D$3-(IF((Character!$B$9+W805)&gt;($D$3+Y805),(Character!$B$9+W805)-($D$3+Y805),0)),Calcs!$A$110:$C$122,3,TRUE))))</f>
        <v xml:space="preserve"> </v>
      </c>
      <c r="AC805" s="489"/>
      <c r="AD805" s="489" t="str">
        <f>IF(IF(AA805=" "," ",IF(NOT(ISBLANK(X805)),VLOOKUP($D$3+X805,Calcs!$A$110:$B$122,2,TRUE),IF(AA805="Failed",VLOOKUP($D$3,Calcs!$A$110:$B$122,2,TRUE),VLOOKUP($D$3-(IF((Character!$B$9+W805)&gt;($D$3+Y805),(Character!$B$9+W805)-($D$3+Y805),0)),Calcs!$A$110:$B$122,2,TRUE))))=Calcs!$B$120,IF(ISBLANK(AC805)," ",CONCATENATE(AC805+7," Years")),IF(AA805=" "," ",IF(NOT(ISBLANK(X805)),VLOOKUP($D$3+X805,Calcs!$A$110:$B$122,2,TRUE),IF(AA805="Failed",VLOOKUP($D$3,Calcs!$A$110:$B$122,2,TRUE),VLOOKUP($D$3-(IF((Character!$B$9+W805)&gt;($D$3+Y805),(Character!$B$9+W805)-($D$3+Y805),0)),Calcs!$A$110:$B$122,2,TRUE)))))</f>
        <v xml:space="preserve"> </v>
      </c>
      <c r="AE805" s="490"/>
      <c r="AF805" s="879"/>
      <c r="AG805" s="491"/>
    </row>
    <row r="806" spans="1:33" x14ac:dyDescent="0.2">
      <c r="A806" s="415">
        <f t="shared" si="24"/>
        <v>1411</v>
      </c>
      <c r="B806" s="419" t="str">
        <f t="shared" si="25"/>
        <v>Summer</v>
      </c>
      <c r="C806" s="455"/>
      <c r="D806" s="504"/>
      <c r="E806" s="455"/>
      <c r="F806" s="504"/>
      <c r="G806" s="455"/>
      <c r="H806" s="504"/>
      <c r="I806" s="455"/>
      <c r="J806" s="504"/>
      <c r="L806" s="472"/>
      <c r="M806" s="468"/>
      <c r="N806" s="468"/>
      <c r="O806" s="468"/>
      <c r="P806" s="468"/>
      <c r="Q806" s="473"/>
      <c r="R806" s="477" t="str">
        <f>IF(AND(COUNTIF('Start Character'!$I$63:$M$77,"Twilight Prone")=1,NOT(ISERROR(FIND("Magical Botch",M806)))),"Yes",IF(P806&gt;1,"Yes","No"))</f>
        <v>No</v>
      </c>
      <c r="S806" s="501"/>
      <c r="T806" s="478"/>
      <c r="U806" s="501"/>
      <c r="V806" s="479" t="str">
        <f>IF(R806="No","No Twilight",IF(T806="Yes","Uncomprehended Twilight",IF((Character!$B$14+IF(Character!$B$53="Yes",0,Character!$B$53)+IF(Magic!$C$5="Yes",2,0)+ROUNDUP((Magic!$B$30+IF(Magic!$C$30="Yes",3,0))/5,0)+S806)&gt;=($D$3+P806+SUMIF(Character!$I$62:$I$66,"Enigmatic Wisdom",Character!$J$62:$J$66)+Q806+U806),"No Twilight","Twilight")))</f>
        <v>No Twilight</v>
      </c>
      <c r="W806" s="483"/>
      <c r="X806" s="478"/>
      <c r="Y806" s="484"/>
      <c r="Z806" s="478"/>
      <c r="AA806" s="485" t="str">
        <f>IF(V806="Uncomprehended Twilight","Failed",IF(OR(ISBLANK(W806),ISBLANK(Y806))," ",IF(NOT(ISBLANK(X806)),"Failed",IF((W806+Character!$B$9+SUMIF(Character!$I$62:$I$66,"Enigmatic Wisdom",Character!$J$62:$J$66))&gt;=IF(Z806="Yes",0,(Y806+D801)),"Succeeded","Failed"))))</f>
        <v xml:space="preserve"> </v>
      </c>
      <c r="AB806" s="477" t="str">
        <f>IF(AA806=" "," ",IF(NOT(ISBLANK(X806)),VLOOKUP($D$3+X806,Calcs!$A$110:$C$122,3,TRUE),IF(AA806="Failed",VLOOKUP($D$3,Calcs!$A$110:$C$122,3,TRUE),VLOOKUP($D$3-(IF((Character!$B$9+W806)&gt;($D$3+Y806),(Character!$B$9+W806)-($D$3+Y806),0)),Calcs!$A$110:$C$122,3,TRUE))))</f>
        <v xml:space="preserve"> </v>
      </c>
      <c r="AC806" s="489"/>
      <c r="AD806" s="489" t="str">
        <f>IF(IF(AA806=" "," ",IF(NOT(ISBLANK(X806)),VLOOKUP($D$3+X806,Calcs!$A$110:$B$122,2,TRUE),IF(AA806="Failed",VLOOKUP($D$3,Calcs!$A$110:$B$122,2,TRUE),VLOOKUP($D$3-(IF((Character!$B$9+W806)&gt;($D$3+Y806),(Character!$B$9+W806)-($D$3+Y806),0)),Calcs!$A$110:$B$122,2,TRUE))))=Calcs!$B$120,IF(ISBLANK(AC806)," ",CONCATENATE(AC806+7," Years")),IF(AA806=" "," ",IF(NOT(ISBLANK(X806)),VLOOKUP($D$3+X806,Calcs!$A$110:$B$122,2,TRUE),IF(AA806="Failed",VLOOKUP($D$3,Calcs!$A$110:$B$122,2,TRUE),VLOOKUP($D$3-(IF((Character!$B$9+W806)&gt;($D$3+Y806),(Character!$B$9+W806)-($D$3+Y806),0)),Calcs!$A$110:$B$122,2,TRUE)))))</f>
        <v xml:space="preserve"> </v>
      </c>
      <c r="AE806" s="490"/>
      <c r="AF806" s="879"/>
      <c r="AG806" s="491"/>
    </row>
    <row r="807" spans="1:33" x14ac:dyDescent="0.2">
      <c r="A807" s="415">
        <f t="shared" si="24"/>
        <v>1411</v>
      </c>
      <c r="B807" s="419" t="str">
        <f t="shared" si="25"/>
        <v>Autumn</v>
      </c>
      <c r="C807" s="455"/>
      <c r="D807" s="504"/>
      <c r="E807" s="455"/>
      <c r="F807" s="504"/>
      <c r="G807" s="455"/>
      <c r="H807" s="504"/>
      <c r="I807" s="455"/>
      <c r="J807" s="504"/>
      <c r="L807" s="472"/>
      <c r="M807" s="468"/>
      <c r="N807" s="468"/>
      <c r="O807" s="468"/>
      <c r="P807" s="468"/>
      <c r="Q807" s="473"/>
      <c r="R807" s="477" t="str">
        <f>IF(AND(COUNTIF('Start Character'!$I$63:$M$77,"Twilight Prone")=1,NOT(ISERROR(FIND("Magical Botch",M807)))),"Yes",IF(P807&gt;1,"Yes","No"))</f>
        <v>No</v>
      </c>
      <c r="S807" s="501"/>
      <c r="T807" s="478"/>
      <c r="U807" s="501"/>
      <c r="V807" s="479" t="str">
        <f>IF(R807="No","No Twilight",IF(T807="Yes","Uncomprehended Twilight",IF((Character!$B$14+IF(Character!$B$53="Yes",0,Character!$B$53)+IF(Magic!$C$5="Yes",2,0)+ROUNDUP((Magic!$B$30+IF(Magic!$C$30="Yes",3,0))/5,0)+S807)&gt;=($D$3+P807+SUMIF(Character!$I$62:$I$66,"Enigmatic Wisdom",Character!$J$62:$J$66)+Q807+U807),"No Twilight","Twilight")))</f>
        <v>No Twilight</v>
      </c>
      <c r="W807" s="483"/>
      <c r="X807" s="478"/>
      <c r="Y807" s="484"/>
      <c r="Z807" s="478"/>
      <c r="AA807" s="485" t="str">
        <f>IF(V807="Uncomprehended Twilight","Failed",IF(OR(ISBLANK(W807),ISBLANK(Y807))," ",IF(NOT(ISBLANK(X807)),"Failed",IF((W807+Character!$B$9+SUMIF(Character!$I$62:$I$66,"Enigmatic Wisdom",Character!$J$62:$J$66))&gt;=IF(Z807="Yes",0,(Y807+D802)),"Succeeded","Failed"))))</f>
        <v xml:space="preserve"> </v>
      </c>
      <c r="AB807" s="477" t="str">
        <f>IF(AA807=" "," ",IF(NOT(ISBLANK(X807)),VLOOKUP($D$3+X807,Calcs!$A$110:$C$122,3,TRUE),IF(AA807="Failed",VLOOKUP($D$3,Calcs!$A$110:$C$122,3,TRUE),VLOOKUP($D$3-(IF((Character!$B$9+W807)&gt;($D$3+Y807),(Character!$B$9+W807)-($D$3+Y807),0)),Calcs!$A$110:$C$122,3,TRUE))))</f>
        <v xml:space="preserve"> </v>
      </c>
      <c r="AC807" s="489"/>
      <c r="AD807" s="489" t="str">
        <f>IF(IF(AA807=" "," ",IF(NOT(ISBLANK(X807)),VLOOKUP($D$3+X807,Calcs!$A$110:$B$122,2,TRUE),IF(AA807="Failed",VLOOKUP($D$3,Calcs!$A$110:$B$122,2,TRUE),VLOOKUP($D$3-(IF((Character!$B$9+W807)&gt;($D$3+Y807),(Character!$B$9+W807)-($D$3+Y807),0)),Calcs!$A$110:$B$122,2,TRUE))))=Calcs!$B$120,IF(ISBLANK(AC807)," ",CONCATENATE(AC807+7," Years")),IF(AA807=" "," ",IF(NOT(ISBLANK(X807)),VLOOKUP($D$3+X807,Calcs!$A$110:$B$122,2,TRUE),IF(AA807="Failed",VLOOKUP($D$3,Calcs!$A$110:$B$122,2,TRUE),VLOOKUP($D$3-(IF((Character!$B$9+W807)&gt;($D$3+Y807),(Character!$B$9+W807)-($D$3+Y807),0)),Calcs!$A$110:$B$122,2,TRUE)))))</f>
        <v xml:space="preserve"> </v>
      </c>
      <c r="AE807" s="490"/>
      <c r="AF807" s="879"/>
      <c r="AG807" s="491"/>
    </row>
    <row r="808" spans="1:33" x14ac:dyDescent="0.2">
      <c r="A808" s="415">
        <f t="shared" si="24"/>
        <v>1412</v>
      </c>
      <c r="B808" s="419" t="str">
        <f t="shared" si="25"/>
        <v>Winter</v>
      </c>
      <c r="C808" s="455"/>
      <c r="D808" s="504"/>
      <c r="E808" s="455"/>
      <c r="F808" s="504"/>
      <c r="G808" s="455"/>
      <c r="H808" s="504"/>
      <c r="I808" s="455"/>
      <c r="J808" s="504"/>
      <c r="L808" s="472"/>
      <c r="M808" s="468"/>
      <c r="N808" s="468"/>
      <c r="O808" s="468"/>
      <c r="P808" s="468"/>
      <c r="Q808" s="473"/>
      <c r="R808" s="477" t="str">
        <f>IF(AND(COUNTIF('Start Character'!$I$63:$M$77,"Twilight Prone")=1,NOT(ISERROR(FIND("Magical Botch",M808)))),"Yes",IF(P808&gt;1,"Yes","No"))</f>
        <v>No</v>
      </c>
      <c r="S808" s="501"/>
      <c r="T808" s="478"/>
      <c r="U808" s="501"/>
      <c r="V808" s="479" t="str">
        <f>IF(R808="No","No Twilight",IF(T808="Yes","Uncomprehended Twilight",IF((Character!$B$14+IF(Character!$B$53="Yes",0,Character!$B$53)+IF(Magic!$C$5="Yes",2,0)+ROUNDUP((Magic!$B$30+IF(Magic!$C$30="Yes",3,0))/5,0)+S808)&gt;=($D$3+P808+SUMIF(Character!$I$62:$I$66,"Enigmatic Wisdom",Character!$J$62:$J$66)+Q808+U808),"No Twilight","Twilight")))</f>
        <v>No Twilight</v>
      </c>
      <c r="W808" s="483"/>
      <c r="X808" s="478"/>
      <c r="Y808" s="484"/>
      <c r="Z808" s="478"/>
      <c r="AA808" s="485" t="str">
        <f>IF(V808="Uncomprehended Twilight","Failed",IF(OR(ISBLANK(W808),ISBLANK(Y808))," ",IF(NOT(ISBLANK(X808)),"Failed",IF((W808+Character!$B$9+SUMIF(Character!$I$62:$I$66,"Enigmatic Wisdom",Character!$J$62:$J$66))&gt;=IF(Z808="Yes",0,(Y808+D803)),"Succeeded","Failed"))))</f>
        <v xml:space="preserve"> </v>
      </c>
      <c r="AB808" s="477" t="str">
        <f>IF(AA808=" "," ",IF(NOT(ISBLANK(X808)),VLOOKUP($D$3+X808,Calcs!$A$110:$C$122,3,TRUE),IF(AA808="Failed",VLOOKUP($D$3,Calcs!$A$110:$C$122,3,TRUE),VLOOKUP($D$3-(IF((Character!$B$9+W808)&gt;($D$3+Y808),(Character!$B$9+W808)-($D$3+Y808),0)),Calcs!$A$110:$C$122,3,TRUE))))</f>
        <v xml:space="preserve"> </v>
      </c>
      <c r="AC808" s="489"/>
      <c r="AD808" s="489" t="str">
        <f>IF(IF(AA808=" "," ",IF(NOT(ISBLANK(X808)),VLOOKUP($D$3+X808,Calcs!$A$110:$B$122,2,TRUE),IF(AA808="Failed",VLOOKUP($D$3,Calcs!$A$110:$B$122,2,TRUE),VLOOKUP($D$3-(IF((Character!$B$9+W808)&gt;($D$3+Y808),(Character!$B$9+W808)-($D$3+Y808),0)),Calcs!$A$110:$B$122,2,TRUE))))=Calcs!$B$120,IF(ISBLANK(AC808)," ",CONCATENATE(AC808+7," Years")),IF(AA808=" "," ",IF(NOT(ISBLANK(X808)),VLOOKUP($D$3+X808,Calcs!$A$110:$B$122,2,TRUE),IF(AA808="Failed",VLOOKUP($D$3,Calcs!$A$110:$B$122,2,TRUE),VLOOKUP($D$3-(IF((Character!$B$9+W808)&gt;($D$3+Y808),(Character!$B$9+W808)-($D$3+Y808),0)),Calcs!$A$110:$B$122,2,TRUE)))))</f>
        <v xml:space="preserve"> </v>
      </c>
      <c r="AE808" s="490"/>
      <c r="AF808" s="879"/>
      <c r="AG808" s="491"/>
    </row>
    <row r="809" spans="1:33" x14ac:dyDescent="0.2">
      <c r="A809" s="415">
        <f t="shared" si="24"/>
        <v>1412</v>
      </c>
      <c r="B809" s="419" t="str">
        <f t="shared" si="25"/>
        <v>Spring</v>
      </c>
      <c r="C809" s="455"/>
      <c r="D809" s="504"/>
      <c r="E809" s="455"/>
      <c r="F809" s="504"/>
      <c r="G809" s="455"/>
      <c r="H809" s="504"/>
      <c r="I809" s="455"/>
      <c r="J809" s="504"/>
      <c r="L809" s="472"/>
      <c r="M809" s="468"/>
      <c r="N809" s="468"/>
      <c r="O809" s="468"/>
      <c r="P809" s="468"/>
      <c r="Q809" s="473"/>
      <c r="R809" s="477" t="str">
        <f>IF(AND(COUNTIF('Start Character'!$I$63:$M$77,"Twilight Prone")=1,NOT(ISERROR(FIND("Magical Botch",M809)))),"Yes",IF(P809&gt;1,"Yes","No"))</f>
        <v>No</v>
      </c>
      <c r="S809" s="501"/>
      <c r="T809" s="478"/>
      <c r="U809" s="501"/>
      <c r="V809" s="479" t="str">
        <f>IF(R809="No","No Twilight",IF(T809="Yes","Uncomprehended Twilight",IF((Character!$B$14+IF(Character!$B$53="Yes",0,Character!$B$53)+IF(Magic!$C$5="Yes",2,0)+ROUNDUP((Magic!$B$30+IF(Magic!$C$30="Yes",3,0))/5,0)+S809)&gt;=($D$3+P809+SUMIF(Character!$I$62:$I$66,"Enigmatic Wisdom",Character!$J$62:$J$66)+Q809+U809),"No Twilight","Twilight")))</f>
        <v>No Twilight</v>
      </c>
      <c r="W809" s="483"/>
      <c r="X809" s="478"/>
      <c r="Y809" s="484"/>
      <c r="Z809" s="478"/>
      <c r="AA809" s="485" t="str">
        <f>IF(V809="Uncomprehended Twilight","Failed",IF(OR(ISBLANK(W809),ISBLANK(Y809))," ",IF(NOT(ISBLANK(X809)),"Failed",IF((W809+Character!$B$9+SUMIF(Character!$I$62:$I$66,"Enigmatic Wisdom",Character!$J$62:$J$66))&gt;=IF(Z809="Yes",0,(Y809+D804)),"Succeeded","Failed"))))</f>
        <v xml:space="preserve"> </v>
      </c>
      <c r="AB809" s="477" t="str">
        <f>IF(AA809=" "," ",IF(NOT(ISBLANK(X809)),VLOOKUP($D$3+X809,Calcs!$A$110:$C$122,3,TRUE),IF(AA809="Failed",VLOOKUP($D$3,Calcs!$A$110:$C$122,3,TRUE),VLOOKUP($D$3-(IF((Character!$B$9+W809)&gt;($D$3+Y809),(Character!$B$9+W809)-($D$3+Y809),0)),Calcs!$A$110:$C$122,3,TRUE))))</f>
        <v xml:space="preserve"> </v>
      </c>
      <c r="AC809" s="489"/>
      <c r="AD809" s="489" t="str">
        <f>IF(IF(AA809=" "," ",IF(NOT(ISBLANK(X809)),VLOOKUP($D$3+X809,Calcs!$A$110:$B$122,2,TRUE),IF(AA809="Failed",VLOOKUP($D$3,Calcs!$A$110:$B$122,2,TRUE),VLOOKUP($D$3-(IF((Character!$B$9+W809)&gt;($D$3+Y809),(Character!$B$9+W809)-($D$3+Y809),0)),Calcs!$A$110:$B$122,2,TRUE))))=Calcs!$B$120,IF(ISBLANK(AC809)," ",CONCATENATE(AC809+7," Years")),IF(AA809=" "," ",IF(NOT(ISBLANK(X809)),VLOOKUP($D$3+X809,Calcs!$A$110:$B$122,2,TRUE),IF(AA809="Failed",VLOOKUP($D$3,Calcs!$A$110:$B$122,2,TRUE),VLOOKUP($D$3-(IF((Character!$B$9+W809)&gt;($D$3+Y809),(Character!$B$9+W809)-($D$3+Y809),0)),Calcs!$A$110:$B$122,2,TRUE)))))</f>
        <v xml:space="preserve"> </v>
      </c>
      <c r="AE809" s="490"/>
      <c r="AF809" s="879"/>
      <c r="AG809" s="491"/>
    </row>
    <row r="810" spans="1:33" x14ac:dyDescent="0.2">
      <c r="A810" s="415">
        <f t="shared" si="24"/>
        <v>1412</v>
      </c>
      <c r="B810" s="419" t="str">
        <f t="shared" si="25"/>
        <v>Summer</v>
      </c>
      <c r="C810" s="455"/>
      <c r="D810" s="504"/>
      <c r="E810" s="455"/>
      <c r="F810" s="504"/>
      <c r="G810" s="455"/>
      <c r="H810" s="504"/>
      <c r="I810" s="455"/>
      <c r="J810" s="504"/>
      <c r="L810" s="472"/>
      <c r="M810" s="468"/>
      <c r="N810" s="468"/>
      <c r="O810" s="468"/>
      <c r="P810" s="468"/>
      <c r="Q810" s="473"/>
      <c r="R810" s="477" t="str">
        <f>IF(AND(COUNTIF('Start Character'!$I$63:$M$77,"Twilight Prone")=1,NOT(ISERROR(FIND("Magical Botch",M810)))),"Yes",IF(P810&gt;1,"Yes","No"))</f>
        <v>No</v>
      </c>
      <c r="S810" s="501"/>
      <c r="T810" s="478"/>
      <c r="U810" s="501"/>
      <c r="V810" s="479" t="str">
        <f>IF(R810="No","No Twilight",IF(T810="Yes","Uncomprehended Twilight",IF((Character!$B$14+IF(Character!$B$53="Yes",0,Character!$B$53)+IF(Magic!$C$5="Yes",2,0)+ROUNDUP((Magic!$B$30+IF(Magic!$C$30="Yes",3,0))/5,0)+S810)&gt;=($D$3+P810+SUMIF(Character!$I$62:$I$66,"Enigmatic Wisdom",Character!$J$62:$J$66)+Q810+U810),"No Twilight","Twilight")))</f>
        <v>No Twilight</v>
      </c>
      <c r="W810" s="483"/>
      <c r="X810" s="478"/>
      <c r="Y810" s="484"/>
      <c r="Z810" s="478"/>
      <c r="AA810" s="485" t="str">
        <f>IF(V810="Uncomprehended Twilight","Failed",IF(OR(ISBLANK(W810),ISBLANK(Y810))," ",IF(NOT(ISBLANK(X810)),"Failed",IF((W810+Character!$B$9+SUMIF(Character!$I$62:$I$66,"Enigmatic Wisdom",Character!$J$62:$J$66))&gt;=IF(Z810="Yes",0,(Y810+D805)),"Succeeded","Failed"))))</f>
        <v xml:space="preserve"> </v>
      </c>
      <c r="AB810" s="477" t="str">
        <f>IF(AA810=" "," ",IF(NOT(ISBLANK(X810)),VLOOKUP($D$3+X810,Calcs!$A$110:$C$122,3,TRUE),IF(AA810="Failed",VLOOKUP($D$3,Calcs!$A$110:$C$122,3,TRUE),VLOOKUP($D$3-(IF((Character!$B$9+W810)&gt;($D$3+Y810),(Character!$B$9+W810)-($D$3+Y810),0)),Calcs!$A$110:$C$122,3,TRUE))))</f>
        <v xml:space="preserve"> </v>
      </c>
      <c r="AC810" s="489"/>
      <c r="AD810" s="489" t="str">
        <f>IF(IF(AA810=" "," ",IF(NOT(ISBLANK(X810)),VLOOKUP($D$3+X810,Calcs!$A$110:$B$122,2,TRUE),IF(AA810="Failed",VLOOKUP($D$3,Calcs!$A$110:$B$122,2,TRUE),VLOOKUP($D$3-(IF((Character!$B$9+W810)&gt;($D$3+Y810),(Character!$B$9+W810)-($D$3+Y810),0)),Calcs!$A$110:$B$122,2,TRUE))))=Calcs!$B$120,IF(ISBLANK(AC810)," ",CONCATENATE(AC810+7," Years")),IF(AA810=" "," ",IF(NOT(ISBLANK(X810)),VLOOKUP($D$3+X810,Calcs!$A$110:$B$122,2,TRUE),IF(AA810="Failed",VLOOKUP($D$3,Calcs!$A$110:$B$122,2,TRUE),VLOOKUP($D$3-(IF((Character!$B$9+W810)&gt;($D$3+Y810),(Character!$B$9+W810)-($D$3+Y810),0)),Calcs!$A$110:$B$122,2,TRUE)))))</f>
        <v xml:space="preserve"> </v>
      </c>
      <c r="AE810" s="490"/>
      <c r="AF810" s="879"/>
      <c r="AG810" s="491"/>
    </row>
    <row r="811" spans="1:33" x14ac:dyDescent="0.2">
      <c r="A811" s="415">
        <f t="shared" si="24"/>
        <v>1412</v>
      </c>
      <c r="B811" s="419" t="str">
        <f t="shared" si="25"/>
        <v>Autumn</v>
      </c>
      <c r="C811" s="455"/>
      <c r="D811" s="504"/>
      <c r="E811" s="455"/>
      <c r="F811" s="504"/>
      <c r="G811" s="455"/>
      <c r="H811" s="504"/>
      <c r="I811" s="455"/>
      <c r="J811" s="504"/>
      <c r="L811" s="472"/>
      <c r="M811" s="468"/>
      <c r="N811" s="468"/>
      <c r="O811" s="468"/>
      <c r="P811" s="468"/>
      <c r="Q811" s="473"/>
      <c r="R811" s="477" t="str">
        <f>IF(AND(COUNTIF('Start Character'!$I$63:$M$77,"Twilight Prone")=1,NOT(ISERROR(FIND("Magical Botch",M811)))),"Yes",IF(P811&gt;1,"Yes","No"))</f>
        <v>No</v>
      </c>
      <c r="S811" s="501"/>
      <c r="T811" s="478"/>
      <c r="U811" s="501"/>
      <c r="V811" s="479" t="str">
        <f>IF(R811="No","No Twilight",IF(T811="Yes","Uncomprehended Twilight",IF((Character!$B$14+IF(Character!$B$53="Yes",0,Character!$B$53)+IF(Magic!$C$5="Yes",2,0)+ROUNDUP((Magic!$B$30+IF(Magic!$C$30="Yes",3,0))/5,0)+S811)&gt;=($D$3+P811+SUMIF(Character!$I$62:$I$66,"Enigmatic Wisdom",Character!$J$62:$J$66)+Q811+U811),"No Twilight","Twilight")))</f>
        <v>No Twilight</v>
      </c>
      <c r="W811" s="483"/>
      <c r="X811" s="478"/>
      <c r="Y811" s="484"/>
      <c r="Z811" s="478"/>
      <c r="AA811" s="485" t="str">
        <f>IF(V811="Uncomprehended Twilight","Failed",IF(OR(ISBLANK(W811),ISBLANK(Y811))," ",IF(NOT(ISBLANK(X811)),"Failed",IF((W811+Character!$B$9+SUMIF(Character!$I$62:$I$66,"Enigmatic Wisdom",Character!$J$62:$J$66))&gt;=IF(Z811="Yes",0,(Y811+D806)),"Succeeded","Failed"))))</f>
        <v xml:space="preserve"> </v>
      </c>
      <c r="AB811" s="477" t="str">
        <f>IF(AA811=" "," ",IF(NOT(ISBLANK(X811)),VLOOKUP($D$3+X811,Calcs!$A$110:$C$122,3,TRUE),IF(AA811="Failed",VLOOKUP($D$3,Calcs!$A$110:$C$122,3,TRUE),VLOOKUP($D$3-(IF((Character!$B$9+W811)&gt;($D$3+Y811),(Character!$B$9+W811)-($D$3+Y811),0)),Calcs!$A$110:$C$122,3,TRUE))))</f>
        <v xml:space="preserve"> </v>
      </c>
      <c r="AC811" s="489"/>
      <c r="AD811" s="489" t="str">
        <f>IF(IF(AA811=" "," ",IF(NOT(ISBLANK(X811)),VLOOKUP($D$3+X811,Calcs!$A$110:$B$122,2,TRUE),IF(AA811="Failed",VLOOKUP($D$3,Calcs!$A$110:$B$122,2,TRUE),VLOOKUP($D$3-(IF((Character!$B$9+W811)&gt;($D$3+Y811),(Character!$B$9+W811)-($D$3+Y811),0)),Calcs!$A$110:$B$122,2,TRUE))))=Calcs!$B$120,IF(ISBLANK(AC811)," ",CONCATENATE(AC811+7," Years")),IF(AA811=" "," ",IF(NOT(ISBLANK(X811)),VLOOKUP($D$3+X811,Calcs!$A$110:$B$122,2,TRUE),IF(AA811="Failed",VLOOKUP($D$3,Calcs!$A$110:$B$122,2,TRUE),VLOOKUP($D$3-(IF((Character!$B$9+W811)&gt;($D$3+Y811),(Character!$B$9+W811)-($D$3+Y811),0)),Calcs!$A$110:$B$122,2,TRUE)))))</f>
        <v xml:space="preserve"> </v>
      </c>
      <c r="AE811" s="490"/>
      <c r="AF811" s="879"/>
      <c r="AG811" s="491"/>
    </row>
    <row r="812" spans="1:33" x14ac:dyDescent="0.2">
      <c r="A812" s="415">
        <f t="shared" si="24"/>
        <v>1413</v>
      </c>
      <c r="B812" s="419" t="str">
        <f t="shared" si="25"/>
        <v>Winter</v>
      </c>
      <c r="C812" s="455"/>
      <c r="D812" s="504"/>
      <c r="E812" s="455"/>
      <c r="F812" s="504"/>
      <c r="G812" s="455"/>
      <c r="H812" s="504"/>
      <c r="I812" s="455"/>
      <c r="J812" s="504"/>
      <c r="L812" s="472"/>
      <c r="M812" s="468"/>
      <c r="N812" s="468"/>
      <c r="O812" s="468"/>
      <c r="P812" s="468"/>
      <c r="Q812" s="473"/>
      <c r="R812" s="477" t="str">
        <f>IF(AND(COUNTIF('Start Character'!$I$63:$M$77,"Twilight Prone")=1,NOT(ISERROR(FIND("Magical Botch",M812)))),"Yes",IF(P812&gt;1,"Yes","No"))</f>
        <v>No</v>
      </c>
      <c r="S812" s="501"/>
      <c r="T812" s="478"/>
      <c r="U812" s="501"/>
      <c r="V812" s="479" t="str">
        <f>IF(R812="No","No Twilight",IF(T812="Yes","Uncomprehended Twilight",IF((Character!$B$14+IF(Character!$B$53="Yes",0,Character!$B$53)+IF(Magic!$C$5="Yes",2,0)+ROUNDUP((Magic!$B$30+IF(Magic!$C$30="Yes",3,0))/5,0)+S812)&gt;=($D$3+P812+SUMIF(Character!$I$62:$I$66,"Enigmatic Wisdom",Character!$J$62:$J$66)+Q812+U812),"No Twilight","Twilight")))</f>
        <v>No Twilight</v>
      </c>
      <c r="W812" s="483"/>
      <c r="X812" s="478"/>
      <c r="Y812" s="484"/>
      <c r="Z812" s="478"/>
      <c r="AA812" s="485" t="str">
        <f>IF(V812="Uncomprehended Twilight","Failed",IF(OR(ISBLANK(W812),ISBLANK(Y812))," ",IF(NOT(ISBLANK(X812)),"Failed",IF((W812+Character!$B$9+SUMIF(Character!$I$62:$I$66,"Enigmatic Wisdom",Character!$J$62:$J$66))&gt;=IF(Z812="Yes",0,(Y812+D807)),"Succeeded","Failed"))))</f>
        <v xml:space="preserve"> </v>
      </c>
      <c r="AB812" s="477" t="str">
        <f>IF(AA812=" "," ",IF(NOT(ISBLANK(X812)),VLOOKUP($D$3+X812,Calcs!$A$110:$C$122,3,TRUE),IF(AA812="Failed",VLOOKUP($D$3,Calcs!$A$110:$C$122,3,TRUE),VLOOKUP($D$3-(IF((Character!$B$9+W812)&gt;($D$3+Y812),(Character!$B$9+W812)-($D$3+Y812),0)),Calcs!$A$110:$C$122,3,TRUE))))</f>
        <v xml:space="preserve"> </v>
      </c>
      <c r="AC812" s="489"/>
      <c r="AD812" s="489" t="str">
        <f>IF(IF(AA812=" "," ",IF(NOT(ISBLANK(X812)),VLOOKUP($D$3+X812,Calcs!$A$110:$B$122,2,TRUE),IF(AA812="Failed",VLOOKUP($D$3,Calcs!$A$110:$B$122,2,TRUE),VLOOKUP($D$3-(IF((Character!$B$9+W812)&gt;($D$3+Y812),(Character!$B$9+W812)-($D$3+Y812),0)),Calcs!$A$110:$B$122,2,TRUE))))=Calcs!$B$120,IF(ISBLANK(AC812)," ",CONCATENATE(AC812+7," Years")),IF(AA812=" "," ",IF(NOT(ISBLANK(X812)),VLOOKUP($D$3+X812,Calcs!$A$110:$B$122,2,TRUE),IF(AA812="Failed",VLOOKUP($D$3,Calcs!$A$110:$B$122,2,TRUE),VLOOKUP($D$3-(IF((Character!$B$9+W812)&gt;($D$3+Y812),(Character!$B$9+W812)-($D$3+Y812),0)),Calcs!$A$110:$B$122,2,TRUE)))))</f>
        <v xml:space="preserve"> </v>
      </c>
      <c r="AE812" s="490"/>
      <c r="AF812" s="879"/>
      <c r="AG812" s="491"/>
    </row>
    <row r="813" spans="1:33" x14ac:dyDescent="0.2">
      <c r="A813" s="415">
        <f t="shared" si="24"/>
        <v>1413</v>
      </c>
      <c r="B813" s="419" t="str">
        <f t="shared" si="25"/>
        <v>Spring</v>
      </c>
      <c r="C813" s="455"/>
      <c r="D813" s="504"/>
      <c r="E813" s="455"/>
      <c r="F813" s="504"/>
      <c r="G813" s="455"/>
      <c r="H813" s="504"/>
      <c r="I813" s="455"/>
      <c r="J813" s="504"/>
      <c r="L813" s="472"/>
      <c r="M813" s="468"/>
      <c r="N813" s="468"/>
      <c r="O813" s="468"/>
      <c r="P813" s="468"/>
      <c r="Q813" s="473"/>
      <c r="R813" s="477" t="str">
        <f>IF(AND(COUNTIF('Start Character'!$I$63:$M$77,"Twilight Prone")=1,NOT(ISERROR(FIND("Magical Botch",M813)))),"Yes",IF(P813&gt;1,"Yes","No"))</f>
        <v>No</v>
      </c>
      <c r="S813" s="501"/>
      <c r="T813" s="478"/>
      <c r="U813" s="501"/>
      <c r="V813" s="479" t="str">
        <f>IF(R813="No","No Twilight",IF(T813="Yes","Uncomprehended Twilight",IF((Character!$B$14+IF(Character!$B$53="Yes",0,Character!$B$53)+IF(Magic!$C$5="Yes",2,0)+ROUNDUP((Magic!$B$30+IF(Magic!$C$30="Yes",3,0))/5,0)+S813)&gt;=($D$3+P813+SUMIF(Character!$I$62:$I$66,"Enigmatic Wisdom",Character!$J$62:$J$66)+Q813+U813),"No Twilight","Twilight")))</f>
        <v>No Twilight</v>
      </c>
      <c r="W813" s="483"/>
      <c r="X813" s="478"/>
      <c r="Y813" s="484"/>
      <c r="Z813" s="478"/>
      <c r="AA813" s="485" t="str">
        <f>IF(V813="Uncomprehended Twilight","Failed",IF(OR(ISBLANK(W813),ISBLANK(Y813))," ",IF(NOT(ISBLANK(X813)),"Failed",IF((W813+Character!$B$9+SUMIF(Character!$I$62:$I$66,"Enigmatic Wisdom",Character!$J$62:$J$66))&gt;=IF(Z813="Yes",0,(Y813+D808)),"Succeeded","Failed"))))</f>
        <v xml:space="preserve"> </v>
      </c>
      <c r="AB813" s="477" t="str">
        <f>IF(AA813=" "," ",IF(NOT(ISBLANK(X813)),VLOOKUP($D$3+X813,Calcs!$A$110:$C$122,3,TRUE),IF(AA813="Failed",VLOOKUP($D$3,Calcs!$A$110:$C$122,3,TRUE),VLOOKUP($D$3-(IF((Character!$B$9+W813)&gt;($D$3+Y813),(Character!$B$9+W813)-($D$3+Y813),0)),Calcs!$A$110:$C$122,3,TRUE))))</f>
        <v xml:space="preserve"> </v>
      </c>
      <c r="AC813" s="489"/>
      <c r="AD813" s="489" t="str">
        <f>IF(IF(AA813=" "," ",IF(NOT(ISBLANK(X813)),VLOOKUP($D$3+X813,Calcs!$A$110:$B$122,2,TRUE),IF(AA813="Failed",VLOOKUP($D$3,Calcs!$A$110:$B$122,2,TRUE),VLOOKUP($D$3-(IF((Character!$B$9+W813)&gt;($D$3+Y813),(Character!$B$9+W813)-($D$3+Y813),0)),Calcs!$A$110:$B$122,2,TRUE))))=Calcs!$B$120,IF(ISBLANK(AC813)," ",CONCATENATE(AC813+7," Years")),IF(AA813=" "," ",IF(NOT(ISBLANK(X813)),VLOOKUP($D$3+X813,Calcs!$A$110:$B$122,2,TRUE),IF(AA813="Failed",VLOOKUP($D$3,Calcs!$A$110:$B$122,2,TRUE),VLOOKUP($D$3-(IF((Character!$B$9+W813)&gt;($D$3+Y813),(Character!$B$9+W813)-($D$3+Y813),0)),Calcs!$A$110:$B$122,2,TRUE)))))</f>
        <v xml:space="preserve"> </v>
      </c>
      <c r="AE813" s="490"/>
      <c r="AF813" s="879"/>
      <c r="AG813" s="491"/>
    </row>
    <row r="814" spans="1:33" x14ac:dyDescent="0.2">
      <c r="A814" s="415">
        <f t="shared" si="24"/>
        <v>1413</v>
      </c>
      <c r="B814" s="419" t="str">
        <f t="shared" si="25"/>
        <v>Summer</v>
      </c>
      <c r="C814" s="455"/>
      <c r="D814" s="504"/>
      <c r="E814" s="455"/>
      <c r="F814" s="504"/>
      <c r="G814" s="455"/>
      <c r="H814" s="504"/>
      <c r="I814" s="455"/>
      <c r="J814" s="504"/>
      <c r="L814" s="472"/>
      <c r="M814" s="468"/>
      <c r="N814" s="468"/>
      <c r="O814" s="468"/>
      <c r="P814" s="468"/>
      <c r="Q814" s="473"/>
      <c r="R814" s="477" t="str">
        <f>IF(AND(COUNTIF('Start Character'!$I$63:$M$77,"Twilight Prone")=1,NOT(ISERROR(FIND("Magical Botch",M814)))),"Yes",IF(P814&gt;1,"Yes","No"))</f>
        <v>No</v>
      </c>
      <c r="S814" s="501"/>
      <c r="T814" s="478"/>
      <c r="U814" s="501"/>
      <c r="V814" s="479" t="str">
        <f>IF(R814="No","No Twilight",IF(T814="Yes","Uncomprehended Twilight",IF((Character!$B$14+IF(Character!$B$53="Yes",0,Character!$B$53)+IF(Magic!$C$5="Yes",2,0)+ROUNDUP((Magic!$B$30+IF(Magic!$C$30="Yes",3,0))/5,0)+S814)&gt;=($D$3+P814+SUMIF(Character!$I$62:$I$66,"Enigmatic Wisdom",Character!$J$62:$J$66)+Q814+U814),"No Twilight","Twilight")))</f>
        <v>No Twilight</v>
      </c>
      <c r="W814" s="483"/>
      <c r="X814" s="478"/>
      <c r="Y814" s="484"/>
      <c r="Z814" s="478"/>
      <c r="AA814" s="485" t="str">
        <f>IF(V814="Uncomprehended Twilight","Failed",IF(OR(ISBLANK(W814),ISBLANK(Y814))," ",IF(NOT(ISBLANK(X814)),"Failed",IF((W814+Character!$B$9+SUMIF(Character!$I$62:$I$66,"Enigmatic Wisdom",Character!$J$62:$J$66))&gt;=IF(Z814="Yes",0,(Y814+D809)),"Succeeded","Failed"))))</f>
        <v xml:space="preserve"> </v>
      </c>
      <c r="AB814" s="477" t="str">
        <f>IF(AA814=" "," ",IF(NOT(ISBLANK(X814)),VLOOKUP($D$3+X814,Calcs!$A$110:$C$122,3,TRUE),IF(AA814="Failed",VLOOKUP($D$3,Calcs!$A$110:$C$122,3,TRUE),VLOOKUP($D$3-(IF((Character!$B$9+W814)&gt;($D$3+Y814),(Character!$B$9+W814)-($D$3+Y814),0)),Calcs!$A$110:$C$122,3,TRUE))))</f>
        <v xml:space="preserve"> </v>
      </c>
      <c r="AC814" s="489"/>
      <c r="AD814" s="489" t="str">
        <f>IF(IF(AA814=" "," ",IF(NOT(ISBLANK(X814)),VLOOKUP($D$3+X814,Calcs!$A$110:$B$122,2,TRUE),IF(AA814="Failed",VLOOKUP($D$3,Calcs!$A$110:$B$122,2,TRUE),VLOOKUP($D$3-(IF((Character!$B$9+W814)&gt;($D$3+Y814),(Character!$B$9+W814)-($D$3+Y814),0)),Calcs!$A$110:$B$122,2,TRUE))))=Calcs!$B$120,IF(ISBLANK(AC814)," ",CONCATENATE(AC814+7," Years")),IF(AA814=" "," ",IF(NOT(ISBLANK(X814)),VLOOKUP($D$3+X814,Calcs!$A$110:$B$122,2,TRUE),IF(AA814="Failed",VLOOKUP($D$3,Calcs!$A$110:$B$122,2,TRUE),VLOOKUP($D$3-(IF((Character!$B$9+W814)&gt;($D$3+Y814),(Character!$B$9+W814)-($D$3+Y814),0)),Calcs!$A$110:$B$122,2,TRUE)))))</f>
        <v xml:space="preserve"> </v>
      </c>
      <c r="AE814" s="490"/>
      <c r="AF814" s="879"/>
      <c r="AG814" s="491"/>
    </row>
    <row r="815" spans="1:33" x14ac:dyDescent="0.2">
      <c r="A815" s="415">
        <f t="shared" si="24"/>
        <v>1413</v>
      </c>
      <c r="B815" s="419" t="str">
        <f t="shared" si="25"/>
        <v>Autumn</v>
      </c>
      <c r="C815" s="455"/>
      <c r="D815" s="504"/>
      <c r="E815" s="455"/>
      <c r="F815" s="504"/>
      <c r="G815" s="455"/>
      <c r="H815" s="504"/>
      <c r="I815" s="455"/>
      <c r="J815" s="504"/>
      <c r="L815" s="472"/>
      <c r="M815" s="468"/>
      <c r="N815" s="468"/>
      <c r="O815" s="468"/>
      <c r="P815" s="468"/>
      <c r="Q815" s="473"/>
      <c r="R815" s="477" t="str">
        <f>IF(AND(COUNTIF('Start Character'!$I$63:$M$77,"Twilight Prone")=1,NOT(ISERROR(FIND("Magical Botch",M815)))),"Yes",IF(P815&gt;1,"Yes","No"))</f>
        <v>No</v>
      </c>
      <c r="S815" s="501"/>
      <c r="T815" s="478"/>
      <c r="U815" s="501"/>
      <c r="V815" s="479" t="str">
        <f>IF(R815="No","No Twilight",IF(T815="Yes","Uncomprehended Twilight",IF((Character!$B$14+IF(Character!$B$53="Yes",0,Character!$B$53)+IF(Magic!$C$5="Yes",2,0)+ROUNDUP((Magic!$B$30+IF(Magic!$C$30="Yes",3,0))/5,0)+S815)&gt;=($D$3+P815+SUMIF(Character!$I$62:$I$66,"Enigmatic Wisdom",Character!$J$62:$J$66)+Q815+U815),"No Twilight","Twilight")))</f>
        <v>No Twilight</v>
      </c>
      <c r="W815" s="483"/>
      <c r="X815" s="478"/>
      <c r="Y815" s="484"/>
      <c r="Z815" s="478"/>
      <c r="AA815" s="485" t="str">
        <f>IF(V815="Uncomprehended Twilight","Failed",IF(OR(ISBLANK(W815),ISBLANK(Y815))," ",IF(NOT(ISBLANK(X815)),"Failed",IF((W815+Character!$B$9+SUMIF(Character!$I$62:$I$66,"Enigmatic Wisdom",Character!$J$62:$J$66))&gt;=IF(Z815="Yes",0,(Y815+D810)),"Succeeded","Failed"))))</f>
        <v xml:space="preserve"> </v>
      </c>
      <c r="AB815" s="477" t="str">
        <f>IF(AA815=" "," ",IF(NOT(ISBLANK(X815)),VLOOKUP($D$3+X815,Calcs!$A$110:$C$122,3,TRUE),IF(AA815="Failed",VLOOKUP($D$3,Calcs!$A$110:$C$122,3,TRUE),VLOOKUP($D$3-(IF((Character!$B$9+W815)&gt;($D$3+Y815),(Character!$B$9+W815)-($D$3+Y815),0)),Calcs!$A$110:$C$122,3,TRUE))))</f>
        <v xml:space="preserve"> </v>
      </c>
      <c r="AC815" s="489"/>
      <c r="AD815" s="489" t="str">
        <f>IF(IF(AA815=" "," ",IF(NOT(ISBLANK(X815)),VLOOKUP($D$3+X815,Calcs!$A$110:$B$122,2,TRUE),IF(AA815="Failed",VLOOKUP($D$3,Calcs!$A$110:$B$122,2,TRUE),VLOOKUP($D$3-(IF((Character!$B$9+W815)&gt;($D$3+Y815),(Character!$B$9+W815)-($D$3+Y815),0)),Calcs!$A$110:$B$122,2,TRUE))))=Calcs!$B$120,IF(ISBLANK(AC815)," ",CONCATENATE(AC815+7," Years")),IF(AA815=" "," ",IF(NOT(ISBLANK(X815)),VLOOKUP($D$3+X815,Calcs!$A$110:$B$122,2,TRUE),IF(AA815="Failed",VLOOKUP($D$3,Calcs!$A$110:$B$122,2,TRUE),VLOOKUP($D$3-(IF((Character!$B$9+W815)&gt;($D$3+Y815),(Character!$B$9+W815)-($D$3+Y815),0)),Calcs!$A$110:$B$122,2,TRUE)))))</f>
        <v xml:space="preserve"> </v>
      </c>
      <c r="AE815" s="490"/>
      <c r="AF815" s="879"/>
      <c r="AG815" s="491"/>
    </row>
    <row r="816" spans="1:33" x14ac:dyDescent="0.2">
      <c r="A816" s="415">
        <f t="shared" si="24"/>
        <v>1414</v>
      </c>
      <c r="B816" s="419" t="str">
        <f t="shared" si="25"/>
        <v>Winter</v>
      </c>
      <c r="C816" s="455"/>
      <c r="D816" s="504"/>
      <c r="E816" s="455"/>
      <c r="F816" s="504"/>
      <c r="G816" s="455"/>
      <c r="H816" s="504"/>
      <c r="I816" s="455"/>
      <c r="J816" s="504"/>
      <c r="L816" s="472"/>
      <c r="M816" s="468"/>
      <c r="N816" s="468"/>
      <c r="O816" s="468"/>
      <c r="P816" s="468"/>
      <c r="Q816" s="473"/>
      <c r="R816" s="477" t="str">
        <f>IF(AND(COUNTIF('Start Character'!$I$63:$M$77,"Twilight Prone")=1,NOT(ISERROR(FIND("Magical Botch",M816)))),"Yes",IF(P816&gt;1,"Yes","No"))</f>
        <v>No</v>
      </c>
      <c r="S816" s="501"/>
      <c r="T816" s="478"/>
      <c r="U816" s="501"/>
      <c r="V816" s="479" t="str">
        <f>IF(R816="No","No Twilight",IF(T816="Yes","Uncomprehended Twilight",IF((Character!$B$14+IF(Character!$B$53="Yes",0,Character!$B$53)+IF(Magic!$C$5="Yes",2,0)+ROUNDUP((Magic!$B$30+IF(Magic!$C$30="Yes",3,0))/5,0)+S816)&gt;=($D$3+P816+SUMIF(Character!$I$62:$I$66,"Enigmatic Wisdom",Character!$J$62:$J$66)+Q816+U816),"No Twilight","Twilight")))</f>
        <v>No Twilight</v>
      </c>
      <c r="W816" s="483"/>
      <c r="X816" s="478"/>
      <c r="Y816" s="484"/>
      <c r="Z816" s="478"/>
      <c r="AA816" s="485" t="str">
        <f>IF(V816="Uncomprehended Twilight","Failed",IF(OR(ISBLANK(W816),ISBLANK(Y816))," ",IF(NOT(ISBLANK(X816)),"Failed",IF((W816+Character!$B$9+SUMIF(Character!$I$62:$I$66,"Enigmatic Wisdom",Character!$J$62:$J$66))&gt;=IF(Z816="Yes",0,(Y816+D811)),"Succeeded","Failed"))))</f>
        <v xml:space="preserve"> </v>
      </c>
      <c r="AB816" s="477" t="str">
        <f>IF(AA816=" "," ",IF(NOT(ISBLANK(X816)),VLOOKUP($D$3+X816,Calcs!$A$110:$C$122,3,TRUE),IF(AA816="Failed",VLOOKUP($D$3,Calcs!$A$110:$C$122,3,TRUE),VLOOKUP($D$3-(IF((Character!$B$9+W816)&gt;($D$3+Y816),(Character!$B$9+W816)-($D$3+Y816),0)),Calcs!$A$110:$C$122,3,TRUE))))</f>
        <v xml:space="preserve"> </v>
      </c>
      <c r="AC816" s="489"/>
      <c r="AD816" s="489" t="str">
        <f>IF(IF(AA816=" "," ",IF(NOT(ISBLANK(X816)),VLOOKUP($D$3+X816,Calcs!$A$110:$B$122,2,TRUE),IF(AA816="Failed",VLOOKUP($D$3,Calcs!$A$110:$B$122,2,TRUE),VLOOKUP($D$3-(IF((Character!$B$9+W816)&gt;($D$3+Y816),(Character!$B$9+W816)-($D$3+Y816),0)),Calcs!$A$110:$B$122,2,TRUE))))=Calcs!$B$120,IF(ISBLANK(AC816)," ",CONCATENATE(AC816+7," Years")),IF(AA816=" "," ",IF(NOT(ISBLANK(X816)),VLOOKUP($D$3+X816,Calcs!$A$110:$B$122,2,TRUE),IF(AA816="Failed",VLOOKUP($D$3,Calcs!$A$110:$B$122,2,TRUE),VLOOKUP($D$3-(IF((Character!$B$9+W816)&gt;($D$3+Y816),(Character!$B$9+W816)-($D$3+Y816),0)),Calcs!$A$110:$B$122,2,TRUE)))))</f>
        <v xml:space="preserve"> </v>
      </c>
      <c r="AE816" s="490"/>
      <c r="AF816" s="879"/>
      <c r="AG816" s="491"/>
    </row>
    <row r="817" spans="1:33" x14ac:dyDescent="0.2">
      <c r="A817" s="415">
        <f t="shared" si="24"/>
        <v>1414</v>
      </c>
      <c r="B817" s="419" t="str">
        <f t="shared" si="25"/>
        <v>Spring</v>
      </c>
      <c r="C817" s="455"/>
      <c r="D817" s="504"/>
      <c r="E817" s="455"/>
      <c r="F817" s="504"/>
      <c r="G817" s="455"/>
      <c r="H817" s="504"/>
      <c r="I817" s="455"/>
      <c r="J817" s="504"/>
      <c r="L817" s="472"/>
      <c r="M817" s="468"/>
      <c r="N817" s="468"/>
      <c r="O817" s="468"/>
      <c r="P817" s="468"/>
      <c r="Q817" s="473"/>
      <c r="R817" s="477" t="str">
        <f>IF(AND(COUNTIF('Start Character'!$I$63:$M$77,"Twilight Prone")=1,NOT(ISERROR(FIND("Magical Botch",M817)))),"Yes",IF(P817&gt;1,"Yes","No"))</f>
        <v>No</v>
      </c>
      <c r="S817" s="501"/>
      <c r="T817" s="478"/>
      <c r="U817" s="501"/>
      <c r="V817" s="479" t="str">
        <f>IF(R817="No","No Twilight",IF(T817="Yes","Uncomprehended Twilight",IF((Character!$B$14+IF(Character!$B$53="Yes",0,Character!$B$53)+IF(Magic!$C$5="Yes",2,0)+ROUNDUP((Magic!$B$30+IF(Magic!$C$30="Yes",3,0))/5,0)+S817)&gt;=($D$3+P817+SUMIF(Character!$I$62:$I$66,"Enigmatic Wisdom",Character!$J$62:$J$66)+Q817+U817),"No Twilight","Twilight")))</f>
        <v>No Twilight</v>
      </c>
      <c r="W817" s="483"/>
      <c r="X817" s="478"/>
      <c r="Y817" s="484"/>
      <c r="Z817" s="478"/>
      <c r="AA817" s="485" t="str">
        <f>IF(V817="Uncomprehended Twilight","Failed",IF(OR(ISBLANK(W817),ISBLANK(Y817))," ",IF(NOT(ISBLANK(X817)),"Failed",IF((W817+Character!$B$9+SUMIF(Character!$I$62:$I$66,"Enigmatic Wisdom",Character!$J$62:$J$66))&gt;=IF(Z817="Yes",0,(Y817+D812)),"Succeeded","Failed"))))</f>
        <v xml:space="preserve"> </v>
      </c>
      <c r="AB817" s="477" t="str">
        <f>IF(AA817=" "," ",IF(NOT(ISBLANK(X817)),VLOOKUP($D$3+X817,Calcs!$A$110:$C$122,3,TRUE),IF(AA817="Failed",VLOOKUP($D$3,Calcs!$A$110:$C$122,3,TRUE),VLOOKUP($D$3-(IF((Character!$B$9+W817)&gt;($D$3+Y817),(Character!$B$9+W817)-($D$3+Y817),0)),Calcs!$A$110:$C$122,3,TRUE))))</f>
        <v xml:space="preserve"> </v>
      </c>
      <c r="AC817" s="489"/>
      <c r="AD817" s="489" t="str">
        <f>IF(IF(AA817=" "," ",IF(NOT(ISBLANK(X817)),VLOOKUP($D$3+X817,Calcs!$A$110:$B$122,2,TRUE),IF(AA817="Failed",VLOOKUP($D$3,Calcs!$A$110:$B$122,2,TRUE),VLOOKUP($D$3-(IF((Character!$B$9+W817)&gt;($D$3+Y817),(Character!$B$9+W817)-($D$3+Y817),0)),Calcs!$A$110:$B$122,2,TRUE))))=Calcs!$B$120,IF(ISBLANK(AC817)," ",CONCATENATE(AC817+7," Years")),IF(AA817=" "," ",IF(NOT(ISBLANK(X817)),VLOOKUP($D$3+X817,Calcs!$A$110:$B$122,2,TRUE),IF(AA817="Failed",VLOOKUP($D$3,Calcs!$A$110:$B$122,2,TRUE),VLOOKUP($D$3-(IF((Character!$B$9+W817)&gt;($D$3+Y817),(Character!$B$9+W817)-($D$3+Y817),0)),Calcs!$A$110:$B$122,2,TRUE)))))</f>
        <v xml:space="preserve"> </v>
      </c>
      <c r="AE817" s="490"/>
      <c r="AF817" s="879"/>
      <c r="AG817" s="491"/>
    </row>
    <row r="818" spans="1:33" x14ac:dyDescent="0.2">
      <c r="A818" s="415">
        <f t="shared" si="24"/>
        <v>1414</v>
      </c>
      <c r="B818" s="419" t="str">
        <f t="shared" si="25"/>
        <v>Summer</v>
      </c>
      <c r="C818" s="455"/>
      <c r="D818" s="504"/>
      <c r="E818" s="455"/>
      <c r="F818" s="504"/>
      <c r="G818" s="455"/>
      <c r="H818" s="504"/>
      <c r="I818" s="455"/>
      <c r="J818" s="504"/>
      <c r="L818" s="472"/>
      <c r="M818" s="468"/>
      <c r="N818" s="468"/>
      <c r="O818" s="468"/>
      <c r="P818" s="468"/>
      <c r="Q818" s="473"/>
      <c r="R818" s="477" t="str">
        <f>IF(AND(COUNTIF('Start Character'!$I$63:$M$77,"Twilight Prone")=1,NOT(ISERROR(FIND("Magical Botch",M818)))),"Yes",IF(P818&gt;1,"Yes","No"))</f>
        <v>No</v>
      </c>
      <c r="S818" s="501"/>
      <c r="T818" s="478"/>
      <c r="U818" s="501"/>
      <c r="V818" s="479" t="str">
        <f>IF(R818="No","No Twilight",IF(T818="Yes","Uncomprehended Twilight",IF((Character!$B$14+IF(Character!$B$53="Yes",0,Character!$B$53)+IF(Magic!$C$5="Yes",2,0)+ROUNDUP((Magic!$B$30+IF(Magic!$C$30="Yes",3,0))/5,0)+S818)&gt;=($D$3+P818+SUMIF(Character!$I$62:$I$66,"Enigmatic Wisdom",Character!$J$62:$J$66)+Q818+U818),"No Twilight","Twilight")))</f>
        <v>No Twilight</v>
      </c>
      <c r="W818" s="483"/>
      <c r="X818" s="478"/>
      <c r="Y818" s="484"/>
      <c r="Z818" s="478"/>
      <c r="AA818" s="485" t="str">
        <f>IF(V818="Uncomprehended Twilight","Failed",IF(OR(ISBLANK(W818),ISBLANK(Y818))," ",IF(NOT(ISBLANK(X818)),"Failed",IF((W818+Character!$B$9+SUMIF(Character!$I$62:$I$66,"Enigmatic Wisdom",Character!$J$62:$J$66))&gt;=IF(Z818="Yes",0,(Y818+D813)),"Succeeded","Failed"))))</f>
        <v xml:space="preserve"> </v>
      </c>
      <c r="AB818" s="477" t="str">
        <f>IF(AA818=" "," ",IF(NOT(ISBLANK(X818)),VLOOKUP($D$3+X818,Calcs!$A$110:$C$122,3,TRUE),IF(AA818="Failed",VLOOKUP($D$3,Calcs!$A$110:$C$122,3,TRUE),VLOOKUP($D$3-(IF((Character!$B$9+W818)&gt;($D$3+Y818),(Character!$B$9+W818)-($D$3+Y818),0)),Calcs!$A$110:$C$122,3,TRUE))))</f>
        <v xml:space="preserve"> </v>
      </c>
      <c r="AC818" s="489"/>
      <c r="AD818" s="489" t="str">
        <f>IF(IF(AA818=" "," ",IF(NOT(ISBLANK(X818)),VLOOKUP($D$3+X818,Calcs!$A$110:$B$122,2,TRUE),IF(AA818="Failed",VLOOKUP($D$3,Calcs!$A$110:$B$122,2,TRUE),VLOOKUP($D$3-(IF((Character!$B$9+W818)&gt;($D$3+Y818),(Character!$B$9+W818)-($D$3+Y818),0)),Calcs!$A$110:$B$122,2,TRUE))))=Calcs!$B$120,IF(ISBLANK(AC818)," ",CONCATENATE(AC818+7," Years")),IF(AA818=" "," ",IF(NOT(ISBLANK(X818)),VLOOKUP($D$3+X818,Calcs!$A$110:$B$122,2,TRUE),IF(AA818="Failed",VLOOKUP($D$3,Calcs!$A$110:$B$122,2,TRUE),VLOOKUP($D$3-(IF((Character!$B$9+W818)&gt;($D$3+Y818),(Character!$B$9+W818)-($D$3+Y818),0)),Calcs!$A$110:$B$122,2,TRUE)))))</f>
        <v xml:space="preserve"> </v>
      </c>
      <c r="AE818" s="490"/>
      <c r="AF818" s="879"/>
      <c r="AG818" s="491"/>
    </row>
    <row r="819" spans="1:33" x14ac:dyDescent="0.2">
      <c r="A819" s="415">
        <f t="shared" si="24"/>
        <v>1414</v>
      </c>
      <c r="B819" s="419" t="str">
        <f t="shared" si="25"/>
        <v>Autumn</v>
      </c>
      <c r="C819" s="455"/>
      <c r="D819" s="504"/>
      <c r="E819" s="455"/>
      <c r="F819" s="504"/>
      <c r="G819" s="455"/>
      <c r="H819" s="504"/>
      <c r="I819" s="455"/>
      <c r="J819" s="504"/>
      <c r="L819" s="472"/>
      <c r="M819" s="468"/>
      <c r="N819" s="468"/>
      <c r="O819" s="468"/>
      <c r="P819" s="468"/>
      <c r="Q819" s="473"/>
      <c r="R819" s="477" t="str">
        <f>IF(AND(COUNTIF('Start Character'!$I$63:$M$77,"Twilight Prone")=1,NOT(ISERROR(FIND("Magical Botch",M819)))),"Yes",IF(P819&gt;1,"Yes","No"))</f>
        <v>No</v>
      </c>
      <c r="S819" s="501"/>
      <c r="T819" s="478"/>
      <c r="U819" s="501"/>
      <c r="V819" s="479" t="str">
        <f>IF(R819="No","No Twilight",IF(T819="Yes","Uncomprehended Twilight",IF((Character!$B$14+IF(Character!$B$53="Yes",0,Character!$B$53)+IF(Magic!$C$5="Yes",2,0)+ROUNDUP((Magic!$B$30+IF(Magic!$C$30="Yes",3,0))/5,0)+S819)&gt;=($D$3+P819+SUMIF(Character!$I$62:$I$66,"Enigmatic Wisdom",Character!$J$62:$J$66)+Q819+U819),"No Twilight","Twilight")))</f>
        <v>No Twilight</v>
      </c>
      <c r="W819" s="483"/>
      <c r="X819" s="478"/>
      <c r="Y819" s="484"/>
      <c r="Z819" s="478"/>
      <c r="AA819" s="485" t="str">
        <f>IF(V819="Uncomprehended Twilight","Failed",IF(OR(ISBLANK(W819),ISBLANK(Y819))," ",IF(NOT(ISBLANK(X819)),"Failed",IF((W819+Character!$B$9+SUMIF(Character!$I$62:$I$66,"Enigmatic Wisdom",Character!$J$62:$J$66))&gt;=IF(Z819="Yes",0,(Y819+D814)),"Succeeded","Failed"))))</f>
        <v xml:space="preserve"> </v>
      </c>
      <c r="AB819" s="477" t="str">
        <f>IF(AA819=" "," ",IF(NOT(ISBLANK(X819)),VLOOKUP($D$3+X819,Calcs!$A$110:$C$122,3,TRUE),IF(AA819="Failed",VLOOKUP($D$3,Calcs!$A$110:$C$122,3,TRUE),VLOOKUP($D$3-(IF((Character!$B$9+W819)&gt;($D$3+Y819),(Character!$B$9+W819)-($D$3+Y819),0)),Calcs!$A$110:$C$122,3,TRUE))))</f>
        <v xml:space="preserve"> </v>
      </c>
      <c r="AC819" s="489"/>
      <c r="AD819" s="489" t="str">
        <f>IF(IF(AA819=" "," ",IF(NOT(ISBLANK(X819)),VLOOKUP($D$3+X819,Calcs!$A$110:$B$122,2,TRUE),IF(AA819="Failed",VLOOKUP($D$3,Calcs!$A$110:$B$122,2,TRUE),VLOOKUP($D$3-(IF((Character!$B$9+W819)&gt;($D$3+Y819),(Character!$B$9+W819)-($D$3+Y819),0)),Calcs!$A$110:$B$122,2,TRUE))))=Calcs!$B$120,IF(ISBLANK(AC819)," ",CONCATENATE(AC819+7," Years")),IF(AA819=" "," ",IF(NOT(ISBLANK(X819)),VLOOKUP($D$3+X819,Calcs!$A$110:$B$122,2,TRUE),IF(AA819="Failed",VLOOKUP($D$3,Calcs!$A$110:$B$122,2,TRUE),VLOOKUP($D$3-(IF((Character!$B$9+W819)&gt;($D$3+Y819),(Character!$B$9+W819)-($D$3+Y819),0)),Calcs!$A$110:$B$122,2,TRUE)))))</f>
        <v xml:space="preserve"> </v>
      </c>
      <c r="AE819" s="490"/>
      <c r="AF819" s="879"/>
      <c r="AG819" s="491"/>
    </row>
    <row r="820" spans="1:33" x14ac:dyDescent="0.2">
      <c r="A820" s="415">
        <f t="shared" si="24"/>
        <v>1415</v>
      </c>
      <c r="B820" s="419" t="str">
        <f t="shared" si="25"/>
        <v>Winter</v>
      </c>
      <c r="C820" s="455"/>
      <c r="D820" s="504"/>
      <c r="E820" s="455"/>
      <c r="F820" s="504"/>
      <c r="G820" s="455"/>
      <c r="H820" s="504"/>
      <c r="I820" s="455"/>
      <c r="J820" s="504"/>
      <c r="L820" s="472"/>
      <c r="M820" s="468"/>
      <c r="N820" s="468"/>
      <c r="O820" s="468"/>
      <c r="P820" s="468"/>
      <c r="Q820" s="473"/>
      <c r="R820" s="477" t="str">
        <f>IF(AND(COUNTIF('Start Character'!$I$63:$M$77,"Twilight Prone")=1,NOT(ISERROR(FIND("Magical Botch",M820)))),"Yes",IF(P820&gt;1,"Yes","No"))</f>
        <v>No</v>
      </c>
      <c r="S820" s="501"/>
      <c r="T820" s="478"/>
      <c r="U820" s="501"/>
      <c r="V820" s="479" t="str">
        <f>IF(R820="No","No Twilight",IF(T820="Yes","Uncomprehended Twilight",IF((Character!$B$14+IF(Character!$B$53="Yes",0,Character!$B$53)+IF(Magic!$C$5="Yes",2,0)+ROUNDUP((Magic!$B$30+IF(Magic!$C$30="Yes",3,0))/5,0)+S820)&gt;=($D$3+P820+SUMIF(Character!$I$62:$I$66,"Enigmatic Wisdom",Character!$J$62:$J$66)+Q820+U820),"No Twilight","Twilight")))</f>
        <v>No Twilight</v>
      </c>
      <c r="W820" s="483"/>
      <c r="X820" s="478"/>
      <c r="Y820" s="484"/>
      <c r="Z820" s="478"/>
      <c r="AA820" s="485" t="str">
        <f>IF(V820="Uncomprehended Twilight","Failed",IF(OR(ISBLANK(W820),ISBLANK(Y820))," ",IF(NOT(ISBLANK(X820)),"Failed",IF((W820+Character!$B$9+SUMIF(Character!$I$62:$I$66,"Enigmatic Wisdom",Character!$J$62:$J$66))&gt;=IF(Z820="Yes",0,(Y820+D815)),"Succeeded","Failed"))))</f>
        <v xml:space="preserve"> </v>
      </c>
      <c r="AB820" s="477" t="str">
        <f>IF(AA820=" "," ",IF(NOT(ISBLANK(X820)),VLOOKUP($D$3+X820,Calcs!$A$110:$C$122,3,TRUE),IF(AA820="Failed",VLOOKUP($D$3,Calcs!$A$110:$C$122,3,TRUE),VLOOKUP($D$3-(IF((Character!$B$9+W820)&gt;($D$3+Y820),(Character!$B$9+W820)-($D$3+Y820),0)),Calcs!$A$110:$C$122,3,TRUE))))</f>
        <v xml:space="preserve"> </v>
      </c>
      <c r="AC820" s="489"/>
      <c r="AD820" s="489" t="str">
        <f>IF(IF(AA820=" "," ",IF(NOT(ISBLANK(X820)),VLOOKUP($D$3+X820,Calcs!$A$110:$B$122,2,TRUE),IF(AA820="Failed",VLOOKUP($D$3,Calcs!$A$110:$B$122,2,TRUE),VLOOKUP($D$3-(IF((Character!$B$9+W820)&gt;($D$3+Y820),(Character!$B$9+W820)-($D$3+Y820),0)),Calcs!$A$110:$B$122,2,TRUE))))=Calcs!$B$120,IF(ISBLANK(AC820)," ",CONCATENATE(AC820+7," Years")),IF(AA820=" "," ",IF(NOT(ISBLANK(X820)),VLOOKUP($D$3+X820,Calcs!$A$110:$B$122,2,TRUE),IF(AA820="Failed",VLOOKUP($D$3,Calcs!$A$110:$B$122,2,TRUE),VLOOKUP($D$3-(IF((Character!$B$9+W820)&gt;($D$3+Y820),(Character!$B$9+W820)-($D$3+Y820),0)),Calcs!$A$110:$B$122,2,TRUE)))))</f>
        <v xml:space="preserve"> </v>
      </c>
      <c r="AE820" s="490"/>
      <c r="AF820" s="879"/>
      <c r="AG820" s="491"/>
    </row>
    <row r="821" spans="1:33" x14ac:dyDescent="0.2">
      <c r="A821" s="415">
        <f t="shared" si="24"/>
        <v>1415</v>
      </c>
      <c r="B821" s="419" t="str">
        <f t="shared" si="25"/>
        <v>Spring</v>
      </c>
      <c r="C821" s="455"/>
      <c r="D821" s="504"/>
      <c r="E821" s="455"/>
      <c r="F821" s="504"/>
      <c r="G821" s="455"/>
      <c r="H821" s="504"/>
      <c r="I821" s="455"/>
      <c r="J821" s="504"/>
      <c r="L821" s="472"/>
      <c r="M821" s="468"/>
      <c r="N821" s="468"/>
      <c r="O821" s="468"/>
      <c r="P821" s="468"/>
      <c r="Q821" s="473"/>
      <c r="R821" s="477" t="str">
        <f>IF(AND(COUNTIF('Start Character'!$I$63:$M$77,"Twilight Prone")=1,NOT(ISERROR(FIND("Magical Botch",M821)))),"Yes",IF(P821&gt;1,"Yes","No"))</f>
        <v>No</v>
      </c>
      <c r="S821" s="501"/>
      <c r="T821" s="478"/>
      <c r="U821" s="501"/>
      <c r="V821" s="479" t="str">
        <f>IF(R821="No","No Twilight",IF(T821="Yes","Uncomprehended Twilight",IF((Character!$B$14+IF(Character!$B$53="Yes",0,Character!$B$53)+IF(Magic!$C$5="Yes",2,0)+ROUNDUP((Magic!$B$30+IF(Magic!$C$30="Yes",3,0))/5,0)+S821)&gt;=($D$3+P821+SUMIF(Character!$I$62:$I$66,"Enigmatic Wisdom",Character!$J$62:$J$66)+Q821+U821),"No Twilight","Twilight")))</f>
        <v>No Twilight</v>
      </c>
      <c r="W821" s="483"/>
      <c r="X821" s="478"/>
      <c r="Y821" s="484"/>
      <c r="Z821" s="478"/>
      <c r="AA821" s="485" t="str">
        <f>IF(V821="Uncomprehended Twilight","Failed",IF(OR(ISBLANK(W821),ISBLANK(Y821))," ",IF(NOT(ISBLANK(X821)),"Failed",IF((W821+Character!$B$9+SUMIF(Character!$I$62:$I$66,"Enigmatic Wisdom",Character!$J$62:$J$66))&gt;=IF(Z821="Yes",0,(Y821+D816)),"Succeeded","Failed"))))</f>
        <v xml:space="preserve"> </v>
      </c>
      <c r="AB821" s="477" t="str">
        <f>IF(AA821=" "," ",IF(NOT(ISBLANK(X821)),VLOOKUP($D$3+X821,Calcs!$A$110:$C$122,3,TRUE),IF(AA821="Failed",VLOOKUP($D$3,Calcs!$A$110:$C$122,3,TRUE),VLOOKUP($D$3-(IF((Character!$B$9+W821)&gt;($D$3+Y821),(Character!$B$9+W821)-($D$3+Y821),0)),Calcs!$A$110:$C$122,3,TRUE))))</f>
        <v xml:space="preserve"> </v>
      </c>
      <c r="AC821" s="489"/>
      <c r="AD821" s="489" t="str">
        <f>IF(IF(AA821=" "," ",IF(NOT(ISBLANK(X821)),VLOOKUP($D$3+X821,Calcs!$A$110:$B$122,2,TRUE),IF(AA821="Failed",VLOOKUP($D$3,Calcs!$A$110:$B$122,2,TRUE),VLOOKUP($D$3-(IF((Character!$B$9+W821)&gt;($D$3+Y821),(Character!$B$9+W821)-($D$3+Y821),0)),Calcs!$A$110:$B$122,2,TRUE))))=Calcs!$B$120,IF(ISBLANK(AC821)," ",CONCATENATE(AC821+7," Years")),IF(AA821=" "," ",IF(NOT(ISBLANK(X821)),VLOOKUP($D$3+X821,Calcs!$A$110:$B$122,2,TRUE),IF(AA821="Failed",VLOOKUP($D$3,Calcs!$A$110:$B$122,2,TRUE),VLOOKUP($D$3-(IF((Character!$B$9+W821)&gt;($D$3+Y821),(Character!$B$9+W821)-($D$3+Y821),0)),Calcs!$A$110:$B$122,2,TRUE)))))</f>
        <v xml:space="preserve"> </v>
      </c>
      <c r="AE821" s="490"/>
      <c r="AF821" s="879"/>
      <c r="AG821" s="491"/>
    </row>
    <row r="822" spans="1:33" x14ac:dyDescent="0.2">
      <c r="A822" s="415">
        <f t="shared" si="24"/>
        <v>1415</v>
      </c>
      <c r="B822" s="419" t="str">
        <f t="shared" si="25"/>
        <v>Summer</v>
      </c>
      <c r="C822" s="455"/>
      <c r="D822" s="504"/>
      <c r="E822" s="455"/>
      <c r="F822" s="504"/>
      <c r="G822" s="455"/>
      <c r="H822" s="504"/>
      <c r="I822" s="455"/>
      <c r="J822" s="504"/>
      <c r="L822" s="472"/>
      <c r="M822" s="468"/>
      <c r="N822" s="468"/>
      <c r="O822" s="468"/>
      <c r="P822" s="468"/>
      <c r="Q822" s="473"/>
      <c r="R822" s="477" t="str">
        <f>IF(AND(COUNTIF('Start Character'!$I$63:$M$77,"Twilight Prone")=1,NOT(ISERROR(FIND("Magical Botch",M822)))),"Yes",IF(P822&gt;1,"Yes","No"))</f>
        <v>No</v>
      </c>
      <c r="S822" s="501"/>
      <c r="T822" s="478"/>
      <c r="U822" s="501"/>
      <c r="V822" s="479" t="str">
        <f>IF(R822="No","No Twilight",IF(T822="Yes","Uncomprehended Twilight",IF((Character!$B$14+IF(Character!$B$53="Yes",0,Character!$B$53)+IF(Magic!$C$5="Yes",2,0)+ROUNDUP((Magic!$B$30+IF(Magic!$C$30="Yes",3,0))/5,0)+S822)&gt;=($D$3+P822+SUMIF(Character!$I$62:$I$66,"Enigmatic Wisdom",Character!$J$62:$J$66)+Q822+U822),"No Twilight","Twilight")))</f>
        <v>No Twilight</v>
      </c>
      <c r="W822" s="483"/>
      <c r="X822" s="478"/>
      <c r="Y822" s="484"/>
      <c r="Z822" s="478"/>
      <c r="AA822" s="485" t="str">
        <f>IF(V822="Uncomprehended Twilight","Failed",IF(OR(ISBLANK(W822),ISBLANK(Y822))," ",IF(NOT(ISBLANK(X822)),"Failed",IF((W822+Character!$B$9+SUMIF(Character!$I$62:$I$66,"Enigmatic Wisdom",Character!$J$62:$J$66))&gt;=IF(Z822="Yes",0,(Y822+D817)),"Succeeded","Failed"))))</f>
        <v xml:space="preserve"> </v>
      </c>
      <c r="AB822" s="477" t="str">
        <f>IF(AA822=" "," ",IF(NOT(ISBLANK(X822)),VLOOKUP($D$3+X822,Calcs!$A$110:$C$122,3,TRUE),IF(AA822="Failed",VLOOKUP($D$3,Calcs!$A$110:$C$122,3,TRUE),VLOOKUP($D$3-(IF((Character!$B$9+W822)&gt;($D$3+Y822),(Character!$B$9+W822)-($D$3+Y822),0)),Calcs!$A$110:$C$122,3,TRUE))))</f>
        <v xml:space="preserve"> </v>
      </c>
      <c r="AC822" s="489"/>
      <c r="AD822" s="489" t="str">
        <f>IF(IF(AA822=" "," ",IF(NOT(ISBLANK(X822)),VLOOKUP($D$3+X822,Calcs!$A$110:$B$122,2,TRUE),IF(AA822="Failed",VLOOKUP($D$3,Calcs!$A$110:$B$122,2,TRUE),VLOOKUP($D$3-(IF((Character!$B$9+W822)&gt;($D$3+Y822),(Character!$B$9+W822)-($D$3+Y822),0)),Calcs!$A$110:$B$122,2,TRUE))))=Calcs!$B$120,IF(ISBLANK(AC822)," ",CONCATENATE(AC822+7," Years")),IF(AA822=" "," ",IF(NOT(ISBLANK(X822)),VLOOKUP($D$3+X822,Calcs!$A$110:$B$122,2,TRUE),IF(AA822="Failed",VLOOKUP($D$3,Calcs!$A$110:$B$122,2,TRUE),VLOOKUP($D$3-(IF((Character!$B$9+W822)&gt;($D$3+Y822),(Character!$B$9+W822)-($D$3+Y822),0)),Calcs!$A$110:$B$122,2,TRUE)))))</f>
        <v xml:space="preserve"> </v>
      </c>
      <c r="AE822" s="490"/>
      <c r="AF822" s="879"/>
      <c r="AG822" s="491"/>
    </row>
    <row r="823" spans="1:33" x14ac:dyDescent="0.2">
      <c r="A823" s="415">
        <f t="shared" si="24"/>
        <v>1415</v>
      </c>
      <c r="B823" s="419" t="str">
        <f t="shared" si="25"/>
        <v>Autumn</v>
      </c>
      <c r="C823" s="455"/>
      <c r="D823" s="504"/>
      <c r="E823" s="455"/>
      <c r="F823" s="504"/>
      <c r="G823" s="455"/>
      <c r="H823" s="504"/>
      <c r="I823" s="455"/>
      <c r="J823" s="504"/>
      <c r="L823" s="472"/>
      <c r="M823" s="468"/>
      <c r="N823" s="468"/>
      <c r="O823" s="468"/>
      <c r="P823" s="468"/>
      <c r="Q823" s="473"/>
      <c r="R823" s="477" t="str">
        <f>IF(AND(COUNTIF('Start Character'!$I$63:$M$77,"Twilight Prone")=1,NOT(ISERROR(FIND("Magical Botch",M823)))),"Yes",IF(P823&gt;1,"Yes","No"))</f>
        <v>No</v>
      </c>
      <c r="S823" s="501"/>
      <c r="T823" s="478"/>
      <c r="U823" s="501"/>
      <c r="V823" s="479" t="str">
        <f>IF(R823="No","No Twilight",IF(T823="Yes","Uncomprehended Twilight",IF((Character!$B$14+IF(Character!$B$53="Yes",0,Character!$B$53)+IF(Magic!$C$5="Yes",2,0)+ROUNDUP((Magic!$B$30+IF(Magic!$C$30="Yes",3,0))/5,0)+S823)&gt;=($D$3+P823+SUMIF(Character!$I$62:$I$66,"Enigmatic Wisdom",Character!$J$62:$J$66)+Q823+U823),"No Twilight","Twilight")))</f>
        <v>No Twilight</v>
      </c>
      <c r="W823" s="483"/>
      <c r="X823" s="478"/>
      <c r="Y823" s="484"/>
      <c r="Z823" s="478"/>
      <c r="AA823" s="485" t="str">
        <f>IF(V823="Uncomprehended Twilight","Failed",IF(OR(ISBLANK(W823),ISBLANK(Y823))," ",IF(NOT(ISBLANK(X823)),"Failed",IF((W823+Character!$B$9+SUMIF(Character!$I$62:$I$66,"Enigmatic Wisdom",Character!$J$62:$J$66))&gt;=IF(Z823="Yes",0,(Y823+D818)),"Succeeded","Failed"))))</f>
        <v xml:space="preserve"> </v>
      </c>
      <c r="AB823" s="477" t="str">
        <f>IF(AA823=" "," ",IF(NOT(ISBLANK(X823)),VLOOKUP($D$3+X823,Calcs!$A$110:$C$122,3,TRUE),IF(AA823="Failed",VLOOKUP($D$3,Calcs!$A$110:$C$122,3,TRUE),VLOOKUP($D$3-(IF((Character!$B$9+W823)&gt;($D$3+Y823),(Character!$B$9+W823)-($D$3+Y823),0)),Calcs!$A$110:$C$122,3,TRUE))))</f>
        <v xml:space="preserve"> </v>
      </c>
      <c r="AC823" s="489"/>
      <c r="AD823" s="489" t="str">
        <f>IF(IF(AA823=" "," ",IF(NOT(ISBLANK(X823)),VLOOKUP($D$3+X823,Calcs!$A$110:$B$122,2,TRUE),IF(AA823="Failed",VLOOKUP($D$3,Calcs!$A$110:$B$122,2,TRUE),VLOOKUP($D$3-(IF((Character!$B$9+W823)&gt;($D$3+Y823),(Character!$B$9+W823)-($D$3+Y823),0)),Calcs!$A$110:$B$122,2,TRUE))))=Calcs!$B$120,IF(ISBLANK(AC823)," ",CONCATENATE(AC823+7," Years")),IF(AA823=" "," ",IF(NOT(ISBLANK(X823)),VLOOKUP($D$3+X823,Calcs!$A$110:$B$122,2,TRUE),IF(AA823="Failed",VLOOKUP($D$3,Calcs!$A$110:$B$122,2,TRUE),VLOOKUP($D$3-(IF((Character!$B$9+W823)&gt;($D$3+Y823),(Character!$B$9+W823)-($D$3+Y823),0)),Calcs!$A$110:$B$122,2,TRUE)))))</f>
        <v xml:space="preserve"> </v>
      </c>
      <c r="AE823" s="490"/>
      <c r="AF823" s="879"/>
      <c r="AG823" s="491"/>
    </row>
    <row r="824" spans="1:33" x14ac:dyDescent="0.2">
      <c r="A824" s="415">
        <f t="shared" si="24"/>
        <v>1416</v>
      </c>
      <c r="B824" s="419" t="str">
        <f t="shared" si="25"/>
        <v>Winter</v>
      </c>
      <c r="C824" s="455"/>
      <c r="D824" s="504"/>
      <c r="E824" s="455"/>
      <c r="F824" s="504"/>
      <c r="G824" s="455"/>
      <c r="H824" s="504"/>
      <c r="I824" s="455"/>
      <c r="J824" s="504"/>
      <c r="L824" s="472"/>
      <c r="M824" s="468"/>
      <c r="N824" s="468"/>
      <c r="O824" s="468"/>
      <c r="P824" s="468"/>
      <c r="Q824" s="473"/>
      <c r="R824" s="477" t="str">
        <f>IF(AND(COUNTIF('Start Character'!$I$63:$M$77,"Twilight Prone")=1,NOT(ISERROR(FIND("Magical Botch",M824)))),"Yes",IF(P824&gt;1,"Yes","No"))</f>
        <v>No</v>
      </c>
      <c r="S824" s="501"/>
      <c r="T824" s="478"/>
      <c r="U824" s="501"/>
      <c r="V824" s="479" t="str">
        <f>IF(R824="No","No Twilight",IF(T824="Yes","Uncomprehended Twilight",IF((Character!$B$14+IF(Character!$B$53="Yes",0,Character!$B$53)+IF(Magic!$C$5="Yes",2,0)+ROUNDUP((Magic!$B$30+IF(Magic!$C$30="Yes",3,0))/5,0)+S824)&gt;=($D$3+P824+SUMIF(Character!$I$62:$I$66,"Enigmatic Wisdom",Character!$J$62:$J$66)+Q824+U824),"No Twilight","Twilight")))</f>
        <v>No Twilight</v>
      </c>
      <c r="W824" s="483"/>
      <c r="X824" s="478"/>
      <c r="Y824" s="484"/>
      <c r="Z824" s="478"/>
      <c r="AA824" s="485" t="str">
        <f>IF(V824="Uncomprehended Twilight","Failed",IF(OR(ISBLANK(W824),ISBLANK(Y824))," ",IF(NOT(ISBLANK(X824)),"Failed",IF((W824+Character!$B$9+SUMIF(Character!$I$62:$I$66,"Enigmatic Wisdom",Character!$J$62:$J$66))&gt;=IF(Z824="Yes",0,(Y824+D819)),"Succeeded","Failed"))))</f>
        <v xml:space="preserve"> </v>
      </c>
      <c r="AB824" s="477" t="str">
        <f>IF(AA824=" "," ",IF(NOT(ISBLANK(X824)),VLOOKUP($D$3+X824,Calcs!$A$110:$C$122,3,TRUE),IF(AA824="Failed",VLOOKUP($D$3,Calcs!$A$110:$C$122,3,TRUE),VLOOKUP($D$3-(IF((Character!$B$9+W824)&gt;($D$3+Y824),(Character!$B$9+W824)-($D$3+Y824),0)),Calcs!$A$110:$C$122,3,TRUE))))</f>
        <v xml:space="preserve"> </v>
      </c>
      <c r="AC824" s="489"/>
      <c r="AD824" s="489" t="str">
        <f>IF(IF(AA824=" "," ",IF(NOT(ISBLANK(X824)),VLOOKUP($D$3+X824,Calcs!$A$110:$B$122,2,TRUE),IF(AA824="Failed",VLOOKUP($D$3,Calcs!$A$110:$B$122,2,TRUE),VLOOKUP($D$3-(IF((Character!$B$9+W824)&gt;($D$3+Y824),(Character!$B$9+W824)-($D$3+Y824),0)),Calcs!$A$110:$B$122,2,TRUE))))=Calcs!$B$120,IF(ISBLANK(AC824)," ",CONCATENATE(AC824+7," Years")),IF(AA824=" "," ",IF(NOT(ISBLANK(X824)),VLOOKUP($D$3+X824,Calcs!$A$110:$B$122,2,TRUE),IF(AA824="Failed",VLOOKUP($D$3,Calcs!$A$110:$B$122,2,TRUE),VLOOKUP($D$3-(IF((Character!$B$9+W824)&gt;($D$3+Y824),(Character!$B$9+W824)-($D$3+Y824),0)),Calcs!$A$110:$B$122,2,TRUE)))))</f>
        <v xml:space="preserve"> </v>
      </c>
      <c r="AE824" s="490"/>
      <c r="AF824" s="879"/>
      <c r="AG824" s="491"/>
    </row>
    <row r="825" spans="1:33" x14ac:dyDescent="0.2">
      <c r="A825" s="415">
        <f t="shared" si="24"/>
        <v>1416</v>
      </c>
      <c r="B825" s="419" t="str">
        <f t="shared" si="25"/>
        <v>Spring</v>
      </c>
      <c r="C825" s="455"/>
      <c r="D825" s="504"/>
      <c r="E825" s="455"/>
      <c r="F825" s="504"/>
      <c r="G825" s="455"/>
      <c r="H825" s="504"/>
      <c r="I825" s="455"/>
      <c r="J825" s="504"/>
      <c r="L825" s="472"/>
      <c r="M825" s="468"/>
      <c r="N825" s="468"/>
      <c r="O825" s="468"/>
      <c r="P825" s="468"/>
      <c r="Q825" s="473"/>
      <c r="R825" s="477" t="str">
        <f>IF(AND(COUNTIF('Start Character'!$I$63:$M$77,"Twilight Prone")=1,NOT(ISERROR(FIND("Magical Botch",M825)))),"Yes",IF(P825&gt;1,"Yes","No"))</f>
        <v>No</v>
      </c>
      <c r="S825" s="501"/>
      <c r="T825" s="478"/>
      <c r="U825" s="501"/>
      <c r="V825" s="479" t="str">
        <f>IF(R825="No","No Twilight",IF(T825="Yes","Uncomprehended Twilight",IF((Character!$B$14+IF(Character!$B$53="Yes",0,Character!$B$53)+IF(Magic!$C$5="Yes",2,0)+ROUNDUP((Magic!$B$30+IF(Magic!$C$30="Yes",3,0))/5,0)+S825)&gt;=($D$3+P825+SUMIF(Character!$I$62:$I$66,"Enigmatic Wisdom",Character!$J$62:$J$66)+Q825+U825),"No Twilight","Twilight")))</f>
        <v>No Twilight</v>
      </c>
      <c r="W825" s="483"/>
      <c r="X825" s="478"/>
      <c r="Y825" s="484"/>
      <c r="Z825" s="478"/>
      <c r="AA825" s="485" t="str">
        <f>IF(V825="Uncomprehended Twilight","Failed",IF(OR(ISBLANK(W825),ISBLANK(Y825))," ",IF(NOT(ISBLANK(X825)),"Failed",IF((W825+Character!$B$9+SUMIF(Character!$I$62:$I$66,"Enigmatic Wisdom",Character!$J$62:$J$66))&gt;=IF(Z825="Yes",0,(Y825+D820)),"Succeeded","Failed"))))</f>
        <v xml:space="preserve"> </v>
      </c>
      <c r="AB825" s="477" t="str">
        <f>IF(AA825=" "," ",IF(NOT(ISBLANK(X825)),VLOOKUP($D$3+X825,Calcs!$A$110:$C$122,3,TRUE),IF(AA825="Failed",VLOOKUP($D$3,Calcs!$A$110:$C$122,3,TRUE),VLOOKUP($D$3-(IF((Character!$B$9+W825)&gt;($D$3+Y825),(Character!$B$9+W825)-($D$3+Y825),0)),Calcs!$A$110:$C$122,3,TRUE))))</f>
        <v xml:space="preserve"> </v>
      </c>
      <c r="AC825" s="489"/>
      <c r="AD825" s="489" t="str">
        <f>IF(IF(AA825=" "," ",IF(NOT(ISBLANK(X825)),VLOOKUP($D$3+X825,Calcs!$A$110:$B$122,2,TRUE),IF(AA825="Failed",VLOOKUP($D$3,Calcs!$A$110:$B$122,2,TRUE),VLOOKUP($D$3-(IF((Character!$B$9+W825)&gt;($D$3+Y825),(Character!$B$9+W825)-($D$3+Y825),0)),Calcs!$A$110:$B$122,2,TRUE))))=Calcs!$B$120,IF(ISBLANK(AC825)," ",CONCATENATE(AC825+7," Years")),IF(AA825=" "," ",IF(NOT(ISBLANK(X825)),VLOOKUP($D$3+X825,Calcs!$A$110:$B$122,2,TRUE),IF(AA825="Failed",VLOOKUP($D$3,Calcs!$A$110:$B$122,2,TRUE),VLOOKUP($D$3-(IF((Character!$B$9+W825)&gt;($D$3+Y825),(Character!$B$9+W825)-($D$3+Y825),0)),Calcs!$A$110:$B$122,2,TRUE)))))</f>
        <v xml:space="preserve"> </v>
      </c>
      <c r="AE825" s="490"/>
      <c r="AF825" s="879"/>
      <c r="AG825" s="491"/>
    </row>
    <row r="826" spans="1:33" x14ac:dyDescent="0.2">
      <c r="A826" s="415">
        <f t="shared" si="24"/>
        <v>1416</v>
      </c>
      <c r="B826" s="419" t="str">
        <f t="shared" si="25"/>
        <v>Summer</v>
      </c>
      <c r="C826" s="455"/>
      <c r="D826" s="504"/>
      <c r="E826" s="455"/>
      <c r="F826" s="504"/>
      <c r="G826" s="455"/>
      <c r="H826" s="504"/>
      <c r="I826" s="455"/>
      <c r="J826" s="504"/>
      <c r="L826" s="472"/>
      <c r="M826" s="468"/>
      <c r="N826" s="468"/>
      <c r="O826" s="468"/>
      <c r="P826" s="468"/>
      <c r="Q826" s="473"/>
      <c r="R826" s="477" t="str">
        <f>IF(AND(COUNTIF('Start Character'!$I$63:$M$77,"Twilight Prone")=1,NOT(ISERROR(FIND("Magical Botch",M826)))),"Yes",IF(P826&gt;1,"Yes","No"))</f>
        <v>No</v>
      </c>
      <c r="S826" s="501"/>
      <c r="T826" s="478"/>
      <c r="U826" s="501"/>
      <c r="V826" s="479" t="str">
        <f>IF(R826="No","No Twilight",IF(T826="Yes","Uncomprehended Twilight",IF((Character!$B$14+IF(Character!$B$53="Yes",0,Character!$B$53)+IF(Magic!$C$5="Yes",2,0)+ROUNDUP((Magic!$B$30+IF(Magic!$C$30="Yes",3,0))/5,0)+S826)&gt;=($D$3+P826+SUMIF(Character!$I$62:$I$66,"Enigmatic Wisdom",Character!$J$62:$J$66)+Q826+U826),"No Twilight","Twilight")))</f>
        <v>No Twilight</v>
      </c>
      <c r="W826" s="483"/>
      <c r="X826" s="478"/>
      <c r="Y826" s="484"/>
      <c r="Z826" s="478"/>
      <c r="AA826" s="485" t="str">
        <f>IF(V826="Uncomprehended Twilight","Failed",IF(OR(ISBLANK(W826),ISBLANK(Y826))," ",IF(NOT(ISBLANK(X826)),"Failed",IF((W826+Character!$B$9+SUMIF(Character!$I$62:$I$66,"Enigmatic Wisdom",Character!$J$62:$J$66))&gt;=IF(Z826="Yes",0,(Y826+D821)),"Succeeded","Failed"))))</f>
        <v xml:space="preserve"> </v>
      </c>
      <c r="AB826" s="477" t="str">
        <f>IF(AA826=" "," ",IF(NOT(ISBLANK(X826)),VLOOKUP($D$3+X826,Calcs!$A$110:$C$122,3,TRUE),IF(AA826="Failed",VLOOKUP($D$3,Calcs!$A$110:$C$122,3,TRUE),VLOOKUP($D$3-(IF((Character!$B$9+W826)&gt;($D$3+Y826),(Character!$B$9+W826)-($D$3+Y826),0)),Calcs!$A$110:$C$122,3,TRUE))))</f>
        <v xml:space="preserve"> </v>
      </c>
      <c r="AC826" s="489"/>
      <c r="AD826" s="489" t="str">
        <f>IF(IF(AA826=" "," ",IF(NOT(ISBLANK(X826)),VLOOKUP($D$3+X826,Calcs!$A$110:$B$122,2,TRUE),IF(AA826="Failed",VLOOKUP($D$3,Calcs!$A$110:$B$122,2,TRUE),VLOOKUP($D$3-(IF((Character!$B$9+W826)&gt;($D$3+Y826),(Character!$B$9+W826)-($D$3+Y826),0)),Calcs!$A$110:$B$122,2,TRUE))))=Calcs!$B$120,IF(ISBLANK(AC826)," ",CONCATENATE(AC826+7," Years")),IF(AA826=" "," ",IF(NOT(ISBLANK(X826)),VLOOKUP($D$3+X826,Calcs!$A$110:$B$122,2,TRUE),IF(AA826="Failed",VLOOKUP($D$3,Calcs!$A$110:$B$122,2,TRUE),VLOOKUP($D$3-(IF((Character!$B$9+W826)&gt;($D$3+Y826),(Character!$B$9+W826)-($D$3+Y826),0)),Calcs!$A$110:$B$122,2,TRUE)))))</f>
        <v xml:space="preserve"> </v>
      </c>
      <c r="AE826" s="490"/>
      <c r="AF826" s="879"/>
      <c r="AG826" s="491"/>
    </row>
    <row r="827" spans="1:33" x14ac:dyDescent="0.2">
      <c r="A827" s="415">
        <f t="shared" si="24"/>
        <v>1416</v>
      </c>
      <c r="B827" s="419" t="str">
        <f t="shared" si="25"/>
        <v>Autumn</v>
      </c>
      <c r="C827" s="455"/>
      <c r="D827" s="504"/>
      <c r="E827" s="455"/>
      <c r="F827" s="504"/>
      <c r="G827" s="455"/>
      <c r="H827" s="504"/>
      <c r="I827" s="455"/>
      <c r="J827" s="504"/>
      <c r="L827" s="472"/>
      <c r="M827" s="468"/>
      <c r="N827" s="468"/>
      <c r="O827" s="468"/>
      <c r="P827" s="468"/>
      <c r="Q827" s="473"/>
      <c r="R827" s="477" t="str">
        <f>IF(AND(COUNTIF('Start Character'!$I$63:$M$77,"Twilight Prone")=1,NOT(ISERROR(FIND("Magical Botch",M827)))),"Yes",IF(P827&gt;1,"Yes","No"))</f>
        <v>No</v>
      </c>
      <c r="S827" s="501"/>
      <c r="T827" s="478"/>
      <c r="U827" s="501"/>
      <c r="V827" s="479" t="str">
        <f>IF(R827="No","No Twilight",IF(T827="Yes","Uncomprehended Twilight",IF((Character!$B$14+IF(Character!$B$53="Yes",0,Character!$B$53)+IF(Magic!$C$5="Yes",2,0)+ROUNDUP((Magic!$B$30+IF(Magic!$C$30="Yes",3,0))/5,0)+S827)&gt;=($D$3+P827+SUMIF(Character!$I$62:$I$66,"Enigmatic Wisdom",Character!$J$62:$J$66)+Q827+U827),"No Twilight","Twilight")))</f>
        <v>No Twilight</v>
      </c>
      <c r="W827" s="483"/>
      <c r="X827" s="478"/>
      <c r="Y827" s="484"/>
      <c r="Z827" s="478"/>
      <c r="AA827" s="485" t="str">
        <f>IF(V827="Uncomprehended Twilight","Failed",IF(OR(ISBLANK(W827),ISBLANK(Y827))," ",IF(NOT(ISBLANK(X827)),"Failed",IF((W827+Character!$B$9+SUMIF(Character!$I$62:$I$66,"Enigmatic Wisdom",Character!$J$62:$J$66))&gt;=IF(Z827="Yes",0,(Y827+D822)),"Succeeded","Failed"))))</f>
        <v xml:space="preserve"> </v>
      </c>
      <c r="AB827" s="477" t="str">
        <f>IF(AA827=" "," ",IF(NOT(ISBLANK(X827)),VLOOKUP($D$3+X827,Calcs!$A$110:$C$122,3,TRUE),IF(AA827="Failed",VLOOKUP($D$3,Calcs!$A$110:$C$122,3,TRUE),VLOOKUP($D$3-(IF((Character!$B$9+W827)&gt;($D$3+Y827),(Character!$B$9+W827)-($D$3+Y827),0)),Calcs!$A$110:$C$122,3,TRUE))))</f>
        <v xml:space="preserve"> </v>
      </c>
      <c r="AC827" s="489"/>
      <c r="AD827" s="489" t="str">
        <f>IF(IF(AA827=" "," ",IF(NOT(ISBLANK(X827)),VLOOKUP($D$3+X827,Calcs!$A$110:$B$122,2,TRUE),IF(AA827="Failed",VLOOKUP($D$3,Calcs!$A$110:$B$122,2,TRUE),VLOOKUP($D$3-(IF((Character!$B$9+W827)&gt;($D$3+Y827),(Character!$B$9+W827)-($D$3+Y827),0)),Calcs!$A$110:$B$122,2,TRUE))))=Calcs!$B$120,IF(ISBLANK(AC827)," ",CONCATENATE(AC827+7," Years")),IF(AA827=" "," ",IF(NOT(ISBLANK(X827)),VLOOKUP($D$3+X827,Calcs!$A$110:$B$122,2,TRUE),IF(AA827="Failed",VLOOKUP($D$3,Calcs!$A$110:$B$122,2,TRUE),VLOOKUP($D$3-(IF((Character!$B$9+W827)&gt;($D$3+Y827),(Character!$B$9+W827)-($D$3+Y827),0)),Calcs!$A$110:$B$122,2,TRUE)))))</f>
        <v xml:space="preserve"> </v>
      </c>
      <c r="AE827" s="490"/>
      <c r="AF827" s="879"/>
      <c r="AG827" s="491"/>
    </row>
    <row r="828" spans="1:33" x14ac:dyDescent="0.2">
      <c r="A828" s="415">
        <f t="shared" si="24"/>
        <v>1417</v>
      </c>
      <c r="B828" s="419" t="str">
        <f t="shared" si="25"/>
        <v>Winter</v>
      </c>
      <c r="C828" s="455"/>
      <c r="D828" s="504"/>
      <c r="E828" s="455"/>
      <c r="F828" s="504"/>
      <c r="G828" s="455"/>
      <c r="H828" s="504"/>
      <c r="I828" s="455"/>
      <c r="J828" s="504"/>
      <c r="L828" s="472"/>
      <c r="M828" s="468"/>
      <c r="N828" s="468"/>
      <c r="O828" s="468"/>
      <c r="P828" s="468"/>
      <c r="Q828" s="473"/>
      <c r="R828" s="477" t="str">
        <f>IF(AND(COUNTIF('Start Character'!$I$63:$M$77,"Twilight Prone")=1,NOT(ISERROR(FIND("Magical Botch",M828)))),"Yes",IF(P828&gt;1,"Yes","No"))</f>
        <v>No</v>
      </c>
      <c r="S828" s="501"/>
      <c r="T828" s="478"/>
      <c r="U828" s="501"/>
      <c r="V828" s="479" t="str">
        <f>IF(R828="No","No Twilight",IF(T828="Yes","Uncomprehended Twilight",IF((Character!$B$14+IF(Character!$B$53="Yes",0,Character!$B$53)+IF(Magic!$C$5="Yes",2,0)+ROUNDUP((Magic!$B$30+IF(Magic!$C$30="Yes",3,0))/5,0)+S828)&gt;=($D$3+P828+SUMIF(Character!$I$62:$I$66,"Enigmatic Wisdom",Character!$J$62:$J$66)+Q828+U828),"No Twilight","Twilight")))</f>
        <v>No Twilight</v>
      </c>
      <c r="W828" s="483"/>
      <c r="X828" s="478"/>
      <c r="Y828" s="484"/>
      <c r="Z828" s="478"/>
      <c r="AA828" s="485" t="str">
        <f>IF(V828="Uncomprehended Twilight","Failed",IF(OR(ISBLANK(W828),ISBLANK(Y828))," ",IF(NOT(ISBLANK(X828)),"Failed",IF((W828+Character!$B$9+SUMIF(Character!$I$62:$I$66,"Enigmatic Wisdom",Character!$J$62:$J$66))&gt;=IF(Z828="Yes",0,(Y828+D823)),"Succeeded","Failed"))))</f>
        <v xml:space="preserve"> </v>
      </c>
      <c r="AB828" s="477" t="str">
        <f>IF(AA828=" "," ",IF(NOT(ISBLANK(X828)),VLOOKUP($D$3+X828,Calcs!$A$110:$C$122,3,TRUE),IF(AA828="Failed",VLOOKUP($D$3,Calcs!$A$110:$C$122,3,TRUE),VLOOKUP($D$3-(IF((Character!$B$9+W828)&gt;($D$3+Y828),(Character!$B$9+W828)-($D$3+Y828),0)),Calcs!$A$110:$C$122,3,TRUE))))</f>
        <v xml:space="preserve"> </v>
      </c>
      <c r="AC828" s="489"/>
      <c r="AD828" s="489" t="str">
        <f>IF(IF(AA828=" "," ",IF(NOT(ISBLANK(X828)),VLOOKUP($D$3+X828,Calcs!$A$110:$B$122,2,TRUE),IF(AA828="Failed",VLOOKUP($D$3,Calcs!$A$110:$B$122,2,TRUE),VLOOKUP($D$3-(IF((Character!$B$9+W828)&gt;($D$3+Y828),(Character!$B$9+W828)-($D$3+Y828),0)),Calcs!$A$110:$B$122,2,TRUE))))=Calcs!$B$120,IF(ISBLANK(AC828)," ",CONCATENATE(AC828+7," Years")),IF(AA828=" "," ",IF(NOT(ISBLANK(X828)),VLOOKUP($D$3+X828,Calcs!$A$110:$B$122,2,TRUE),IF(AA828="Failed",VLOOKUP($D$3,Calcs!$A$110:$B$122,2,TRUE),VLOOKUP($D$3-(IF((Character!$B$9+W828)&gt;($D$3+Y828),(Character!$B$9+W828)-($D$3+Y828),0)),Calcs!$A$110:$B$122,2,TRUE)))))</f>
        <v xml:space="preserve"> </v>
      </c>
      <c r="AE828" s="490"/>
      <c r="AF828" s="879"/>
      <c r="AG828" s="491"/>
    </row>
    <row r="829" spans="1:33" x14ac:dyDescent="0.2">
      <c r="A829" s="415">
        <f t="shared" si="24"/>
        <v>1417</v>
      </c>
      <c r="B829" s="419" t="str">
        <f t="shared" si="25"/>
        <v>Spring</v>
      </c>
      <c r="C829" s="455"/>
      <c r="D829" s="504"/>
      <c r="E829" s="455"/>
      <c r="F829" s="504"/>
      <c r="G829" s="455"/>
      <c r="H829" s="504"/>
      <c r="I829" s="455"/>
      <c r="J829" s="504"/>
      <c r="L829" s="472"/>
      <c r="M829" s="468"/>
      <c r="N829" s="468"/>
      <c r="O829" s="468"/>
      <c r="P829" s="468"/>
      <c r="Q829" s="473"/>
      <c r="R829" s="477" t="str">
        <f>IF(AND(COUNTIF('Start Character'!$I$63:$M$77,"Twilight Prone")=1,NOT(ISERROR(FIND("Magical Botch",M829)))),"Yes",IF(P829&gt;1,"Yes","No"))</f>
        <v>No</v>
      </c>
      <c r="S829" s="501"/>
      <c r="T829" s="478"/>
      <c r="U829" s="501"/>
      <c r="V829" s="479" t="str">
        <f>IF(R829="No","No Twilight",IF(T829="Yes","Uncomprehended Twilight",IF((Character!$B$14+IF(Character!$B$53="Yes",0,Character!$B$53)+IF(Magic!$C$5="Yes",2,0)+ROUNDUP((Magic!$B$30+IF(Magic!$C$30="Yes",3,0))/5,0)+S829)&gt;=($D$3+P829+SUMIF(Character!$I$62:$I$66,"Enigmatic Wisdom",Character!$J$62:$J$66)+Q829+U829),"No Twilight","Twilight")))</f>
        <v>No Twilight</v>
      </c>
      <c r="W829" s="483"/>
      <c r="X829" s="478"/>
      <c r="Y829" s="484"/>
      <c r="Z829" s="478"/>
      <c r="AA829" s="485" t="str">
        <f>IF(V829="Uncomprehended Twilight","Failed",IF(OR(ISBLANK(W829),ISBLANK(Y829))," ",IF(NOT(ISBLANK(X829)),"Failed",IF((W829+Character!$B$9+SUMIF(Character!$I$62:$I$66,"Enigmatic Wisdom",Character!$J$62:$J$66))&gt;=IF(Z829="Yes",0,(Y829+D824)),"Succeeded","Failed"))))</f>
        <v xml:space="preserve"> </v>
      </c>
      <c r="AB829" s="477" t="str">
        <f>IF(AA829=" "," ",IF(NOT(ISBLANK(X829)),VLOOKUP($D$3+X829,Calcs!$A$110:$C$122,3,TRUE),IF(AA829="Failed",VLOOKUP($D$3,Calcs!$A$110:$C$122,3,TRUE),VLOOKUP($D$3-(IF((Character!$B$9+W829)&gt;($D$3+Y829),(Character!$B$9+W829)-($D$3+Y829),0)),Calcs!$A$110:$C$122,3,TRUE))))</f>
        <v xml:space="preserve"> </v>
      </c>
      <c r="AC829" s="489"/>
      <c r="AD829" s="489" t="str">
        <f>IF(IF(AA829=" "," ",IF(NOT(ISBLANK(X829)),VLOOKUP($D$3+X829,Calcs!$A$110:$B$122,2,TRUE),IF(AA829="Failed",VLOOKUP($D$3,Calcs!$A$110:$B$122,2,TRUE),VLOOKUP($D$3-(IF((Character!$B$9+W829)&gt;($D$3+Y829),(Character!$B$9+W829)-($D$3+Y829),0)),Calcs!$A$110:$B$122,2,TRUE))))=Calcs!$B$120,IF(ISBLANK(AC829)," ",CONCATENATE(AC829+7," Years")),IF(AA829=" "," ",IF(NOT(ISBLANK(X829)),VLOOKUP($D$3+X829,Calcs!$A$110:$B$122,2,TRUE),IF(AA829="Failed",VLOOKUP($D$3,Calcs!$A$110:$B$122,2,TRUE),VLOOKUP($D$3-(IF((Character!$B$9+W829)&gt;($D$3+Y829),(Character!$B$9+W829)-($D$3+Y829),0)),Calcs!$A$110:$B$122,2,TRUE)))))</f>
        <v xml:space="preserve"> </v>
      </c>
      <c r="AE829" s="490"/>
      <c r="AF829" s="879"/>
      <c r="AG829" s="491"/>
    </row>
    <row r="830" spans="1:33" x14ac:dyDescent="0.2">
      <c r="A830" s="415">
        <f t="shared" si="24"/>
        <v>1417</v>
      </c>
      <c r="B830" s="419" t="str">
        <f t="shared" si="25"/>
        <v>Summer</v>
      </c>
      <c r="C830" s="455"/>
      <c r="D830" s="504"/>
      <c r="E830" s="455"/>
      <c r="F830" s="504"/>
      <c r="G830" s="455"/>
      <c r="H830" s="504"/>
      <c r="I830" s="455"/>
      <c r="J830" s="504"/>
      <c r="L830" s="472"/>
      <c r="M830" s="468"/>
      <c r="N830" s="468"/>
      <c r="O830" s="468"/>
      <c r="P830" s="468"/>
      <c r="Q830" s="473"/>
      <c r="R830" s="477" t="str">
        <f>IF(AND(COUNTIF('Start Character'!$I$63:$M$77,"Twilight Prone")=1,NOT(ISERROR(FIND("Magical Botch",M830)))),"Yes",IF(P830&gt;1,"Yes","No"))</f>
        <v>No</v>
      </c>
      <c r="S830" s="501"/>
      <c r="T830" s="478"/>
      <c r="U830" s="501"/>
      <c r="V830" s="479" t="str">
        <f>IF(R830="No","No Twilight",IF(T830="Yes","Uncomprehended Twilight",IF((Character!$B$14+IF(Character!$B$53="Yes",0,Character!$B$53)+IF(Magic!$C$5="Yes",2,0)+ROUNDUP((Magic!$B$30+IF(Magic!$C$30="Yes",3,0))/5,0)+S830)&gt;=($D$3+P830+SUMIF(Character!$I$62:$I$66,"Enigmatic Wisdom",Character!$J$62:$J$66)+Q830+U830),"No Twilight","Twilight")))</f>
        <v>No Twilight</v>
      </c>
      <c r="W830" s="483"/>
      <c r="X830" s="478"/>
      <c r="Y830" s="484"/>
      <c r="Z830" s="478"/>
      <c r="AA830" s="485" t="str">
        <f>IF(V830="Uncomprehended Twilight","Failed",IF(OR(ISBLANK(W830),ISBLANK(Y830))," ",IF(NOT(ISBLANK(X830)),"Failed",IF((W830+Character!$B$9+SUMIF(Character!$I$62:$I$66,"Enigmatic Wisdom",Character!$J$62:$J$66))&gt;=IF(Z830="Yes",0,(Y830+D825)),"Succeeded","Failed"))))</f>
        <v xml:space="preserve"> </v>
      </c>
      <c r="AB830" s="477" t="str">
        <f>IF(AA830=" "," ",IF(NOT(ISBLANK(X830)),VLOOKUP($D$3+X830,Calcs!$A$110:$C$122,3,TRUE),IF(AA830="Failed",VLOOKUP($D$3,Calcs!$A$110:$C$122,3,TRUE),VLOOKUP($D$3-(IF((Character!$B$9+W830)&gt;($D$3+Y830),(Character!$B$9+W830)-($D$3+Y830),0)),Calcs!$A$110:$C$122,3,TRUE))))</f>
        <v xml:space="preserve"> </v>
      </c>
      <c r="AC830" s="489"/>
      <c r="AD830" s="489" t="str">
        <f>IF(IF(AA830=" "," ",IF(NOT(ISBLANK(X830)),VLOOKUP($D$3+X830,Calcs!$A$110:$B$122,2,TRUE),IF(AA830="Failed",VLOOKUP($D$3,Calcs!$A$110:$B$122,2,TRUE),VLOOKUP($D$3-(IF((Character!$B$9+W830)&gt;($D$3+Y830),(Character!$B$9+W830)-($D$3+Y830),0)),Calcs!$A$110:$B$122,2,TRUE))))=Calcs!$B$120,IF(ISBLANK(AC830)," ",CONCATENATE(AC830+7," Years")),IF(AA830=" "," ",IF(NOT(ISBLANK(X830)),VLOOKUP($D$3+X830,Calcs!$A$110:$B$122,2,TRUE),IF(AA830="Failed",VLOOKUP($D$3,Calcs!$A$110:$B$122,2,TRUE),VLOOKUP($D$3-(IF((Character!$B$9+W830)&gt;($D$3+Y830),(Character!$B$9+W830)-($D$3+Y830),0)),Calcs!$A$110:$B$122,2,TRUE)))))</f>
        <v xml:space="preserve"> </v>
      </c>
      <c r="AE830" s="490"/>
      <c r="AF830" s="879"/>
      <c r="AG830" s="491"/>
    </row>
    <row r="831" spans="1:33" x14ac:dyDescent="0.2">
      <c r="A831" s="415">
        <f t="shared" si="24"/>
        <v>1417</v>
      </c>
      <c r="B831" s="419" t="str">
        <f t="shared" si="25"/>
        <v>Autumn</v>
      </c>
      <c r="C831" s="455"/>
      <c r="D831" s="504"/>
      <c r="E831" s="455"/>
      <c r="F831" s="504"/>
      <c r="G831" s="455"/>
      <c r="H831" s="504"/>
      <c r="I831" s="455"/>
      <c r="J831" s="504"/>
      <c r="L831" s="472"/>
      <c r="M831" s="468"/>
      <c r="N831" s="468"/>
      <c r="O831" s="468"/>
      <c r="P831" s="468"/>
      <c r="Q831" s="473"/>
      <c r="R831" s="477" t="str">
        <f>IF(AND(COUNTIF('Start Character'!$I$63:$M$77,"Twilight Prone")=1,NOT(ISERROR(FIND("Magical Botch",M831)))),"Yes",IF(P831&gt;1,"Yes","No"))</f>
        <v>No</v>
      </c>
      <c r="S831" s="501"/>
      <c r="T831" s="478"/>
      <c r="U831" s="501"/>
      <c r="V831" s="479" t="str">
        <f>IF(R831="No","No Twilight",IF(T831="Yes","Uncomprehended Twilight",IF((Character!$B$14+IF(Character!$B$53="Yes",0,Character!$B$53)+IF(Magic!$C$5="Yes",2,0)+ROUNDUP((Magic!$B$30+IF(Magic!$C$30="Yes",3,0))/5,0)+S831)&gt;=($D$3+P831+SUMIF(Character!$I$62:$I$66,"Enigmatic Wisdom",Character!$J$62:$J$66)+Q831+U831),"No Twilight","Twilight")))</f>
        <v>No Twilight</v>
      </c>
      <c r="W831" s="483"/>
      <c r="X831" s="478"/>
      <c r="Y831" s="484"/>
      <c r="Z831" s="478"/>
      <c r="AA831" s="485" t="str">
        <f>IF(V831="Uncomprehended Twilight","Failed",IF(OR(ISBLANK(W831),ISBLANK(Y831))," ",IF(NOT(ISBLANK(X831)),"Failed",IF((W831+Character!$B$9+SUMIF(Character!$I$62:$I$66,"Enigmatic Wisdom",Character!$J$62:$J$66))&gt;=IF(Z831="Yes",0,(Y831+D826)),"Succeeded","Failed"))))</f>
        <v xml:space="preserve"> </v>
      </c>
      <c r="AB831" s="477" t="str">
        <f>IF(AA831=" "," ",IF(NOT(ISBLANK(X831)),VLOOKUP($D$3+X831,Calcs!$A$110:$C$122,3,TRUE),IF(AA831="Failed",VLOOKUP($D$3,Calcs!$A$110:$C$122,3,TRUE),VLOOKUP($D$3-(IF((Character!$B$9+W831)&gt;($D$3+Y831),(Character!$B$9+W831)-($D$3+Y831),0)),Calcs!$A$110:$C$122,3,TRUE))))</f>
        <v xml:space="preserve"> </v>
      </c>
      <c r="AC831" s="489"/>
      <c r="AD831" s="489" t="str">
        <f>IF(IF(AA831=" "," ",IF(NOT(ISBLANK(X831)),VLOOKUP($D$3+X831,Calcs!$A$110:$B$122,2,TRUE),IF(AA831="Failed",VLOOKUP($D$3,Calcs!$A$110:$B$122,2,TRUE),VLOOKUP($D$3-(IF((Character!$B$9+W831)&gt;($D$3+Y831),(Character!$B$9+W831)-($D$3+Y831),0)),Calcs!$A$110:$B$122,2,TRUE))))=Calcs!$B$120,IF(ISBLANK(AC831)," ",CONCATENATE(AC831+7," Years")),IF(AA831=" "," ",IF(NOT(ISBLANK(X831)),VLOOKUP($D$3+X831,Calcs!$A$110:$B$122,2,TRUE),IF(AA831="Failed",VLOOKUP($D$3,Calcs!$A$110:$B$122,2,TRUE),VLOOKUP($D$3-(IF((Character!$B$9+W831)&gt;($D$3+Y831),(Character!$B$9+W831)-($D$3+Y831),0)),Calcs!$A$110:$B$122,2,TRUE)))))</f>
        <v xml:space="preserve"> </v>
      </c>
      <c r="AE831" s="490"/>
      <c r="AF831" s="879"/>
      <c r="AG831" s="491"/>
    </row>
    <row r="832" spans="1:33" x14ac:dyDescent="0.2">
      <c r="A832" s="415">
        <f t="shared" si="24"/>
        <v>1418</v>
      </c>
      <c r="B832" s="419" t="str">
        <f t="shared" si="25"/>
        <v>Winter</v>
      </c>
      <c r="C832" s="455"/>
      <c r="D832" s="504"/>
      <c r="E832" s="455"/>
      <c r="F832" s="504"/>
      <c r="G832" s="455"/>
      <c r="H832" s="504"/>
      <c r="I832" s="455"/>
      <c r="J832" s="504"/>
      <c r="L832" s="472"/>
      <c r="M832" s="468"/>
      <c r="N832" s="468"/>
      <c r="O832" s="468"/>
      <c r="P832" s="468"/>
      <c r="Q832" s="473"/>
      <c r="R832" s="477" t="str">
        <f>IF(AND(COUNTIF('Start Character'!$I$63:$M$77,"Twilight Prone")=1,NOT(ISERROR(FIND("Magical Botch",M832)))),"Yes",IF(P832&gt;1,"Yes","No"))</f>
        <v>No</v>
      </c>
      <c r="S832" s="501"/>
      <c r="T832" s="478"/>
      <c r="U832" s="501"/>
      <c r="V832" s="479" t="str">
        <f>IF(R832="No","No Twilight",IF(T832="Yes","Uncomprehended Twilight",IF((Character!$B$14+IF(Character!$B$53="Yes",0,Character!$B$53)+IF(Magic!$C$5="Yes",2,0)+ROUNDUP((Magic!$B$30+IF(Magic!$C$30="Yes",3,0))/5,0)+S832)&gt;=($D$3+P832+SUMIF(Character!$I$62:$I$66,"Enigmatic Wisdom",Character!$J$62:$J$66)+Q832+U832),"No Twilight","Twilight")))</f>
        <v>No Twilight</v>
      </c>
      <c r="W832" s="483"/>
      <c r="X832" s="478"/>
      <c r="Y832" s="484"/>
      <c r="Z832" s="478"/>
      <c r="AA832" s="485" t="str">
        <f>IF(V832="Uncomprehended Twilight","Failed",IF(OR(ISBLANK(W832),ISBLANK(Y832))," ",IF(NOT(ISBLANK(X832)),"Failed",IF((W832+Character!$B$9+SUMIF(Character!$I$62:$I$66,"Enigmatic Wisdom",Character!$J$62:$J$66))&gt;=IF(Z832="Yes",0,(Y832+D827)),"Succeeded","Failed"))))</f>
        <v xml:space="preserve"> </v>
      </c>
      <c r="AB832" s="477" t="str">
        <f>IF(AA832=" "," ",IF(NOT(ISBLANK(X832)),VLOOKUP($D$3+X832,Calcs!$A$110:$C$122,3,TRUE),IF(AA832="Failed",VLOOKUP($D$3,Calcs!$A$110:$C$122,3,TRUE),VLOOKUP($D$3-(IF((Character!$B$9+W832)&gt;($D$3+Y832),(Character!$B$9+W832)-($D$3+Y832),0)),Calcs!$A$110:$C$122,3,TRUE))))</f>
        <v xml:space="preserve"> </v>
      </c>
      <c r="AC832" s="489"/>
      <c r="AD832" s="489" t="str">
        <f>IF(IF(AA832=" "," ",IF(NOT(ISBLANK(X832)),VLOOKUP($D$3+X832,Calcs!$A$110:$B$122,2,TRUE),IF(AA832="Failed",VLOOKUP($D$3,Calcs!$A$110:$B$122,2,TRUE),VLOOKUP($D$3-(IF((Character!$B$9+W832)&gt;($D$3+Y832),(Character!$B$9+W832)-($D$3+Y832),0)),Calcs!$A$110:$B$122,2,TRUE))))=Calcs!$B$120,IF(ISBLANK(AC832)," ",CONCATENATE(AC832+7," Years")),IF(AA832=" "," ",IF(NOT(ISBLANK(X832)),VLOOKUP($D$3+X832,Calcs!$A$110:$B$122,2,TRUE),IF(AA832="Failed",VLOOKUP($D$3,Calcs!$A$110:$B$122,2,TRUE),VLOOKUP($D$3-(IF((Character!$B$9+W832)&gt;($D$3+Y832),(Character!$B$9+W832)-($D$3+Y832),0)),Calcs!$A$110:$B$122,2,TRUE)))))</f>
        <v xml:space="preserve"> </v>
      </c>
      <c r="AE832" s="490"/>
      <c r="AF832" s="879"/>
      <c r="AG832" s="491"/>
    </row>
    <row r="833" spans="1:33" x14ac:dyDescent="0.2">
      <c r="A833" s="415">
        <f t="shared" si="24"/>
        <v>1418</v>
      </c>
      <c r="B833" s="419" t="str">
        <f t="shared" si="25"/>
        <v>Spring</v>
      </c>
      <c r="C833" s="455"/>
      <c r="D833" s="504"/>
      <c r="E833" s="455"/>
      <c r="F833" s="504"/>
      <c r="G833" s="455"/>
      <c r="H833" s="504"/>
      <c r="I833" s="455"/>
      <c r="J833" s="504"/>
      <c r="L833" s="472"/>
      <c r="M833" s="468"/>
      <c r="N833" s="468"/>
      <c r="O833" s="468"/>
      <c r="P833" s="468"/>
      <c r="Q833" s="473"/>
      <c r="R833" s="477" t="str">
        <f>IF(AND(COUNTIF('Start Character'!$I$63:$M$77,"Twilight Prone")=1,NOT(ISERROR(FIND("Magical Botch",M833)))),"Yes",IF(P833&gt;1,"Yes","No"))</f>
        <v>No</v>
      </c>
      <c r="S833" s="501"/>
      <c r="T833" s="478"/>
      <c r="U833" s="501"/>
      <c r="V833" s="479" t="str">
        <f>IF(R833="No","No Twilight",IF(T833="Yes","Uncomprehended Twilight",IF((Character!$B$14+IF(Character!$B$53="Yes",0,Character!$B$53)+IF(Magic!$C$5="Yes",2,0)+ROUNDUP((Magic!$B$30+IF(Magic!$C$30="Yes",3,0))/5,0)+S833)&gt;=($D$3+P833+SUMIF(Character!$I$62:$I$66,"Enigmatic Wisdom",Character!$J$62:$J$66)+Q833+U833),"No Twilight","Twilight")))</f>
        <v>No Twilight</v>
      </c>
      <c r="W833" s="483"/>
      <c r="X833" s="478"/>
      <c r="Y833" s="484"/>
      <c r="Z833" s="478"/>
      <c r="AA833" s="485" t="str">
        <f>IF(V833="Uncomprehended Twilight","Failed",IF(OR(ISBLANK(W833),ISBLANK(Y833))," ",IF(NOT(ISBLANK(X833)),"Failed",IF((W833+Character!$B$9+SUMIF(Character!$I$62:$I$66,"Enigmatic Wisdom",Character!$J$62:$J$66))&gt;=IF(Z833="Yes",0,(Y833+D828)),"Succeeded","Failed"))))</f>
        <v xml:space="preserve"> </v>
      </c>
      <c r="AB833" s="477" t="str">
        <f>IF(AA833=" "," ",IF(NOT(ISBLANK(X833)),VLOOKUP($D$3+X833,Calcs!$A$110:$C$122,3,TRUE),IF(AA833="Failed",VLOOKUP($D$3,Calcs!$A$110:$C$122,3,TRUE),VLOOKUP($D$3-(IF((Character!$B$9+W833)&gt;($D$3+Y833),(Character!$B$9+W833)-($D$3+Y833),0)),Calcs!$A$110:$C$122,3,TRUE))))</f>
        <v xml:space="preserve"> </v>
      </c>
      <c r="AC833" s="489"/>
      <c r="AD833" s="489" t="str">
        <f>IF(IF(AA833=" "," ",IF(NOT(ISBLANK(X833)),VLOOKUP($D$3+X833,Calcs!$A$110:$B$122,2,TRUE),IF(AA833="Failed",VLOOKUP($D$3,Calcs!$A$110:$B$122,2,TRUE),VLOOKUP($D$3-(IF((Character!$B$9+W833)&gt;($D$3+Y833),(Character!$B$9+W833)-($D$3+Y833),0)),Calcs!$A$110:$B$122,2,TRUE))))=Calcs!$B$120,IF(ISBLANK(AC833)," ",CONCATENATE(AC833+7," Years")),IF(AA833=" "," ",IF(NOT(ISBLANK(X833)),VLOOKUP($D$3+X833,Calcs!$A$110:$B$122,2,TRUE),IF(AA833="Failed",VLOOKUP($D$3,Calcs!$A$110:$B$122,2,TRUE),VLOOKUP($D$3-(IF((Character!$B$9+W833)&gt;($D$3+Y833),(Character!$B$9+W833)-($D$3+Y833),0)),Calcs!$A$110:$B$122,2,TRUE)))))</f>
        <v xml:space="preserve"> </v>
      </c>
      <c r="AE833" s="490"/>
      <c r="AF833" s="879"/>
      <c r="AG833" s="491"/>
    </row>
    <row r="834" spans="1:33" x14ac:dyDescent="0.2">
      <c r="A834" s="415">
        <f t="shared" si="24"/>
        <v>1418</v>
      </c>
      <c r="B834" s="419" t="str">
        <f t="shared" si="25"/>
        <v>Summer</v>
      </c>
      <c r="C834" s="455"/>
      <c r="D834" s="504"/>
      <c r="E834" s="455"/>
      <c r="F834" s="504"/>
      <c r="G834" s="455"/>
      <c r="H834" s="504"/>
      <c r="I834" s="455"/>
      <c r="J834" s="504"/>
      <c r="L834" s="472"/>
      <c r="M834" s="468"/>
      <c r="N834" s="468"/>
      <c r="O834" s="468"/>
      <c r="P834" s="468"/>
      <c r="Q834" s="473"/>
      <c r="R834" s="477" t="str">
        <f>IF(AND(COUNTIF('Start Character'!$I$63:$M$77,"Twilight Prone")=1,NOT(ISERROR(FIND("Magical Botch",M834)))),"Yes",IF(P834&gt;1,"Yes","No"))</f>
        <v>No</v>
      </c>
      <c r="S834" s="501"/>
      <c r="T834" s="478"/>
      <c r="U834" s="501"/>
      <c r="V834" s="479" t="str">
        <f>IF(R834="No","No Twilight",IF(T834="Yes","Uncomprehended Twilight",IF((Character!$B$14+IF(Character!$B$53="Yes",0,Character!$B$53)+IF(Magic!$C$5="Yes",2,0)+ROUNDUP((Magic!$B$30+IF(Magic!$C$30="Yes",3,0))/5,0)+S834)&gt;=($D$3+P834+SUMIF(Character!$I$62:$I$66,"Enigmatic Wisdom",Character!$J$62:$J$66)+Q834+U834),"No Twilight","Twilight")))</f>
        <v>No Twilight</v>
      </c>
      <c r="W834" s="483"/>
      <c r="X834" s="478"/>
      <c r="Y834" s="484"/>
      <c r="Z834" s="478"/>
      <c r="AA834" s="485" t="str">
        <f>IF(V834="Uncomprehended Twilight","Failed",IF(OR(ISBLANK(W834),ISBLANK(Y834))," ",IF(NOT(ISBLANK(X834)),"Failed",IF((W834+Character!$B$9+SUMIF(Character!$I$62:$I$66,"Enigmatic Wisdom",Character!$J$62:$J$66))&gt;=IF(Z834="Yes",0,(Y834+D829)),"Succeeded","Failed"))))</f>
        <v xml:space="preserve"> </v>
      </c>
      <c r="AB834" s="477" t="str">
        <f>IF(AA834=" "," ",IF(NOT(ISBLANK(X834)),VLOOKUP($D$3+X834,Calcs!$A$110:$C$122,3,TRUE),IF(AA834="Failed",VLOOKUP($D$3,Calcs!$A$110:$C$122,3,TRUE),VLOOKUP($D$3-(IF((Character!$B$9+W834)&gt;($D$3+Y834),(Character!$B$9+W834)-($D$3+Y834),0)),Calcs!$A$110:$C$122,3,TRUE))))</f>
        <v xml:space="preserve"> </v>
      </c>
      <c r="AC834" s="489"/>
      <c r="AD834" s="489" t="str">
        <f>IF(IF(AA834=" "," ",IF(NOT(ISBLANK(X834)),VLOOKUP($D$3+X834,Calcs!$A$110:$B$122,2,TRUE),IF(AA834="Failed",VLOOKUP($D$3,Calcs!$A$110:$B$122,2,TRUE),VLOOKUP($D$3-(IF((Character!$B$9+W834)&gt;($D$3+Y834),(Character!$B$9+W834)-($D$3+Y834),0)),Calcs!$A$110:$B$122,2,TRUE))))=Calcs!$B$120,IF(ISBLANK(AC834)," ",CONCATENATE(AC834+7," Years")),IF(AA834=" "," ",IF(NOT(ISBLANK(X834)),VLOOKUP($D$3+X834,Calcs!$A$110:$B$122,2,TRUE),IF(AA834="Failed",VLOOKUP($D$3,Calcs!$A$110:$B$122,2,TRUE),VLOOKUP($D$3-(IF((Character!$B$9+W834)&gt;($D$3+Y834),(Character!$B$9+W834)-($D$3+Y834),0)),Calcs!$A$110:$B$122,2,TRUE)))))</f>
        <v xml:space="preserve"> </v>
      </c>
      <c r="AE834" s="490"/>
      <c r="AF834" s="879"/>
      <c r="AG834" s="491"/>
    </row>
    <row r="835" spans="1:33" x14ac:dyDescent="0.2">
      <c r="A835" s="415">
        <f t="shared" si="24"/>
        <v>1418</v>
      </c>
      <c r="B835" s="419" t="str">
        <f t="shared" si="25"/>
        <v>Autumn</v>
      </c>
      <c r="C835" s="455"/>
      <c r="D835" s="504"/>
      <c r="E835" s="455"/>
      <c r="F835" s="504"/>
      <c r="G835" s="455"/>
      <c r="H835" s="504"/>
      <c r="I835" s="455"/>
      <c r="J835" s="504"/>
      <c r="L835" s="472"/>
      <c r="M835" s="468"/>
      <c r="N835" s="468"/>
      <c r="O835" s="468"/>
      <c r="P835" s="468"/>
      <c r="Q835" s="473"/>
      <c r="R835" s="477" t="str">
        <f>IF(AND(COUNTIF('Start Character'!$I$63:$M$77,"Twilight Prone")=1,NOT(ISERROR(FIND("Magical Botch",M835)))),"Yes",IF(P835&gt;1,"Yes","No"))</f>
        <v>No</v>
      </c>
      <c r="S835" s="501"/>
      <c r="T835" s="478"/>
      <c r="U835" s="501"/>
      <c r="V835" s="479" t="str">
        <f>IF(R835="No","No Twilight",IF(T835="Yes","Uncomprehended Twilight",IF((Character!$B$14+IF(Character!$B$53="Yes",0,Character!$B$53)+IF(Magic!$C$5="Yes",2,0)+ROUNDUP((Magic!$B$30+IF(Magic!$C$30="Yes",3,0))/5,0)+S835)&gt;=($D$3+P835+SUMIF(Character!$I$62:$I$66,"Enigmatic Wisdom",Character!$J$62:$J$66)+Q835+U835),"No Twilight","Twilight")))</f>
        <v>No Twilight</v>
      </c>
      <c r="W835" s="483"/>
      <c r="X835" s="478"/>
      <c r="Y835" s="484"/>
      <c r="Z835" s="478"/>
      <c r="AA835" s="485" t="str">
        <f>IF(V835="Uncomprehended Twilight","Failed",IF(OR(ISBLANK(W835),ISBLANK(Y835))," ",IF(NOT(ISBLANK(X835)),"Failed",IF((W835+Character!$B$9+SUMIF(Character!$I$62:$I$66,"Enigmatic Wisdom",Character!$J$62:$J$66))&gt;=IF(Z835="Yes",0,(Y835+D830)),"Succeeded","Failed"))))</f>
        <v xml:space="preserve"> </v>
      </c>
      <c r="AB835" s="477" t="str">
        <f>IF(AA835=" "," ",IF(NOT(ISBLANK(X835)),VLOOKUP($D$3+X835,Calcs!$A$110:$C$122,3,TRUE),IF(AA835="Failed",VLOOKUP($D$3,Calcs!$A$110:$C$122,3,TRUE),VLOOKUP($D$3-(IF((Character!$B$9+W835)&gt;($D$3+Y835),(Character!$B$9+W835)-($D$3+Y835),0)),Calcs!$A$110:$C$122,3,TRUE))))</f>
        <v xml:space="preserve"> </v>
      </c>
      <c r="AC835" s="489"/>
      <c r="AD835" s="489" t="str">
        <f>IF(IF(AA835=" "," ",IF(NOT(ISBLANK(X835)),VLOOKUP($D$3+X835,Calcs!$A$110:$B$122,2,TRUE),IF(AA835="Failed",VLOOKUP($D$3,Calcs!$A$110:$B$122,2,TRUE),VLOOKUP($D$3-(IF((Character!$B$9+W835)&gt;($D$3+Y835),(Character!$B$9+W835)-($D$3+Y835),0)),Calcs!$A$110:$B$122,2,TRUE))))=Calcs!$B$120,IF(ISBLANK(AC835)," ",CONCATENATE(AC835+7," Years")),IF(AA835=" "," ",IF(NOT(ISBLANK(X835)),VLOOKUP($D$3+X835,Calcs!$A$110:$B$122,2,TRUE),IF(AA835="Failed",VLOOKUP($D$3,Calcs!$A$110:$B$122,2,TRUE),VLOOKUP($D$3-(IF((Character!$B$9+W835)&gt;($D$3+Y835),(Character!$B$9+W835)-($D$3+Y835),0)),Calcs!$A$110:$B$122,2,TRUE)))))</f>
        <v xml:space="preserve"> </v>
      </c>
      <c r="AE835" s="490"/>
      <c r="AF835" s="879"/>
      <c r="AG835" s="491"/>
    </row>
    <row r="836" spans="1:33" x14ac:dyDescent="0.2">
      <c r="A836" s="415">
        <f t="shared" si="24"/>
        <v>1419</v>
      </c>
      <c r="B836" s="419" t="str">
        <f t="shared" si="25"/>
        <v>Winter</v>
      </c>
      <c r="C836" s="455"/>
      <c r="D836" s="504"/>
      <c r="E836" s="455"/>
      <c r="F836" s="504"/>
      <c r="G836" s="455"/>
      <c r="H836" s="504"/>
      <c r="I836" s="455"/>
      <c r="J836" s="504"/>
      <c r="L836" s="472"/>
      <c r="M836" s="468"/>
      <c r="N836" s="468"/>
      <c r="O836" s="468"/>
      <c r="P836" s="468"/>
      <c r="Q836" s="473"/>
      <c r="R836" s="477" t="str">
        <f>IF(AND(COUNTIF('Start Character'!$I$63:$M$77,"Twilight Prone")=1,NOT(ISERROR(FIND("Magical Botch",M836)))),"Yes",IF(P836&gt;1,"Yes","No"))</f>
        <v>No</v>
      </c>
      <c r="S836" s="501"/>
      <c r="T836" s="478"/>
      <c r="U836" s="501"/>
      <c r="V836" s="479" t="str">
        <f>IF(R836="No","No Twilight",IF(T836="Yes","Uncomprehended Twilight",IF((Character!$B$14+IF(Character!$B$53="Yes",0,Character!$B$53)+IF(Magic!$C$5="Yes",2,0)+ROUNDUP((Magic!$B$30+IF(Magic!$C$30="Yes",3,0))/5,0)+S836)&gt;=($D$3+P836+SUMIF(Character!$I$62:$I$66,"Enigmatic Wisdom",Character!$J$62:$J$66)+Q836+U836),"No Twilight","Twilight")))</f>
        <v>No Twilight</v>
      </c>
      <c r="W836" s="483"/>
      <c r="X836" s="478"/>
      <c r="Y836" s="484"/>
      <c r="Z836" s="478"/>
      <c r="AA836" s="485" t="str">
        <f>IF(V836="Uncomprehended Twilight","Failed",IF(OR(ISBLANK(W836),ISBLANK(Y836))," ",IF(NOT(ISBLANK(X836)),"Failed",IF((W836+Character!$B$9+SUMIF(Character!$I$62:$I$66,"Enigmatic Wisdom",Character!$J$62:$J$66))&gt;=IF(Z836="Yes",0,(Y836+D831)),"Succeeded","Failed"))))</f>
        <v xml:space="preserve"> </v>
      </c>
      <c r="AB836" s="477" t="str">
        <f>IF(AA836=" "," ",IF(NOT(ISBLANK(X836)),VLOOKUP($D$3+X836,Calcs!$A$110:$C$122,3,TRUE),IF(AA836="Failed",VLOOKUP($D$3,Calcs!$A$110:$C$122,3,TRUE),VLOOKUP($D$3-(IF((Character!$B$9+W836)&gt;($D$3+Y836),(Character!$B$9+W836)-($D$3+Y836),0)),Calcs!$A$110:$C$122,3,TRUE))))</f>
        <v xml:space="preserve"> </v>
      </c>
      <c r="AC836" s="489"/>
      <c r="AD836" s="489" t="str">
        <f>IF(IF(AA836=" "," ",IF(NOT(ISBLANK(X836)),VLOOKUP($D$3+X836,Calcs!$A$110:$B$122,2,TRUE),IF(AA836="Failed",VLOOKUP($D$3,Calcs!$A$110:$B$122,2,TRUE),VLOOKUP($D$3-(IF((Character!$B$9+W836)&gt;($D$3+Y836),(Character!$B$9+W836)-($D$3+Y836),0)),Calcs!$A$110:$B$122,2,TRUE))))=Calcs!$B$120,IF(ISBLANK(AC836)," ",CONCATENATE(AC836+7," Years")),IF(AA836=" "," ",IF(NOT(ISBLANK(X836)),VLOOKUP($D$3+X836,Calcs!$A$110:$B$122,2,TRUE),IF(AA836="Failed",VLOOKUP($D$3,Calcs!$A$110:$B$122,2,TRUE),VLOOKUP($D$3-(IF((Character!$B$9+W836)&gt;($D$3+Y836),(Character!$B$9+W836)-($D$3+Y836),0)),Calcs!$A$110:$B$122,2,TRUE)))))</f>
        <v xml:space="preserve"> </v>
      </c>
      <c r="AE836" s="490"/>
      <c r="AF836" s="879"/>
      <c r="AG836" s="491"/>
    </row>
    <row r="837" spans="1:33" x14ac:dyDescent="0.2">
      <c r="A837" s="415">
        <f t="shared" si="24"/>
        <v>1419</v>
      </c>
      <c r="B837" s="419" t="str">
        <f t="shared" si="25"/>
        <v>Spring</v>
      </c>
      <c r="C837" s="455"/>
      <c r="D837" s="504"/>
      <c r="E837" s="455"/>
      <c r="F837" s="504"/>
      <c r="G837" s="455"/>
      <c r="H837" s="504"/>
      <c r="I837" s="455"/>
      <c r="J837" s="504"/>
      <c r="L837" s="472"/>
      <c r="M837" s="468"/>
      <c r="N837" s="468"/>
      <c r="O837" s="468"/>
      <c r="P837" s="468"/>
      <c r="Q837" s="473"/>
      <c r="R837" s="477" t="str">
        <f>IF(AND(COUNTIF('Start Character'!$I$63:$M$77,"Twilight Prone")=1,NOT(ISERROR(FIND("Magical Botch",M837)))),"Yes",IF(P837&gt;1,"Yes","No"))</f>
        <v>No</v>
      </c>
      <c r="S837" s="501"/>
      <c r="T837" s="478"/>
      <c r="U837" s="501"/>
      <c r="V837" s="479" t="str">
        <f>IF(R837="No","No Twilight",IF(T837="Yes","Uncomprehended Twilight",IF((Character!$B$14+IF(Character!$B$53="Yes",0,Character!$B$53)+IF(Magic!$C$5="Yes",2,0)+ROUNDUP((Magic!$B$30+IF(Magic!$C$30="Yes",3,0))/5,0)+S837)&gt;=($D$3+P837+SUMIF(Character!$I$62:$I$66,"Enigmatic Wisdom",Character!$J$62:$J$66)+Q837+U837),"No Twilight","Twilight")))</f>
        <v>No Twilight</v>
      </c>
      <c r="W837" s="483"/>
      <c r="X837" s="478"/>
      <c r="Y837" s="484"/>
      <c r="Z837" s="478"/>
      <c r="AA837" s="485" t="str">
        <f>IF(V837="Uncomprehended Twilight","Failed",IF(OR(ISBLANK(W837),ISBLANK(Y837))," ",IF(NOT(ISBLANK(X837)),"Failed",IF((W837+Character!$B$9+SUMIF(Character!$I$62:$I$66,"Enigmatic Wisdom",Character!$J$62:$J$66))&gt;=IF(Z837="Yes",0,(Y837+D832)),"Succeeded","Failed"))))</f>
        <v xml:space="preserve"> </v>
      </c>
      <c r="AB837" s="477" t="str">
        <f>IF(AA837=" "," ",IF(NOT(ISBLANK(X837)),VLOOKUP($D$3+X837,Calcs!$A$110:$C$122,3,TRUE),IF(AA837="Failed",VLOOKUP($D$3,Calcs!$A$110:$C$122,3,TRUE),VLOOKUP($D$3-(IF((Character!$B$9+W837)&gt;($D$3+Y837),(Character!$B$9+W837)-($D$3+Y837),0)),Calcs!$A$110:$C$122,3,TRUE))))</f>
        <v xml:space="preserve"> </v>
      </c>
      <c r="AC837" s="489"/>
      <c r="AD837" s="489" t="str">
        <f>IF(IF(AA837=" "," ",IF(NOT(ISBLANK(X837)),VLOOKUP($D$3+X837,Calcs!$A$110:$B$122,2,TRUE),IF(AA837="Failed",VLOOKUP($D$3,Calcs!$A$110:$B$122,2,TRUE),VLOOKUP($D$3-(IF((Character!$B$9+W837)&gt;($D$3+Y837),(Character!$B$9+W837)-($D$3+Y837),0)),Calcs!$A$110:$B$122,2,TRUE))))=Calcs!$B$120,IF(ISBLANK(AC837)," ",CONCATENATE(AC837+7," Years")),IF(AA837=" "," ",IF(NOT(ISBLANK(X837)),VLOOKUP($D$3+X837,Calcs!$A$110:$B$122,2,TRUE),IF(AA837="Failed",VLOOKUP($D$3,Calcs!$A$110:$B$122,2,TRUE),VLOOKUP($D$3-(IF((Character!$B$9+W837)&gt;($D$3+Y837),(Character!$B$9+W837)-($D$3+Y837),0)),Calcs!$A$110:$B$122,2,TRUE)))))</f>
        <v xml:space="preserve"> </v>
      </c>
      <c r="AE837" s="490"/>
      <c r="AF837" s="879"/>
      <c r="AG837" s="491"/>
    </row>
    <row r="838" spans="1:33" x14ac:dyDescent="0.2">
      <c r="A838" s="415">
        <f t="shared" si="24"/>
        <v>1419</v>
      </c>
      <c r="B838" s="419" t="str">
        <f t="shared" si="25"/>
        <v>Summer</v>
      </c>
      <c r="C838" s="455"/>
      <c r="D838" s="504"/>
      <c r="E838" s="455"/>
      <c r="F838" s="504"/>
      <c r="G838" s="455"/>
      <c r="H838" s="504"/>
      <c r="I838" s="455"/>
      <c r="J838" s="504"/>
      <c r="L838" s="472"/>
      <c r="M838" s="468"/>
      <c r="N838" s="468"/>
      <c r="O838" s="468"/>
      <c r="P838" s="468"/>
      <c r="Q838" s="473"/>
      <c r="R838" s="477" t="str">
        <f>IF(AND(COUNTIF('Start Character'!$I$63:$M$77,"Twilight Prone")=1,NOT(ISERROR(FIND("Magical Botch",M838)))),"Yes",IF(P838&gt;1,"Yes","No"))</f>
        <v>No</v>
      </c>
      <c r="S838" s="501"/>
      <c r="T838" s="478"/>
      <c r="U838" s="501"/>
      <c r="V838" s="479" t="str">
        <f>IF(R838="No","No Twilight",IF(T838="Yes","Uncomprehended Twilight",IF((Character!$B$14+IF(Character!$B$53="Yes",0,Character!$B$53)+IF(Magic!$C$5="Yes",2,0)+ROUNDUP((Magic!$B$30+IF(Magic!$C$30="Yes",3,0))/5,0)+S838)&gt;=($D$3+P838+SUMIF(Character!$I$62:$I$66,"Enigmatic Wisdom",Character!$J$62:$J$66)+Q838+U838),"No Twilight","Twilight")))</f>
        <v>No Twilight</v>
      </c>
      <c r="W838" s="483"/>
      <c r="X838" s="478"/>
      <c r="Y838" s="484"/>
      <c r="Z838" s="478"/>
      <c r="AA838" s="485" t="str">
        <f>IF(V838="Uncomprehended Twilight","Failed",IF(OR(ISBLANK(W838),ISBLANK(Y838))," ",IF(NOT(ISBLANK(X838)),"Failed",IF((W838+Character!$B$9+SUMIF(Character!$I$62:$I$66,"Enigmatic Wisdom",Character!$J$62:$J$66))&gt;=IF(Z838="Yes",0,(Y838+D833)),"Succeeded","Failed"))))</f>
        <v xml:space="preserve"> </v>
      </c>
      <c r="AB838" s="477" t="str">
        <f>IF(AA838=" "," ",IF(NOT(ISBLANK(X838)),VLOOKUP($D$3+X838,Calcs!$A$110:$C$122,3,TRUE),IF(AA838="Failed",VLOOKUP($D$3,Calcs!$A$110:$C$122,3,TRUE),VLOOKUP($D$3-(IF((Character!$B$9+W838)&gt;($D$3+Y838),(Character!$B$9+W838)-($D$3+Y838),0)),Calcs!$A$110:$C$122,3,TRUE))))</f>
        <v xml:space="preserve"> </v>
      </c>
      <c r="AC838" s="489"/>
      <c r="AD838" s="489" t="str">
        <f>IF(IF(AA838=" "," ",IF(NOT(ISBLANK(X838)),VLOOKUP($D$3+X838,Calcs!$A$110:$B$122,2,TRUE),IF(AA838="Failed",VLOOKUP($D$3,Calcs!$A$110:$B$122,2,TRUE),VLOOKUP($D$3-(IF((Character!$B$9+W838)&gt;($D$3+Y838),(Character!$B$9+W838)-($D$3+Y838),0)),Calcs!$A$110:$B$122,2,TRUE))))=Calcs!$B$120,IF(ISBLANK(AC838)," ",CONCATENATE(AC838+7," Years")),IF(AA838=" "," ",IF(NOT(ISBLANK(X838)),VLOOKUP($D$3+X838,Calcs!$A$110:$B$122,2,TRUE),IF(AA838="Failed",VLOOKUP($D$3,Calcs!$A$110:$B$122,2,TRUE),VLOOKUP($D$3-(IF((Character!$B$9+W838)&gt;($D$3+Y838),(Character!$B$9+W838)-($D$3+Y838),0)),Calcs!$A$110:$B$122,2,TRUE)))))</f>
        <v xml:space="preserve"> </v>
      </c>
      <c r="AE838" s="490"/>
      <c r="AF838" s="879"/>
      <c r="AG838" s="491"/>
    </row>
    <row r="839" spans="1:33" x14ac:dyDescent="0.2">
      <c r="A839" s="415">
        <f t="shared" si="24"/>
        <v>1419</v>
      </c>
      <c r="B839" s="419" t="str">
        <f t="shared" si="25"/>
        <v>Autumn</v>
      </c>
      <c r="C839" s="455"/>
      <c r="D839" s="504"/>
      <c r="E839" s="455"/>
      <c r="F839" s="504"/>
      <c r="G839" s="455"/>
      <c r="H839" s="504"/>
      <c r="I839" s="455"/>
      <c r="J839" s="504"/>
      <c r="L839" s="472"/>
      <c r="M839" s="468"/>
      <c r="N839" s="468"/>
      <c r="O839" s="468"/>
      <c r="P839" s="468"/>
      <c r="Q839" s="473"/>
      <c r="R839" s="477" t="str">
        <f>IF(AND(COUNTIF('Start Character'!$I$63:$M$77,"Twilight Prone")=1,NOT(ISERROR(FIND("Magical Botch",M839)))),"Yes",IF(P839&gt;1,"Yes","No"))</f>
        <v>No</v>
      </c>
      <c r="S839" s="501"/>
      <c r="T839" s="478"/>
      <c r="U839" s="501"/>
      <c r="V839" s="479" t="str">
        <f>IF(R839="No","No Twilight",IF(T839="Yes","Uncomprehended Twilight",IF((Character!$B$14+IF(Character!$B$53="Yes",0,Character!$B$53)+IF(Magic!$C$5="Yes",2,0)+ROUNDUP((Magic!$B$30+IF(Magic!$C$30="Yes",3,0))/5,0)+S839)&gt;=($D$3+P839+SUMIF(Character!$I$62:$I$66,"Enigmatic Wisdom",Character!$J$62:$J$66)+Q839+U839),"No Twilight","Twilight")))</f>
        <v>No Twilight</v>
      </c>
      <c r="W839" s="483"/>
      <c r="X839" s="478"/>
      <c r="Y839" s="484"/>
      <c r="Z839" s="478"/>
      <c r="AA839" s="485" t="str">
        <f>IF(V839="Uncomprehended Twilight","Failed",IF(OR(ISBLANK(W839),ISBLANK(Y839))," ",IF(NOT(ISBLANK(X839)),"Failed",IF((W839+Character!$B$9+SUMIF(Character!$I$62:$I$66,"Enigmatic Wisdom",Character!$J$62:$J$66))&gt;=IF(Z839="Yes",0,(Y839+D834)),"Succeeded","Failed"))))</f>
        <v xml:space="preserve"> </v>
      </c>
      <c r="AB839" s="477" t="str">
        <f>IF(AA839=" "," ",IF(NOT(ISBLANK(X839)),VLOOKUP($D$3+X839,Calcs!$A$110:$C$122,3,TRUE),IF(AA839="Failed",VLOOKUP($D$3,Calcs!$A$110:$C$122,3,TRUE),VLOOKUP($D$3-(IF((Character!$B$9+W839)&gt;($D$3+Y839),(Character!$B$9+W839)-($D$3+Y839),0)),Calcs!$A$110:$C$122,3,TRUE))))</f>
        <v xml:space="preserve"> </v>
      </c>
      <c r="AC839" s="489"/>
      <c r="AD839" s="489" t="str">
        <f>IF(IF(AA839=" "," ",IF(NOT(ISBLANK(X839)),VLOOKUP($D$3+X839,Calcs!$A$110:$B$122,2,TRUE),IF(AA839="Failed",VLOOKUP($D$3,Calcs!$A$110:$B$122,2,TRUE),VLOOKUP($D$3-(IF((Character!$B$9+W839)&gt;($D$3+Y839),(Character!$B$9+W839)-($D$3+Y839),0)),Calcs!$A$110:$B$122,2,TRUE))))=Calcs!$B$120,IF(ISBLANK(AC839)," ",CONCATENATE(AC839+7," Years")),IF(AA839=" "," ",IF(NOT(ISBLANK(X839)),VLOOKUP($D$3+X839,Calcs!$A$110:$B$122,2,TRUE),IF(AA839="Failed",VLOOKUP($D$3,Calcs!$A$110:$B$122,2,TRUE),VLOOKUP($D$3-(IF((Character!$B$9+W839)&gt;($D$3+Y839),(Character!$B$9+W839)-($D$3+Y839),0)),Calcs!$A$110:$B$122,2,TRUE)))))</f>
        <v xml:space="preserve"> </v>
      </c>
      <c r="AE839" s="490"/>
      <c r="AF839" s="879"/>
      <c r="AG839" s="491"/>
    </row>
    <row r="840" spans="1:33" x14ac:dyDescent="0.2">
      <c r="A840" s="415">
        <f t="shared" si="24"/>
        <v>1420</v>
      </c>
      <c r="B840" s="419" t="str">
        <f t="shared" si="25"/>
        <v>Winter</v>
      </c>
      <c r="C840" s="455"/>
      <c r="D840" s="504"/>
      <c r="E840" s="455"/>
      <c r="F840" s="504"/>
      <c r="G840" s="455"/>
      <c r="H840" s="504"/>
      <c r="I840" s="455"/>
      <c r="J840" s="504"/>
      <c r="L840" s="472"/>
      <c r="M840" s="468"/>
      <c r="N840" s="468"/>
      <c r="O840" s="468"/>
      <c r="P840" s="468"/>
      <c r="Q840" s="473"/>
      <c r="R840" s="477" t="str">
        <f>IF(AND(COUNTIF('Start Character'!$I$63:$M$77,"Twilight Prone")=1,NOT(ISERROR(FIND("Magical Botch",M840)))),"Yes",IF(P840&gt;1,"Yes","No"))</f>
        <v>No</v>
      </c>
      <c r="S840" s="501"/>
      <c r="T840" s="478"/>
      <c r="U840" s="501"/>
      <c r="V840" s="479" t="str">
        <f>IF(R840="No","No Twilight",IF(T840="Yes","Uncomprehended Twilight",IF((Character!$B$14+IF(Character!$B$53="Yes",0,Character!$B$53)+IF(Magic!$C$5="Yes",2,0)+ROUNDUP((Magic!$B$30+IF(Magic!$C$30="Yes",3,0))/5,0)+S840)&gt;=($D$3+P840+SUMIF(Character!$I$62:$I$66,"Enigmatic Wisdom",Character!$J$62:$J$66)+Q840+U840),"No Twilight","Twilight")))</f>
        <v>No Twilight</v>
      </c>
      <c r="W840" s="483"/>
      <c r="X840" s="478"/>
      <c r="Y840" s="484"/>
      <c r="Z840" s="478"/>
      <c r="AA840" s="485" t="str">
        <f>IF(V840="Uncomprehended Twilight","Failed",IF(OR(ISBLANK(W840),ISBLANK(Y840))," ",IF(NOT(ISBLANK(X840)),"Failed",IF((W840+Character!$B$9+SUMIF(Character!$I$62:$I$66,"Enigmatic Wisdom",Character!$J$62:$J$66))&gt;=IF(Z840="Yes",0,(Y840+D835)),"Succeeded","Failed"))))</f>
        <v xml:space="preserve"> </v>
      </c>
      <c r="AB840" s="477" t="str">
        <f>IF(AA840=" "," ",IF(NOT(ISBLANK(X840)),VLOOKUP($D$3+X840,Calcs!$A$110:$C$122,3,TRUE),IF(AA840="Failed",VLOOKUP($D$3,Calcs!$A$110:$C$122,3,TRUE),VLOOKUP($D$3-(IF((Character!$B$9+W840)&gt;($D$3+Y840),(Character!$B$9+W840)-($D$3+Y840),0)),Calcs!$A$110:$C$122,3,TRUE))))</f>
        <v xml:space="preserve"> </v>
      </c>
      <c r="AC840" s="489"/>
      <c r="AD840" s="489" t="str">
        <f>IF(IF(AA840=" "," ",IF(NOT(ISBLANK(X840)),VLOOKUP($D$3+X840,Calcs!$A$110:$B$122,2,TRUE),IF(AA840="Failed",VLOOKUP($D$3,Calcs!$A$110:$B$122,2,TRUE),VLOOKUP($D$3-(IF((Character!$B$9+W840)&gt;($D$3+Y840),(Character!$B$9+W840)-($D$3+Y840),0)),Calcs!$A$110:$B$122,2,TRUE))))=Calcs!$B$120,IF(ISBLANK(AC840)," ",CONCATENATE(AC840+7," Years")),IF(AA840=" "," ",IF(NOT(ISBLANK(X840)),VLOOKUP($D$3+X840,Calcs!$A$110:$B$122,2,TRUE),IF(AA840="Failed",VLOOKUP($D$3,Calcs!$A$110:$B$122,2,TRUE),VLOOKUP($D$3-(IF((Character!$B$9+W840)&gt;($D$3+Y840),(Character!$B$9+W840)-($D$3+Y840),0)),Calcs!$A$110:$B$122,2,TRUE)))))</f>
        <v xml:space="preserve"> </v>
      </c>
      <c r="AE840" s="490"/>
      <c r="AF840" s="879"/>
      <c r="AG840" s="491"/>
    </row>
    <row r="841" spans="1:33" x14ac:dyDescent="0.2">
      <c r="A841" s="415">
        <f t="shared" si="24"/>
        <v>1420</v>
      </c>
      <c r="B841" s="419" t="str">
        <f t="shared" si="25"/>
        <v>Spring</v>
      </c>
      <c r="C841" s="455"/>
      <c r="D841" s="504"/>
      <c r="E841" s="455"/>
      <c r="F841" s="504"/>
      <c r="G841" s="455"/>
      <c r="H841" s="504"/>
      <c r="I841" s="455"/>
      <c r="J841" s="504"/>
      <c r="L841" s="472"/>
      <c r="M841" s="468"/>
      <c r="N841" s="468"/>
      <c r="O841" s="468"/>
      <c r="P841" s="468"/>
      <c r="Q841" s="473"/>
      <c r="R841" s="477" t="str">
        <f>IF(AND(COUNTIF('Start Character'!$I$63:$M$77,"Twilight Prone")=1,NOT(ISERROR(FIND("Magical Botch",M841)))),"Yes",IF(P841&gt;1,"Yes","No"))</f>
        <v>No</v>
      </c>
      <c r="S841" s="501"/>
      <c r="T841" s="478"/>
      <c r="U841" s="501"/>
      <c r="V841" s="479" t="str">
        <f>IF(R841="No","No Twilight",IF(T841="Yes","Uncomprehended Twilight",IF((Character!$B$14+IF(Character!$B$53="Yes",0,Character!$B$53)+IF(Magic!$C$5="Yes",2,0)+ROUNDUP((Magic!$B$30+IF(Magic!$C$30="Yes",3,0))/5,0)+S841)&gt;=($D$3+P841+SUMIF(Character!$I$62:$I$66,"Enigmatic Wisdom",Character!$J$62:$J$66)+Q841+U841),"No Twilight","Twilight")))</f>
        <v>No Twilight</v>
      </c>
      <c r="W841" s="483"/>
      <c r="X841" s="478"/>
      <c r="Y841" s="484"/>
      <c r="Z841" s="478"/>
      <c r="AA841" s="485" t="str">
        <f>IF(V841="Uncomprehended Twilight","Failed",IF(OR(ISBLANK(W841),ISBLANK(Y841))," ",IF(NOT(ISBLANK(X841)),"Failed",IF((W841+Character!$B$9+SUMIF(Character!$I$62:$I$66,"Enigmatic Wisdom",Character!$J$62:$J$66))&gt;=IF(Z841="Yes",0,(Y841+D836)),"Succeeded","Failed"))))</f>
        <v xml:space="preserve"> </v>
      </c>
      <c r="AB841" s="477" t="str">
        <f>IF(AA841=" "," ",IF(NOT(ISBLANK(X841)),VLOOKUP($D$3+X841,Calcs!$A$110:$C$122,3,TRUE),IF(AA841="Failed",VLOOKUP($D$3,Calcs!$A$110:$C$122,3,TRUE),VLOOKUP($D$3-(IF((Character!$B$9+W841)&gt;($D$3+Y841),(Character!$B$9+W841)-($D$3+Y841),0)),Calcs!$A$110:$C$122,3,TRUE))))</f>
        <v xml:space="preserve"> </v>
      </c>
      <c r="AC841" s="489"/>
      <c r="AD841" s="489" t="str">
        <f>IF(IF(AA841=" "," ",IF(NOT(ISBLANK(X841)),VLOOKUP($D$3+X841,Calcs!$A$110:$B$122,2,TRUE),IF(AA841="Failed",VLOOKUP($D$3,Calcs!$A$110:$B$122,2,TRUE),VLOOKUP($D$3-(IF((Character!$B$9+W841)&gt;($D$3+Y841),(Character!$B$9+W841)-($D$3+Y841),0)),Calcs!$A$110:$B$122,2,TRUE))))=Calcs!$B$120,IF(ISBLANK(AC841)," ",CONCATENATE(AC841+7," Years")),IF(AA841=" "," ",IF(NOT(ISBLANK(X841)),VLOOKUP($D$3+X841,Calcs!$A$110:$B$122,2,TRUE),IF(AA841="Failed",VLOOKUP($D$3,Calcs!$A$110:$B$122,2,TRUE),VLOOKUP($D$3-(IF((Character!$B$9+W841)&gt;($D$3+Y841),(Character!$B$9+W841)-($D$3+Y841),0)),Calcs!$A$110:$B$122,2,TRUE)))))</f>
        <v xml:space="preserve"> </v>
      </c>
      <c r="AE841" s="490"/>
      <c r="AF841" s="879"/>
      <c r="AG841" s="491"/>
    </row>
    <row r="842" spans="1:33" x14ac:dyDescent="0.2">
      <c r="A842" s="415">
        <f t="shared" si="24"/>
        <v>1420</v>
      </c>
      <c r="B842" s="419" t="str">
        <f t="shared" si="25"/>
        <v>Summer</v>
      </c>
      <c r="C842" s="455"/>
      <c r="D842" s="504"/>
      <c r="E842" s="455"/>
      <c r="F842" s="504"/>
      <c r="G842" s="455"/>
      <c r="H842" s="504"/>
      <c r="I842" s="455"/>
      <c r="J842" s="504"/>
      <c r="L842" s="472"/>
      <c r="M842" s="468"/>
      <c r="N842" s="468"/>
      <c r="O842" s="468"/>
      <c r="P842" s="468"/>
      <c r="Q842" s="473"/>
      <c r="R842" s="477" t="str">
        <f>IF(AND(COUNTIF('Start Character'!$I$63:$M$77,"Twilight Prone")=1,NOT(ISERROR(FIND("Magical Botch",M842)))),"Yes",IF(P842&gt;1,"Yes","No"))</f>
        <v>No</v>
      </c>
      <c r="S842" s="501"/>
      <c r="T842" s="478"/>
      <c r="U842" s="501"/>
      <c r="V842" s="479" t="str">
        <f>IF(R842="No","No Twilight",IF(T842="Yes","Uncomprehended Twilight",IF((Character!$B$14+IF(Character!$B$53="Yes",0,Character!$B$53)+IF(Magic!$C$5="Yes",2,0)+ROUNDUP((Magic!$B$30+IF(Magic!$C$30="Yes",3,0))/5,0)+S842)&gt;=($D$3+P842+SUMIF(Character!$I$62:$I$66,"Enigmatic Wisdom",Character!$J$62:$J$66)+Q842+U842),"No Twilight","Twilight")))</f>
        <v>No Twilight</v>
      </c>
      <c r="W842" s="483"/>
      <c r="X842" s="478"/>
      <c r="Y842" s="484"/>
      <c r="Z842" s="478"/>
      <c r="AA842" s="485" t="str">
        <f>IF(V842="Uncomprehended Twilight","Failed",IF(OR(ISBLANK(W842),ISBLANK(Y842))," ",IF(NOT(ISBLANK(X842)),"Failed",IF((W842+Character!$B$9+SUMIF(Character!$I$62:$I$66,"Enigmatic Wisdom",Character!$J$62:$J$66))&gt;=IF(Z842="Yes",0,(Y842+D837)),"Succeeded","Failed"))))</f>
        <v xml:space="preserve"> </v>
      </c>
      <c r="AB842" s="477" t="str">
        <f>IF(AA842=" "," ",IF(NOT(ISBLANK(X842)),VLOOKUP($D$3+X842,Calcs!$A$110:$C$122,3,TRUE),IF(AA842="Failed",VLOOKUP($D$3,Calcs!$A$110:$C$122,3,TRUE),VLOOKUP($D$3-(IF((Character!$B$9+W842)&gt;($D$3+Y842),(Character!$B$9+W842)-($D$3+Y842),0)),Calcs!$A$110:$C$122,3,TRUE))))</f>
        <v xml:space="preserve"> </v>
      </c>
      <c r="AC842" s="489"/>
      <c r="AD842" s="489" t="str">
        <f>IF(IF(AA842=" "," ",IF(NOT(ISBLANK(X842)),VLOOKUP($D$3+X842,Calcs!$A$110:$B$122,2,TRUE),IF(AA842="Failed",VLOOKUP($D$3,Calcs!$A$110:$B$122,2,TRUE),VLOOKUP($D$3-(IF((Character!$B$9+W842)&gt;($D$3+Y842),(Character!$B$9+W842)-($D$3+Y842),0)),Calcs!$A$110:$B$122,2,TRUE))))=Calcs!$B$120,IF(ISBLANK(AC842)," ",CONCATENATE(AC842+7," Years")),IF(AA842=" "," ",IF(NOT(ISBLANK(X842)),VLOOKUP($D$3+X842,Calcs!$A$110:$B$122,2,TRUE),IF(AA842="Failed",VLOOKUP($D$3,Calcs!$A$110:$B$122,2,TRUE),VLOOKUP($D$3-(IF((Character!$B$9+W842)&gt;($D$3+Y842),(Character!$B$9+W842)-($D$3+Y842),0)),Calcs!$A$110:$B$122,2,TRUE)))))</f>
        <v xml:space="preserve"> </v>
      </c>
      <c r="AE842" s="490"/>
      <c r="AF842" s="879"/>
      <c r="AG842" s="491"/>
    </row>
    <row r="843" spans="1:33" x14ac:dyDescent="0.2">
      <c r="A843" s="415">
        <f t="shared" si="24"/>
        <v>1420</v>
      </c>
      <c r="B843" s="419" t="str">
        <f t="shared" si="25"/>
        <v>Autumn</v>
      </c>
      <c r="C843" s="455"/>
      <c r="D843" s="504"/>
      <c r="E843" s="455"/>
      <c r="F843" s="504"/>
      <c r="G843" s="455"/>
      <c r="H843" s="504"/>
      <c r="I843" s="455"/>
      <c r="J843" s="504"/>
      <c r="L843" s="472"/>
      <c r="M843" s="468"/>
      <c r="N843" s="468"/>
      <c r="O843" s="468"/>
      <c r="P843" s="468"/>
      <c r="Q843" s="473"/>
      <c r="R843" s="477" t="str">
        <f>IF(AND(COUNTIF('Start Character'!$I$63:$M$77,"Twilight Prone")=1,NOT(ISERROR(FIND("Magical Botch",M843)))),"Yes",IF(P843&gt;1,"Yes","No"))</f>
        <v>No</v>
      </c>
      <c r="S843" s="501"/>
      <c r="T843" s="478"/>
      <c r="U843" s="501"/>
      <c r="V843" s="479" t="str">
        <f>IF(R843="No","No Twilight",IF(T843="Yes","Uncomprehended Twilight",IF((Character!$B$14+IF(Character!$B$53="Yes",0,Character!$B$53)+IF(Magic!$C$5="Yes",2,0)+ROUNDUP((Magic!$B$30+IF(Magic!$C$30="Yes",3,0))/5,0)+S843)&gt;=($D$3+P843+SUMIF(Character!$I$62:$I$66,"Enigmatic Wisdom",Character!$J$62:$J$66)+Q843+U843),"No Twilight","Twilight")))</f>
        <v>No Twilight</v>
      </c>
      <c r="W843" s="483"/>
      <c r="X843" s="478"/>
      <c r="Y843" s="484"/>
      <c r="Z843" s="478"/>
      <c r="AA843" s="485" t="str">
        <f>IF(V843="Uncomprehended Twilight","Failed",IF(OR(ISBLANK(W843),ISBLANK(Y843))," ",IF(NOT(ISBLANK(X843)),"Failed",IF((W843+Character!$B$9+SUMIF(Character!$I$62:$I$66,"Enigmatic Wisdom",Character!$J$62:$J$66))&gt;=IF(Z843="Yes",0,(Y843+D838)),"Succeeded","Failed"))))</f>
        <v xml:space="preserve"> </v>
      </c>
      <c r="AB843" s="477" t="str">
        <f>IF(AA843=" "," ",IF(NOT(ISBLANK(X843)),VLOOKUP($D$3+X843,Calcs!$A$110:$C$122,3,TRUE),IF(AA843="Failed",VLOOKUP($D$3,Calcs!$A$110:$C$122,3,TRUE),VLOOKUP($D$3-(IF((Character!$B$9+W843)&gt;($D$3+Y843),(Character!$B$9+W843)-($D$3+Y843),0)),Calcs!$A$110:$C$122,3,TRUE))))</f>
        <v xml:space="preserve"> </v>
      </c>
      <c r="AC843" s="489"/>
      <c r="AD843" s="489" t="str">
        <f>IF(IF(AA843=" "," ",IF(NOT(ISBLANK(X843)),VLOOKUP($D$3+X843,Calcs!$A$110:$B$122,2,TRUE),IF(AA843="Failed",VLOOKUP($D$3,Calcs!$A$110:$B$122,2,TRUE),VLOOKUP($D$3-(IF((Character!$B$9+W843)&gt;($D$3+Y843),(Character!$B$9+W843)-($D$3+Y843),0)),Calcs!$A$110:$B$122,2,TRUE))))=Calcs!$B$120,IF(ISBLANK(AC843)," ",CONCATENATE(AC843+7," Years")),IF(AA843=" "," ",IF(NOT(ISBLANK(X843)),VLOOKUP($D$3+X843,Calcs!$A$110:$B$122,2,TRUE),IF(AA843="Failed",VLOOKUP($D$3,Calcs!$A$110:$B$122,2,TRUE),VLOOKUP($D$3-(IF((Character!$B$9+W843)&gt;($D$3+Y843),(Character!$B$9+W843)-($D$3+Y843),0)),Calcs!$A$110:$B$122,2,TRUE)))))</f>
        <v xml:space="preserve"> </v>
      </c>
      <c r="AE843" s="490"/>
      <c r="AF843" s="879"/>
      <c r="AG843" s="491"/>
    </row>
    <row r="844" spans="1:33" x14ac:dyDescent="0.2">
      <c r="A844" s="415">
        <f t="shared" si="24"/>
        <v>1421</v>
      </c>
      <c r="B844" s="419" t="str">
        <f t="shared" si="25"/>
        <v>Winter</v>
      </c>
      <c r="C844" s="455"/>
      <c r="D844" s="504"/>
      <c r="E844" s="455"/>
      <c r="F844" s="504"/>
      <c r="G844" s="455"/>
      <c r="H844" s="504"/>
      <c r="I844" s="455"/>
      <c r="J844" s="504"/>
      <c r="L844" s="472"/>
      <c r="M844" s="468"/>
      <c r="N844" s="468"/>
      <c r="O844" s="468"/>
      <c r="P844" s="468"/>
      <c r="Q844" s="473"/>
      <c r="R844" s="477" t="str">
        <f>IF(AND(COUNTIF('Start Character'!$I$63:$M$77,"Twilight Prone")=1,NOT(ISERROR(FIND("Magical Botch",M844)))),"Yes",IF(P844&gt;1,"Yes","No"))</f>
        <v>No</v>
      </c>
      <c r="S844" s="501"/>
      <c r="T844" s="478"/>
      <c r="U844" s="501"/>
      <c r="V844" s="479" t="str">
        <f>IF(R844="No","No Twilight",IF(T844="Yes","Uncomprehended Twilight",IF((Character!$B$14+IF(Character!$B$53="Yes",0,Character!$B$53)+IF(Magic!$C$5="Yes",2,0)+ROUNDUP((Magic!$B$30+IF(Magic!$C$30="Yes",3,0))/5,0)+S844)&gt;=($D$3+P844+SUMIF(Character!$I$62:$I$66,"Enigmatic Wisdom",Character!$J$62:$J$66)+Q844+U844),"No Twilight","Twilight")))</f>
        <v>No Twilight</v>
      </c>
      <c r="W844" s="483"/>
      <c r="X844" s="478"/>
      <c r="Y844" s="484"/>
      <c r="Z844" s="478"/>
      <c r="AA844" s="485" t="str">
        <f>IF(V844="Uncomprehended Twilight","Failed",IF(OR(ISBLANK(W844),ISBLANK(Y844))," ",IF(NOT(ISBLANK(X844)),"Failed",IF((W844+Character!$B$9+SUMIF(Character!$I$62:$I$66,"Enigmatic Wisdom",Character!$J$62:$J$66))&gt;=IF(Z844="Yes",0,(Y844+D839)),"Succeeded","Failed"))))</f>
        <v xml:space="preserve"> </v>
      </c>
      <c r="AB844" s="477" t="str">
        <f>IF(AA844=" "," ",IF(NOT(ISBLANK(X844)),VLOOKUP($D$3+X844,Calcs!$A$110:$C$122,3,TRUE),IF(AA844="Failed",VLOOKUP($D$3,Calcs!$A$110:$C$122,3,TRUE),VLOOKUP($D$3-(IF((Character!$B$9+W844)&gt;($D$3+Y844),(Character!$B$9+W844)-($D$3+Y844),0)),Calcs!$A$110:$C$122,3,TRUE))))</f>
        <v xml:space="preserve"> </v>
      </c>
      <c r="AC844" s="489"/>
      <c r="AD844" s="489" t="str">
        <f>IF(IF(AA844=" "," ",IF(NOT(ISBLANK(X844)),VLOOKUP($D$3+X844,Calcs!$A$110:$B$122,2,TRUE),IF(AA844="Failed",VLOOKUP($D$3,Calcs!$A$110:$B$122,2,TRUE),VLOOKUP($D$3-(IF((Character!$B$9+W844)&gt;($D$3+Y844),(Character!$B$9+W844)-($D$3+Y844),0)),Calcs!$A$110:$B$122,2,TRUE))))=Calcs!$B$120,IF(ISBLANK(AC844)," ",CONCATENATE(AC844+7," Years")),IF(AA844=" "," ",IF(NOT(ISBLANK(X844)),VLOOKUP($D$3+X844,Calcs!$A$110:$B$122,2,TRUE),IF(AA844="Failed",VLOOKUP($D$3,Calcs!$A$110:$B$122,2,TRUE),VLOOKUP($D$3-(IF((Character!$B$9+W844)&gt;($D$3+Y844),(Character!$B$9+W844)-($D$3+Y844),0)),Calcs!$A$110:$B$122,2,TRUE)))))</f>
        <v xml:space="preserve"> </v>
      </c>
      <c r="AE844" s="490"/>
      <c r="AF844" s="879"/>
      <c r="AG844" s="491"/>
    </row>
    <row r="845" spans="1:33" x14ac:dyDescent="0.2">
      <c r="A845" s="415">
        <f t="shared" si="24"/>
        <v>1421</v>
      </c>
      <c r="B845" s="419" t="str">
        <f t="shared" si="25"/>
        <v>Spring</v>
      </c>
      <c r="C845" s="455"/>
      <c r="D845" s="504"/>
      <c r="E845" s="455"/>
      <c r="F845" s="504"/>
      <c r="G845" s="455"/>
      <c r="H845" s="504"/>
      <c r="I845" s="455"/>
      <c r="J845" s="504"/>
      <c r="L845" s="472"/>
      <c r="M845" s="468"/>
      <c r="N845" s="468"/>
      <c r="O845" s="468"/>
      <c r="P845" s="468"/>
      <c r="Q845" s="473"/>
      <c r="R845" s="477" t="str">
        <f>IF(AND(COUNTIF('Start Character'!$I$63:$M$77,"Twilight Prone")=1,NOT(ISERROR(FIND("Magical Botch",M845)))),"Yes",IF(P845&gt;1,"Yes","No"))</f>
        <v>No</v>
      </c>
      <c r="S845" s="501"/>
      <c r="T845" s="478"/>
      <c r="U845" s="501"/>
      <c r="V845" s="479" t="str">
        <f>IF(R845="No","No Twilight",IF(T845="Yes","Uncomprehended Twilight",IF((Character!$B$14+IF(Character!$B$53="Yes",0,Character!$B$53)+IF(Magic!$C$5="Yes",2,0)+ROUNDUP((Magic!$B$30+IF(Magic!$C$30="Yes",3,0))/5,0)+S845)&gt;=($D$3+P845+SUMIF(Character!$I$62:$I$66,"Enigmatic Wisdom",Character!$J$62:$J$66)+Q845+U845),"No Twilight","Twilight")))</f>
        <v>No Twilight</v>
      </c>
      <c r="W845" s="483"/>
      <c r="X845" s="478"/>
      <c r="Y845" s="484"/>
      <c r="Z845" s="478"/>
      <c r="AA845" s="485" t="str">
        <f>IF(V845="Uncomprehended Twilight","Failed",IF(OR(ISBLANK(W845),ISBLANK(Y845))," ",IF(NOT(ISBLANK(X845)),"Failed",IF((W845+Character!$B$9+SUMIF(Character!$I$62:$I$66,"Enigmatic Wisdom",Character!$J$62:$J$66))&gt;=IF(Z845="Yes",0,(Y845+D840)),"Succeeded","Failed"))))</f>
        <v xml:space="preserve"> </v>
      </c>
      <c r="AB845" s="477" t="str">
        <f>IF(AA845=" "," ",IF(NOT(ISBLANK(X845)),VLOOKUP($D$3+X845,Calcs!$A$110:$C$122,3,TRUE),IF(AA845="Failed",VLOOKUP($D$3,Calcs!$A$110:$C$122,3,TRUE),VLOOKUP($D$3-(IF((Character!$B$9+W845)&gt;($D$3+Y845),(Character!$B$9+W845)-($D$3+Y845),0)),Calcs!$A$110:$C$122,3,TRUE))))</f>
        <v xml:space="preserve"> </v>
      </c>
      <c r="AC845" s="489"/>
      <c r="AD845" s="489" t="str">
        <f>IF(IF(AA845=" "," ",IF(NOT(ISBLANK(X845)),VLOOKUP($D$3+X845,Calcs!$A$110:$B$122,2,TRUE),IF(AA845="Failed",VLOOKUP($D$3,Calcs!$A$110:$B$122,2,TRUE),VLOOKUP($D$3-(IF((Character!$B$9+W845)&gt;($D$3+Y845),(Character!$B$9+W845)-($D$3+Y845),0)),Calcs!$A$110:$B$122,2,TRUE))))=Calcs!$B$120,IF(ISBLANK(AC845)," ",CONCATENATE(AC845+7," Years")),IF(AA845=" "," ",IF(NOT(ISBLANK(X845)),VLOOKUP($D$3+X845,Calcs!$A$110:$B$122,2,TRUE),IF(AA845="Failed",VLOOKUP($D$3,Calcs!$A$110:$B$122,2,TRUE),VLOOKUP($D$3-(IF((Character!$B$9+W845)&gt;($D$3+Y845),(Character!$B$9+W845)-($D$3+Y845),0)),Calcs!$A$110:$B$122,2,TRUE)))))</f>
        <v xml:space="preserve"> </v>
      </c>
      <c r="AE845" s="490"/>
      <c r="AF845" s="879"/>
      <c r="AG845" s="491"/>
    </row>
    <row r="846" spans="1:33" x14ac:dyDescent="0.2">
      <c r="A846" s="415">
        <f t="shared" si="24"/>
        <v>1421</v>
      </c>
      <c r="B846" s="419" t="str">
        <f t="shared" si="25"/>
        <v>Summer</v>
      </c>
      <c r="C846" s="455"/>
      <c r="D846" s="504"/>
      <c r="E846" s="455"/>
      <c r="F846" s="504"/>
      <c r="G846" s="455"/>
      <c r="H846" s="504"/>
      <c r="I846" s="455"/>
      <c r="J846" s="504"/>
      <c r="L846" s="472"/>
      <c r="M846" s="468"/>
      <c r="N846" s="468"/>
      <c r="O846" s="468"/>
      <c r="P846" s="468"/>
      <c r="Q846" s="473"/>
      <c r="R846" s="477" t="str">
        <f>IF(AND(COUNTIF('Start Character'!$I$63:$M$77,"Twilight Prone")=1,NOT(ISERROR(FIND("Magical Botch",M846)))),"Yes",IF(P846&gt;1,"Yes","No"))</f>
        <v>No</v>
      </c>
      <c r="S846" s="501"/>
      <c r="T846" s="478"/>
      <c r="U846" s="501"/>
      <c r="V846" s="479" t="str">
        <f>IF(R846="No","No Twilight",IF(T846="Yes","Uncomprehended Twilight",IF((Character!$B$14+IF(Character!$B$53="Yes",0,Character!$B$53)+IF(Magic!$C$5="Yes",2,0)+ROUNDUP((Magic!$B$30+IF(Magic!$C$30="Yes",3,0))/5,0)+S846)&gt;=($D$3+P846+SUMIF(Character!$I$62:$I$66,"Enigmatic Wisdom",Character!$J$62:$J$66)+Q846+U846),"No Twilight","Twilight")))</f>
        <v>No Twilight</v>
      </c>
      <c r="W846" s="483"/>
      <c r="X846" s="478"/>
      <c r="Y846" s="484"/>
      <c r="Z846" s="478"/>
      <c r="AA846" s="485" t="str">
        <f>IF(V846="Uncomprehended Twilight","Failed",IF(OR(ISBLANK(W846),ISBLANK(Y846))," ",IF(NOT(ISBLANK(X846)),"Failed",IF((W846+Character!$B$9+SUMIF(Character!$I$62:$I$66,"Enigmatic Wisdom",Character!$J$62:$J$66))&gt;=IF(Z846="Yes",0,(Y846+D841)),"Succeeded","Failed"))))</f>
        <v xml:space="preserve"> </v>
      </c>
      <c r="AB846" s="477" t="str">
        <f>IF(AA846=" "," ",IF(NOT(ISBLANK(X846)),VLOOKUP($D$3+X846,Calcs!$A$110:$C$122,3,TRUE),IF(AA846="Failed",VLOOKUP($D$3,Calcs!$A$110:$C$122,3,TRUE),VLOOKUP($D$3-(IF((Character!$B$9+W846)&gt;($D$3+Y846),(Character!$B$9+W846)-($D$3+Y846),0)),Calcs!$A$110:$C$122,3,TRUE))))</f>
        <v xml:space="preserve"> </v>
      </c>
      <c r="AC846" s="489"/>
      <c r="AD846" s="489" t="str">
        <f>IF(IF(AA846=" "," ",IF(NOT(ISBLANK(X846)),VLOOKUP($D$3+X846,Calcs!$A$110:$B$122,2,TRUE),IF(AA846="Failed",VLOOKUP($D$3,Calcs!$A$110:$B$122,2,TRUE),VLOOKUP($D$3-(IF((Character!$B$9+W846)&gt;($D$3+Y846),(Character!$B$9+W846)-($D$3+Y846),0)),Calcs!$A$110:$B$122,2,TRUE))))=Calcs!$B$120,IF(ISBLANK(AC846)," ",CONCATENATE(AC846+7," Years")),IF(AA846=" "," ",IF(NOT(ISBLANK(X846)),VLOOKUP($D$3+X846,Calcs!$A$110:$B$122,2,TRUE),IF(AA846="Failed",VLOOKUP($D$3,Calcs!$A$110:$B$122,2,TRUE),VLOOKUP($D$3-(IF((Character!$B$9+W846)&gt;($D$3+Y846),(Character!$B$9+W846)-($D$3+Y846),0)),Calcs!$A$110:$B$122,2,TRUE)))))</f>
        <v xml:space="preserve"> </v>
      </c>
      <c r="AE846" s="490"/>
      <c r="AF846" s="879"/>
      <c r="AG846" s="491"/>
    </row>
    <row r="847" spans="1:33" x14ac:dyDescent="0.2">
      <c r="A847" s="415">
        <f t="shared" si="24"/>
        <v>1421</v>
      </c>
      <c r="B847" s="419" t="str">
        <f t="shared" si="25"/>
        <v>Autumn</v>
      </c>
      <c r="C847" s="455"/>
      <c r="D847" s="504"/>
      <c r="E847" s="455"/>
      <c r="F847" s="504"/>
      <c r="G847" s="455"/>
      <c r="H847" s="504"/>
      <c r="I847" s="455"/>
      <c r="J847" s="504"/>
      <c r="L847" s="472"/>
      <c r="M847" s="468"/>
      <c r="N847" s="468"/>
      <c r="O847" s="468"/>
      <c r="P847" s="468"/>
      <c r="Q847" s="473"/>
      <c r="R847" s="477" t="str">
        <f>IF(AND(COUNTIF('Start Character'!$I$63:$M$77,"Twilight Prone")=1,NOT(ISERROR(FIND("Magical Botch",M847)))),"Yes",IF(P847&gt;1,"Yes","No"))</f>
        <v>No</v>
      </c>
      <c r="S847" s="501"/>
      <c r="T847" s="478"/>
      <c r="U847" s="501"/>
      <c r="V847" s="479" t="str">
        <f>IF(R847="No","No Twilight",IF(T847="Yes","Uncomprehended Twilight",IF((Character!$B$14+IF(Character!$B$53="Yes",0,Character!$B$53)+IF(Magic!$C$5="Yes",2,0)+ROUNDUP((Magic!$B$30+IF(Magic!$C$30="Yes",3,0))/5,0)+S847)&gt;=($D$3+P847+SUMIF(Character!$I$62:$I$66,"Enigmatic Wisdom",Character!$J$62:$J$66)+Q847+U847),"No Twilight","Twilight")))</f>
        <v>No Twilight</v>
      </c>
      <c r="W847" s="483"/>
      <c r="X847" s="478"/>
      <c r="Y847" s="484"/>
      <c r="Z847" s="478"/>
      <c r="AA847" s="485" t="str">
        <f>IF(V847="Uncomprehended Twilight","Failed",IF(OR(ISBLANK(W847),ISBLANK(Y847))," ",IF(NOT(ISBLANK(X847)),"Failed",IF((W847+Character!$B$9+SUMIF(Character!$I$62:$I$66,"Enigmatic Wisdom",Character!$J$62:$J$66))&gt;=IF(Z847="Yes",0,(Y847+D842)),"Succeeded","Failed"))))</f>
        <v xml:space="preserve"> </v>
      </c>
      <c r="AB847" s="477" t="str">
        <f>IF(AA847=" "," ",IF(NOT(ISBLANK(X847)),VLOOKUP($D$3+X847,Calcs!$A$110:$C$122,3,TRUE),IF(AA847="Failed",VLOOKUP($D$3,Calcs!$A$110:$C$122,3,TRUE),VLOOKUP($D$3-(IF((Character!$B$9+W847)&gt;($D$3+Y847),(Character!$B$9+W847)-($D$3+Y847),0)),Calcs!$A$110:$C$122,3,TRUE))))</f>
        <v xml:space="preserve"> </v>
      </c>
      <c r="AC847" s="489"/>
      <c r="AD847" s="489" t="str">
        <f>IF(IF(AA847=" "," ",IF(NOT(ISBLANK(X847)),VLOOKUP($D$3+X847,Calcs!$A$110:$B$122,2,TRUE),IF(AA847="Failed",VLOOKUP($D$3,Calcs!$A$110:$B$122,2,TRUE),VLOOKUP($D$3-(IF((Character!$B$9+W847)&gt;($D$3+Y847),(Character!$B$9+W847)-($D$3+Y847),0)),Calcs!$A$110:$B$122,2,TRUE))))=Calcs!$B$120,IF(ISBLANK(AC847)," ",CONCATENATE(AC847+7," Years")),IF(AA847=" "," ",IF(NOT(ISBLANK(X847)),VLOOKUP($D$3+X847,Calcs!$A$110:$B$122,2,TRUE),IF(AA847="Failed",VLOOKUP($D$3,Calcs!$A$110:$B$122,2,TRUE),VLOOKUP($D$3-(IF((Character!$B$9+W847)&gt;($D$3+Y847),(Character!$B$9+W847)-($D$3+Y847),0)),Calcs!$A$110:$B$122,2,TRUE)))))</f>
        <v xml:space="preserve"> </v>
      </c>
      <c r="AE847" s="490"/>
      <c r="AF847" s="879"/>
      <c r="AG847" s="491"/>
    </row>
    <row r="848" spans="1:33" x14ac:dyDescent="0.2">
      <c r="A848" s="415">
        <f t="shared" si="24"/>
        <v>1422</v>
      </c>
      <c r="B848" s="419" t="str">
        <f t="shared" si="25"/>
        <v>Winter</v>
      </c>
      <c r="C848" s="455"/>
      <c r="D848" s="504"/>
      <c r="E848" s="455"/>
      <c r="F848" s="504"/>
      <c r="G848" s="455"/>
      <c r="H848" s="504"/>
      <c r="I848" s="455"/>
      <c r="J848" s="504"/>
      <c r="L848" s="472"/>
      <c r="M848" s="468"/>
      <c r="N848" s="468"/>
      <c r="O848" s="468"/>
      <c r="P848" s="468"/>
      <c r="Q848" s="473"/>
      <c r="R848" s="477" t="str">
        <f>IF(AND(COUNTIF('Start Character'!$I$63:$M$77,"Twilight Prone")=1,NOT(ISERROR(FIND("Magical Botch",M848)))),"Yes",IF(P848&gt;1,"Yes","No"))</f>
        <v>No</v>
      </c>
      <c r="S848" s="501"/>
      <c r="T848" s="478"/>
      <c r="U848" s="501"/>
      <c r="V848" s="479" t="str">
        <f>IF(R848="No","No Twilight",IF(T848="Yes","Uncomprehended Twilight",IF((Character!$B$14+IF(Character!$B$53="Yes",0,Character!$B$53)+IF(Magic!$C$5="Yes",2,0)+ROUNDUP((Magic!$B$30+IF(Magic!$C$30="Yes",3,0))/5,0)+S848)&gt;=($D$3+P848+SUMIF(Character!$I$62:$I$66,"Enigmatic Wisdom",Character!$J$62:$J$66)+Q848+U848),"No Twilight","Twilight")))</f>
        <v>No Twilight</v>
      </c>
      <c r="W848" s="483"/>
      <c r="X848" s="478"/>
      <c r="Y848" s="484"/>
      <c r="Z848" s="478"/>
      <c r="AA848" s="485" t="str">
        <f>IF(V848="Uncomprehended Twilight","Failed",IF(OR(ISBLANK(W848),ISBLANK(Y848))," ",IF(NOT(ISBLANK(X848)),"Failed",IF((W848+Character!$B$9+SUMIF(Character!$I$62:$I$66,"Enigmatic Wisdom",Character!$J$62:$J$66))&gt;=IF(Z848="Yes",0,(Y848+D843)),"Succeeded","Failed"))))</f>
        <v xml:space="preserve"> </v>
      </c>
      <c r="AB848" s="477" t="str">
        <f>IF(AA848=" "," ",IF(NOT(ISBLANK(X848)),VLOOKUP($D$3+X848,Calcs!$A$110:$C$122,3,TRUE),IF(AA848="Failed",VLOOKUP($D$3,Calcs!$A$110:$C$122,3,TRUE),VLOOKUP($D$3-(IF((Character!$B$9+W848)&gt;($D$3+Y848),(Character!$B$9+W848)-($D$3+Y848),0)),Calcs!$A$110:$C$122,3,TRUE))))</f>
        <v xml:space="preserve"> </v>
      </c>
      <c r="AC848" s="489"/>
      <c r="AD848" s="489" t="str">
        <f>IF(IF(AA848=" "," ",IF(NOT(ISBLANK(X848)),VLOOKUP($D$3+X848,Calcs!$A$110:$B$122,2,TRUE),IF(AA848="Failed",VLOOKUP($D$3,Calcs!$A$110:$B$122,2,TRUE),VLOOKUP($D$3-(IF((Character!$B$9+W848)&gt;($D$3+Y848),(Character!$B$9+W848)-($D$3+Y848),0)),Calcs!$A$110:$B$122,2,TRUE))))=Calcs!$B$120,IF(ISBLANK(AC848)," ",CONCATENATE(AC848+7," Years")),IF(AA848=" "," ",IF(NOT(ISBLANK(X848)),VLOOKUP($D$3+X848,Calcs!$A$110:$B$122,2,TRUE),IF(AA848="Failed",VLOOKUP($D$3,Calcs!$A$110:$B$122,2,TRUE),VLOOKUP($D$3-(IF((Character!$B$9+W848)&gt;($D$3+Y848),(Character!$B$9+W848)-($D$3+Y848),0)),Calcs!$A$110:$B$122,2,TRUE)))))</f>
        <v xml:space="preserve"> </v>
      </c>
      <c r="AE848" s="490"/>
      <c r="AF848" s="879"/>
      <c r="AG848" s="491"/>
    </row>
    <row r="849" spans="1:33" x14ac:dyDescent="0.2">
      <c r="A849" s="415">
        <f t="shared" si="24"/>
        <v>1422</v>
      </c>
      <c r="B849" s="419" t="str">
        <f t="shared" si="25"/>
        <v>Spring</v>
      </c>
      <c r="C849" s="455"/>
      <c r="D849" s="504"/>
      <c r="E849" s="455"/>
      <c r="F849" s="504"/>
      <c r="G849" s="455"/>
      <c r="H849" s="504"/>
      <c r="I849" s="455"/>
      <c r="J849" s="504"/>
      <c r="L849" s="472"/>
      <c r="M849" s="468"/>
      <c r="N849" s="468"/>
      <c r="O849" s="468"/>
      <c r="P849" s="468"/>
      <c r="Q849" s="473"/>
      <c r="R849" s="477" t="str">
        <f>IF(AND(COUNTIF('Start Character'!$I$63:$M$77,"Twilight Prone")=1,NOT(ISERROR(FIND("Magical Botch",M849)))),"Yes",IF(P849&gt;1,"Yes","No"))</f>
        <v>No</v>
      </c>
      <c r="S849" s="501"/>
      <c r="T849" s="478"/>
      <c r="U849" s="501"/>
      <c r="V849" s="479" t="str">
        <f>IF(R849="No","No Twilight",IF(T849="Yes","Uncomprehended Twilight",IF((Character!$B$14+IF(Character!$B$53="Yes",0,Character!$B$53)+IF(Magic!$C$5="Yes",2,0)+ROUNDUP((Magic!$B$30+IF(Magic!$C$30="Yes",3,0))/5,0)+S849)&gt;=($D$3+P849+SUMIF(Character!$I$62:$I$66,"Enigmatic Wisdom",Character!$J$62:$J$66)+Q849+U849),"No Twilight","Twilight")))</f>
        <v>No Twilight</v>
      </c>
      <c r="W849" s="483"/>
      <c r="X849" s="478"/>
      <c r="Y849" s="484"/>
      <c r="Z849" s="478"/>
      <c r="AA849" s="485" t="str">
        <f>IF(V849="Uncomprehended Twilight","Failed",IF(OR(ISBLANK(W849),ISBLANK(Y849))," ",IF(NOT(ISBLANK(X849)),"Failed",IF((W849+Character!$B$9+SUMIF(Character!$I$62:$I$66,"Enigmatic Wisdom",Character!$J$62:$J$66))&gt;=IF(Z849="Yes",0,(Y849+D844)),"Succeeded","Failed"))))</f>
        <v xml:space="preserve"> </v>
      </c>
      <c r="AB849" s="477" t="str">
        <f>IF(AA849=" "," ",IF(NOT(ISBLANK(X849)),VLOOKUP($D$3+X849,Calcs!$A$110:$C$122,3,TRUE),IF(AA849="Failed",VLOOKUP($D$3,Calcs!$A$110:$C$122,3,TRUE),VLOOKUP($D$3-(IF((Character!$B$9+W849)&gt;($D$3+Y849),(Character!$B$9+W849)-($D$3+Y849),0)),Calcs!$A$110:$C$122,3,TRUE))))</f>
        <v xml:space="preserve"> </v>
      </c>
      <c r="AC849" s="489"/>
      <c r="AD849" s="489" t="str">
        <f>IF(IF(AA849=" "," ",IF(NOT(ISBLANK(X849)),VLOOKUP($D$3+X849,Calcs!$A$110:$B$122,2,TRUE),IF(AA849="Failed",VLOOKUP($D$3,Calcs!$A$110:$B$122,2,TRUE),VLOOKUP($D$3-(IF((Character!$B$9+W849)&gt;($D$3+Y849),(Character!$B$9+W849)-($D$3+Y849),0)),Calcs!$A$110:$B$122,2,TRUE))))=Calcs!$B$120,IF(ISBLANK(AC849)," ",CONCATENATE(AC849+7," Years")),IF(AA849=" "," ",IF(NOT(ISBLANK(X849)),VLOOKUP($D$3+X849,Calcs!$A$110:$B$122,2,TRUE),IF(AA849="Failed",VLOOKUP($D$3,Calcs!$A$110:$B$122,2,TRUE),VLOOKUP($D$3-(IF((Character!$B$9+W849)&gt;($D$3+Y849),(Character!$B$9+W849)-($D$3+Y849),0)),Calcs!$A$110:$B$122,2,TRUE)))))</f>
        <v xml:space="preserve"> </v>
      </c>
      <c r="AE849" s="490"/>
      <c r="AF849" s="879"/>
      <c r="AG849" s="491"/>
    </row>
    <row r="850" spans="1:33" x14ac:dyDescent="0.2">
      <c r="A850" s="415">
        <f t="shared" si="24"/>
        <v>1422</v>
      </c>
      <c r="B850" s="419" t="str">
        <f t="shared" si="25"/>
        <v>Summer</v>
      </c>
      <c r="C850" s="455"/>
      <c r="D850" s="504"/>
      <c r="E850" s="455"/>
      <c r="F850" s="504"/>
      <c r="G850" s="455"/>
      <c r="H850" s="504"/>
      <c r="I850" s="455"/>
      <c r="J850" s="504"/>
      <c r="L850" s="472"/>
      <c r="M850" s="468"/>
      <c r="N850" s="468"/>
      <c r="O850" s="468"/>
      <c r="P850" s="468"/>
      <c r="Q850" s="473"/>
      <c r="R850" s="477" t="str">
        <f>IF(AND(COUNTIF('Start Character'!$I$63:$M$77,"Twilight Prone")=1,NOT(ISERROR(FIND("Magical Botch",M850)))),"Yes",IF(P850&gt;1,"Yes","No"))</f>
        <v>No</v>
      </c>
      <c r="S850" s="501"/>
      <c r="T850" s="478"/>
      <c r="U850" s="501"/>
      <c r="V850" s="479" t="str">
        <f>IF(R850="No","No Twilight",IF(T850="Yes","Uncomprehended Twilight",IF((Character!$B$14+IF(Character!$B$53="Yes",0,Character!$B$53)+IF(Magic!$C$5="Yes",2,0)+ROUNDUP((Magic!$B$30+IF(Magic!$C$30="Yes",3,0))/5,0)+S850)&gt;=($D$3+P850+SUMIF(Character!$I$62:$I$66,"Enigmatic Wisdom",Character!$J$62:$J$66)+Q850+U850),"No Twilight","Twilight")))</f>
        <v>No Twilight</v>
      </c>
      <c r="W850" s="483"/>
      <c r="X850" s="478"/>
      <c r="Y850" s="484"/>
      <c r="Z850" s="478"/>
      <c r="AA850" s="485" t="str">
        <f>IF(V850="Uncomprehended Twilight","Failed",IF(OR(ISBLANK(W850),ISBLANK(Y850))," ",IF(NOT(ISBLANK(X850)),"Failed",IF((W850+Character!$B$9+SUMIF(Character!$I$62:$I$66,"Enigmatic Wisdom",Character!$J$62:$J$66))&gt;=IF(Z850="Yes",0,(Y850+D845)),"Succeeded","Failed"))))</f>
        <v xml:space="preserve"> </v>
      </c>
      <c r="AB850" s="477" t="str">
        <f>IF(AA850=" "," ",IF(NOT(ISBLANK(X850)),VLOOKUP($D$3+X850,Calcs!$A$110:$C$122,3,TRUE),IF(AA850="Failed",VLOOKUP($D$3,Calcs!$A$110:$C$122,3,TRUE),VLOOKUP($D$3-(IF((Character!$B$9+W850)&gt;($D$3+Y850),(Character!$B$9+W850)-($D$3+Y850),0)),Calcs!$A$110:$C$122,3,TRUE))))</f>
        <v xml:space="preserve"> </v>
      </c>
      <c r="AC850" s="489"/>
      <c r="AD850" s="489" t="str">
        <f>IF(IF(AA850=" "," ",IF(NOT(ISBLANK(X850)),VLOOKUP($D$3+X850,Calcs!$A$110:$B$122,2,TRUE),IF(AA850="Failed",VLOOKUP($D$3,Calcs!$A$110:$B$122,2,TRUE),VLOOKUP($D$3-(IF((Character!$B$9+W850)&gt;($D$3+Y850),(Character!$B$9+W850)-($D$3+Y850),0)),Calcs!$A$110:$B$122,2,TRUE))))=Calcs!$B$120,IF(ISBLANK(AC850)," ",CONCATENATE(AC850+7," Years")),IF(AA850=" "," ",IF(NOT(ISBLANK(X850)),VLOOKUP($D$3+X850,Calcs!$A$110:$B$122,2,TRUE),IF(AA850="Failed",VLOOKUP($D$3,Calcs!$A$110:$B$122,2,TRUE),VLOOKUP($D$3-(IF((Character!$B$9+W850)&gt;($D$3+Y850),(Character!$B$9+W850)-($D$3+Y850),0)),Calcs!$A$110:$B$122,2,TRUE)))))</f>
        <v xml:space="preserve"> </v>
      </c>
      <c r="AE850" s="490"/>
      <c r="AF850" s="879"/>
      <c r="AG850" s="491"/>
    </row>
    <row r="851" spans="1:33" x14ac:dyDescent="0.2">
      <c r="A851" s="415">
        <f t="shared" si="24"/>
        <v>1422</v>
      </c>
      <c r="B851" s="419" t="str">
        <f t="shared" si="25"/>
        <v>Autumn</v>
      </c>
      <c r="C851" s="455"/>
      <c r="D851" s="504"/>
      <c r="E851" s="455"/>
      <c r="F851" s="504"/>
      <c r="G851" s="455"/>
      <c r="H851" s="504"/>
      <c r="I851" s="455"/>
      <c r="J851" s="504"/>
      <c r="L851" s="472"/>
      <c r="M851" s="468"/>
      <c r="N851" s="468"/>
      <c r="O851" s="468"/>
      <c r="P851" s="468"/>
      <c r="Q851" s="473"/>
      <c r="R851" s="477" t="str">
        <f>IF(AND(COUNTIF('Start Character'!$I$63:$M$77,"Twilight Prone")=1,NOT(ISERROR(FIND("Magical Botch",M851)))),"Yes",IF(P851&gt;1,"Yes","No"))</f>
        <v>No</v>
      </c>
      <c r="S851" s="501"/>
      <c r="T851" s="478"/>
      <c r="U851" s="501"/>
      <c r="V851" s="479" t="str">
        <f>IF(R851="No","No Twilight",IF(T851="Yes","Uncomprehended Twilight",IF((Character!$B$14+IF(Character!$B$53="Yes",0,Character!$B$53)+IF(Magic!$C$5="Yes",2,0)+ROUNDUP((Magic!$B$30+IF(Magic!$C$30="Yes",3,0))/5,0)+S851)&gt;=($D$3+P851+SUMIF(Character!$I$62:$I$66,"Enigmatic Wisdom",Character!$J$62:$J$66)+Q851+U851),"No Twilight","Twilight")))</f>
        <v>No Twilight</v>
      </c>
      <c r="W851" s="483"/>
      <c r="X851" s="478"/>
      <c r="Y851" s="484"/>
      <c r="Z851" s="478"/>
      <c r="AA851" s="485" t="str">
        <f>IF(V851="Uncomprehended Twilight","Failed",IF(OR(ISBLANK(W851),ISBLANK(Y851))," ",IF(NOT(ISBLANK(X851)),"Failed",IF((W851+Character!$B$9+SUMIF(Character!$I$62:$I$66,"Enigmatic Wisdom",Character!$J$62:$J$66))&gt;=IF(Z851="Yes",0,(Y851+D846)),"Succeeded","Failed"))))</f>
        <v xml:space="preserve"> </v>
      </c>
      <c r="AB851" s="477" t="str">
        <f>IF(AA851=" "," ",IF(NOT(ISBLANK(X851)),VLOOKUP($D$3+X851,Calcs!$A$110:$C$122,3,TRUE),IF(AA851="Failed",VLOOKUP($D$3,Calcs!$A$110:$C$122,3,TRUE),VLOOKUP($D$3-(IF((Character!$B$9+W851)&gt;($D$3+Y851),(Character!$B$9+W851)-($D$3+Y851),0)),Calcs!$A$110:$C$122,3,TRUE))))</f>
        <v xml:space="preserve"> </v>
      </c>
      <c r="AC851" s="489"/>
      <c r="AD851" s="489" t="str">
        <f>IF(IF(AA851=" "," ",IF(NOT(ISBLANK(X851)),VLOOKUP($D$3+X851,Calcs!$A$110:$B$122,2,TRUE),IF(AA851="Failed",VLOOKUP($D$3,Calcs!$A$110:$B$122,2,TRUE),VLOOKUP($D$3-(IF((Character!$B$9+W851)&gt;($D$3+Y851),(Character!$B$9+W851)-($D$3+Y851),0)),Calcs!$A$110:$B$122,2,TRUE))))=Calcs!$B$120,IF(ISBLANK(AC851)," ",CONCATENATE(AC851+7," Years")),IF(AA851=" "," ",IF(NOT(ISBLANK(X851)),VLOOKUP($D$3+X851,Calcs!$A$110:$B$122,2,TRUE),IF(AA851="Failed",VLOOKUP($D$3,Calcs!$A$110:$B$122,2,TRUE),VLOOKUP($D$3-(IF((Character!$B$9+W851)&gt;($D$3+Y851),(Character!$B$9+W851)-($D$3+Y851),0)),Calcs!$A$110:$B$122,2,TRUE)))))</f>
        <v xml:space="preserve"> </v>
      </c>
      <c r="AE851" s="490"/>
      <c r="AF851" s="879"/>
      <c r="AG851" s="491"/>
    </row>
    <row r="852" spans="1:33" x14ac:dyDescent="0.2">
      <c r="A852" s="415">
        <f t="shared" si="24"/>
        <v>1423</v>
      </c>
      <c r="B852" s="419" t="str">
        <f t="shared" si="25"/>
        <v>Winter</v>
      </c>
      <c r="C852" s="455"/>
      <c r="D852" s="504"/>
      <c r="E852" s="455"/>
      <c r="F852" s="504"/>
      <c r="G852" s="455"/>
      <c r="H852" s="504"/>
      <c r="I852" s="455"/>
      <c r="J852" s="504"/>
      <c r="L852" s="472"/>
      <c r="M852" s="468"/>
      <c r="N852" s="468"/>
      <c r="O852" s="468"/>
      <c r="P852" s="468"/>
      <c r="Q852" s="473"/>
      <c r="R852" s="477" t="str">
        <f>IF(AND(COUNTIF('Start Character'!$I$63:$M$77,"Twilight Prone")=1,NOT(ISERROR(FIND("Magical Botch",M852)))),"Yes",IF(P852&gt;1,"Yes","No"))</f>
        <v>No</v>
      </c>
      <c r="S852" s="501"/>
      <c r="T852" s="478"/>
      <c r="U852" s="501"/>
      <c r="V852" s="479" t="str">
        <f>IF(R852="No","No Twilight",IF(T852="Yes","Uncomprehended Twilight",IF((Character!$B$14+IF(Character!$B$53="Yes",0,Character!$B$53)+IF(Magic!$C$5="Yes",2,0)+ROUNDUP((Magic!$B$30+IF(Magic!$C$30="Yes",3,0))/5,0)+S852)&gt;=($D$3+P852+SUMIF(Character!$I$62:$I$66,"Enigmatic Wisdom",Character!$J$62:$J$66)+Q852+U852),"No Twilight","Twilight")))</f>
        <v>No Twilight</v>
      </c>
      <c r="W852" s="483"/>
      <c r="X852" s="478"/>
      <c r="Y852" s="484"/>
      <c r="Z852" s="478"/>
      <c r="AA852" s="485" t="str">
        <f>IF(V852="Uncomprehended Twilight","Failed",IF(OR(ISBLANK(W852),ISBLANK(Y852))," ",IF(NOT(ISBLANK(X852)),"Failed",IF((W852+Character!$B$9+SUMIF(Character!$I$62:$I$66,"Enigmatic Wisdom",Character!$J$62:$J$66))&gt;=IF(Z852="Yes",0,(Y852+D847)),"Succeeded","Failed"))))</f>
        <v xml:space="preserve"> </v>
      </c>
      <c r="AB852" s="477" t="str">
        <f>IF(AA852=" "," ",IF(NOT(ISBLANK(X852)),VLOOKUP($D$3+X852,Calcs!$A$110:$C$122,3,TRUE),IF(AA852="Failed",VLOOKUP($D$3,Calcs!$A$110:$C$122,3,TRUE),VLOOKUP($D$3-(IF((Character!$B$9+W852)&gt;($D$3+Y852),(Character!$B$9+W852)-($D$3+Y852),0)),Calcs!$A$110:$C$122,3,TRUE))))</f>
        <v xml:space="preserve"> </v>
      </c>
      <c r="AC852" s="489"/>
      <c r="AD852" s="489" t="str">
        <f>IF(IF(AA852=" "," ",IF(NOT(ISBLANK(X852)),VLOOKUP($D$3+X852,Calcs!$A$110:$B$122,2,TRUE),IF(AA852="Failed",VLOOKUP($D$3,Calcs!$A$110:$B$122,2,TRUE),VLOOKUP($D$3-(IF((Character!$B$9+W852)&gt;($D$3+Y852),(Character!$B$9+W852)-($D$3+Y852),0)),Calcs!$A$110:$B$122,2,TRUE))))=Calcs!$B$120,IF(ISBLANK(AC852)," ",CONCATENATE(AC852+7," Years")),IF(AA852=" "," ",IF(NOT(ISBLANK(X852)),VLOOKUP($D$3+X852,Calcs!$A$110:$B$122,2,TRUE),IF(AA852="Failed",VLOOKUP($D$3,Calcs!$A$110:$B$122,2,TRUE),VLOOKUP($D$3-(IF((Character!$B$9+W852)&gt;($D$3+Y852),(Character!$B$9+W852)-($D$3+Y852),0)),Calcs!$A$110:$B$122,2,TRUE)))))</f>
        <v xml:space="preserve"> </v>
      </c>
      <c r="AE852" s="490"/>
      <c r="AF852" s="879"/>
      <c r="AG852" s="491"/>
    </row>
    <row r="853" spans="1:33" x14ac:dyDescent="0.2">
      <c r="A853" s="415">
        <f t="shared" si="24"/>
        <v>1423</v>
      </c>
      <c r="B853" s="419" t="str">
        <f t="shared" si="25"/>
        <v>Spring</v>
      </c>
      <c r="C853" s="455"/>
      <c r="D853" s="504"/>
      <c r="E853" s="455"/>
      <c r="F853" s="504"/>
      <c r="G853" s="455"/>
      <c r="H853" s="504"/>
      <c r="I853" s="455"/>
      <c r="J853" s="504"/>
      <c r="L853" s="472"/>
      <c r="M853" s="468"/>
      <c r="N853" s="468"/>
      <c r="O853" s="468"/>
      <c r="P853" s="468"/>
      <c r="Q853" s="473"/>
      <c r="R853" s="477" t="str">
        <f>IF(AND(COUNTIF('Start Character'!$I$63:$M$77,"Twilight Prone")=1,NOT(ISERROR(FIND("Magical Botch",M853)))),"Yes",IF(P853&gt;1,"Yes","No"))</f>
        <v>No</v>
      </c>
      <c r="S853" s="501"/>
      <c r="T853" s="478"/>
      <c r="U853" s="501"/>
      <c r="V853" s="479" t="str">
        <f>IF(R853="No","No Twilight",IF(T853="Yes","Uncomprehended Twilight",IF((Character!$B$14+IF(Character!$B$53="Yes",0,Character!$B$53)+IF(Magic!$C$5="Yes",2,0)+ROUNDUP((Magic!$B$30+IF(Magic!$C$30="Yes",3,0))/5,0)+S853)&gt;=($D$3+P853+SUMIF(Character!$I$62:$I$66,"Enigmatic Wisdom",Character!$J$62:$J$66)+Q853+U853),"No Twilight","Twilight")))</f>
        <v>No Twilight</v>
      </c>
      <c r="W853" s="483"/>
      <c r="X853" s="478"/>
      <c r="Y853" s="484"/>
      <c r="Z853" s="478"/>
      <c r="AA853" s="485" t="str">
        <f>IF(V853="Uncomprehended Twilight","Failed",IF(OR(ISBLANK(W853),ISBLANK(Y853))," ",IF(NOT(ISBLANK(X853)),"Failed",IF((W853+Character!$B$9+SUMIF(Character!$I$62:$I$66,"Enigmatic Wisdom",Character!$J$62:$J$66))&gt;=IF(Z853="Yes",0,(Y853+D848)),"Succeeded","Failed"))))</f>
        <v xml:space="preserve"> </v>
      </c>
      <c r="AB853" s="477" t="str">
        <f>IF(AA853=" "," ",IF(NOT(ISBLANK(X853)),VLOOKUP($D$3+X853,Calcs!$A$110:$C$122,3,TRUE),IF(AA853="Failed",VLOOKUP($D$3,Calcs!$A$110:$C$122,3,TRUE),VLOOKUP($D$3-(IF((Character!$B$9+W853)&gt;($D$3+Y853),(Character!$B$9+W853)-($D$3+Y853),0)),Calcs!$A$110:$C$122,3,TRUE))))</f>
        <v xml:space="preserve"> </v>
      </c>
      <c r="AC853" s="489"/>
      <c r="AD853" s="489" t="str">
        <f>IF(IF(AA853=" "," ",IF(NOT(ISBLANK(X853)),VLOOKUP($D$3+X853,Calcs!$A$110:$B$122,2,TRUE),IF(AA853="Failed",VLOOKUP($D$3,Calcs!$A$110:$B$122,2,TRUE),VLOOKUP($D$3-(IF((Character!$B$9+W853)&gt;($D$3+Y853),(Character!$B$9+W853)-($D$3+Y853),0)),Calcs!$A$110:$B$122,2,TRUE))))=Calcs!$B$120,IF(ISBLANK(AC853)," ",CONCATENATE(AC853+7," Years")),IF(AA853=" "," ",IF(NOT(ISBLANK(X853)),VLOOKUP($D$3+X853,Calcs!$A$110:$B$122,2,TRUE),IF(AA853="Failed",VLOOKUP($D$3,Calcs!$A$110:$B$122,2,TRUE),VLOOKUP($D$3-(IF((Character!$B$9+W853)&gt;($D$3+Y853),(Character!$B$9+W853)-($D$3+Y853),0)),Calcs!$A$110:$B$122,2,TRUE)))))</f>
        <v xml:space="preserve"> </v>
      </c>
      <c r="AE853" s="490"/>
      <c r="AF853" s="879"/>
      <c r="AG853" s="491"/>
    </row>
    <row r="854" spans="1:33" x14ac:dyDescent="0.2">
      <c r="A854" s="415">
        <f t="shared" si="24"/>
        <v>1423</v>
      </c>
      <c r="B854" s="419" t="str">
        <f t="shared" si="25"/>
        <v>Summer</v>
      </c>
      <c r="C854" s="455"/>
      <c r="D854" s="504"/>
      <c r="E854" s="455"/>
      <c r="F854" s="504"/>
      <c r="G854" s="455"/>
      <c r="H854" s="504"/>
      <c r="I854" s="455"/>
      <c r="J854" s="504"/>
      <c r="L854" s="472"/>
      <c r="M854" s="468"/>
      <c r="N854" s="468"/>
      <c r="O854" s="468"/>
      <c r="P854" s="468"/>
      <c r="Q854" s="473"/>
      <c r="R854" s="477" t="str">
        <f>IF(AND(COUNTIF('Start Character'!$I$63:$M$77,"Twilight Prone")=1,NOT(ISERROR(FIND("Magical Botch",M854)))),"Yes",IF(P854&gt;1,"Yes","No"))</f>
        <v>No</v>
      </c>
      <c r="S854" s="501"/>
      <c r="T854" s="478"/>
      <c r="U854" s="501"/>
      <c r="V854" s="479" t="str">
        <f>IF(R854="No","No Twilight",IF(T854="Yes","Uncomprehended Twilight",IF((Character!$B$14+IF(Character!$B$53="Yes",0,Character!$B$53)+IF(Magic!$C$5="Yes",2,0)+ROUNDUP((Magic!$B$30+IF(Magic!$C$30="Yes",3,0))/5,0)+S854)&gt;=($D$3+P854+SUMIF(Character!$I$62:$I$66,"Enigmatic Wisdom",Character!$J$62:$J$66)+Q854+U854),"No Twilight","Twilight")))</f>
        <v>No Twilight</v>
      </c>
      <c r="W854" s="483"/>
      <c r="X854" s="478"/>
      <c r="Y854" s="484"/>
      <c r="Z854" s="478"/>
      <c r="AA854" s="485" t="str">
        <f>IF(V854="Uncomprehended Twilight","Failed",IF(OR(ISBLANK(W854),ISBLANK(Y854))," ",IF(NOT(ISBLANK(X854)),"Failed",IF((W854+Character!$B$9+SUMIF(Character!$I$62:$I$66,"Enigmatic Wisdom",Character!$J$62:$J$66))&gt;=IF(Z854="Yes",0,(Y854+D849)),"Succeeded","Failed"))))</f>
        <v xml:space="preserve"> </v>
      </c>
      <c r="AB854" s="477" t="str">
        <f>IF(AA854=" "," ",IF(NOT(ISBLANK(X854)),VLOOKUP($D$3+X854,Calcs!$A$110:$C$122,3,TRUE),IF(AA854="Failed",VLOOKUP($D$3,Calcs!$A$110:$C$122,3,TRUE),VLOOKUP($D$3-(IF((Character!$B$9+W854)&gt;($D$3+Y854),(Character!$B$9+W854)-($D$3+Y854),0)),Calcs!$A$110:$C$122,3,TRUE))))</f>
        <v xml:space="preserve"> </v>
      </c>
      <c r="AC854" s="489"/>
      <c r="AD854" s="489" t="str">
        <f>IF(IF(AA854=" "," ",IF(NOT(ISBLANK(X854)),VLOOKUP($D$3+X854,Calcs!$A$110:$B$122,2,TRUE),IF(AA854="Failed",VLOOKUP($D$3,Calcs!$A$110:$B$122,2,TRUE),VLOOKUP($D$3-(IF((Character!$B$9+W854)&gt;($D$3+Y854),(Character!$B$9+W854)-($D$3+Y854),0)),Calcs!$A$110:$B$122,2,TRUE))))=Calcs!$B$120,IF(ISBLANK(AC854)," ",CONCATENATE(AC854+7," Years")),IF(AA854=" "," ",IF(NOT(ISBLANK(X854)),VLOOKUP($D$3+X854,Calcs!$A$110:$B$122,2,TRUE),IF(AA854="Failed",VLOOKUP($D$3,Calcs!$A$110:$B$122,2,TRUE),VLOOKUP($D$3-(IF((Character!$B$9+W854)&gt;($D$3+Y854),(Character!$B$9+W854)-($D$3+Y854),0)),Calcs!$A$110:$B$122,2,TRUE)))))</f>
        <v xml:space="preserve"> </v>
      </c>
      <c r="AE854" s="490"/>
      <c r="AF854" s="879"/>
      <c r="AG854" s="491"/>
    </row>
    <row r="855" spans="1:33" x14ac:dyDescent="0.2">
      <c r="A855" s="415">
        <f t="shared" si="24"/>
        <v>1423</v>
      </c>
      <c r="B855" s="419" t="str">
        <f t="shared" si="25"/>
        <v>Autumn</v>
      </c>
      <c r="C855" s="455"/>
      <c r="D855" s="504"/>
      <c r="E855" s="455"/>
      <c r="F855" s="504"/>
      <c r="G855" s="455"/>
      <c r="H855" s="504"/>
      <c r="I855" s="455"/>
      <c r="J855" s="504"/>
      <c r="L855" s="472"/>
      <c r="M855" s="468"/>
      <c r="N855" s="468"/>
      <c r="O855" s="468"/>
      <c r="P855" s="468"/>
      <c r="Q855" s="473"/>
      <c r="R855" s="477" t="str">
        <f>IF(AND(COUNTIF('Start Character'!$I$63:$M$77,"Twilight Prone")=1,NOT(ISERROR(FIND("Magical Botch",M855)))),"Yes",IF(P855&gt;1,"Yes","No"))</f>
        <v>No</v>
      </c>
      <c r="S855" s="501"/>
      <c r="T855" s="478"/>
      <c r="U855" s="501"/>
      <c r="V855" s="479" t="str">
        <f>IF(R855="No","No Twilight",IF(T855="Yes","Uncomprehended Twilight",IF((Character!$B$14+IF(Character!$B$53="Yes",0,Character!$B$53)+IF(Magic!$C$5="Yes",2,0)+ROUNDUP((Magic!$B$30+IF(Magic!$C$30="Yes",3,0))/5,0)+S855)&gt;=($D$3+P855+SUMIF(Character!$I$62:$I$66,"Enigmatic Wisdom",Character!$J$62:$J$66)+Q855+U855),"No Twilight","Twilight")))</f>
        <v>No Twilight</v>
      </c>
      <c r="W855" s="483"/>
      <c r="X855" s="478"/>
      <c r="Y855" s="484"/>
      <c r="Z855" s="478"/>
      <c r="AA855" s="485" t="str">
        <f>IF(V855="Uncomprehended Twilight","Failed",IF(OR(ISBLANK(W855),ISBLANK(Y855))," ",IF(NOT(ISBLANK(X855)),"Failed",IF((W855+Character!$B$9+SUMIF(Character!$I$62:$I$66,"Enigmatic Wisdom",Character!$J$62:$J$66))&gt;=IF(Z855="Yes",0,(Y855+D850)),"Succeeded","Failed"))))</f>
        <v xml:space="preserve"> </v>
      </c>
      <c r="AB855" s="477" t="str">
        <f>IF(AA855=" "," ",IF(NOT(ISBLANK(X855)),VLOOKUP($D$3+X855,Calcs!$A$110:$C$122,3,TRUE),IF(AA855="Failed",VLOOKUP($D$3,Calcs!$A$110:$C$122,3,TRUE),VLOOKUP($D$3-(IF((Character!$B$9+W855)&gt;($D$3+Y855),(Character!$B$9+W855)-($D$3+Y855),0)),Calcs!$A$110:$C$122,3,TRUE))))</f>
        <v xml:space="preserve"> </v>
      </c>
      <c r="AC855" s="489"/>
      <c r="AD855" s="489" t="str">
        <f>IF(IF(AA855=" "," ",IF(NOT(ISBLANK(X855)),VLOOKUP($D$3+X855,Calcs!$A$110:$B$122,2,TRUE),IF(AA855="Failed",VLOOKUP($D$3,Calcs!$A$110:$B$122,2,TRUE),VLOOKUP($D$3-(IF((Character!$B$9+W855)&gt;($D$3+Y855),(Character!$B$9+W855)-($D$3+Y855),0)),Calcs!$A$110:$B$122,2,TRUE))))=Calcs!$B$120,IF(ISBLANK(AC855)," ",CONCATENATE(AC855+7," Years")),IF(AA855=" "," ",IF(NOT(ISBLANK(X855)),VLOOKUP($D$3+X855,Calcs!$A$110:$B$122,2,TRUE),IF(AA855="Failed",VLOOKUP($D$3,Calcs!$A$110:$B$122,2,TRUE),VLOOKUP($D$3-(IF((Character!$B$9+W855)&gt;($D$3+Y855),(Character!$B$9+W855)-($D$3+Y855),0)),Calcs!$A$110:$B$122,2,TRUE)))))</f>
        <v xml:space="preserve"> </v>
      </c>
      <c r="AE855" s="490"/>
      <c r="AF855" s="879"/>
      <c r="AG855" s="491"/>
    </row>
    <row r="856" spans="1:33" x14ac:dyDescent="0.2">
      <c r="A856" s="415">
        <f t="shared" si="24"/>
        <v>1424</v>
      </c>
      <c r="B856" s="419" t="str">
        <f t="shared" si="25"/>
        <v>Winter</v>
      </c>
      <c r="C856" s="455"/>
      <c r="D856" s="504"/>
      <c r="E856" s="455"/>
      <c r="F856" s="504"/>
      <c r="G856" s="455"/>
      <c r="H856" s="504"/>
      <c r="I856" s="455"/>
      <c r="J856" s="504"/>
      <c r="L856" s="472"/>
      <c r="M856" s="468"/>
      <c r="N856" s="468"/>
      <c r="O856" s="468"/>
      <c r="P856" s="468"/>
      <c r="Q856" s="473"/>
      <c r="R856" s="477" t="str">
        <f>IF(AND(COUNTIF('Start Character'!$I$63:$M$77,"Twilight Prone")=1,NOT(ISERROR(FIND("Magical Botch",M856)))),"Yes",IF(P856&gt;1,"Yes","No"))</f>
        <v>No</v>
      </c>
      <c r="S856" s="501"/>
      <c r="T856" s="478"/>
      <c r="U856" s="501"/>
      <c r="V856" s="479" t="str">
        <f>IF(R856="No","No Twilight",IF(T856="Yes","Uncomprehended Twilight",IF((Character!$B$14+IF(Character!$B$53="Yes",0,Character!$B$53)+IF(Magic!$C$5="Yes",2,0)+ROUNDUP((Magic!$B$30+IF(Magic!$C$30="Yes",3,0))/5,0)+S856)&gt;=($D$3+P856+SUMIF(Character!$I$62:$I$66,"Enigmatic Wisdom",Character!$J$62:$J$66)+Q856+U856),"No Twilight","Twilight")))</f>
        <v>No Twilight</v>
      </c>
      <c r="W856" s="483"/>
      <c r="X856" s="478"/>
      <c r="Y856" s="484"/>
      <c r="Z856" s="478"/>
      <c r="AA856" s="485" t="str">
        <f>IF(V856="Uncomprehended Twilight","Failed",IF(OR(ISBLANK(W856),ISBLANK(Y856))," ",IF(NOT(ISBLANK(X856)),"Failed",IF((W856+Character!$B$9+SUMIF(Character!$I$62:$I$66,"Enigmatic Wisdom",Character!$J$62:$J$66))&gt;=IF(Z856="Yes",0,(Y856+D851)),"Succeeded","Failed"))))</f>
        <v xml:space="preserve"> </v>
      </c>
      <c r="AB856" s="477" t="str">
        <f>IF(AA856=" "," ",IF(NOT(ISBLANK(X856)),VLOOKUP($D$3+X856,Calcs!$A$110:$C$122,3,TRUE),IF(AA856="Failed",VLOOKUP($D$3,Calcs!$A$110:$C$122,3,TRUE),VLOOKUP($D$3-(IF((Character!$B$9+W856)&gt;($D$3+Y856),(Character!$B$9+W856)-($D$3+Y856),0)),Calcs!$A$110:$C$122,3,TRUE))))</f>
        <v xml:space="preserve"> </v>
      </c>
      <c r="AC856" s="489"/>
      <c r="AD856" s="489" t="str">
        <f>IF(IF(AA856=" "," ",IF(NOT(ISBLANK(X856)),VLOOKUP($D$3+X856,Calcs!$A$110:$B$122,2,TRUE),IF(AA856="Failed",VLOOKUP($D$3,Calcs!$A$110:$B$122,2,TRUE),VLOOKUP($D$3-(IF((Character!$B$9+W856)&gt;($D$3+Y856),(Character!$B$9+W856)-($D$3+Y856),0)),Calcs!$A$110:$B$122,2,TRUE))))=Calcs!$B$120,IF(ISBLANK(AC856)," ",CONCATENATE(AC856+7," Years")),IF(AA856=" "," ",IF(NOT(ISBLANK(X856)),VLOOKUP($D$3+X856,Calcs!$A$110:$B$122,2,TRUE),IF(AA856="Failed",VLOOKUP($D$3,Calcs!$A$110:$B$122,2,TRUE),VLOOKUP($D$3-(IF((Character!$B$9+W856)&gt;($D$3+Y856),(Character!$B$9+W856)-($D$3+Y856),0)),Calcs!$A$110:$B$122,2,TRUE)))))</f>
        <v xml:space="preserve"> </v>
      </c>
      <c r="AE856" s="490"/>
      <c r="AF856" s="879"/>
      <c r="AG856" s="491"/>
    </row>
    <row r="857" spans="1:33" x14ac:dyDescent="0.2">
      <c r="A857" s="415">
        <f t="shared" si="24"/>
        <v>1424</v>
      </c>
      <c r="B857" s="419" t="str">
        <f t="shared" si="25"/>
        <v>Spring</v>
      </c>
      <c r="C857" s="455"/>
      <c r="D857" s="504"/>
      <c r="E857" s="455"/>
      <c r="F857" s="504"/>
      <c r="G857" s="455"/>
      <c r="H857" s="504"/>
      <c r="I857" s="455"/>
      <c r="J857" s="504"/>
      <c r="L857" s="472"/>
      <c r="M857" s="468"/>
      <c r="N857" s="468"/>
      <c r="O857" s="468"/>
      <c r="P857" s="468"/>
      <c r="Q857" s="473"/>
      <c r="R857" s="477" t="str">
        <f>IF(AND(COUNTIF('Start Character'!$I$63:$M$77,"Twilight Prone")=1,NOT(ISERROR(FIND("Magical Botch",M857)))),"Yes",IF(P857&gt;1,"Yes","No"))</f>
        <v>No</v>
      </c>
      <c r="S857" s="501"/>
      <c r="T857" s="478"/>
      <c r="U857" s="501"/>
      <c r="V857" s="479" t="str">
        <f>IF(R857="No","No Twilight",IF(T857="Yes","Uncomprehended Twilight",IF((Character!$B$14+IF(Character!$B$53="Yes",0,Character!$B$53)+IF(Magic!$C$5="Yes",2,0)+ROUNDUP((Magic!$B$30+IF(Magic!$C$30="Yes",3,0))/5,0)+S857)&gt;=($D$3+P857+SUMIF(Character!$I$62:$I$66,"Enigmatic Wisdom",Character!$J$62:$J$66)+Q857+U857),"No Twilight","Twilight")))</f>
        <v>No Twilight</v>
      </c>
      <c r="W857" s="483"/>
      <c r="X857" s="478"/>
      <c r="Y857" s="484"/>
      <c r="Z857" s="478"/>
      <c r="AA857" s="485" t="str">
        <f>IF(V857="Uncomprehended Twilight","Failed",IF(OR(ISBLANK(W857),ISBLANK(Y857))," ",IF(NOT(ISBLANK(X857)),"Failed",IF((W857+Character!$B$9+SUMIF(Character!$I$62:$I$66,"Enigmatic Wisdom",Character!$J$62:$J$66))&gt;=IF(Z857="Yes",0,(Y857+D852)),"Succeeded","Failed"))))</f>
        <v xml:space="preserve"> </v>
      </c>
      <c r="AB857" s="477" t="str">
        <f>IF(AA857=" "," ",IF(NOT(ISBLANK(X857)),VLOOKUP($D$3+X857,Calcs!$A$110:$C$122,3,TRUE),IF(AA857="Failed",VLOOKUP($D$3,Calcs!$A$110:$C$122,3,TRUE),VLOOKUP($D$3-(IF((Character!$B$9+W857)&gt;($D$3+Y857),(Character!$B$9+W857)-($D$3+Y857),0)),Calcs!$A$110:$C$122,3,TRUE))))</f>
        <v xml:space="preserve"> </v>
      </c>
      <c r="AC857" s="489"/>
      <c r="AD857" s="489" t="str">
        <f>IF(IF(AA857=" "," ",IF(NOT(ISBLANK(X857)),VLOOKUP($D$3+X857,Calcs!$A$110:$B$122,2,TRUE),IF(AA857="Failed",VLOOKUP($D$3,Calcs!$A$110:$B$122,2,TRUE),VLOOKUP($D$3-(IF((Character!$B$9+W857)&gt;($D$3+Y857),(Character!$B$9+W857)-($D$3+Y857),0)),Calcs!$A$110:$B$122,2,TRUE))))=Calcs!$B$120,IF(ISBLANK(AC857)," ",CONCATENATE(AC857+7," Years")),IF(AA857=" "," ",IF(NOT(ISBLANK(X857)),VLOOKUP($D$3+X857,Calcs!$A$110:$B$122,2,TRUE),IF(AA857="Failed",VLOOKUP($D$3,Calcs!$A$110:$B$122,2,TRUE),VLOOKUP($D$3-(IF((Character!$B$9+W857)&gt;($D$3+Y857),(Character!$B$9+W857)-($D$3+Y857),0)),Calcs!$A$110:$B$122,2,TRUE)))))</f>
        <v xml:space="preserve"> </v>
      </c>
      <c r="AE857" s="490"/>
      <c r="AF857" s="879"/>
      <c r="AG857" s="491"/>
    </row>
    <row r="858" spans="1:33" x14ac:dyDescent="0.2">
      <c r="A858" s="415">
        <f t="shared" si="24"/>
        <v>1424</v>
      </c>
      <c r="B858" s="419" t="str">
        <f t="shared" si="25"/>
        <v>Summer</v>
      </c>
      <c r="C858" s="455"/>
      <c r="D858" s="504"/>
      <c r="E858" s="455"/>
      <c r="F858" s="504"/>
      <c r="G858" s="455"/>
      <c r="H858" s="504"/>
      <c r="I858" s="455"/>
      <c r="J858" s="504"/>
      <c r="L858" s="472"/>
      <c r="M858" s="468"/>
      <c r="N858" s="468"/>
      <c r="O858" s="468"/>
      <c r="P858" s="468"/>
      <c r="Q858" s="473"/>
      <c r="R858" s="477" t="str">
        <f>IF(AND(COUNTIF('Start Character'!$I$63:$M$77,"Twilight Prone")=1,NOT(ISERROR(FIND("Magical Botch",M858)))),"Yes",IF(P858&gt;1,"Yes","No"))</f>
        <v>No</v>
      </c>
      <c r="S858" s="501"/>
      <c r="T858" s="478"/>
      <c r="U858" s="501"/>
      <c r="V858" s="479" t="str">
        <f>IF(R858="No","No Twilight",IF(T858="Yes","Uncomprehended Twilight",IF((Character!$B$14+IF(Character!$B$53="Yes",0,Character!$B$53)+IF(Magic!$C$5="Yes",2,0)+ROUNDUP((Magic!$B$30+IF(Magic!$C$30="Yes",3,0))/5,0)+S858)&gt;=($D$3+P858+SUMIF(Character!$I$62:$I$66,"Enigmatic Wisdom",Character!$J$62:$J$66)+Q858+U858),"No Twilight","Twilight")))</f>
        <v>No Twilight</v>
      </c>
      <c r="W858" s="483"/>
      <c r="X858" s="478"/>
      <c r="Y858" s="484"/>
      <c r="Z858" s="478"/>
      <c r="AA858" s="485" t="str">
        <f>IF(V858="Uncomprehended Twilight","Failed",IF(OR(ISBLANK(W858),ISBLANK(Y858))," ",IF(NOT(ISBLANK(X858)),"Failed",IF((W858+Character!$B$9+SUMIF(Character!$I$62:$I$66,"Enigmatic Wisdom",Character!$J$62:$J$66))&gt;=IF(Z858="Yes",0,(Y858+D853)),"Succeeded","Failed"))))</f>
        <v xml:space="preserve"> </v>
      </c>
      <c r="AB858" s="477" t="str">
        <f>IF(AA858=" "," ",IF(NOT(ISBLANK(X858)),VLOOKUP($D$3+X858,Calcs!$A$110:$C$122,3,TRUE),IF(AA858="Failed",VLOOKUP($D$3,Calcs!$A$110:$C$122,3,TRUE),VLOOKUP($D$3-(IF((Character!$B$9+W858)&gt;($D$3+Y858),(Character!$B$9+W858)-($D$3+Y858),0)),Calcs!$A$110:$C$122,3,TRUE))))</f>
        <v xml:space="preserve"> </v>
      </c>
      <c r="AC858" s="489"/>
      <c r="AD858" s="489" t="str">
        <f>IF(IF(AA858=" "," ",IF(NOT(ISBLANK(X858)),VLOOKUP($D$3+X858,Calcs!$A$110:$B$122,2,TRUE),IF(AA858="Failed",VLOOKUP($D$3,Calcs!$A$110:$B$122,2,TRUE),VLOOKUP($D$3-(IF((Character!$B$9+W858)&gt;($D$3+Y858),(Character!$B$9+W858)-($D$3+Y858),0)),Calcs!$A$110:$B$122,2,TRUE))))=Calcs!$B$120,IF(ISBLANK(AC858)," ",CONCATENATE(AC858+7," Years")),IF(AA858=" "," ",IF(NOT(ISBLANK(X858)),VLOOKUP($D$3+X858,Calcs!$A$110:$B$122,2,TRUE),IF(AA858="Failed",VLOOKUP($D$3,Calcs!$A$110:$B$122,2,TRUE),VLOOKUP($D$3-(IF((Character!$B$9+W858)&gt;($D$3+Y858),(Character!$B$9+W858)-($D$3+Y858),0)),Calcs!$A$110:$B$122,2,TRUE)))))</f>
        <v xml:space="preserve"> </v>
      </c>
      <c r="AE858" s="490"/>
      <c r="AF858" s="879"/>
      <c r="AG858" s="491"/>
    </row>
    <row r="859" spans="1:33" x14ac:dyDescent="0.2">
      <c r="A859" s="415">
        <f t="shared" si="24"/>
        <v>1424</v>
      </c>
      <c r="B859" s="419" t="str">
        <f t="shared" si="25"/>
        <v>Autumn</v>
      </c>
      <c r="C859" s="455"/>
      <c r="D859" s="504"/>
      <c r="E859" s="455"/>
      <c r="F859" s="504"/>
      <c r="G859" s="455"/>
      <c r="H859" s="504"/>
      <c r="I859" s="455"/>
      <c r="J859" s="504"/>
      <c r="L859" s="472"/>
      <c r="M859" s="468"/>
      <c r="N859" s="468"/>
      <c r="O859" s="468"/>
      <c r="P859" s="468"/>
      <c r="Q859" s="473"/>
      <c r="R859" s="477" t="str">
        <f>IF(AND(COUNTIF('Start Character'!$I$63:$M$77,"Twilight Prone")=1,NOT(ISERROR(FIND("Magical Botch",M859)))),"Yes",IF(P859&gt;1,"Yes","No"))</f>
        <v>No</v>
      </c>
      <c r="S859" s="501"/>
      <c r="T859" s="478"/>
      <c r="U859" s="501"/>
      <c r="V859" s="479" t="str">
        <f>IF(R859="No","No Twilight",IF(T859="Yes","Uncomprehended Twilight",IF((Character!$B$14+IF(Character!$B$53="Yes",0,Character!$B$53)+IF(Magic!$C$5="Yes",2,0)+ROUNDUP((Magic!$B$30+IF(Magic!$C$30="Yes",3,0))/5,0)+S859)&gt;=($D$3+P859+SUMIF(Character!$I$62:$I$66,"Enigmatic Wisdom",Character!$J$62:$J$66)+Q859+U859),"No Twilight","Twilight")))</f>
        <v>No Twilight</v>
      </c>
      <c r="W859" s="483"/>
      <c r="X859" s="478"/>
      <c r="Y859" s="484"/>
      <c r="Z859" s="478"/>
      <c r="AA859" s="485" t="str">
        <f>IF(V859="Uncomprehended Twilight","Failed",IF(OR(ISBLANK(W859),ISBLANK(Y859))," ",IF(NOT(ISBLANK(X859)),"Failed",IF((W859+Character!$B$9+SUMIF(Character!$I$62:$I$66,"Enigmatic Wisdom",Character!$J$62:$J$66))&gt;=IF(Z859="Yes",0,(Y859+D854)),"Succeeded","Failed"))))</f>
        <v xml:space="preserve"> </v>
      </c>
      <c r="AB859" s="477" t="str">
        <f>IF(AA859=" "," ",IF(NOT(ISBLANK(X859)),VLOOKUP($D$3+X859,Calcs!$A$110:$C$122,3,TRUE),IF(AA859="Failed",VLOOKUP($D$3,Calcs!$A$110:$C$122,3,TRUE),VLOOKUP($D$3-(IF((Character!$B$9+W859)&gt;($D$3+Y859),(Character!$B$9+W859)-($D$3+Y859),0)),Calcs!$A$110:$C$122,3,TRUE))))</f>
        <v xml:space="preserve"> </v>
      </c>
      <c r="AC859" s="489"/>
      <c r="AD859" s="489" t="str">
        <f>IF(IF(AA859=" "," ",IF(NOT(ISBLANK(X859)),VLOOKUP($D$3+X859,Calcs!$A$110:$B$122,2,TRUE),IF(AA859="Failed",VLOOKUP($D$3,Calcs!$A$110:$B$122,2,TRUE),VLOOKUP($D$3-(IF((Character!$B$9+W859)&gt;($D$3+Y859),(Character!$B$9+W859)-($D$3+Y859),0)),Calcs!$A$110:$B$122,2,TRUE))))=Calcs!$B$120,IF(ISBLANK(AC859)," ",CONCATENATE(AC859+7," Years")),IF(AA859=" "," ",IF(NOT(ISBLANK(X859)),VLOOKUP($D$3+X859,Calcs!$A$110:$B$122,2,TRUE),IF(AA859="Failed",VLOOKUP($D$3,Calcs!$A$110:$B$122,2,TRUE),VLOOKUP($D$3-(IF((Character!$B$9+W859)&gt;($D$3+Y859),(Character!$B$9+W859)-($D$3+Y859),0)),Calcs!$A$110:$B$122,2,TRUE)))))</f>
        <v xml:space="preserve"> </v>
      </c>
      <c r="AE859" s="490"/>
      <c r="AF859" s="879"/>
      <c r="AG859" s="491"/>
    </row>
    <row r="860" spans="1:33" x14ac:dyDescent="0.2">
      <c r="A860" s="415">
        <f t="shared" si="24"/>
        <v>1425</v>
      </c>
      <c r="B860" s="419" t="str">
        <f t="shared" si="25"/>
        <v>Winter</v>
      </c>
      <c r="C860" s="455"/>
      <c r="D860" s="504"/>
      <c r="E860" s="455"/>
      <c r="F860" s="504"/>
      <c r="G860" s="455"/>
      <c r="H860" s="504"/>
      <c r="I860" s="455"/>
      <c r="J860" s="504"/>
      <c r="L860" s="472"/>
      <c r="M860" s="468"/>
      <c r="N860" s="468"/>
      <c r="O860" s="468"/>
      <c r="P860" s="468"/>
      <c r="Q860" s="473"/>
      <c r="R860" s="477" t="str">
        <f>IF(AND(COUNTIF('Start Character'!$I$63:$M$77,"Twilight Prone")=1,NOT(ISERROR(FIND("Magical Botch",M860)))),"Yes",IF(P860&gt;1,"Yes","No"))</f>
        <v>No</v>
      </c>
      <c r="S860" s="501"/>
      <c r="T860" s="478"/>
      <c r="U860" s="501"/>
      <c r="V860" s="479" t="str">
        <f>IF(R860="No","No Twilight",IF(T860="Yes","Uncomprehended Twilight",IF((Character!$B$14+IF(Character!$B$53="Yes",0,Character!$B$53)+IF(Magic!$C$5="Yes",2,0)+ROUNDUP((Magic!$B$30+IF(Magic!$C$30="Yes",3,0))/5,0)+S860)&gt;=($D$3+P860+SUMIF(Character!$I$62:$I$66,"Enigmatic Wisdom",Character!$J$62:$J$66)+Q860+U860),"No Twilight","Twilight")))</f>
        <v>No Twilight</v>
      </c>
      <c r="W860" s="483"/>
      <c r="X860" s="478"/>
      <c r="Y860" s="484"/>
      <c r="Z860" s="478"/>
      <c r="AA860" s="485" t="str">
        <f>IF(V860="Uncomprehended Twilight","Failed",IF(OR(ISBLANK(W860),ISBLANK(Y860))," ",IF(NOT(ISBLANK(X860)),"Failed",IF((W860+Character!$B$9+SUMIF(Character!$I$62:$I$66,"Enigmatic Wisdom",Character!$J$62:$J$66))&gt;=IF(Z860="Yes",0,(Y860+D855)),"Succeeded","Failed"))))</f>
        <v xml:space="preserve"> </v>
      </c>
      <c r="AB860" s="477" t="str">
        <f>IF(AA860=" "," ",IF(NOT(ISBLANK(X860)),VLOOKUP($D$3+X860,Calcs!$A$110:$C$122,3,TRUE),IF(AA860="Failed",VLOOKUP($D$3,Calcs!$A$110:$C$122,3,TRUE),VLOOKUP($D$3-(IF((Character!$B$9+W860)&gt;($D$3+Y860),(Character!$B$9+W860)-($D$3+Y860),0)),Calcs!$A$110:$C$122,3,TRUE))))</f>
        <v xml:space="preserve"> </v>
      </c>
      <c r="AC860" s="489"/>
      <c r="AD860" s="489" t="str">
        <f>IF(IF(AA860=" "," ",IF(NOT(ISBLANK(X860)),VLOOKUP($D$3+X860,Calcs!$A$110:$B$122,2,TRUE),IF(AA860="Failed",VLOOKUP($D$3,Calcs!$A$110:$B$122,2,TRUE),VLOOKUP($D$3-(IF((Character!$B$9+W860)&gt;($D$3+Y860),(Character!$B$9+W860)-($D$3+Y860),0)),Calcs!$A$110:$B$122,2,TRUE))))=Calcs!$B$120,IF(ISBLANK(AC860)," ",CONCATENATE(AC860+7," Years")),IF(AA860=" "," ",IF(NOT(ISBLANK(X860)),VLOOKUP($D$3+X860,Calcs!$A$110:$B$122,2,TRUE),IF(AA860="Failed",VLOOKUP($D$3,Calcs!$A$110:$B$122,2,TRUE),VLOOKUP($D$3-(IF((Character!$B$9+W860)&gt;($D$3+Y860),(Character!$B$9+W860)-($D$3+Y860),0)),Calcs!$A$110:$B$122,2,TRUE)))))</f>
        <v xml:space="preserve"> </v>
      </c>
      <c r="AE860" s="490"/>
      <c r="AF860" s="879"/>
      <c r="AG860" s="491"/>
    </row>
    <row r="861" spans="1:33" x14ac:dyDescent="0.2">
      <c r="A861" s="415">
        <f t="shared" ref="A861:A924" si="26">IF(B860="Autumn",A860+1,A860)</f>
        <v>1425</v>
      </c>
      <c r="B861" s="419" t="str">
        <f t="shared" ref="B861:B924" si="27">IF(B860="spring","Summer",IF(B860="Summer","Autumn",IF(B860="Autumn","Winter",IF(B860="Winter","Spring"," "))))</f>
        <v>Spring</v>
      </c>
      <c r="C861" s="455"/>
      <c r="D861" s="504"/>
      <c r="E861" s="455"/>
      <c r="F861" s="504"/>
      <c r="G861" s="455"/>
      <c r="H861" s="504"/>
      <c r="I861" s="455"/>
      <c r="J861" s="504"/>
      <c r="L861" s="472"/>
      <c r="M861" s="468"/>
      <c r="N861" s="468"/>
      <c r="O861" s="468"/>
      <c r="P861" s="468"/>
      <c r="Q861" s="473"/>
      <c r="R861" s="477" t="str">
        <f>IF(AND(COUNTIF('Start Character'!$I$63:$M$77,"Twilight Prone")=1,NOT(ISERROR(FIND("Magical Botch",M861)))),"Yes",IF(P861&gt;1,"Yes","No"))</f>
        <v>No</v>
      </c>
      <c r="S861" s="501"/>
      <c r="T861" s="478"/>
      <c r="U861" s="501"/>
      <c r="V861" s="479" t="str">
        <f>IF(R861="No","No Twilight",IF(T861="Yes","Uncomprehended Twilight",IF((Character!$B$14+IF(Character!$B$53="Yes",0,Character!$B$53)+IF(Magic!$C$5="Yes",2,0)+ROUNDUP((Magic!$B$30+IF(Magic!$C$30="Yes",3,0))/5,0)+S861)&gt;=($D$3+P861+SUMIF(Character!$I$62:$I$66,"Enigmatic Wisdom",Character!$J$62:$J$66)+Q861+U861),"No Twilight","Twilight")))</f>
        <v>No Twilight</v>
      </c>
      <c r="W861" s="483"/>
      <c r="X861" s="478"/>
      <c r="Y861" s="484"/>
      <c r="Z861" s="478"/>
      <c r="AA861" s="485" t="str">
        <f>IF(V861="Uncomprehended Twilight","Failed",IF(OR(ISBLANK(W861),ISBLANK(Y861))," ",IF(NOT(ISBLANK(X861)),"Failed",IF((W861+Character!$B$9+SUMIF(Character!$I$62:$I$66,"Enigmatic Wisdom",Character!$J$62:$J$66))&gt;=IF(Z861="Yes",0,(Y861+D856)),"Succeeded","Failed"))))</f>
        <v xml:space="preserve"> </v>
      </c>
      <c r="AB861" s="477" t="str">
        <f>IF(AA861=" "," ",IF(NOT(ISBLANK(X861)),VLOOKUP($D$3+X861,Calcs!$A$110:$C$122,3,TRUE),IF(AA861="Failed",VLOOKUP($D$3,Calcs!$A$110:$C$122,3,TRUE),VLOOKUP($D$3-(IF((Character!$B$9+W861)&gt;($D$3+Y861),(Character!$B$9+W861)-($D$3+Y861),0)),Calcs!$A$110:$C$122,3,TRUE))))</f>
        <v xml:space="preserve"> </v>
      </c>
      <c r="AC861" s="489"/>
      <c r="AD861" s="489" t="str">
        <f>IF(IF(AA861=" "," ",IF(NOT(ISBLANK(X861)),VLOOKUP($D$3+X861,Calcs!$A$110:$B$122,2,TRUE),IF(AA861="Failed",VLOOKUP($D$3,Calcs!$A$110:$B$122,2,TRUE),VLOOKUP($D$3-(IF((Character!$B$9+W861)&gt;($D$3+Y861),(Character!$B$9+W861)-($D$3+Y861),0)),Calcs!$A$110:$B$122,2,TRUE))))=Calcs!$B$120,IF(ISBLANK(AC861)," ",CONCATENATE(AC861+7," Years")),IF(AA861=" "," ",IF(NOT(ISBLANK(X861)),VLOOKUP($D$3+X861,Calcs!$A$110:$B$122,2,TRUE),IF(AA861="Failed",VLOOKUP($D$3,Calcs!$A$110:$B$122,2,TRUE),VLOOKUP($D$3-(IF((Character!$B$9+W861)&gt;($D$3+Y861),(Character!$B$9+W861)-($D$3+Y861),0)),Calcs!$A$110:$B$122,2,TRUE)))))</f>
        <v xml:space="preserve"> </v>
      </c>
      <c r="AE861" s="490"/>
      <c r="AF861" s="879"/>
      <c r="AG861" s="491"/>
    </row>
    <row r="862" spans="1:33" x14ac:dyDescent="0.2">
      <c r="A862" s="415">
        <f t="shared" si="26"/>
        <v>1425</v>
      </c>
      <c r="B862" s="419" t="str">
        <f t="shared" si="27"/>
        <v>Summer</v>
      </c>
      <c r="C862" s="455"/>
      <c r="D862" s="504"/>
      <c r="E862" s="455"/>
      <c r="F862" s="504"/>
      <c r="G862" s="455"/>
      <c r="H862" s="504"/>
      <c r="I862" s="455"/>
      <c r="J862" s="504"/>
      <c r="L862" s="472"/>
      <c r="M862" s="468"/>
      <c r="N862" s="468"/>
      <c r="O862" s="468"/>
      <c r="P862" s="468"/>
      <c r="Q862" s="473"/>
      <c r="R862" s="477" t="str">
        <f>IF(AND(COUNTIF('Start Character'!$I$63:$M$77,"Twilight Prone")=1,NOT(ISERROR(FIND("Magical Botch",M862)))),"Yes",IF(P862&gt;1,"Yes","No"))</f>
        <v>No</v>
      </c>
      <c r="S862" s="501"/>
      <c r="T862" s="478"/>
      <c r="U862" s="501"/>
      <c r="V862" s="479" t="str">
        <f>IF(R862="No","No Twilight",IF(T862="Yes","Uncomprehended Twilight",IF((Character!$B$14+IF(Character!$B$53="Yes",0,Character!$B$53)+IF(Magic!$C$5="Yes",2,0)+ROUNDUP((Magic!$B$30+IF(Magic!$C$30="Yes",3,0))/5,0)+S862)&gt;=($D$3+P862+SUMIF(Character!$I$62:$I$66,"Enigmatic Wisdom",Character!$J$62:$J$66)+Q862+U862),"No Twilight","Twilight")))</f>
        <v>No Twilight</v>
      </c>
      <c r="W862" s="483"/>
      <c r="X862" s="478"/>
      <c r="Y862" s="484"/>
      <c r="Z862" s="478"/>
      <c r="AA862" s="485" t="str">
        <f>IF(V862="Uncomprehended Twilight","Failed",IF(OR(ISBLANK(W862),ISBLANK(Y862))," ",IF(NOT(ISBLANK(X862)),"Failed",IF((W862+Character!$B$9+SUMIF(Character!$I$62:$I$66,"Enigmatic Wisdom",Character!$J$62:$J$66))&gt;=IF(Z862="Yes",0,(Y862+D857)),"Succeeded","Failed"))))</f>
        <v xml:space="preserve"> </v>
      </c>
      <c r="AB862" s="477" t="str">
        <f>IF(AA862=" "," ",IF(NOT(ISBLANK(X862)),VLOOKUP($D$3+X862,Calcs!$A$110:$C$122,3,TRUE),IF(AA862="Failed",VLOOKUP($D$3,Calcs!$A$110:$C$122,3,TRUE),VLOOKUP($D$3-(IF((Character!$B$9+W862)&gt;($D$3+Y862),(Character!$B$9+W862)-($D$3+Y862),0)),Calcs!$A$110:$C$122,3,TRUE))))</f>
        <v xml:space="preserve"> </v>
      </c>
      <c r="AC862" s="489"/>
      <c r="AD862" s="489" t="str">
        <f>IF(IF(AA862=" "," ",IF(NOT(ISBLANK(X862)),VLOOKUP($D$3+X862,Calcs!$A$110:$B$122,2,TRUE),IF(AA862="Failed",VLOOKUP($D$3,Calcs!$A$110:$B$122,2,TRUE),VLOOKUP($D$3-(IF((Character!$B$9+W862)&gt;($D$3+Y862),(Character!$B$9+W862)-($D$3+Y862),0)),Calcs!$A$110:$B$122,2,TRUE))))=Calcs!$B$120,IF(ISBLANK(AC862)," ",CONCATENATE(AC862+7," Years")),IF(AA862=" "," ",IF(NOT(ISBLANK(X862)),VLOOKUP($D$3+X862,Calcs!$A$110:$B$122,2,TRUE),IF(AA862="Failed",VLOOKUP($D$3,Calcs!$A$110:$B$122,2,TRUE),VLOOKUP($D$3-(IF((Character!$B$9+W862)&gt;($D$3+Y862),(Character!$B$9+W862)-($D$3+Y862),0)),Calcs!$A$110:$B$122,2,TRUE)))))</f>
        <v xml:space="preserve"> </v>
      </c>
      <c r="AE862" s="490"/>
      <c r="AF862" s="879"/>
      <c r="AG862" s="491"/>
    </row>
    <row r="863" spans="1:33" x14ac:dyDescent="0.2">
      <c r="A863" s="415">
        <f t="shared" si="26"/>
        <v>1425</v>
      </c>
      <c r="B863" s="419" t="str">
        <f t="shared" si="27"/>
        <v>Autumn</v>
      </c>
      <c r="C863" s="455"/>
      <c r="D863" s="504"/>
      <c r="E863" s="455"/>
      <c r="F863" s="504"/>
      <c r="G863" s="455"/>
      <c r="H863" s="504"/>
      <c r="I863" s="455"/>
      <c r="J863" s="504"/>
      <c r="L863" s="472"/>
      <c r="M863" s="468"/>
      <c r="N863" s="468"/>
      <c r="O863" s="468"/>
      <c r="P863" s="468"/>
      <c r="Q863" s="473"/>
      <c r="R863" s="477" t="str">
        <f>IF(AND(COUNTIF('Start Character'!$I$63:$M$77,"Twilight Prone")=1,NOT(ISERROR(FIND("Magical Botch",M863)))),"Yes",IF(P863&gt;1,"Yes","No"))</f>
        <v>No</v>
      </c>
      <c r="S863" s="501"/>
      <c r="T863" s="478"/>
      <c r="U863" s="501"/>
      <c r="V863" s="479" t="str">
        <f>IF(R863="No","No Twilight",IF(T863="Yes","Uncomprehended Twilight",IF((Character!$B$14+IF(Character!$B$53="Yes",0,Character!$B$53)+IF(Magic!$C$5="Yes",2,0)+ROUNDUP((Magic!$B$30+IF(Magic!$C$30="Yes",3,0))/5,0)+S863)&gt;=($D$3+P863+SUMIF(Character!$I$62:$I$66,"Enigmatic Wisdom",Character!$J$62:$J$66)+Q863+U863),"No Twilight","Twilight")))</f>
        <v>No Twilight</v>
      </c>
      <c r="W863" s="483"/>
      <c r="X863" s="478"/>
      <c r="Y863" s="484"/>
      <c r="Z863" s="478"/>
      <c r="AA863" s="485" t="str">
        <f>IF(V863="Uncomprehended Twilight","Failed",IF(OR(ISBLANK(W863),ISBLANK(Y863))," ",IF(NOT(ISBLANK(X863)),"Failed",IF((W863+Character!$B$9+SUMIF(Character!$I$62:$I$66,"Enigmatic Wisdom",Character!$J$62:$J$66))&gt;=IF(Z863="Yes",0,(Y863+D858)),"Succeeded","Failed"))))</f>
        <v xml:space="preserve"> </v>
      </c>
      <c r="AB863" s="477" t="str">
        <f>IF(AA863=" "," ",IF(NOT(ISBLANK(X863)),VLOOKUP($D$3+X863,Calcs!$A$110:$C$122,3,TRUE),IF(AA863="Failed",VLOOKUP($D$3,Calcs!$A$110:$C$122,3,TRUE),VLOOKUP($D$3-(IF((Character!$B$9+W863)&gt;($D$3+Y863),(Character!$B$9+W863)-($D$3+Y863),0)),Calcs!$A$110:$C$122,3,TRUE))))</f>
        <v xml:space="preserve"> </v>
      </c>
      <c r="AC863" s="489"/>
      <c r="AD863" s="489" t="str">
        <f>IF(IF(AA863=" "," ",IF(NOT(ISBLANK(X863)),VLOOKUP($D$3+X863,Calcs!$A$110:$B$122,2,TRUE),IF(AA863="Failed",VLOOKUP($D$3,Calcs!$A$110:$B$122,2,TRUE),VLOOKUP($D$3-(IF((Character!$B$9+W863)&gt;($D$3+Y863),(Character!$B$9+W863)-($D$3+Y863),0)),Calcs!$A$110:$B$122,2,TRUE))))=Calcs!$B$120,IF(ISBLANK(AC863)," ",CONCATENATE(AC863+7," Years")),IF(AA863=" "," ",IF(NOT(ISBLANK(X863)),VLOOKUP($D$3+X863,Calcs!$A$110:$B$122,2,TRUE),IF(AA863="Failed",VLOOKUP($D$3,Calcs!$A$110:$B$122,2,TRUE),VLOOKUP($D$3-(IF((Character!$B$9+W863)&gt;($D$3+Y863),(Character!$B$9+W863)-($D$3+Y863),0)),Calcs!$A$110:$B$122,2,TRUE)))))</f>
        <v xml:space="preserve"> </v>
      </c>
      <c r="AE863" s="490"/>
      <c r="AF863" s="879"/>
      <c r="AG863" s="491"/>
    </row>
    <row r="864" spans="1:33" x14ac:dyDescent="0.2">
      <c r="A864" s="415">
        <f t="shared" si="26"/>
        <v>1426</v>
      </c>
      <c r="B864" s="419" t="str">
        <f t="shared" si="27"/>
        <v>Winter</v>
      </c>
      <c r="C864" s="455"/>
      <c r="D864" s="504"/>
      <c r="E864" s="455"/>
      <c r="F864" s="504"/>
      <c r="G864" s="455"/>
      <c r="H864" s="504"/>
      <c r="I864" s="455"/>
      <c r="J864" s="504"/>
      <c r="L864" s="472"/>
      <c r="M864" s="468"/>
      <c r="N864" s="468"/>
      <c r="O864" s="468"/>
      <c r="P864" s="468"/>
      <c r="Q864" s="473"/>
      <c r="R864" s="477" t="str">
        <f>IF(AND(COUNTIF('Start Character'!$I$63:$M$77,"Twilight Prone")=1,NOT(ISERROR(FIND("Magical Botch",M864)))),"Yes",IF(P864&gt;1,"Yes","No"))</f>
        <v>No</v>
      </c>
      <c r="S864" s="501"/>
      <c r="T864" s="478"/>
      <c r="U864" s="501"/>
      <c r="V864" s="479" t="str">
        <f>IF(R864="No","No Twilight",IF(T864="Yes","Uncomprehended Twilight",IF((Character!$B$14+IF(Character!$B$53="Yes",0,Character!$B$53)+IF(Magic!$C$5="Yes",2,0)+ROUNDUP((Magic!$B$30+IF(Magic!$C$30="Yes",3,0))/5,0)+S864)&gt;=($D$3+P864+SUMIF(Character!$I$62:$I$66,"Enigmatic Wisdom",Character!$J$62:$J$66)+Q864+U864),"No Twilight","Twilight")))</f>
        <v>No Twilight</v>
      </c>
      <c r="W864" s="483"/>
      <c r="X864" s="478"/>
      <c r="Y864" s="484"/>
      <c r="Z864" s="478"/>
      <c r="AA864" s="485" t="str">
        <f>IF(V864="Uncomprehended Twilight","Failed",IF(OR(ISBLANK(W864),ISBLANK(Y864))," ",IF(NOT(ISBLANK(X864)),"Failed",IF((W864+Character!$B$9+SUMIF(Character!$I$62:$I$66,"Enigmatic Wisdom",Character!$J$62:$J$66))&gt;=IF(Z864="Yes",0,(Y864+D859)),"Succeeded","Failed"))))</f>
        <v xml:space="preserve"> </v>
      </c>
      <c r="AB864" s="477" t="str">
        <f>IF(AA864=" "," ",IF(NOT(ISBLANK(X864)),VLOOKUP($D$3+X864,Calcs!$A$110:$C$122,3,TRUE),IF(AA864="Failed",VLOOKUP($D$3,Calcs!$A$110:$C$122,3,TRUE),VLOOKUP($D$3-(IF((Character!$B$9+W864)&gt;($D$3+Y864),(Character!$B$9+W864)-($D$3+Y864),0)),Calcs!$A$110:$C$122,3,TRUE))))</f>
        <v xml:space="preserve"> </v>
      </c>
      <c r="AC864" s="489"/>
      <c r="AD864" s="489" t="str">
        <f>IF(IF(AA864=" "," ",IF(NOT(ISBLANK(X864)),VLOOKUP($D$3+X864,Calcs!$A$110:$B$122,2,TRUE),IF(AA864="Failed",VLOOKUP($D$3,Calcs!$A$110:$B$122,2,TRUE),VLOOKUP($D$3-(IF((Character!$B$9+W864)&gt;($D$3+Y864),(Character!$B$9+W864)-($D$3+Y864),0)),Calcs!$A$110:$B$122,2,TRUE))))=Calcs!$B$120,IF(ISBLANK(AC864)," ",CONCATENATE(AC864+7," Years")),IF(AA864=" "," ",IF(NOT(ISBLANK(X864)),VLOOKUP($D$3+X864,Calcs!$A$110:$B$122,2,TRUE),IF(AA864="Failed",VLOOKUP($D$3,Calcs!$A$110:$B$122,2,TRUE),VLOOKUP($D$3-(IF((Character!$B$9+W864)&gt;($D$3+Y864),(Character!$B$9+W864)-($D$3+Y864),0)),Calcs!$A$110:$B$122,2,TRUE)))))</f>
        <v xml:space="preserve"> </v>
      </c>
      <c r="AE864" s="490"/>
      <c r="AF864" s="879"/>
      <c r="AG864" s="491"/>
    </row>
    <row r="865" spans="1:33" x14ac:dyDescent="0.2">
      <c r="A865" s="415">
        <f t="shared" si="26"/>
        <v>1426</v>
      </c>
      <c r="B865" s="419" t="str">
        <f t="shared" si="27"/>
        <v>Spring</v>
      </c>
      <c r="C865" s="455"/>
      <c r="D865" s="504"/>
      <c r="E865" s="455"/>
      <c r="F865" s="504"/>
      <c r="G865" s="455"/>
      <c r="H865" s="504"/>
      <c r="I865" s="455"/>
      <c r="J865" s="504"/>
      <c r="L865" s="472"/>
      <c r="M865" s="468"/>
      <c r="N865" s="468"/>
      <c r="O865" s="468"/>
      <c r="P865" s="468"/>
      <c r="Q865" s="473"/>
      <c r="R865" s="477" t="str">
        <f>IF(AND(COUNTIF('Start Character'!$I$63:$M$77,"Twilight Prone")=1,NOT(ISERROR(FIND("Magical Botch",M865)))),"Yes",IF(P865&gt;1,"Yes","No"))</f>
        <v>No</v>
      </c>
      <c r="S865" s="501"/>
      <c r="T865" s="478"/>
      <c r="U865" s="501"/>
      <c r="V865" s="479" t="str">
        <f>IF(R865="No","No Twilight",IF(T865="Yes","Uncomprehended Twilight",IF((Character!$B$14+IF(Character!$B$53="Yes",0,Character!$B$53)+IF(Magic!$C$5="Yes",2,0)+ROUNDUP((Magic!$B$30+IF(Magic!$C$30="Yes",3,0))/5,0)+S865)&gt;=($D$3+P865+SUMIF(Character!$I$62:$I$66,"Enigmatic Wisdom",Character!$J$62:$J$66)+Q865+U865),"No Twilight","Twilight")))</f>
        <v>No Twilight</v>
      </c>
      <c r="W865" s="483"/>
      <c r="X865" s="478"/>
      <c r="Y865" s="484"/>
      <c r="Z865" s="478"/>
      <c r="AA865" s="485" t="str">
        <f>IF(V865="Uncomprehended Twilight","Failed",IF(OR(ISBLANK(W865),ISBLANK(Y865))," ",IF(NOT(ISBLANK(X865)),"Failed",IF((W865+Character!$B$9+SUMIF(Character!$I$62:$I$66,"Enigmatic Wisdom",Character!$J$62:$J$66))&gt;=IF(Z865="Yes",0,(Y865+D860)),"Succeeded","Failed"))))</f>
        <v xml:space="preserve"> </v>
      </c>
      <c r="AB865" s="477" t="str">
        <f>IF(AA865=" "," ",IF(NOT(ISBLANK(X865)),VLOOKUP($D$3+X865,Calcs!$A$110:$C$122,3,TRUE),IF(AA865="Failed",VLOOKUP($D$3,Calcs!$A$110:$C$122,3,TRUE),VLOOKUP($D$3-(IF((Character!$B$9+W865)&gt;($D$3+Y865),(Character!$B$9+W865)-($D$3+Y865),0)),Calcs!$A$110:$C$122,3,TRUE))))</f>
        <v xml:space="preserve"> </v>
      </c>
      <c r="AC865" s="489"/>
      <c r="AD865" s="489" t="str">
        <f>IF(IF(AA865=" "," ",IF(NOT(ISBLANK(X865)),VLOOKUP($D$3+X865,Calcs!$A$110:$B$122,2,TRUE),IF(AA865="Failed",VLOOKUP($D$3,Calcs!$A$110:$B$122,2,TRUE),VLOOKUP($D$3-(IF((Character!$B$9+W865)&gt;($D$3+Y865),(Character!$B$9+W865)-($D$3+Y865),0)),Calcs!$A$110:$B$122,2,TRUE))))=Calcs!$B$120,IF(ISBLANK(AC865)," ",CONCATENATE(AC865+7," Years")),IF(AA865=" "," ",IF(NOT(ISBLANK(X865)),VLOOKUP($D$3+X865,Calcs!$A$110:$B$122,2,TRUE),IF(AA865="Failed",VLOOKUP($D$3,Calcs!$A$110:$B$122,2,TRUE),VLOOKUP($D$3-(IF((Character!$B$9+W865)&gt;($D$3+Y865),(Character!$B$9+W865)-($D$3+Y865),0)),Calcs!$A$110:$B$122,2,TRUE)))))</f>
        <v xml:space="preserve"> </v>
      </c>
      <c r="AE865" s="490"/>
      <c r="AF865" s="879"/>
      <c r="AG865" s="491"/>
    </row>
    <row r="866" spans="1:33" x14ac:dyDescent="0.2">
      <c r="A866" s="415">
        <f t="shared" si="26"/>
        <v>1426</v>
      </c>
      <c r="B866" s="419" t="str">
        <f t="shared" si="27"/>
        <v>Summer</v>
      </c>
      <c r="C866" s="455"/>
      <c r="D866" s="504"/>
      <c r="E866" s="455"/>
      <c r="F866" s="504"/>
      <c r="G866" s="455"/>
      <c r="H866" s="504"/>
      <c r="I866" s="455"/>
      <c r="J866" s="504"/>
      <c r="L866" s="472"/>
      <c r="M866" s="468"/>
      <c r="N866" s="468"/>
      <c r="O866" s="468"/>
      <c r="P866" s="468"/>
      <c r="Q866" s="473"/>
      <c r="R866" s="477" t="str">
        <f>IF(AND(COUNTIF('Start Character'!$I$63:$M$77,"Twilight Prone")=1,NOT(ISERROR(FIND("Magical Botch",M866)))),"Yes",IF(P866&gt;1,"Yes","No"))</f>
        <v>No</v>
      </c>
      <c r="S866" s="501"/>
      <c r="T866" s="478"/>
      <c r="U866" s="501"/>
      <c r="V866" s="479" t="str">
        <f>IF(R866="No","No Twilight",IF(T866="Yes","Uncomprehended Twilight",IF((Character!$B$14+IF(Character!$B$53="Yes",0,Character!$B$53)+IF(Magic!$C$5="Yes",2,0)+ROUNDUP((Magic!$B$30+IF(Magic!$C$30="Yes",3,0))/5,0)+S866)&gt;=($D$3+P866+SUMIF(Character!$I$62:$I$66,"Enigmatic Wisdom",Character!$J$62:$J$66)+Q866+U866),"No Twilight","Twilight")))</f>
        <v>No Twilight</v>
      </c>
      <c r="W866" s="483"/>
      <c r="X866" s="478"/>
      <c r="Y866" s="484"/>
      <c r="Z866" s="478"/>
      <c r="AA866" s="485" t="str">
        <f>IF(V866="Uncomprehended Twilight","Failed",IF(OR(ISBLANK(W866),ISBLANK(Y866))," ",IF(NOT(ISBLANK(X866)),"Failed",IF((W866+Character!$B$9+SUMIF(Character!$I$62:$I$66,"Enigmatic Wisdom",Character!$J$62:$J$66))&gt;=IF(Z866="Yes",0,(Y866+D861)),"Succeeded","Failed"))))</f>
        <v xml:space="preserve"> </v>
      </c>
      <c r="AB866" s="477" t="str">
        <f>IF(AA866=" "," ",IF(NOT(ISBLANK(X866)),VLOOKUP($D$3+X866,Calcs!$A$110:$C$122,3,TRUE),IF(AA866="Failed",VLOOKUP($D$3,Calcs!$A$110:$C$122,3,TRUE),VLOOKUP($D$3-(IF((Character!$B$9+W866)&gt;($D$3+Y866),(Character!$B$9+W866)-($D$3+Y866),0)),Calcs!$A$110:$C$122,3,TRUE))))</f>
        <v xml:space="preserve"> </v>
      </c>
      <c r="AC866" s="489"/>
      <c r="AD866" s="489" t="str">
        <f>IF(IF(AA866=" "," ",IF(NOT(ISBLANK(X866)),VLOOKUP($D$3+X866,Calcs!$A$110:$B$122,2,TRUE),IF(AA866="Failed",VLOOKUP($D$3,Calcs!$A$110:$B$122,2,TRUE),VLOOKUP($D$3-(IF((Character!$B$9+W866)&gt;($D$3+Y866),(Character!$B$9+W866)-($D$3+Y866),0)),Calcs!$A$110:$B$122,2,TRUE))))=Calcs!$B$120,IF(ISBLANK(AC866)," ",CONCATENATE(AC866+7," Years")),IF(AA866=" "," ",IF(NOT(ISBLANK(X866)),VLOOKUP($D$3+X866,Calcs!$A$110:$B$122,2,TRUE),IF(AA866="Failed",VLOOKUP($D$3,Calcs!$A$110:$B$122,2,TRUE),VLOOKUP($D$3-(IF((Character!$B$9+W866)&gt;($D$3+Y866),(Character!$B$9+W866)-($D$3+Y866),0)),Calcs!$A$110:$B$122,2,TRUE)))))</f>
        <v xml:space="preserve"> </v>
      </c>
      <c r="AE866" s="490"/>
      <c r="AF866" s="879"/>
      <c r="AG866" s="491"/>
    </row>
    <row r="867" spans="1:33" x14ac:dyDescent="0.2">
      <c r="A867" s="415">
        <f t="shared" si="26"/>
        <v>1426</v>
      </c>
      <c r="B867" s="419" t="str">
        <f t="shared" si="27"/>
        <v>Autumn</v>
      </c>
      <c r="C867" s="455"/>
      <c r="D867" s="504"/>
      <c r="E867" s="455"/>
      <c r="F867" s="504"/>
      <c r="G867" s="455"/>
      <c r="H867" s="504"/>
      <c r="I867" s="455"/>
      <c r="J867" s="504"/>
      <c r="L867" s="472"/>
      <c r="M867" s="468"/>
      <c r="N867" s="468"/>
      <c r="O867" s="468"/>
      <c r="P867" s="468"/>
      <c r="Q867" s="473"/>
      <c r="R867" s="477" t="str">
        <f>IF(AND(COUNTIF('Start Character'!$I$63:$M$77,"Twilight Prone")=1,NOT(ISERROR(FIND("Magical Botch",M867)))),"Yes",IF(P867&gt;1,"Yes","No"))</f>
        <v>No</v>
      </c>
      <c r="S867" s="501"/>
      <c r="T867" s="478"/>
      <c r="U867" s="501"/>
      <c r="V867" s="479" t="str">
        <f>IF(R867="No","No Twilight",IF(T867="Yes","Uncomprehended Twilight",IF((Character!$B$14+IF(Character!$B$53="Yes",0,Character!$B$53)+IF(Magic!$C$5="Yes",2,0)+ROUNDUP((Magic!$B$30+IF(Magic!$C$30="Yes",3,0))/5,0)+S867)&gt;=($D$3+P867+SUMIF(Character!$I$62:$I$66,"Enigmatic Wisdom",Character!$J$62:$J$66)+Q867+U867),"No Twilight","Twilight")))</f>
        <v>No Twilight</v>
      </c>
      <c r="W867" s="483"/>
      <c r="X867" s="478"/>
      <c r="Y867" s="484"/>
      <c r="Z867" s="478"/>
      <c r="AA867" s="485" t="str">
        <f>IF(V867="Uncomprehended Twilight","Failed",IF(OR(ISBLANK(W867),ISBLANK(Y867))," ",IF(NOT(ISBLANK(X867)),"Failed",IF((W867+Character!$B$9+SUMIF(Character!$I$62:$I$66,"Enigmatic Wisdom",Character!$J$62:$J$66))&gt;=IF(Z867="Yes",0,(Y867+D862)),"Succeeded","Failed"))))</f>
        <v xml:space="preserve"> </v>
      </c>
      <c r="AB867" s="477" t="str">
        <f>IF(AA867=" "," ",IF(NOT(ISBLANK(X867)),VLOOKUP($D$3+X867,Calcs!$A$110:$C$122,3,TRUE),IF(AA867="Failed",VLOOKUP($D$3,Calcs!$A$110:$C$122,3,TRUE),VLOOKUP($D$3-(IF((Character!$B$9+W867)&gt;($D$3+Y867),(Character!$B$9+W867)-($D$3+Y867),0)),Calcs!$A$110:$C$122,3,TRUE))))</f>
        <v xml:space="preserve"> </v>
      </c>
      <c r="AC867" s="489"/>
      <c r="AD867" s="489" t="str">
        <f>IF(IF(AA867=" "," ",IF(NOT(ISBLANK(X867)),VLOOKUP($D$3+X867,Calcs!$A$110:$B$122,2,TRUE),IF(AA867="Failed",VLOOKUP($D$3,Calcs!$A$110:$B$122,2,TRUE),VLOOKUP($D$3-(IF((Character!$B$9+W867)&gt;($D$3+Y867),(Character!$B$9+W867)-($D$3+Y867),0)),Calcs!$A$110:$B$122,2,TRUE))))=Calcs!$B$120,IF(ISBLANK(AC867)," ",CONCATENATE(AC867+7," Years")),IF(AA867=" "," ",IF(NOT(ISBLANK(X867)),VLOOKUP($D$3+X867,Calcs!$A$110:$B$122,2,TRUE),IF(AA867="Failed",VLOOKUP($D$3,Calcs!$A$110:$B$122,2,TRUE),VLOOKUP($D$3-(IF((Character!$B$9+W867)&gt;($D$3+Y867),(Character!$B$9+W867)-($D$3+Y867),0)),Calcs!$A$110:$B$122,2,TRUE)))))</f>
        <v xml:space="preserve"> </v>
      </c>
      <c r="AE867" s="490"/>
      <c r="AF867" s="879"/>
      <c r="AG867" s="491"/>
    </row>
    <row r="868" spans="1:33" x14ac:dyDescent="0.2">
      <c r="A868" s="415">
        <f t="shared" si="26"/>
        <v>1427</v>
      </c>
      <c r="B868" s="419" t="str">
        <f t="shared" si="27"/>
        <v>Winter</v>
      </c>
      <c r="C868" s="455"/>
      <c r="D868" s="504"/>
      <c r="E868" s="455"/>
      <c r="F868" s="504"/>
      <c r="G868" s="455"/>
      <c r="H868" s="504"/>
      <c r="I868" s="455"/>
      <c r="J868" s="504"/>
      <c r="L868" s="472"/>
      <c r="M868" s="468"/>
      <c r="N868" s="468"/>
      <c r="O868" s="468"/>
      <c r="P868" s="468"/>
      <c r="Q868" s="473"/>
      <c r="R868" s="477" t="str">
        <f>IF(AND(COUNTIF('Start Character'!$I$63:$M$77,"Twilight Prone")=1,NOT(ISERROR(FIND("Magical Botch",M868)))),"Yes",IF(P868&gt;1,"Yes","No"))</f>
        <v>No</v>
      </c>
      <c r="S868" s="501"/>
      <c r="T868" s="478"/>
      <c r="U868" s="501"/>
      <c r="V868" s="479" t="str">
        <f>IF(R868="No","No Twilight",IF(T868="Yes","Uncomprehended Twilight",IF((Character!$B$14+IF(Character!$B$53="Yes",0,Character!$B$53)+IF(Magic!$C$5="Yes",2,0)+ROUNDUP((Magic!$B$30+IF(Magic!$C$30="Yes",3,0))/5,0)+S868)&gt;=($D$3+P868+SUMIF(Character!$I$62:$I$66,"Enigmatic Wisdom",Character!$J$62:$J$66)+Q868+U868),"No Twilight","Twilight")))</f>
        <v>No Twilight</v>
      </c>
      <c r="W868" s="483"/>
      <c r="X868" s="478"/>
      <c r="Y868" s="484"/>
      <c r="Z868" s="478"/>
      <c r="AA868" s="485" t="str">
        <f>IF(V868="Uncomprehended Twilight","Failed",IF(OR(ISBLANK(W868),ISBLANK(Y868))," ",IF(NOT(ISBLANK(X868)),"Failed",IF((W868+Character!$B$9+SUMIF(Character!$I$62:$I$66,"Enigmatic Wisdom",Character!$J$62:$J$66))&gt;=IF(Z868="Yes",0,(Y868+D863)),"Succeeded","Failed"))))</f>
        <v xml:space="preserve"> </v>
      </c>
      <c r="AB868" s="477" t="str">
        <f>IF(AA868=" "," ",IF(NOT(ISBLANK(X868)),VLOOKUP($D$3+X868,Calcs!$A$110:$C$122,3,TRUE),IF(AA868="Failed",VLOOKUP($D$3,Calcs!$A$110:$C$122,3,TRUE),VLOOKUP($D$3-(IF((Character!$B$9+W868)&gt;($D$3+Y868),(Character!$B$9+W868)-($D$3+Y868),0)),Calcs!$A$110:$C$122,3,TRUE))))</f>
        <v xml:space="preserve"> </v>
      </c>
      <c r="AC868" s="489"/>
      <c r="AD868" s="489" t="str">
        <f>IF(IF(AA868=" "," ",IF(NOT(ISBLANK(X868)),VLOOKUP($D$3+X868,Calcs!$A$110:$B$122,2,TRUE),IF(AA868="Failed",VLOOKUP($D$3,Calcs!$A$110:$B$122,2,TRUE),VLOOKUP($D$3-(IF((Character!$B$9+W868)&gt;($D$3+Y868),(Character!$B$9+W868)-($D$3+Y868),0)),Calcs!$A$110:$B$122,2,TRUE))))=Calcs!$B$120,IF(ISBLANK(AC868)," ",CONCATENATE(AC868+7," Years")),IF(AA868=" "," ",IF(NOT(ISBLANK(X868)),VLOOKUP($D$3+X868,Calcs!$A$110:$B$122,2,TRUE),IF(AA868="Failed",VLOOKUP($D$3,Calcs!$A$110:$B$122,2,TRUE),VLOOKUP($D$3-(IF((Character!$B$9+W868)&gt;($D$3+Y868),(Character!$B$9+W868)-($D$3+Y868),0)),Calcs!$A$110:$B$122,2,TRUE)))))</f>
        <v xml:space="preserve"> </v>
      </c>
      <c r="AE868" s="490"/>
      <c r="AF868" s="879"/>
      <c r="AG868" s="491"/>
    </row>
    <row r="869" spans="1:33" x14ac:dyDescent="0.2">
      <c r="A869" s="415">
        <f t="shared" si="26"/>
        <v>1427</v>
      </c>
      <c r="B869" s="419" t="str">
        <f t="shared" si="27"/>
        <v>Spring</v>
      </c>
      <c r="C869" s="455"/>
      <c r="D869" s="504"/>
      <c r="E869" s="455"/>
      <c r="F869" s="504"/>
      <c r="G869" s="455"/>
      <c r="H869" s="504"/>
      <c r="I869" s="455"/>
      <c r="J869" s="504"/>
      <c r="L869" s="472"/>
      <c r="M869" s="468"/>
      <c r="N869" s="468"/>
      <c r="O869" s="468"/>
      <c r="P869" s="468"/>
      <c r="Q869" s="473"/>
      <c r="R869" s="477" t="str">
        <f>IF(AND(COUNTIF('Start Character'!$I$63:$M$77,"Twilight Prone")=1,NOT(ISERROR(FIND("Magical Botch",M869)))),"Yes",IF(P869&gt;1,"Yes","No"))</f>
        <v>No</v>
      </c>
      <c r="S869" s="501"/>
      <c r="T869" s="478"/>
      <c r="U869" s="501"/>
      <c r="V869" s="479" t="str">
        <f>IF(R869="No","No Twilight",IF(T869="Yes","Uncomprehended Twilight",IF((Character!$B$14+IF(Character!$B$53="Yes",0,Character!$B$53)+IF(Magic!$C$5="Yes",2,0)+ROUNDUP((Magic!$B$30+IF(Magic!$C$30="Yes",3,0))/5,0)+S869)&gt;=($D$3+P869+SUMIF(Character!$I$62:$I$66,"Enigmatic Wisdom",Character!$J$62:$J$66)+Q869+U869),"No Twilight","Twilight")))</f>
        <v>No Twilight</v>
      </c>
      <c r="W869" s="483"/>
      <c r="X869" s="478"/>
      <c r="Y869" s="484"/>
      <c r="Z869" s="478"/>
      <c r="AA869" s="485" t="str">
        <f>IF(V869="Uncomprehended Twilight","Failed",IF(OR(ISBLANK(W869),ISBLANK(Y869))," ",IF(NOT(ISBLANK(X869)),"Failed",IF((W869+Character!$B$9+SUMIF(Character!$I$62:$I$66,"Enigmatic Wisdom",Character!$J$62:$J$66))&gt;=IF(Z869="Yes",0,(Y869+D864)),"Succeeded","Failed"))))</f>
        <v xml:space="preserve"> </v>
      </c>
      <c r="AB869" s="477" t="str">
        <f>IF(AA869=" "," ",IF(NOT(ISBLANK(X869)),VLOOKUP($D$3+X869,Calcs!$A$110:$C$122,3,TRUE),IF(AA869="Failed",VLOOKUP($D$3,Calcs!$A$110:$C$122,3,TRUE),VLOOKUP($D$3-(IF((Character!$B$9+W869)&gt;($D$3+Y869),(Character!$B$9+W869)-($D$3+Y869),0)),Calcs!$A$110:$C$122,3,TRUE))))</f>
        <v xml:space="preserve"> </v>
      </c>
      <c r="AC869" s="489"/>
      <c r="AD869" s="489" t="str">
        <f>IF(IF(AA869=" "," ",IF(NOT(ISBLANK(X869)),VLOOKUP($D$3+X869,Calcs!$A$110:$B$122,2,TRUE),IF(AA869="Failed",VLOOKUP($D$3,Calcs!$A$110:$B$122,2,TRUE),VLOOKUP($D$3-(IF((Character!$B$9+W869)&gt;($D$3+Y869),(Character!$B$9+W869)-($D$3+Y869),0)),Calcs!$A$110:$B$122,2,TRUE))))=Calcs!$B$120,IF(ISBLANK(AC869)," ",CONCATENATE(AC869+7," Years")),IF(AA869=" "," ",IF(NOT(ISBLANK(X869)),VLOOKUP($D$3+X869,Calcs!$A$110:$B$122,2,TRUE),IF(AA869="Failed",VLOOKUP($D$3,Calcs!$A$110:$B$122,2,TRUE),VLOOKUP($D$3-(IF((Character!$B$9+W869)&gt;($D$3+Y869),(Character!$B$9+W869)-($D$3+Y869),0)),Calcs!$A$110:$B$122,2,TRUE)))))</f>
        <v xml:space="preserve"> </v>
      </c>
      <c r="AE869" s="490"/>
      <c r="AF869" s="879"/>
      <c r="AG869" s="491"/>
    </row>
    <row r="870" spans="1:33" x14ac:dyDescent="0.2">
      <c r="A870" s="415">
        <f t="shared" si="26"/>
        <v>1427</v>
      </c>
      <c r="B870" s="419" t="str">
        <f t="shared" si="27"/>
        <v>Summer</v>
      </c>
      <c r="C870" s="455"/>
      <c r="D870" s="504"/>
      <c r="E870" s="455"/>
      <c r="F870" s="504"/>
      <c r="G870" s="455"/>
      <c r="H870" s="504"/>
      <c r="I870" s="455"/>
      <c r="J870" s="504"/>
      <c r="L870" s="472"/>
      <c r="M870" s="468"/>
      <c r="N870" s="468"/>
      <c r="O870" s="468"/>
      <c r="P870" s="468"/>
      <c r="Q870" s="473"/>
      <c r="R870" s="477" t="str">
        <f>IF(AND(COUNTIF('Start Character'!$I$63:$M$77,"Twilight Prone")=1,NOT(ISERROR(FIND("Magical Botch",M870)))),"Yes",IF(P870&gt;1,"Yes","No"))</f>
        <v>No</v>
      </c>
      <c r="S870" s="501"/>
      <c r="T870" s="478"/>
      <c r="U870" s="501"/>
      <c r="V870" s="479" t="str">
        <f>IF(R870="No","No Twilight",IF(T870="Yes","Uncomprehended Twilight",IF((Character!$B$14+IF(Character!$B$53="Yes",0,Character!$B$53)+IF(Magic!$C$5="Yes",2,0)+ROUNDUP((Magic!$B$30+IF(Magic!$C$30="Yes",3,0))/5,0)+S870)&gt;=($D$3+P870+SUMIF(Character!$I$62:$I$66,"Enigmatic Wisdom",Character!$J$62:$J$66)+Q870+U870),"No Twilight","Twilight")))</f>
        <v>No Twilight</v>
      </c>
      <c r="W870" s="483"/>
      <c r="X870" s="478"/>
      <c r="Y870" s="484"/>
      <c r="Z870" s="478"/>
      <c r="AA870" s="485" t="str">
        <f>IF(V870="Uncomprehended Twilight","Failed",IF(OR(ISBLANK(W870),ISBLANK(Y870))," ",IF(NOT(ISBLANK(X870)),"Failed",IF((W870+Character!$B$9+SUMIF(Character!$I$62:$I$66,"Enigmatic Wisdom",Character!$J$62:$J$66))&gt;=IF(Z870="Yes",0,(Y870+D865)),"Succeeded","Failed"))))</f>
        <v xml:space="preserve"> </v>
      </c>
      <c r="AB870" s="477" t="str">
        <f>IF(AA870=" "," ",IF(NOT(ISBLANK(X870)),VLOOKUP($D$3+X870,Calcs!$A$110:$C$122,3,TRUE),IF(AA870="Failed",VLOOKUP($D$3,Calcs!$A$110:$C$122,3,TRUE),VLOOKUP($D$3-(IF((Character!$B$9+W870)&gt;($D$3+Y870),(Character!$B$9+W870)-($D$3+Y870),0)),Calcs!$A$110:$C$122,3,TRUE))))</f>
        <v xml:space="preserve"> </v>
      </c>
      <c r="AC870" s="489"/>
      <c r="AD870" s="489" t="str">
        <f>IF(IF(AA870=" "," ",IF(NOT(ISBLANK(X870)),VLOOKUP($D$3+X870,Calcs!$A$110:$B$122,2,TRUE),IF(AA870="Failed",VLOOKUP($D$3,Calcs!$A$110:$B$122,2,TRUE),VLOOKUP($D$3-(IF((Character!$B$9+W870)&gt;($D$3+Y870),(Character!$B$9+W870)-($D$3+Y870),0)),Calcs!$A$110:$B$122,2,TRUE))))=Calcs!$B$120,IF(ISBLANK(AC870)," ",CONCATENATE(AC870+7," Years")),IF(AA870=" "," ",IF(NOT(ISBLANK(X870)),VLOOKUP($D$3+X870,Calcs!$A$110:$B$122,2,TRUE),IF(AA870="Failed",VLOOKUP($D$3,Calcs!$A$110:$B$122,2,TRUE),VLOOKUP($D$3-(IF((Character!$B$9+W870)&gt;($D$3+Y870),(Character!$B$9+W870)-($D$3+Y870),0)),Calcs!$A$110:$B$122,2,TRUE)))))</f>
        <v xml:space="preserve"> </v>
      </c>
      <c r="AE870" s="490"/>
      <c r="AF870" s="879"/>
      <c r="AG870" s="491"/>
    </row>
    <row r="871" spans="1:33" x14ac:dyDescent="0.2">
      <c r="A871" s="415">
        <f t="shared" si="26"/>
        <v>1427</v>
      </c>
      <c r="B871" s="419" t="str">
        <f t="shared" si="27"/>
        <v>Autumn</v>
      </c>
      <c r="C871" s="455"/>
      <c r="D871" s="504"/>
      <c r="E871" s="455"/>
      <c r="F871" s="504"/>
      <c r="G871" s="455"/>
      <c r="H871" s="504"/>
      <c r="I871" s="455"/>
      <c r="J871" s="504"/>
      <c r="L871" s="472"/>
      <c r="M871" s="468"/>
      <c r="N871" s="468"/>
      <c r="O871" s="468"/>
      <c r="P871" s="468"/>
      <c r="Q871" s="473"/>
      <c r="R871" s="477" t="str">
        <f>IF(AND(COUNTIF('Start Character'!$I$63:$M$77,"Twilight Prone")=1,NOT(ISERROR(FIND("Magical Botch",M871)))),"Yes",IF(P871&gt;1,"Yes","No"))</f>
        <v>No</v>
      </c>
      <c r="S871" s="501"/>
      <c r="T871" s="478"/>
      <c r="U871" s="501"/>
      <c r="V871" s="479" t="str">
        <f>IF(R871="No","No Twilight",IF(T871="Yes","Uncomprehended Twilight",IF((Character!$B$14+IF(Character!$B$53="Yes",0,Character!$B$53)+IF(Magic!$C$5="Yes",2,0)+ROUNDUP((Magic!$B$30+IF(Magic!$C$30="Yes",3,0))/5,0)+S871)&gt;=($D$3+P871+SUMIF(Character!$I$62:$I$66,"Enigmatic Wisdom",Character!$J$62:$J$66)+Q871+U871),"No Twilight","Twilight")))</f>
        <v>No Twilight</v>
      </c>
      <c r="W871" s="483"/>
      <c r="X871" s="478"/>
      <c r="Y871" s="484"/>
      <c r="Z871" s="478"/>
      <c r="AA871" s="485" t="str">
        <f>IF(V871="Uncomprehended Twilight","Failed",IF(OR(ISBLANK(W871),ISBLANK(Y871))," ",IF(NOT(ISBLANK(X871)),"Failed",IF((W871+Character!$B$9+SUMIF(Character!$I$62:$I$66,"Enigmatic Wisdom",Character!$J$62:$J$66))&gt;=IF(Z871="Yes",0,(Y871+D866)),"Succeeded","Failed"))))</f>
        <v xml:space="preserve"> </v>
      </c>
      <c r="AB871" s="477" t="str">
        <f>IF(AA871=" "," ",IF(NOT(ISBLANK(X871)),VLOOKUP($D$3+X871,Calcs!$A$110:$C$122,3,TRUE),IF(AA871="Failed",VLOOKUP($D$3,Calcs!$A$110:$C$122,3,TRUE),VLOOKUP($D$3-(IF((Character!$B$9+W871)&gt;($D$3+Y871),(Character!$B$9+W871)-($D$3+Y871),0)),Calcs!$A$110:$C$122,3,TRUE))))</f>
        <v xml:space="preserve"> </v>
      </c>
      <c r="AC871" s="489"/>
      <c r="AD871" s="489" t="str">
        <f>IF(IF(AA871=" "," ",IF(NOT(ISBLANK(X871)),VLOOKUP($D$3+X871,Calcs!$A$110:$B$122,2,TRUE),IF(AA871="Failed",VLOOKUP($D$3,Calcs!$A$110:$B$122,2,TRUE),VLOOKUP($D$3-(IF((Character!$B$9+W871)&gt;($D$3+Y871),(Character!$B$9+W871)-($D$3+Y871),0)),Calcs!$A$110:$B$122,2,TRUE))))=Calcs!$B$120,IF(ISBLANK(AC871)," ",CONCATENATE(AC871+7," Years")),IF(AA871=" "," ",IF(NOT(ISBLANK(X871)),VLOOKUP($D$3+X871,Calcs!$A$110:$B$122,2,TRUE),IF(AA871="Failed",VLOOKUP($D$3,Calcs!$A$110:$B$122,2,TRUE),VLOOKUP($D$3-(IF((Character!$B$9+W871)&gt;($D$3+Y871),(Character!$B$9+W871)-($D$3+Y871),0)),Calcs!$A$110:$B$122,2,TRUE)))))</f>
        <v xml:space="preserve"> </v>
      </c>
      <c r="AE871" s="490"/>
      <c r="AF871" s="879"/>
      <c r="AG871" s="491"/>
    </row>
    <row r="872" spans="1:33" x14ac:dyDescent="0.2">
      <c r="A872" s="415">
        <f t="shared" si="26"/>
        <v>1428</v>
      </c>
      <c r="B872" s="419" t="str">
        <f t="shared" si="27"/>
        <v>Winter</v>
      </c>
      <c r="C872" s="455"/>
      <c r="D872" s="504"/>
      <c r="E872" s="455"/>
      <c r="F872" s="504"/>
      <c r="G872" s="455"/>
      <c r="H872" s="504"/>
      <c r="I872" s="455"/>
      <c r="J872" s="504"/>
      <c r="L872" s="472"/>
      <c r="M872" s="468"/>
      <c r="N872" s="468"/>
      <c r="O872" s="468"/>
      <c r="P872" s="468"/>
      <c r="Q872" s="473"/>
      <c r="R872" s="477" t="str">
        <f>IF(AND(COUNTIF('Start Character'!$I$63:$M$77,"Twilight Prone")=1,NOT(ISERROR(FIND("Magical Botch",M872)))),"Yes",IF(P872&gt;1,"Yes","No"))</f>
        <v>No</v>
      </c>
      <c r="S872" s="501"/>
      <c r="T872" s="478"/>
      <c r="U872" s="501"/>
      <c r="V872" s="479" t="str">
        <f>IF(R872="No","No Twilight",IF(T872="Yes","Uncomprehended Twilight",IF((Character!$B$14+IF(Character!$B$53="Yes",0,Character!$B$53)+IF(Magic!$C$5="Yes",2,0)+ROUNDUP((Magic!$B$30+IF(Magic!$C$30="Yes",3,0))/5,0)+S872)&gt;=($D$3+P872+SUMIF(Character!$I$62:$I$66,"Enigmatic Wisdom",Character!$J$62:$J$66)+Q872+U872),"No Twilight","Twilight")))</f>
        <v>No Twilight</v>
      </c>
      <c r="W872" s="483"/>
      <c r="X872" s="478"/>
      <c r="Y872" s="484"/>
      <c r="Z872" s="478"/>
      <c r="AA872" s="485" t="str">
        <f>IF(V872="Uncomprehended Twilight","Failed",IF(OR(ISBLANK(W872),ISBLANK(Y872))," ",IF(NOT(ISBLANK(X872)),"Failed",IF((W872+Character!$B$9+SUMIF(Character!$I$62:$I$66,"Enigmatic Wisdom",Character!$J$62:$J$66))&gt;=IF(Z872="Yes",0,(Y872+D867)),"Succeeded","Failed"))))</f>
        <v xml:space="preserve"> </v>
      </c>
      <c r="AB872" s="477" t="str">
        <f>IF(AA872=" "," ",IF(NOT(ISBLANK(X872)),VLOOKUP($D$3+X872,Calcs!$A$110:$C$122,3,TRUE),IF(AA872="Failed",VLOOKUP($D$3,Calcs!$A$110:$C$122,3,TRUE),VLOOKUP($D$3-(IF((Character!$B$9+W872)&gt;($D$3+Y872),(Character!$B$9+W872)-($D$3+Y872),0)),Calcs!$A$110:$C$122,3,TRUE))))</f>
        <v xml:space="preserve"> </v>
      </c>
      <c r="AC872" s="489"/>
      <c r="AD872" s="489" t="str">
        <f>IF(IF(AA872=" "," ",IF(NOT(ISBLANK(X872)),VLOOKUP($D$3+X872,Calcs!$A$110:$B$122,2,TRUE),IF(AA872="Failed",VLOOKUP($D$3,Calcs!$A$110:$B$122,2,TRUE),VLOOKUP($D$3-(IF((Character!$B$9+W872)&gt;($D$3+Y872),(Character!$B$9+W872)-($D$3+Y872),0)),Calcs!$A$110:$B$122,2,TRUE))))=Calcs!$B$120,IF(ISBLANK(AC872)," ",CONCATENATE(AC872+7," Years")),IF(AA872=" "," ",IF(NOT(ISBLANK(X872)),VLOOKUP($D$3+X872,Calcs!$A$110:$B$122,2,TRUE),IF(AA872="Failed",VLOOKUP($D$3,Calcs!$A$110:$B$122,2,TRUE),VLOOKUP($D$3-(IF((Character!$B$9+W872)&gt;($D$3+Y872),(Character!$B$9+W872)-($D$3+Y872),0)),Calcs!$A$110:$B$122,2,TRUE)))))</f>
        <v xml:space="preserve"> </v>
      </c>
      <c r="AE872" s="490"/>
      <c r="AF872" s="879"/>
      <c r="AG872" s="491"/>
    </row>
    <row r="873" spans="1:33" x14ac:dyDescent="0.2">
      <c r="A873" s="415">
        <f t="shared" si="26"/>
        <v>1428</v>
      </c>
      <c r="B873" s="419" t="str">
        <f t="shared" si="27"/>
        <v>Spring</v>
      </c>
      <c r="C873" s="455"/>
      <c r="D873" s="504"/>
      <c r="E873" s="455"/>
      <c r="F873" s="504"/>
      <c r="G873" s="455"/>
      <c r="H873" s="504"/>
      <c r="I873" s="455"/>
      <c r="J873" s="504"/>
      <c r="L873" s="472"/>
      <c r="M873" s="468"/>
      <c r="N873" s="468"/>
      <c r="O873" s="468"/>
      <c r="P873" s="468"/>
      <c r="Q873" s="473"/>
      <c r="R873" s="477" t="str">
        <f>IF(AND(COUNTIF('Start Character'!$I$63:$M$77,"Twilight Prone")=1,NOT(ISERROR(FIND("Magical Botch",M873)))),"Yes",IF(P873&gt;1,"Yes","No"))</f>
        <v>No</v>
      </c>
      <c r="S873" s="501"/>
      <c r="T873" s="478"/>
      <c r="U873" s="501"/>
      <c r="V873" s="479" t="str">
        <f>IF(R873="No","No Twilight",IF(T873="Yes","Uncomprehended Twilight",IF((Character!$B$14+IF(Character!$B$53="Yes",0,Character!$B$53)+IF(Magic!$C$5="Yes",2,0)+ROUNDUP((Magic!$B$30+IF(Magic!$C$30="Yes",3,0))/5,0)+S873)&gt;=($D$3+P873+SUMIF(Character!$I$62:$I$66,"Enigmatic Wisdom",Character!$J$62:$J$66)+Q873+U873),"No Twilight","Twilight")))</f>
        <v>No Twilight</v>
      </c>
      <c r="W873" s="483"/>
      <c r="X873" s="478"/>
      <c r="Y873" s="484"/>
      <c r="Z873" s="478"/>
      <c r="AA873" s="485" t="str">
        <f>IF(V873="Uncomprehended Twilight","Failed",IF(OR(ISBLANK(W873),ISBLANK(Y873))," ",IF(NOT(ISBLANK(X873)),"Failed",IF((W873+Character!$B$9+SUMIF(Character!$I$62:$I$66,"Enigmatic Wisdom",Character!$J$62:$J$66))&gt;=IF(Z873="Yes",0,(Y873+D868)),"Succeeded","Failed"))))</f>
        <v xml:space="preserve"> </v>
      </c>
      <c r="AB873" s="477" t="str">
        <f>IF(AA873=" "," ",IF(NOT(ISBLANK(X873)),VLOOKUP($D$3+X873,Calcs!$A$110:$C$122,3,TRUE),IF(AA873="Failed",VLOOKUP($D$3,Calcs!$A$110:$C$122,3,TRUE),VLOOKUP($D$3-(IF((Character!$B$9+W873)&gt;($D$3+Y873),(Character!$B$9+W873)-($D$3+Y873),0)),Calcs!$A$110:$C$122,3,TRUE))))</f>
        <v xml:space="preserve"> </v>
      </c>
      <c r="AC873" s="489"/>
      <c r="AD873" s="489" t="str">
        <f>IF(IF(AA873=" "," ",IF(NOT(ISBLANK(X873)),VLOOKUP($D$3+X873,Calcs!$A$110:$B$122,2,TRUE),IF(AA873="Failed",VLOOKUP($D$3,Calcs!$A$110:$B$122,2,TRUE),VLOOKUP($D$3-(IF((Character!$B$9+W873)&gt;($D$3+Y873),(Character!$B$9+W873)-($D$3+Y873),0)),Calcs!$A$110:$B$122,2,TRUE))))=Calcs!$B$120,IF(ISBLANK(AC873)," ",CONCATENATE(AC873+7," Years")),IF(AA873=" "," ",IF(NOT(ISBLANK(X873)),VLOOKUP($D$3+X873,Calcs!$A$110:$B$122,2,TRUE),IF(AA873="Failed",VLOOKUP($D$3,Calcs!$A$110:$B$122,2,TRUE),VLOOKUP($D$3-(IF((Character!$B$9+W873)&gt;($D$3+Y873),(Character!$B$9+W873)-($D$3+Y873),0)),Calcs!$A$110:$B$122,2,TRUE)))))</f>
        <v xml:space="preserve"> </v>
      </c>
      <c r="AE873" s="490"/>
      <c r="AF873" s="879"/>
      <c r="AG873" s="491"/>
    </row>
    <row r="874" spans="1:33" x14ac:dyDescent="0.2">
      <c r="A874" s="415">
        <f t="shared" si="26"/>
        <v>1428</v>
      </c>
      <c r="B874" s="419" t="str">
        <f t="shared" si="27"/>
        <v>Summer</v>
      </c>
      <c r="C874" s="455"/>
      <c r="D874" s="504"/>
      <c r="E874" s="455"/>
      <c r="F874" s="504"/>
      <c r="G874" s="455"/>
      <c r="H874" s="504"/>
      <c r="I874" s="455"/>
      <c r="J874" s="504"/>
      <c r="L874" s="472"/>
      <c r="M874" s="468"/>
      <c r="N874" s="468"/>
      <c r="O874" s="468"/>
      <c r="P874" s="468"/>
      <c r="Q874" s="473"/>
      <c r="R874" s="477" t="str">
        <f>IF(AND(COUNTIF('Start Character'!$I$63:$M$77,"Twilight Prone")=1,NOT(ISERROR(FIND("Magical Botch",M874)))),"Yes",IF(P874&gt;1,"Yes","No"))</f>
        <v>No</v>
      </c>
      <c r="S874" s="501"/>
      <c r="T874" s="478"/>
      <c r="U874" s="501"/>
      <c r="V874" s="479" t="str">
        <f>IF(R874="No","No Twilight",IF(T874="Yes","Uncomprehended Twilight",IF((Character!$B$14+IF(Character!$B$53="Yes",0,Character!$B$53)+IF(Magic!$C$5="Yes",2,0)+ROUNDUP((Magic!$B$30+IF(Magic!$C$30="Yes",3,0))/5,0)+S874)&gt;=($D$3+P874+SUMIF(Character!$I$62:$I$66,"Enigmatic Wisdom",Character!$J$62:$J$66)+Q874+U874),"No Twilight","Twilight")))</f>
        <v>No Twilight</v>
      </c>
      <c r="W874" s="483"/>
      <c r="X874" s="478"/>
      <c r="Y874" s="484"/>
      <c r="Z874" s="478"/>
      <c r="AA874" s="485" t="str">
        <f>IF(V874="Uncomprehended Twilight","Failed",IF(OR(ISBLANK(W874),ISBLANK(Y874))," ",IF(NOT(ISBLANK(X874)),"Failed",IF((W874+Character!$B$9+SUMIF(Character!$I$62:$I$66,"Enigmatic Wisdom",Character!$J$62:$J$66))&gt;=IF(Z874="Yes",0,(Y874+D869)),"Succeeded","Failed"))))</f>
        <v xml:space="preserve"> </v>
      </c>
      <c r="AB874" s="477" t="str">
        <f>IF(AA874=" "," ",IF(NOT(ISBLANK(X874)),VLOOKUP($D$3+X874,Calcs!$A$110:$C$122,3,TRUE),IF(AA874="Failed",VLOOKUP($D$3,Calcs!$A$110:$C$122,3,TRUE),VLOOKUP($D$3-(IF((Character!$B$9+W874)&gt;($D$3+Y874),(Character!$B$9+W874)-($D$3+Y874),0)),Calcs!$A$110:$C$122,3,TRUE))))</f>
        <v xml:space="preserve"> </v>
      </c>
      <c r="AC874" s="489"/>
      <c r="AD874" s="489" t="str">
        <f>IF(IF(AA874=" "," ",IF(NOT(ISBLANK(X874)),VLOOKUP($D$3+X874,Calcs!$A$110:$B$122,2,TRUE),IF(AA874="Failed",VLOOKUP($D$3,Calcs!$A$110:$B$122,2,TRUE),VLOOKUP($D$3-(IF((Character!$B$9+W874)&gt;($D$3+Y874),(Character!$B$9+W874)-($D$3+Y874),0)),Calcs!$A$110:$B$122,2,TRUE))))=Calcs!$B$120,IF(ISBLANK(AC874)," ",CONCATENATE(AC874+7," Years")),IF(AA874=" "," ",IF(NOT(ISBLANK(X874)),VLOOKUP($D$3+X874,Calcs!$A$110:$B$122,2,TRUE),IF(AA874="Failed",VLOOKUP($D$3,Calcs!$A$110:$B$122,2,TRUE),VLOOKUP($D$3-(IF((Character!$B$9+W874)&gt;($D$3+Y874),(Character!$B$9+W874)-($D$3+Y874),0)),Calcs!$A$110:$B$122,2,TRUE)))))</f>
        <v xml:space="preserve"> </v>
      </c>
      <c r="AE874" s="490"/>
      <c r="AF874" s="879"/>
      <c r="AG874" s="491"/>
    </row>
    <row r="875" spans="1:33" x14ac:dyDescent="0.2">
      <c r="A875" s="415">
        <f t="shared" si="26"/>
        <v>1428</v>
      </c>
      <c r="B875" s="419" t="str">
        <f t="shared" si="27"/>
        <v>Autumn</v>
      </c>
      <c r="C875" s="455"/>
      <c r="D875" s="504"/>
      <c r="E875" s="455"/>
      <c r="F875" s="504"/>
      <c r="G875" s="455"/>
      <c r="H875" s="504"/>
      <c r="I875" s="455"/>
      <c r="J875" s="504"/>
      <c r="L875" s="472"/>
      <c r="M875" s="468"/>
      <c r="N875" s="468"/>
      <c r="O875" s="468"/>
      <c r="P875" s="468"/>
      <c r="Q875" s="473"/>
      <c r="R875" s="477" t="str">
        <f>IF(AND(COUNTIF('Start Character'!$I$63:$M$77,"Twilight Prone")=1,NOT(ISERROR(FIND("Magical Botch",M875)))),"Yes",IF(P875&gt;1,"Yes","No"))</f>
        <v>No</v>
      </c>
      <c r="S875" s="501"/>
      <c r="T875" s="478"/>
      <c r="U875" s="501"/>
      <c r="V875" s="479" t="str">
        <f>IF(R875="No","No Twilight",IF(T875="Yes","Uncomprehended Twilight",IF((Character!$B$14+IF(Character!$B$53="Yes",0,Character!$B$53)+IF(Magic!$C$5="Yes",2,0)+ROUNDUP((Magic!$B$30+IF(Magic!$C$30="Yes",3,0))/5,0)+S875)&gt;=($D$3+P875+SUMIF(Character!$I$62:$I$66,"Enigmatic Wisdom",Character!$J$62:$J$66)+Q875+U875),"No Twilight","Twilight")))</f>
        <v>No Twilight</v>
      </c>
      <c r="W875" s="483"/>
      <c r="X875" s="478"/>
      <c r="Y875" s="484"/>
      <c r="Z875" s="478"/>
      <c r="AA875" s="485" t="str">
        <f>IF(V875="Uncomprehended Twilight","Failed",IF(OR(ISBLANK(W875),ISBLANK(Y875))," ",IF(NOT(ISBLANK(X875)),"Failed",IF((W875+Character!$B$9+SUMIF(Character!$I$62:$I$66,"Enigmatic Wisdom",Character!$J$62:$J$66))&gt;=IF(Z875="Yes",0,(Y875+D870)),"Succeeded","Failed"))))</f>
        <v xml:space="preserve"> </v>
      </c>
      <c r="AB875" s="477" t="str">
        <f>IF(AA875=" "," ",IF(NOT(ISBLANK(X875)),VLOOKUP($D$3+X875,Calcs!$A$110:$C$122,3,TRUE),IF(AA875="Failed",VLOOKUP($D$3,Calcs!$A$110:$C$122,3,TRUE),VLOOKUP($D$3-(IF((Character!$B$9+W875)&gt;($D$3+Y875),(Character!$B$9+W875)-($D$3+Y875),0)),Calcs!$A$110:$C$122,3,TRUE))))</f>
        <v xml:space="preserve"> </v>
      </c>
      <c r="AC875" s="489"/>
      <c r="AD875" s="489" t="str">
        <f>IF(IF(AA875=" "," ",IF(NOT(ISBLANK(X875)),VLOOKUP($D$3+X875,Calcs!$A$110:$B$122,2,TRUE),IF(AA875="Failed",VLOOKUP($D$3,Calcs!$A$110:$B$122,2,TRUE),VLOOKUP($D$3-(IF((Character!$B$9+W875)&gt;($D$3+Y875),(Character!$B$9+W875)-($D$3+Y875),0)),Calcs!$A$110:$B$122,2,TRUE))))=Calcs!$B$120,IF(ISBLANK(AC875)," ",CONCATENATE(AC875+7," Years")),IF(AA875=" "," ",IF(NOT(ISBLANK(X875)),VLOOKUP($D$3+X875,Calcs!$A$110:$B$122,2,TRUE),IF(AA875="Failed",VLOOKUP($D$3,Calcs!$A$110:$B$122,2,TRUE),VLOOKUP($D$3-(IF((Character!$B$9+W875)&gt;($D$3+Y875),(Character!$B$9+W875)-($D$3+Y875),0)),Calcs!$A$110:$B$122,2,TRUE)))))</f>
        <v xml:space="preserve"> </v>
      </c>
      <c r="AE875" s="490"/>
      <c r="AF875" s="879"/>
      <c r="AG875" s="491"/>
    </row>
    <row r="876" spans="1:33" x14ac:dyDescent="0.2">
      <c r="A876" s="415">
        <f t="shared" si="26"/>
        <v>1429</v>
      </c>
      <c r="B876" s="419" t="str">
        <f t="shared" si="27"/>
        <v>Winter</v>
      </c>
      <c r="C876" s="455"/>
      <c r="D876" s="504"/>
      <c r="E876" s="455"/>
      <c r="F876" s="504"/>
      <c r="G876" s="455"/>
      <c r="H876" s="504"/>
      <c r="I876" s="455"/>
      <c r="J876" s="504"/>
      <c r="L876" s="472"/>
      <c r="M876" s="468"/>
      <c r="N876" s="468"/>
      <c r="O876" s="468"/>
      <c r="P876" s="468"/>
      <c r="Q876" s="473"/>
      <c r="R876" s="477" t="str">
        <f>IF(AND(COUNTIF('Start Character'!$I$63:$M$77,"Twilight Prone")=1,NOT(ISERROR(FIND("Magical Botch",M876)))),"Yes",IF(P876&gt;1,"Yes","No"))</f>
        <v>No</v>
      </c>
      <c r="S876" s="501"/>
      <c r="T876" s="478"/>
      <c r="U876" s="501"/>
      <c r="V876" s="479" t="str">
        <f>IF(R876="No","No Twilight",IF(T876="Yes","Uncomprehended Twilight",IF((Character!$B$14+IF(Character!$B$53="Yes",0,Character!$B$53)+IF(Magic!$C$5="Yes",2,0)+ROUNDUP((Magic!$B$30+IF(Magic!$C$30="Yes",3,0))/5,0)+S876)&gt;=($D$3+P876+SUMIF(Character!$I$62:$I$66,"Enigmatic Wisdom",Character!$J$62:$J$66)+Q876+U876),"No Twilight","Twilight")))</f>
        <v>No Twilight</v>
      </c>
      <c r="W876" s="483"/>
      <c r="X876" s="478"/>
      <c r="Y876" s="484"/>
      <c r="Z876" s="478"/>
      <c r="AA876" s="485" t="str">
        <f>IF(V876="Uncomprehended Twilight","Failed",IF(OR(ISBLANK(W876),ISBLANK(Y876))," ",IF(NOT(ISBLANK(X876)),"Failed",IF((W876+Character!$B$9+SUMIF(Character!$I$62:$I$66,"Enigmatic Wisdom",Character!$J$62:$J$66))&gt;=IF(Z876="Yes",0,(Y876+D871)),"Succeeded","Failed"))))</f>
        <v xml:space="preserve"> </v>
      </c>
      <c r="AB876" s="477" t="str">
        <f>IF(AA876=" "," ",IF(NOT(ISBLANK(X876)),VLOOKUP($D$3+X876,Calcs!$A$110:$C$122,3,TRUE),IF(AA876="Failed",VLOOKUP($D$3,Calcs!$A$110:$C$122,3,TRUE),VLOOKUP($D$3-(IF((Character!$B$9+W876)&gt;($D$3+Y876),(Character!$B$9+W876)-($D$3+Y876),0)),Calcs!$A$110:$C$122,3,TRUE))))</f>
        <v xml:space="preserve"> </v>
      </c>
      <c r="AC876" s="489"/>
      <c r="AD876" s="489" t="str">
        <f>IF(IF(AA876=" "," ",IF(NOT(ISBLANK(X876)),VLOOKUP($D$3+X876,Calcs!$A$110:$B$122,2,TRUE),IF(AA876="Failed",VLOOKUP($D$3,Calcs!$A$110:$B$122,2,TRUE),VLOOKUP($D$3-(IF((Character!$B$9+W876)&gt;($D$3+Y876),(Character!$B$9+W876)-($D$3+Y876),0)),Calcs!$A$110:$B$122,2,TRUE))))=Calcs!$B$120,IF(ISBLANK(AC876)," ",CONCATENATE(AC876+7," Years")),IF(AA876=" "," ",IF(NOT(ISBLANK(X876)),VLOOKUP($D$3+X876,Calcs!$A$110:$B$122,2,TRUE),IF(AA876="Failed",VLOOKUP($D$3,Calcs!$A$110:$B$122,2,TRUE),VLOOKUP($D$3-(IF((Character!$B$9+W876)&gt;($D$3+Y876),(Character!$B$9+W876)-($D$3+Y876),0)),Calcs!$A$110:$B$122,2,TRUE)))))</f>
        <v xml:space="preserve"> </v>
      </c>
      <c r="AE876" s="490"/>
      <c r="AF876" s="879"/>
      <c r="AG876" s="491"/>
    </row>
    <row r="877" spans="1:33" x14ac:dyDescent="0.2">
      <c r="A877" s="415">
        <f t="shared" si="26"/>
        <v>1429</v>
      </c>
      <c r="B877" s="419" t="str">
        <f t="shared" si="27"/>
        <v>Spring</v>
      </c>
      <c r="C877" s="455"/>
      <c r="D877" s="504"/>
      <c r="E877" s="455"/>
      <c r="F877" s="504"/>
      <c r="G877" s="455"/>
      <c r="H877" s="504"/>
      <c r="I877" s="455"/>
      <c r="J877" s="504"/>
      <c r="L877" s="472"/>
      <c r="M877" s="468"/>
      <c r="N877" s="468"/>
      <c r="O877" s="468"/>
      <c r="P877" s="468"/>
      <c r="Q877" s="473"/>
      <c r="R877" s="477" t="str">
        <f>IF(AND(COUNTIF('Start Character'!$I$63:$M$77,"Twilight Prone")=1,NOT(ISERROR(FIND("Magical Botch",M877)))),"Yes",IF(P877&gt;1,"Yes","No"))</f>
        <v>No</v>
      </c>
      <c r="S877" s="501"/>
      <c r="T877" s="478"/>
      <c r="U877" s="501"/>
      <c r="V877" s="479" t="str">
        <f>IF(R877="No","No Twilight",IF(T877="Yes","Uncomprehended Twilight",IF((Character!$B$14+IF(Character!$B$53="Yes",0,Character!$B$53)+IF(Magic!$C$5="Yes",2,0)+ROUNDUP((Magic!$B$30+IF(Magic!$C$30="Yes",3,0))/5,0)+S877)&gt;=($D$3+P877+SUMIF(Character!$I$62:$I$66,"Enigmatic Wisdom",Character!$J$62:$J$66)+Q877+U877),"No Twilight","Twilight")))</f>
        <v>No Twilight</v>
      </c>
      <c r="W877" s="483"/>
      <c r="X877" s="478"/>
      <c r="Y877" s="484"/>
      <c r="Z877" s="478"/>
      <c r="AA877" s="485" t="str">
        <f>IF(V877="Uncomprehended Twilight","Failed",IF(OR(ISBLANK(W877),ISBLANK(Y877))," ",IF(NOT(ISBLANK(X877)),"Failed",IF((W877+Character!$B$9+SUMIF(Character!$I$62:$I$66,"Enigmatic Wisdom",Character!$J$62:$J$66))&gt;=IF(Z877="Yes",0,(Y877+D872)),"Succeeded","Failed"))))</f>
        <v xml:space="preserve"> </v>
      </c>
      <c r="AB877" s="477" t="str">
        <f>IF(AA877=" "," ",IF(NOT(ISBLANK(X877)),VLOOKUP($D$3+X877,Calcs!$A$110:$C$122,3,TRUE),IF(AA877="Failed",VLOOKUP($D$3,Calcs!$A$110:$C$122,3,TRUE),VLOOKUP($D$3-(IF((Character!$B$9+W877)&gt;($D$3+Y877),(Character!$B$9+W877)-($D$3+Y877),0)),Calcs!$A$110:$C$122,3,TRUE))))</f>
        <v xml:space="preserve"> </v>
      </c>
      <c r="AC877" s="489"/>
      <c r="AD877" s="489" t="str">
        <f>IF(IF(AA877=" "," ",IF(NOT(ISBLANK(X877)),VLOOKUP($D$3+X877,Calcs!$A$110:$B$122,2,TRUE),IF(AA877="Failed",VLOOKUP($D$3,Calcs!$A$110:$B$122,2,TRUE),VLOOKUP($D$3-(IF((Character!$B$9+W877)&gt;($D$3+Y877),(Character!$B$9+W877)-($D$3+Y877),0)),Calcs!$A$110:$B$122,2,TRUE))))=Calcs!$B$120,IF(ISBLANK(AC877)," ",CONCATENATE(AC877+7," Years")),IF(AA877=" "," ",IF(NOT(ISBLANK(X877)),VLOOKUP($D$3+X877,Calcs!$A$110:$B$122,2,TRUE),IF(AA877="Failed",VLOOKUP($D$3,Calcs!$A$110:$B$122,2,TRUE),VLOOKUP($D$3-(IF((Character!$B$9+W877)&gt;($D$3+Y877),(Character!$B$9+W877)-($D$3+Y877),0)),Calcs!$A$110:$B$122,2,TRUE)))))</f>
        <v xml:space="preserve"> </v>
      </c>
      <c r="AE877" s="490"/>
      <c r="AF877" s="879"/>
      <c r="AG877" s="491"/>
    </row>
    <row r="878" spans="1:33" x14ac:dyDescent="0.2">
      <c r="A878" s="415">
        <f t="shared" si="26"/>
        <v>1429</v>
      </c>
      <c r="B878" s="419" t="str">
        <f t="shared" si="27"/>
        <v>Summer</v>
      </c>
      <c r="C878" s="455"/>
      <c r="D878" s="504"/>
      <c r="E878" s="455"/>
      <c r="F878" s="504"/>
      <c r="G878" s="455"/>
      <c r="H878" s="504"/>
      <c r="I878" s="455"/>
      <c r="J878" s="504"/>
      <c r="L878" s="472"/>
      <c r="M878" s="468"/>
      <c r="N878" s="468"/>
      <c r="O878" s="468"/>
      <c r="P878" s="468"/>
      <c r="Q878" s="473"/>
      <c r="R878" s="477" t="str">
        <f>IF(AND(COUNTIF('Start Character'!$I$63:$M$77,"Twilight Prone")=1,NOT(ISERROR(FIND("Magical Botch",M878)))),"Yes",IF(P878&gt;1,"Yes","No"))</f>
        <v>No</v>
      </c>
      <c r="S878" s="501"/>
      <c r="T878" s="478"/>
      <c r="U878" s="501"/>
      <c r="V878" s="479" t="str">
        <f>IF(R878="No","No Twilight",IF(T878="Yes","Uncomprehended Twilight",IF((Character!$B$14+IF(Character!$B$53="Yes",0,Character!$B$53)+IF(Magic!$C$5="Yes",2,0)+ROUNDUP((Magic!$B$30+IF(Magic!$C$30="Yes",3,0))/5,0)+S878)&gt;=($D$3+P878+SUMIF(Character!$I$62:$I$66,"Enigmatic Wisdom",Character!$J$62:$J$66)+Q878+U878),"No Twilight","Twilight")))</f>
        <v>No Twilight</v>
      </c>
      <c r="W878" s="483"/>
      <c r="X878" s="478"/>
      <c r="Y878" s="484"/>
      <c r="Z878" s="478"/>
      <c r="AA878" s="485" t="str">
        <f>IF(V878="Uncomprehended Twilight","Failed",IF(OR(ISBLANK(W878),ISBLANK(Y878))," ",IF(NOT(ISBLANK(X878)),"Failed",IF((W878+Character!$B$9+SUMIF(Character!$I$62:$I$66,"Enigmatic Wisdom",Character!$J$62:$J$66))&gt;=IF(Z878="Yes",0,(Y878+D873)),"Succeeded","Failed"))))</f>
        <v xml:space="preserve"> </v>
      </c>
      <c r="AB878" s="477" t="str">
        <f>IF(AA878=" "," ",IF(NOT(ISBLANK(X878)),VLOOKUP($D$3+X878,Calcs!$A$110:$C$122,3,TRUE),IF(AA878="Failed",VLOOKUP($D$3,Calcs!$A$110:$C$122,3,TRUE),VLOOKUP($D$3-(IF((Character!$B$9+W878)&gt;($D$3+Y878),(Character!$B$9+W878)-($D$3+Y878),0)),Calcs!$A$110:$C$122,3,TRUE))))</f>
        <v xml:space="preserve"> </v>
      </c>
      <c r="AC878" s="489"/>
      <c r="AD878" s="489" t="str">
        <f>IF(IF(AA878=" "," ",IF(NOT(ISBLANK(X878)),VLOOKUP($D$3+X878,Calcs!$A$110:$B$122,2,TRUE),IF(AA878="Failed",VLOOKUP($D$3,Calcs!$A$110:$B$122,2,TRUE),VLOOKUP($D$3-(IF((Character!$B$9+W878)&gt;($D$3+Y878),(Character!$B$9+W878)-($D$3+Y878),0)),Calcs!$A$110:$B$122,2,TRUE))))=Calcs!$B$120,IF(ISBLANK(AC878)," ",CONCATENATE(AC878+7," Years")),IF(AA878=" "," ",IF(NOT(ISBLANK(X878)),VLOOKUP($D$3+X878,Calcs!$A$110:$B$122,2,TRUE),IF(AA878="Failed",VLOOKUP($D$3,Calcs!$A$110:$B$122,2,TRUE),VLOOKUP($D$3-(IF((Character!$B$9+W878)&gt;($D$3+Y878),(Character!$B$9+W878)-($D$3+Y878),0)),Calcs!$A$110:$B$122,2,TRUE)))))</f>
        <v xml:space="preserve"> </v>
      </c>
      <c r="AE878" s="490"/>
      <c r="AF878" s="879"/>
      <c r="AG878" s="491"/>
    </row>
    <row r="879" spans="1:33" x14ac:dyDescent="0.2">
      <c r="A879" s="415">
        <f t="shared" si="26"/>
        <v>1429</v>
      </c>
      <c r="B879" s="419" t="str">
        <f t="shared" si="27"/>
        <v>Autumn</v>
      </c>
      <c r="C879" s="455"/>
      <c r="D879" s="504"/>
      <c r="E879" s="455"/>
      <c r="F879" s="504"/>
      <c r="G879" s="455"/>
      <c r="H879" s="504"/>
      <c r="I879" s="455"/>
      <c r="J879" s="504"/>
      <c r="L879" s="472"/>
      <c r="M879" s="468"/>
      <c r="N879" s="468"/>
      <c r="O879" s="468"/>
      <c r="P879" s="468"/>
      <c r="Q879" s="473"/>
      <c r="R879" s="477" t="str">
        <f>IF(AND(COUNTIF('Start Character'!$I$63:$M$77,"Twilight Prone")=1,NOT(ISERROR(FIND("Magical Botch",M879)))),"Yes",IF(P879&gt;1,"Yes","No"))</f>
        <v>No</v>
      </c>
      <c r="S879" s="501"/>
      <c r="T879" s="478"/>
      <c r="U879" s="501"/>
      <c r="V879" s="479" t="str">
        <f>IF(R879="No","No Twilight",IF(T879="Yes","Uncomprehended Twilight",IF((Character!$B$14+IF(Character!$B$53="Yes",0,Character!$B$53)+IF(Magic!$C$5="Yes",2,0)+ROUNDUP((Magic!$B$30+IF(Magic!$C$30="Yes",3,0))/5,0)+S879)&gt;=($D$3+P879+SUMIF(Character!$I$62:$I$66,"Enigmatic Wisdom",Character!$J$62:$J$66)+Q879+U879),"No Twilight","Twilight")))</f>
        <v>No Twilight</v>
      </c>
      <c r="W879" s="483"/>
      <c r="X879" s="478"/>
      <c r="Y879" s="484"/>
      <c r="Z879" s="478"/>
      <c r="AA879" s="485" t="str">
        <f>IF(V879="Uncomprehended Twilight","Failed",IF(OR(ISBLANK(W879),ISBLANK(Y879))," ",IF(NOT(ISBLANK(X879)),"Failed",IF((W879+Character!$B$9+SUMIF(Character!$I$62:$I$66,"Enigmatic Wisdom",Character!$J$62:$J$66))&gt;=IF(Z879="Yes",0,(Y879+D874)),"Succeeded","Failed"))))</f>
        <v xml:space="preserve"> </v>
      </c>
      <c r="AB879" s="477" t="str">
        <f>IF(AA879=" "," ",IF(NOT(ISBLANK(X879)),VLOOKUP($D$3+X879,Calcs!$A$110:$C$122,3,TRUE),IF(AA879="Failed",VLOOKUP($D$3,Calcs!$A$110:$C$122,3,TRUE),VLOOKUP($D$3-(IF((Character!$B$9+W879)&gt;($D$3+Y879),(Character!$B$9+W879)-($D$3+Y879),0)),Calcs!$A$110:$C$122,3,TRUE))))</f>
        <v xml:space="preserve"> </v>
      </c>
      <c r="AC879" s="489"/>
      <c r="AD879" s="489" t="str">
        <f>IF(IF(AA879=" "," ",IF(NOT(ISBLANK(X879)),VLOOKUP($D$3+X879,Calcs!$A$110:$B$122,2,TRUE),IF(AA879="Failed",VLOOKUP($D$3,Calcs!$A$110:$B$122,2,TRUE),VLOOKUP($D$3-(IF((Character!$B$9+W879)&gt;($D$3+Y879),(Character!$B$9+W879)-($D$3+Y879),0)),Calcs!$A$110:$B$122,2,TRUE))))=Calcs!$B$120,IF(ISBLANK(AC879)," ",CONCATENATE(AC879+7," Years")),IF(AA879=" "," ",IF(NOT(ISBLANK(X879)),VLOOKUP($D$3+X879,Calcs!$A$110:$B$122,2,TRUE),IF(AA879="Failed",VLOOKUP($D$3,Calcs!$A$110:$B$122,2,TRUE),VLOOKUP($D$3-(IF((Character!$B$9+W879)&gt;($D$3+Y879),(Character!$B$9+W879)-($D$3+Y879),0)),Calcs!$A$110:$B$122,2,TRUE)))))</f>
        <v xml:space="preserve"> </v>
      </c>
      <c r="AE879" s="490"/>
      <c r="AF879" s="879"/>
      <c r="AG879" s="491"/>
    </row>
    <row r="880" spans="1:33" x14ac:dyDescent="0.2">
      <c r="A880" s="415">
        <f t="shared" si="26"/>
        <v>1430</v>
      </c>
      <c r="B880" s="419" t="str">
        <f t="shared" si="27"/>
        <v>Winter</v>
      </c>
      <c r="C880" s="455"/>
      <c r="D880" s="504"/>
      <c r="E880" s="455"/>
      <c r="F880" s="504"/>
      <c r="G880" s="455"/>
      <c r="H880" s="504"/>
      <c r="I880" s="455"/>
      <c r="J880" s="504"/>
      <c r="L880" s="472"/>
      <c r="M880" s="468"/>
      <c r="N880" s="468"/>
      <c r="O880" s="468"/>
      <c r="P880" s="468"/>
      <c r="Q880" s="473"/>
      <c r="R880" s="477" t="str">
        <f>IF(AND(COUNTIF('Start Character'!$I$63:$M$77,"Twilight Prone")=1,NOT(ISERROR(FIND("Magical Botch",M880)))),"Yes",IF(P880&gt;1,"Yes","No"))</f>
        <v>No</v>
      </c>
      <c r="S880" s="501"/>
      <c r="T880" s="478"/>
      <c r="U880" s="501"/>
      <c r="V880" s="479" t="str">
        <f>IF(R880="No","No Twilight",IF(T880="Yes","Uncomprehended Twilight",IF((Character!$B$14+IF(Character!$B$53="Yes",0,Character!$B$53)+IF(Magic!$C$5="Yes",2,0)+ROUNDUP((Magic!$B$30+IF(Magic!$C$30="Yes",3,0))/5,0)+S880)&gt;=($D$3+P880+SUMIF(Character!$I$62:$I$66,"Enigmatic Wisdom",Character!$J$62:$J$66)+Q880+U880),"No Twilight","Twilight")))</f>
        <v>No Twilight</v>
      </c>
      <c r="W880" s="483"/>
      <c r="X880" s="478"/>
      <c r="Y880" s="484"/>
      <c r="Z880" s="478"/>
      <c r="AA880" s="485" t="str">
        <f>IF(V880="Uncomprehended Twilight","Failed",IF(OR(ISBLANK(W880),ISBLANK(Y880))," ",IF(NOT(ISBLANK(X880)),"Failed",IF((W880+Character!$B$9+SUMIF(Character!$I$62:$I$66,"Enigmatic Wisdom",Character!$J$62:$J$66))&gt;=IF(Z880="Yes",0,(Y880+D875)),"Succeeded","Failed"))))</f>
        <v xml:space="preserve"> </v>
      </c>
      <c r="AB880" s="477" t="str">
        <f>IF(AA880=" "," ",IF(NOT(ISBLANK(X880)),VLOOKUP($D$3+X880,Calcs!$A$110:$C$122,3,TRUE),IF(AA880="Failed",VLOOKUP($D$3,Calcs!$A$110:$C$122,3,TRUE),VLOOKUP($D$3-(IF((Character!$B$9+W880)&gt;($D$3+Y880),(Character!$B$9+W880)-($D$3+Y880),0)),Calcs!$A$110:$C$122,3,TRUE))))</f>
        <v xml:space="preserve"> </v>
      </c>
      <c r="AC880" s="489"/>
      <c r="AD880" s="489" t="str">
        <f>IF(IF(AA880=" "," ",IF(NOT(ISBLANK(X880)),VLOOKUP($D$3+X880,Calcs!$A$110:$B$122,2,TRUE),IF(AA880="Failed",VLOOKUP($D$3,Calcs!$A$110:$B$122,2,TRUE),VLOOKUP($D$3-(IF((Character!$B$9+W880)&gt;($D$3+Y880),(Character!$B$9+W880)-($D$3+Y880),0)),Calcs!$A$110:$B$122,2,TRUE))))=Calcs!$B$120,IF(ISBLANK(AC880)," ",CONCATENATE(AC880+7," Years")),IF(AA880=" "," ",IF(NOT(ISBLANK(X880)),VLOOKUP($D$3+X880,Calcs!$A$110:$B$122,2,TRUE),IF(AA880="Failed",VLOOKUP($D$3,Calcs!$A$110:$B$122,2,TRUE),VLOOKUP($D$3-(IF((Character!$B$9+W880)&gt;($D$3+Y880),(Character!$B$9+W880)-($D$3+Y880),0)),Calcs!$A$110:$B$122,2,TRUE)))))</f>
        <v xml:space="preserve"> </v>
      </c>
      <c r="AE880" s="490"/>
      <c r="AF880" s="879"/>
      <c r="AG880" s="491"/>
    </row>
    <row r="881" spans="1:33" x14ac:dyDescent="0.2">
      <c r="A881" s="415">
        <f t="shared" si="26"/>
        <v>1430</v>
      </c>
      <c r="B881" s="419" t="str">
        <f t="shared" si="27"/>
        <v>Spring</v>
      </c>
      <c r="C881" s="455"/>
      <c r="D881" s="504"/>
      <c r="E881" s="455"/>
      <c r="F881" s="504"/>
      <c r="G881" s="455"/>
      <c r="H881" s="504"/>
      <c r="I881" s="455"/>
      <c r="J881" s="504"/>
      <c r="L881" s="472"/>
      <c r="M881" s="468"/>
      <c r="N881" s="468"/>
      <c r="O881" s="468"/>
      <c r="P881" s="468"/>
      <c r="Q881" s="473"/>
      <c r="R881" s="477" t="str">
        <f>IF(AND(COUNTIF('Start Character'!$I$63:$M$77,"Twilight Prone")=1,NOT(ISERROR(FIND("Magical Botch",M881)))),"Yes",IF(P881&gt;1,"Yes","No"))</f>
        <v>No</v>
      </c>
      <c r="S881" s="501"/>
      <c r="T881" s="478"/>
      <c r="U881" s="501"/>
      <c r="V881" s="479" t="str">
        <f>IF(R881="No","No Twilight",IF(T881="Yes","Uncomprehended Twilight",IF((Character!$B$14+IF(Character!$B$53="Yes",0,Character!$B$53)+IF(Magic!$C$5="Yes",2,0)+ROUNDUP((Magic!$B$30+IF(Magic!$C$30="Yes",3,0))/5,0)+S881)&gt;=($D$3+P881+SUMIF(Character!$I$62:$I$66,"Enigmatic Wisdom",Character!$J$62:$J$66)+Q881+U881),"No Twilight","Twilight")))</f>
        <v>No Twilight</v>
      </c>
      <c r="W881" s="483"/>
      <c r="X881" s="478"/>
      <c r="Y881" s="484"/>
      <c r="Z881" s="478"/>
      <c r="AA881" s="485" t="str">
        <f>IF(V881="Uncomprehended Twilight","Failed",IF(OR(ISBLANK(W881),ISBLANK(Y881))," ",IF(NOT(ISBLANK(X881)),"Failed",IF((W881+Character!$B$9+SUMIF(Character!$I$62:$I$66,"Enigmatic Wisdom",Character!$J$62:$J$66))&gt;=IF(Z881="Yes",0,(Y881+D876)),"Succeeded","Failed"))))</f>
        <v xml:space="preserve"> </v>
      </c>
      <c r="AB881" s="477" t="str">
        <f>IF(AA881=" "," ",IF(NOT(ISBLANK(X881)),VLOOKUP($D$3+X881,Calcs!$A$110:$C$122,3,TRUE),IF(AA881="Failed",VLOOKUP($D$3,Calcs!$A$110:$C$122,3,TRUE),VLOOKUP($D$3-(IF((Character!$B$9+W881)&gt;($D$3+Y881),(Character!$B$9+W881)-($D$3+Y881),0)),Calcs!$A$110:$C$122,3,TRUE))))</f>
        <v xml:space="preserve"> </v>
      </c>
      <c r="AC881" s="489"/>
      <c r="AD881" s="489" t="str">
        <f>IF(IF(AA881=" "," ",IF(NOT(ISBLANK(X881)),VLOOKUP($D$3+X881,Calcs!$A$110:$B$122,2,TRUE),IF(AA881="Failed",VLOOKUP($D$3,Calcs!$A$110:$B$122,2,TRUE),VLOOKUP($D$3-(IF((Character!$B$9+W881)&gt;($D$3+Y881),(Character!$B$9+W881)-($D$3+Y881),0)),Calcs!$A$110:$B$122,2,TRUE))))=Calcs!$B$120,IF(ISBLANK(AC881)," ",CONCATENATE(AC881+7," Years")),IF(AA881=" "," ",IF(NOT(ISBLANK(X881)),VLOOKUP($D$3+X881,Calcs!$A$110:$B$122,2,TRUE),IF(AA881="Failed",VLOOKUP($D$3,Calcs!$A$110:$B$122,2,TRUE),VLOOKUP($D$3-(IF((Character!$B$9+W881)&gt;($D$3+Y881),(Character!$B$9+W881)-($D$3+Y881),0)),Calcs!$A$110:$B$122,2,TRUE)))))</f>
        <v xml:space="preserve"> </v>
      </c>
      <c r="AE881" s="490"/>
      <c r="AF881" s="879"/>
      <c r="AG881" s="491"/>
    </row>
    <row r="882" spans="1:33" x14ac:dyDescent="0.2">
      <c r="A882" s="415">
        <f t="shared" si="26"/>
        <v>1430</v>
      </c>
      <c r="B882" s="419" t="str">
        <f t="shared" si="27"/>
        <v>Summer</v>
      </c>
      <c r="C882" s="455"/>
      <c r="D882" s="504"/>
      <c r="E882" s="455"/>
      <c r="F882" s="504"/>
      <c r="G882" s="455"/>
      <c r="H882" s="504"/>
      <c r="I882" s="455"/>
      <c r="J882" s="504"/>
      <c r="L882" s="472"/>
      <c r="M882" s="468"/>
      <c r="N882" s="468"/>
      <c r="O882" s="468"/>
      <c r="P882" s="468"/>
      <c r="Q882" s="473"/>
      <c r="R882" s="477" t="str">
        <f>IF(AND(COUNTIF('Start Character'!$I$63:$M$77,"Twilight Prone")=1,NOT(ISERROR(FIND("Magical Botch",M882)))),"Yes",IF(P882&gt;1,"Yes","No"))</f>
        <v>No</v>
      </c>
      <c r="S882" s="501"/>
      <c r="T882" s="478"/>
      <c r="U882" s="501"/>
      <c r="V882" s="479" t="str">
        <f>IF(R882="No","No Twilight",IF(T882="Yes","Uncomprehended Twilight",IF((Character!$B$14+IF(Character!$B$53="Yes",0,Character!$B$53)+IF(Magic!$C$5="Yes",2,0)+ROUNDUP((Magic!$B$30+IF(Magic!$C$30="Yes",3,0))/5,0)+S882)&gt;=($D$3+P882+SUMIF(Character!$I$62:$I$66,"Enigmatic Wisdom",Character!$J$62:$J$66)+Q882+U882),"No Twilight","Twilight")))</f>
        <v>No Twilight</v>
      </c>
      <c r="W882" s="483"/>
      <c r="X882" s="478"/>
      <c r="Y882" s="484"/>
      <c r="Z882" s="478"/>
      <c r="AA882" s="485" t="str">
        <f>IF(V882="Uncomprehended Twilight","Failed",IF(OR(ISBLANK(W882),ISBLANK(Y882))," ",IF(NOT(ISBLANK(X882)),"Failed",IF((W882+Character!$B$9+SUMIF(Character!$I$62:$I$66,"Enigmatic Wisdom",Character!$J$62:$J$66))&gt;=IF(Z882="Yes",0,(Y882+D877)),"Succeeded","Failed"))))</f>
        <v xml:space="preserve"> </v>
      </c>
      <c r="AB882" s="477" t="str">
        <f>IF(AA882=" "," ",IF(NOT(ISBLANK(X882)),VLOOKUP($D$3+X882,Calcs!$A$110:$C$122,3,TRUE),IF(AA882="Failed",VLOOKUP($D$3,Calcs!$A$110:$C$122,3,TRUE),VLOOKUP($D$3-(IF((Character!$B$9+W882)&gt;($D$3+Y882),(Character!$B$9+W882)-($D$3+Y882),0)),Calcs!$A$110:$C$122,3,TRUE))))</f>
        <v xml:space="preserve"> </v>
      </c>
      <c r="AC882" s="489"/>
      <c r="AD882" s="489" t="str">
        <f>IF(IF(AA882=" "," ",IF(NOT(ISBLANK(X882)),VLOOKUP($D$3+X882,Calcs!$A$110:$B$122,2,TRUE),IF(AA882="Failed",VLOOKUP($D$3,Calcs!$A$110:$B$122,2,TRUE),VLOOKUP($D$3-(IF((Character!$B$9+W882)&gt;($D$3+Y882),(Character!$B$9+W882)-($D$3+Y882),0)),Calcs!$A$110:$B$122,2,TRUE))))=Calcs!$B$120,IF(ISBLANK(AC882)," ",CONCATENATE(AC882+7," Years")),IF(AA882=" "," ",IF(NOT(ISBLANK(X882)),VLOOKUP($D$3+X882,Calcs!$A$110:$B$122,2,TRUE),IF(AA882="Failed",VLOOKUP($D$3,Calcs!$A$110:$B$122,2,TRUE),VLOOKUP($D$3-(IF((Character!$B$9+W882)&gt;($D$3+Y882),(Character!$B$9+W882)-($D$3+Y882),0)),Calcs!$A$110:$B$122,2,TRUE)))))</f>
        <v xml:space="preserve"> </v>
      </c>
      <c r="AE882" s="490"/>
      <c r="AF882" s="879"/>
      <c r="AG882" s="491"/>
    </row>
    <row r="883" spans="1:33" x14ac:dyDescent="0.2">
      <c r="A883" s="415">
        <f t="shared" si="26"/>
        <v>1430</v>
      </c>
      <c r="B883" s="419" t="str">
        <f t="shared" si="27"/>
        <v>Autumn</v>
      </c>
      <c r="C883" s="455"/>
      <c r="D883" s="504"/>
      <c r="E883" s="455"/>
      <c r="F883" s="504"/>
      <c r="G883" s="455"/>
      <c r="H883" s="504"/>
      <c r="I883" s="455"/>
      <c r="J883" s="504"/>
      <c r="L883" s="472"/>
      <c r="M883" s="468"/>
      <c r="N883" s="468"/>
      <c r="O883" s="468"/>
      <c r="P883" s="468"/>
      <c r="Q883" s="473"/>
      <c r="R883" s="477" t="str">
        <f>IF(AND(COUNTIF('Start Character'!$I$63:$M$77,"Twilight Prone")=1,NOT(ISERROR(FIND("Magical Botch",M883)))),"Yes",IF(P883&gt;1,"Yes","No"))</f>
        <v>No</v>
      </c>
      <c r="S883" s="501"/>
      <c r="T883" s="478"/>
      <c r="U883" s="501"/>
      <c r="V883" s="479" t="str">
        <f>IF(R883="No","No Twilight",IF(T883="Yes","Uncomprehended Twilight",IF((Character!$B$14+IF(Character!$B$53="Yes",0,Character!$B$53)+IF(Magic!$C$5="Yes",2,0)+ROUNDUP((Magic!$B$30+IF(Magic!$C$30="Yes",3,0))/5,0)+S883)&gt;=($D$3+P883+SUMIF(Character!$I$62:$I$66,"Enigmatic Wisdom",Character!$J$62:$J$66)+Q883+U883),"No Twilight","Twilight")))</f>
        <v>No Twilight</v>
      </c>
      <c r="W883" s="483"/>
      <c r="X883" s="478"/>
      <c r="Y883" s="484"/>
      <c r="Z883" s="478"/>
      <c r="AA883" s="485" t="str">
        <f>IF(V883="Uncomprehended Twilight","Failed",IF(OR(ISBLANK(W883),ISBLANK(Y883))," ",IF(NOT(ISBLANK(X883)),"Failed",IF((W883+Character!$B$9+SUMIF(Character!$I$62:$I$66,"Enigmatic Wisdom",Character!$J$62:$J$66))&gt;=IF(Z883="Yes",0,(Y883+D878)),"Succeeded","Failed"))))</f>
        <v xml:space="preserve"> </v>
      </c>
      <c r="AB883" s="477" t="str">
        <f>IF(AA883=" "," ",IF(NOT(ISBLANK(X883)),VLOOKUP($D$3+X883,Calcs!$A$110:$C$122,3,TRUE),IF(AA883="Failed",VLOOKUP($D$3,Calcs!$A$110:$C$122,3,TRUE),VLOOKUP($D$3-(IF((Character!$B$9+W883)&gt;($D$3+Y883),(Character!$B$9+W883)-($D$3+Y883),0)),Calcs!$A$110:$C$122,3,TRUE))))</f>
        <v xml:space="preserve"> </v>
      </c>
      <c r="AC883" s="489"/>
      <c r="AD883" s="489" t="str">
        <f>IF(IF(AA883=" "," ",IF(NOT(ISBLANK(X883)),VLOOKUP($D$3+X883,Calcs!$A$110:$B$122,2,TRUE),IF(AA883="Failed",VLOOKUP($D$3,Calcs!$A$110:$B$122,2,TRUE),VLOOKUP($D$3-(IF((Character!$B$9+W883)&gt;($D$3+Y883),(Character!$B$9+W883)-($D$3+Y883),0)),Calcs!$A$110:$B$122,2,TRUE))))=Calcs!$B$120,IF(ISBLANK(AC883)," ",CONCATENATE(AC883+7," Years")),IF(AA883=" "," ",IF(NOT(ISBLANK(X883)),VLOOKUP($D$3+X883,Calcs!$A$110:$B$122,2,TRUE),IF(AA883="Failed",VLOOKUP($D$3,Calcs!$A$110:$B$122,2,TRUE),VLOOKUP($D$3-(IF((Character!$B$9+W883)&gt;($D$3+Y883),(Character!$B$9+W883)-($D$3+Y883),0)),Calcs!$A$110:$B$122,2,TRUE)))))</f>
        <v xml:space="preserve"> </v>
      </c>
      <c r="AE883" s="490"/>
      <c r="AF883" s="879"/>
      <c r="AG883" s="491"/>
    </row>
    <row r="884" spans="1:33" x14ac:dyDescent="0.2">
      <c r="A884" s="415">
        <f t="shared" si="26"/>
        <v>1431</v>
      </c>
      <c r="B884" s="419" t="str">
        <f t="shared" si="27"/>
        <v>Winter</v>
      </c>
      <c r="C884" s="455"/>
      <c r="D884" s="504"/>
      <c r="E884" s="455"/>
      <c r="F884" s="504"/>
      <c r="G884" s="455"/>
      <c r="H884" s="504"/>
      <c r="I884" s="455"/>
      <c r="J884" s="504"/>
      <c r="L884" s="472"/>
      <c r="M884" s="468"/>
      <c r="N884" s="468"/>
      <c r="O884" s="468"/>
      <c r="P884" s="468"/>
      <c r="Q884" s="473"/>
      <c r="R884" s="477" t="str">
        <f>IF(AND(COUNTIF('Start Character'!$I$63:$M$77,"Twilight Prone")=1,NOT(ISERROR(FIND("Magical Botch",M884)))),"Yes",IF(P884&gt;1,"Yes","No"))</f>
        <v>No</v>
      </c>
      <c r="S884" s="501"/>
      <c r="T884" s="478"/>
      <c r="U884" s="501"/>
      <c r="V884" s="479" t="str">
        <f>IF(R884="No","No Twilight",IF(T884="Yes","Uncomprehended Twilight",IF((Character!$B$14+IF(Character!$B$53="Yes",0,Character!$B$53)+IF(Magic!$C$5="Yes",2,0)+ROUNDUP((Magic!$B$30+IF(Magic!$C$30="Yes",3,0))/5,0)+S884)&gt;=($D$3+P884+SUMIF(Character!$I$62:$I$66,"Enigmatic Wisdom",Character!$J$62:$J$66)+Q884+U884),"No Twilight","Twilight")))</f>
        <v>No Twilight</v>
      </c>
      <c r="W884" s="483"/>
      <c r="X884" s="478"/>
      <c r="Y884" s="484"/>
      <c r="Z884" s="478"/>
      <c r="AA884" s="485" t="str">
        <f>IF(V884="Uncomprehended Twilight","Failed",IF(OR(ISBLANK(W884),ISBLANK(Y884))," ",IF(NOT(ISBLANK(X884)),"Failed",IF((W884+Character!$B$9+SUMIF(Character!$I$62:$I$66,"Enigmatic Wisdom",Character!$J$62:$J$66))&gt;=IF(Z884="Yes",0,(Y884+D879)),"Succeeded","Failed"))))</f>
        <v xml:space="preserve"> </v>
      </c>
      <c r="AB884" s="477" t="str">
        <f>IF(AA884=" "," ",IF(NOT(ISBLANK(X884)),VLOOKUP($D$3+X884,Calcs!$A$110:$C$122,3,TRUE),IF(AA884="Failed",VLOOKUP($D$3,Calcs!$A$110:$C$122,3,TRUE),VLOOKUP($D$3-(IF((Character!$B$9+W884)&gt;($D$3+Y884),(Character!$B$9+W884)-($D$3+Y884),0)),Calcs!$A$110:$C$122,3,TRUE))))</f>
        <v xml:space="preserve"> </v>
      </c>
      <c r="AC884" s="489"/>
      <c r="AD884" s="489" t="str">
        <f>IF(IF(AA884=" "," ",IF(NOT(ISBLANK(X884)),VLOOKUP($D$3+X884,Calcs!$A$110:$B$122,2,TRUE),IF(AA884="Failed",VLOOKUP($D$3,Calcs!$A$110:$B$122,2,TRUE),VLOOKUP($D$3-(IF((Character!$B$9+W884)&gt;($D$3+Y884),(Character!$B$9+W884)-($D$3+Y884),0)),Calcs!$A$110:$B$122,2,TRUE))))=Calcs!$B$120,IF(ISBLANK(AC884)," ",CONCATENATE(AC884+7," Years")),IF(AA884=" "," ",IF(NOT(ISBLANK(X884)),VLOOKUP($D$3+X884,Calcs!$A$110:$B$122,2,TRUE),IF(AA884="Failed",VLOOKUP($D$3,Calcs!$A$110:$B$122,2,TRUE),VLOOKUP($D$3-(IF((Character!$B$9+W884)&gt;($D$3+Y884),(Character!$B$9+W884)-($D$3+Y884),0)),Calcs!$A$110:$B$122,2,TRUE)))))</f>
        <v xml:space="preserve"> </v>
      </c>
      <c r="AE884" s="490"/>
      <c r="AF884" s="879"/>
      <c r="AG884" s="491"/>
    </row>
    <row r="885" spans="1:33" x14ac:dyDescent="0.2">
      <c r="A885" s="415">
        <f t="shared" si="26"/>
        <v>1431</v>
      </c>
      <c r="B885" s="419" t="str">
        <f t="shared" si="27"/>
        <v>Spring</v>
      </c>
      <c r="C885" s="455"/>
      <c r="D885" s="504"/>
      <c r="E885" s="455"/>
      <c r="F885" s="504"/>
      <c r="G885" s="455"/>
      <c r="H885" s="504"/>
      <c r="I885" s="455"/>
      <c r="J885" s="504"/>
      <c r="L885" s="472"/>
      <c r="M885" s="468"/>
      <c r="N885" s="468"/>
      <c r="O885" s="468"/>
      <c r="P885" s="468"/>
      <c r="Q885" s="473"/>
      <c r="R885" s="477" t="str">
        <f>IF(AND(COUNTIF('Start Character'!$I$63:$M$77,"Twilight Prone")=1,NOT(ISERROR(FIND("Magical Botch",M885)))),"Yes",IF(P885&gt;1,"Yes","No"))</f>
        <v>No</v>
      </c>
      <c r="S885" s="501"/>
      <c r="T885" s="478"/>
      <c r="U885" s="501"/>
      <c r="V885" s="479" t="str">
        <f>IF(R885="No","No Twilight",IF(T885="Yes","Uncomprehended Twilight",IF((Character!$B$14+IF(Character!$B$53="Yes",0,Character!$B$53)+IF(Magic!$C$5="Yes",2,0)+ROUNDUP((Magic!$B$30+IF(Magic!$C$30="Yes",3,0))/5,0)+S885)&gt;=($D$3+P885+SUMIF(Character!$I$62:$I$66,"Enigmatic Wisdom",Character!$J$62:$J$66)+Q885+U885),"No Twilight","Twilight")))</f>
        <v>No Twilight</v>
      </c>
      <c r="W885" s="483"/>
      <c r="X885" s="478"/>
      <c r="Y885" s="484"/>
      <c r="Z885" s="478"/>
      <c r="AA885" s="485" t="str">
        <f>IF(V885="Uncomprehended Twilight","Failed",IF(OR(ISBLANK(W885),ISBLANK(Y885))," ",IF(NOT(ISBLANK(X885)),"Failed",IF((W885+Character!$B$9+SUMIF(Character!$I$62:$I$66,"Enigmatic Wisdom",Character!$J$62:$J$66))&gt;=IF(Z885="Yes",0,(Y885+D880)),"Succeeded","Failed"))))</f>
        <v xml:space="preserve"> </v>
      </c>
      <c r="AB885" s="477" t="str">
        <f>IF(AA885=" "," ",IF(NOT(ISBLANK(X885)),VLOOKUP($D$3+X885,Calcs!$A$110:$C$122,3,TRUE),IF(AA885="Failed",VLOOKUP($D$3,Calcs!$A$110:$C$122,3,TRUE),VLOOKUP($D$3-(IF((Character!$B$9+W885)&gt;($D$3+Y885),(Character!$B$9+W885)-($D$3+Y885),0)),Calcs!$A$110:$C$122,3,TRUE))))</f>
        <v xml:space="preserve"> </v>
      </c>
      <c r="AC885" s="489"/>
      <c r="AD885" s="489" t="str">
        <f>IF(IF(AA885=" "," ",IF(NOT(ISBLANK(X885)),VLOOKUP($D$3+X885,Calcs!$A$110:$B$122,2,TRUE),IF(AA885="Failed",VLOOKUP($D$3,Calcs!$A$110:$B$122,2,TRUE),VLOOKUP($D$3-(IF((Character!$B$9+W885)&gt;($D$3+Y885),(Character!$B$9+W885)-($D$3+Y885),0)),Calcs!$A$110:$B$122,2,TRUE))))=Calcs!$B$120,IF(ISBLANK(AC885)," ",CONCATENATE(AC885+7," Years")),IF(AA885=" "," ",IF(NOT(ISBLANK(X885)),VLOOKUP($D$3+X885,Calcs!$A$110:$B$122,2,TRUE),IF(AA885="Failed",VLOOKUP($D$3,Calcs!$A$110:$B$122,2,TRUE),VLOOKUP($D$3-(IF((Character!$B$9+W885)&gt;($D$3+Y885),(Character!$B$9+W885)-($D$3+Y885),0)),Calcs!$A$110:$B$122,2,TRUE)))))</f>
        <v xml:space="preserve"> </v>
      </c>
      <c r="AE885" s="490"/>
      <c r="AF885" s="879"/>
      <c r="AG885" s="491"/>
    </row>
    <row r="886" spans="1:33" x14ac:dyDescent="0.2">
      <c r="A886" s="415">
        <f t="shared" si="26"/>
        <v>1431</v>
      </c>
      <c r="B886" s="419" t="str">
        <f t="shared" si="27"/>
        <v>Summer</v>
      </c>
      <c r="C886" s="455"/>
      <c r="D886" s="504"/>
      <c r="E886" s="455"/>
      <c r="F886" s="504"/>
      <c r="G886" s="455"/>
      <c r="H886" s="504"/>
      <c r="I886" s="455"/>
      <c r="J886" s="504"/>
      <c r="L886" s="472"/>
      <c r="M886" s="468"/>
      <c r="N886" s="468"/>
      <c r="O886" s="468"/>
      <c r="P886" s="468"/>
      <c r="Q886" s="473"/>
      <c r="R886" s="477" t="str">
        <f>IF(AND(COUNTIF('Start Character'!$I$63:$M$77,"Twilight Prone")=1,NOT(ISERROR(FIND("Magical Botch",M886)))),"Yes",IF(P886&gt;1,"Yes","No"))</f>
        <v>No</v>
      </c>
      <c r="S886" s="501"/>
      <c r="T886" s="478"/>
      <c r="U886" s="501"/>
      <c r="V886" s="479" t="str">
        <f>IF(R886="No","No Twilight",IF(T886="Yes","Uncomprehended Twilight",IF((Character!$B$14+IF(Character!$B$53="Yes",0,Character!$B$53)+IF(Magic!$C$5="Yes",2,0)+ROUNDUP((Magic!$B$30+IF(Magic!$C$30="Yes",3,0))/5,0)+S886)&gt;=($D$3+P886+SUMIF(Character!$I$62:$I$66,"Enigmatic Wisdom",Character!$J$62:$J$66)+Q886+U886),"No Twilight","Twilight")))</f>
        <v>No Twilight</v>
      </c>
      <c r="W886" s="483"/>
      <c r="X886" s="478"/>
      <c r="Y886" s="484"/>
      <c r="Z886" s="478"/>
      <c r="AA886" s="485" t="str">
        <f>IF(V886="Uncomprehended Twilight","Failed",IF(OR(ISBLANK(W886),ISBLANK(Y886))," ",IF(NOT(ISBLANK(X886)),"Failed",IF((W886+Character!$B$9+SUMIF(Character!$I$62:$I$66,"Enigmatic Wisdom",Character!$J$62:$J$66))&gt;=IF(Z886="Yes",0,(Y886+D881)),"Succeeded","Failed"))))</f>
        <v xml:space="preserve"> </v>
      </c>
      <c r="AB886" s="477" t="str">
        <f>IF(AA886=" "," ",IF(NOT(ISBLANK(X886)),VLOOKUP($D$3+X886,Calcs!$A$110:$C$122,3,TRUE),IF(AA886="Failed",VLOOKUP($D$3,Calcs!$A$110:$C$122,3,TRUE),VLOOKUP($D$3-(IF((Character!$B$9+W886)&gt;($D$3+Y886),(Character!$B$9+W886)-($D$3+Y886),0)),Calcs!$A$110:$C$122,3,TRUE))))</f>
        <v xml:space="preserve"> </v>
      </c>
      <c r="AC886" s="489"/>
      <c r="AD886" s="489" t="str">
        <f>IF(IF(AA886=" "," ",IF(NOT(ISBLANK(X886)),VLOOKUP($D$3+X886,Calcs!$A$110:$B$122,2,TRUE),IF(AA886="Failed",VLOOKUP($D$3,Calcs!$A$110:$B$122,2,TRUE),VLOOKUP($D$3-(IF((Character!$B$9+W886)&gt;($D$3+Y886),(Character!$B$9+W886)-($D$3+Y886),0)),Calcs!$A$110:$B$122,2,TRUE))))=Calcs!$B$120,IF(ISBLANK(AC886)," ",CONCATENATE(AC886+7," Years")),IF(AA886=" "," ",IF(NOT(ISBLANK(X886)),VLOOKUP($D$3+X886,Calcs!$A$110:$B$122,2,TRUE),IF(AA886="Failed",VLOOKUP($D$3,Calcs!$A$110:$B$122,2,TRUE),VLOOKUP($D$3-(IF((Character!$B$9+W886)&gt;($D$3+Y886),(Character!$B$9+W886)-($D$3+Y886),0)),Calcs!$A$110:$B$122,2,TRUE)))))</f>
        <v xml:space="preserve"> </v>
      </c>
      <c r="AE886" s="490"/>
      <c r="AF886" s="879"/>
      <c r="AG886" s="491"/>
    </row>
    <row r="887" spans="1:33" x14ac:dyDescent="0.2">
      <c r="A887" s="415">
        <f t="shared" si="26"/>
        <v>1431</v>
      </c>
      <c r="B887" s="419" t="str">
        <f t="shared" si="27"/>
        <v>Autumn</v>
      </c>
      <c r="C887" s="455"/>
      <c r="D887" s="504"/>
      <c r="E887" s="455"/>
      <c r="F887" s="504"/>
      <c r="G887" s="455"/>
      <c r="H887" s="504"/>
      <c r="I887" s="455"/>
      <c r="J887" s="504"/>
      <c r="L887" s="472"/>
      <c r="M887" s="468"/>
      <c r="N887" s="468"/>
      <c r="O887" s="468"/>
      <c r="P887" s="468"/>
      <c r="Q887" s="473"/>
      <c r="R887" s="477" t="str">
        <f>IF(AND(COUNTIF('Start Character'!$I$63:$M$77,"Twilight Prone")=1,NOT(ISERROR(FIND("Magical Botch",M887)))),"Yes",IF(P887&gt;1,"Yes","No"))</f>
        <v>No</v>
      </c>
      <c r="S887" s="501"/>
      <c r="T887" s="478"/>
      <c r="U887" s="501"/>
      <c r="V887" s="479" t="str">
        <f>IF(R887="No","No Twilight",IF(T887="Yes","Uncomprehended Twilight",IF((Character!$B$14+IF(Character!$B$53="Yes",0,Character!$B$53)+IF(Magic!$C$5="Yes",2,0)+ROUNDUP((Magic!$B$30+IF(Magic!$C$30="Yes",3,0))/5,0)+S887)&gt;=($D$3+P887+SUMIF(Character!$I$62:$I$66,"Enigmatic Wisdom",Character!$J$62:$J$66)+Q887+U887),"No Twilight","Twilight")))</f>
        <v>No Twilight</v>
      </c>
      <c r="W887" s="483"/>
      <c r="X887" s="478"/>
      <c r="Y887" s="484"/>
      <c r="Z887" s="478"/>
      <c r="AA887" s="485" t="str">
        <f>IF(V887="Uncomprehended Twilight","Failed",IF(OR(ISBLANK(W887),ISBLANK(Y887))," ",IF(NOT(ISBLANK(X887)),"Failed",IF((W887+Character!$B$9+SUMIF(Character!$I$62:$I$66,"Enigmatic Wisdom",Character!$J$62:$J$66))&gt;=IF(Z887="Yes",0,(Y887+D882)),"Succeeded","Failed"))))</f>
        <v xml:space="preserve"> </v>
      </c>
      <c r="AB887" s="477" t="str">
        <f>IF(AA887=" "," ",IF(NOT(ISBLANK(X887)),VLOOKUP($D$3+X887,Calcs!$A$110:$C$122,3,TRUE),IF(AA887="Failed",VLOOKUP($D$3,Calcs!$A$110:$C$122,3,TRUE),VLOOKUP($D$3-(IF((Character!$B$9+W887)&gt;($D$3+Y887),(Character!$B$9+W887)-($D$3+Y887),0)),Calcs!$A$110:$C$122,3,TRUE))))</f>
        <v xml:space="preserve"> </v>
      </c>
      <c r="AC887" s="489"/>
      <c r="AD887" s="489" t="str">
        <f>IF(IF(AA887=" "," ",IF(NOT(ISBLANK(X887)),VLOOKUP($D$3+X887,Calcs!$A$110:$B$122,2,TRUE),IF(AA887="Failed",VLOOKUP($D$3,Calcs!$A$110:$B$122,2,TRUE),VLOOKUP($D$3-(IF((Character!$B$9+W887)&gt;($D$3+Y887),(Character!$B$9+W887)-($D$3+Y887),0)),Calcs!$A$110:$B$122,2,TRUE))))=Calcs!$B$120,IF(ISBLANK(AC887)," ",CONCATENATE(AC887+7," Years")),IF(AA887=" "," ",IF(NOT(ISBLANK(X887)),VLOOKUP($D$3+X887,Calcs!$A$110:$B$122,2,TRUE),IF(AA887="Failed",VLOOKUP($D$3,Calcs!$A$110:$B$122,2,TRUE),VLOOKUP($D$3-(IF((Character!$B$9+W887)&gt;($D$3+Y887),(Character!$B$9+W887)-($D$3+Y887),0)),Calcs!$A$110:$B$122,2,TRUE)))))</f>
        <v xml:space="preserve"> </v>
      </c>
      <c r="AE887" s="490"/>
      <c r="AF887" s="879"/>
      <c r="AG887" s="491"/>
    </row>
    <row r="888" spans="1:33" x14ac:dyDescent="0.2">
      <c r="A888" s="415">
        <f t="shared" si="26"/>
        <v>1432</v>
      </c>
      <c r="B888" s="419" t="str">
        <f t="shared" si="27"/>
        <v>Winter</v>
      </c>
      <c r="C888" s="455"/>
      <c r="D888" s="504"/>
      <c r="E888" s="455"/>
      <c r="F888" s="504"/>
      <c r="G888" s="455"/>
      <c r="H888" s="504"/>
      <c r="I888" s="455"/>
      <c r="J888" s="504"/>
      <c r="L888" s="472"/>
      <c r="M888" s="468"/>
      <c r="N888" s="468"/>
      <c r="O888" s="468"/>
      <c r="P888" s="468"/>
      <c r="Q888" s="473"/>
      <c r="R888" s="477" t="str">
        <f>IF(AND(COUNTIF('Start Character'!$I$63:$M$77,"Twilight Prone")=1,NOT(ISERROR(FIND("Magical Botch",M888)))),"Yes",IF(P888&gt;1,"Yes","No"))</f>
        <v>No</v>
      </c>
      <c r="S888" s="501"/>
      <c r="T888" s="478"/>
      <c r="U888" s="501"/>
      <c r="V888" s="479" t="str">
        <f>IF(R888="No","No Twilight",IF(T888="Yes","Uncomprehended Twilight",IF((Character!$B$14+IF(Character!$B$53="Yes",0,Character!$B$53)+IF(Magic!$C$5="Yes",2,0)+ROUNDUP((Magic!$B$30+IF(Magic!$C$30="Yes",3,0))/5,0)+S888)&gt;=($D$3+P888+SUMIF(Character!$I$62:$I$66,"Enigmatic Wisdom",Character!$J$62:$J$66)+Q888+U888),"No Twilight","Twilight")))</f>
        <v>No Twilight</v>
      </c>
      <c r="W888" s="483"/>
      <c r="X888" s="478"/>
      <c r="Y888" s="484"/>
      <c r="Z888" s="478"/>
      <c r="AA888" s="485" t="str">
        <f>IF(V888="Uncomprehended Twilight","Failed",IF(OR(ISBLANK(W888),ISBLANK(Y888))," ",IF(NOT(ISBLANK(X888)),"Failed",IF((W888+Character!$B$9+SUMIF(Character!$I$62:$I$66,"Enigmatic Wisdom",Character!$J$62:$J$66))&gt;=IF(Z888="Yes",0,(Y888+D883)),"Succeeded","Failed"))))</f>
        <v xml:space="preserve"> </v>
      </c>
      <c r="AB888" s="477" t="str">
        <f>IF(AA888=" "," ",IF(NOT(ISBLANK(X888)),VLOOKUP($D$3+X888,Calcs!$A$110:$C$122,3,TRUE),IF(AA888="Failed",VLOOKUP($D$3,Calcs!$A$110:$C$122,3,TRUE),VLOOKUP($D$3-(IF((Character!$B$9+W888)&gt;($D$3+Y888),(Character!$B$9+W888)-($D$3+Y888),0)),Calcs!$A$110:$C$122,3,TRUE))))</f>
        <v xml:space="preserve"> </v>
      </c>
      <c r="AC888" s="489"/>
      <c r="AD888" s="489" t="str">
        <f>IF(IF(AA888=" "," ",IF(NOT(ISBLANK(X888)),VLOOKUP($D$3+X888,Calcs!$A$110:$B$122,2,TRUE),IF(AA888="Failed",VLOOKUP($D$3,Calcs!$A$110:$B$122,2,TRUE),VLOOKUP($D$3-(IF((Character!$B$9+W888)&gt;($D$3+Y888),(Character!$B$9+W888)-($D$3+Y888),0)),Calcs!$A$110:$B$122,2,TRUE))))=Calcs!$B$120,IF(ISBLANK(AC888)," ",CONCATENATE(AC888+7," Years")),IF(AA888=" "," ",IF(NOT(ISBLANK(X888)),VLOOKUP($D$3+X888,Calcs!$A$110:$B$122,2,TRUE),IF(AA888="Failed",VLOOKUP($D$3,Calcs!$A$110:$B$122,2,TRUE),VLOOKUP($D$3-(IF((Character!$B$9+W888)&gt;($D$3+Y888),(Character!$B$9+W888)-($D$3+Y888),0)),Calcs!$A$110:$B$122,2,TRUE)))))</f>
        <v xml:space="preserve"> </v>
      </c>
      <c r="AE888" s="490"/>
      <c r="AF888" s="879"/>
      <c r="AG888" s="491"/>
    </row>
    <row r="889" spans="1:33" x14ac:dyDescent="0.2">
      <c r="A889" s="415">
        <f t="shared" si="26"/>
        <v>1432</v>
      </c>
      <c r="B889" s="419" t="str">
        <f t="shared" si="27"/>
        <v>Spring</v>
      </c>
      <c r="C889" s="455"/>
      <c r="D889" s="504"/>
      <c r="E889" s="455"/>
      <c r="F889" s="504"/>
      <c r="G889" s="455"/>
      <c r="H889" s="504"/>
      <c r="I889" s="455"/>
      <c r="J889" s="504"/>
      <c r="L889" s="472"/>
      <c r="M889" s="468"/>
      <c r="N889" s="468"/>
      <c r="O889" s="468"/>
      <c r="P889" s="468"/>
      <c r="Q889" s="473"/>
      <c r="R889" s="477" t="str">
        <f>IF(AND(COUNTIF('Start Character'!$I$63:$M$77,"Twilight Prone")=1,NOT(ISERROR(FIND("Magical Botch",M889)))),"Yes",IF(P889&gt;1,"Yes","No"))</f>
        <v>No</v>
      </c>
      <c r="S889" s="501"/>
      <c r="T889" s="478"/>
      <c r="U889" s="501"/>
      <c r="V889" s="479" t="str">
        <f>IF(R889="No","No Twilight",IF(T889="Yes","Uncomprehended Twilight",IF((Character!$B$14+IF(Character!$B$53="Yes",0,Character!$B$53)+IF(Magic!$C$5="Yes",2,0)+ROUNDUP((Magic!$B$30+IF(Magic!$C$30="Yes",3,0))/5,0)+S889)&gt;=($D$3+P889+SUMIF(Character!$I$62:$I$66,"Enigmatic Wisdom",Character!$J$62:$J$66)+Q889+U889),"No Twilight","Twilight")))</f>
        <v>No Twilight</v>
      </c>
      <c r="W889" s="483"/>
      <c r="X889" s="478"/>
      <c r="Y889" s="484"/>
      <c r="Z889" s="478"/>
      <c r="AA889" s="485" t="str">
        <f>IF(V889="Uncomprehended Twilight","Failed",IF(OR(ISBLANK(W889),ISBLANK(Y889))," ",IF(NOT(ISBLANK(X889)),"Failed",IF((W889+Character!$B$9+SUMIF(Character!$I$62:$I$66,"Enigmatic Wisdom",Character!$J$62:$J$66))&gt;=IF(Z889="Yes",0,(Y889+D884)),"Succeeded","Failed"))))</f>
        <v xml:space="preserve"> </v>
      </c>
      <c r="AB889" s="477" t="str">
        <f>IF(AA889=" "," ",IF(NOT(ISBLANK(X889)),VLOOKUP($D$3+X889,Calcs!$A$110:$C$122,3,TRUE),IF(AA889="Failed",VLOOKUP($D$3,Calcs!$A$110:$C$122,3,TRUE),VLOOKUP($D$3-(IF((Character!$B$9+W889)&gt;($D$3+Y889),(Character!$B$9+W889)-($D$3+Y889),0)),Calcs!$A$110:$C$122,3,TRUE))))</f>
        <v xml:space="preserve"> </v>
      </c>
      <c r="AC889" s="489"/>
      <c r="AD889" s="489" t="str">
        <f>IF(IF(AA889=" "," ",IF(NOT(ISBLANK(X889)),VLOOKUP($D$3+X889,Calcs!$A$110:$B$122,2,TRUE),IF(AA889="Failed",VLOOKUP($D$3,Calcs!$A$110:$B$122,2,TRUE),VLOOKUP($D$3-(IF((Character!$B$9+W889)&gt;($D$3+Y889),(Character!$B$9+W889)-($D$3+Y889),0)),Calcs!$A$110:$B$122,2,TRUE))))=Calcs!$B$120,IF(ISBLANK(AC889)," ",CONCATENATE(AC889+7," Years")),IF(AA889=" "," ",IF(NOT(ISBLANK(X889)),VLOOKUP($D$3+X889,Calcs!$A$110:$B$122,2,TRUE),IF(AA889="Failed",VLOOKUP($D$3,Calcs!$A$110:$B$122,2,TRUE),VLOOKUP($D$3-(IF((Character!$B$9+W889)&gt;($D$3+Y889),(Character!$B$9+W889)-($D$3+Y889),0)),Calcs!$A$110:$B$122,2,TRUE)))))</f>
        <v xml:space="preserve"> </v>
      </c>
      <c r="AE889" s="490"/>
      <c r="AF889" s="879"/>
      <c r="AG889" s="491"/>
    </row>
    <row r="890" spans="1:33" x14ac:dyDescent="0.2">
      <c r="A890" s="415">
        <f t="shared" si="26"/>
        <v>1432</v>
      </c>
      <c r="B890" s="419" t="str">
        <f t="shared" si="27"/>
        <v>Summer</v>
      </c>
      <c r="C890" s="455"/>
      <c r="D890" s="504"/>
      <c r="E890" s="455"/>
      <c r="F890" s="504"/>
      <c r="G890" s="455"/>
      <c r="H890" s="504"/>
      <c r="I890" s="455"/>
      <c r="J890" s="504"/>
      <c r="L890" s="472"/>
      <c r="M890" s="468"/>
      <c r="N890" s="468"/>
      <c r="O890" s="468"/>
      <c r="P890" s="468"/>
      <c r="Q890" s="473"/>
      <c r="R890" s="477" t="str">
        <f>IF(AND(COUNTIF('Start Character'!$I$63:$M$77,"Twilight Prone")=1,NOT(ISERROR(FIND("Magical Botch",M890)))),"Yes",IF(P890&gt;1,"Yes","No"))</f>
        <v>No</v>
      </c>
      <c r="S890" s="501"/>
      <c r="T890" s="478"/>
      <c r="U890" s="501"/>
      <c r="V890" s="479" t="str">
        <f>IF(R890="No","No Twilight",IF(T890="Yes","Uncomprehended Twilight",IF((Character!$B$14+IF(Character!$B$53="Yes",0,Character!$B$53)+IF(Magic!$C$5="Yes",2,0)+ROUNDUP((Magic!$B$30+IF(Magic!$C$30="Yes",3,0))/5,0)+S890)&gt;=($D$3+P890+SUMIF(Character!$I$62:$I$66,"Enigmatic Wisdom",Character!$J$62:$J$66)+Q890+U890),"No Twilight","Twilight")))</f>
        <v>No Twilight</v>
      </c>
      <c r="W890" s="483"/>
      <c r="X890" s="478"/>
      <c r="Y890" s="484"/>
      <c r="Z890" s="478"/>
      <c r="AA890" s="485" t="str">
        <f>IF(V890="Uncomprehended Twilight","Failed",IF(OR(ISBLANK(W890),ISBLANK(Y890))," ",IF(NOT(ISBLANK(X890)),"Failed",IF((W890+Character!$B$9+SUMIF(Character!$I$62:$I$66,"Enigmatic Wisdom",Character!$J$62:$J$66))&gt;=IF(Z890="Yes",0,(Y890+D885)),"Succeeded","Failed"))))</f>
        <v xml:space="preserve"> </v>
      </c>
      <c r="AB890" s="477" t="str">
        <f>IF(AA890=" "," ",IF(NOT(ISBLANK(X890)),VLOOKUP($D$3+X890,Calcs!$A$110:$C$122,3,TRUE),IF(AA890="Failed",VLOOKUP($D$3,Calcs!$A$110:$C$122,3,TRUE),VLOOKUP($D$3-(IF((Character!$B$9+W890)&gt;($D$3+Y890),(Character!$B$9+W890)-($D$3+Y890),0)),Calcs!$A$110:$C$122,3,TRUE))))</f>
        <v xml:space="preserve"> </v>
      </c>
      <c r="AC890" s="489"/>
      <c r="AD890" s="489" t="str">
        <f>IF(IF(AA890=" "," ",IF(NOT(ISBLANK(X890)),VLOOKUP($D$3+X890,Calcs!$A$110:$B$122,2,TRUE),IF(AA890="Failed",VLOOKUP($D$3,Calcs!$A$110:$B$122,2,TRUE),VLOOKUP($D$3-(IF((Character!$B$9+W890)&gt;($D$3+Y890),(Character!$B$9+W890)-($D$3+Y890),0)),Calcs!$A$110:$B$122,2,TRUE))))=Calcs!$B$120,IF(ISBLANK(AC890)," ",CONCATENATE(AC890+7," Years")),IF(AA890=" "," ",IF(NOT(ISBLANK(X890)),VLOOKUP($D$3+X890,Calcs!$A$110:$B$122,2,TRUE),IF(AA890="Failed",VLOOKUP($D$3,Calcs!$A$110:$B$122,2,TRUE),VLOOKUP($D$3-(IF((Character!$B$9+W890)&gt;($D$3+Y890),(Character!$B$9+W890)-($D$3+Y890),0)),Calcs!$A$110:$B$122,2,TRUE)))))</f>
        <v xml:space="preserve"> </v>
      </c>
      <c r="AE890" s="490"/>
      <c r="AF890" s="879"/>
      <c r="AG890" s="491"/>
    </row>
    <row r="891" spans="1:33" x14ac:dyDescent="0.2">
      <c r="A891" s="415">
        <f t="shared" si="26"/>
        <v>1432</v>
      </c>
      <c r="B891" s="419" t="str">
        <f t="shared" si="27"/>
        <v>Autumn</v>
      </c>
      <c r="C891" s="455"/>
      <c r="D891" s="504"/>
      <c r="E891" s="455"/>
      <c r="F891" s="504"/>
      <c r="G891" s="455"/>
      <c r="H891" s="504"/>
      <c r="I891" s="455"/>
      <c r="J891" s="504"/>
      <c r="L891" s="472"/>
      <c r="M891" s="468"/>
      <c r="N891" s="468"/>
      <c r="O891" s="468"/>
      <c r="P891" s="468"/>
      <c r="Q891" s="473"/>
      <c r="R891" s="477" t="str">
        <f>IF(AND(COUNTIF('Start Character'!$I$63:$M$77,"Twilight Prone")=1,NOT(ISERROR(FIND("Magical Botch",M891)))),"Yes",IF(P891&gt;1,"Yes","No"))</f>
        <v>No</v>
      </c>
      <c r="S891" s="501"/>
      <c r="T891" s="478"/>
      <c r="U891" s="501"/>
      <c r="V891" s="479" t="str">
        <f>IF(R891="No","No Twilight",IF(T891="Yes","Uncomprehended Twilight",IF((Character!$B$14+IF(Character!$B$53="Yes",0,Character!$B$53)+IF(Magic!$C$5="Yes",2,0)+ROUNDUP((Magic!$B$30+IF(Magic!$C$30="Yes",3,0))/5,0)+S891)&gt;=($D$3+P891+SUMIF(Character!$I$62:$I$66,"Enigmatic Wisdom",Character!$J$62:$J$66)+Q891+U891),"No Twilight","Twilight")))</f>
        <v>No Twilight</v>
      </c>
      <c r="W891" s="483"/>
      <c r="X891" s="478"/>
      <c r="Y891" s="484"/>
      <c r="Z891" s="478"/>
      <c r="AA891" s="485" t="str">
        <f>IF(V891="Uncomprehended Twilight","Failed",IF(OR(ISBLANK(W891),ISBLANK(Y891))," ",IF(NOT(ISBLANK(X891)),"Failed",IF((W891+Character!$B$9+SUMIF(Character!$I$62:$I$66,"Enigmatic Wisdom",Character!$J$62:$J$66))&gt;=IF(Z891="Yes",0,(Y891+D886)),"Succeeded","Failed"))))</f>
        <v xml:space="preserve"> </v>
      </c>
      <c r="AB891" s="477" t="str">
        <f>IF(AA891=" "," ",IF(NOT(ISBLANK(X891)),VLOOKUP($D$3+X891,Calcs!$A$110:$C$122,3,TRUE),IF(AA891="Failed",VLOOKUP($D$3,Calcs!$A$110:$C$122,3,TRUE),VLOOKUP($D$3-(IF((Character!$B$9+W891)&gt;($D$3+Y891),(Character!$B$9+W891)-($D$3+Y891),0)),Calcs!$A$110:$C$122,3,TRUE))))</f>
        <v xml:space="preserve"> </v>
      </c>
      <c r="AC891" s="489"/>
      <c r="AD891" s="489" t="str">
        <f>IF(IF(AA891=" "," ",IF(NOT(ISBLANK(X891)),VLOOKUP($D$3+X891,Calcs!$A$110:$B$122,2,TRUE),IF(AA891="Failed",VLOOKUP($D$3,Calcs!$A$110:$B$122,2,TRUE),VLOOKUP($D$3-(IF((Character!$B$9+W891)&gt;($D$3+Y891),(Character!$B$9+W891)-($D$3+Y891),0)),Calcs!$A$110:$B$122,2,TRUE))))=Calcs!$B$120,IF(ISBLANK(AC891)," ",CONCATENATE(AC891+7," Years")),IF(AA891=" "," ",IF(NOT(ISBLANK(X891)),VLOOKUP($D$3+X891,Calcs!$A$110:$B$122,2,TRUE),IF(AA891="Failed",VLOOKUP($D$3,Calcs!$A$110:$B$122,2,TRUE),VLOOKUP($D$3-(IF((Character!$B$9+W891)&gt;($D$3+Y891),(Character!$B$9+W891)-($D$3+Y891),0)),Calcs!$A$110:$B$122,2,TRUE)))))</f>
        <v xml:space="preserve"> </v>
      </c>
      <c r="AE891" s="490"/>
      <c r="AF891" s="879"/>
      <c r="AG891" s="491"/>
    </row>
    <row r="892" spans="1:33" x14ac:dyDescent="0.2">
      <c r="A892" s="415">
        <f t="shared" si="26"/>
        <v>1433</v>
      </c>
      <c r="B892" s="419" t="str">
        <f t="shared" si="27"/>
        <v>Winter</v>
      </c>
      <c r="C892" s="455"/>
      <c r="D892" s="504"/>
      <c r="E892" s="455"/>
      <c r="F892" s="504"/>
      <c r="G892" s="455"/>
      <c r="H892" s="504"/>
      <c r="I892" s="455"/>
      <c r="J892" s="504"/>
      <c r="L892" s="472"/>
      <c r="M892" s="468"/>
      <c r="N892" s="468"/>
      <c r="O892" s="468"/>
      <c r="P892" s="468"/>
      <c r="Q892" s="473"/>
      <c r="R892" s="477" t="str">
        <f>IF(AND(COUNTIF('Start Character'!$I$63:$M$77,"Twilight Prone")=1,NOT(ISERROR(FIND("Magical Botch",M892)))),"Yes",IF(P892&gt;1,"Yes","No"))</f>
        <v>No</v>
      </c>
      <c r="S892" s="501"/>
      <c r="T892" s="478"/>
      <c r="U892" s="501"/>
      <c r="V892" s="479" t="str">
        <f>IF(R892="No","No Twilight",IF(T892="Yes","Uncomprehended Twilight",IF((Character!$B$14+IF(Character!$B$53="Yes",0,Character!$B$53)+IF(Magic!$C$5="Yes",2,0)+ROUNDUP((Magic!$B$30+IF(Magic!$C$30="Yes",3,0))/5,0)+S892)&gt;=($D$3+P892+SUMIF(Character!$I$62:$I$66,"Enigmatic Wisdom",Character!$J$62:$J$66)+Q892+U892),"No Twilight","Twilight")))</f>
        <v>No Twilight</v>
      </c>
      <c r="W892" s="483"/>
      <c r="X892" s="478"/>
      <c r="Y892" s="484"/>
      <c r="Z892" s="478"/>
      <c r="AA892" s="485" t="str">
        <f>IF(V892="Uncomprehended Twilight","Failed",IF(OR(ISBLANK(W892),ISBLANK(Y892))," ",IF(NOT(ISBLANK(X892)),"Failed",IF((W892+Character!$B$9+SUMIF(Character!$I$62:$I$66,"Enigmatic Wisdom",Character!$J$62:$J$66))&gt;=IF(Z892="Yes",0,(Y892+D887)),"Succeeded","Failed"))))</f>
        <v xml:space="preserve"> </v>
      </c>
      <c r="AB892" s="477" t="str">
        <f>IF(AA892=" "," ",IF(NOT(ISBLANK(X892)),VLOOKUP($D$3+X892,Calcs!$A$110:$C$122,3,TRUE),IF(AA892="Failed",VLOOKUP($D$3,Calcs!$A$110:$C$122,3,TRUE),VLOOKUP($D$3-(IF((Character!$B$9+W892)&gt;($D$3+Y892),(Character!$B$9+W892)-($D$3+Y892),0)),Calcs!$A$110:$C$122,3,TRUE))))</f>
        <v xml:space="preserve"> </v>
      </c>
      <c r="AC892" s="489"/>
      <c r="AD892" s="489" t="str">
        <f>IF(IF(AA892=" "," ",IF(NOT(ISBLANK(X892)),VLOOKUP($D$3+X892,Calcs!$A$110:$B$122,2,TRUE),IF(AA892="Failed",VLOOKUP($D$3,Calcs!$A$110:$B$122,2,TRUE),VLOOKUP($D$3-(IF((Character!$B$9+W892)&gt;($D$3+Y892),(Character!$B$9+W892)-($D$3+Y892),0)),Calcs!$A$110:$B$122,2,TRUE))))=Calcs!$B$120,IF(ISBLANK(AC892)," ",CONCATENATE(AC892+7," Years")),IF(AA892=" "," ",IF(NOT(ISBLANK(X892)),VLOOKUP($D$3+X892,Calcs!$A$110:$B$122,2,TRUE),IF(AA892="Failed",VLOOKUP($D$3,Calcs!$A$110:$B$122,2,TRUE),VLOOKUP($D$3-(IF((Character!$B$9+W892)&gt;($D$3+Y892),(Character!$B$9+W892)-($D$3+Y892),0)),Calcs!$A$110:$B$122,2,TRUE)))))</f>
        <v xml:space="preserve"> </v>
      </c>
      <c r="AE892" s="490"/>
      <c r="AF892" s="879"/>
      <c r="AG892" s="491"/>
    </row>
    <row r="893" spans="1:33" x14ac:dyDescent="0.2">
      <c r="A893" s="415">
        <f t="shared" si="26"/>
        <v>1433</v>
      </c>
      <c r="B893" s="419" t="str">
        <f t="shared" si="27"/>
        <v>Spring</v>
      </c>
      <c r="C893" s="455"/>
      <c r="D893" s="504"/>
      <c r="E893" s="455"/>
      <c r="F893" s="504"/>
      <c r="G893" s="455"/>
      <c r="H893" s="504"/>
      <c r="I893" s="455"/>
      <c r="J893" s="504"/>
      <c r="L893" s="472"/>
      <c r="M893" s="468"/>
      <c r="N893" s="468"/>
      <c r="O893" s="468"/>
      <c r="P893" s="468"/>
      <c r="Q893" s="473"/>
      <c r="R893" s="477" t="str">
        <f>IF(AND(COUNTIF('Start Character'!$I$63:$M$77,"Twilight Prone")=1,NOT(ISERROR(FIND("Magical Botch",M893)))),"Yes",IF(P893&gt;1,"Yes","No"))</f>
        <v>No</v>
      </c>
      <c r="S893" s="501"/>
      <c r="T893" s="478"/>
      <c r="U893" s="501"/>
      <c r="V893" s="479" t="str">
        <f>IF(R893="No","No Twilight",IF(T893="Yes","Uncomprehended Twilight",IF((Character!$B$14+IF(Character!$B$53="Yes",0,Character!$B$53)+IF(Magic!$C$5="Yes",2,0)+ROUNDUP((Magic!$B$30+IF(Magic!$C$30="Yes",3,0))/5,0)+S893)&gt;=($D$3+P893+SUMIF(Character!$I$62:$I$66,"Enigmatic Wisdom",Character!$J$62:$J$66)+Q893+U893),"No Twilight","Twilight")))</f>
        <v>No Twilight</v>
      </c>
      <c r="W893" s="483"/>
      <c r="X893" s="478"/>
      <c r="Y893" s="484"/>
      <c r="Z893" s="478"/>
      <c r="AA893" s="485" t="str">
        <f>IF(V893="Uncomprehended Twilight","Failed",IF(OR(ISBLANK(W893),ISBLANK(Y893))," ",IF(NOT(ISBLANK(X893)),"Failed",IF((W893+Character!$B$9+SUMIF(Character!$I$62:$I$66,"Enigmatic Wisdom",Character!$J$62:$J$66))&gt;=IF(Z893="Yes",0,(Y893+D888)),"Succeeded","Failed"))))</f>
        <v xml:space="preserve"> </v>
      </c>
      <c r="AB893" s="477" t="str">
        <f>IF(AA893=" "," ",IF(NOT(ISBLANK(X893)),VLOOKUP($D$3+X893,Calcs!$A$110:$C$122,3,TRUE),IF(AA893="Failed",VLOOKUP($D$3,Calcs!$A$110:$C$122,3,TRUE),VLOOKUP($D$3-(IF((Character!$B$9+W893)&gt;($D$3+Y893),(Character!$B$9+W893)-($D$3+Y893),0)),Calcs!$A$110:$C$122,3,TRUE))))</f>
        <v xml:space="preserve"> </v>
      </c>
      <c r="AC893" s="489"/>
      <c r="AD893" s="489" t="str">
        <f>IF(IF(AA893=" "," ",IF(NOT(ISBLANK(X893)),VLOOKUP($D$3+X893,Calcs!$A$110:$B$122,2,TRUE),IF(AA893="Failed",VLOOKUP($D$3,Calcs!$A$110:$B$122,2,TRUE),VLOOKUP($D$3-(IF((Character!$B$9+W893)&gt;($D$3+Y893),(Character!$B$9+W893)-($D$3+Y893),0)),Calcs!$A$110:$B$122,2,TRUE))))=Calcs!$B$120,IF(ISBLANK(AC893)," ",CONCATENATE(AC893+7," Years")),IF(AA893=" "," ",IF(NOT(ISBLANK(X893)),VLOOKUP($D$3+X893,Calcs!$A$110:$B$122,2,TRUE),IF(AA893="Failed",VLOOKUP($D$3,Calcs!$A$110:$B$122,2,TRUE),VLOOKUP($D$3-(IF((Character!$B$9+W893)&gt;($D$3+Y893),(Character!$B$9+W893)-($D$3+Y893),0)),Calcs!$A$110:$B$122,2,TRUE)))))</f>
        <v xml:space="preserve"> </v>
      </c>
      <c r="AE893" s="490"/>
      <c r="AF893" s="879"/>
      <c r="AG893" s="491"/>
    </row>
    <row r="894" spans="1:33" x14ac:dyDescent="0.2">
      <c r="A894" s="415">
        <f t="shared" si="26"/>
        <v>1433</v>
      </c>
      <c r="B894" s="419" t="str">
        <f t="shared" si="27"/>
        <v>Summer</v>
      </c>
      <c r="C894" s="455"/>
      <c r="D894" s="504"/>
      <c r="E894" s="455"/>
      <c r="F894" s="504"/>
      <c r="G894" s="455"/>
      <c r="H894" s="504"/>
      <c r="I894" s="455"/>
      <c r="J894" s="504"/>
      <c r="L894" s="472"/>
      <c r="M894" s="468"/>
      <c r="N894" s="468"/>
      <c r="O894" s="468"/>
      <c r="P894" s="468"/>
      <c r="Q894" s="473"/>
      <c r="R894" s="477" t="str">
        <f>IF(AND(COUNTIF('Start Character'!$I$63:$M$77,"Twilight Prone")=1,NOT(ISERROR(FIND("Magical Botch",M894)))),"Yes",IF(P894&gt;1,"Yes","No"))</f>
        <v>No</v>
      </c>
      <c r="S894" s="501"/>
      <c r="T894" s="478"/>
      <c r="U894" s="501"/>
      <c r="V894" s="479" t="str">
        <f>IF(R894="No","No Twilight",IF(T894="Yes","Uncomprehended Twilight",IF((Character!$B$14+IF(Character!$B$53="Yes",0,Character!$B$53)+IF(Magic!$C$5="Yes",2,0)+ROUNDUP((Magic!$B$30+IF(Magic!$C$30="Yes",3,0))/5,0)+S894)&gt;=($D$3+P894+SUMIF(Character!$I$62:$I$66,"Enigmatic Wisdom",Character!$J$62:$J$66)+Q894+U894),"No Twilight","Twilight")))</f>
        <v>No Twilight</v>
      </c>
      <c r="W894" s="483"/>
      <c r="X894" s="478"/>
      <c r="Y894" s="484"/>
      <c r="Z894" s="478"/>
      <c r="AA894" s="485" t="str">
        <f>IF(V894="Uncomprehended Twilight","Failed",IF(OR(ISBLANK(W894),ISBLANK(Y894))," ",IF(NOT(ISBLANK(X894)),"Failed",IF((W894+Character!$B$9+SUMIF(Character!$I$62:$I$66,"Enigmatic Wisdom",Character!$J$62:$J$66))&gt;=IF(Z894="Yes",0,(Y894+D889)),"Succeeded","Failed"))))</f>
        <v xml:space="preserve"> </v>
      </c>
      <c r="AB894" s="477" t="str">
        <f>IF(AA894=" "," ",IF(NOT(ISBLANK(X894)),VLOOKUP($D$3+X894,Calcs!$A$110:$C$122,3,TRUE),IF(AA894="Failed",VLOOKUP($D$3,Calcs!$A$110:$C$122,3,TRUE),VLOOKUP($D$3-(IF((Character!$B$9+W894)&gt;($D$3+Y894),(Character!$B$9+W894)-($D$3+Y894),0)),Calcs!$A$110:$C$122,3,TRUE))))</f>
        <v xml:space="preserve"> </v>
      </c>
      <c r="AC894" s="489"/>
      <c r="AD894" s="489" t="str">
        <f>IF(IF(AA894=" "," ",IF(NOT(ISBLANK(X894)),VLOOKUP($D$3+X894,Calcs!$A$110:$B$122,2,TRUE),IF(AA894="Failed",VLOOKUP($D$3,Calcs!$A$110:$B$122,2,TRUE),VLOOKUP($D$3-(IF((Character!$B$9+W894)&gt;($D$3+Y894),(Character!$B$9+W894)-($D$3+Y894),0)),Calcs!$A$110:$B$122,2,TRUE))))=Calcs!$B$120,IF(ISBLANK(AC894)," ",CONCATENATE(AC894+7," Years")),IF(AA894=" "," ",IF(NOT(ISBLANK(X894)),VLOOKUP($D$3+X894,Calcs!$A$110:$B$122,2,TRUE),IF(AA894="Failed",VLOOKUP($D$3,Calcs!$A$110:$B$122,2,TRUE),VLOOKUP($D$3-(IF((Character!$B$9+W894)&gt;($D$3+Y894),(Character!$B$9+W894)-($D$3+Y894),0)),Calcs!$A$110:$B$122,2,TRUE)))))</f>
        <v xml:space="preserve"> </v>
      </c>
      <c r="AE894" s="490"/>
      <c r="AF894" s="879"/>
      <c r="AG894" s="491"/>
    </row>
    <row r="895" spans="1:33" x14ac:dyDescent="0.2">
      <c r="A895" s="415">
        <f t="shared" si="26"/>
        <v>1433</v>
      </c>
      <c r="B895" s="419" t="str">
        <f t="shared" si="27"/>
        <v>Autumn</v>
      </c>
      <c r="C895" s="455"/>
      <c r="D895" s="504"/>
      <c r="E895" s="455"/>
      <c r="F895" s="504"/>
      <c r="G895" s="455"/>
      <c r="H895" s="504"/>
      <c r="I895" s="455"/>
      <c r="J895" s="504"/>
      <c r="L895" s="472"/>
      <c r="M895" s="468"/>
      <c r="N895" s="468"/>
      <c r="O895" s="468"/>
      <c r="P895" s="468"/>
      <c r="Q895" s="473"/>
      <c r="R895" s="477" t="str">
        <f>IF(AND(COUNTIF('Start Character'!$I$63:$M$77,"Twilight Prone")=1,NOT(ISERROR(FIND("Magical Botch",M895)))),"Yes",IF(P895&gt;1,"Yes","No"))</f>
        <v>No</v>
      </c>
      <c r="S895" s="501"/>
      <c r="T895" s="478"/>
      <c r="U895" s="501"/>
      <c r="V895" s="479" t="str">
        <f>IF(R895="No","No Twilight",IF(T895="Yes","Uncomprehended Twilight",IF((Character!$B$14+IF(Character!$B$53="Yes",0,Character!$B$53)+IF(Magic!$C$5="Yes",2,0)+ROUNDUP((Magic!$B$30+IF(Magic!$C$30="Yes",3,0))/5,0)+S895)&gt;=($D$3+P895+SUMIF(Character!$I$62:$I$66,"Enigmatic Wisdom",Character!$J$62:$J$66)+Q895+U895),"No Twilight","Twilight")))</f>
        <v>No Twilight</v>
      </c>
      <c r="W895" s="483"/>
      <c r="X895" s="478"/>
      <c r="Y895" s="484"/>
      <c r="Z895" s="478"/>
      <c r="AA895" s="485" t="str">
        <f>IF(V895="Uncomprehended Twilight","Failed",IF(OR(ISBLANK(W895),ISBLANK(Y895))," ",IF(NOT(ISBLANK(X895)),"Failed",IF((W895+Character!$B$9+SUMIF(Character!$I$62:$I$66,"Enigmatic Wisdom",Character!$J$62:$J$66))&gt;=IF(Z895="Yes",0,(Y895+D890)),"Succeeded","Failed"))))</f>
        <v xml:space="preserve"> </v>
      </c>
      <c r="AB895" s="477" t="str">
        <f>IF(AA895=" "," ",IF(NOT(ISBLANK(X895)),VLOOKUP($D$3+X895,Calcs!$A$110:$C$122,3,TRUE),IF(AA895="Failed",VLOOKUP($D$3,Calcs!$A$110:$C$122,3,TRUE),VLOOKUP($D$3-(IF((Character!$B$9+W895)&gt;($D$3+Y895),(Character!$B$9+W895)-($D$3+Y895),0)),Calcs!$A$110:$C$122,3,TRUE))))</f>
        <v xml:space="preserve"> </v>
      </c>
      <c r="AC895" s="489"/>
      <c r="AD895" s="489" t="str">
        <f>IF(IF(AA895=" "," ",IF(NOT(ISBLANK(X895)),VLOOKUP($D$3+X895,Calcs!$A$110:$B$122,2,TRUE),IF(AA895="Failed",VLOOKUP($D$3,Calcs!$A$110:$B$122,2,TRUE),VLOOKUP($D$3-(IF((Character!$B$9+W895)&gt;($D$3+Y895),(Character!$B$9+W895)-($D$3+Y895),0)),Calcs!$A$110:$B$122,2,TRUE))))=Calcs!$B$120,IF(ISBLANK(AC895)," ",CONCATENATE(AC895+7," Years")),IF(AA895=" "," ",IF(NOT(ISBLANK(X895)),VLOOKUP($D$3+X895,Calcs!$A$110:$B$122,2,TRUE),IF(AA895="Failed",VLOOKUP($D$3,Calcs!$A$110:$B$122,2,TRUE),VLOOKUP($D$3-(IF((Character!$B$9+W895)&gt;($D$3+Y895),(Character!$B$9+W895)-($D$3+Y895),0)),Calcs!$A$110:$B$122,2,TRUE)))))</f>
        <v xml:space="preserve"> </v>
      </c>
      <c r="AE895" s="490"/>
      <c r="AF895" s="879"/>
      <c r="AG895" s="491"/>
    </row>
    <row r="896" spans="1:33" x14ac:dyDescent="0.2">
      <c r="A896" s="415">
        <f t="shared" si="26"/>
        <v>1434</v>
      </c>
      <c r="B896" s="419" t="str">
        <f t="shared" si="27"/>
        <v>Winter</v>
      </c>
      <c r="C896" s="455"/>
      <c r="D896" s="504"/>
      <c r="E896" s="455"/>
      <c r="F896" s="504"/>
      <c r="G896" s="455"/>
      <c r="H896" s="504"/>
      <c r="I896" s="455"/>
      <c r="J896" s="504"/>
      <c r="L896" s="472"/>
      <c r="M896" s="468"/>
      <c r="N896" s="468"/>
      <c r="O896" s="468"/>
      <c r="P896" s="468"/>
      <c r="Q896" s="473"/>
      <c r="R896" s="477" t="str">
        <f>IF(AND(COUNTIF('Start Character'!$I$63:$M$77,"Twilight Prone")=1,NOT(ISERROR(FIND("Magical Botch",M896)))),"Yes",IF(P896&gt;1,"Yes","No"))</f>
        <v>No</v>
      </c>
      <c r="S896" s="501"/>
      <c r="T896" s="478"/>
      <c r="U896" s="501"/>
      <c r="V896" s="479" t="str">
        <f>IF(R896="No","No Twilight",IF(T896="Yes","Uncomprehended Twilight",IF((Character!$B$14+IF(Character!$B$53="Yes",0,Character!$B$53)+IF(Magic!$C$5="Yes",2,0)+ROUNDUP((Magic!$B$30+IF(Magic!$C$30="Yes",3,0))/5,0)+S896)&gt;=($D$3+P896+SUMIF(Character!$I$62:$I$66,"Enigmatic Wisdom",Character!$J$62:$J$66)+Q896+U896),"No Twilight","Twilight")))</f>
        <v>No Twilight</v>
      </c>
      <c r="W896" s="483"/>
      <c r="X896" s="478"/>
      <c r="Y896" s="484"/>
      <c r="Z896" s="478"/>
      <c r="AA896" s="485" t="str">
        <f>IF(V896="Uncomprehended Twilight","Failed",IF(OR(ISBLANK(W896),ISBLANK(Y896))," ",IF(NOT(ISBLANK(X896)),"Failed",IF((W896+Character!$B$9+SUMIF(Character!$I$62:$I$66,"Enigmatic Wisdom",Character!$J$62:$J$66))&gt;=IF(Z896="Yes",0,(Y896+D891)),"Succeeded","Failed"))))</f>
        <v xml:space="preserve"> </v>
      </c>
      <c r="AB896" s="477" t="str">
        <f>IF(AA896=" "," ",IF(NOT(ISBLANK(X896)),VLOOKUP($D$3+X896,Calcs!$A$110:$C$122,3,TRUE),IF(AA896="Failed",VLOOKUP($D$3,Calcs!$A$110:$C$122,3,TRUE),VLOOKUP($D$3-(IF((Character!$B$9+W896)&gt;($D$3+Y896),(Character!$B$9+W896)-($D$3+Y896),0)),Calcs!$A$110:$C$122,3,TRUE))))</f>
        <v xml:space="preserve"> </v>
      </c>
      <c r="AC896" s="489"/>
      <c r="AD896" s="489" t="str">
        <f>IF(IF(AA896=" "," ",IF(NOT(ISBLANK(X896)),VLOOKUP($D$3+X896,Calcs!$A$110:$B$122,2,TRUE),IF(AA896="Failed",VLOOKUP($D$3,Calcs!$A$110:$B$122,2,TRUE),VLOOKUP($D$3-(IF((Character!$B$9+W896)&gt;($D$3+Y896),(Character!$B$9+W896)-($D$3+Y896),0)),Calcs!$A$110:$B$122,2,TRUE))))=Calcs!$B$120,IF(ISBLANK(AC896)," ",CONCATENATE(AC896+7," Years")),IF(AA896=" "," ",IF(NOT(ISBLANK(X896)),VLOOKUP($D$3+X896,Calcs!$A$110:$B$122,2,TRUE),IF(AA896="Failed",VLOOKUP($D$3,Calcs!$A$110:$B$122,2,TRUE),VLOOKUP($D$3-(IF((Character!$B$9+W896)&gt;($D$3+Y896),(Character!$B$9+W896)-($D$3+Y896),0)),Calcs!$A$110:$B$122,2,TRUE)))))</f>
        <v xml:space="preserve"> </v>
      </c>
      <c r="AE896" s="490"/>
      <c r="AF896" s="879"/>
      <c r="AG896" s="491"/>
    </row>
    <row r="897" spans="1:33" x14ac:dyDescent="0.2">
      <c r="A897" s="415">
        <f t="shared" si="26"/>
        <v>1434</v>
      </c>
      <c r="B897" s="419" t="str">
        <f t="shared" si="27"/>
        <v>Spring</v>
      </c>
      <c r="C897" s="455"/>
      <c r="D897" s="504"/>
      <c r="E897" s="455"/>
      <c r="F897" s="504"/>
      <c r="G897" s="455"/>
      <c r="H897" s="504"/>
      <c r="I897" s="455"/>
      <c r="J897" s="504"/>
      <c r="L897" s="472"/>
      <c r="M897" s="468"/>
      <c r="N897" s="468"/>
      <c r="O897" s="468"/>
      <c r="P897" s="468"/>
      <c r="Q897" s="473"/>
      <c r="R897" s="477" t="str">
        <f>IF(AND(COUNTIF('Start Character'!$I$63:$M$77,"Twilight Prone")=1,NOT(ISERROR(FIND("Magical Botch",M897)))),"Yes",IF(P897&gt;1,"Yes","No"))</f>
        <v>No</v>
      </c>
      <c r="S897" s="501"/>
      <c r="T897" s="478"/>
      <c r="U897" s="501"/>
      <c r="V897" s="479" t="str">
        <f>IF(R897="No","No Twilight",IF(T897="Yes","Uncomprehended Twilight",IF((Character!$B$14+IF(Character!$B$53="Yes",0,Character!$B$53)+IF(Magic!$C$5="Yes",2,0)+ROUNDUP((Magic!$B$30+IF(Magic!$C$30="Yes",3,0))/5,0)+S897)&gt;=($D$3+P897+SUMIF(Character!$I$62:$I$66,"Enigmatic Wisdom",Character!$J$62:$J$66)+Q897+U897),"No Twilight","Twilight")))</f>
        <v>No Twilight</v>
      </c>
      <c r="W897" s="483"/>
      <c r="X897" s="478"/>
      <c r="Y897" s="484"/>
      <c r="Z897" s="478"/>
      <c r="AA897" s="485" t="str">
        <f>IF(V897="Uncomprehended Twilight","Failed",IF(OR(ISBLANK(W897),ISBLANK(Y897))," ",IF(NOT(ISBLANK(X897)),"Failed",IF((W897+Character!$B$9+SUMIF(Character!$I$62:$I$66,"Enigmatic Wisdom",Character!$J$62:$J$66))&gt;=IF(Z897="Yes",0,(Y897+D892)),"Succeeded","Failed"))))</f>
        <v xml:space="preserve"> </v>
      </c>
      <c r="AB897" s="477" t="str">
        <f>IF(AA897=" "," ",IF(NOT(ISBLANK(X897)),VLOOKUP($D$3+X897,Calcs!$A$110:$C$122,3,TRUE),IF(AA897="Failed",VLOOKUP($D$3,Calcs!$A$110:$C$122,3,TRUE),VLOOKUP($D$3-(IF((Character!$B$9+W897)&gt;($D$3+Y897),(Character!$B$9+W897)-($D$3+Y897),0)),Calcs!$A$110:$C$122,3,TRUE))))</f>
        <v xml:space="preserve"> </v>
      </c>
      <c r="AC897" s="489"/>
      <c r="AD897" s="489" t="str">
        <f>IF(IF(AA897=" "," ",IF(NOT(ISBLANK(X897)),VLOOKUP($D$3+X897,Calcs!$A$110:$B$122,2,TRUE),IF(AA897="Failed",VLOOKUP($D$3,Calcs!$A$110:$B$122,2,TRUE),VLOOKUP($D$3-(IF((Character!$B$9+W897)&gt;($D$3+Y897),(Character!$B$9+W897)-($D$3+Y897),0)),Calcs!$A$110:$B$122,2,TRUE))))=Calcs!$B$120,IF(ISBLANK(AC897)," ",CONCATENATE(AC897+7," Years")),IF(AA897=" "," ",IF(NOT(ISBLANK(X897)),VLOOKUP($D$3+X897,Calcs!$A$110:$B$122,2,TRUE),IF(AA897="Failed",VLOOKUP($D$3,Calcs!$A$110:$B$122,2,TRUE),VLOOKUP($D$3-(IF((Character!$B$9+W897)&gt;($D$3+Y897),(Character!$B$9+W897)-($D$3+Y897),0)),Calcs!$A$110:$B$122,2,TRUE)))))</f>
        <v xml:space="preserve"> </v>
      </c>
      <c r="AE897" s="490"/>
      <c r="AF897" s="879"/>
      <c r="AG897" s="491"/>
    </row>
    <row r="898" spans="1:33" x14ac:dyDescent="0.2">
      <c r="A898" s="415">
        <f t="shared" si="26"/>
        <v>1434</v>
      </c>
      <c r="B898" s="419" t="str">
        <f t="shared" si="27"/>
        <v>Summer</v>
      </c>
      <c r="C898" s="455"/>
      <c r="D898" s="504"/>
      <c r="E898" s="455"/>
      <c r="F898" s="504"/>
      <c r="G898" s="455"/>
      <c r="H898" s="504"/>
      <c r="I898" s="455"/>
      <c r="J898" s="504"/>
      <c r="L898" s="472"/>
      <c r="M898" s="468"/>
      <c r="N898" s="468"/>
      <c r="O898" s="468"/>
      <c r="P898" s="468"/>
      <c r="Q898" s="473"/>
      <c r="R898" s="477" t="str">
        <f>IF(AND(COUNTIF('Start Character'!$I$63:$M$77,"Twilight Prone")=1,NOT(ISERROR(FIND("Magical Botch",M898)))),"Yes",IF(P898&gt;1,"Yes","No"))</f>
        <v>No</v>
      </c>
      <c r="S898" s="501"/>
      <c r="T898" s="478"/>
      <c r="U898" s="501"/>
      <c r="V898" s="479" t="str">
        <f>IF(R898="No","No Twilight",IF(T898="Yes","Uncomprehended Twilight",IF((Character!$B$14+IF(Character!$B$53="Yes",0,Character!$B$53)+IF(Magic!$C$5="Yes",2,0)+ROUNDUP((Magic!$B$30+IF(Magic!$C$30="Yes",3,0))/5,0)+S898)&gt;=($D$3+P898+SUMIF(Character!$I$62:$I$66,"Enigmatic Wisdom",Character!$J$62:$J$66)+Q898+U898),"No Twilight","Twilight")))</f>
        <v>No Twilight</v>
      </c>
      <c r="W898" s="483"/>
      <c r="X898" s="478"/>
      <c r="Y898" s="484"/>
      <c r="Z898" s="478"/>
      <c r="AA898" s="485" t="str">
        <f>IF(V898="Uncomprehended Twilight","Failed",IF(OR(ISBLANK(W898),ISBLANK(Y898))," ",IF(NOT(ISBLANK(X898)),"Failed",IF((W898+Character!$B$9+SUMIF(Character!$I$62:$I$66,"Enigmatic Wisdom",Character!$J$62:$J$66))&gt;=IF(Z898="Yes",0,(Y898+D893)),"Succeeded","Failed"))))</f>
        <v xml:space="preserve"> </v>
      </c>
      <c r="AB898" s="477" t="str">
        <f>IF(AA898=" "," ",IF(NOT(ISBLANK(X898)),VLOOKUP($D$3+X898,Calcs!$A$110:$C$122,3,TRUE),IF(AA898="Failed",VLOOKUP($D$3,Calcs!$A$110:$C$122,3,TRUE),VLOOKUP($D$3-(IF((Character!$B$9+W898)&gt;($D$3+Y898),(Character!$B$9+W898)-($D$3+Y898),0)),Calcs!$A$110:$C$122,3,TRUE))))</f>
        <v xml:space="preserve"> </v>
      </c>
      <c r="AC898" s="489"/>
      <c r="AD898" s="489" t="str">
        <f>IF(IF(AA898=" "," ",IF(NOT(ISBLANK(X898)),VLOOKUP($D$3+X898,Calcs!$A$110:$B$122,2,TRUE),IF(AA898="Failed",VLOOKUP($D$3,Calcs!$A$110:$B$122,2,TRUE),VLOOKUP($D$3-(IF((Character!$B$9+W898)&gt;($D$3+Y898),(Character!$B$9+W898)-($D$3+Y898),0)),Calcs!$A$110:$B$122,2,TRUE))))=Calcs!$B$120,IF(ISBLANK(AC898)," ",CONCATENATE(AC898+7," Years")),IF(AA898=" "," ",IF(NOT(ISBLANK(X898)),VLOOKUP($D$3+X898,Calcs!$A$110:$B$122,2,TRUE),IF(AA898="Failed",VLOOKUP($D$3,Calcs!$A$110:$B$122,2,TRUE),VLOOKUP($D$3-(IF((Character!$B$9+W898)&gt;($D$3+Y898),(Character!$B$9+W898)-($D$3+Y898),0)),Calcs!$A$110:$B$122,2,TRUE)))))</f>
        <v xml:space="preserve"> </v>
      </c>
      <c r="AE898" s="490"/>
      <c r="AF898" s="879"/>
      <c r="AG898" s="491"/>
    </row>
    <row r="899" spans="1:33" x14ac:dyDescent="0.2">
      <c r="A899" s="415">
        <f t="shared" si="26"/>
        <v>1434</v>
      </c>
      <c r="B899" s="419" t="str">
        <f t="shared" si="27"/>
        <v>Autumn</v>
      </c>
      <c r="C899" s="455"/>
      <c r="D899" s="504"/>
      <c r="E899" s="455"/>
      <c r="F899" s="504"/>
      <c r="G899" s="455"/>
      <c r="H899" s="504"/>
      <c r="I899" s="455"/>
      <c r="J899" s="504"/>
      <c r="L899" s="472"/>
      <c r="M899" s="468"/>
      <c r="N899" s="468"/>
      <c r="O899" s="468"/>
      <c r="P899" s="468"/>
      <c r="Q899" s="473"/>
      <c r="R899" s="477" t="str">
        <f>IF(AND(COUNTIF('Start Character'!$I$63:$M$77,"Twilight Prone")=1,NOT(ISERROR(FIND("Magical Botch",M899)))),"Yes",IF(P899&gt;1,"Yes","No"))</f>
        <v>No</v>
      </c>
      <c r="S899" s="501"/>
      <c r="T899" s="478"/>
      <c r="U899" s="501"/>
      <c r="V899" s="479" t="str">
        <f>IF(R899="No","No Twilight",IF(T899="Yes","Uncomprehended Twilight",IF((Character!$B$14+IF(Character!$B$53="Yes",0,Character!$B$53)+IF(Magic!$C$5="Yes",2,0)+ROUNDUP((Magic!$B$30+IF(Magic!$C$30="Yes",3,0))/5,0)+S899)&gt;=($D$3+P899+SUMIF(Character!$I$62:$I$66,"Enigmatic Wisdom",Character!$J$62:$J$66)+Q899+U899),"No Twilight","Twilight")))</f>
        <v>No Twilight</v>
      </c>
      <c r="W899" s="483"/>
      <c r="X899" s="478"/>
      <c r="Y899" s="484"/>
      <c r="Z899" s="478"/>
      <c r="AA899" s="485" t="str">
        <f>IF(V899="Uncomprehended Twilight","Failed",IF(OR(ISBLANK(W899),ISBLANK(Y899))," ",IF(NOT(ISBLANK(X899)),"Failed",IF((W899+Character!$B$9+SUMIF(Character!$I$62:$I$66,"Enigmatic Wisdom",Character!$J$62:$J$66))&gt;=IF(Z899="Yes",0,(Y899+D894)),"Succeeded","Failed"))))</f>
        <v xml:space="preserve"> </v>
      </c>
      <c r="AB899" s="477" t="str">
        <f>IF(AA899=" "," ",IF(NOT(ISBLANK(X899)),VLOOKUP($D$3+X899,Calcs!$A$110:$C$122,3,TRUE),IF(AA899="Failed",VLOOKUP($D$3,Calcs!$A$110:$C$122,3,TRUE),VLOOKUP($D$3-(IF((Character!$B$9+W899)&gt;($D$3+Y899),(Character!$B$9+W899)-($D$3+Y899),0)),Calcs!$A$110:$C$122,3,TRUE))))</f>
        <v xml:space="preserve"> </v>
      </c>
      <c r="AC899" s="489"/>
      <c r="AD899" s="489" t="str">
        <f>IF(IF(AA899=" "," ",IF(NOT(ISBLANK(X899)),VLOOKUP($D$3+X899,Calcs!$A$110:$B$122,2,TRUE),IF(AA899="Failed",VLOOKUP($D$3,Calcs!$A$110:$B$122,2,TRUE),VLOOKUP($D$3-(IF((Character!$B$9+W899)&gt;($D$3+Y899),(Character!$B$9+W899)-($D$3+Y899),0)),Calcs!$A$110:$B$122,2,TRUE))))=Calcs!$B$120,IF(ISBLANK(AC899)," ",CONCATENATE(AC899+7," Years")),IF(AA899=" "," ",IF(NOT(ISBLANK(X899)),VLOOKUP($D$3+X899,Calcs!$A$110:$B$122,2,TRUE),IF(AA899="Failed",VLOOKUP($D$3,Calcs!$A$110:$B$122,2,TRUE),VLOOKUP($D$3-(IF((Character!$B$9+W899)&gt;($D$3+Y899),(Character!$B$9+W899)-($D$3+Y899),0)),Calcs!$A$110:$B$122,2,TRUE)))))</f>
        <v xml:space="preserve"> </v>
      </c>
      <c r="AE899" s="490"/>
      <c r="AF899" s="879"/>
      <c r="AG899" s="491"/>
    </row>
    <row r="900" spans="1:33" x14ac:dyDescent="0.2">
      <c r="A900" s="415">
        <f t="shared" si="26"/>
        <v>1435</v>
      </c>
      <c r="B900" s="419" t="str">
        <f t="shared" si="27"/>
        <v>Winter</v>
      </c>
      <c r="C900" s="455"/>
      <c r="D900" s="504"/>
      <c r="E900" s="455"/>
      <c r="F900" s="504"/>
      <c r="G900" s="455"/>
      <c r="H900" s="504"/>
      <c r="I900" s="455"/>
      <c r="J900" s="504"/>
      <c r="L900" s="472"/>
      <c r="M900" s="468"/>
      <c r="N900" s="468"/>
      <c r="O900" s="468"/>
      <c r="P900" s="468"/>
      <c r="Q900" s="473"/>
      <c r="R900" s="477" t="str">
        <f>IF(AND(COUNTIF('Start Character'!$I$63:$M$77,"Twilight Prone")=1,NOT(ISERROR(FIND("Magical Botch",M900)))),"Yes",IF(P900&gt;1,"Yes","No"))</f>
        <v>No</v>
      </c>
      <c r="S900" s="501"/>
      <c r="T900" s="478"/>
      <c r="U900" s="501"/>
      <c r="V900" s="479" t="str">
        <f>IF(R900="No","No Twilight",IF(T900="Yes","Uncomprehended Twilight",IF((Character!$B$14+IF(Character!$B$53="Yes",0,Character!$B$53)+IF(Magic!$C$5="Yes",2,0)+ROUNDUP((Magic!$B$30+IF(Magic!$C$30="Yes",3,0))/5,0)+S900)&gt;=($D$3+P900+SUMIF(Character!$I$62:$I$66,"Enigmatic Wisdom",Character!$J$62:$J$66)+Q900+U900),"No Twilight","Twilight")))</f>
        <v>No Twilight</v>
      </c>
      <c r="W900" s="483"/>
      <c r="X900" s="478"/>
      <c r="Y900" s="484"/>
      <c r="Z900" s="478"/>
      <c r="AA900" s="485" t="str">
        <f>IF(V900="Uncomprehended Twilight","Failed",IF(OR(ISBLANK(W900),ISBLANK(Y900))," ",IF(NOT(ISBLANK(X900)),"Failed",IF((W900+Character!$B$9+SUMIF(Character!$I$62:$I$66,"Enigmatic Wisdom",Character!$J$62:$J$66))&gt;=IF(Z900="Yes",0,(Y900+D895)),"Succeeded","Failed"))))</f>
        <v xml:space="preserve"> </v>
      </c>
      <c r="AB900" s="477" t="str">
        <f>IF(AA900=" "," ",IF(NOT(ISBLANK(X900)),VLOOKUP($D$3+X900,Calcs!$A$110:$C$122,3,TRUE),IF(AA900="Failed",VLOOKUP($D$3,Calcs!$A$110:$C$122,3,TRUE),VLOOKUP($D$3-(IF((Character!$B$9+W900)&gt;($D$3+Y900),(Character!$B$9+W900)-($D$3+Y900),0)),Calcs!$A$110:$C$122,3,TRUE))))</f>
        <v xml:space="preserve"> </v>
      </c>
      <c r="AC900" s="489"/>
      <c r="AD900" s="489" t="str">
        <f>IF(IF(AA900=" "," ",IF(NOT(ISBLANK(X900)),VLOOKUP($D$3+X900,Calcs!$A$110:$B$122,2,TRUE),IF(AA900="Failed",VLOOKUP($D$3,Calcs!$A$110:$B$122,2,TRUE),VLOOKUP($D$3-(IF((Character!$B$9+W900)&gt;($D$3+Y900),(Character!$B$9+W900)-($D$3+Y900),0)),Calcs!$A$110:$B$122,2,TRUE))))=Calcs!$B$120,IF(ISBLANK(AC900)," ",CONCATENATE(AC900+7," Years")),IF(AA900=" "," ",IF(NOT(ISBLANK(X900)),VLOOKUP($D$3+X900,Calcs!$A$110:$B$122,2,TRUE),IF(AA900="Failed",VLOOKUP($D$3,Calcs!$A$110:$B$122,2,TRUE),VLOOKUP($D$3-(IF((Character!$B$9+W900)&gt;($D$3+Y900),(Character!$B$9+W900)-($D$3+Y900),0)),Calcs!$A$110:$B$122,2,TRUE)))))</f>
        <v xml:space="preserve"> </v>
      </c>
      <c r="AE900" s="490"/>
      <c r="AF900" s="879"/>
      <c r="AG900" s="491"/>
    </row>
    <row r="901" spans="1:33" x14ac:dyDescent="0.2">
      <c r="A901" s="415">
        <f t="shared" si="26"/>
        <v>1435</v>
      </c>
      <c r="B901" s="419" t="str">
        <f t="shared" si="27"/>
        <v>Spring</v>
      </c>
      <c r="C901" s="455"/>
      <c r="D901" s="504"/>
      <c r="E901" s="455"/>
      <c r="F901" s="504"/>
      <c r="G901" s="455"/>
      <c r="H901" s="504"/>
      <c r="I901" s="455"/>
      <c r="J901" s="504"/>
      <c r="L901" s="472"/>
      <c r="M901" s="468"/>
      <c r="N901" s="468"/>
      <c r="O901" s="468"/>
      <c r="P901" s="468"/>
      <c r="Q901" s="473"/>
      <c r="R901" s="477" t="str">
        <f>IF(AND(COUNTIF('Start Character'!$I$63:$M$77,"Twilight Prone")=1,NOT(ISERROR(FIND("Magical Botch",M901)))),"Yes",IF(P901&gt;1,"Yes","No"))</f>
        <v>No</v>
      </c>
      <c r="S901" s="501"/>
      <c r="T901" s="478"/>
      <c r="U901" s="501"/>
      <c r="V901" s="479" t="str">
        <f>IF(R901="No","No Twilight",IF(T901="Yes","Uncomprehended Twilight",IF((Character!$B$14+IF(Character!$B$53="Yes",0,Character!$B$53)+IF(Magic!$C$5="Yes",2,0)+ROUNDUP((Magic!$B$30+IF(Magic!$C$30="Yes",3,0))/5,0)+S901)&gt;=($D$3+P901+SUMIF(Character!$I$62:$I$66,"Enigmatic Wisdom",Character!$J$62:$J$66)+Q901+U901),"No Twilight","Twilight")))</f>
        <v>No Twilight</v>
      </c>
      <c r="W901" s="483"/>
      <c r="X901" s="478"/>
      <c r="Y901" s="484"/>
      <c r="Z901" s="478"/>
      <c r="AA901" s="485" t="str">
        <f>IF(V901="Uncomprehended Twilight","Failed",IF(OR(ISBLANK(W901),ISBLANK(Y901))," ",IF(NOT(ISBLANK(X901)),"Failed",IF((W901+Character!$B$9+SUMIF(Character!$I$62:$I$66,"Enigmatic Wisdom",Character!$J$62:$J$66))&gt;=IF(Z901="Yes",0,(Y901+D896)),"Succeeded","Failed"))))</f>
        <v xml:space="preserve"> </v>
      </c>
      <c r="AB901" s="477" t="str">
        <f>IF(AA901=" "," ",IF(NOT(ISBLANK(X901)),VLOOKUP($D$3+X901,Calcs!$A$110:$C$122,3,TRUE),IF(AA901="Failed",VLOOKUP($D$3,Calcs!$A$110:$C$122,3,TRUE),VLOOKUP($D$3-(IF((Character!$B$9+W901)&gt;($D$3+Y901),(Character!$B$9+W901)-($D$3+Y901),0)),Calcs!$A$110:$C$122,3,TRUE))))</f>
        <v xml:space="preserve"> </v>
      </c>
      <c r="AC901" s="489"/>
      <c r="AD901" s="489" t="str">
        <f>IF(IF(AA901=" "," ",IF(NOT(ISBLANK(X901)),VLOOKUP($D$3+X901,Calcs!$A$110:$B$122,2,TRUE),IF(AA901="Failed",VLOOKUP($D$3,Calcs!$A$110:$B$122,2,TRUE),VLOOKUP($D$3-(IF((Character!$B$9+W901)&gt;($D$3+Y901),(Character!$B$9+W901)-($D$3+Y901),0)),Calcs!$A$110:$B$122,2,TRUE))))=Calcs!$B$120,IF(ISBLANK(AC901)," ",CONCATENATE(AC901+7," Years")),IF(AA901=" "," ",IF(NOT(ISBLANK(X901)),VLOOKUP($D$3+X901,Calcs!$A$110:$B$122,2,TRUE),IF(AA901="Failed",VLOOKUP($D$3,Calcs!$A$110:$B$122,2,TRUE),VLOOKUP($D$3-(IF((Character!$B$9+W901)&gt;($D$3+Y901),(Character!$B$9+W901)-($D$3+Y901),0)),Calcs!$A$110:$B$122,2,TRUE)))))</f>
        <v xml:space="preserve"> </v>
      </c>
      <c r="AE901" s="490"/>
      <c r="AF901" s="879"/>
      <c r="AG901" s="491"/>
    </row>
    <row r="902" spans="1:33" x14ac:dyDescent="0.2">
      <c r="A902" s="415">
        <f t="shared" si="26"/>
        <v>1435</v>
      </c>
      <c r="B902" s="419" t="str">
        <f t="shared" si="27"/>
        <v>Summer</v>
      </c>
      <c r="C902" s="455"/>
      <c r="D902" s="504"/>
      <c r="E902" s="455"/>
      <c r="F902" s="504"/>
      <c r="G902" s="455"/>
      <c r="H902" s="504"/>
      <c r="I902" s="455"/>
      <c r="J902" s="504"/>
      <c r="L902" s="472"/>
      <c r="M902" s="468"/>
      <c r="N902" s="468"/>
      <c r="O902" s="468"/>
      <c r="P902" s="468"/>
      <c r="Q902" s="473"/>
      <c r="R902" s="477" t="str">
        <f>IF(AND(COUNTIF('Start Character'!$I$63:$M$77,"Twilight Prone")=1,NOT(ISERROR(FIND("Magical Botch",M902)))),"Yes",IF(P902&gt;1,"Yes","No"))</f>
        <v>No</v>
      </c>
      <c r="S902" s="501"/>
      <c r="T902" s="478"/>
      <c r="U902" s="501"/>
      <c r="V902" s="479" t="str">
        <f>IF(R902="No","No Twilight",IF(T902="Yes","Uncomprehended Twilight",IF((Character!$B$14+IF(Character!$B$53="Yes",0,Character!$B$53)+IF(Magic!$C$5="Yes",2,0)+ROUNDUP((Magic!$B$30+IF(Magic!$C$30="Yes",3,0))/5,0)+S902)&gt;=($D$3+P902+SUMIF(Character!$I$62:$I$66,"Enigmatic Wisdom",Character!$J$62:$J$66)+Q902+U902),"No Twilight","Twilight")))</f>
        <v>No Twilight</v>
      </c>
      <c r="W902" s="483"/>
      <c r="X902" s="478"/>
      <c r="Y902" s="484"/>
      <c r="Z902" s="478"/>
      <c r="AA902" s="485" t="str">
        <f>IF(V902="Uncomprehended Twilight","Failed",IF(OR(ISBLANK(W902),ISBLANK(Y902))," ",IF(NOT(ISBLANK(X902)),"Failed",IF((W902+Character!$B$9+SUMIF(Character!$I$62:$I$66,"Enigmatic Wisdom",Character!$J$62:$J$66))&gt;=IF(Z902="Yes",0,(Y902+D897)),"Succeeded","Failed"))))</f>
        <v xml:space="preserve"> </v>
      </c>
      <c r="AB902" s="477" t="str">
        <f>IF(AA902=" "," ",IF(NOT(ISBLANK(X902)),VLOOKUP($D$3+X902,Calcs!$A$110:$C$122,3,TRUE),IF(AA902="Failed",VLOOKUP($D$3,Calcs!$A$110:$C$122,3,TRUE),VLOOKUP($D$3-(IF((Character!$B$9+W902)&gt;($D$3+Y902),(Character!$B$9+W902)-($D$3+Y902),0)),Calcs!$A$110:$C$122,3,TRUE))))</f>
        <v xml:space="preserve"> </v>
      </c>
      <c r="AC902" s="489"/>
      <c r="AD902" s="489" t="str">
        <f>IF(IF(AA902=" "," ",IF(NOT(ISBLANK(X902)),VLOOKUP($D$3+X902,Calcs!$A$110:$B$122,2,TRUE),IF(AA902="Failed",VLOOKUP($D$3,Calcs!$A$110:$B$122,2,TRUE),VLOOKUP($D$3-(IF((Character!$B$9+W902)&gt;($D$3+Y902),(Character!$B$9+W902)-($D$3+Y902),0)),Calcs!$A$110:$B$122,2,TRUE))))=Calcs!$B$120,IF(ISBLANK(AC902)," ",CONCATENATE(AC902+7," Years")),IF(AA902=" "," ",IF(NOT(ISBLANK(X902)),VLOOKUP($D$3+X902,Calcs!$A$110:$B$122,2,TRUE),IF(AA902="Failed",VLOOKUP($D$3,Calcs!$A$110:$B$122,2,TRUE),VLOOKUP($D$3-(IF((Character!$B$9+W902)&gt;($D$3+Y902),(Character!$B$9+W902)-($D$3+Y902),0)),Calcs!$A$110:$B$122,2,TRUE)))))</f>
        <v xml:space="preserve"> </v>
      </c>
      <c r="AE902" s="490"/>
      <c r="AF902" s="879"/>
      <c r="AG902" s="491"/>
    </row>
    <row r="903" spans="1:33" x14ac:dyDescent="0.2">
      <c r="A903" s="415">
        <f t="shared" si="26"/>
        <v>1435</v>
      </c>
      <c r="B903" s="419" t="str">
        <f t="shared" si="27"/>
        <v>Autumn</v>
      </c>
      <c r="C903" s="455"/>
      <c r="D903" s="504"/>
      <c r="E903" s="455"/>
      <c r="F903" s="504"/>
      <c r="G903" s="455"/>
      <c r="H903" s="504"/>
      <c r="I903" s="455"/>
      <c r="J903" s="504"/>
      <c r="L903" s="472"/>
      <c r="M903" s="468"/>
      <c r="N903" s="468"/>
      <c r="O903" s="468"/>
      <c r="P903" s="468"/>
      <c r="Q903" s="473"/>
      <c r="R903" s="477" t="str">
        <f>IF(AND(COUNTIF('Start Character'!$I$63:$M$77,"Twilight Prone")=1,NOT(ISERROR(FIND("Magical Botch",M903)))),"Yes",IF(P903&gt;1,"Yes","No"))</f>
        <v>No</v>
      </c>
      <c r="S903" s="501"/>
      <c r="T903" s="478"/>
      <c r="U903" s="501"/>
      <c r="V903" s="479" t="str">
        <f>IF(R903="No","No Twilight",IF(T903="Yes","Uncomprehended Twilight",IF((Character!$B$14+IF(Character!$B$53="Yes",0,Character!$B$53)+IF(Magic!$C$5="Yes",2,0)+ROUNDUP((Magic!$B$30+IF(Magic!$C$30="Yes",3,0))/5,0)+S903)&gt;=($D$3+P903+SUMIF(Character!$I$62:$I$66,"Enigmatic Wisdom",Character!$J$62:$J$66)+Q903+U903),"No Twilight","Twilight")))</f>
        <v>No Twilight</v>
      </c>
      <c r="W903" s="483"/>
      <c r="X903" s="478"/>
      <c r="Y903" s="484"/>
      <c r="Z903" s="478"/>
      <c r="AA903" s="485" t="str">
        <f>IF(V903="Uncomprehended Twilight","Failed",IF(OR(ISBLANK(W903),ISBLANK(Y903))," ",IF(NOT(ISBLANK(X903)),"Failed",IF((W903+Character!$B$9+SUMIF(Character!$I$62:$I$66,"Enigmatic Wisdom",Character!$J$62:$J$66))&gt;=IF(Z903="Yes",0,(Y903+D898)),"Succeeded","Failed"))))</f>
        <v xml:space="preserve"> </v>
      </c>
      <c r="AB903" s="477" t="str">
        <f>IF(AA903=" "," ",IF(NOT(ISBLANK(X903)),VLOOKUP($D$3+X903,Calcs!$A$110:$C$122,3,TRUE),IF(AA903="Failed",VLOOKUP($D$3,Calcs!$A$110:$C$122,3,TRUE),VLOOKUP($D$3-(IF((Character!$B$9+W903)&gt;($D$3+Y903),(Character!$B$9+W903)-($D$3+Y903),0)),Calcs!$A$110:$C$122,3,TRUE))))</f>
        <v xml:space="preserve"> </v>
      </c>
      <c r="AC903" s="489"/>
      <c r="AD903" s="489" t="str">
        <f>IF(IF(AA903=" "," ",IF(NOT(ISBLANK(X903)),VLOOKUP($D$3+X903,Calcs!$A$110:$B$122,2,TRUE),IF(AA903="Failed",VLOOKUP($D$3,Calcs!$A$110:$B$122,2,TRUE),VLOOKUP($D$3-(IF((Character!$B$9+W903)&gt;($D$3+Y903),(Character!$B$9+W903)-($D$3+Y903),0)),Calcs!$A$110:$B$122,2,TRUE))))=Calcs!$B$120,IF(ISBLANK(AC903)," ",CONCATENATE(AC903+7," Years")),IF(AA903=" "," ",IF(NOT(ISBLANK(X903)),VLOOKUP($D$3+X903,Calcs!$A$110:$B$122,2,TRUE),IF(AA903="Failed",VLOOKUP($D$3,Calcs!$A$110:$B$122,2,TRUE),VLOOKUP($D$3-(IF((Character!$B$9+W903)&gt;($D$3+Y903),(Character!$B$9+W903)-($D$3+Y903),0)),Calcs!$A$110:$B$122,2,TRUE)))))</f>
        <v xml:space="preserve"> </v>
      </c>
      <c r="AE903" s="490"/>
      <c r="AF903" s="879"/>
      <c r="AG903" s="491"/>
    </row>
    <row r="904" spans="1:33" x14ac:dyDescent="0.2">
      <c r="A904" s="415">
        <f t="shared" si="26"/>
        <v>1436</v>
      </c>
      <c r="B904" s="419" t="str">
        <f t="shared" si="27"/>
        <v>Winter</v>
      </c>
      <c r="C904" s="455"/>
      <c r="D904" s="504"/>
      <c r="E904" s="455"/>
      <c r="F904" s="504"/>
      <c r="G904" s="455"/>
      <c r="H904" s="504"/>
      <c r="I904" s="455"/>
      <c r="J904" s="504"/>
      <c r="L904" s="472"/>
      <c r="M904" s="468"/>
      <c r="N904" s="468"/>
      <c r="O904" s="468"/>
      <c r="P904" s="468"/>
      <c r="Q904" s="473"/>
      <c r="R904" s="477" t="str">
        <f>IF(AND(COUNTIF('Start Character'!$I$63:$M$77,"Twilight Prone")=1,NOT(ISERROR(FIND("Magical Botch",M904)))),"Yes",IF(P904&gt;1,"Yes","No"))</f>
        <v>No</v>
      </c>
      <c r="S904" s="501"/>
      <c r="T904" s="478"/>
      <c r="U904" s="501"/>
      <c r="V904" s="479" t="str">
        <f>IF(R904="No","No Twilight",IF(T904="Yes","Uncomprehended Twilight",IF((Character!$B$14+IF(Character!$B$53="Yes",0,Character!$B$53)+IF(Magic!$C$5="Yes",2,0)+ROUNDUP((Magic!$B$30+IF(Magic!$C$30="Yes",3,0))/5,0)+S904)&gt;=($D$3+P904+SUMIF(Character!$I$62:$I$66,"Enigmatic Wisdom",Character!$J$62:$J$66)+Q904+U904),"No Twilight","Twilight")))</f>
        <v>No Twilight</v>
      </c>
      <c r="W904" s="483"/>
      <c r="X904" s="478"/>
      <c r="Y904" s="484"/>
      <c r="Z904" s="478"/>
      <c r="AA904" s="485" t="str">
        <f>IF(V904="Uncomprehended Twilight","Failed",IF(OR(ISBLANK(W904),ISBLANK(Y904))," ",IF(NOT(ISBLANK(X904)),"Failed",IF((W904+Character!$B$9+SUMIF(Character!$I$62:$I$66,"Enigmatic Wisdom",Character!$J$62:$J$66))&gt;=IF(Z904="Yes",0,(Y904+D899)),"Succeeded","Failed"))))</f>
        <v xml:space="preserve"> </v>
      </c>
      <c r="AB904" s="477" t="str">
        <f>IF(AA904=" "," ",IF(NOT(ISBLANK(X904)),VLOOKUP($D$3+X904,Calcs!$A$110:$C$122,3,TRUE),IF(AA904="Failed",VLOOKUP($D$3,Calcs!$A$110:$C$122,3,TRUE),VLOOKUP($D$3-(IF((Character!$B$9+W904)&gt;($D$3+Y904),(Character!$B$9+W904)-($D$3+Y904),0)),Calcs!$A$110:$C$122,3,TRUE))))</f>
        <v xml:space="preserve"> </v>
      </c>
      <c r="AC904" s="489"/>
      <c r="AD904" s="489" t="str">
        <f>IF(IF(AA904=" "," ",IF(NOT(ISBLANK(X904)),VLOOKUP($D$3+X904,Calcs!$A$110:$B$122,2,TRUE),IF(AA904="Failed",VLOOKUP($D$3,Calcs!$A$110:$B$122,2,TRUE),VLOOKUP($D$3-(IF((Character!$B$9+W904)&gt;($D$3+Y904),(Character!$B$9+W904)-($D$3+Y904),0)),Calcs!$A$110:$B$122,2,TRUE))))=Calcs!$B$120,IF(ISBLANK(AC904)," ",CONCATENATE(AC904+7," Years")),IF(AA904=" "," ",IF(NOT(ISBLANK(X904)),VLOOKUP($D$3+X904,Calcs!$A$110:$B$122,2,TRUE),IF(AA904="Failed",VLOOKUP($D$3,Calcs!$A$110:$B$122,2,TRUE),VLOOKUP($D$3-(IF((Character!$B$9+W904)&gt;($D$3+Y904),(Character!$B$9+W904)-($D$3+Y904),0)),Calcs!$A$110:$B$122,2,TRUE)))))</f>
        <v xml:space="preserve"> </v>
      </c>
      <c r="AE904" s="490"/>
      <c r="AF904" s="879"/>
      <c r="AG904" s="491"/>
    </row>
    <row r="905" spans="1:33" x14ac:dyDescent="0.2">
      <c r="A905" s="415">
        <f t="shared" si="26"/>
        <v>1436</v>
      </c>
      <c r="B905" s="419" t="str">
        <f t="shared" si="27"/>
        <v>Spring</v>
      </c>
      <c r="C905" s="455"/>
      <c r="D905" s="504"/>
      <c r="E905" s="455"/>
      <c r="F905" s="504"/>
      <c r="G905" s="455"/>
      <c r="H905" s="504"/>
      <c r="I905" s="455"/>
      <c r="J905" s="504"/>
      <c r="L905" s="472"/>
      <c r="M905" s="468"/>
      <c r="N905" s="468"/>
      <c r="O905" s="468"/>
      <c r="P905" s="468"/>
      <c r="Q905" s="473"/>
      <c r="R905" s="477" t="str">
        <f>IF(AND(COUNTIF('Start Character'!$I$63:$M$77,"Twilight Prone")=1,NOT(ISERROR(FIND("Magical Botch",M905)))),"Yes",IF(P905&gt;1,"Yes","No"))</f>
        <v>No</v>
      </c>
      <c r="S905" s="501"/>
      <c r="T905" s="478"/>
      <c r="U905" s="501"/>
      <c r="V905" s="479" t="str">
        <f>IF(R905="No","No Twilight",IF(T905="Yes","Uncomprehended Twilight",IF((Character!$B$14+IF(Character!$B$53="Yes",0,Character!$B$53)+IF(Magic!$C$5="Yes",2,0)+ROUNDUP((Magic!$B$30+IF(Magic!$C$30="Yes",3,0))/5,0)+S905)&gt;=($D$3+P905+SUMIF(Character!$I$62:$I$66,"Enigmatic Wisdom",Character!$J$62:$J$66)+Q905+U905),"No Twilight","Twilight")))</f>
        <v>No Twilight</v>
      </c>
      <c r="W905" s="483"/>
      <c r="X905" s="478"/>
      <c r="Y905" s="484"/>
      <c r="Z905" s="478"/>
      <c r="AA905" s="485" t="str">
        <f>IF(V905="Uncomprehended Twilight","Failed",IF(OR(ISBLANK(W905),ISBLANK(Y905))," ",IF(NOT(ISBLANK(X905)),"Failed",IF((W905+Character!$B$9+SUMIF(Character!$I$62:$I$66,"Enigmatic Wisdom",Character!$J$62:$J$66))&gt;=IF(Z905="Yes",0,(Y905+D900)),"Succeeded","Failed"))))</f>
        <v xml:space="preserve"> </v>
      </c>
      <c r="AB905" s="477" t="str">
        <f>IF(AA905=" "," ",IF(NOT(ISBLANK(X905)),VLOOKUP($D$3+X905,Calcs!$A$110:$C$122,3,TRUE),IF(AA905="Failed",VLOOKUP($D$3,Calcs!$A$110:$C$122,3,TRUE),VLOOKUP($D$3-(IF((Character!$B$9+W905)&gt;($D$3+Y905),(Character!$B$9+W905)-($D$3+Y905),0)),Calcs!$A$110:$C$122,3,TRUE))))</f>
        <v xml:space="preserve"> </v>
      </c>
      <c r="AC905" s="489"/>
      <c r="AD905" s="489" t="str">
        <f>IF(IF(AA905=" "," ",IF(NOT(ISBLANK(X905)),VLOOKUP($D$3+X905,Calcs!$A$110:$B$122,2,TRUE),IF(AA905="Failed",VLOOKUP($D$3,Calcs!$A$110:$B$122,2,TRUE),VLOOKUP($D$3-(IF((Character!$B$9+W905)&gt;($D$3+Y905),(Character!$B$9+W905)-($D$3+Y905),0)),Calcs!$A$110:$B$122,2,TRUE))))=Calcs!$B$120,IF(ISBLANK(AC905)," ",CONCATENATE(AC905+7," Years")),IF(AA905=" "," ",IF(NOT(ISBLANK(X905)),VLOOKUP($D$3+X905,Calcs!$A$110:$B$122,2,TRUE),IF(AA905="Failed",VLOOKUP($D$3,Calcs!$A$110:$B$122,2,TRUE),VLOOKUP($D$3-(IF((Character!$B$9+W905)&gt;($D$3+Y905),(Character!$B$9+W905)-($D$3+Y905),0)),Calcs!$A$110:$B$122,2,TRUE)))))</f>
        <v xml:space="preserve"> </v>
      </c>
      <c r="AE905" s="490"/>
      <c r="AF905" s="879"/>
      <c r="AG905" s="491"/>
    </row>
    <row r="906" spans="1:33" x14ac:dyDescent="0.2">
      <c r="A906" s="415">
        <f t="shared" si="26"/>
        <v>1436</v>
      </c>
      <c r="B906" s="419" t="str">
        <f t="shared" si="27"/>
        <v>Summer</v>
      </c>
      <c r="C906" s="455"/>
      <c r="D906" s="504"/>
      <c r="E906" s="455"/>
      <c r="F906" s="504"/>
      <c r="G906" s="455"/>
      <c r="H906" s="504"/>
      <c r="I906" s="455"/>
      <c r="J906" s="504"/>
      <c r="L906" s="472"/>
      <c r="M906" s="468"/>
      <c r="N906" s="468"/>
      <c r="O906" s="468"/>
      <c r="P906" s="468"/>
      <c r="Q906" s="473"/>
      <c r="R906" s="477" t="str">
        <f>IF(AND(COUNTIF('Start Character'!$I$63:$M$77,"Twilight Prone")=1,NOT(ISERROR(FIND("Magical Botch",M906)))),"Yes",IF(P906&gt;1,"Yes","No"))</f>
        <v>No</v>
      </c>
      <c r="S906" s="501"/>
      <c r="T906" s="478"/>
      <c r="U906" s="501"/>
      <c r="V906" s="479" t="str">
        <f>IF(R906="No","No Twilight",IF(T906="Yes","Uncomprehended Twilight",IF((Character!$B$14+IF(Character!$B$53="Yes",0,Character!$B$53)+IF(Magic!$C$5="Yes",2,0)+ROUNDUP((Magic!$B$30+IF(Magic!$C$30="Yes",3,0))/5,0)+S906)&gt;=($D$3+P906+SUMIF(Character!$I$62:$I$66,"Enigmatic Wisdom",Character!$J$62:$J$66)+Q906+U906),"No Twilight","Twilight")))</f>
        <v>No Twilight</v>
      </c>
      <c r="W906" s="483"/>
      <c r="X906" s="478"/>
      <c r="Y906" s="484"/>
      <c r="Z906" s="478"/>
      <c r="AA906" s="485" t="str">
        <f>IF(V906="Uncomprehended Twilight","Failed",IF(OR(ISBLANK(W906),ISBLANK(Y906))," ",IF(NOT(ISBLANK(X906)),"Failed",IF((W906+Character!$B$9+SUMIF(Character!$I$62:$I$66,"Enigmatic Wisdom",Character!$J$62:$J$66))&gt;=IF(Z906="Yes",0,(Y906+D901)),"Succeeded","Failed"))))</f>
        <v xml:space="preserve"> </v>
      </c>
      <c r="AB906" s="477" t="str">
        <f>IF(AA906=" "," ",IF(NOT(ISBLANK(X906)),VLOOKUP($D$3+X906,Calcs!$A$110:$C$122,3,TRUE),IF(AA906="Failed",VLOOKUP($D$3,Calcs!$A$110:$C$122,3,TRUE),VLOOKUP($D$3-(IF((Character!$B$9+W906)&gt;($D$3+Y906),(Character!$B$9+W906)-($D$3+Y906),0)),Calcs!$A$110:$C$122,3,TRUE))))</f>
        <v xml:space="preserve"> </v>
      </c>
      <c r="AC906" s="489"/>
      <c r="AD906" s="489" t="str">
        <f>IF(IF(AA906=" "," ",IF(NOT(ISBLANK(X906)),VLOOKUP($D$3+X906,Calcs!$A$110:$B$122,2,TRUE),IF(AA906="Failed",VLOOKUP($D$3,Calcs!$A$110:$B$122,2,TRUE),VLOOKUP($D$3-(IF((Character!$B$9+W906)&gt;($D$3+Y906),(Character!$B$9+W906)-($D$3+Y906),0)),Calcs!$A$110:$B$122,2,TRUE))))=Calcs!$B$120,IF(ISBLANK(AC906)," ",CONCATENATE(AC906+7," Years")),IF(AA906=" "," ",IF(NOT(ISBLANK(X906)),VLOOKUP($D$3+X906,Calcs!$A$110:$B$122,2,TRUE),IF(AA906="Failed",VLOOKUP($D$3,Calcs!$A$110:$B$122,2,TRUE),VLOOKUP($D$3-(IF((Character!$B$9+W906)&gt;($D$3+Y906),(Character!$B$9+W906)-($D$3+Y906),0)),Calcs!$A$110:$B$122,2,TRUE)))))</f>
        <v xml:space="preserve"> </v>
      </c>
      <c r="AE906" s="490"/>
      <c r="AF906" s="879"/>
      <c r="AG906" s="491"/>
    </row>
    <row r="907" spans="1:33" x14ac:dyDescent="0.2">
      <c r="A907" s="415">
        <f t="shared" si="26"/>
        <v>1436</v>
      </c>
      <c r="B907" s="419" t="str">
        <f t="shared" si="27"/>
        <v>Autumn</v>
      </c>
      <c r="C907" s="455"/>
      <c r="D907" s="504"/>
      <c r="E907" s="455"/>
      <c r="F907" s="504"/>
      <c r="G907" s="455"/>
      <c r="H907" s="504"/>
      <c r="I907" s="455"/>
      <c r="J907" s="504"/>
      <c r="L907" s="472"/>
      <c r="M907" s="468"/>
      <c r="N907" s="468"/>
      <c r="O907" s="468"/>
      <c r="P907" s="468"/>
      <c r="Q907" s="473"/>
      <c r="R907" s="477" t="str">
        <f>IF(AND(COUNTIF('Start Character'!$I$63:$M$77,"Twilight Prone")=1,NOT(ISERROR(FIND("Magical Botch",M907)))),"Yes",IF(P907&gt;1,"Yes","No"))</f>
        <v>No</v>
      </c>
      <c r="S907" s="501"/>
      <c r="T907" s="478"/>
      <c r="U907" s="501"/>
      <c r="V907" s="479" t="str">
        <f>IF(R907="No","No Twilight",IF(T907="Yes","Uncomprehended Twilight",IF((Character!$B$14+IF(Character!$B$53="Yes",0,Character!$B$53)+IF(Magic!$C$5="Yes",2,0)+ROUNDUP((Magic!$B$30+IF(Magic!$C$30="Yes",3,0))/5,0)+S907)&gt;=($D$3+P907+SUMIF(Character!$I$62:$I$66,"Enigmatic Wisdom",Character!$J$62:$J$66)+Q907+U907),"No Twilight","Twilight")))</f>
        <v>No Twilight</v>
      </c>
      <c r="W907" s="483"/>
      <c r="X907" s="478"/>
      <c r="Y907" s="484"/>
      <c r="Z907" s="478"/>
      <c r="AA907" s="485" t="str">
        <f>IF(V907="Uncomprehended Twilight","Failed",IF(OR(ISBLANK(W907),ISBLANK(Y907))," ",IF(NOT(ISBLANK(X907)),"Failed",IF((W907+Character!$B$9+SUMIF(Character!$I$62:$I$66,"Enigmatic Wisdom",Character!$J$62:$J$66))&gt;=IF(Z907="Yes",0,(Y907+D902)),"Succeeded","Failed"))))</f>
        <v xml:space="preserve"> </v>
      </c>
      <c r="AB907" s="477" t="str">
        <f>IF(AA907=" "," ",IF(NOT(ISBLANK(X907)),VLOOKUP($D$3+X907,Calcs!$A$110:$C$122,3,TRUE),IF(AA907="Failed",VLOOKUP($D$3,Calcs!$A$110:$C$122,3,TRUE),VLOOKUP($D$3-(IF((Character!$B$9+W907)&gt;($D$3+Y907),(Character!$B$9+W907)-($D$3+Y907),0)),Calcs!$A$110:$C$122,3,TRUE))))</f>
        <v xml:space="preserve"> </v>
      </c>
      <c r="AC907" s="489"/>
      <c r="AD907" s="489" t="str">
        <f>IF(IF(AA907=" "," ",IF(NOT(ISBLANK(X907)),VLOOKUP($D$3+X907,Calcs!$A$110:$B$122,2,TRUE),IF(AA907="Failed",VLOOKUP($D$3,Calcs!$A$110:$B$122,2,TRUE),VLOOKUP($D$3-(IF((Character!$B$9+W907)&gt;($D$3+Y907),(Character!$B$9+W907)-($D$3+Y907),0)),Calcs!$A$110:$B$122,2,TRUE))))=Calcs!$B$120,IF(ISBLANK(AC907)," ",CONCATENATE(AC907+7," Years")),IF(AA907=" "," ",IF(NOT(ISBLANK(X907)),VLOOKUP($D$3+X907,Calcs!$A$110:$B$122,2,TRUE),IF(AA907="Failed",VLOOKUP($D$3,Calcs!$A$110:$B$122,2,TRUE),VLOOKUP($D$3-(IF((Character!$B$9+W907)&gt;($D$3+Y907),(Character!$B$9+W907)-($D$3+Y907),0)),Calcs!$A$110:$B$122,2,TRUE)))))</f>
        <v xml:space="preserve"> </v>
      </c>
      <c r="AE907" s="490"/>
      <c r="AF907" s="879"/>
      <c r="AG907" s="491"/>
    </row>
    <row r="908" spans="1:33" x14ac:dyDescent="0.2">
      <c r="A908" s="415">
        <f t="shared" si="26"/>
        <v>1437</v>
      </c>
      <c r="B908" s="419" t="str">
        <f t="shared" si="27"/>
        <v>Winter</v>
      </c>
      <c r="C908" s="455"/>
      <c r="D908" s="504"/>
      <c r="E908" s="455"/>
      <c r="F908" s="504"/>
      <c r="G908" s="455"/>
      <c r="H908" s="504"/>
      <c r="I908" s="455"/>
      <c r="J908" s="504"/>
      <c r="L908" s="472"/>
      <c r="M908" s="468"/>
      <c r="N908" s="468"/>
      <c r="O908" s="468"/>
      <c r="P908" s="468"/>
      <c r="Q908" s="473"/>
      <c r="R908" s="477" t="str">
        <f>IF(AND(COUNTIF('Start Character'!$I$63:$M$77,"Twilight Prone")=1,NOT(ISERROR(FIND("Magical Botch",M908)))),"Yes",IF(P908&gt;1,"Yes","No"))</f>
        <v>No</v>
      </c>
      <c r="S908" s="501"/>
      <c r="T908" s="478"/>
      <c r="U908" s="501"/>
      <c r="V908" s="479" t="str">
        <f>IF(R908="No","No Twilight",IF(T908="Yes","Uncomprehended Twilight",IF((Character!$B$14+IF(Character!$B$53="Yes",0,Character!$B$53)+IF(Magic!$C$5="Yes",2,0)+ROUNDUP((Magic!$B$30+IF(Magic!$C$30="Yes",3,0))/5,0)+S908)&gt;=($D$3+P908+SUMIF(Character!$I$62:$I$66,"Enigmatic Wisdom",Character!$J$62:$J$66)+Q908+U908),"No Twilight","Twilight")))</f>
        <v>No Twilight</v>
      </c>
      <c r="W908" s="483"/>
      <c r="X908" s="478"/>
      <c r="Y908" s="484"/>
      <c r="Z908" s="478"/>
      <c r="AA908" s="485" t="str">
        <f>IF(V908="Uncomprehended Twilight","Failed",IF(OR(ISBLANK(W908),ISBLANK(Y908))," ",IF(NOT(ISBLANK(X908)),"Failed",IF((W908+Character!$B$9+SUMIF(Character!$I$62:$I$66,"Enigmatic Wisdom",Character!$J$62:$J$66))&gt;=IF(Z908="Yes",0,(Y908+D903)),"Succeeded","Failed"))))</f>
        <v xml:space="preserve"> </v>
      </c>
      <c r="AB908" s="477" t="str">
        <f>IF(AA908=" "," ",IF(NOT(ISBLANK(X908)),VLOOKUP($D$3+X908,Calcs!$A$110:$C$122,3,TRUE),IF(AA908="Failed",VLOOKUP($D$3,Calcs!$A$110:$C$122,3,TRUE),VLOOKUP($D$3-(IF((Character!$B$9+W908)&gt;($D$3+Y908),(Character!$B$9+W908)-($D$3+Y908),0)),Calcs!$A$110:$C$122,3,TRUE))))</f>
        <v xml:space="preserve"> </v>
      </c>
      <c r="AC908" s="489"/>
      <c r="AD908" s="489" t="str">
        <f>IF(IF(AA908=" "," ",IF(NOT(ISBLANK(X908)),VLOOKUP($D$3+X908,Calcs!$A$110:$B$122,2,TRUE),IF(AA908="Failed",VLOOKUP($D$3,Calcs!$A$110:$B$122,2,TRUE),VLOOKUP($D$3-(IF((Character!$B$9+W908)&gt;($D$3+Y908),(Character!$B$9+W908)-($D$3+Y908),0)),Calcs!$A$110:$B$122,2,TRUE))))=Calcs!$B$120,IF(ISBLANK(AC908)," ",CONCATENATE(AC908+7," Years")),IF(AA908=" "," ",IF(NOT(ISBLANK(X908)),VLOOKUP($D$3+X908,Calcs!$A$110:$B$122,2,TRUE),IF(AA908="Failed",VLOOKUP($D$3,Calcs!$A$110:$B$122,2,TRUE),VLOOKUP($D$3-(IF((Character!$B$9+W908)&gt;($D$3+Y908),(Character!$B$9+W908)-($D$3+Y908),0)),Calcs!$A$110:$B$122,2,TRUE)))))</f>
        <v xml:space="preserve"> </v>
      </c>
      <c r="AE908" s="490"/>
      <c r="AF908" s="879"/>
      <c r="AG908" s="491"/>
    </row>
    <row r="909" spans="1:33" x14ac:dyDescent="0.2">
      <c r="A909" s="415">
        <f t="shared" si="26"/>
        <v>1437</v>
      </c>
      <c r="B909" s="419" t="str">
        <f t="shared" si="27"/>
        <v>Spring</v>
      </c>
      <c r="C909" s="455"/>
      <c r="D909" s="504"/>
      <c r="E909" s="455"/>
      <c r="F909" s="504"/>
      <c r="G909" s="455"/>
      <c r="H909" s="504"/>
      <c r="I909" s="455"/>
      <c r="J909" s="504"/>
      <c r="L909" s="472"/>
      <c r="M909" s="468"/>
      <c r="N909" s="468"/>
      <c r="O909" s="468"/>
      <c r="P909" s="468"/>
      <c r="Q909" s="473"/>
      <c r="R909" s="477" t="str">
        <f>IF(AND(COUNTIF('Start Character'!$I$63:$M$77,"Twilight Prone")=1,NOT(ISERROR(FIND("Magical Botch",M909)))),"Yes",IF(P909&gt;1,"Yes","No"))</f>
        <v>No</v>
      </c>
      <c r="S909" s="501"/>
      <c r="T909" s="478"/>
      <c r="U909" s="501"/>
      <c r="V909" s="479" t="str">
        <f>IF(R909="No","No Twilight",IF(T909="Yes","Uncomprehended Twilight",IF((Character!$B$14+IF(Character!$B$53="Yes",0,Character!$B$53)+IF(Magic!$C$5="Yes",2,0)+ROUNDUP((Magic!$B$30+IF(Magic!$C$30="Yes",3,0))/5,0)+S909)&gt;=($D$3+P909+SUMIF(Character!$I$62:$I$66,"Enigmatic Wisdom",Character!$J$62:$J$66)+Q909+U909),"No Twilight","Twilight")))</f>
        <v>No Twilight</v>
      </c>
      <c r="W909" s="483"/>
      <c r="X909" s="478"/>
      <c r="Y909" s="484"/>
      <c r="Z909" s="478"/>
      <c r="AA909" s="485" t="str">
        <f>IF(V909="Uncomprehended Twilight","Failed",IF(OR(ISBLANK(W909),ISBLANK(Y909))," ",IF(NOT(ISBLANK(X909)),"Failed",IF((W909+Character!$B$9+SUMIF(Character!$I$62:$I$66,"Enigmatic Wisdom",Character!$J$62:$J$66))&gt;=IF(Z909="Yes",0,(Y909+D904)),"Succeeded","Failed"))))</f>
        <v xml:space="preserve"> </v>
      </c>
      <c r="AB909" s="477" t="str">
        <f>IF(AA909=" "," ",IF(NOT(ISBLANK(X909)),VLOOKUP($D$3+X909,Calcs!$A$110:$C$122,3,TRUE),IF(AA909="Failed",VLOOKUP($D$3,Calcs!$A$110:$C$122,3,TRUE),VLOOKUP($D$3-(IF((Character!$B$9+W909)&gt;($D$3+Y909),(Character!$B$9+W909)-($D$3+Y909),0)),Calcs!$A$110:$C$122,3,TRUE))))</f>
        <v xml:space="preserve"> </v>
      </c>
      <c r="AC909" s="489"/>
      <c r="AD909" s="489" t="str">
        <f>IF(IF(AA909=" "," ",IF(NOT(ISBLANK(X909)),VLOOKUP($D$3+X909,Calcs!$A$110:$B$122,2,TRUE),IF(AA909="Failed",VLOOKUP($D$3,Calcs!$A$110:$B$122,2,TRUE),VLOOKUP($D$3-(IF((Character!$B$9+W909)&gt;($D$3+Y909),(Character!$B$9+W909)-($D$3+Y909),0)),Calcs!$A$110:$B$122,2,TRUE))))=Calcs!$B$120,IF(ISBLANK(AC909)," ",CONCATENATE(AC909+7," Years")),IF(AA909=" "," ",IF(NOT(ISBLANK(X909)),VLOOKUP($D$3+X909,Calcs!$A$110:$B$122,2,TRUE),IF(AA909="Failed",VLOOKUP($D$3,Calcs!$A$110:$B$122,2,TRUE),VLOOKUP($D$3-(IF((Character!$B$9+W909)&gt;($D$3+Y909),(Character!$B$9+W909)-($D$3+Y909),0)),Calcs!$A$110:$B$122,2,TRUE)))))</f>
        <v xml:space="preserve"> </v>
      </c>
      <c r="AE909" s="490"/>
      <c r="AF909" s="879"/>
      <c r="AG909" s="491"/>
    </row>
    <row r="910" spans="1:33" x14ac:dyDescent="0.2">
      <c r="A910" s="415">
        <f t="shared" si="26"/>
        <v>1437</v>
      </c>
      <c r="B910" s="419" t="str">
        <f t="shared" si="27"/>
        <v>Summer</v>
      </c>
      <c r="C910" s="455"/>
      <c r="D910" s="504"/>
      <c r="E910" s="455"/>
      <c r="F910" s="504"/>
      <c r="G910" s="455"/>
      <c r="H910" s="504"/>
      <c r="I910" s="455"/>
      <c r="J910" s="504"/>
      <c r="L910" s="472"/>
      <c r="M910" s="468"/>
      <c r="N910" s="468"/>
      <c r="O910" s="468"/>
      <c r="P910" s="468"/>
      <c r="Q910" s="473"/>
      <c r="R910" s="477" t="str">
        <f>IF(AND(COUNTIF('Start Character'!$I$63:$M$77,"Twilight Prone")=1,NOT(ISERROR(FIND("Magical Botch",M910)))),"Yes",IF(P910&gt;1,"Yes","No"))</f>
        <v>No</v>
      </c>
      <c r="S910" s="501"/>
      <c r="T910" s="478"/>
      <c r="U910" s="501"/>
      <c r="V910" s="479" t="str">
        <f>IF(R910="No","No Twilight",IF(T910="Yes","Uncomprehended Twilight",IF((Character!$B$14+IF(Character!$B$53="Yes",0,Character!$B$53)+IF(Magic!$C$5="Yes",2,0)+ROUNDUP((Magic!$B$30+IF(Magic!$C$30="Yes",3,0))/5,0)+S910)&gt;=($D$3+P910+SUMIF(Character!$I$62:$I$66,"Enigmatic Wisdom",Character!$J$62:$J$66)+Q910+U910),"No Twilight","Twilight")))</f>
        <v>No Twilight</v>
      </c>
      <c r="W910" s="483"/>
      <c r="X910" s="478"/>
      <c r="Y910" s="484"/>
      <c r="Z910" s="478"/>
      <c r="AA910" s="485" t="str">
        <f>IF(V910="Uncomprehended Twilight","Failed",IF(OR(ISBLANK(W910),ISBLANK(Y910))," ",IF(NOT(ISBLANK(X910)),"Failed",IF((W910+Character!$B$9+SUMIF(Character!$I$62:$I$66,"Enigmatic Wisdom",Character!$J$62:$J$66))&gt;=IF(Z910="Yes",0,(Y910+D905)),"Succeeded","Failed"))))</f>
        <v xml:space="preserve"> </v>
      </c>
      <c r="AB910" s="477" t="str">
        <f>IF(AA910=" "," ",IF(NOT(ISBLANK(X910)),VLOOKUP($D$3+X910,Calcs!$A$110:$C$122,3,TRUE),IF(AA910="Failed",VLOOKUP($D$3,Calcs!$A$110:$C$122,3,TRUE),VLOOKUP($D$3-(IF((Character!$B$9+W910)&gt;($D$3+Y910),(Character!$B$9+W910)-($D$3+Y910),0)),Calcs!$A$110:$C$122,3,TRUE))))</f>
        <v xml:space="preserve"> </v>
      </c>
      <c r="AC910" s="489"/>
      <c r="AD910" s="489" t="str">
        <f>IF(IF(AA910=" "," ",IF(NOT(ISBLANK(X910)),VLOOKUP($D$3+X910,Calcs!$A$110:$B$122,2,TRUE),IF(AA910="Failed",VLOOKUP($D$3,Calcs!$A$110:$B$122,2,TRUE),VLOOKUP($D$3-(IF((Character!$B$9+W910)&gt;($D$3+Y910),(Character!$B$9+W910)-($D$3+Y910),0)),Calcs!$A$110:$B$122,2,TRUE))))=Calcs!$B$120,IF(ISBLANK(AC910)," ",CONCATENATE(AC910+7," Years")),IF(AA910=" "," ",IF(NOT(ISBLANK(X910)),VLOOKUP($D$3+X910,Calcs!$A$110:$B$122,2,TRUE),IF(AA910="Failed",VLOOKUP($D$3,Calcs!$A$110:$B$122,2,TRUE),VLOOKUP($D$3-(IF((Character!$B$9+W910)&gt;($D$3+Y910),(Character!$B$9+W910)-($D$3+Y910),0)),Calcs!$A$110:$B$122,2,TRUE)))))</f>
        <v xml:space="preserve"> </v>
      </c>
      <c r="AE910" s="490"/>
      <c r="AF910" s="879"/>
      <c r="AG910" s="491"/>
    </row>
    <row r="911" spans="1:33" x14ac:dyDescent="0.2">
      <c r="A911" s="415">
        <f t="shared" si="26"/>
        <v>1437</v>
      </c>
      <c r="B911" s="419" t="str">
        <f t="shared" si="27"/>
        <v>Autumn</v>
      </c>
      <c r="C911" s="455"/>
      <c r="D911" s="504"/>
      <c r="E911" s="455"/>
      <c r="F911" s="504"/>
      <c r="G911" s="455"/>
      <c r="H911" s="504"/>
      <c r="I911" s="455"/>
      <c r="J911" s="504"/>
      <c r="L911" s="472"/>
      <c r="M911" s="468"/>
      <c r="N911" s="468"/>
      <c r="O911" s="468"/>
      <c r="P911" s="468"/>
      <c r="Q911" s="473"/>
      <c r="R911" s="477" t="str">
        <f>IF(AND(COUNTIF('Start Character'!$I$63:$M$77,"Twilight Prone")=1,NOT(ISERROR(FIND("Magical Botch",M911)))),"Yes",IF(P911&gt;1,"Yes","No"))</f>
        <v>No</v>
      </c>
      <c r="S911" s="501"/>
      <c r="T911" s="478"/>
      <c r="U911" s="501"/>
      <c r="V911" s="479" t="str">
        <f>IF(R911="No","No Twilight",IF(T911="Yes","Uncomprehended Twilight",IF((Character!$B$14+IF(Character!$B$53="Yes",0,Character!$B$53)+IF(Magic!$C$5="Yes",2,0)+ROUNDUP((Magic!$B$30+IF(Magic!$C$30="Yes",3,0))/5,0)+S911)&gt;=($D$3+P911+SUMIF(Character!$I$62:$I$66,"Enigmatic Wisdom",Character!$J$62:$J$66)+Q911+U911),"No Twilight","Twilight")))</f>
        <v>No Twilight</v>
      </c>
      <c r="W911" s="483"/>
      <c r="X911" s="478"/>
      <c r="Y911" s="484"/>
      <c r="Z911" s="478"/>
      <c r="AA911" s="485" t="str">
        <f>IF(V911="Uncomprehended Twilight","Failed",IF(OR(ISBLANK(W911),ISBLANK(Y911))," ",IF(NOT(ISBLANK(X911)),"Failed",IF((W911+Character!$B$9+SUMIF(Character!$I$62:$I$66,"Enigmatic Wisdom",Character!$J$62:$J$66))&gt;=IF(Z911="Yes",0,(Y911+D906)),"Succeeded","Failed"))))</f>
        <v xml:space="preserve"> </v>
      </c>
      <c r="AB911" s="477" t="str">
        <f>IF(AA911=" "," ",IF(NOT(ISBLANK(X911)),VLOOKUP($D$3+X911,Calcs!$A$110:$C$122,3,TRUE),IF(AA911="Failed",VLOOKUP($D$3,Calcs!$A$110:$C$122,3,TRUE),VLOOKUP($D$3-(IF((Character!$B$9+W911)&gt;($D$3+Y911),(Character!$B$9+W911)-($D$3+Y911),0)),Calcs!$A$110:$C$122,3,TRUE))))</f>
        <v xml:space="preserve"> </v>
      </c>
      <c r="AC911" s="489"/>
      <c r="AD911" s="489" t="str">
        <f>IF(IF(AA911=" "," ",IF(NOT(ISBLANK(X911)),VLOOKUP($D$3+X911,Calcs!$A$110:$B$122,2,TRUE),IF(AA911="Failed",VLOOKUP($D$3,Calcs!$A$110:$B$122,2,TRUE),VLOOKUP($D$3-(IF((Character!$B$9+W911)&gt;($D$3+Y911),(Character!$B$9+W911)-($D$3+Y911),0)),Calcs!$A$110:$B$122,2,TRUE))))=Calcs!$B$120,IF(ISBLANK(AC911)," ",CONCATENATE(AC911+7," Years")),IF(AA911=" "," ",IF(NOT(ISBLANK(X911)),VLOOKUP($D$3+X911,Calcs!$A$110:$B$122,2,TRUE),IF(AA911="Failed",VLOOKUP($D$3,Calcs!$A$110:$B$122,2,TRUE),VLOOKUP($D$3-(IF((Character!$B$9+W911)&gt;($D$3+Y911),(Character!$B$9+W911)-($D$3+Y911),0)),Calcs!$A$110:$B$122,2,TRUE)))))</f>
        <v xml:space="preserve"> </v>
      </c>
      <c r="AE911" s="490"/>
      <c r="AF911" s="879"/>
      <c r="AG911" s="491"/>
    </row>
    <row r="912" spans="1:33" x14ac:dyDescent="0.2">
      <c r="A912" s="415">
        <f t="shared" si="26"/>
        <v>1438</v>
      </c>
      <c r="B912" s="419" t="str">
        <f t="shared" si="27"/>
        <v>Winter</v>
      </c>
      <c r="C912" s="455"/>
      <c r="D912" s="504"/>
      <c r="E912" s="455"/>
      <c r="F912" s="504"/>
      <c r="G912" s="455"/>
      <c r="H912" s="504"/>
      <c r="I912" s="455"/>
      <c r="J912" s="504"/>
      <c r="L912" s="472"/>
      <c r="M912" s="468"/>
      <c r="N912" s="468"/>
      <c r="O912" s="468"/>
      <c r="P912" s="468"/>
      <c r="Q912" s="473"/>
      <c r="R912" s="477" t="str">
        <f>IF(AND(COUNTIF('Start Character'!$I$63:$M$77,"Twilight Prone")=1,NOT(ISERROR(FIND("Magical Botch",M912)))),"Yes",IF(P912&gt;1,"Yes","No"))</f>
        <v>No</v>
      </c>
      <c r="S912" s="501"/>
      <c r="T912" s="478"/>
      <c r="U912" s="501"/>
      <c r="V912" s="479" t="str">
        <f>IF(R912="No","No Twilight",IF(T912="Yes","Uncomprehended Twilight",IF((Character!$B$14+IF(Character!$B$53="Yes",0,Character!$B$53)+IF(Magic!$C$5="Yes",2,0)+ROUNDUP((Magic!$B$30+IF(Magic!$C$30="Yes",3,0))/5,0)+S912)&gt;=($D$3+P912+SUMIF(Character!$I$62:$I$66,"Enigmatic Wisdom",Character!$J$62:$J$66)+Q912+U912),"No Twilight","Twilight")))</f>
        <v>No Twilight</v>
      </c>
      <c r="W912" s="483"/>
      <c r="X912" s="478"/>
      <c r="Y912" s="484"/>
      <c r="Z912" s="478"/>
      <c r="AA912" s="485" t="str">
        <f>IF(V912="Uncomprehended Twilight","Failed",IF(OR(ISBLANK(W912),ISBLANK(Y912))," ",IF(NOT(ISBLANK(X912)),"Failed",IF((W912+Character!$B$9+SUMIF(Character!$I$62:$I$66,"Enigmatic Wisdom",Character!$J$62:$J$66))&gt;=IF(Z912="Yes",0,(Y912+D907)),"Succeeded","Failed"))))</f>
        <v xml:space="preserve"> </v>
      </c>
      <c r="AB912" s="477" t="str">
        <f>IF(AA912=" "," ",IF(NOT(ISBLANK(X912)),VLOOKUP($D$3+X912,Calcs!$A$110:$C$122,3,TRUE),IF(AA912="Failed",VLOOKUP($D$3,Calcs!$A$110:$C$122,3,TRUE),VLOOKUP($D$3-(IF((Character!$B$9+W912)&gt;($D$3+Y912),(Character!$B$9+W912)-($D$3+Y912),0)),Calcs!$A$110:$C$122,3,TRUE))))</f>
        <v xml:space="preserve"> </v>
      </c>
      <c r="AC912" s="489"/>
      <c r="AD912" s="489" t="str">
        <f>IF(IF(AA912=" "," ",IF(NOT(ISBLANK(X912)),VLOOKUP($D$3+X912,Calcs!$A$110:$B$122,2,TRUE),IF(AA912="Failed",VLOOKUP($D$3,Calcs!$A$110:$B$122,2,TRUE),VLOOKUP($D$3-(IF((Character!$B$9+W912)&gt;($D$3+Y912),(Character!$B$9+W912)-($D$3+Y912),0)),Calcs!$A$110:$B$122,2,TRUE))))=Calcs!$B$120,IF(ISBLANK(AC912)," ",CONCATENATE(AC912+7," Years")),IF(AA912=" "," ",IF(NOT(ISBLANK(X912)),VLOOKUP($D$3+X912,Calcs!$A$110:$B$122,2,TRUE),IF(AA912="Failed",VLOOKUP($D$3,Calcs!$A$110:$B$122,2,TRUE),VLOOKUP($D$3-(IF((Character!$B$9+W912)&gt;($D$3+Y912),(Character!$B$9+W912)-($D$3+Y912),0)),Calcs!$A$110:$B$122,2,TRUE)))))</f>
        <v xml:space="preserve"> </v>
      </c>
      <c r="AE912" s="490"/>
      <c r="AF912" s="879"/>
      <c r="AG912" s="491"/>
    </row>
    <row r="913" spans="1:33" x14ac:dyDescent="0.2">
      <c r="A913" s="415">
        <f t="shared" si="26"/>
        <v>1438</v>
      </c>
      <c r="B913" s="419" t="str">
        <f t="shared" si="27"/>
        <v>Spring</v>
      </c>
      <c r="C913" s="455"/>
      <c r="D913" s="504"/>
      <c r="E913" s="455"/>
      <c r="F913" s="504"/>
      <c r="G913" s="455"/>
      <c r="H913" s="504"/>
      <c r="I913" s="455"/>
      <c r="J913" s="504"/>
      <c r="L913" s="472"/>
      <c r="M913" s="468"/>
      <c r="N913" s="468"/>
      <c r="O913" s="468"/>
      <c r="P913" s="468"/>
      <c r="Q913" s="473"/>
      <c r="R913" s="477" t="str">
        <f>IF(AND(COUNTIF('Start Character'!$I$63:$M$77,"Twilight Prone")=1,NOT(ISERROR(FIND("Magical Botch",M913)))),"Yes",IF(P913&gt;1,"Yes","No"))</f>
        <v>No</v>
      </c>
      <c r="S913" s="501"/>
      <c r="T913" s="478"/>
      <c r="U913" s="501"/>
      <c r="V913" s="479" t="str">
        <f>IF(R913="No","No Twilight",IF(T913="Yes","Uncomprehended Twilight",IF((Character!$B$14+IF(Character!$B$53="Yes",0,Character!$B$53)+IF(Magic!$C$5="Yes",2,0)+ROUNDUP((Magic!$B$30+IF(Magic!$C$30="Yes",3,0))/5,0)+S913)&gt;=($D$3+P913+SUMIF(Character!$I$62:$I$66,"Enigmatic Wisdom",Character!$J$62:$J$66)+Q913+U913),"No Twilight","Twilight")))</f>
        <v>No Twilight</v>
      </c>
      <c r="W913" s="483"/>
      <c r="X913" s="478"/>
      <c r="Y913" s="484"/>
      <c r="Z913" s="478"/>
      <c r="AA913" s="485" t="str">
        <f>IF(V913="Uncomprehended Twilight","Failed",IF(OR(ISBLANK(W913),ISBLANK(Y913))," ",IF(NOT(ISBLANK(X913)),"Failed",IF((W913+Character!$B$9+SUMIF(Character!$I$62:$I$66,"Enigmatic Wisdom",Character!$J$62:$J$66))&gt;=IF(Z913="Yes",0,(Y913+D908)),"Succeeded","Failed"))))</f>
        <v xml:space="preserve"> </v>
      </c>
      <c r="AB913" s="477" t="str">
        <f>IF(AA913=" "," ",IF(NOT(ISBLANK(X913)),VLOOKUP($D$3+X913,Calcs!$A$110:$C$122,3,TRUE),IF(AA913="Failed",VLOOKUP($D$3,Calcs!$A$110:$C$122,3,TRUE),VLOOKUP($D$3-(IF((Character!$B$9+W913)&gt;($D$3+Y913),(Character!$B$9+W913)-($D$3+Y913),0)),Calcs!$A$110:$C$122,3,TRUE))))</f>
        <v xml:space="preserve"> </v>
      </c>
      <c r="AC913" s="489"/>
      <c r="AD913" s="489" t="str">
        <f>IF(IF(AA913=" "," ",IF(NOT(ISBLANK(X913)),VLOOKUP($D$3+X913,Calcs!$A$110:$B$122,2,TRUE),IF(AA913="Failed",VLOOKUP($D$3,Calcs!$A$110:$B$122,2,TRUE),VLOOKUP($D$3-(IF((Character!$B$9+W913)&gt;($D$3+Y913),(Character!$B$9+W913)-($D$3+Y913),0)),Calcs!$A$110:$B$122,2,TRUE))))=Calcs!$B$120,IF(ISBLANK(AC913)," ",CONCATENATE(AC913+7," Years")),IF(AA913=" "," ",IF(NOT(ISBLANK(X913)),VLOOKUP($D$3+X913,Calcs!$A$110:$B$122,2,TRUE),IF(AA913="Failed",VLOOKUP($D$3,Calcs!$A$110:$B$122,2,TRUE),VLOOKUP($D$3-(IF((Character!$B$9+W913)&gt;($D$3+Y913),(Character!$B$9+W913)-($D$3+Y913),0)),Calcs!$A$110:$B$122,2,TRUE)))))</f>
        <v xml:space="preserve"> </v>
      </c>
      <c r="AE913" s="490"/>
      <c r="AF913" s="879"/>
      <c r="AG913" s="491"/>
    </row>
    <row r="914" spans="1:33" x14ac:dyDescent="0.2">
      <c r="A914" s="415">
        <f t="shared" si="26"/>
        <v>1438</v>
      </c>
      <c r="B914" s="419" t="str">
        <f t="shared" si="27"/>
        <v>Summer</v>
      </c>
      <c r="C914" s="455"/>
      <c r="D914" s="504"/>
      <c r="E914" s="455"/>
      <c r="F914" s="504"/>
      <c r="G914" s="455"/>
      <c r="H914" s="504"/>
      <c r="I914" s="455"/>
      <c r="J914" s="504"/>
      <c r="L914" s="472"/>
      <c r="M914" s="468"/>
      <c r="N914" s="468"/>
      <c r="O914" s="468"/>
      <c r="P914" s="468"/>
      <c r="Q914" s="473"/>
      <c r="R914" s="477" t="str">
        <f>IF(AND(COUNTIF('Start Character'!$I$63:$M$77,"Twilight Prone")=1,NOT(ISERROR(FIND("Magical Botch",M914)))),"Yes",IF(P914&gt;1,"Yes","No"))</f>
        <v>No</v>
      </c>
      <c r="S914" s="501"/>
      <c r="T914" s="478"/>
      <c r="U914" s="501"/>
      <c r="V914" s="479" t="str">
        <f>IF(R914="No","No Twilight",IF(T914="Yes","Uncomprehended Twilight",IF((Character!$B$14+IF(Character!$B$53="Yes",0,Character!$B$53)+IF(Magic!$C$5="Yes",2,0)+ROUNDUP((Magic!$B$30+IF(Magic!$C$30="Yes",3,0))/5,0)+S914)&gt;=($D$3+P914+SUMIF(Character!$I$62:$I$66,"Enigmatic Wisdom",Character!$J$62:$J$66)+Q914+U914),"No Twilight","Twilight")))</f>
        <v>No Twilight</v>
      </c>
      <c r="W914" s="483"/>
      <c r="X914" s="478"/>
      <c r="Y914" s="484"/>
      <c r="Z914" s="478"/>
      <c r="AA914" s="485" t="str">
        <f>IF(V914="Uncomprehended Twilight","Failed",IF(OR(ISBLANK(W914),ISBLANK(Y914))," ",IF(NOT(ISBLANK(X914)),"Failed",IF((W914+Character!$B$9+SUMIF(Character!$I$62:$I$66,"Enigmatic Wisdom",Character!$J$62:$J$66))&gt;=IF(Z914="Yes",0,(Y914+D909)),"Succeeded","Failed"))))</f>
        <v xml:space="preserve"> </v>
      </c>
      <c r="AB914" s="477" t="str">
        <f>IF(AA914=" "," ",IF(NOT(ISBLANK(X914)),VLOOKUP($D$3+X914,Calcs!$A$110:$C$122,3,TRUE),IF(AA914="Failed",VLOOKUP($D$3,Calcs!$A$110:$C$122,3,TRUE),VLOOKUP($D$3-(IF((Character!$B$9+W914)&gt;($D$3+Y914),(Character!$B$9+W914)-($D$3+Y914),0)),Calcs!$A$110:$C$122,3,TRUE))))</f>
        <v xml:space="preserve"> </v>
      </c>
      <c r="AC914" s="489"/>
      <c r="AD914" s="489" t="str">
        <f>IF(IF(AA914=" "," ",IF(NOT(ISBLANK(X914)),VLOOKUP($D$3+X914,Calcs!$A$110:$B$122,2,TRUE),IF(AA914="Failed",VLOOKUP($D$3,Calcs!$A$110:$B$122,2,TRUE),VLOOKUP($D$3-(IF((Character!$B$9+W914)&gt;($D$3+Y914),(Character!$B$9+W914)-($D$3+Y914),0)),Calcs!$A$110:$B$122,2,TRUE))))=Calcs!$B$120,IF(ISBLANK(AC914)," ",CONCATENATE(AC914+7," Years")),IF(AA914=" "," ",IF(NOT(ISBLANK(X914)),VLOOKUP($D$3+X914,Calcs!$A$110:$B$122,2,TRUE),IF(AA914="Failed",VLOOKUP($D$3,Calcs!$A$110:$B$122,2,TRUE),VLOOKUP($D$3-(IF((Character!$B$9+W914)&gt;($D$3+Y914),(Character!$B$9+W914)-($D$3+Y914),0)),Calcs!$A$110:$B$122,2,TRUE)))))</f>
        <v xml:space="preserve"> </v>
      </c>
      <c r="AE914" s="490"/>
      <c r="AF914" s="879"/>
      <c r="AG914" s="491"/>
    </row>
    <row r="915" spans="1:33" x14ac:dyDescent="0.2">
      <c r="A915" s="415">
        <f t="shared" si="26"/>
        <v>1438</v>
      </c>
      <c r="B915" s="419" t="str">
        <f t="shared" si="27"/>
        <v>Autumn</v>
      </c>
      <c r="C915" s="455"/>
      <c r="D915" s="504"/>
      <c r="E915" s="455"/>
      <c r="F915" s="504"/>
      <c r="G915" s="455"/>
      <c r="H915" s="504"/>
      <c r="I915" s="455"/>
      <c r="J915" s="504"/>
      <c r="L915" s="472"/>
      <c r="M915" s="468"/>
      <c r="N915" s="468"/>
      <c r="O915" s="468"/>
      <c r="P915" s="468"/>
      <c r="Q915" s="473"/>
      <c r="R915" s="477" t="str">
        <f>IF(AND(COUNTIF('Start Character'!$I$63:$M$77,"Twilight Prone")=1,NOT(ISERROR(FIND("Magical Botch",M915)))),"Yes",IF(P915&gt;1,"Yes","No"))</f>
        <v>No</v>
      </c>
      <c r="S915" s="501"/>
      <c r="T915" s="478"/>
      <c r="U915" s="501"/>
      <c r="V915" s="479" t="str">
        <f>IF(R915="No","No Twilight",IF(T915="Yes","Uncomprehended Twilight",IF((Character!$B$14+IF(Character!$B$53="Yes",0,Character!$B$53)+IF(Magic!$C$5="Yes",2,0)+ROUNDUP((Magic!$B$30+IF(Magic!$C$30="Yes",3,0))/5,0)+S915)&gt;=($D$3+P915+SUMIF(Character!$I$62:$I$66,"Enigmatic Wisdom",Character!$J$62:$J$66)+Q915+U915),"No Twilight","Twilight")))</f>
        <v>No Twilight</v>
      </c>
      <c r="W915" s="483"/>
      <c r="X915" s="478"/>
      <c r="Y915" s="484"/>
      <c r="Z915" s="478"/>
      <c r="AA915" s="485" t="str">
        <f>IF(V915="Uncomprehended Twilight","Failed",IF(OR(ISBLANK(W915),ISBLANK(Y915))," ",IF(NOT(ISBLANK(X915)),"Failed",IF((W915+Character!$B$9+SUMIF(Character!$I$62:$I$66,"Enigmatic Wisdom",Character!$J$62:$J$66))&gt;=IF(Z915="Yes",0,(Y915+D910)),"Succeeded","Failed"))))</f>
        <v xml:space="preserve"> </v>
      </c>
      <c r="AB915" s="477" t="str">
        <f>IF(AA915=" "," ",IF(NOT(ISBLANK(X915)),VLOOKUP($D$3+X915,Calcs!$A$110:$C$122,3,TRUE),IF(AA915="Failed",VLOOKUP($D$3,Calcs!$A$110:$C$122,3,TRUE),VLOOKUP($D$3-(IF((Character!$B$9+W915)&gt;($D$3+Y915),(Character!$B$9+W915)-($D$3+Y915),0)),Calcs!$A$110:$C$122,3,TRUE))))</f>
        <v xml:space="preserve"> </v>
      </c>
      <c r="AC915" s="489"/>
      <c r="AD915" s="489" t="str">
        <f>IF(IF(AA915=" "," ",IF(NOT(ISBLANK(X915)),VLOOKUP($D$3+X915,Calcs!$A$110:$B$122,2,TRUE),IF(AA915="Failed",VLOOKUP($D$3,Calcs!$A$110:$B$122,2,TRUE),VLOOKUP($D$3-(IF((Character!$B$9+W915)&gt;($D$3+Y915),(Character!$B$9+W915)-($D$3+Y915),0)),Calcs!$A$110:$B$122,2,TRUE))))=Calcs!$B$120,IF(ISBLANK(AC915)," ",CONCATENATE(AC915+7," Years")),IF(AA915=" "," ",IF(NOT(ISBLANK(X915)),VLOOKUP($D$3+X915,Calcs!$A$110:$B$122,2,TRUE),IF(AA915="Failed",VLOOKUP($D$3,Calcs!$A$110:$B$122,2,TRUE),VLOOKUP($D$3-(IF((Character!$B$9+W915)&gt;($D$3+Y915),(Character!$B$9+W915)-($D$3+Y915),0)),Calcs!$A$110:$B$122,2,TRUE)))))</f>
        <v xml:space="preserve"> </v>
      </c>
      <c r="AE915" s="490"/>
      <c r="AF915" s="879"/>
      <c r="AG915" s="491"/>
    </row>
    <row r="916" spans="1:33" x14ac:dyDescent="0.2">
      <c r="A916" s="415">
        <f t="shared" si="26"/>
        <v>1439</v>
      </c>
      <c r="B916" s="419" t="str">
        <f t="shared" si="27"/>
        <v>Winter</v>
      </c>
      <c r="C916" s="455"/>
      <c r="D916" s="504"/>
      <c r="E916" s="455"/>
      <c r="F916" s="504"/>
      <c r="G916" s="455"/>
      <c r="H916" s="504"/>
      <c r="I916" s="455"/>
      <c r="J916" s="504"/>
      <c r="L916" s="472"/>
      <c r="M916" s="468"/>
      <c r="N916" s="468"/>
      <c r="O916" s="468"/>
      <c r="P916" s="468"/>
      <c r="Q916" s="473"/>
      <c r="R916" s="477" t="str">
        <f>IF(AND(COUNTIF('Start Character'!$I$63:$M$77,"Twilight Prone")=1,NOT(ISERROR(FIND("Magical Botch",M916)))),"Yes",IF(P916&gt;1,"Yes","No"))</f>
        <v>No</v>
      </c>
      <c r="S916" s="501"/>
      <c r="T916" s="478"/>
      <c r="U916" s="501"/>
      <c r="V916" s="479" t="str">
        <f>IF(R916="No","No Twilight",IF(T916="Yes","Uncomprehended Twilight",IF((Character!$B$14+IF(Character!$B$53="Yes",0,Character!$B$53)+IF(Magic!$C$5="Yes",2,0)+ROUNDUP((Magic!$B$30+IF(Magic!$C$30="Yes",3,0))/5,0)+S916)&gt;=($D$3+P916+SUMIF(Character!$I$62:$I$66,"Enigmatic Wisdom",Character!$J$62:$J$66)+Q916+U916),"No Twilight","Twilight")))</f>
        <v>No Twilight</v>
      </c>
      <c r="W916" s="483"/>
      <c r="X916" s="478"/>
      <c r="Y916" s="484"/>
      <c r="Z916" s="478"/>
      <c r="AA916" s="485" t="str">
        <f>IF(V916="Uncomprehended Twilight","Failed",IF(OR(ISBLANK(W916),ISBLANK(Y916))," ",IF(NOT(ISBLANK(X916)),"Failed",IF((W916+Character!$B$9+SUMIF(Character!$I$62:$I$66,"Enigmatic Wisdom",Character!$J$62:$J$66))&gt;=IF(Z916="Yes",0,(Y916+D911)),"Succeeded","Failed"))))</f>
        <v xml:space="preserve"> </v>
      </c>
      <c r="AB916" s="477" t="str">
        <f>IF(AA916=" "," ",IF(NOT(ISBLANK(X916)),VLOOKUP($D$3+X916,Calcs!$A$110:$C$122,3,TRUE),IF(AA916="Failed",VLOOKUP($D$3,Calcs!$A$110:$C$122,3,TRUE),VLOOKUP($D$3-(IF((Character!$B$9+W916)&gt;($D$3+Y916),(Character!$B$9+W916)-($D$3+Y916),0)),Calcs!$A$110:$C$122,3,TRUE))))</f>
        <v xml:space="preserve"> </v>
      </c>
      <c r="AC916" s="489"/>
      <c r="AD916" s="489" t="str">
        <f>IF(IF(AA916=" "," ",IF(NOT(ISBLANK(X916)),VLOOKUP($D$3+X916,Calcs!$A$110:$B$122,2,TRUE),IF(AA916="Failed",VLOOKUP($D$3,Calcs!$A$110:$B$122,2,TRUE),VLOOKUP($D$3-(IF((Character!$B$9+W916)&gt;($D$3+Y916),(Character!$B$9+W916)-($D$3+Y916),0)),Calcs!$A$110:$B$122,2,TRUE))))=Calcs!$B$120,IF(ISBLANK(AC916)," ",CONCATENATE(AC916+7," Years")),IF(AA916=" "," ",IF(NOT(ISBLANK(X916)),VLOOKUP($D$3+X916,Calcs!$A$110:$B$122,2,TRUE),IF(AA916="Failed",VLOOKUP($D$3,Calcs!$A$110:$B$122,2,TRUE),VLOOKUP($D$3-(IF((Character!$B$9+W916)&gt;($D$3+Y916),(Character!$B$9+W916)-($D$3+Y916),0)),Calcs!$A$110:$B$122,2,TRUE)))))</f>
        <v xml:space="preserve"> </v>
      </c>
      <c r="AE916" s="490"/>
      <c r="AF916" s="879"/>
      <c r="AG916" s="491"/>
    </row>
    <row r="917" spans="1:33" x14ac:dyDescent="0.2">
      <c r="A917" s="415">
        <f t="shared" si="26"/>
        <v>1439</v>
      </c>
      <c r="B917" s="419" t="str">
        <f t="shared" si="27"/>
        <v>Spring</v>
      </c>
      <c r="C917" s="455"/>
      <c r="D917" s="504"/>
      <c r="E917" s="455"/>
      <c r="F917" s="504"/>
      <c r="G917" s="455"/>
      <c r="H917" s="504"/>
      <c r="I917" s="455"/>
      <c r="J917" s="504"/>
      <c r="L917" s="472"/>
      <c r="M917" s="468"/>
      <c r="N917" s="468"/>
      <c r="O917" s="468"/>
      <c r="P917" s="468"/>
      <c r="Q917" s="473"/>
      <c r="R917" s="477" t="str">
        <f>IF(AND(COUNTIF('Start Character'!$I$63:$M$77,"Twilight Prone")=1,NOT(ISERROR(FIND("Magical Botch",M917)))),"Yes",IF(P917&gt;1,"Yes","No"))</f>
        <v>No</v>
      </c>
      <c r="S917" s="501"/>
      <c r="T917" s="478"/>
      <c r="U917" s="501"/>
      <c r="V917" s="479" t="str">
        <f>IF(R917="No","No Twilight",IF(T917="Yes","Uncomprehended Twilight",IF((Character!$B$14+IF(Character!$B$53="Yes",0,Character!$B$53)+IF(Magic!$C$5="Yes",2,0)+ROUNDUP((Magic!$B$30+IF(Magic!$C$30="Yes",3,0))/5,0)+S917)&gt;=($D$3+P917+SUMIF(Character!$I$62:$I$66,"Enigmatic Wisdom",Character!$J$62:$J$66)+Q917+U917),"No Twilight","Twilight")))</f>
        <v>No Twilight</v>
      </c>
      <c r="W917" s="483"/>
      <c r="X917" s="478"/>
      <c r="Y917" s="484"/>
      <c r="Z917" s="478"/>
      <c r="AA917" s="485" t="str">
        <f>IF(V917="Uncomprehended Twilight","Failed",IF(OR(ISBLANK(W917),ISBLANK(Y917))," ",IF(NOT(ISBLANK(X917)),"Failed",IF((W917+Character!$B$9+SUMIF(Character!$I$62:$I$66,"Enigmatic Wisdom",Character!$J$62:$J$66))&gt;=IF(Z917="Yes",0,(Y917+D912)),"Succeeded","Failed"))))</f>
        <v xml:space="preserve"> </v>
      </c>
      <c r="AB917" s="477" t="str">
        <f>IF(AA917=" "," ",IF(NOT(ISBLANK(X917)),VLOOKUP($D$3+X917,Calcs!$A$110:$C$122,3,TRUE),IF(AA917="Failed",VLOOKUP($D$3,Calcs!$A$110:$C$122,3,TRUE),VLOOKUP($D$3-(IF((Character!$B$9+W917)&gt;($D$3+Y917),(Character!$B$9+W917)-($D$3+Y917),0)),Calcs!$A$110:$C$122,3,TRUE))))</f>
        <v xml:space="preserve"> </v>
      </c>
      <c r="AC917" s="489"/>
      <c r="AD917" s="489" t="str">
        <f>IF(IF(AA917=" "," ",IF(NOT(ISBLANK(X917)),VLOOKUP($D$3+X917,Calcs!$A$110:$B$122,2,TRUE),IF(AA917="Failed",VLOOKUP($D$3,Calcs!$A$110:$B$122,2,TRUE),VLOOKUP($D$3-(IF((Character!$B$9+W917)&gt;($D$3+Y917),(Character!$B$9+W917)-($D$3+Y917),0)),Calcs!$A$110:$B$122,2,TRUE))))=Calcs!$B$120,IF(ISBLANK(AC917)," ",CONCATENATE(AC917+7," Years")),IF(AA917=" "," ",IF(NOT(ISBLANK(X917)),VLOOKUP($D$3+X917,Calcs!$A$110:$B$122,2,TRUE),IF(AA917="Failed",VLOOKUP($D$3,Calcs!$A$110:$B$122,2,TRUE),VLOOKUP($D$3-(IF((Character!$B$9+W917)&gt;($D$3+Y917),(Character!$B$9+W917)-($D$3+Y917),0)),Calcs!$A$110:$B$122,2,TRUE)))))</f>
        <v xml:space="preserve"> </v>
      </c>
      <c r="AE917" s="490"/>
      <c r="AF917" s="879"/>
      <c r="AG917" s="491"/>
    </row>
    <row r="918" spans="1:33" x14ac:dyDescent="0.2">
      <c r="A918" s="415">
        <f t="shared" si="26"/>
        <v>1439</v>
      </c>
      <c r="B918" s="419" t="str">
        <f t="shared" si="27"/>
        <v>Summer</v>
      </c>
      <c r="C918" s="455"/>
      <c r="D918" s="504"/>
      <c r="E918" s="455"/>
      <c r="F918" s="504"/>
      <c r="G918" s="455"/>
      <c r="H918" s="504"/>
      <c r="I918" s="455"/>
      <c r="J918" s="504"/>
      <c r="L918" s="472"/>
      <c r="M918" s="468"/>
      <c r="N918" s="468"/>
      <c r="O918" s="468"/>
      <c r="P918" s="468"/>
      <c r="Q918" s="473"/>
      <c r="R918" s="477" t="str">
        <f>IF(AND(COUNTIF('Start Character'!$I$63:$M$77,"Twilight Prone")=1,NOT(ISERROR(FIND("Magical Botch",M918)))),"Yes",IF(P918&gt;1,"Yes","No"))</f>
        <v>No</v>
      </c>
      <c r="S918" s="501"/>
      <c r="T918" s="478"/>
      <c r="U918" s="501"/>
      <c r="V918" s="479" t="str">
        <f>IF(R918="No","No Twilight",IF(T918="Yes","Uncomprehended Twilight",IF((Character!$B$14+IF(Character!$B$53="Yes",0,Character!$B$53)+IF(Magic!$C$5="Yes",2,0)+ROUNDUP((Magic!$B$30+IF(Magic!$C$30="Yes",3,0))/5,0)+S918)&gt;=($D$3+P918+SUMIF(Character!$I$62:$I$66,"Enigmatic Wisdom",Character!$J$62:$J$66)+Q918+U918),"No Twilight","Twilight")))</f>
        <v>No Twilight</v>
      </c>
      <c r="W918" s="483"/>
      <c r="X918" s="478"/>
      <c r="Y918" s="484"/>
      <c r="Z918" s="478"/>
      <c r="AA918" s="485" t="str">
        <f>IF(V918="Uncomprehended Twilight","Failed",IF(OR(ISBLANK(W918),ISBLANK(Y918))," ",IF(NOT(ISBLANK(X918)),"Failed",IF((W918+Character!$B$9+SUMIF(Character!$I$62:$I$66,"Enigmatic Wisdom",Character!$J$62:$J$66))&gt;=IF(Z918="Yes",0,(Y918+D913)),"Succeeded","Failed"))))</f>
        <v xml:space="preserve"> </v>
      </c>
      <c r="AB918" s="477" t="str">
        <f>IF(AA918=" "," ",IF(NOT(ISBLANK(X918)),VLOOKUP($D$3+X918,Calcs!$A$110:$C$122,3,TRUE),IF(AA918="Failed",VLOOKUP($D$3,Calcs!$A$110:$C$122,3,TRUE),VLOOKUP($D$3-(IF((Character!$B$9+W918)&gt;($D$3+Y918),(Character!$B$9+W918)-($D$3+Y918),0)),Calcs!$A$110:$C$122,3,TRUE))))</f>
        <v xml:space="preserve"> </v>
      </c>
      <c r="AC918" s="489"/>
      <c r="AD918" s="489" t="str">
        <f>IF(IF(AA918=" "," ",IF(NOT(ISBLANK(X918)),VLOOKUP($D$3+X918,Calcs!$A$110:$B$122,2,TRUE),IF(AA918="Failed",VLOOKUP($D$3,Calcs!$A$110:$B$122,2,TRUE),VLOOKUP($D$3-(IF((Character!$B$9+W918)&gt;($D$3+Y918),(Character!$B$9+W918)-($D$3+Y918),0)),Calcs!$A$110:$B$122,2,TRUE))))=Calcs!$B$120,IF(ISBLANK(AC918)," ",CONCATENATE(AC918+7," Years")),IF(AA918=" "," ",IF(NOT(ISBLANK(X918)),VLOOKUP($D$3+X918,Calcs!$A$110:$B$122,2,TRUE),IF(AA918="Failed",VLOOKUP($D$3,Calcs!$A$110:$B$122,2,TRUE),VLOOKUP($D$3-(IF((Character!$B$9+W918)&gt;($D$3+Y918),(Character!$B$9+W918)-($D$3+Y918),0)),Calcs!$A$110:$B$122,2,TRUE)))))</f>
        <v xml:space="preserve"> </v>
      </c>
      <c r="AE918" s="490"/>
      <c r="AF918" s="879"/>
      <c r="AG918" s="491"/>
    </row>
    <row r="919" spans="1:33" x14ac:dyDescent="0.2">
      <c r="A919" s="415">
        <f t="shared" si="26"/>
        <v>1439</v>
      </c>
      <c r="B919" s="419" t="str">
        <f t="shared" si="27"/>
        <v>Autumn</v>
      </c>
      <c r="C919" s="455"/>
      <c r="D919" s="504"/>
      <c r="E919" s="455"/>
      <c r="F919" s="504"/>
      <c r="G919" s="455"/>
      <c r="H919" s="504"/>
      <c r="I919" s="455"/>
      <c r="J919" s="504"/>
      <c r="L919" s="472"/>
      <c r="M919" s="468"/>
      <c r="N919" s="468"/>
      <c r="O919" s="468"/>
      <c r="P919" s="468"/>
      <c r="Q919" s="473"/>
      <c r="R919" s="477" t="str">
        <f>IF(AND(COUNTIF('Start Character'!$I$63:$M$77,"Twilight Prone")=1,NOT(ISERROR(FIND("Magical Botch",M919)))),"Yes",IF(P919&gt;1,"Yes","No"))</f>
        <v>No</v>
      </c>
      <c r="S919" s="501"/>
      <c r="T919" s="478"/>
      <c r="U919" s="501"/>
      <c r="V919" s="479" t="str">
        <f>IF(R919="No","No Twilight",IF(T919="Yes","Uncomprehended Twilight",IF((Character!$B$14+IF(Character!$B$53="Yes",0,Character!$B$53)+IF(Magic!$C$5="Yes",2,0)+ROUNDUP((Magic!$B$30+IF(Magic!$C$30="Yes",3,0))/5,0)+S919)&gt;=($D$3+P919+SUMIF(Character!$I$62:$I$66,"Enigmatic Wisdom",Character!$J$62:$J$66)+Q919+U919),"No Twilight","Twilight")))</f>
        <v>No Twilight</v>
      </c>
      <c r="W919" s="483"/>
      <c r="X919" s="478"/>
      <c r="Y919" s="484"/>
      <c r="Z919" s="478"/>
      <c r="AA919" s="485" t="str">
        <f>IF(V919="Uncomprehended Twilight","Failed",IF(OR(ISBLANK(W919),ISBLANK(Y919))," ",IF(NOT(ISBLANK(X919)),"Failed",IF((W919+Character!$B$9+SUMIF(Character!$I$62:$I$66,"Enigmatic Wisdom",Character!$J$62:$J$66))&gt;=IF(Z919="Yes",0,(Y919+D914)),"Succeeded","Failed"))))</f>
        <v xml:space="preserve"> </v>
      </c>
      <c r="AB919" s="477" t="str">
        <f>IF(AA919=" "," ",IF(NOT(ISBLANK(X919)),VLOOKUP($D$3+X919,Calcs!$A$110:$C$122,3,TRUE),IF(AA919="Failed",VLOOKUP($D$3,Calcs!$A$110:$C$122,3,TRUE),VLOOKUP($D$3-(IF((Character!$B$9+W919)&gt;($D$3+Y919),(Character!$B$9+W919)-($D$3+Y919),0)),Calcs!$A$110:$C$122,3,TRUE))))</f>
        <v xml:space="preserve"> </v>
      </c>
      <c r="AC919" s="489"/>
      <c r="AD919" s="489" t="str">
        <f>IF(IF(AA919=" "," ",IF(NOT(ISBLANK(X919)),VLOOKUP($D$3+X919,Calcs!$A$110:$B$122,2,TRUE),IF(AA919="Failed",VLOOKUP($D$3,Calcs!$A$110:$B$122,2,TRUE),VLOOKUP($D$3-(IF((Character!$B$9+W919)&gt;($D$3+Y919),(Character!$B$9+W919)-($D$3+Y919),0)),Calcs!$A$110:$B$122,2,TRUE))))=Calcs!$B$120,IF(ISBLANK(AC919)," ",CONCATENATE(AC919+7," Years")),IF(AA919=" "," ",IF(NOT(ISBLANK(X919)),VLOOKUP($D$3+X919,Calcs!$A$110:$B$122,2,TRUE),IF(AA919="Failed",VLOOKUP($D$3,Calcs!$A$110:$B$122,2,TRUE),VLOOKUP($D$3-(IF((Character!$B$9+W919)&gt;($D$3+Y919),(Character!$B$9+W919)-($D$3+Y919),0)),Calcs!$A$110:$B$122,2,TRUE)))))</f>
        <v xml:space="preserve"> </v>
      </c>
      <c r="AE919" s="490"/>
      <c r="AF919" s="879"/>
      <c r="AG919" s="491"/>
    </row>
    <row r="920" spans="1:33" x14ac:dyDescent="0.2">
      <c r="A920" s="415">
        <f t="shared" si="26"/>
        <v>1440</v>
      </c>
      <c r="B920" s="419" t="str">
        <f t="shared" si="27"/>
        <v>Winter</v>
      </c>
      <c r="C920" s="455"/>
      <c r="D920" s="504"/>
      <c r="E920" s="455"/>
      <c r="F920" s="504"/>
      <c r="G920" s="455"/>
      <c r="H920" s="504"/>
      <c r="I920" s="455"/>
      <c r="J920" s="504"/>
      <c r="L920" s="472"/>
      <c r="M920" s="468"/>
      <c r="N920" s="468"/>
      <c r="O920" s="468"/>
      <c r="P920" s="468"/>
      <c r="Q920" s="473"/>
      <c r="R920" s="477" t="str">
        <f>IF(AND(COUNTIF('Start Character'!$I$63:$M$77,"Twilight Prone")=1,NOT(ISERROR(FIND("Magical Botch",M920)))),"Yes",IF(P920&gt;1,"Yes","No"))</f>
        <v>No</v>
      </c>
      <c r="S920" s="501"/>
      <c r="T920" s="478"/>
      <c r="U920" s="501"/>
      <c r="V920" s="479" t="str">
        <f>IF(R920="No","No Twilight",IF(T920="Yes","Uncomprehended Twilight",IF((Character!$B$14+IF(Character!$B$53="Yes",0,Character!$B$53)+IF(Magic!$C$5="Yes",2,0)+ROUNDUP((Magic!$B$30+IF(Magic!$C$30="Yes",3,0))/5,0)+S920)&gt;=($D$3+P920+SUMIF(Character!$I$62:$I$66,"Enigmatic Wisdom",Character!$J$62:$J$66)+Q920+U920),"No Twilight","Twilight")))</f>
        <v>No Twilight</v>
      </c>
      <c r="W920" s="483"/>
      <c r="X920" s="478"/>
      <c r="Y920" s="484"/>
      <c r="Z920" s="478"/>
      <c r="AA920" s="485" t="str">
        <f>IF(V920="Uncomprehended Twilight","Failed",IF(OR(ISBLANK(W920),ISBLANK(Y920))," ",IF(NOT(ISBLANK(X920)),"Failed",IF((W920+Character!$B$9+SUMIF(Character!$I$62:$I$66,"Enigmatic Wisdom",Character!$J$62:$J$66))&gt;=IF(Z920="Yes",0,(Y920+D915)),"Succeeded","Failed"))))</f>
        <v xml:space="preserve"> </v>
      </c>
      <c r="AB920" s="477" t="str">
        <f>IF(AA920=" "," ",IF(NOT(ISBLANK(X920)),VLOOKUP($D$3+X920,Calcs!$A$110:$C$122,3,TRUE),IF(AA920="Failed",VLOOKUP($D$3,Calcs!$A$110:$C$122,3,TRUE),VLOOKUP($D$3-(IF((Character!$B$9+W920)&gt;($D$3+Y920),(Character!$B$9+W920)-($D$3+Y920),0)),Calcs!$A$110:$C$122,3,TRUE))))</f>
        <v xml:space="preserve"> </v>
      </c>
      <c r="AC920" s="489"/>
      <c r="AD920" s="489" t="str">
        <f>IF(IF(AA920=" "," ",IF(NOT(ISBLANK(X920)),VLOOKUP($D$3+X920,Calcs!$A$110:$B$122,2,TRUE),IF(AA920="Failed",VLOOKUP($D$3,Calcs!$A$110:$B$122,2,TRUE),VLOOKUP($D$3-(IF((Character!$B$9+W920)&gt;($D$3+Y920),(Character!$B$9+W920)-($D$3+Y920),0)),Calcs!$A$110:$B$122,2,TRUE))))=Calcs!$B$120,IF(ISBLANK(AC920)," ",CONCATENATE(AC920+7," Years")),IF(AA920=" "," ",IF(NOT(ISBLANK(X920)),VLOOKUP($D$3+X920,Calcs!$A$110:$B$122,2,TRUE),IF(AA920="Failed",VLOOKUP($D$3,Calcs!$A$110:$B$122,2,TRUE),VLOOKUP($D$3-(IF((Character!$B$9+W920)&gt;($D$3+Y920),(Character!$B$9+W920)-($D$3+Y920),0)),Calcs!$A$110:$B$122,2,TRUE)))))</f>
        <v xml:space="preserve"> </v>
      </c>
      <c r="AE920" s="490"/>
      <c r="AF920" s="879"/>
      <c r="AG920" s="491"/>
    </row>
    <row r="921" spans="1:33" x14ac:dyDescent="0.2">
      <c r="A921" s="415">
        <f t="shared" si="26"/>
        <v>1440</v>
      </c>
      <c r="B921" s="419" t="str">
        <f t="shared" si="27"/>
        <v>Spring</v>
      </c>
      <c r="C921" s="455"/>
      <c r="D921" s="504"/>
      <c r="E921" s="455"/>
      <c r="F921" s="504"/>
      <c r="G921" s="455"/>
      <c r="H921" s="504"/>
      <c r="I921" s="455"/>
      <c r="J921" s="504"/>
      <c r="L921" s="472"/>
      <c r="M921" s="468"/>
      <c r="N921" s="468"/>
      <c r="O921" s="468"/>
      <c r="P921" s="468"/>
      <c r="Q921" s="473"/>
      <c r="R921" s="477" t="str">
        <f>IF(AND(COUNTIF('Start Character'!$I$63:$M$77,"Twilight Prone")=1,NOT(ISERROR(FIND("Magical Botch",M921)))),"Yes",IF(P921&gt;1,"Yes","No"))</f>
        <v>No</v>
      </c>
      <c r="S921" s="501"/>
      <c r="T921" s="478"/>
      <c r="U921" s="501"/>
      <c r="V921" s="479" t="str">
        <f>IF(R921="No","No Twilight",IF(T921="Yes","Uncomprehended Twilight",IF((Character!$B$14+IF(Character!$B$53="Yes",0,Character!$B$53)+IF(Magic!$C$5="Yes",2,0)+ROUNDUP((Magic!$B$30+IF(Magic!$C$30="Yes",3,0))/5,0)+S921)&gt;=($D$3+P921+SUMIF(Character!$I$62:$I$66,"Enigmatic Wisdom",Character!$J$62:$J$66)+Q921+U921),"No Twilight","Twilight")))</f>
        <v>No Twilight</v>
      </c>
      <c r="W921" s="483"/>
      <c r="X921" s="478"/>
      <c r="Y921" s="484"/>
      <c r="Z921" s="478"/>
      <c r="AA921" s="485" t="str">
        <f>IF(V921="Uncomprehended Twilight","Failed",IF(OR(ISBLANK(W921),ISBLANK(Y921))," ",IF(NOT(ISBLANK(X921)),"Failed",IF((W921+Character!$B$9+SUMIF(Character!$I$62:$I$66,"Enigmatic Wisdom",Character!$J$62:$J$66))&gt;=IF(Z921="Yes",0,(Y921+D916)),"Succeeded","Failed"))))</f>
        <v xml:space="preserve"> </v>
      </c>
      <c r="AB921" s="477" t="str">
        <f>IF(AA921=" "," ",IF(NOT(ISBLANK(X921)),VLOOKUP($D$3+X921,Calcs!$A$110:$C$122,3,TRUE),IF(AA921="Failed",VLOOKUP($D$3,Calcs!$A$110:$C$122,3,TRUE),VLOOKUP($D$3-(IF((Character!$B$9+W921)&gt;($D$3+Y921),(Character!$B$9+W921)-($D$3+Y921),0)),Calcs!$A$110:$C$122,3,TRUE))))</f>
        <v xml:space="preserve"> </v>
      </c>
      <c r="AC921" s="489"/>
      <c r="AD921" s="489" t="str">
        <f>IF(IF(AA921=" "," ",IF(NOT(ISBLANK(X921)),VLOOKUP($D$3+X921,Calcs!$A$110:$B$122,2,TRUE),IF(AA921="Failed",VLOOKUP($D$3,Calcs!$A$110:$B$122,2,TRUE),VLOOKUP($D$3-(IF((Character!$B$9+W921)&gt;($D$3+Y921),(Character!$B$9+W921)-($D$3+Y921),0)),Calcs!$A$110:$B$122,2,TRUE))))=Calcs!$B$120,IF(ISBLANK(AC921)," ",CONCATENATE(AC921+7," Years")),IF(AA921=" "," ",IF(NOT(ISBLANK(X921)),VLOOKUP($D$3+X921,Calcs!$A$110:$B$122,2,TRUE),IF(AA921="Failed",VLOOKUP($D$3,Calcs!$A$110:$B$122,2,TRUE),VLOOKUP($D$3-(IF((Character!$B$9+W921)&gt;($D$3+Y921),(Character!$B$9+W921)-($D$3+Y921),0)),Calcs!$A$110:$B$122,2,TRUE)))))</f>
        <v xml:space="preserve"> </v>
      </c>
      <c r="AE921" s="490"/>
      <c r="AF921" s="879"/>
      <c r="AG921" s="491"/>
    </row>
    <row r="922" spans="1:33" x14ac:dyDescent="0.2">
      <c r="A922" s="415">
        <f t="shared" si="26"/>
        <v>1440</v>
      </c>
      <c r="B922" s="419" t="str">
        <f t="shared" si="27"/>
        <v>Summer</v>
      </c>
      <c r="C922" s="455"/>
      <c r="D922" s="504"/>
      <c r="E922" s="455"/>
      <c r="F922" s="504"/>
      <c r="G922" s="455"/>
      <c r="H922" s="504"/>
      <c r="I922" s="455"/>
      <c r="J922" s="504"/>
      <c r="L922" s="472"/>
      <c r="M922" s="468"/>
      <c r="N922" s="468"/>
      <c r="O922" s="468"/>
      <c r="P922" s="468"/>
      <c r="Q922" s="473"/>
      <c r="R922" s="477" t="str">
        <f>IF(AND(COUNTIF('Start Character'!$I$63:$M$77,"Twilight Prone")=1,NOT(ISERROR(FIND("Magical Botch",M922)))),"Yes",IF(P922&gt;1,"Yes","No"))</f>
        <v>No</v>
      </c>
      <c r="S922" s="501"/>
      <c r="T922" s="478"/>
      <c r="U922" s="501"/>
      <c r="V922" s="479" t="str">
        <f>IF(R922="No","No Twilight",IF(T922="Yes","Uncomprehended Twilight",IF((Character!$B$14+IF(Character!$B$53="Yes",0,Character!$B$53)+IF(Magic!$C$5="Yes",2,0)+ROUNDUP((Magic!$B$30+IF(Magic!$C$30="Yes",3,0))/5,0)+S922)&gt;=($D$3+P922+SUMIF(Character!$I$62:$I$66,"Enigmatic Wisdom",Character!$J$62:$J$66)+Q922+U922),"No Twilight","Twilight")))</f>
        <v>No Twilight</v>
      </c>
      <c r="W922" s="483"/>
      <c r="X922" s="478"/>
      <c r="Y922" s="484"/>
      <c r="Z922" s="478"/>
      <c r="AA922" s="485" t="str">
        <f>IF(V922="Uncomprehended Twilight","Failed",IF(OR(ISBLANK(W922),ISBLANK(Y922))," ",IF(NOT(ISBLANK(X922)),"Failed",IF((W922+Character!$B$9+SUMIF(Character!$I$62:$I$66,"Enigmatic Wisdom",Character!$J$62:$J$66))&gt;=IF(Z922="Yes",0,(Y922+D917)),"Succeeded","Failed"))))</f>
        <v xml:space="preserve"> </v>
      </c>
      <c r="AB922" s="477" t="str">
        <f>IF(AA922=" "," ",IF(NOT(ISBLANK(X922)),VLOOKUP($D$3+X922,Calcs!$A$110:$C$122,3,TRUE),IF(AA922="Failed",VLOOKUP($D$3,Calcs!$A$110:$C$122,3,TRUE),VLOOKUP($D$3-(IF((Character!$B$9+W922)&gt;($D$3+Y922),(Character!$B$9+W922)-($D$3+Y922),0)),Calcs!$A$110:$C$122,3,TRUE))))</f>
        <v xml:space="preserve"> </v>
      </c>
      <c r="AC922" s="489"/>
      <c r="AD922" s="489" t="str">
        <f>IF(IF(AA922=" "," ",IF(NOT(ISBLANK(X922)),VLOOKUP($D$3+X922,Calcs!$A$110:$B$122,2,TRUE),IF(AA922="Failed",VLOOKUP($D$3,Calcs!$A$110:$B$122,2,TRUE),VLOOKUP($D$3-(IF((Character!$B$9+W922)&gt;($D$3+Y922),(Character!$B$9+W922)-($D$3+Y922),0)),Calcs!$A$110:$B$122,2,TRUE))))=Calcs!$B$120,IF(ISBLANK(AC922)," ",CONCATENATE(AC922+7," Years")),IF(AA922=" "," ",IF(NOT(ISBLANK(X922)),VLOOKUP($D$3+X922,Calcs!$A$110:$B$122,2,TRUE),IF(AA922="Failed",VLOOKUP($D$3,Calcs!$A$110:$B$122,2,TRUE),VLOOKUP($D$3-(IF((Character!$B$9+W922)&gt;($D$3+Y922),(Character!$B$9+W922)-($D$3+Y922),0)),Calcs!$A$110:$B$122,2,TRUE)))))</f>
        <v xml:space="preserve"> </v>
      </c>
      <c r="AE922" s="490"/>
      <c r="AF922" s="879"/>
      <c r="AG922" s="491"/>
    </row>
    <row r="923" spans="1:33" x14ac:dyDescent="0.2">
      <c r="A923" s="415">
        <f t="shared" si="26"/>
        <v>1440</v>
      </c>
      <c r="B923" s="419" t="str">
        <f t="shared" si="27"/>
        <v>Autumn</v>
      </c>
      <c r="C923" s="455"/>
      <c r="D923" s="504"/>
      <c r="E923" s="455"/>
      <c r="F923" s="504"/>
      <c r="G923" s="455"/>
      <c r="H923" s="504"/>
      <c r="I923" s="455"/>
      <c r="J923" s="504"/>
      <c r="L923" s="472"/>
      <c r="M923" s="468"/>
      <c r="N923" s="468"/>
      <c r="O923" s="468"/>
      <c r="P923" s="468"/>
      <c r="Q923" s="473"/>
      <c r="R923" s="477" t="str">
        <f>IF(AND(COUNTIF('Start Character'!$I$63:$M$77,"Twilight Prone")=1,NOT(ISERROR(FIND("Magical Botch",M923)))),"Yes",IF(P923&gt;1,"Yes","No"))</f>
        <v>No</v>
      </c>
      <c r="S923" s="501"/>
      <c r="T923" s="478"/>
      <c r="U923" s="501"/>
      <c r="V923" s="479" t="str">
        <f>IF(R923="No","No Twilight",IF(T923="Yes","Uncomprehended Twilight",IF((Character!$B$14+IF(Character!$B$53="Yes",0,Character!$B$53)+IF(Magic!$C$5="Yes",2,0)+ROUNDUP((Magic!$B$30+IF(Magic!$C$30="Yes",3,0))/5,0)+S923)&gt;=($D$3+P923+SUMIF(Character!$I$62:$I$66,"Enigmatic Wisdom",Character!$J$62:$J$66)+Q923+U923),"No Twilight","Twilight")))</f>
        <v>No Twilight</v>
      </c>
      <c r="W923" s="483"/>
      <c r="X923" s="478"/>
      <c r="Y923" s="484"/>
      <c r="Z923" s="478"/>
      <c r="AA923" s="485" t="str">
        <f>IF(V923="Uncomprehended Twilight","Failed",IF(OR(ISBLANK(W923),ISBLANK(Y923))," ",IF(NOT(ISBLANK(X923)),"Failed",IF((W923+Character!$B$9+SUMIF(Character!$I$62:$I$66,"Enigmatic Wisdom",Character!$J$62:$J$66))&gt;=IF(Z923="Yes",0,(Y923+D918)),"Succeeded","Failed"))))</f>
        <v xml:space="preserve"> </v>
      </c>
      <c r="AB923" s="477" t="str">
        <f>IF(AA923=" "," ",IF(NOT(ISBLANK(X923)),VLOOKUP($D$3+X923,Calcs!$A$110:$C$122,3,TRUE),IF(AA923="Failed",VLOOKUP($D$3,Calcs!$A$110:$C$122,3,TRUE),VLOOKUP($D$3-(IF((Character!$B$9+W923)&gt;($D$3+Y923),(Character!$B$9+W923)-($D$3+Y923),0)),Calcs!$A$110:$C$122,3,TRUE))))</f>
        <v xml:space="preserve"> </v>
      </c>
      <c r="AC923" s="489"/>
      <c r="AD923" s="489" t="str">
        <f>IF(IF(AA923=" "," ",IF(NOT(ISBLANK(X923)),VLOOKUP($D$3+X923,Calcs!$A$110:$B$122,2,TRUE),IF(AA923="Failed",VLOOKUP($D$3,Calcs!$A$110:$B$122,2,TRUE),VLOOKUP($D$3-(IF((Character!$B$9+W923)&gt;($D$3+Y923),(Character!$B$9+W923)-($D$3+Y923),0)),Calcs!$A$110:$B$122,2,TRUE))))=Calcs!$B$120,IF(ISBLANK(AC923)," ",CONCATENATE(AC923+7," Years")),IF(AA923=" "," ",IF(NOT(ISBLANK(X923)),VLOOKUP($D$3+X923,Calcs!$A$110:$B$122,2,TRUE),IF(AA923="Failed",VLOOKUP($D$3,Calcs!$A$110:$B$122,2,TRUE),VLOOKUP($D$3-(IF((Character!$B$9+W923)&gt;($D$3+Y923),(Character!$B$9+W923)-($D$3+Y923),0)),Calcs!$A$110:$B$122,2,TRUE)))))</f>
        <v xml:space="preserve"> </v>
      </c>
      <c r="AE923" s="490"/>
      <c r="AF923" s="879"/>
      <c r="AG923" s="491"/>
    </row>
    <row r="924" spans="1:33" x14ac:dyDescent="0.2">
      <c r="A924" s="415">
        <f t="shared" si="26"/>
        <v>1441</v>
      </c>
      <c r="B924" s="419" t="str">
        <f t="shared" si="27"/>
        <v>Winter</v>
      </c>
      <c r="C924" s="455"/>
      <c r="D924" s="504"/>
      <c r="E924" s="455"/>
      <c r="F924" s="504"/>
      <c r="G924" s="455"/>
      <c r="H924" s="504"/>
      <c r="I924" s="455"/>
      <c r="J924" s="504"/>
      <c r="L924" s="472"/>
      <c r="M924" s="468"/>
      <c r="N924" s="468"/>
      <c r="O924" s="468"/>
      <c r="P924" s="468"/>
      <c r="Q924" s="473"/>
      <c r="R924" s="477" t="str">
        <f>IF(AND(COUNTIF('Start Character'!$I$63:$M$77,"Twilight Prone")=1,NOT(ISERROR(FIND("Magical Botch",M924)))),"Yes",IF(P924&gt;1,"Yes","No"))</f>
        <v>No</v>
      </c>
      <c r="S924" s="501"/>
      <c r="T924" s="478"/>
      <c r="U924" s="501"/>
      <c r="V924" s="479" t="str">
        <f>IF(R924="No","No Twilight",IF(T924="Yes","Uncomprehended Twilight",IF((Character!$B$14+IF(Character!$B$53="Yes",0,Character!$B$53)+IF(Magic!$C$5="Yes",2,0)+ROUNDUP((Magic!$B$30+IF(Magic!$C$30="Yes",3,0))/5,0)+S924)&gt;=($D$3+P924+SUMIF(Character!$I$62:$I$66,"Enigmatic Wisdom",Character!$J$62:$J$66)+Q924+U924),"No Twilight","Twilight")))</f>
        <v>No Twilight</v>
      </c>
      <c r="W924" s="483"/>
      <c r="X924" s="478"/>
      <c r="Y924" s="484"/>
      <c r="Z924" s="478"/>
      <c r="AA924" s="485" t="str">
        <f>IF(V924="Uncomprehended Twilight","Failed",IF(OR(ISBLANK(W924),ISBLANK(Y924))," ",IF(NOT(ISBLANK(X924)),"Failed",IF((W924+Character!$B$9+SUMIF(Character!$I$62:$I$66,"Enigmatic Wisdom",Character!$J$62:$J$66))&gt;=IF(Z924="Yes",0,(Y924+D919)),"Succeeded","Failed"))))</f>
        <v xml:space="preserve"> </v>
      </c>
      <c r="AB924" s="477" t="str">
        <f>IF(AA924=" "," ",IF(NOT(ISBLANK(X924)),VLOOKUP($D$3+X924,Calcs!$A$110:$C$122,3,TRUE),IF(AA924="Failed",VLOOKUP($D$3,Calcs!$A$110:$C$122,3,TRUE),VLOOKUP($D$3-(IF((Character!$B$9+W924)&gt;($D$3+Y924),(Character!$B$9+W924)-($D$3+Y924),0)),Calcs!$A$110:$C$122,3,TRUE))))</f>
        <v xml:space="preserve"> </v>
      </c>
      <c r="AC924" s="489"/>
      <c r="AD924" s="489" t="str">
        <f>IF(IF(AA924=" "," ",IF(NOT(ISBLANK(X924)),VLOOKUP($D$3+X924,Calcs!$A$110:$B$122,2,TRUE),IF(AA924="Failed",VLOOKUP($D$3,Calcs!$A$110:$B$122,2,TRUE),VLOOKUP($D$3-(IF((Character!$B$9+W924)&gt;($D$3+Y924),(Character!$B$9+W924)-($D$3+Y924),0)),Calcs!$A$110:$B$122,2,TRUE))))=Calcs!$B$120,IF(ISBLANK(AC924)," ",CONCATENATE(AC924+7," Years")),IF(AA924=" "," ",IF(NOT(ISBLANK(X924)),VLOOKUP($D$3+X924,Calcs!$A$110:$B$122,2,TRUE),IF(AA924="Failed",VLOOKUP($D$3,Calcs!$A$110:$B$122,2,TRUE),VLOOKUP($D$3-(IF((Character!$B$9+W924)&gt;($D$3+Y924),(Character!$B$9+W924)-($D$3+Y924),0)),Calcs!$A$110:$B$122,2,TRUE)))))</f>
        <v xml:space="preserve"> </v>
      </c>
      <c r="AE924" s="490"/>
      <c r="AF924" s="879"/>
      <c r="AG924" s="491"/>
    </row>
    <row r="925" spans="1:33" x14ac:dyDescent="0.2">
      <c r="A925" s="415">
        <f t="shared" ref="A925:A988" si="28">IF(B924="Autumn",A924+1,A924)</f>
        <v>1441</v>
      </c>
      <c r="B925" s="419" t="str">
        <f t="shared" ref="B925:B988" si="29">IF(B924="spring","Summer",IF(B924="Summer","Autumn",IF(B924="Autumn","Winter",IF(B924="Winter","Spring"," "))))</f>
        <v>Spring</v>
      </c>
      <c r="C925" s="455"/>
      <c r="D925" s="504"/>
      <c r="E925" s="455"/>
      <c r="F925" s="504"/>
      <c r="G925" s="455"/>
      <c r="H925" s="504"/>
      <c r="I925" s="455"/>
      <c r="J925" s="504"/>
      <c r="L925" s="472"/>
      <c r="M925" s="468"/>
      <c r="N925" s="468"/>
      <c r="O925" s="468"/>
      <c r="P925" s="468"/>
      <c r="Q925" s="473"/>
      <c r="R925" s="477" t="str">
        <f>IF(AND(COUNTIF('Start Character'!$I$63:$M$77,"Twilight Prone")=1,NOT(ISERROR(FIND("Magical Botch",M925)))),"Yes",IF(P925&gt;1,"Yes","No"))</f>
        <v>No</v>
      </c>
      <c r="S925" s="501"/>
      <c r="T925" s="478"/>
      <c r="U925" s="501"/>
      <c r="V925" s="479" t="str">
        <f>IF(R925="No","No Twilight",IF(T925="Yes","Uncomprehended Twilight",IF((Character!$B$14+IF(Character!$B$53="Yes",0,Character!$B$53)+IF(Magic!$C$5="Yes",2,0)+ROUNDUP((Magic!$B$30+IF(Magic!$C$30="Yes",3,0))/5,0)+S925)&gt;=($D$3+P925+SUMIF(Character!$I$62:$I$66,"Enigmatic Wisdom",Character!$J$62:$J$66)+Q925+U925),"No Twilight","Twilight")))</f>
        <v>No Twilight</v>
      </c>
      <c r="W925" s="483"/>
      <c r="X925" s="478"/>
      <c r="Y925" s="484"/>
      <c r="Z925" s="478"/>
      <c r="AA925" s="485" t="str">
        <f>IF(V925="Uncomprehended Twilight","Failed",IF(OR(ISBLANK(W925),ISBLANK(Y925))," ",IF(NOT(ISBLANK(X925)),"Failed",IF((W925+Character!$B$9+SUMIF(Character!$I$62:$I$66,"Enigmatic Wisdom",Character!$J$62:$J$66))&gt;=IF(Z925="Yes",0,(Y925+D920)),"Succeeded","Failed"))))</f>
        <v xml:space="preserve"> </v>
      </c>
      <c r="AB925" s="477" t="str">
        <f>IF(AA925=" "," ",IF(NOT(ISBLANK(X925)),VLOOKUP($D$3+X925,Calcs!$A$110:$C$122,3,TRUE),IF(AA925="Failed",VLOOKUP($D$3,Calcs!$A$110:$C$122,3,TRUE),VLOOKUP($D$3-(IF((Character!$B$9+W925)&gt;($D$3+Y925),(Character!$B$9+W925)-($D$3+Y925),0)),Calcs!$A$110:$C$122,3,TRUE))))</f>
        <v xml:space="preserve"> </v>
      </c>
      <c r="AC925" s="489"/>
      <c r="AD925" s="489" t="str">
        <f>IF(IF(AA925=" "," ",IF(NOT(ISBLANK(X925)),VLOOKUP($D$3+X925,Calcs!$A$110:$B$122,2,TRUE),IF(AA925="Failed",VLOOKUP($D$3,Calcs!$A$110:$B$122,2,TRUE),VLOOKUP($D$3-(IF((Character!$B$9+W925)&gt;($D$3+Y925),(Character!$B$9+W925)-($D$3+Y925),0)),Calcs!$A$110:$B$122,2,TRUE))))=Calcs!$B$120,IF(ISBLANK(AC925)," ",CONCATENATE(AC925+7," Years")),IF(AA925=" "," ",IF(NOT(ISBLANK(X925)),VLOOKUP($D$3+X925,Calcs!$A$110:$B$122,2,TRUE),IF(AA925="Failed",VLOOKUP($D$3,Calcs!$A$110:$B$122,2,TRUE),VLOOKUP($D$3-(IF((Character!$B$9+W925)&gt;($D$3+Y925),(Character!$B$9+W925)-($D$3+Y925),0)),Calcs!$A$110:$B$122,2,TRUE)))))</f>
        <v xml:space="preserve"> </v>
      </c>
      <c r="AE925" s="490"/>
      <c r="AF925" s="879"/>
      <c r="AG925" s="491"/>
    </row>
    <row r="926" spans="1:33" x14ac:dyDescent="0.2">
      <c r="A926" s="415">
        <f t="shared" si="28"/>
        <v>1441</v>
      </c>
      <c r="B926" s="419" t="str">
        <f t="shared" si="29"/>
        <v>Summer</v>
      </c>
      <c r="C926" s="455"/>
      <c r="D926" s="504"/>
      <c r="E926" s="455"/>
      <c r="F926" s="504"/>
      <c r="G926" s="455"/>
      <c r="H926" s="504"/>
      <c r="I926" s="455"/>
      <c r="J926" s="504"/>
      <c r="L926" s="472"/>
      <c r="M926" s="468"/>
      <c r="N926" s="468"/>
      <c r="O926" s="468"/>
      <c r="P926" s="468"/>
      <c r="Q926" s="473"/>
      <c r="R926" s="477" t="str">
        <f>IF(AND(COUNTIF('Start Character'!$I$63:$M$77,"Twilight Prone")=1,NOT(ISERROR(FIND("Magical Botch",M926)))),"Yes",IF(P926&gt;1,"Yes","No"))</f>
        <v>No</v>
      </c>
      <c r="S926" s="501"/>
      <c r="T926" s="478"/>
      <c r="U926" s="501"/>
      <c r="V926" s="479" t="str">
        <f>IF(R926="No","No Twilight",IF(T926="Yes","Uncomprehended Twilight",IF((Character!$B$14+IF(Character!$B$53="Yes",0,Character!$B$53)+IF(Magic!$C$5="Yes",2,0)+ROUNDUP((Magic!$B$30+IF(Magic!$C$30="Yes",3,0))/5,0)+S926)&gt;=($D$3+P926+SUMIF(Character!$I$62:$I$66,"Enigmatic Wisdom",Character!$J$62:$J$66)+Q926+U926),"No Twilight","Twilight")))</f>
        <v>No Twilight</v>
      </c>
      <c r="W926" s="483"/>
      <c r="X926" s="478"/>
      <c r="Y926" s="484"/>
      <c r="Z926" s="478"/>
      <c r="AA926" s="485" t="str">
        <f>IF(V926="Uncomprehended Twilight","Failed",IF(OR(ISBLANK(W926),ISBLANK(Y926))," ",IF(NOT(ISBLANK(X926)),"Failed",IF((W926+Character!$B$9+SUMIF(Character!$I$62:$I$66,"Enigmatic Wisdom",Character!$J$62:$J$66))&gt;=IF(Z926="Yes",0,(Y926+D921)),"Succeeded","Failed"))))</f>
        <v xml:space="preserve"> </v>
      </c>
      <c r="AB926" s="477" t="str">
        <f>IF(AA926=" "," ",IF(NOT(ISBLANK(X926)),VLOOKUP($D$3+X926,Calcs!$A$110:$C$122,3,TRUE),IF(AA926="Failed",VLOOKUP($D$3,Calcs!$A$110:$C$122,3,TRUE),VLOOKUP($D$3-(IF((Character!$B$9+W926)&gt;($D$3+Y926),(Character!$B$9+W926)-($D$3+Y926),0)),Calcs!$A$110:$C$122,3,TRUE))))</f>
        <v xml:space="preserve"> </v>
      </c>
      <c r="AC926" s="489"/>
      <c r="AD926" s="489" t="str">
        <f>IF(IF(AA926=" "," ",IF(NOT(ISBLANK(X926)),VLOOKUP($D$3+X926,Calcs!$A$110:$B$122,2,TRUE),IF(AA926="Failed",VLOOKUP($D$3,Calcs!$A$110:$B$122,2,TRUE),VLOOKUP($D$3-(IF((Character!$B$9+W926)&gt;($D$3+Y926),(Character!$B$9+W926)-($D$3+Y926),0)),Calcs!$A$110:$B$122,2,TRUE))))=Calcs!$B$120,IF(ISBLANK(AC926)," ",CONCATENATE(AC926+7," Years")),IF(AA926=" "," ",IF(NOT(ISBLANK(X926)),VLOOKUP($D$3+X926,Calcs!$A$110:$B$122,2,TRUE),IF(AA926="Failed",VLOOKUP($D$3,Calcs!$A$110:$B$122,2,TRUE),VLOOKUP($D$3-(IF((Character!$B$9+W926)&gt;($D$3+Y926),(Character!$B$9+W926)-($D$3+Y926),0)),Calcs!$A$110:$B$122,2,TRUE)))))</f>
        <v xml:space="preserve"> </v>
      </c>
      <c r="AE926" s="490"/>
      <c r="AF926" s="879"/>
      <c r="AG926" s="491"/>
    </row>
    <row r="927" spans="1:33" x14ac:dyDescent="0.2">
      <c r="A927" s="415">
        <f t="shared" si="28"/>
        <v>1441</v>
      </c>
      <c r="B927" s="419" t="str">
        <f t="shared" si="29"/>
        <v>Autumn</v>
      </c>
      <c r="C927" s="455"/>
      <c r="D927" s="504"/>
      <c r="E927" s="455"/>
      <c r="F927" s="504"/>
      <c r="G927" s="455"/>
      <c r="H927" s="504"/>
      <c r="I927" s="455"/>
      <c r="J927" s="504"/>
      <c r="L927" s="472"/>
      <c r="M927" s="468"/>
      <c r="N927" s="468"/>
      <c r="O927" s="468"/>
      <c r="P927" s="468"/>
      <c r="Q927" s="473"/>
      <c r="R927" s="477" t="str">
        <f>IF(AND(COUNTIF('Start Character'!$I$63:$M$77,"Twilight Prone")=1,NOT(ISERROR(FIND("Magical Botch",M927)))),"Yes",IF(P927&gt;1,"Yes","No"))</f>
        <v>No</v>
      </c>
      <c r="S927" s="501"/>
      <c r="T927" s="478"/>
      <c r="U927" s="501"/>
      <c r="V927" s="479" t="str">
        <f>IF(R927="No","No Twilight",IF(T927="Yes","Uncomprehended Twilight",IF((Character!$B$14+IF(Character!$B$53="Yes",0,Character!$B$53)+IF(Magic!$C$5="Yes",2,0)+ROUNDUP((Magic!$B$30+IF(Magic!$C$30="Yes",3,0))/5,0)+S927)&gt;=($D$3+P927+SUMIF(Character!$I$62:$I$66,"Enigmatic Wisdom",Character!$J$62:$J$66)+Q927+U927),"No Twilight","Twilight")))</f>
        <v>No Twilight</v>
      </c>
      <c r="W927" s="483"/>
      <c r="X927" s="478"/>
      <c r="Y927" s="484"/>
      <c r="Z927" s="478"/>
      <c r="AA927" s="485" t="str">
        <f>IF(V927="Uncomprehended Twilight","Failed",IF(OR(ISBLANK(W927),ISBLANK(Y927))," ",IF(NOT(ISBLANK(X927)),"Failed",IF((W927+Character!$B$9+SUMIF(Character!$I$62:$I$66,"Enigmatic Wisdom",Character!$J$62:$J$66))&gt;=IF(Z927="Yes",0,(Y927+D922)),"Succeeded","Failed"))))</f>
        <v xml:space="preserve"> </v>
      </c>
      <c r="AB927" s="477" t="str">
        <f>IF(AA927=" "," ",IF(NOT(ISBLANK(X927)),VLOOKUP($D$3+X927,Calcs!$A$110:$C$122,3,TRUE),IF(AA927="Failed",VLOOKUP($D$3,Calcs!$A$110:$C$122,3,TRUE),VLOOKUP($D$3-(IF((Character!$B$9+W927)&gt;($D$3+Y927),(Character!$B$9+W927)-($D$3+Y927),0)),Calcs!$A$110:$C$122,3,TRUE))))</f>
        <v xml:space="preserve"> </v>
      </c>
      <c r="AC927" s="489"/>
      <c r="AD927" s="489" t="str">
        <f>IF(IF(AA927=" "," ",IF(NOT(ISBLANK(X927)),VLOOKUP($D$3+X927,Calcs!$A$110:$B$122,2,TRUE),IF(AA927="Failed",VLOOKUP($D$3,Calcs!$A$110:$B$122,2,TRUE),VLOOKUP($D$3-(IF((Character!$B$9+W927)&gt;($D$3+Y927),(Character!$B$9+W927)-($D$3+Y927),0)),Calcs!$A$110:$B$122,2,TRUE))))=Calcs!$B$120,IF(ISBLANK(AC927)," ",CONCATENATE(AC927+7," Years")),IF(AA927=" "," ",IF(NOT(ISBLANK(X927)),VLOOKUP($D$3+X927,Calcs!$A$110:$B$122,2,TRUE),IF(AA927="Failed",VLOOKUP($D$3,Calcs!$A$110:$B$122,2,TRUE),VLOOKUP($D$3-(IF((Character!$B$9+W927)&gt;($D$3+Y927),(Character!$B$9+W927)-($D$3+Y927),0)),Calcs!$A$110:$B$122,2,TRUE)))))</f>
        <v xml:space="preserve"> </v>
      </c>
      <c r="AE927" s="490"/>
      <c r="AF927" s="879"/>
      <c r="AG927" s="491"/>
    </row>
    <row r="928" spans="1:33" x14ac:dyDescent="0.2">
      <c r="A928" s="415">
        <f t="shared" si="28"/>
        <v>1442</v>
      </c>
      <c r="B928" s="419" t="str">
        <f t="shared" si="29"/>
        <v>Winter</v>
      </c>
      <c r="C928" s="455"/>
      <c r="D928" s="504"/>
      <c r="E928" s="455"/>
      <c r="F928" s="504"/>
      <c r="G928" s="455"/>
      <c r="H928" s="504"/>
      <c r="I928" s="455"/>
      <c r="J928" s="504"/>
      <c r="L928" s="472"/>
      <c r="M928" s="468"/>
      <c r="N928" s="468"/>
      <c r="O928" s="468"/>
      <c r="P928" s="468"/>
      <c r="Q928" s="473"/>
      <c r="R928" s="477" t="str">
        <f>IF(AND(COUNTIF('Start Character'!$I$63:$M$77,"Twilight Prone")=1,NOT(ISERROR(FIND("Magical Botch",M928)))),"Yes",IF(P928&gt;1,"Yes","No"))</f>
        <v>No</v>
      </c>
      <c r="S928" s="501"/>
      <c r="T928" s="478"/>
      <c r="U928" s="501"/>
      <c r="V928" s="479" t="str">
        <f>IF(R928="No","No Twilight",IF(T928="Yes","Uncomprehended Twilight",IF((Character!$B$14+IF(Character!$B$53="Yes",0,Character!$B$53)+IF(Magic!$C$5="Yes",2,0)+ROUNDUP((Magic!$B$30+IF(Magic!$C$30="Yes",3,0))/5,0)+S928)&gt;=($D$3+P928+SUMIF(Character!$I$62:$I$66,"Enigmatic Wisdom",Character!$J$62:$J$66)+Q928+U928),"No Twilight","Twilight")))</f>
        <v>No Twilight</v>
      </c>
      <c r="W928" s="483"/>
      <c r="X928" s="478"/>
      <c r="Y928" s="484"/>
      <c r="Z928" s="478"/>
      <c r="AA928" s="485" t="str">
        <f>IF(V928="Uncomprehended Twilight","Failed",IF(OR(ISBLANK(W928),ISBLANK(Y928))," ",IF(NOT(ISBLANK(X928)),"Failed",IF((W928+Character!$B$9+SUMIF(Character!$I$62:$I$66,"Enigmatic Wisdom",Character!$J$62:$J$66))&gt;=IF(Z928="Yes",0,(Y928+D923)),"Succeeded","Failed"))))</f>
        <v xml:space="preserve"> </v>
      </c>
      <c r="AB928" s="477" t="str">
        <f>IF(AA928=" "," ",IF(NOT(ISBLANK(X928)),VLOOKUP($D$3+X928,Calcs!$A$110:$C$122,3,TRUE),IF(AA928="Failed",VLOOKUP($D$3,Calcs!$A$110:$C$122,3,TRUE),VLOOKUP($D$3-(IF((Character!$B$9+W928)&gt;($D$3+Y928),(Character!$B$9+W928)-($D$3+Y928),0)),Calcs!$A$110:$C$122,3,TRUE))))</f>
        <v xml:space="preserve"> </v>
      </c>
      <c r="AC928" s="489"/>
      <c r="AD928" s="489" t="str">
        <f>IF(IF(AA928=" "," ",IF(NOT(ISBLANK(X928)),VLOOKUP($D$3+X928,Calcs!$A$110:$B$122,2,TRUE),IF(AA928="Failed",VLOOKUP($D$3,Calcs!$A$110:$B$122,2,TRUE),VLOOKUP($D$3-(IF((Character!$B$9+W928)&gt;($D$3+Y928),(Character!$B$9+W928)-($D$3+Y928),0)),Calcs!$A$110:$B$122,2,TRUE))))=Calcs!$B$120,IF(ISBLANK(AC928)," ",CONCATENATE(AC928+7," Years")),IF(AA928=" "," ",IF(NOT(ISBLANK(X928)),VLOOKUP($D$3+X928,Calcs!$A$110:$B$122,2,TRUE),IF(AA928="Failed",VLOOKUP($D$3,Calcs!$A$110:$B$122,2,TRUE),VLOOKUP($D$3-(IF((Character!$B$9+W928)&gt;($D$3+Y928),(Character!$B$9+W928)-($D$3+Y928),0)),Calcs!$A$110:$B$122,2,TRUE)))))</f>
        <v xml:space="preserve"> </v>
      </c>
      <c r="AE928" s="490"/>
      <c r="AF928" s="879"/>
      <c r="AG928" s="491"/>
    </row>
    <row r="929" spans="1:33" x14ac:dyDescent="0.2">
      <c r="A929" s="415">
        <f t="shared" si="28"/>
        <v>1442</v>
      </c>
      <c r="B929" s="419" t="str">
        <f t="shared" si="29"/>
        <v>Spring</v>
      </c>
      <c r="C929" s="455"/>
      <c r="D929" s="504"/>
      <c r="E929" s="455"/>
      <c r="F929" s="504"/>
      <c r="G929" s="455"/>
      <c r="H929" s="504"/>
      <c r="I929" s="455"/>
      <c r="J929" s="504"/>
      <c r="L929" s="472"/>
      <c r="M929" s="468"/>
      <c r="N929" s="468"/>
      <c r="O929" s="468"/>
      <c r="P929" s="468"/>
      <c r="Q929" s="473"/>
      <c r="R929" s="477" t="str">
        <f>IF(AND(COUNTIF('Start Character'!$I$63:$M$77,"Twilight Prone")=1,NOT(ISERROR(FIND("Magical Botch",M929)))),"Yes",IF(P929&gt;1,"Yes","No"))</f>
        <v>No</v>
      </c>
      <c r="S929" s="501"/>
      <c r="T929" s="478"/>
      <c r="U929" s="501"/>
      <c r="V929" s="479" t="str">
        <f>IF(R929="No","No Twilight",IF(T929="Yes","Uncomprehended Twilight",IF((Character!$B$14+IF(Character!$B$53="Yes",0,Character!$B$53)+IF(Magic!$C$5="Yes",2,0)+ROUNDUP((Magic!$B$30+IF(Magic!$C$30="Yes",3,0))/5,0)+S929)&gt;=($D$3+P929+SUMIF(Character!$I$62:$I$66,"Enigmatic Wisdom",Character!$J$62:$J$66)+Q929+U929),"No Twilight","Twilight")))</f>
        <v>No Twilight</v>
      </c>
      <c r="W929" s="483"/>
      <c r="X929" s="478"/>
      <c r="Y929" s="484"/>
      <c r="Z929" s="478"/>
      <c r="AA929" s="485" t="str">
        <f>IF(V929="Uncomprehended Twilight","Failed",IF(OR(ISBLANK(W929),ISBLANK(Y929))," ",IF(NOT(ISBLANK(X929)),"Failed",IF((W929+Character!$B$9+SUMIF(Character!$I$62:$I$66,"Enigmatic Wisdom",Character!$J$62:$J$66))&gt;=IF(Z929="Yes",0,(Y929+D924)),"Succeeded","Failed"))))</f>
        <v xml:space="preserve"> </v>
      </c>
      <c r="AB929" s="477" t="str">
        <f>IF(AA929=" "," ",IF(NOT(ISBLANK(X929)),VLOOKUP($D$3+X929,Calcs!$A$110:$C$122,3,TRUE),IF(AA929="Failed",VLOOKUP($D$3,Calcs!$A$110:$C$122,3,TRUE),VLOOKUP($D$3-(IF((Character!$B$9+W929)&gt;($D$3+Y929),(Character!$B$9+W929)-($D$3+Y929),0)),Calcs!$A$110:$C$122,3,TRUE))))</f>
        <v xml:space="preserve"> </v>
      </c>
      <c r="AC929" s="489"/>
      <c r="AD929" s="489" t="str">
        <f>IF(IF(AA929=" "," ",IF(NOT(ISBLANK(X929)),VLOOKUP($D$3+X929,Calcs!$A$110:$B$122,2,TRUE),IF(AA929="Failed",VLOOKUP($D$3,Calcs!$A$110:$B$122,2,TRUE),VLOOKUP($D$3-(IF((Character!$B$9+W929)&gt;($D$3+Y929),(Character!$B$9+W929)-($D$3+Y929),0)),Calcs!$A$110:$B$122,2,TRUE))))=Calcs!$B$120,IF(ISBLANK(AC929)," ",CONCATENATE(AC929+7," Years")),IF(AA929=" "," ",IF(NOT(ISBLANK(X929)),VLOOKUP($D$3+X929,Calcs!$A$110:$B$122,2,TRUE),IF(AA929="Failed",VLOOKUP($D$3,Calcs!$A$110:$B$122,2,TRUE),VLOOKUP($D$3-(IF((Character!$B$9+W929)&gt;($D$3+Y929),(Character!$B$9+W929)-($D$3+Y929),0)),Calcs!$A$110:$B$122,2,TRUE)))))</f>
        <v xml:space="preserve"> </v>
      </c>
      <c r="AE929" s="490"/>
      <c r="AF929" s="879"/>
      <c r="AG929" s="491"/>
    </row>
    <row r="930" spans="1:33" x14ac:dyDescent="0.2">
      <c r="A930" s="415">
        <f t="shared" si="28"/>
        <v>1442</v>
      </c>
      <c r="B930" s="419" t="str">
        <f t="shared" si="29"/>
        <v>Summer</v>
      </c>
      <c r="C930" s="455"/>
      <c r="D930" s="504"/>
      <c r="E930" s="455"/>
      <c r="F930" s="504"/>
      <c r="G930" s="455"/>
      <c r="H930" s="504"/>
      <c r="I930" s="455"/>
      <c r="J930" s="504"/>
      <c r="L930" s="472"/>
      <c r="M930" s="468"/>
      <c r="N930" s="468"/>
      <c r="O930" s="468"/>
      <c r="P930" s="468"/>
      <c r="Q930" s="473"/>
      <c r="R930" s="477" t="str">
        <f>IF(AND(COUNTIF('Start Character'!$I$63:$M$77,"Twilight Prone")=1,NOT(ISERROR(FIND("Magical Botch",M930)))),"Yes",IF(P930&gt;1,"Yes","No"))</f>
        <v>No</v>
      </c>
      <c r="S930" s="501"/>
      <c r="T930" s="478"/>
      <c r="U930" s="501"/>
      <c r="V930" s="479" t="str">
        <f>IF(R930="No","No Twilight",IF(T930="Yes","Uncomprehended Twilight",IF((Character!$B$14+IF(Character!$B$53="Yes",0,Character!$B$53)+IF(Magic!$C$5="Yes",2,0)+ROUNDUP((Magic!$B$30+IF(Magic!$C$30="Yes",3,0))/5,0)+S930)&gt;=($D$3+P930+SUMIF(Character!$I$62:$I$66,"Enigmatic Wisdom",Character!$J$62:$J$66)+Q930+U930),"No Twilight","Twilight")))</f>
        <v>No Twilight</v>
      </c>
      <c r="W930" s="483"/>
      <c r="X930" s="478"/>
      <c r="Y930" s="484"/>
      <c r="Z930" s="478"/>
      <c r="AA930" s="485" t="str">
        <f>IF(V930="Uncomprehended Twilight","Failed",IF(OR(ISBLANK(W930),ISBLANK(Y930))," ",IF(NOT(ISBLANK(X930)),"Failed",IF((W930+Character!$B$9+SUMIF(Character!$I$62:$I$66,"Enigmatic Wisdom",Character!$J$62:$J$66))&gt;=IF(Z930="Yes",0,(Y930+D925)),"Succeeded","Failed"))))</f>
        <v xml:space="preserve"> </v>
      </c>
      <c r="AB930" s="477" t="str">
        <f>IF(AA930=" "," ",IF(NOT(ISBLANK(X930)),VLOOKUP($D$3+X930,Calcs!$A$110:$C$122,3,TRUE),IF(AA930="Failed",VLOOKUP($D$3,Calcs!$A$110:$C$122,3,TRUE),VLOOKUP($D$3-(IF((Character!$B$9+W930)&gt;($D$3+Y930),(Character!$B$9+W930)-($D$3+Y930),0)),Calcs!$A$110:$C$122,3,TRUE))))</f>
        <v xml:space="preserve"> </v>
      </c>
      <c r="AC930" s="489"/>
      <c r="AD930" s="489" t="str">
        <f>IF(IF(AA930=" "," ",IF(NOT(ISBLANK(X930)),VLOOKUP($D$3+X930,Calcs!$A$110:$B$122,2,TRUE),IF(AA930="Failed",VLOOKUP($D$3,Calcs!$A$110:$B$122,2,TRUE),VLOOKUP($D$3-(IF((Character!$B$9+W930)&gt;($D$3+Y930),(Character!$B$9+W930)-($D$3+Y930),0)),Calcs!$A$110:$B$122,2,TRUE))))=Calcs!$B$120,IF(ISBLANK(AC930)," ",CONCATENATE(AC930+7," Years")),IF(AA930=" "," ",IF(NOT(ISBLANK(X930)),VLOOKUP($D$3+X930,Calcs!$A$110:$B$122,2,TRUE),IF(AA930="Failed",VLOOKUP($D$3,Calcs!$A$110:$B$122,2,TRUE),VLOOKUP($D$3-(IF((Character!$B$9+W930)&gt;($D$3+Y930),(Character!$B$9+W930)-($D$3+Y930),0)),Calcs!$A$110:$B$122,2,TRUE)))))</f>
        <v xml:space="preserve"> </v>
      </c>
      <c r="AE930" s="490"/>
      <c r="AF930" s="879"/>
      <c r="AG930" s="491"/>
    </row>
    <row r="931" spans="1:33" x14ac:dyDescent="0.2">
      <c r="A931" s="415">
        <f t="shared" si="28"/>
        <v>1442</v>
      </c>
      <c r="B931" s="419" t="str">
        <f t="shared" si="29"/>
        <v>Autumn</v>
      </c>
      <c r="C931" s="455"/>
      <c r="D931" s="504"/>
      <c r="E931" s="455"/>
      <c r="F931" s="504"/>
      <c r="G931" s="455"/>
      <c r="H931" s="504"/>
      <c r="I931" s="455"/>
      <c r="J931" s="504"/>
      <c r="L931" s="472"/>
      <c r="M931" s="468"/>
      <c r="N931" s="468"/>
      <c r="O931" s="468"/>
      <c r="P931" s="468"/>
      <c r="Q931" s="473"/>
      <c r="R931" s="477" t="str">
        <f>IF(AND(COUNTIF('Start Character'!$I$63:$M$77,"Twilight Prone")=1,NOT(ISERROR(FIND("Magical Botch",M931)))),"Yes",IF(P931&gt;1,"Yes","No"))</f>
        <v>No</v>
      </c>
      <c r="S931" s="501"/>
      <c r="T931" s="478"/>
      <c r="U931" s="501"/>
      <c r="V931" s="479" t="str">
        <f>IF(R931="No","No Twilight",IF(T931="Yes","Uncomprehended Twilight",IF((Character!$B$14+IF(Character!$B$53="Yes",0,Character!$B$53)+IF(Magic!$C$5="Yes",2,0)+ROUNDUP((Magic!$B$30+IF(Magic!$C$30="Yes",3,0))/5,0)+S931)&gt;=($D$3+P931+SUMIF(Character!$I$62:$I$66,"Enigmatic Wisdom",Character!$J$62:$J$66)+Q931+U931),"No Twilight","Twilight")))</f>
        <v>No Twilight</v>
      </c>
      <c r="W931" s="483"/>
      <c r="X931" s="478"/>
      <c r="Y931" s="484"/>
      <c r="Z931" s="478"/>
      <c r="AA931" s="485" t="str">
        <f>IF(V931="Uncomprehended Twilight","Failed",IF(OR(ISBLANK(W931),ISBLANK(Y931))," ",IF(NOT(ISBLANK(X931)),"Failed",IF((W931+Character!$B$9+SUMIF(Character!$I$62:$I$66,"Enigmatic Wisdom",Character!$J$62:$J$66))&gt;=IF(Z931="Yes",0,(Y931+D926)),"Succeeded","Failed"))))</f>
        <v xml:space="preserve"> </v>
      </c>
      <c r="AB931" s="477" t="str">
        <f>IF(AA931=" "," ",IF(NOT(ISBLANK(X931)),VLOOKUP($D$3+X931,Calcs!$A$110:$C$122,3,TRUE),IF(AA931="Failed",VLOOKUP($D$3,Calcs!$A$110:$C$122,3,TRUE),VLOOKUP($D$3-(IF((Character!$B$9+W931)&gt;($D$3+Y931),(Character!$B$9+W931)-($D$3+Y931),0)),Calcs!$A$110:$C$122,3,TRUE))))</f>
        <v xml:space="preserve"> </v>
      </c>
      <c r="AC931" s="489"/>
      <c r="AD931" s="489" t="str">
        <f>IF(IF(AA931=" "," ",IF(NOT(ISBLANK(X931)),VLOOKUP($D$3+X931,Calcs!$A$110:$B$122,2,TRUE),IF(AA931="Failed",VLOOKUP($D$3,Calcs!$A$110:$B$122,2,TRUE),VLOOKUP($D$3-(IF((Character!$B$9+W931)&gt;($D$3+Y931),(Character!$B$9+W931)-($D$3+Y931),0)),Calcs!$A$110:$B$122,2,TRUE))))=Calcs!$B$120,IF(ISBLANK(AC931)," ",CONCATENATE(AC931+7," Years")),IF(AA931=" "," ",IF(NOT(ISBLANK(X931)),VLOOKUP($D$3+X931,Calcs!$A$110:$B$122,2,TRUE),IF(AA931="Failed",VLOOKUP($D$3,Calcs!$A$110:$B$122,2,TRUE),VLOOKUP($D$3-(IF((Character!$B$9+W931)&gt;($D$3+Y931),(Character!$B$9+W931)-($D$3+Y931),0)),Calcs!$A$110:$B$122,2,TRUE)))))</f>
        <v xml:space="preserve"> </v>
      </c>
      <c r="AE931" s="490"/>
      <c r="AF931" s="879"/>
      <c r="AG931" s="491"/>
    </row>
    <row r="932" spans="1:33" x14ac:dyDescent="0.2">
      <c r="A932" s="415">
        <f t="shared" si="28"/>
        <v>1443</v>
      </c>
      <c r="B932" s="419" t="str">
        <f t="shared" si="29"/>
        <v>Winter</v>
      </c>
      <c r="C932" s="455"/>
      <c r="D932" s="504"/>
      <c r="E932" s="455"/>
      <c r="F932" s="504"/>
      <c r="G932" s="455"/>
      <c r="H932" s="504"/>
      <c r="I932" s="455"/>
      <c r="J932" s="504"/>
      <c r="L932" s="472"/>
      <c r="M932" s="468"/>
      <c r="N932" s="468"/>
      <c r="O932" s="468"/>
      <c r="P932" s="468"/>
      <c r="Q932" s="473"/>
      <c r="R932" s="477" t="str">
        <f>IF(AND(COUNTIF('Start Character'!$I$63:$M$77,"Twilight Prone")=1,NOT(ISERROR(FIND("Magical Botch",M932)))),"Yes",IF(P932&gt;1,"Yes","No"))</f>
        <v>No</v>
      </c>
      <c r="S932" s="501"/>
      <c r="T932" s="478"/>
      <c r="U932" s="501"/>
      <c r="V932" s="479" t="str">
        <f>IF(R932="No","No Twilight",IF(T932="Yes","Uncomprehended Twilight",IF((Character!$B$14+IF(Character!$B$53="Yes",0,Character!$B$53)+IF(Magic!$C$5="Yes",2,0)+ROUNDUP((Magic!$B$30+IF(Magic!$C$30="Yes",3,0))/5,0)+S932)&gt;=($D$3+P932+SUMIF(Character!$I$62:$I$66,"Enigmatic Wisdom",Character!$J$62:$J$66)+Q932+U932),"No Twilight","Twilight")))</f>
        <v>No Twilight</v>
      </c>
      <c r="W932" s="483"/>
      <c r="X932" s="478"/>
      <c r="Y932" s="484"/>
      <c r="Z932" s="478"/>
      <c r="AA932" s="485" t="str">
        <f>IF(V932="Uncomprehended Twilight","Failed",IF(OR(ISBLANK(W932),ISBLANK(Y932))," ",IF(NOT(ISBLANK(X932)),"Failed",IF((W932+Character!$B$9+SUMIF(Character!$I$62:$I$66,"Enigmatic Wisdom",Character!$J$62:$J$66))&gt;=IF(Z932="Yes",0,(Y932+D927)),"Succeeded","Failed"))))</f>
        <v xml:space="preserve"> </v>
      </c>
      <c r="AB932" s="477" t="str">
        <f>IF(AA932=" "," ",IF(NOT(ISBLANK(X932)),VLOOKUP($D$3+X932,Calcs!$A$110:$C$122,3,TRUE),IF(AA932="Failed",VLOOKUP($D$3,Calcs!$A$110:$C$122,3,TRUE),VLOOKUP($D$3-(IF((Character!$B$9+W932)&gt;($D$3+Y932),(Character!$B$9+W932)-($D$3+Y932),0)),Calcs!$A$110:$C$122,3,TRUE))))</f>
        <v xml:space="preserve"> </v>
      </c>
      <c r="AC932" s="489"/>
      <c r="AD932" s="489" t="str">
        <f>IF(IF(AA932=" "," ",IF(NOT(ISBLANK(X932)),VLOOKUP($D$3+X932,Calcs!$A$110:$B$122,2,TRUE),IF(AA932="Failed",VLOOKUP($D$3,Calcs!$A$110:$B$122,2,TRUE),VLOOKUP($D$3-(IF((Character!$B$9+W932)&gt;($D$3+Y932),(Character!$B$9+W932)-($D$3+Y932),0)),Calcs!$A$110:$B$122,2,TRUE))))=Calcs!$B$120,IF(ISBLANK(AC932)," ",CONCATENATE(AC932+7," Years")),IF(AA932=" "," ",IF(NOT(ISBLANK(X932)),VLOOKUP($D$3+X932,Calcs!$A$110:$B$122,2,TRUE),IF(AA932="Failed",VLOOKUP($D$3,Calcs!$A$110:$B$122,2,TRUE),VLOOKUP($D$3-(IF((Character!$B$9+W932)&gt;($D$3+Y932),(Character!$B$9+W932)-($D$3+Y932),0)),Calcs!$A$110:$B$122,2,TRUE)))))</f>
        <v xml:space="preserve"> </v>
      </c>
      <c r="AE932" s="490"/>
      <c r="AF932" s="879"/>
      <c r="AG932" s="491"/>
    </row>
    <row r="933" spans="1:33" x14ac:dyDescent="0.2">
      <c r="A933" s="415">
        <f t="shared" si="28"/>
        <v>1443</v>
      </c>
      <c r="B933" s="419" t="str">
        <f t="shared" si="29"/>
        <v>Spring</v>
      </c>
      <c r="C933" s="455"/>
      <c r="D933" s="504"/>
      <c r="E933" s="455"/>
      <c r="F933" s="504"/>
      <c r="G933" s="455"/>
      <c r="H933" s="504"/>
      <c r="I933" s="455"/>
      <c r="J933" s="504"/>
      <c r="L933" s="472"/>
      <c r="M933" s="468"/>
      <c r="N933" s="468"/>
      <c r="O933" s="468"/>
      <c r="P933" s="468"/>
      <c r="Q933" s="473"/>
      <c r="R933" s="477" t="str">
        <f>IF(AND(COUNTIF('Start Character'!$I$63:$M$77,"Twilight Prone")=1,NOT(ISERROR(FIND("Magical Botch",M933)))),"Yes",IF(P933&gt;1,"Yes","No"))</f>
        <v>No</v>
      </c>
      <c r="S933" s="501"/>
      <c r="T933" s="478"/>
      <c r="U933" s="501"/>
      <c r="V933" s="479" t="str">
        <f>IF(R933="No","No Twilight",IF(T933="Yes","Uncomprehended Twilight",IF((Character!$B$14+IF(Character!$B$53="Yes",0,Character!$B$53)+IF(Magic!$C$5="Yes",2,0)+ROUNDUP((Magic!$B$30+IF(Magic!$C$30="Yes",3,0))/5,0)+S933)&gt;=($D$3+P933+SUMIF(Character!$I$62:$I$66,"Enigmatic Wisdom",Character!$J$62:$J$66)+Q933+U933),"No Twilight","Twilight")))</f>
        <v>No Twilight</v>
      </c>
      <c r="W933" s="483"/>
      <c r="X933" s="478"/>
      <c r="Y933" s="484"/>
      <c r="Z933" s="478"/>
      <c r="AA933" s="485" t="str">
        <f>IF(V933="Uncomprehended Twilight","Failed",IF(OR(ISBLANK(W933),ISBLANK(Y933))," ",IF(NOT(ISBLANK(X933)),"Failed",IF((W933+Character!$B$9+SUMIF(Character!$I$62:$I$66,"Enigmatic Wisdom",Character!$J$62:$J$66))&gt;=IF(Z933="Yes",0,(Y933+D928)),"Succeeded","Failed"))))</f>
        <v xml:space="preserve"> </v>
      </c>
      <c r="AB933" s="477" t="str">
        <f>IF(AA933=" "," ",IF(NOT(ISBLANK(X933)),VLOOKUP($D$3+X933,Calcs!$A$110:$C$122,3,TRUE),IF(AA933="Failed",VLOOKUP($D$3,Calcs!$A$110:$C$122,3,TRUE),VLOOKUP($D$3-(IF((Character!$B$9+W933)&gt;($D$3+Y933),(Character!$B$9+W933)-($D$3+Y933),0)),Calcs!$A$110:$C$122,3,TRUE))))</f>
        <v xml:space="preserve"> </v>
      </c>
      <c r="AC933" s="489"/>
      <c r="AD933" s="489" t="str">
        <f>IF(IF(AA933=" "," ",IF(NOT(ISBLANK(X933)),VLOOKUP($D$3+X933,Calcs!$A$110:$B$122,2,TRUE),IF(AA933="Failed",VLOOKUP($D$3,Calcs!$A$110:$B$122,2,TRUE),VLOOKUP($D$3-(IF((Character!$B$9+W933)&gt;($D$3+Y933),(Character!$B$9+W933)-($D$3+Y933),0)),Calcs!$A$110:$B$122,2,TRUE))))=Calcs!$B$120,IF(ISBLANK(AC933)," ",CONCATENATE(AC933+7," Years")),IF(AA933=" "," ",IF(NOT(ISBLANK(X933)),VLOOKUP($D$3+X933,Calcs!$A$110:$B$122,2,TRUE),IF(AA933="Failed",VLOOKUP($D$3,Calcs!$A$110:$B$122,2,TRUE),VLOOKUP($D$3-(IF((Character!$B$9+W933)&gt;($D$3+Y933),(Character!$B$9+W933)-($D$3+Y933),0)),Calcs!$A$110:$B$122,2,TRUE)))))</f>
        <v xml:space="preserve"> </v>
      </c>
      <c r="AE933" s="490"/>
      <c r="AF933" s="879"/>
      <c r="AG933" s="491"/>
    </row>
    <row r="934" spans="1:33" x14ac:dyDescent="0.2">
      <c r="A934" s="415">
        <f t="shared" si="28"/>
        <v>1443</v>
      </c>
      <c r="B934" s="419" t="str">
        <f t="shared" si="29"/>
        <v>Summer</v>
      </c>
      <c r="C934" s="455"/>
      <c r="D934" s="504"/>
      <c r="E934" s="455"/>
      <c r="F934" s="504"/>
      <c r="G934" s="455"/>
      <c r="H934" s="504"/>
      <c r="I934" s="455"/>
      <c r="J934" s="504"/>
      <c r="L934" s="472"/>
      <c r="M934" s="468"/>
      <c r="N934" s="468"/>
      <c r="O934" s="468"/>
      <c r="P934" s="468"/>
      <c r="Q934" s="473"/>
      <c r="R934" s="477" t="str">
        <f>IF(AND(COUNTIF('Start Character'!$I$63:$M$77,"Twilight Prone")=1,NOT(ISERROR(FIND("Magical Botch",M934)))),"Yes",IF(P934&gt;1,"Yes","No"))</f>
        <v>No</v>
      </c>
      <c r="S934" s="501"/>
      <c r="T934" s="478"/>
      <c r="U934" s="501"/>
      <c r="V934" s="479" t="str">
        <f>IF(R934="No","No Twilight",IF(T934="Yes","Uncomprehended Twilight",IF((Character!$B$14+IF(Character!$B$53="Yes",0,Character!$B$53)+IF(Magic!$C$5="Yes",2,0)+ROUNDUP((Magic!$B$30+IF(Magic!$C$30="Yes",3,0))/5,0)+S934)&gt;=($D$3+P934+SUMIF(Character!$I$62:$I$66,"Enigmatic Wisdom",Character!$J$62:$J$66)+Q934+U934),"No Twilight","Twilight")))</f>
        <v>No Twilight</v>
      </c>
      <c r="W934" s="483"/>
      <c r="X934" s="478"/>
      <c r="Y934" s="484"/>
      <c r="Z934" s="478"/>
      <c r="AA934" s="485" t="str">
        <f>IF(V934="Uncomprehended Twilight","Failed",IF(OR(ISBLANK(W934),ISBLANK(Y934))," ",IF(NOT(ISBLANK(X934)),"Failed",IF((W934+Character!$B$9+SUMIF(Character!$I$62:$I$66,"Enigmatic Wisdom",Character!$J$62:$J$66))&gt;=IF(Z934="Yes",0,(Y934+D929)),"Succeeded","Failed"))))</f>
        <v xml:space="preserve"> </v>
      </c>
      <c r="AB934" s="477" t="str">
        <f>IF(AA934=" "," ",IF(NOT(ISBLANK(X934)),VLOOKUP($D$3+X934,Calcs!$A$110:$C$122,3,TRUE),IF(AA934="Failed",VLOOKUP($D$3,Calcs!$A$110:$C$122,3,TRUE),VLOOKUP($D$3-(IF((Character!$B$9+W934)&gt;($D$3+Y934),(Character!$B$9+W934)-($D$3+Y934),0)),Calcs!$A$110:$C$122,3,TRUE))))</f>
        <v xml:space="preserve"> </v>
      </c>
      <c r="AC934" s="489"/>
      <c r="AD934" s="489" t="str">
        <f>IF(IF(AA934=" "," ",IF(NOT(ISBLANK(X934)),VLOOKUP($D$3+X934,Calcs!$A$110:$B$122,2,TRUE),IF(AA934="Failed",VLOOKUP($D$3,Calcs!$A$110:$B$122,2,TRUE),VLOOKUP($D$3-(IF((Character!$B$9+W934)&gt;($D$3+Y934),(Character!$B$9+W934)-($D$3+Y934),0)),Calcs!$A$110:$B$122,2,TRUE))))=Calcs!$B$120,IF(ISBLANK(AC934)," ",CONCATENATE(AC934+7," Years")),IF(AA934=" "," ",IF(NOT(ISBLANK(X934)),VLOOKUP($D$3+X934,Calcs!$A$110:$B$122,2,TRUE),IF(AA934="Failed",VLOOKUP($D$3,Calcs!$A$110:$B$122,2,TRUE),VLOOKUP($D$3-(IF((Character!$B$9+W934)&gt;($D$3+Y934),(Character!$B$9+W934)-($D$3+Y934),0)),Calcs!$A$110:$B$122,2,TRUE)))))</f>
        <v xml:space="preserve"> </v>
      </c>
      <c r="AE934" s="490"/>
      <c r="AF934" s="879"/>
      <c r="AG934" s="491"/>
    </row>
    <row r="935" spans="1:33" x14ac:dyDescent="0.2">
      <c r="A935" s="415">
        <f t="shared" si="28"/>
        <v>1443</v>
      </c>
      <c r="B935" s="419" t="str">
        <f t="shared" si="29"/>
        <v>Autumn</v>
      </c>
      <c r="C935" s="455"/>
      <c r="D935" s="504"/>
      <c r="E935" s="455"/>
      <c r="F935" s="504"/>
      <c r="G935" s="455"/>
      <c r="H935" s="504"/>
      <c r="I935" s="455"/>
      <c r="J935" s="504"/>
      <c r="L935" s="472"/>
      <c r="M935" s="468"/>
      <c r="N935" s="468"/>
      <c r="O935" s="468"/>
      <c r="P935" s="468"/>
      <c r="Q935" s="473"/>
      <c r="R935" s="477" t="str">
        <f>IF(AND(COUNTIF('Start Character'!$I$63:$M$77,"Twilight Prone")=1,NOT(ISERROR(FIND("Magical Botch",M935)))),"Yes",IF(P935&gt;1,"Yes","No"))</f>
        <v>No</v>
      </c>
      <c r="S935" s="501"/>
      <c r="T935" s="478"/>
      <c r="U935" s="501"/>
      <c r="V935" s="479" t="str">
        <f>IF(R935="No","No Twilight",IF(T935="Yes","Uncomprehended Twilight",IF((Character!$B$14+IF(Character!$B$53="Yes",0,Character!$B$53)+IF(Magic!$C$5="Yes",2,0)+ROUNDUP((Magic!$B$30+IF(Magic!$C$30="Yes",3,0))/5,0)+S935)&gt;=($D$3+P935+SUMIF(Character!$I$62:$I$66,"Enigmatic Wisdom",Character!$J$62:$J$66)+Q935+U935),"No Twilight","Twilight")))</f>
        <v>No Twilight</v>
      </c>
      <c r="W935" s="483"/>
      <c r="X935" s="478"/>
      <c r="Y935" s="484"/>
      <c r="Z935" s="478"/>
      <c r="AA935" s="485" t="str">
        <f>IF(V935="Uncomprehended Twilight","Failed",IF(OR(ISBLANK(W935),ISBLANK(Y935))," ",IF(NOT(ISBLANK(X935)),"Failed",IF((W935+Character!$B$9+SUMIF(Character!$I$62:$I$66,"Enigmatic Wisdom",Character!$J$62:$J$66))&gt;=IF(Z935="Yes",0,(Y935+D930)),"Succeeded","Failed"))))</f>
        <v xml:space="preserve"> </v>
      </c>
      <c r="AB935" s="477" t="str">
        <f>IF(AA935=" "," ",IF(NOT(ISBLANK(X935)),VLOOKUP($D$3+X935,Calcs!$A$110:$C$122,3,TRUE),IF(AA935="Failed",VLOOKUP($D$3,Calcs!$A$110:$C$122,3,TRUE),VLOOKUP($D$3-(IF((Character!$B$9+W935)&gt;($D$3+Y935),(Character!$B$9+W935)-($D$3+Y935),0)),Calcs!$A$110:$C$122,3,TRUE))))</f>
        <v xml:space="preserve"> </v>
      </c>
      <c r="AC935" s="489"/>
      <c r="AD935" s="489" t="str">
        <f>IF(IF(AA935=" "," ",IF(NOT(ISBLANK(X935)),VLOOKUP($D$3+X935,Calcs!$A$110:$B$122,2,TRUE),IF(AA935="Failed",VLOOKUP($D$3,Calcs!$A$110:$B$122,2,TRUE),VLOOKUP($D$3-(IF((Character!$B$9+W935)&gt;($D$3+Y935),(Character!$B$9+W935)-($D$3+Y935),0)),Calcs!$A$110:$B$122,2,TRUE))))=Calcs!$B$120,IF(ISBLANK(AC935)," ",CONCATENATE(AC935+7," Years")),IF(AA935=" "," ",IF(NOT(ISBLANK(X935)),VLOOKUP($D$3+X935,Calcs!$A$110:$B$122,2,TRUE),IF(AA935="Failed",VLOOKUP($D$3,Calcs!$A$110:$B$122,2,TRUE),VLOOKUP($D$3-(IF((Character!$B$9+W935)&gt;($D$3+Y935),(Character!$B$9+W935)-($D$3+Y935),0)),Calcs!$A$110:$B$122,2,TRUE)))))</f>
        <v xml:space="preserve"> </v>
      </c>
      <c r="AE935" s="490"/>
      <c r="AF935" s="879"/>
      <c r="AG935" s="491"/>
    </row>
    <row r="936" spans="1:33" x14ac:dyDescent="0.2">
      <c r="A936" s="415">
        <f t="shared" si="28"/>
        <v>1444</v>
      </c>
      <c r="B936" s="419" t="str">
        <f t="shared" si="29"/>
        <v>Winter</v>
      </c>
      <c r="C936" s="455"/>
      <c r="D936" s="504"/>
      <c r="E936" s="455"/>
      <c r="F936" s="504"/>
      <c r="G936" s="455"/>
      <c r="H936" s="504"/>
      <c r="I936" s="455"/>
      <c r="J936" s="504"/>
      <c r="L936" s="472"/>
      <c r="M936" s="468"/>
      <c r="N936" s="468"/>
      <c r="O936" s="468"/>
      <c r="P936" s="468"/>
      <c r="Q936" s="473"/>
      <c r="R936" s="477" t="str">
        <f>IF(AND(COUNTIF('Start Character'!$I$63:$M$77,"Twilight Prone")=1,NOT(ISERROR(FIND("Magical Botch",M936)))),"Yes",IF(P936&gt;1,"Yes","No"))</f>
        <v>No</v>
      </c>
      <c r="S936" s="501"/>
      <c r="T936" s="478"/>
      <c r="U936" s="501"/>
      <c r="V936" s="479" t="str">
        <f>IF(R936="No","No Twilight",IF(T936="Yes","Uncomprehended Twilight",IF((Character!$B$14+IF(Character!$B$53="Yes",0,Character!$B$53)+IF(Magic!$C$5="Yes",2,0)+ROUNDUP((Magic!$B$30+IF(Magic!$C$30="Yes",3,0))/5,0)+S936)&gt;=($D$3+P936+SUMIF(Character!$I$62:$I$66,"Enigmatic Wisdom",Character!$J$62:$J$66)+Q936+U936),"No Twilight","Twilight")))</f>
        <v>No Twilight</v>
      </c>
      <c r="W936" s="483"/>
      <c r="X936" s="478"/>
      <c r="Y936" s="484"/>
      <c r="Z936" s="478"/>
      <c r="AA936" s="485" t="str">
        <f>IF(V936="Uncomprehended Twilight","Failed",IF(OR(ISBLANK(W936),ISBLANK(Y936))," ",IF(NOT(ISBLANK(X936)),"Failed",IF((W936+Character!$B$9+SUMIF(Character!$I$62:$I$66,"Enigmatic Wisdom",Character!$J$62:$J$66))&gt;=IF(Z936="Yes",0,(Y936+D931)),"Succeeded","Failed"))))</f>
        <v xml:space="preserve"> </v>
      </c>
      <c r="AB936" s="477" t="str">
        <f>IF(AA936=" "," ",IF(NOT(ISBLANK(X936)),VLOOKUP($D$3+X936,Calcs!$A$110:$C$122,3,TRUE),IF(AA936="Failed",VLOOKUP($D$3,Calcs!$A$110:$C$122,3,TRUE),VLOOKUP($D$3-(IF((Character!$B$9+W936)&gt;($D$3+Y936),(Character!$B$9+W936)-($D$3+Y936),0)),Calcs!$A$110:$C$122,3,TRUE))))</f>
        <v xml:space="preserve"> </v>
      </c>
      <c r="AC936" s="489"/>
      <c r="AD936" s="489" t="str">
        <f>IF(IF(AA936=" "," ",IF(NOT(ISBLANK(X936)),VLOOKUP($D$3+X936,Calcs!$A$110:$B$122,2,TRUE),IF(AA936="Failed",VLOOKUP($D$3,Calcs!$A$110:$B$122,2,TRUE),VLOOKUP($D$3-(IF((Character!$B$9+W936)&gt;($D$3+Y936),(Character!$B$9+W936)-($D$3+Y936),0)),Calcs!$A$110:$B$122,2,TRUE))))=Calcs!$B$120,IF(ISBLANK(AC936)," ",CONCATENATE(AC936+7," Years")),IF(AA936=" "," ",IF(NOT(ISBLANK(X936)),VLOOKUP($D$3+X936,Calcs!$A$110:$B$122,2,TRUE),IF(AA936="Failed",VLOOKUP($D$3,Calcs!$A$110:$B$122,2,TRUE),VLOOKUP($D$3-(IF((Character!$B$9+W936)&gt;($D$3+Y936),(Character!$B$9+W936)-($D$3+Y936),0)),Calcs!$A$110:$B$122,2,TRUE)))))</f>
        <v xml:space="preserve"> </v>
      </c>
      <c r="AE936" s="490"/>
      <c r="AF936" s="879"/>
      <c r="AG936" s="491"/>
    </row>
    <row r="937" spans="1:33" x14ac:dyDescent="0.2">
      <c r="A937" s="415">
        <f t="shared" si="28"/>
        <v>1444</v>
      </c>
      <c r="B937" s="419" t="str">
        <f t="shared" si="29"/>
        <v>Spring</v>
      </c>
      <c r="C937" s="455"/>
      <c r="D937" s="504"/>
      <c r="E937" s="455"/>
      <c r="F937" s="504"/>
      <c r="G937" s="455"/>
      <c r="H937" s="504"/>
      <c r="I937" s="455"/>
      <c r="J937" s="504"/>
      <c r="L937" s="472"/>
      <c r="M937" s="468"/>
      <c r="N937" s="468"/>
      <c r="O937" s="468"/>
      <c r="P937" s="468"/>
      <c r="Q937" s="473"/>
      <c r="R937" s="477" t="str">
        <f>IF(AND(COUNTIF('Start Character'!$I$63:$M$77,"Twilight Prone")=1,NOT(ISERROR(FIND("Magical Botch",M937)))),"Yes",IF(P937&gt;1,"Yes","No"))</f>
        <v>No</v>
      </c>
      <c r="S937" s="501"/>
      <c r="T937" s="478"/>
      <c r="U937" s="501"/>
      <c r="V937" s="479" t="str">
        <f>IF(R937="No","No Twilight",IF(T937="Yes","Uncomprehended Twilight",IF((Character!$B$14+IF(Character!$B$53="Yes",0,Character!$B$53)+IF(Magic!$C$5="Yes",2,0)+ROUNDUP((Magic!$B$30+IF(Magic!$C$30="Yes",3,0))/5,0)+S937)&gt;=($D$3+P937+SUMIF(Character!$I$62:$I$66,"Enigmatic Wisdom",Character!$J$62:$J$66)+Q937+U937),"No Twilight","Twilight")))</f>
        <v>No Twilight</v>
      </c>
      <c r="W937" s="483"/>
      <c r="X937" s="478"/>
      <c r="Y937" s="484"/>
      <c r="Z937" s="478"/>
      <c r="AA937" s="485" t="str">
        <f>IF(V937="Uncomprehended Twilight","Failed",IF(OR(ISBLANK(W937),ISBLANK(Y937))," ",IF(NOT(ISBLANK(X937)),"Failed",IF((W937+Character!$B$9+SUMIF(Character!$I$62:$I$66,"Enigmatic Wisdom",Character!$J$62:$J$66))&gt;=IF(Z937="Yes",0,(Y937+D932)),"Succeeded","Failed"))))</f>
        <v xml:space="preserve"> </v>
      </c>
      <c r="AB937" s="477" t="str">
        <f>IF(AA937=" "," ",IF(NOT(ISBLANK(X937)),VLOOKUP($D$3+X937,Calcs!$A$110:$C$122,3,TRUE),IF(AA937="Failed",VLOOKUP($D$3,Calcs!$A$110:$C$122,3,TRUE),VLOOKUP($D$3-(IF((Character!$B$9+W937)&gt;($D$3+Y937),(Character!$B$9+W937)-($D$3+Y937),0)),Calcs!$A$110:$C$122,3,TRUE))))</f>
        <v xml:space="preserve"> </v>
      </c>
      <c r="AC937" s="489"/>
      <c r="AD937" s="489" t="str">
        <f>IF(IF(AA937=" "," ",IF(NOT(ISBLANK(X937)),VLOOKUP($D$3+X937,Calcs!$A$110:$B$122,2,TRUE),IF(AA937="Failed",VLOOKUP($D$3,Calcs!$A$110:$B$122,2,TRUE),VLOOKUP($D$3-(IF((Character!$B$9+W937)&gt;($D$3+Y937),(Character!$B$9+W937)-($D$3+Y937),0)),Calcs!$A$110:$B$122,2,TRUE))))=Calcs!$B$120,IF(ISBLANK(AC937)," ",CONCATENATE(AC937+7," Years")),IF(AA937=" "," ",IF(NOT(ISBLANK(X937)),VLOOKUP($D$3+X937,Calcs!$A$110:$B$122,2,TRUE),IF(AA937="Failed",VLOOKUP($D$3,Calcs!$A$110:$B$122,2,TRUE),VLOOKUP($D$3-(IF((Character!$B$9+W937)&gt;($D$3+Y937),(Character!$B$9+W937)-($D$3+Y937),0)),Calcs!$A$110:$B$122,2,TRUE)))))</f>
        <v xml:space="preserve"> </v>
      </c>
      <c r="AE937" s="490"/>
      <c r="AF937" s="879"/>
      <c r="AG937" s="491"/>
    </row>
    <row r="938" spans="1:33" x14ac:dyDescent="0.2">
      <c r="A938" s="415">
        <f t="shared" si="28"/>
        <v>1444</v>
      </c>
      <c r="B938" s="419" t="str">
        <f t="shared" si="29"/>
        <v>Summer</v>
      </c>
      <c r="C938" s="455"/>
      <c r="D938" s="504"/>
      <c r="E938" s="455"/>
      <c r="F938" s="504"/>
      <c r="G938" s="455"/>
      <c r="H938" s="504"/>
      <c r="I938" s="455"/>
      <c r="J938" s="504"/>
      <c r="L938" s="472"/>
      <c r="M938" s="468"/>
      <c r="N938" s="468"/>
      <c r="O938" s="468"/>
      <c r="P938" s="468"/>
      <c r="Q938" s="473"/>
      <c r="R938" s="477" t="str">
        <f>IF(AND(COUNTIF('Start Character'!$I$63:$M$77,"Twilight Prone")=1,NOT(ISERROR(FIND("Magical Botch",M938)))),"Yes",IF(P938&gt;1,"Yes","No"))</f>
        <v>No</v>
      </c>
      <c r="S938" s="501"/>
      <c r="T938" s="478"/>
      <c r="U938" s="501"/>
      <c r="V938" s="479" t="str">
        <f>IF(R938="No","No Twilight",IF(T938="Yes","Uncomprehended Twilight",IF((Character!$B$14+IF(Character!$B$53="Yes",0,Character!$B$53)+IF(Magic!$C$5="Yes",2,0)+ROUNDUP((Magic!$B$30+IF(Magic!$C$30="Yes",3,0))/5,0)+S938)&gt;=($D$3+P938+SUMIF(Character!$I$62:$I$66,"Enigmatic Wisdom",Character!$J$62:$J$66)+Q938+U938),"No Twilight","Twilight")))</f>
        <v>No Twilight</v>
      </c>
      <c r="W938" s="483"/>
      <c r="X938" s="478"/>
      <c r="Y938" s="484"/>
      <c r="Z938" s="478"/>
      <c r="AA938" s="485" t="str">
        <f>IF(V938="Uncomprehended Twilight","Failed",IF(OR(ISBLANK(W938),ISBLANK(Y938))," ",IF(NOT(ISBLANK(X938)),"Failed",IF((W938+Character!$B$9+SUMIF(Character!$I$62:$I$66,"Enigmatic Wisdom",Character!$J$62:$J$66))&gt;=IF(Z938="Yes",0,(Y938+D933)),"Succeeded","Failed"))))</f>
        <v xml:space="preserve"> </v>
      </c>
      <c r="AB938" s="477" t="str">
        <f>IF(AA938=" "," ",IF(NOT(ISBLANK(X938)),VLOOKUP($D$3+X938,Calcs!$A$110:$C$122,3,TRUE),IF(AA938="Failed",VLOOKUP($D$3,Calcs!$A$110:$C$122,3,TRUE),VLOOKUP($D$3-(IF((Character!$B$9+W938)&gt;($D$3+Y938),(Character!$B$9+W938)-($D$3+Y938),0)),Calcs!$A$110:$C$122,3,TRUE))))</f>
        <v xml:space="preserve"> </v>
      </c>
      <c r="AC938" s="489"/>
      <c r="AD938" s="489" t="str">
        <f>IF(IF(AA938=" "," ",IF(NOT(ISBLANK(X938)),VLOOKUP($D$3+X938,Calcs!$A$110:$B$122,2,TRUE),IF(AA938="Failed",VLOOKUP($D$3,Calcs!$A$110:$B$122,2,TRUE),VLOOKUP($D$3-(IF((Character!$B$9+W938)&gt;($D$3+Y938),(Character!$B$9+W938)-($D$3+Y938),0)),Calcs!$A$110:$B$122,2,TRUE))))=Calcs!$B$120,IF(ISBLANK(AC938)," ",CONCATENATE(AC938+7," Years")),IF(AA938=" "," ",IF(NOT(ISBLANK(X938)),VLOOKUP($D$3+X938,Calcs!$A$110:$B$122,2,TRUE),IF(AA938="Failed",VLOOKUP($D$3,Calcs!$A$110:$B$122,2,TRUE),VLOOKUP($D$3-(IF((Character!$B$9+W938)&gt;($D$3+Y938),(Character!$B$9+W938)-($D$3+Y938),0)),Calcs!$A$110:$B$122,2,TRUE)))))</f>
        <v xml:space="preserve"> </v>
      </c>
      <c r="AE938" s="490"/>
      <c r="AF938" s="879"/>
      <c r="AG938" s="491"/>
    </row>
    <row r="939" spans="1:33" x14ac:dyDescent="0.2">
      <c r="A939" s="415">
        <f t="shared" si="28"/>
        <v>1444</v>
      </c>
      <c r="B939" s="419" t="str">
        <f t="shared" si="29"/>
        <v>Autumn</v>
      </c>
      <c r="C939" s="455"/>
      <c r="D939" s="504"/>
      <c r="E939" s="455"/>
      <c r="F939" s="504"/>
      <c r="G939" s="455"/>
      <c r="H939" s="504"/>
      <c r="I939" s="455"/>
      <c r="J939" s="504"/>
      <c r="L939" s="472"/>
      <c r="M939" s="468"/>
      <c r="N939" s="468"/>
      <c r="O939" s="468"/>
      <c r="P939" s="468"/>
      <c r="Q939" s="473"/>
      <c r="R939" s="477" t="str">
        <f>IF(AND(COUNTIF('Start Character'!$I$63:$M$77,"Twilight Prone")=1,NOT(ISERROR(FIND("Magical Botch",M939)))),"Yes",IF(P939&gt;1,"Yes","No"))</f>
        <v>No</v>
      </c>
      <c r="S939" s="501"/>
      <c r="T939" s="478"/>
      <c r="U939" s="501"/>
      <c r="V939" s="479" t="str">
        <f>IF(R939="No","No Twilight",IF(T939="Yes","Uncomprehended Twilight",IF((Character!$B$14+IF(Character!$B$53="Yes",0,Character!$B$53)+IF(Magic!$C$5="Yes",2,0)+ROUNDUP((Magic!$B$30+IF(Magic!$C$30="Yes",3,0))/5,0)+S939)&gt;=($D$3+P939+SUMIF(Character!$I$62:$I$66,"Enigmatic Wisdom",Character!$J$62:$J$66)+Q939+U939),"No Twilight","Twilight")))</f>
        <v>No Twilight</v>
      </c>
      <c r="W939" s="483"/>
      <c r="X939" s="478"/>
      <c r="Y939" s="484"/>
      <c r="Z939" s="478"/>
      <c r="AA939" s="485" t="str">
        <f>IF(V939="Uncomprehended Twilight","Failed",IF(OR(ISBLANK(W939),ISBLANK(Y939))," ",IF(NOT(ISBLANK(X939)),"Failed",IF((W939+Character!$B$9+SUMIF(Character!$I$62:$I$66,"Enigmatic Wisdom",Character!$J$62:$J$66))&gt;=IF(Z939="Yes",0,(Y939+D934)),"Succeeded","Failed"))))</f>
        <v xml:space="preserve"> </v>
      </c>
      <c r="AB939" s="477" t="str">
        <f>IF(AA939=" "," ",IF(NOT(ISBLANK(X939)),VLOOKUP($D$3+X939,Calcs!$A$110:$C$122,3,TRUE),IF(AA939="Failed",VLOOKUP($D$3,Calcs!$A$110:$C$122,3,TRUE),VLOOKUP($D$3-(IF((Character!$B$9+W939)&gt;($D$3+Y939),(Character!$B$9+W939)-($D$3+Y939),0)),Calcs!$A$110:$C$122,3,TRUE))))</f>
        <v xml:space="preserve"> </v>
      </c>
      <c r="AC939" s="489"/>
      <c r="AD939" s="489" t="str">
        <f>IF(IF(AA939=" "," ",IF(NOT(ISBLANK(X939)),VLOOKUP($D$3+X939,Calcs!$A$110:$B$122,2,TRUE),IF(AA939="Failed",VLOOKUP($D$3,Calcs!$A$110:$B$122,2,TRUE),VLOOKUP($D$3-(IF((Character!$B$9+W939)&gt;($D$3+Y939),(Character!$B$9+W939)-($D$3+Y939),0)),Calcs!$A$110:$B$122,2,TRUE))))=Calcs!$B$120,IF(ISBLANK(AC939)," ",CONCATENATE(AC939+7," Years")),IF(AA939=" "," ",IF(NOT(ISBLANK(X939)),VLOOKUP($D$3+X939,Calcs!$A$110:$B$122,2,TRUE),IF(AA939="Failed",VLOOKUP($D$3,Calcs!$A$110:$B$122,2,TRUE),VLOOKUP($D$3-(IF((Character!$B$9+W939)&gt;($D$3+Y939),(Character!$B$9+W939)-($D$3+Y939),0)),Calcs!$A$110:$B$122,2,TRUE)))))</f>
        <v xml:space="preserve"> </v>
      </c>
      <c r="AE939" s="490"/>
      <c r="AF939" s="879"/>
      <c r="AG939" s="491"/>
    </row>
    <row r="940" spans="1:33" x14ac:dyDescent="0.2">
      <c r="A940" s="415">
        <f t="shared" si="28"/>
        <v>1445</v>
      </c>
      <c r="B940" s="419" t="str">
        <f t="shared" si="29"/>
        <v>Winter</v>
      </c>
      <c r="C940" s="455"/>
      <c r="D940" s="504"/>
      <c r="E940" s="455"/>
      <c r="F940" s="504"/>
      <c r="G940" s="455"/>
      <c r="H940" s="504"/>
      <c r="I940" s="455"/>
      <c r="J940" s="504"/>
      <c r="L940" s="472"/>
      <c r="M940" s="468"/>
      <c r="N940" s="468"/>
      <c r="O940" s="468"/>
      <c r="P940" s="468"/>
      <c r="Q940" s="473"/>
      <c r="R940" s="477" t="str">
        <f>IF(AND(COUNTIF('Start Character'!$I$63:$M$77,"Twilight Prone")=1,NOT(ISERROR(FIND("Magical Botch",M940)))),"Yes",IF(P940&gt;1,"Yes","No"))</f>
        <v>No</v>
      </c>
      <c r="S940" s="501"/>
      <c r="T940" s="478"/>
      <c r="U940" s="501"/>
      <c r="V940" s="479" t="str">
        <f>IF(R940="No","No Twilight",IF(T940="Yes","Uncomprehended Twilight",IF((Character!$B$14+IF(Character!$B$53="Yes",0,Character!$B$53)+IF(Magic!$C$5="Yes",2,0)+ROUNDUP((Magic!$B$30+IF(Magic!$C$30="Yes",3,0))/5,0)+S940)&gt;=($D$3+P940+SUMIF(Character!$I$62:$I$66,"Enigmatic Wisdom",Character!$J$62:$J$66)+Q940+U940),"No Twilight","Twilight")))</f>
        <v>No Twilight</v>
      </c>
      <c r="W940" s="483"/>
      <c r="X940" s="478"/>
      <c r="Y940" s="484"/>
      <c r="Z940" s="478"/>
      <c r="AA940" s="485" t="str">
        <f>IF(V940="Uncomprehended Twilight","Failed",IF(OR(ISBLANK(W940),ISBLANK(Y940))," ",IF(NOT(ISBLANK(X940)),"Failed",IF((W940+Character!$B$9+SUMIF(Character!$I$62:$I$66,"Enigmatic Wisdom",Character!$J$62:$J$66))&gt;=IF(Z940="Yes",0,(Y940+D935)),"Succeeded","Failed"))))</f>
        <v xml:space="preserve"> </v>
      </c>
      <c r="AB940" s="477" t="str">
        <f>IF(AA940=" "," ",IF(NOT(ISBLANK(X940)),VLOOKUP($D$3+X940,Calcs!$A$110:$C$122,3,TRUE),IF(AA940="Failed",VLOOKUP($D$3,Calcs!$A$110:$C$122,3,TRUE),VLOOKUP($D$3-(IF((Character!$B$9+W940)&gt;($D$3+Y940),(Character!$B$9+W940)-($D$3+Y940),0)),Calcs!$A$110:$C$122,3,TRUE))))</f>
        <v xml:space="preserve"> </v>
      </c>
      <c r="AC940" s="489"/>
      <c r="AD940" s="489" t="str">
        <f>IF(IF(AA940=" "," ",IF(NOT(ISBLANK(X940)),VLOOKUP($D$3+X940,Calcs!$A$110:$B$122,2,TRUE),IF(AA940="Failed",VLOOKUP($D$3,Calcs!$A$110:$B$122,2,TRUE),VLOOKUP($D$3-(IF((Character!$B$9+W940)&gt;($D$3+Y940),(Character!$B$9+W940)-($D$3+Y940),0)),Calcs!$A$110:$B$122,2,TRUE))))=Calcs!$B$120,IF(ISBLANK(AC940)," ",CONCATENATE(AC940+7," Years")),IF(AA940=" "," ",IF(NOT(ISBLANK(X940)),VLOOKUP($D$3+X940,Calcs!$A$110:$B$122,2,TRUE),IF(AA940="Failed",VLOOKUP($D$3,Calcs!$A$110:$B$122,2,TRUE),VLOOKUP($D$3-(IF((Character!$B$9+W940)&gt;($D$3+Y940),(Character!$B$9+W940)-($D$3+Y940),0)),Calcs!$A$110:$B$122,2,TRUE)))))</f>
        <v xml:space="preserve"> </v>
      </c>
      <c r="AE940" s="490"/>
      <c r="AF940" s="879"/>
      <c r="AG940" s="491"/>
    </row>
    <row r="941" spans="1:33" x14ac:dyDescent="0.2">
      <c r="A941" s="415">
        <f t="shared" si="28"/>
        <v>1445</v>
      </c>
      <c r="B941" s="419" t="str">
        <f t="shared" si="29"/>
        <v>Spring</v>
      </c>
      <c r="C941" s="455"/>
      <c r="D941" s="504"/>
      <c r="E941" s="455"/>
      <c r="F941" s="504"/>
      <c r="G941" s="455"/>
      <c r="H941" s="504"/>
      <c r="I941" s="455"/>
      <c r="J941" s="504"/>
      <c r="L941" s="472"/>
      <c r="M941" s="468"/>
      <c r="N941" s="468"/>
      <c r="O941" s="468"/>
      <c r="P941" s="468"/>
      <c r="Q941" s="473"/>
      <c r="R941" s="477" t="str">
        <f>IF(AND(COUNTIF('Start Character'!$I$63:$M$77,"Twilight Prone")=1,NOT(ISERROR(FIND("Magical Botch",M941)))),"Yes",IF(P941&gt;1,"Yes","No"))</f>
        <v>No</v>
      </c>
      <c r="S941" s="501"/>
      <c r="T941" s="478"/>
      <c r="U941" s="501"/>
      <c r="V941" s="479" t="str">
        <f>IF(R941="No","No Twilight",IF(T941="Yes","Uncomprehended Twilight",IF((Character!$B$14+IF(Character!$B$53="Yes",0,Character!$B$53)+IF(Magic!$C$5="Yes",2,0)+ROUNDUP((Magic!$B$30+IF(Magic!$C$30="Yes",3,0))/5,0)+S941)&gt;=($D$3+P941+SUMIF(Character!$I$62:$I$66,"Enigmatic Wisdom",Character!$J$62:$J$66)+Q941+U941),"No Twilight","Twilight")))</f>
        <v>No Twilight</v>
      </c>
      <c r="W941" s="483"/>
      <c r="X941" s="478"/>
      <c r="Y941" s="484"/>
      <c r="Z941" s="478"/>
      <c r="AA941" s="485" t="str">
        <f>IF(V941="Uncomprehended Twilight","Failed",IF(OR(ISBLANK(W941),ISBLANK(Y941))," ",IF(NOT(ISBLANK(X941)),"Failed",IF((W941+Character!$B$9+SUMIF(Character!$I$62:$I$66,"Enigmatic Wisdom",Character!$J$62:$J$66))&gt;=IF(Z941="Yes",0,(Y941+D936)),"Succeeded","Failed"))))</f>
        <v xml:space="preserve"> </v>
      </c>
      <c r="AB941" s="477" t="str">
        <f>IF(AA941=" "," ",IF(NOT(ISBLANK(X941)),VLOOKUP($D$3+X941,Calcs!$A$110:$C$122,3,TRUE),IF(AA941="Failed",VLOOKUP($D$3,Calcs!$A$110:$C$122,3,TRUE),VLOOKUP($D$3-(IF((Character!$B$9+W941)&gt;($D$3+Y941),(Character!$B$9+W941)-($D$3+Y941),0)),Calcs!$A$110:$C$122,3,TRUE))))</f>
        <v xml:space="preserve"> </v>
      </c>
      <c r="AC941" s="489"/>
      <c r="AD941" s="489" t="str">
        <f>IF(IF(AA941=" "," ",IF(NOT(ISBLANK(X941)),VLOOKUP($D$3+X941,Calcs!$A$110:$B$122,2,TRUE),IF(AA941="Failed",VLOOKUP($D$3,Calcs!$A$110:$B$122,2,TRUE),VLOOKUP($D$3-(IF((Character!$B$9+W941)&gt;($D$3+Y941),(Character!$B$9+W941)-($D$3+Y941),0)),Calcs!$A$110:$B$122,2,TRUE))))=Calcs!$B$120,IF(ISBLANK(AC941)," ",CONCATENATE(AC941+7," Years")),IF(AA941=" "," ",IF(NOT(ISBLANK(X941)),VLOOKUP($D$3+X941,Calcs!$A$110:$B$122,2,TRUE),IF(AA941="Failed",VLOOKUP($D$3,Calcs!$A$110:$B$122,2,TRUE),VLOOKUP($D$3-(IF((Character!$B$9+W941)&gt;($D$3+Y941),(Character!$B$9+W941)-($D$3+Y941),0)),Calcs!$A$110:$B$122,2,TRUE)))))</f>
        <v xml:space="preserve"> </v>
      </c>
      <c r="AE941" s="490"/>
      <c r="AF941" s="879"/>
      <c r="AG941" s="491"/>
    </row>
    <row r="942" spans="1:33" x14ac:dyDescent="0.2">
      <c r="A942" s="415">
        <f t="shared" si="28"/>
        <v>1445</v>
      </c>
      <c r="B942" s="419" t="str">
        <f t="shared" si="29"/>
        <v>Summer</v>
      </c>
      <c r="C942" s="455"/>
      <c r="D942" s="504"/>
      <c r="E942" s="455"/>
      <c r="F942" s="504"/>
      <c r="G942" s="455"/>
      <c r="H942" s="504"/>
      <c r="I942" s="455"/>
      <c r="J942" s="504"/>
      <c r="L942" s="472"/>
      <c r="M942" s="468"/>
      <c r="N942" s="468"/>
      <c r="O942" s="468"/>
      <c r="P942" s="468"/>
      <c r="Q942" s="473"/>
      <c r="R942" s="477" t="str">
        <f>IF(AND(COUNTIF('Start Character'!$I$63:$M$77,"Twilight Prone")=1,NOT(ISERROR(FIND("Magical Botch",M942)))),"Yes",IF(P942&gt;1,"Yes","No"))</f>
        <v>No</v>
      </c>
      <c r="S942" s="501"/>
      <c r="T942" s="478"/>
      <c r="U942" s="501"/>
      <c r="V942" s="479" t="str">
        <f>IF(R942="No","No Twilight",IF(T942="Yes","Uncomprehended Twilight",IF((Character!$B$14+IF(Character!$B$53="Yes",0,Character!$B$53)+IF(Magic!$C$5="Yes",2,0)+ROUNDUP((Magic!$B$30+IF(Magic!$C$30="Yes",3,0))/5,0)+S942)&gt;=($D$3+P942+SUMIF(Character!$I$62:$I$66,"Enigmatic Wisdom",Character!$J$62:$J$66)+Q942+U942),"No Twilight","Twilight")))</f>
        <v>No Twilight</v>
      </c>
      <c r="W942" s="483"/>
      <c r="X942" s="478"/>
      <c r="Y942" s="484"/>
      <c r="Z942" s="478"/>
      <c r="AA942" s="485" t="str">
        <f>IF(V942="Uncomprehended Twilight","Failed",IF(OR(ISBLANK(W942),ISBLANK(Y942))," ",IF(NOT(ISBLANK(X942)),"Failed",IF((W942+Character!$B$9+SUMIF(Character!$I$62:$I$66,"Enigmatic Wisdom",Character!$J$62:$J$66))&gt;=IF(Z942="Yes",0,(Y942+D937)),"Succeeded","Failed"))))</f>
        <v xml:space="preserve"> </v>
      </c>
      <c r="AB942" s="477" t="str">
        <f>IF(AA942=" "," ",IF(NOT(ISBLANK(X942)),VLOOKUP($D$3+X942,Calcs!$A$110:$C$122,3,TRUE),IF(AA942="Failed",VLOOKUP($D$3,Calcs!$A$110:$C$122,3,TRUE),VLOOKUP($D$3-(IF((Character!$B$9+W942)&gt;($D$3+Y942),(Character!$B$9+W942)-($D$3+Y942),0)),Calcs!$A$110:$C$122,3,TRUE))))</f>
        <v xml:space="preserve"> </v>
      </c>
      <c r="AC942" s="489"/>
      <c r="AD942" s="489" t="str">
        <f>IF(IF(AA942=" "," ",IF(NOT(ISBLANK(X942)),VLOOKUP($D$3+X942,Calcs!$A$110:$B$122,2,TRUE),IF(AA942="Failed",VLOOKUP($D$3,Calcs!$A$110:$B$122,2,TRUE),VLOOKUP($D$3-(IF((Character!$B$9+W942)&gt;($D$3+Y942),(Character!$B$9+W942)-($D$3+Y942),0)),Calcs!$A$110:$B$122,2,TRUE))))=Calcs!$B$120,IF(ISBLANK(AC942)," ",CONCATENATE(AC942+7," Years")),IF(AA942=" "," ",IF(NOT(ISBLANK(X942)),VLOOKUP($D$3+X942,Calcs!$A$110:$B$122,2,TRUE),IF(AA942="Failed",VLOOKUP($D$3,Calcs!$A$110:$B$122,2,TRUE),VLOOKUP($D$3-(IF((Character!$B$9+W942)&gt;($D$3+Y942),(Character!$B$9+W942)-($D$3+Y942),0)),Calcs!$A$110:$B$122,2,TRUE)))))</f>
        <v xml:space="preserve"> </v>
      </c>
      <c r="AE942" s="490"/>
      <c r="AF942" s="879"/>
      <c r="AG942" s="491"/>
    </row>
    <row r="943" spans="1:33" x14ac:dyDescent="0.2">
      <c r="A943" s="415">
        <f t="shared" si="28"/>
        <v>1445</v>
      </c>
      <c r="B943" s="419" t="str">
        <f t="shared" si="29"/>
        <v>Autumn</v>
      </c>
      <c r="C943" s="455"/>
      <c r="D943" s="504"/>
      <c r="E943" s="455"/>
      <c r="F943" s="504"/>
      <c r="G943" s="455"/>
      <c r="H943" s="504"/>
      <c r="I943" s="455"/>
      <c r="J943" s="504"/>
      <c r="L943" s="472"/>
      <c r="M943" s="468"/>
      <c r="N943" s="468"/>
      <c r="O943" s="468"/>
      <c r="P943" s="468"/>
      <c r="Q943" s="473"/>
      <c r="R943" s="477" t="str">
        <f>IF(AND(COUNTIF('Start Character'!$I$63:$M$77,"Twilight Prone")=1,NOT(ISERROR(FIND("Magical Botch",M943)))),"Yes",IF(P943&gt;1,"Yes","No"))</f>
        <v>No</v>
      </c>
      <c r="S943" s="501"/>
      <c r="T943" s="478"/>
      <c r="U943" s="501"/>
      <c r="V943" s="479" t="str">
        <f>IF(R943="No","No Twilight",IF(T943="Yes","Uncomprehended Twilight",IF((Character!$B$14+IF(Character!$B$53="Yes",0,Character!$B$53)+IF(Magic!$C$5="Yes",2,0)+ROUNDUP((Magic!$B$30+IF(Magic!$C$30="Yes",3,0))/5,0)+S943)&gt;=($D$3+P943+SUMIF(Character!$I$62:$I$66,"Enigmatic Wisdom",Character!$J$62:$J$66)+Q943+U943),"No Twilight","Twilight")))</f>
        <v>No Twilight</v>
      </c>
      <c r="W943" s="483"/>
      <c r="X943" s="478"/>
      <c r="Y943" s="484"/>
      <c r="Z943" s="478"/>
      <c r="AA943" s="485" t="str">
        <f>IF(V943="Uncomprehended Twilight","Failed",IF(OR(ISBLANK(W943),ISBLANK(Y943))," ",IF(NOT(ISBLANK(X943)),"Failed",IF((W943+Character!$B$9+SUMIF(Character!$I$62:$I$66,"Enigmatic Wisdom",Character!$J$62:$J$66))&gt;=IF(Z943="Yes",0,(Y943+D938)),"Succeeded","Failed"))))</f>
        <v xml:space="preserve"> </v>
      </c>
      <c r="AB943" s="477" t="str">
        <f>IF(AA943=" "," ",IF(NOT(ISBLANK(X943)),VLOOKUP($D$3+X943,Calcs!$A$110:$C$122,3,TRUE),IF(AA943="Failed",VLOOKUP($D$3,Calcs!$A$110:$C$122,3,TRUE),VLOOKUP($D$3-(IF((Character!$B$9+W943)&gt;($D$3+Y943),(Character!$B$9+W943)-($D$3+Y943),0)),Calcs!$A$110:$C$122,3,TRUE))))</f>
        <v xml:space="preserve"> </v>
      </c>
      <c r="AC943" s="489"/>
      <c r="AD943" s="489" t="str">
        <f>IF(IF(AA943=" "," ",IF(NOT(ISBLANK(X943)),VLOOKUP($D$3+X943,Calcs!$A$110:$B$122,2,TRUE),IF(AA943="Failed",VLOOKUP($D$3,Calcs!$A$110:$B$122,2,TRUE),VLOOKUP($D$3-(IF((Character!$B$9+W943)&gt;($D$3+Y943),(Character!$B$9+W943)-($D$3+Y943),0)),Calcs!$A$110:$B$122,2,TRUE))))=Calcs!$B$120,IF(ISBLANK(AC943)," ",CONCATENATE(AC943+7," Years")),IF(AA943=" "," ",IF(NOT(ISBLANK(X943)),VLOOKUP($D$3+X943,Calcs!$A$110:$B$122,2,TRUE),IF(AA943="Failed",VLOOKUP($D$3,Calcs!$A$110:$B$122,2,TRUE),VLOOKUP($D$3-(IF((Character!$B$9+W943)&gt;($D$3+Y943),(Character!$B$9+W943)-($D$3+Y943),0)),Calcs!$A$110:$B$122,2,TRUE)))))</f>
        <v xml:space="preserve"> </v>
      </c>
      <c r="AE943" s="490"/>
      <c r="AF943" s="879"/>
      <c r="AG943" s="491"/>
    </row>
    <row r="944" spans="1:33" x14ac:dyDescent="0.2">
      <c r="A944" s="415">
        <f t="shared" si="28"/>
        <v>1446</v>
      </c>
      <c r="B944" s="419" t="str">
        <f t="shared" si="29"/>
        <v>Winter</v>
      </c>
      <c r="C944" s="455"/>
      <c r="D944" s="504"/>
      <c r="E944" s="455"/>
      <c r="F944" s="504"/>
      <c r="G944" s="455"/>
      <c r="H944" s="504"/>
      <c r="I944" s="455"/>
      <c r="J944" s="504"/>
      <c r="L944" s="472"/>
      <c r="M944" s="468"/>
      <c r="N944" s="468"/>
      <c r="O944" s="468"/>
      <c r="P944" s="468"/>
      <c r="Q944" s="473"/>
      <c r="R944" s="477" t="str">
        <f>IF(AND(COUNTIF('Start Character'!$I$63:$M$77,"Twilight Prone")=1,NOT(ISERROR(FIND("Magical Botch",M944)))),"Yes",IF(P944&gt;1,"Yes","No"))</f>
        <v>No</v>
      </c>
      <c r="S944" s="501"/>
      <c r="T944" s="478"/>
      <c r="U944" s="501"/>
      <c r="V944" s="479" t="str">
        <f>IF(R944="No","No Twilight",IF(T944="Yes","Uncomprehended Twilight",IF((Character!$B$14+IF(Character!$B$53="Yes",0,Character!$B$53)+IF(Magic!$C$5="Yes",2,0)+ROUNDUP((Magic!$B$30+IF(Magic!$C$30="Yes",3,0))/5,0)+S944)&gt;=($D$3+P944+SUMIF(Character!$I$62:$I$66,"Enigmatic Wisdom",Character!$J$62:$J$66)+Q944+U944),"No Twilight","Twilight")))</f>
        <v>No Twilight</v>
      </c>
      <c r="W944" s="483"/>
      <c r="X944" s="478"/>
      <c r="Y944" s="484"/>
      <c r="Z944" s="478"/>
      <c r="AA944" s="485" t="str">
        <f>IF(V944="Uncomprehended Twilight","Failed",IF(OR(ISBLANK(W944),ISBLANK(Y944))," ",IF(NOT(ISBLANK(X944)),"Failed",IF((W944+Character!$B$9+SUMIF(Character!$I$62:$I$66,"Enigmatic Wisdom",Character!$J$62:$J$66))&gt;=IF(Z944="Yes",0,(Y944+D939)),"Succeeded","Failed"))))</f>
        <v xml:space="preserve"> </v>
      </c>
      <c r="AB944" s="477" t="str">
        <f>IF(AA944=" "," ",IF(NOT(ISBLANK(X944)),VLOOKUP($D$3+X944,Calcs!$A$110:$C$122,3,TRUE),IF(AA944="Failed",VLOOKUP($D$3,Calcs!$A$110:$C$122,3,TRUE),VLOOKUP($D$3-(IF((Character!$B$9+W944)&gt;($D$3+Y944),(Character!$B$9+W944)-($D$3+Y944),0)),Calcs!$A$110:$C$122,3,TRUE))))</f>
        <v xml:space="preserve"> </v>
      </c>
      <c r="AC944" s="489"/>
      <c r="AD944" s="489" t="str">
        <f>IF(IF(AA944=" "," ",IF(NOT(ISBLANK(X944)),VLOOKUP($D$3+X944,Calcs!$A$110:$B$122,2,TRUE),IF(AA944="Failed",VLOOKUP($D$3,Calcs!$A$110:$B$122,2,TRUE),VLOOKUP($D$3-(IF((Character!$B$9+W944)&gt;($D$3+Y944),(Character!$B$9+W944)-($D$3+Y944),0)),Calcs!$A$110:$B$122,2,TRUE))))=Calcs!$B$120,IF(ISBLANK(AC944)," ",CONCATENATE(AC944+7," Years")),IF(AA944=" "," ",IF(NOT(ISBLANK(X944)),VLOOKUP($D$3+X944,Calcs!$A$110:$B$122,2,TRUE),IF(AA944="Failed",VLOOKUP($D$3,Calcs!$A$110:$B$122,2,TRUE),VLOOKUP($D$3-(IF((Character!$B$9+W944)&gt;($D$3+Y944),(Character!$B$9+W944)-($D$3+Y944),0)),Calcs!$A$110:$B$122,2,TRUE)))))</f>
        <v xml:space="preserve"> </v>
      </c>
      <c r="AE944" s="490"/>
      <c r="AF944" s="879"/>
      <c r="AG944" s="491"/>
    </row>
    <row r="945" spans="1:33" x14ac:dyDescent="0.2">
      <c r="A945" s="415">
        <f t="shared" si="28"/>
        <v>1446</v>
      </c>
      <c r="B945" s="419" t="str">
        <f t="shared" si="29"/>
        <v>Spring</v>
      </c>
      <c r="C945" s="455"/>
      <c r="D945" s="504"/>
      <c r="E945" s="455"/>
      <c r="F945" s="504"/>
      <c r="G945" s="455"/>
      <c r="H945" s="504"/>
      <c r="I945" s="455"/>
      <c r="J945" s="504"/>
      <c r="L945" s="472"/>
      <c r="M945" s="468"/>
      <c r="N945" s="468"/>
      <c r="O945" s="468"/>
      <c r="P945" s="468"/>
      <c r="Q945" s="473"/>
      <c r="R945" s="477" t="str">
        <f>IF(AND(COUNTIF('Start Character'!$I$63:$M$77,"Twilight Prone")=1,NOT(ISERROR(FIND("Magical Botch",M945)))),"Yes",IF(P945&gt;1,"Yes","No"))</f>
        <v>No</v>
      </c>
      <c r="S945" s="501"/>
      <c r="T945" s="478"/>
      <c r="U945" s="501"/>
      <c r="V945" s="479" t="str">
        <f>IF(R945="No","No Twilight",IF(T945="Yes","Uncomprehended Twilight",IF((Character!$B$14+IF(Character!$B$53="Yes",0,Character!$B$53)+IF(Magic!$C$5="Yes",2,0)+ROUNDUP((Magic!$B$30+IF(Magic!$C$30="Yes",3,0))/5,0)+S945)&gt;=($D$3+P945+SUMIF(Character!$I$62:$I$66,"Enigmatic Wisdom",Character!$J$62:$J$66)+Q945+U945),"No Twilight","Twilight")))</f>
        <v>No Twilight</v>
      </c>
      <c r="W945" s="483"/>
      <c r="X945" s="478"/>
      <c r="Y945" s="484"/>
      <c r="Z945" s="478"/>
      <c r="AA945" s="485" t="str">
        <f>IF(V945="Uncomprehended Twilight","Failed",IF(OR(ISBLANK(W945),ISBLANK(Y945))," ",IF(NOT(ISBLANK(X945)),"Failed",IF((W945+Character!$B$9+SUMIF(Character!$I$62:$I$66,"Enigmatic Wisdom",Character!$J$62:$J$66))&gt;=IF(Z945="Yes",0,(Y945+D940)),"Succeeded","Failed"))))</f>
        <v xml:space="preserve"> </v>
      </c>
      <c r="AB945" s="477" t="str">
        <f>IF(AA945=" "," ",IF(NOT(ISBLANK(X945)),VLOOKUP($D$3+X945,Calcs!$A$110:$C$122,3,TRUE),IF(AA945="Failed",VLOOKUP($D$3,Calcs!$A$110:$C$122,3,TRUE),VLOOKUP($D$3-(IF((Character!$B$9+W945)&gt;($D$3+Y945),(Character!$B$9+W945)-($D$3+Y945),0)),Calcs!$A$110:$C$122,3,TRUE))))</f>
        <v xml:space="preserve"> </v>
      </c>
      <c r="AC945" s="489"/>
      <c r="AD945" s="489" t="str">
        <f>IF(IF(AA945=" "," ",IF(NOT(ISBLANK(X945)),VLOOKUP($D$3+X945,Calcs!$A$110:$B$122,2,TRUE),IF(AA945="Failed",VLOOKUP($D$3,Calcs!$A$110:$B$122,2,TRUE),VLOOKUP($D$3-(IF((Character!$B$9+W945)&gt;($D$3+Y945),(Character!$B$9+W945)-($D$3+Y945),0)),Calcs!$A$110:$B$122,2,TRUE))))=Calcs!$B$120,IF(ISBLANK(AC945)," ",CONCATENATE(AC945+7," Years")),IF(AA945=" "," ",IF(NOT(ISBLANK(X945)),VLOOKUP($D$3+X945,Calcs!$A$110:$B$122,2,TRUE),IF(AA945="Failed",VLOOKUP($D$3,Calcs!$A$110:$B$122,2,TRUE),VLOOKUP($D$3-(IF((Character!$B$9+W945)&gt;($D$3+Y945),(Character!$B$9+W945)-($D$3+Y945),0)),Calcs!$A$110:$B$122,2,TRUE)))))</f>
        <v xml:space="preserve"> </v>
      </c>
      <c r="AE945" s="490"/>
      <c r="AF945" s="879"/>
      <c r="AG945" s="491"/>
    </row>
    <row r="946" spans="1:33" x14ac:dyDescent="0.2">
      <c r="A946" s="415">
        <f t="shared" si="28"/>
        <v>1446</v>
      </c>
      <c r="B946" s="419" t="str">
        <f t="shared" si="29"/>
        <v>Summer</v>
      </c>
      <c r="C946" s="455"/>
      <c r="D946" s="504"/>
      <c r="E946" s="455"/>
      <c r="F946" s="504"/>
      <c r="G946" s="455"/>
      <c r="H946" s="504"/>
      <c r="I946" s="455"/>
      <c r="J946" s="504"/>
      <c r="L946" s="472"/>
      <c r="M946" s="468"/>
      <c r="N946" s="468"/>
      <c r="O946" s="468"/>
      <c r="P946" s="468"/>
      <c r="Q946" s="473"/>
      <c r="R946" s="477" t="str">
        <f>IF(AND(COUNTIF('Start Character'!$I$63:$M$77,"Twilight Prone")=1,NOT(ISERROR(FIND("Magical Botch",M946)))),"Yes",IF(P946&gt;1,"Yes","No"))</f>
        <v>No</v>
      </c>
      <c r="S946" s="501"/>
      <c r="T946" s="478"/>
      <c r="U946" s="501"/>
      <c r="V946" s="479" t="str">
        <f>IF(R946="No","No Twilight",IF(T946="Yes","Uncomprehended Twilight",IF((Character!$B$14+IF(Character!$B$53="Yes",0,Character!$B$53)+IF(Magic!$C$5="Yes",2,0)+ROUNDUP((Magic!$B$30+IF(Magic!$C$30="Yes",3,0))/5,0)+S946)&gt;=($D$3+P946+SUMIF(Character!$I$62:$I$66,"Enigmatic Wisdom",Character!$J$62:$J$66)+Q946+U946),"No Twilight","Twilight")))</f>
        <v>No Twilight</v>
      </c>
      <c r="W946" s="483"/>
      <c r="X946" s="478"/>
      <c r="Y946" s="484"/>
      <c r="Z946" s="478"/>
      <c r="AA946" s="485" t="str">
        <f>IF(V946="Uncomprehended Twilight","Failed",IF(OR(ISBLANK(W946),ISBLANK(Y946))," ",IF(NOT(ISBLANK(X946)),"Failed",IF((W946+Character!$B$9+SUMIF(Character!$I$62:$I$66,"Enigmatic Wisdom",Character!$J$62:$J$66))&gt;=IF(Z946="Yes",0,(Y946+D941)),"Succeeded","Failed"))))</f>
        <v xml:space="preserve"> </v>
      </c>
      <c r="AB946" s="477" t="str">
        <f>IF(AA946=" "," ",IF(NOT(ISBLANK(X946)),VLOOKUP($D$3+X946,Calcs!$A$110:$C$122,3,TRUE),IF(AA946="Failed",VLOOKUP($D$3,Calcs!$A$110:$C$122,3,TRUE),VLOOKUP($D$3-(IF((Character!$B$9+W946)&gt;($D$3+Y946),(Character!$B$9+W946)-($D$3+Y946),0)),Calcs!$A$110:$C$122,3,TRUE))))</f>
        <v xml:space="preserve"> </v>
      </c>
      <c r="AC946" s="489"/>
      <c r="AD946" s="489" t="str">
        <f>IF(IF(AA946=" "," ",IF(NOT(ISBLANK(X946)),VLOOKUP($D$3+X946,Calcs!$A$110:$B$122,2,TRUE),IF(AA946="Failed",VLOOKUP($D$3,Calcs!$A$110:$B$122,2,TRUE),VLOOKUP($D$3-(IF((Character!$B$9+W946)&gt;($D$3+Y946),(Character!$B$9+W946)-($D$3+Y946),0)),Calcs!$A$110:$B$122,2,TRUE))))=Calcs!$B$120,IF(ISBLANK(AC946)," ",CONCATENATE(AC946+7," Years")),IF(AA946=" "," ",IF(NOT(ISBLANK(X946)),VLOOKUP($D$3+X946,Calcs!$A$110:$B$122,2,TRUE),IF(AA946="Failed",VLOOKUP($D$3,Calcs!$A$110:$B$122,2,TRUE),VLOOKUP($D$3-(IF((Character!$B$9+W946)&gt;($D$3+Y946),(Character!$B$9+W946)-($D$3+Y946),0)),Calcs!$A$110:$B$122,2,TRUE)))))</f>
        <v xml:space="preserve"> </v>
      </c>
      <c r="AE946" s="490"/>
      <c r="AF946" s="879"/>
      <c r="AG946" s="491"/>
    </row>
    <row r="947" spans="1:33" x14ac:dyDescent="0.2">
      <c r="A947" s="415">
        <f t="shared" si="28"/>
        <v>1446</v>
      </c>
      <c r="B947" s="419" t="str">
        <f t="shared" si="29"/>
        <v>Autumn</v>
      </c>
      <c r="C947" s="455"/>
      <c r="D947" s="504"/>
      <c r="E947" s="455"/>
      <c r="F947" s="504"/>
      <c r="G947" s="455"/>
      <c r="H947" s="504"/>
      <c r="I947" s="455"/>
      <c r="J947" s="504"/>
      <c r="L947" s="472"/>
      <c r="M947" s="468"/>
      <c r="N947" s="468"/>
      <c r="O947" s="468"/>
      <c r="P947" s="468"/>
      <c r="Q947" s="473"/>
      <c r="R947" s="477" t="str">
        <f>IF(AND(COUNTIF('Start Character'!$I$63:$M$77,"Twilight Prone")=1,NOT(ISERROR(FIND("Magical Botch",M947)))),"Yes",IF(P947&gt;1,"Yes","No"))</f>
        <v>No</v>
      </c>
      <c r="S947" s="501"/>
      <c r="T947" s="478"/>
      <c r="U947" s="501"/>
      <c r="V947" s="479" t="str">
        <f>IF(R947="No","No Twilight",IF(T947="Yes","Uncomprehended Twilight",IF((Character!$B$14+IF(Character!$B$53="Yes",0,Character!$B$53)+IF(Magic!$C$5="Yes",2,0)+ROUNDUP((Magic!$B$30+IF(Magic!$C$30="Yes",3,0))/5,0)+S947)&gt;=($D$3+P947+SUMIF(Character!$I$62:$I$66,"Enigmatic Wisdom",Character!$J$62:$J$66)+Q947+U947),"No Twilight","Twilight")))</f>
        <v>No Twilight</v>
      </c>
      <c r="W947" s="483"/>
      <c r="X947" s="478"/>
      <c r="Y947" s="484"/>
      <c r="Z947" s="478"/>
      <c r="AA947" s="485" t="str">
        <f>IF(V947="Uncomprehended Twilight","Failed",IF(OR(ISBLANK(W947),ISBLANK(Y947))," ",IF(NOT(ISBLANK(X947)),"Failed",IF((W947+Character!$B$9+SUMIF(Character!$I$62:$I$66,"Enigmatic Wisdom",Character!$J$62:$J$66))&gt;=IF(Z947="Yes",0,(Y947+D942)),"Succeeded","Failed"))))</f>
        <v xml:space="preserve"> </v>
      </c>
      <c r="AB947" s="477" t="str">
        <f>IF(AA947=" "," ",IF(NOT(ISBLANK(X947)),VLOOKUP($D$3+X947,Calcs!$A$110:$C$122,3,TRUE),IF(AA947="Failed",VLOOKUP($D$3,Calcs!$A$110:$C$122,3,TRUE),VLOOKUP($D$3-(IF((Character!$B$9+W947)&gt;($D$3+Y947),(Character!$B$9+W947)-($D$3+Y947),0)),Calcs!$A$110:$C$122,3,TRUE))))</f>
        <v xml:space="preserve"> </v>
      </c>
      <c r="AC947" s="489"/>
      <c r="AD947" s="489" t="str">
        <f>IF(IF(AA947=" "," ",IF(NOT(ISBLANK(X947)),VLOOKUP($D$3+X947,Calcs!$A$110:$B$122,2,TRUE),IF(AA947="Failed",VLOOKUP($D$3,Calcs!$A$110:$B$122,2,TRUE),VLOOKUP($D$3-(IF((Character!$B$9+W947)&gt;($D$3+Y947),(Character!$B$9+W947)-($D$3+Y947),0)),Calcs!$A$110:$B$122,2,TRUE))))=Calcs!$B$120,IF(ISBLANK(AC947)," ",CONCATENATE(AC947+7," Years")),IF(AA947=" "," ",IF(NOT(ISBLANK(X947)),VLOOKUP($D$3+X947,Calcs!$A$110:$B$122,2,TRUE),IF(AA947="Failed",VLOOKUP($D$3,Calcs!$A$110:$B$122,2,TRUE),VLOOKUP($D$3-(IF((Character!$B$9+W947)&gt;($D$3+Y947),(Character!$B$9+W947)-($D$3+Y947),0)),Calcs!$A$110:$B$122,2,TRUE)))))</f>
        <v xml:space="preserve"> </v>
      </c>
      <c r="AE947" s="490"/>
      <c r="AF947" s="879"/>
      <c r="AG947" s="491"/>
    </row>
    <row r="948" spans="1:33" x14ac:dyDescent="0.2">
      <c r="A948" s="415">
        <f t="shared" si="28"/>
        <v>1447</v>
      </c>
      <c r="B948" s="419" t="str">
        <f t="shared" si="29"/>
        <v>Winter</v>
      </c>
      <c r="C948" s="455"/>
      <c r="D948" s="504"/>
      <c r="E948" s="455"/>
      <c r="F948" s="504"/>
      <c r="G948" s="455"/>
      <c r="H948" s="504"/>
      <c r="I948" s="455"/>
      <c r="J948" s="504"/>
      <c r="L948" s="472"/>
      <c r="M948" s="468"/>
      <c r="N948" s="468"/>
      <c r="O948" s="468"/>
      <c r="P948" s="468"/>
      <c r="Q948" s="473"/>
      <c r="R948" s="477" t="str">
        <f>IF(AND(COUNTIF('Start Character'!$I$63:$M$77,"Twilight Prone")=1,NOT(ISERROR(FIND("Magical Botch",M948)))),"Yes",IF(P948&gt;1,"Yes","No"))</f>
        <v>No</v>
      </c>
      <c r="S948" s="501"/>
      <c r="T948" s="478"/>
      <c r="U948" s="501"/>
      <c r="V948" s="479" t="str">
        <f>IF(R948="No","No Twilight",IF(T948="Yes","Uncomprehended Twilight",IF((Character!$B$14+IF(Character!$B$53="Yes",0,Character!$B$53)+IF(Magic!$C$5="Yes",2,0)+ROUNDUP((Magic!$B$30+IF(Magic!$C$30="Yes",3,0))/5,0)+S948)&gt;=($D$3+P948+SUMIF(Character!$I$62:$I$66,"Enigmatic Wisdom",Character!$J$62:$J$66)+Q948+U948),"No Twilight","Twilight")))</f>
        <v>No Twilight</v>
      </c>
      <c r="W948" s="483"/>
      <c r="X948" s="478"/>
      <c r="Y948" s="484"/>
      <c r="Z948" s="478"/>
      <c r="AA948" s="485" t="str">
        <f>IF(V948="Uncomprehended Twilight","Failed",IF(OR(ISBLANK(W948),ISBLANK(Y948))," ",IF(NOT(ISBLANK(X948)),"Failed",IF((W948+Character!$B$9+SUMIF(Character!$I$62:$I$66,"Enigmatic Wisdom",Character!$J$62:$J$66))&gt;=IF(Z948="Yes",0,(Y948+D943)),"Succeeded","Failed"))))</f>
        <v xml:space="preserve"> </v>
      </c>
      <c r="AB948" s="477" t="str">
        <f>IF(AA948=" "," ",IF(NOT(ISBLANK(X948)),VLOOKUP($D$3+X948,Calcs!$A$110:$C$122,3,TRUE),IF(AA948="Failed",VLOOKUP($D$3,Calcs!$A$110:$C$122,3,TRUE),VLOOKUP($D$3-(IF((Character!$B$9+W948)&gt;($D$3+Y948),(Character!$B$9+W948)-($D$3+Y948),0)),Calcs!$A$110:$C$122,3,TRUE))))</f>
        <v xml:space="preserve"> </v>
      </c>
      <c r="AC948" s="489"/>
      <c r="AD948" s="489" t="str">
        <f>IF(IF(AA948=" "," ",IF(NOT(ISBLANK(X948)),VLOOKUP($D$3+X948,Calcs!$A$110:$B$122,2,TRUE),IF(AA948="Failed",VLOOKUP($D$3,Calcs!$A$110:$B$122,2,TRUE),VLOOKUP($D$3-(IF((Character!$B$9+W948)&gt;($D$3+Y948),(Character!$B$9+W948)-($D$3+Y948),0)),Calcs!$A$110:$B$122,2,TRUE))))=Calcs!$B$120,IF(ISBLANK(AC948)," ",CONCATENATE(AC948+7," Years")),IF(AA948=" "," ",IF(NOT(ISBLANK(X948)),VLOOKUP($D$3+X948,Calcs!$A$110:$B$122,2,TRUE),IF(AA948="Failed",VLOOKUP($D$3,Calcs!$A$110:$B$122,2,TRUE),VLOOKUP($D$3-(IF((Character!$B$9+W948)&gt;($D$3+Y948),(Character!$B$9+W948)-($D$3+Y948),0)),Calcs!$A$110:$B$122,2,TRUE)))))</f>
        <v xml:space="preserve"> </v>
      </c>
      <c r="AE948" s="490"/>
      <c r="AF948" s="879"/>
      <c r="AG948" s="491"/>
    </row>
    <row r="949" spans="1:33" x14ac:dyDescent="0.2">
      <c r="A949" s="415">
        <f t="shared" si="28"/>
        <v>1447</v>
      </c>
      <c r="B949" s="419" t="str">
        <f t="shared" si="29"/>
        <v>Spring</v>
      </c>
      <c r="C949" s="455"/>
      <c r="D949" s="504"/>
      <c r="E949" s="455"/>
      <c r="F949" s="504"/>
      <c r="G949" s="455"/>
      <c r="H949" s="504"/>
      <c r="I949" s="455"/>
      <c r="J949" s="504"/>
      <c r="L949" s="472"/>
      <c r="M949" s="468"/>
      <c r="N949" s="468"/>
      <c r="O949" s="468"/>
      <c r="P949" s="468"/>
      <c r="Q949" s="473"/>
      <c r="R949" s="477" t="str">
        <f>IF(AND(COUNTIF('Start Character'!$I$63:$M$77,"Twilight Prone")=1,NOT(ISERROR(FIND("Magical Botch",M949)))),"Yes",IF(P949&gt;1,"Yes","No"))</f>
        <v>No</v>
      </c>
      <c r="S949" s="501"/>
      <c r="T949" s="478"/>
      <c r="U949" s="501"/>
      <c r="V949" s="479" t="str">
        <f>IF(R949="No","No Twilight",IF(T949="Yes","Uncomprehended Twilight",IF((Character!$B$14+IF(Character!$B$53="Yes",0,Character!$B$53)+IF(Magic!$C$5="Yes",2,0)+ROUNDUP((Magic!$B$30+IF(Magic!$C$30="Yes",3,0))/5,0)+S949)&gt;=($D$3+P949+SUMIF(Character!$I$62:$I$66,"Enigmatic Wisdom",Character!$J$62:$J$66)+Q949+U949),"No Twilight","Twilight")))</f>
        <v>No Twilight</v>
      </c>
      <c r="W949" s="483"/>
      <c r="X949" s="478"/>
      <c r="Y949" s="484"/>
      <c r="Z949" s="478"/>
      <c r="AA949" s="485" t="str">
        <f>IF(V949="Uncomprehended Twilight","Failed",IF(OR(ISBLANK(W949),ISBLANK(Y949))," ",IF(NOT(ISBLANK(X949)),"Failed",IF((W949+Character!$B$9+SUMIF(Character!$I$62:$I$66,"Enigmatic Wisdom",Character!$J$62:$J$66))&gt;=IF(Z949="Yes",0,(Y949+D944)),"Succeeded","Failed"))))</f>
        <v xml:space="preserve"> </v>
      </c>
      <c r="AB949" s="477" t="str">
        <f>IF(AA949=" "," ",IF(NOT(ISBLANK(X949)),VLOOKUP($D$3+X949,Calcs!$A$110:$C$122,3,TRUE),IF(AA949="Failed",VLOOKUP($D$3,Calcs!$A$110:$C$122,3,TRUE),VLOOKUP($D$3-(IF((Character!$B$9+W949)&gt;($D$3+Y949),(Character!$B$9+W949)-($D$3+Y949),0)),Calcs!$A$110:$C$122,3,TRUE))))</f>
        <v xml:space="preserve"> </v>
      </c>
      <c r="AC949" s="489"/>
      <c r="AD949" s="489" t="str">
        <f>IF(IF(AA949=" "," ",IF(NOT(ISBLANK(X949)),VLOOKUP($D$3+X949,Calcs!$A$110:$B$122,2,TRUE),IF(AA949="Failed",VLOOKUP($D$3,Calcs!$A$110:$B$122,2,TRUE),VLOOKUP($D$3-(IF((Character!$B$9+W949)&gt;($D$3+Y949),(Character!$B$9+W949)-($D$3+Y949),0)),Calcs!$A$110:$B$122,2,TRUE))))=Calcs!$B$120,IF(ISBLANK(AC949)," ",CONCATENATE(AC949+7," Years")),IF(AA949=" "," ",IF(NOT(ISBLANK(X949)),VLOOKUP($D$3+X949,Calcs!$A$110:$B$122,2,TRUE),IF(AA949="Failed",VLOOKUP($D$3,Calcs!$A$110:$B$122,2,TRUE),VLOOKUP($D$3-(IF((Character!$B$9+W949)&gt;($D$3+Y949),(Character!$B$9+W949)-($D$3+Y949),0)),Calcs!$A$110:$B$122,2,TRUE)))))</f>
        <v xml:space="preserve"> </v>
      </c>
      <c r="AE949" s="490"/>
      <c r="AF949" s="879"/>
      <c r="AG949" s="491"/>
    </row>
    <row r="950" spans="1:33" x14ac:dyDescent="0.2">
      <c r="A950" s="415">
        <f t="shared" si="28"/>
        <v>1447</v>
      </c>
      <c r="B950" s="419" t="str">
        <f t="shared" si="29"/>
        <v>Summer</v>
      </c>
      <c r="C950" s="455"/>
      <c r="D950" s="504"/>
      <c r="E950" s="455"/>
      <c r="F950" s="504"/>
      <c r="G950" s="455"/>
      <c r="H950" s="504"/>
      <c r="I950" s="455"/>
      <c r="J950" s="504"/>
      <c r="L950" s="472"/>
      <c r="M950" s="468"/>
      <c r="N950" s="468"/>
      <c r="O950" s="468"/>
      <c r="P950" s="468"/>
      <c r="Q950" s="473"/>
      <c r="R950" s="477" t="str">
        <f>IF(AND(COUNTIF('Start Character'!$I$63:$M$77,"Twilight Prone")=1,NOT(ISERROR(FIND("Magical Botch",M950)))),"Yes",IF(P950&gt;1,"Yes","No"))</f>
        <v>No</v>
      </c>
      <c r="S950" s="501"/>
      <c r="T950" s="478"/>
      <c r="U950" s="501"/>
      <c r="V950" s="479" t="str">
        <f>IF(R950="No","No Twilight",IF(T950="Yes","Uncomprehended Twilight",IF((Character!$B$14+IF(Character!$B$53="Yes",0,Character!$B$53)+IF(Magic!$C$5="Yes",2,0)+ROUNDUP((Magic!$B$30+IF(Magic!$C$30="Yes",3,0))/5,0)+S950)&gt;=($D$3+P950+SUMIF(Character!$I$62:$I$66,"Enigmatic Wisdom",Character!$J$62:$J$66)+Q950+U950),"No Twilight","Twilight")))</f>
        <v>No Twilight</v>
      </c>
      <c r="W950" s="483"/>
      <c r="X950" s="478"/>
      <c r="Y950" s="484"/>
      <c r="Z950" s="478"/>
      <c r="AA950" s="485" t="str">
        <f>IF(V950="Uncomprehended Twilight","Failed",IF(OR(ISBLANK(W950),ISBLANK(Y950))," ",IF(NOT(ISBLANK(X950)),"Failed",IF((W950+Character!$B$9+SUMIF(Character!$I$62:$I$66,"Enigmatic Wisdom",Character!$J$62:$J$66))&gt;=IF(Z950="Yes",0,(Y950+D945)),"Succeeded","Failed"))))</f>
        <v xml:space="preserve"> </v>
      </c>
      <c r="AB950" s="477" t="str">
        <f>IF(AA950=" "," ",IF(NOT(ISBLANK(X950)),VLOOKUP($D$3+X950,Calcs!$A$110:$C$122,3,TRUE),IF(AA950="Failed",VLOOKUP($D$3,Calcs!$A$110:$C$122,3,TRUE),VLOOKUP($D$3-(IF((Character!$B$9+W950)&gt;($D$3+Y950),(Character!$B$9+W950)-($D$3+Y950),0)),Calcs!$A$110:$C$122,3,TRUE))))</f>
        <v xml:space="preserve"> </v>
      </c>
      <c r="AC950" s="489"/>
      <c r="AD950" s="489" t="str">
        <f>IF(IF(AA950=" "," ",IF(NOT(ISBLANK(X950)),VLOOKUP($D$3+X950,Calcs!$A$110:$B$122,2,TRUE),IF(AA950="Failed",VLOOKUP($D$3,Calcs!$A$110:$B$122,2,TRUE),VLOOKUP($D$3-(IF((Character!$B$9+W950)&gt;($D$3+Y950),(Character!$B$9+W950)-($D$3+Y950),0)),Calcs!$A$110:$B$122,2,TRUE))))=Calcs!$B$120,IF(ISBLANK(AC950)," ",CONCATENATE(AC950+7," Years")),IF(AA950=" "," ",IF(NOT(ISBLANK(X950)),VLOOKUP($D$3+X950,Calcs!$A$110:$B$122,2,TRUE),IF(AA950="Failed",VLOOKUP($D$3,Calcs!$A$110:$B$122,2,TRUE),VLOOKUP($D$3-(IF((Character!$B$9+W950)&gt;($D$3+Y950),(Character!$B$9+W950)-($D$3+Y950),0)),Calcs!$A$110:$B$122,2,TRUE)))))</f>
        <v xml:space="preserve"> </v>
      </c>
      <c r="AE950" s="490"/>
      <c r="AF950" s="879"/>
      <c r="AG950" s="491"/>
    </row>
    <row r="951" spans="1:33" x14ac:dyDescent="0.2">
      <c r="A951" s="415">
        <f t="shared" si="28"/>
        <v>1447</v>
      </c>
      <c r="B951" s="419" t="str">
        <f t="shared" si="29"/>
        <v>Autumn</v>
      </c>
      <c r="C951" s="455"/>
      <c r="D951" s="504"/>
      <c r="E951" s="455"/>
      <c r="F951" s="504"/>
      <c r="G951" s="455"/>
      <c r="H951" s="504"/>
      <c r="I951" s="455"/>
      <c r="J951" s="504"/>
      <c r="L951" s="472"/>
      <c r="M951" s="468"/>
      <c r="N951" s="468"/>
      <c r="O951" s="468"/>
      <c r="P951" s="468"/>
      <c r="Q951" s="473"/>
      <c r="R951" s="477" t="str">
        <f>IF(AND(COUNTIF('Start Character'!$I$63:$M$77,"Twilight Prone")=1,NOT(ISERROR(FIND("Magical Botch",M951)))),"Yes",IF(P951&gt;1,"Yes","No"))</f>
        <v>No</v>
      </c>
      <c r="S951" s="501"/>
      <c r="T951" s="478"/>
      <c r="U951" s="501"/>
      <c r="V951" s="479" t="str">
        <f>IF(R951="No","No Twilight",IF(T951="Yes","Uncomprehended Twilight",IF((Character!$B$14+IF(Character!$B$53="Yes",0,Character!$B$53)+IF(Magic!$C$5="Yes",2,0)+ROUNDUP((Magic!$B$30+IF(Magic!$C$30="Yes",3,0))/5,0)+S951)&gt;=($D$3+P951+SUMIF(Character!$I$62:$I$66,"Enigmatic Wisdom",Character!$J$62:$J$66)+Q951+U951),"No Twilight","Twilight")))</f>
        <v>No Twilight</v>
      </c>
      <c r="W951" s="483"/>
      <c r="X951" s="478"/>
      <c r="Y951" s="484"/>
      <c r="Z951" s="478"/>
      <c r="AA951" s="485" t="str">
        <f>IF(V951="Uncomprehended Twilight","Failed",IF(OR(ISBLANK(W951),ISBLANK(Y951))," ",IF(NOT(ISBLANK(X951)),"Failed",IF((W951+Character!$B$9+SUMIF(Character!$I$62:$I$66,"Enigmatic Wisdom",Character!$J$62:$J$66))&gt;=IF(Z951="Yes",0,(Y951+D946)),"Succeeded","Failed"))))</f>
        <v xml:space="preserve"> </v>
      </c>
      <c r="AB951" s="477" t="str">
        <f>IF(AA951=" "," ",IF(NOT(ISBLANK(X951)),VLOOKUP($D$3+X951,Calcs!$A$110:$C$122,3,TRUE),IF(AA951="Failed",VLOOKUP($D$3,Calcs!$A$110:$C$122,3,TRUE),VLOOKUP($D$3-(IF((Character!$B$9+W951)&gt;($D$3+Y951),(Character!$B$9+W951)-($D$3+Y951),0)),Calcs!$A$110:$C$122,3,TRUE))))</f>
        <v xml:space="preserve"> </v>
      </c>
      <c r="AC951" s="489"/>
      <c r="AD951" s="489" t="str">
        <f>IF(IF(AA951=" "," ",IF(NOT(ISBLANK(X951)),VLOOKUP($D$3+X951,Calcs!$A$110:$B$122,2,TRUE),IF(AA951="Failed",VLOOKUP($D$3,Calcs!$A$110:$B$122,2,TRUE),VLOOKUP($D$3-(IF((Character!$B$9+W951)&gt;($D$3+Y951),(Character!$B$9+W951)-($D$3+Y951),0)),Calcs!$A$110:$B$122,2,TRUE))))=Calcs!$B$120,IF(ISBLANK(AC951)," ",CONCATENATE(AC951+7," Years")),IF(AA951=" "," ",IF(NOT(ISBLANK(X951)),VLOOKUP($D$3+X951,Calcs!$A$110:$B$122,2,TRUE),IF(AA951="Failed",VLOOKUP($D$3,Calcs!$A$110:$B$122,2,TRUE),VLOOKUP($D$3-(IF((Character!$B$9+W951)&gt;($D$3+Y951),(Character!$B$9+W951)-($D$3+Y951),0)),Calcs!$A$110:$B$122,2,TRUE)))))</f>
        <v xml:space="preserve"> </v>
      </c>
      <c r="AE951" s="490"/>
      <c r="AF951" s="879"/>
      <c r="AG951" s="491"/>
    </row>
    <row r="952" spans="1:33" x14ac:dyDescent="0.2">
      <c r="A952" s="415">
        <f t="shared" si="28"/>
        <v>1448</v>
      </c>
      <c r="B952" s="419" t="str">
        <f t="shared" si="29"/>
        <v>Winter</v>
      </c>
      <c r="C952" s="455"/>
      <c r="D952" s="504"/>
      <c r="E952" s="455"/>
      <c r="F952" s="504"/>
      <c r="G952" s="455"/>
      <c r="H952" s="504"/>
      <c r="I952" s="455"/>
      <c r="J952" s="504"/>
      <c r="L952" s="472"/>
      <c r="M952" s="468"/>
      <c r="N952" s="468"/>
      <c r="O952" s="468"/>
      <c r="P952" s="468"/>
      <c r="Q952" s="473"/>
      <c r="R952" s="477" t="str">
        <f>IF(AND(COUNTIF('Start Character'!$I$63:$M$77,"Twilight Prone")=1,NOT(ISERROR(FIND("Magical Botch",M952)))),"Yes",IF(P952&gt;1,"Yes","No"))</f>
        <v>No</v>
      </c>
      <c r="S952" s="501"/>
      <c r="T952" s="478"/>
      <c r="U952" s="501"/>
      <c r="V952" s="479" t="str">
        <f>IF(R952="No","No Twilight",IF(T952="Yes","Uncomprehended Twilight",IF((Character!$B$14+IF(Character!$B$53="Yes",0,Character!$B$53)+IF(Magic!$C$5="Yes",2,0)+ROUNDUP((Magic!$B$30+IF(Magic!$C$30="Yes",3,0))/5,0)+S952)&gt;=($D$3+P952+SUMIF(Character!$I$62:$I$66,"Enigmatic Wisdom",Character!$J$62:$J$66)+Q952+U952),"No Twilight","Twilight")))</f>
        <v>No Twilight</v>
      </c>
      <c r="W952" s="483"/>
      <c r="X952" s="478"/>
      <c r="Y952" s="484"/>
      <c r="Z952" s="478"/>
      <c r="AA952" s="485" t="str">
        <f>IF(V952="Uncomprehended Twilight","Failed",IF(OR(ISBLANK(W952),ISBLANK(Y952))," ",IF(NOT(ISBLANK(X952)),"Failed",IF((W952+Character!$B$9+SUMIF(Character!$I$62:$I$66,"Enigmatic Wisdom",Character!$J$62:$J$66))&gt;=IF(Z952="Yes",0,(Y952+D947)),"Succeeded","Failed"))))</f>
        <v xml:space="preserve"> </v>
      </c>
      <c r="AB952" s="477" t="str">
        <f>IF(AA952=" "," ",IF(NOT(ISBLANK(X952)),VLOOKUP($D$3+X952,Calcs!$A$110:$C$122,3,TRUE),IF(AA952="Failed",VLOOKUP($D$3,Calcs!$A$110:$C$122,3,TRUE),VLOOKUP($D$3-(IF((Character!$B$9+W952)&gt;($D$3+Y952),(Character!$B$9+W952)-($D$3+Y952),0)),Calcs!$A$110:$C$122,3,TRUE))))</f>
        <v xml:space="preserve"> </v>
      </c>
      <c r="AC952" s="489"/>
      <c r="AD952" s="489" t="str">
        <f>IF(IF(AA952=" "," ",IF(NOT(ISBLANK(X952)),VLOOKUP($D$3+X952,Calcs!$A$110:$B$122,2,TRUE),IF(AA952="Failed",VLOOKUP($D$3,Calcs!$A$110:$B$122,2,TRUE),VLOOKUP($D$3-(IF((Character!$B$9+W952)&gt;($D$3+Y952),(Character!$B$9+W952)-($D$3+Y952),0)),Calcs!$A$110:$B$122,2,TRUE))))=Calcs!$B$120,IF(ISBLANK(AC952)," ",CONCATENATE(AC952+7," Years")),IF(AA952=" "," ",IF(NOT(ISBLANK(X952)),VLOOKUP($D$3+X952,Calcs!$A$110:$B$122,2,TRUE),IF(AA952="Failed",VLOOKUP($D$3,Calcs!$A$110:$B$122,2,TRUE),VLOOKUP($D$3-(IF((Character!$B$9+W952)&gt;($D$3+Y952),(Character!$B$9+W952)-($D$3+Y952),0)),Calcs!$A$110:$B$122,2,TRUE)))))</f>
        <v xml:space="preserve"> </v>
      </c>
      <c r="AE952" s="490"/>
      <c r="AF952" s="879"/>
      <c r="AG952" s="491"/>
    </row>
    <row r="953" spans="1:33" x14ac:dyDescent="0.2">
      <c r="A953" s="415">
        <f t="shared" si="28"/>
        <v>1448</v>
      </c>
      <c r="B953" s="419" t="str">
        <f t="shared" si="29"/>
        <v>Spring</v>
      </c>
      <c r="C953" s="455"/>
      <c r="D953" s="504"/>
      <c r="E953" s="455"/>
      <c r="F953" s="504"/>
      <c r="G953" s="455"/>
      <c r="H953" s="504"/>
      <c r="I953" s="455"/>
      <c r="J953" s="504"/>
      <c r="L953" s="472"/>
      <c r="M953" s="468"/>
      <c r="N953" s="468"/>
      <c r="O953" s="468"/>
      <c r="P953" s="468"/>
      <c r="Q953" s="473"/>
      <c r="R953" s="477" t="str">
        <f>IF(AND(COUNTIF('Start Character'!$I$63:$M$77,"Twilight Prone")=1,NOT(ISERROR(FIND("Magical Botch",M953)))),"Yes",IF(P953&gt;1,"Yes","No"))</f>
        <v>No</v>
      </c>
      <c r="S953" s="501"/>
      <c r="T953" s="478"/>
      <c r="U953" s="501"/>
      <c r="V953" s="479" t="str">
        <f>IF(R953="No","No Twilight",IF(T953="Yes","Uncomprehended Twilight",IF((Character!$B$14+IF(Character!$B$53="Yes",0,Character!$B$53)+IF(Magic!$C$5="Yes",2,0)+ROUNDUP((Magic!$B$30+IF(Magic!$C$30="Yes",3,0))/5,0)+S953)&gt;=($D$3+P953+SUMIF(Character!$I$62:$I$66,"Enigmatic Wisdom",Character!$J$62:$J$66)+Q953+U953),"No Twilight","Twilight")))</f>
        <v>No Twilight</v>
      </c>
      <c r="W953" s="483"/>
      <c r="X953" s="478"/>
      <c r="Y953" s="484"/>
      <c r="Z953" s="478"/>
      <c r="AA953" s="485" t="str">
        <f>IF(V953="Uncomprehended Twilight","Failed",IF(OR(ISBLANK(W953),ISBLANK(Y953))," ",IF(NOT(ISBLANK(X953)),"Failed",IF((W953+Character!$B$9+SUMIF(Character!$I$62:$I$66,"Enigmatic Wisdom",Character!$J$62:$J$66))&gt;=IF(Z953="Yes",0,(Y953+D948)),"Succeeded","Failed"))))</f>
        <v xml:space="preserve"> </v>
      </c>
      <c r="AB953" s="477" t="str">
        <f>IF(AA953=" "," ",IF(NOT(ISBLANK(X953)),VLOOKUP($D$3+X953,Calcs!$A$110:$C$122,3,TRUE),IF(AA953="Failed",VLOOKUP($D$3,Calcs!$A$110:$C$122,3,TRUE),VLOOKUP($D$3-(IF((Character!$B$9+W953)&gt;($D$3+Y953),(Character!$B$9+W953)-($D$3+Y953),0)),Calcs!$A$110:$C$122,3,TRUE))))</f>
        <v xml:space="preserve"> </v>
      </c>
      <c r="AC953" s="489"/>
      <c r="AD953" s="489" t="str">
        <f>IF(IF(AA953=" "," ",IF(NOT(ISBLANK(X953)),VLOOKUP($D$3+X953,Calcs!$A$110:$B$122,2,TRUE),IF(AA953="Failed",VLOOKUP($D$3,Calcs!$A$110:$B$122,2,TRUE),VLOOKUP($D$3-(IF((Character!$B$9+W953)&gt;($D$3+Y953),(Character!$B$9+W953)-($D$3+Y953),0)),Calcs!$A$110:$B$122,2,TRUE))))=Calcs!$B$120,IF(ISBLANK(AC953)," ",CONCATENATE(AC953+7," Years")),IF(AA953=" "," ",IF(NOT(ISBLANK(X953)),VLOOKUP($D$3+X953,Calcs!$A$110:$B$122,2,TRUE),IF(AA953="Failed",VLOOKUP($D$3,Calcs!$A$110:$B$122,2,TRUE),VLOOKUP($D$3-(IF((Character!$B$9+W953)&gt;($D$3+Y953),(Character!$B$9+W953)-($D$3+Y953),0)),Calcs!$A$110:$B$122,2,TRUE)))))</f>
        <v xml:space="preserve"> </v>
      </c>
      <c r="AE953" s="490"/>
      <c r="AF953" s="879"/>
      <c r="AG953" s="491"/>
    </row>
    <row r="954" spans="1:33" x14ac:dyDescent="0.2">
      <c r="A954" s="415">
        <f t="shared" si="28"/>
        <v>1448</v>
      </c>
      <c r="B954" s="419" t="str">
        <f t="shared" si="29"/>
        <v>Summer</v>
      </c>
      <c r="C954" s="455"/>
      <c r="D954" s="504"/>
      <c r="E954" s="455"/>
      <c r="F954" s="504"/>
      <c r="G954" s="455"/>
      <c r="H954" s="504"/>
      <c r="I954" s="455"/>
      <c r="J954" s="504"/>
      <c r="L954" s="472"/>
      <c r="M954" s="468"/>
      <c r="N954" s="468"/>
      <c r="O954" s="468"/>
      <c r="P954" s="468"/>
      <c r="Q954" s="473"/>
      <c r="R954" s="477" t="str">
        <f>IF(AND(COUNTIF('Start Character'!$I$63:$M$77,"Twilight Prone")=1,NOT(ISERROR(FIND("Magical Botch",M954)))),"Yes",IF(P954&gt;1,"Yes","No"))</f>
        <v>No</v>
      </c>
      <c r="S954" s="501"/>
      <c r="T954" s="478"/>
      <c r="U954" s="501"/>
      <c r="V954" s="479" t="str">
        <f>IF(R954="No","No Twilight",IF(T954="Yes","Uncomprehended Twilight",IF((Character!$B$14+IF(Character!$B$53="Yes",0,Character!$B$53)+IF(Magic!$C$5="Yes",2,0)+ROUNDUP((Magic!$B$30+IF(Magic!$C$30="Yes",3,0))/5,0)+S954)&gt;=($D$3+P954+SUMIF(Character!$I$62:$I$66,"Enigmatic Wisdom",Character!$J$62:$J$66)+Q954+U954),"No Twilight","Twilight")))</f>
        <v>No Twilight</v>
      </c>
      <c r="W954" s="483"/>
      <c r="X954" s="478"/>
      <c r="Y954" s="484"/>
      <c r="Z954" s="478"/>
      <c r="AA954" s="485" t="str">
        <f>IF(V954="Uncomprehended Twilight","Failed",IF(OR(ISBLANK(W954),ISBLANK(Y954))," ",IF(NOT(ISBLANK(X954)),"Failed",IF((W954+Character!$B$9+SUMIF(Character!$I$62:$I$66,"Enigmatic Wisdom",Character!$J$62:$J$66))&gt;=IF(Z954="Yes",0,(Y954+D949)),"Succeeded","Failed"))))</f>
        <v xml:space="preserve"> </v>
      </c>
      <c r="AB954" s="477" t="str">
        <f>IF(AA954=" "," ",IF(NOT(ISBLANK(X954)),VLOOKUP($D$3+X954,Calcs!$A$110:$C$122,3,TRUE),IF(AA954="Failed",VLOOKUP($D$3,Calcs!$A$110:$C$122,3,TRUE),VLOOKUP($D$3-(IF((Character!$B$9+W954)&gt;($D$3+Y954),(Character!$B$9+W954)-($D$3+Y954),0)),Calcs!$A$110:$C$122,3,TRUE))))</f>
        <v xml:space="preserve"> </v>
      </c>
      <c r="AC954" s="489"/>
      <c r="AD954" s="489" t="str">
        <f>IF(IF(AA954=" "," ",IF(NOT(ISBLANK(X954)),VLOOKUP($D$3+X954,Calcs!$A$110:$B$122,2,TRUE),IF(AA954="Failed",VLOOKUP($D$3,Calcs!$A$110:$B$122,2,TRUE),VLOOKUP($D$3-(IF((Character!$B$9+W954)&gt;($D$3+Y954),(Character!$B$9+W954)-($D$3+Y954),0)),Calcs!$A$110:$B$122,2,TRUE))))=Calcs!$B$120,IF(ISBLANK(AC954)," ",CONCATENATE(AC954+7," Years")),IF(AA954=" "," ",IF(NOT(ISBLANK(X954)),VLOOKUP($D$3+X954,Calcs!$A$110:$B$122,2,TRUE),IF(AA954="Failed",VLOOKUP($D$3,Calcs!$A$110:$B$122,2,TRUE),VLOOKUP($D$3-(IF((Character!$B$9+W954)&gt;($D$3+Y954),(Character!$B$9+W954)-($D$3+Y954),0)),Calcs!$A$110:$B$122,2,TRUE)))))</f>
        <v xml:space="preserve"> </v>
      </c>
      <c r="AE954" s="490"/>
      <c r="AF954" s="879"/>
      <c r="AG954" s="491"/>
    </row>
    <row r="955" spans="1:33" x14ac:dyDescent="0.2">
      <c r="A955" s="415">
        <f t="shared" si="28"/>
        <v>1448</v>
      </c>
      <c r="B955" s="419" t="str">
        <f t="shared" si="29"/>
        <v>Autumn</v>
      </c>
      <c r="C955" s="455"/>
      <c r="D955" s="504"/>
      <c r="E955" s="455"/>
      <c r="F955" s="504"/>
      <c r="G955" s="455"/>
      <c r="H955" s="504"/>
      <c r="I955" s="455"/>
      <c r="J955" s="504"/>
      <c r="L955" s="472"/>
      <c r="M955" s="468"/>
      <c r="N955" s="468"/>
      <c r="O955" s="468"/>
      <c r="P955" s="468"/>
      <c r="Q955" s="473"/>
      <c r="R955" s="477" t="str">
        <f>IF(AND(COUNTIF('Start Character'!$I$63:$M$77,"Twilight Prone")=1,NOT(ISERROR(FIND("Magical Botch",M955)))),"Yes",IF(P955&gt;1,"Yes","No"))</f>
        <v>No</v>
      </c>
      <c r="S955" s="501"/>
      <c r="T955" s="478"/>
      <c r="U955" s="501"/>
      <c r="V955" s="479" t="str">
        <f>IF(R955="No","No Twilight",IF(T955="Yes","Uncomprehended Twilight",IF((Character!$B$14+IF(Character!$B$53="Yes",0,Character!$B$53)+IF(Magic!$C$5="Yes",2,0)+ROUNDUP((Magic!$B$30+IF(Magic!$C$30="Yes",3,0))/5,0)+S955)&gt;=($D$3+P955+SUMIF(Character!$I$62:$I$66,"Enigmatic Wisdom",Character!$J$62:$J$66)+Q955+U955),"No Twilight","Twilight")))</f>
        <v>No Twilight</v>
      </c>
      <c r="W955" s="483"/>
      <c r="X955" s="478"/>
      <c r="Y955" s="484"/>
      <c r="Z955" s="478"/>
      <c r="AA955" s="485" t="str">
        <f>IF(V955="Uncomprehended Twilight","Failed",IF(OR(ISBLANK(W955),ISBLANK(Y955))," ",IF(NOT(ISBLANK(X955)),"Failed",IF((W955+Character!$B$9+SUMIF(Character!$I$62:$I$66,"Enigmatic Wisdom",Character!$J$62:$J$66))&gt;=IF(Z955="Yes",0,(Y955+D950)),"Succeeded","Failed"))))</f>
        <v xml:space="preserve"> </v>
      </c>
      <c r="AB955" s="477" t="str">
        <f>IF(AA955=" "," ",IF(NOT(ISBLANK(X955)),VLOOKUP($D$3+X955,Calcs!$A$110:$C$122,3,TRUE),IF(AA955="Failed",VLOOKUP($D$3,Calcs!$A$110:$C$122,3,TRUE),VLOOKUP($D$3-(IF((Character!$B$9+W955)&gt;($D$3+Y955),(Character!$B$9+W955)-($D$3+Y955),0)),Calcs!$A$110:$C$122,3,TRUE))))</f>
        <v xml:space="preserve"> </v>
      </c>
      <c r="AC955" s="489"/>
      <c r="AD955" s="489" t="str">
        <f>IF(IF(AA955=" "," ",IF(NOT(ISBLANK(X955)),VLOOKUP($D$3+X955,Calcs!$A$110:$B$122,2,TRUE),IF(AA955="Failed",VLOOKUP($D$3,Calcs!$A$110:$B$122,2,TRUE),VLOOKUP($D$3-(IF((Character!$B$9+W955)&gt;($D$3+Y955),(Character!$B$9+W955)-($D$3+Y955),0)),Calcs!$A$110:$B$122,2,TRUE))))=Calcs!$B$120,IF(ISBLANK(AC955)," ",CONCATENATE(AC955+7," Years")),IF(AA955=" "," ",IF(NOT(ISBLANK(X955)),VLOOKUP($D$3+X955,Calcs!$A$110:$B$122,2,TRUE),IF(AA955="Failed",VLOOKUP($D$3,Calcs!$A$110:$B$122,2,TRUE),VLOOKUP($D$3-(IF((Character!$B$9+W955)&gt;($D$3+Y955),(Character!$B$9+W955)-($D$3+Y955),0)),Calcs!$A$110:$B$122,2,TRUE)))))</f>
        <v xml:space="preserve"> </v>
      </c>
      <c r="AE955" s="490"/>
      <c r="AF955" s="879"/>
      <c r="AG955" s="491"/>
    </row>
    <row r="956" spans="1:33" x14ac:dyDescent="0.2">
      <c r="A956" s="415">
        <f t="shared" si="28"/>
        <v>1449</v>
      </c>
      <c r="B956" s="419" t="str">
        <f t="shared" si="29"/>
        <v>Winter</v>
      </c>
      <c r="C956" s="455"/>
      <c r="D956" s="504"/>
      <c r="E956" s="455"/>
      <c r="F956" s="504"/>
      <c r="G956" s="455"/>
      <c r="H956" s="504"/>
      <c r="I956" s="455"/>
      <c r="J956" s="504"/>
      <c r="L956" s="472"/>
      <c r="M956" s="468"/>
      <c r="N956" s="468"/>
      <c r="O956" s="468"/>
      <c r="P956" s="468"/>
      <c r="Q956" s="473"/>
      <c r="R956" s="477" t="str">
        <f>IF(AND(COUNTIF('Start Character'!$I$63:$M$77,"Twilight Prone")=1,NOT(ISERROR(FIND("Magical Botch",M956)))),"Yes",IF(P956&gt;1,"Yes","No"))</f>
        <v>No</v>
      </c>
      <c r="S956" s="501"/>
      <c r="T956" s="478"/>
      <c r="U956" s="501"/>
      <c r="V956" s="479" t="str">
        <f>IF(R956="No","No Twilight",IF(T956="Yes","Uncomprehended Twilight",IF((Character!$B$14+IF(Character!$B$53="Yes",0,Character!$B$53)+IF(Magic!$C$5="Yes",2,0)+ROUNDUP((Magic!$B$30+IF(Magic!$C$30="Yes",3,0))/5,0)+S956)&gt;=($D$3+P956+SUMIF(Character!$I$62:$I$66,"Enigmatic Wisdom",Character!$J$62:$J$66)+Q956+U956),"No Twilight","Twilight")))</f>
        <v>No Twilight</v>
      </c>
      <c r="W956" s="483"/>
      <c r="X956" s="478"/>
      <c r="Y956" s="484"/>
      <c r="Z956" s="478"/>
      <c r="AA956" s="485" t="str">
        <f>IF(V956="Uncomprehended Twilight","Failed",IF(OR(ISBLANK(W956),ISBLANK(Y956))," ",IF(NOT(ISBLANK(X956)),"Failed",IF((W956+Character!$B$9+SUMIF(Character!$I$62:$I$66,"Enigmatic Wisdom",Character!$J$62:$J$66))&gt;=IF(Z956="Yes",0,(Y956+D951)),"Succeeded","Failed"))))</f>
        <v xml:space="preserve"> </v>
      </c>
      <c r="AB956" s="477" t="str">
        <f>IF(AA956=" "," ",IF(NOT(ISBLANK(X956)),VLOOKUP($D$3+X956,Calcs!$A$110:$C$122,3,TRUE),IF(AA956="Failed",VLOOKUP($D$3,Calcs!$A$110:$C$122,3,TRUE),VLOOKUP($D$3-(IF((Character!$B$9+W956)&gt;($D$3+Y956),(Character!$B$9+W956)-($D$3+Y956),0)),Calcs!$A$110:$C$122,3,TRUE))))</f>
        <v xml:space="preserve"> </v>
      </c>
      <c r="AC956" s="489"/>
      <c r="AD956" s="489" t="str">
        <f>IF(IF(AA956=" "," ",IF(NOT(ISBLANK(X956)),VLOOKUP($D$3+X956,Calcs!$A$110:$B$122,2,TRUE),IF(AA956="Failed",VLOOKUP($D$3,Calcs!$A$110:$B$122,2,TRUE),VLOOKUP($D$3-(IF((Character!$B$9+W956)&gt;($D$3+Y956),(Character!$B$9+W956)-($D$3+Y956),0)),Calcs!$A$110:$B$122,2,TRUE))))=Calcs!$B$120,IF(ISBLANK(AC956)," ",CONCATENATE(AC956+7," Years")),IF(AA956=" "," ",IF(NOT(ISBLANK(X956)),VLOOKUP($D$3+X956,Calcs!$A$110:$B$122,2,TRUE),IF(AA956="Failed",VLOOKUP($D$3,Calcs!$A$110:$B$122,2,TRUE),VLOOKUP($D$3-(IF((Character!$B$9+W956)&gt;($D$3+Y956),(Character!$B$9+W956)-($D$3+Y956),0)),Calcs!$A$110:$B$122,2,TRUE)))))</f>
        <v xml:space="preserve"> </v>
      </c>
      <c r="AE956" s="490"/>
      <c r="AF956" s="879"/>
      <c r="AG956" s="491"/>
    </row>
    <row r="957" spans="1:33" x14ac:dyDescent="0.2">
      <c r="A957" s="415">
        <f t="shared" si="28"/>
        <v>1449</v>
      </c>
      <c r="B957" s="419" t="str">
        <f t="shared" si="29"/>
        <v>Spring</v>
      </c>
      <c r="C957" s="455"/>
      <c r="D957" s="504"/>
      <c r="E957" s="455"/>
      <c r="F957" s="504"/>
      <c r="G957" s="455"/>
      <c r="H957" s="504"/>
      <c r="I957" s="455"/>
      <c r="J957" s="504"/>
      <c r="L957" s="472"/>
      <c r="M957" s="468"/>
      <c r="N957" s="468"/>
      <c r="O957" s="468"/>
      <c r="P957" s="468"/>
      <c r="Q957" s="473"/>
      <c r="R957" s="477" t="str">
        <f>IF(AND(COUNTIF('Start Character'!$I$63:$M$77,"Twilight Prone")=1,NOT(ISERROR(FIND("Magical Botch",M957)))),"Yes",IF(P957&gt;1,"Yes","No"))</f>
        <v>No</v>
      </c>
      <c r="S957" s="501"/>
      <c r="T957" s="478"/>
      <c r="U957" s="501"/>
      <c r="V957" s="479" t="str">
        <f>IF(R957="No","No Twilight",IF(T957="Yes","Uncomprehended Twilight",IF((Character!$B$14+IF(Character!$B$53="Yes",0,Character!$B$53)+IF(Magic!$C$5="Yes",2,0)+ROUNDUP((Magic!$B$30+IF(Magic!$C$30="Yes",3,0))/5,0)+S957)&gt;=($D$3+P957+SUMIF(Character!$I$62:$I$66,"Enigmatic Wisdom",Character!$J$62:$J$66)+Q957+U957),"No Twilight","Twilight")))</f>
        <v>No Twilight</v>
      </c>
      <c r="W957" s="483"/>
      <c r="X957" s="478"/>
      <c r="Y957" s="484"/>
      <c r="Z957" s="478"/>
      <c r="AA957" s="485" t="str">
        <f>IF(V957="Uncomprehended Twilight","Failed",IF(OR(ISBLANK(W957),ISBLANK(Y957))," ",IF(NOT(ISBLANK(X957)),"Failed",IF((W957+Character!$B$9+SUMIF(Character!$I$62:$I$66,"Enigmatic Wisdom",Character!$J$62:$J$66))&gt;=IF(Z957="Yes",0,(Y957+D952)),"Succeeded","Failed"))))</f>
        <v xml:space="preserve"> </v>
      </c>
      <c r="AB957" s="477" t="str">
        <f>IF(AA957=" "," ",IF(NOT(ISBLANK(X957)),VLOOKUP($D$3+X957,Calcs!$A$110:$C$122,3,TRUE),IF(AA957="Failed",VLOOKUP($D$3,Calcs!$A$110:$C$122,3,TRUE),VLOOKUP($D$3-(IF((Character!$B$9+W957)&gt;($D$3+Y957),(Character!$B$9+W957)-($D$3+Y957),0)),Calcs!$A$110:$C$122,3,TRUE))))</f>
        <v xml:space="preserve"> </v>
      </c>
      <c r="AC957" s="489"/>
      <c r="AD957" s="489" t="str">
        <f>IF(IF(AA957=" "," ",IF(NOT(ISBLANK(X957)),VLOOKUP($D$3+X957,Calcs!$A$110:$B$122,2,TRUE),IF(AA957="Failed",VLOOKUP($D$3,Calcs!$A$110:$B$122,2,TRUE),VLOOKUP($D$3-(IF((Character!$B$9+W957)&gt;($D$3+Y957),(Character!$B$9+W957)-($D$3+Y957),0)),Calcs!$A$110:$B$122,2,TRUE))))=Calcs!$B$120,IF(ISBLANK(AC957)," ",CONCATENATE(AC957+7," Years")),IF(AA957=" "," ",IF(NOT(ISBLANK(X957)),VLOOKUP($D$3+X957,Calcs!$A$110:$B$122,2,TRUE),IF(AA957="Failed",VLOOKUP($D$3,Calcs!$A$110:$B$122,2,TRUE),VLOOKUP($D$3-(IF((Character!$B$9+W957)&gt;($D$3+Y957),(Character!$B$9+W957)-($D$3+Y957),0)),Calcs!$A$110:$B$122,2,TRUE)))))</f>
        <v xml:space="preserve"> </v>
      </c>
      <c r="AE957" s="490"/>
      <c r="AF957" s="879"/>
      <c r="AG957" s="491"/>
    </row>
    <row r="958" spans="1:33" x14ac:dyDescent="0.2">
      <c r="A958" s="415">
        <f t="shared" si="28"/>
        <v>1449</v>
      </c>
      <c r="B958" s="419" t="str">
        <f t="shared" si="29"/>
        <v>Summer</v>
      </c>
      <c r="C958" s="455"/>
      <c r="D958" s="504"/>
      <c r="E958" s="455"/>
      <c r="F958" s="504"/>
      <c r="G958" s="455"/>
      <c r="H958" s="504"/>
      <c r="I958" s="455"/>
      <c r="J958" s="504"/>
      <c r="L958" s="472"/>
      <c r="M958" s="468"/>
      <c r="N958" s="468"/>
      <c r="O958" s="468"/>
      <c r="P958" s="468"/>
      <c r="Q958" s="473"/>
      <c r="R958" s="477" t="str">
        <f>IF(AND(COUNTIF('Start Character'!$I$63:$M$77,"Twilight Prone")=1,NOT(ISERROR(FIND("Magical Botch",M958)))),"Yes",IF(P958&gt;1,"Yes","No"))</f>
        <v>No</v>
      </c>
      <c r="S958" s="501"/>
      <c r="T958" s="478"/>
      <c r="U958" s="501"/>
      <c r="V958" s="479" t="str">
        <f>IF(R958="No","No Twilight",IF(T958="Yes","Uncomprehended Twilight",IF((Character!$B$14+IF(Character!$B$53="Yes",0,Character!$B$53)+IF(Magic!$C$5="Yes",2,0)+ROUNDUP((Magic!$B$30+IF(Magic!$C$30="Yes",3,0))/5,0)+S958)&gt;=($D$3+P958+SUMIF(Character!$I$62:$I$66,"Enigmatic Wisdom",Character!$J$62:$J$66)+Q958+U958),"No Twilight","Twilight")))</f>
        <v>No Twilight</v>
      </c>
      <c r="W958" s="483"/>
      <c r="X958" s="478"/>
      <c r="Y958" s="484"/>
      <c r="Z958" s="478"/>
      <c r="AA958" s="485" t="str">
        <f>IF(V958="Uncomprehended Twilight","Failed",IF(OR(ISBLANK(W958),ISBLANK(Y958))," ",IF(NOT(ISBLANK(X958)),"Failed",IF((W958+Character!$B$9+SUMIF(Character!$I$62:$I$66,"Enigmatic Wisdom",Character!$J$62:$J$66))&gt;=IF(Z958="Yes",0,(Y958+D953)),"Succeeded","Failed"))))</f>
        <v xml:space="preserve"> </v>
      </c>
      <c r="AB958" s="477" t="str">
        <f>IF(AA958=" "," ",IF(NOT(ISBLANK(X958)),VLOOKUP($D$3+X958,Calcs!$A$110:$C$122,3,TRUE),IF(AA958="Failed",VLOOKUP($D$3,Calcs!$A$110:$C$122,3,TRUE),VLOOKUP($D$3-(IF((Character!$B$9+W958)&gt;($D$3+Y958),(Character!$B$9+W958)-($D$3+Y958),0)),Calcs!$A$110:$C$122,3,TRUE))))</f>
        <v xml:space="preserve"> </v>
      </c>
      <c r="AC958" s="489"/>
      <c r="AD958" s="489" t="str">
        <f>IF(IF(AA958=" "," ",IF(NOT(ISBLANK(X958)),VLOOKUP($D$3+X958,Calcs!$A$110:$B$122,2,TRUE),IF(AA958="Failed",VLOOKUP($D$3,Calcs!$A$110:$B$122,2,TRUE),VLOOKUP($D$3-(IF((Character!$B$9+W958)&gt;($D$3+Y958),(Character!$B$9+W958)-($D$3+Y958),0)),Calcs!$A$110:$B$122,2,TRUE))))=Calcs!$B$120,IF(ISBLANK(AC958)," ",CONCATENATE(AC958+7," Years")),IF(AA958=" "," ",IF(NOT(ISBLANK(X958)),VLOOKUP($D$3+X958,Calcs!$A$110:$B$122,2,TRUE),IF(AA958="Failed",VLOOKUP($D$3,Calcs!$A$110:$B$122,2,TRUE),VLOOKUP($D$3-(IF((Character!$B$9+W958)&gt;($D$3+Y958),(Character!$B$9+W958)-($D$3+Y958),0)),Calcs!$A$110:$B$122,2,TRUE)))))</f>
        <v xml:space="preserve"> </v>
      </c>
      <c r="AE958" s="490"/>
      <c r="AF958" s="879"/>
      <c r="AG958" s="491"/>
    </row>
    <row r="959" spans="1:33" x14ac:dyDescent="0.2">
      <c r="A959" s="415">
        <f t="shared" si="28"/>
        <v>1449</v>
      </c>
      <c r="B959" s="419" t="str">
        <f t="shared" si="29"/>
        <v>Autumn</v>
      </c>
      <c r="C959" s="455"/>
      <c r="D959" s="504"/>
      <c r="E959" s="455"/>
      <c r="F959" s="504"/>
      <c r="G959" s="455"/>
      <c r="H959" s="504"/>
      <c r="I959" s="455"/>
      <c r="J959" s="504"/>
      <c r="L959" s="472"/>
      <c r="M959" s="468"/>
      <c r="N959" s="468"/>
      <c r="O959" s="468"/>
      <c r="P959" s="468"/>
      <c r="Q959" s="473"/>
      <c r="R959" s="477" t="str">
        <f>IF(AND(COUNTIF('Start Character'!$I$63:$M$77,"Twilight Prone")=1,NOT(ISERROR(FIND("Magical Botch",M959)))),"Yes",IF(P959&gt;1,"Yes","No"))</f>
        <v>No</v>
      </c>
      <c r="S959" s="501"/>
      <c r="T959" s="478"/>
      <c r="U959" s="501"/>
      <c r="V959" s="479" t="str">
        <f>IF(R959="No","No Twilight",IF(T959="Yes","Uncomprehended Twilight",IF((Character!$B$14+IF(Character!$B$53="Yes",0,Character!$B$53)+IF(Magic!$C$5="Yes",2,0)+ROUNDUP((Magic!$B$30+IF(Magic!$C$30="Yes",3,0))/5,0)+S959)&gt;=($D$3+P959+SUMIF(Character!$I$62:$I$66,"Enigmatic Wisdom",Character!$J$62:$J$66)+Q959+U959),"No Twilight","Twilight")))</f>
        <v>No Twilight</v>
      </c>
      <c r="W959" s="483"/>
      <c r="X959" s="478"/>
      <c r="Y959" s="484"/>
      <c r="Z959" s="478"/>
      <c r="AA959" s="485" t="str">
        <f>IF(V959="Uncomprehended Twilight","Failed",IF(OR(ISBLANK(W959),ISBLANK(Y959))," ",IF(NOT(ISBLANK(X959)),"Failed",IF((W959+Character!$B$9+SUMIF(Character!$I$62:$I$66,"Enigmatic Wisdom",Character!$J$62:$J$66))&gt;=IF(Z959="Yes",0,(Y959+D954)),"Succeeded","Failed"))))</f>
        <v xml:space="preserve"> </v>
      </c>
      <c r="AB959" s="477" t="str">
        <f>IF(AA959=" "," ",IF(NOT(ISBLANK(X959)),VLOOKUP($D$3+X959,Calcs!$A$110:$C$122,3,TRUE),IF(AA959="Failed",VLOOKUP($D$3,Calcs!$A$110:$C$122,3,TRUE),VLOOKUP($D$3-(IF((Character!$B$9+W959)&gt;($D$3+Y959),(Character!$B$9+W959)-($D$3+Y959),0)),Calcs!$A$110:$C$122,3,TRUE))))</f>
        <v xml:space="preserve"> </v>
      </c>
      <c r="AC959" s="489"/>
      <c r="AD959" s="489" t="str">
        <f>IF(IF(AA959=" "," ",IF(NOT(ISBLANK(X959)),VLOOKUP($D$3+X959,Calcs!$A$110:$B$122,2,TRUE),IF(AA959="Failed",VLOOKUP($D$3,Calcs!$A$110:$B$122,2,TRUE),VLOOKUP($D$3-(IF((Character!$B$9+W959)&gt;($D$3+Y959),(Character!$B$9+W959)-($D$3+Y959),0)),Calcs!$A$110:$B$122,2,TRUE))))=Calcs!$B$120,IF(ISBLANK(AC959)," ",CONCATENATE(AC959+7," Years")),IF(AA959=" "," ",IF(NOT(ISBLANK(X959)),VLOOKUP($D$3+X959,Calcs!$A$110:$B$122,2,TRUE),IF(AA959="Failed",VLOOKUP($D$3,Calcs!$A$110:$B$122,2,TRUE),VLOOKUP($D$3-(IF((Character!$B$9+W959)&gt;($D$3+Y959),(Character!$B$9+W959)-($D$3+Y959),0)),Calcs!$A$110:$B$122,2,TRUE)))))</f>
        <v xml:space="preserve"> </v>
      </c>
      <c r="AE959" s="490"/>
      <c r="AF959" s="879"/>
      <c r="AG959" s="491"/>
    </row>
    <row r="960" spans="1:33" x14ac:dyDescent="0.2">
      <c r="A960" s="415">
        <f t="shared" si="28"/>
        <v>1450</v>
      </c>
      <c r="B960" s="419" t="str">
        <f t="shared" si="29"/>
        <v>Winter</v>
      </c>
      <c r="C960" s="455"/>
      <c r="D960" s="504"/>
      <c r="E960" s="455"/>
      <c r="F960" s="504"/>
      <c r="G960" s="455"/>
      <c r="H960" s="504"/>
      <c r="I960" s="455"/>
      <c r="J960" s="504"/>
      <c r="L960" s="472"/>
      <c r="M960" s="468"/>
      <c r="N960" s="468"/>
      <c r="O960" s="468"/>
      <c r="P960" s="468"/>
      <c r="Q960" s="473"/>
      <c r="R960" s="477" t="str">
        <f>IF(AND(COUNTIF('Start Character'!$I$63:$M$77,"Twilight Prone")=1,NOT(ISERROR(FIND("Magical Botch",M960)))),"Yes",IF(P960&gt;1,"Yes","No"))</f>
        <v>No</v>
      </c>
      <c r="S960" s="501"/>
      <c r="T960" s="478"/>
      <c r="U960" s="501"/>
      <c r="V960" s="479" t="str">
        <f>IF(R960="No","No Twilight",IF(T960="Yes","Uncomprehended Twilight",IF((Character!$B$14+IF(Character!$B$53="Yes",0,Character!$B$53)+IF(Magic!$C$5="Yes",2,0)+ROUNDUP((Magic!$B$30+IF(Magic!$C$30="Yes",3,0))/5,0)+S960)&gt;=($D$3+P960+SUMIF(Character!$I$62:$I$66,"Enigmatic Wisdom",Character!$J$62:$J$66)+Q960+U960),"No Twilight","Twilight")))</f>
        <v>No Twilight</v>
      </c>
      <c r="W960" s="483"/>
      <c r="X960" s="478"/>
      <c r="Y960" s="484"/>
      <c r="Z960" s="478"/>
      <c r="AA960" s="485" t="str">
        <f>IF(V960="Uncomprehended Twilight","Failed",IF(OR(ISBLANK(W960),ISBLANK(Y960))," ",IF(NOT(ISBLANK(X960)),"Failed",IF((W960+Character!$B$9+SUMIF(Character!$I$62:$I$66,"Enigmatic Wisdom",Character!$J$62:$J$66))&gt;=IF(Z960="Yes",0,(Y960+D955)),"Succeeded","Failed"))))</f>
        <v xml:space="preserve"> </v>
      </c>
      <c r="AB960" s="477" t="str">
        <f>IF(AA960=" "," ",IF(NOT(ISBLANK(X960)),VLOOKUP($D$3+X960,Calcs!$A$110:$C$122,3,TRUE),IF(AA960="Failed",VLOOKUP($D$3,Calcs!$A$110:$C$122,3,TRUE),VLOOKUP($D$3-(IF((Character!$B$9+W960)&gt;($D$3+Y960),(Character!$B$9+W960)-($D$3+Y960),0)),Calcs!$A$110:$C$122,3,TRUE))))</f>
        <v xml:space="preserve"> </v>
      </c>
      <c r="AC960" s="489"/>
      <c r="AD960" s="489" t="str">
        <f>IF(IF(AA960=" "," ",IF(NOT(ISBLANK(X960)),VLOOKUP($D$3+X960,Calcs!$A$110:$B$122,2,TRUE),IF(AA960="Failed",VLOOKUP($D$3,Calcs!$A$110:$B$122,2,TRUE),VLOOKUP($D$3-(IF((Character!$B$9+W960)&gt;($D$3+Y960),(Character!$B$9+W960)-($D$3+Y960),0)),Calcs!$A$110:$B$122,2,TRUE))))=Calcs!$B$120,IF(ISBLANK(AC960)," ",CONCATENATE(AC960+7," Years")),IF(AA960=" "," ",IF(NOT(ISBLANK(X960)),VLOOKUP($D$3+X960,Calcs!$A$110:$B$122,2,TRUE),IF(AA960="Failed",VLOOKUP($D$3,Calcs!$A$110:$B$122,2,TRUE),VLOOKUP($D$3-(IF((Character!$B$9+W960)&gt;($D$3+Y960),(Character!$B$9+W960)-($D$3+Y960),0)),Calcs!$A$110:$B$122,2,TRUE)))))</f>
        <v xml:space="preserve"> </v>
      </c>
      <c r="AE960" s="490"/>
      <c r="AF960" s="879"/>
      <c r="AG960" s="491"/>
    </row>
    <row r="961" spans="1:33" x14ac:dyDescent="0.2">
      <c r="A961" s="415">
        <f t="shared" si="28"/>
        <v>1450</v>
      </c>
      <c r="B961" s="419" t="str">
        <f t="shared" si="29"/>
        <v>Spring</v>
      </c>
      <c r="C961" s="455"/>
      <c r="D961" s="504"/>
      <c r="E961" s="455"/>
      <c r="F961" s="504"/>
      <c r="G961" s="455"/>
      <c r="H961" s="504"/>
      <c r="I961" s="455"/>
      <c r="J961" s="504"/>
      <c r="L961" s="472"/>
      <c r="M961" s="468"/>
      <c r="N961" s="468"/>
      <c r="O961" s="468"/>
      <c r="P961" s="468"/>
      <c r="Q961" s="473"/>
      <c r="R961" s="477" t="str">
        <f>IF(AND(COUNTIF('Start Character'!$I$63:$M$77,"Twilight Prone")=1,NOT(ISERROR(FIND("Magical Botch",M961)))),"Yes",IF(P961&gt;1,"Yes","No"))</f>
        <v>No</v>
      </c>
      <c r="S961" s="501"/>
      <c r="T961" s="478"/>
      <c r="U961" s="501"/>
      <c r="V961" s="479" t="str">
        <f>IF(R961="No","No Twilight",IF(T961="Yes","Uncomprehended Twilight",IF((Character!$B$14+IF(Character!$B$53="Yes",0,Character!$B$53)+IF(Magic!$C$5="Yes",2,0)+ROUNDUP((Magic!$B$30+IF(Magic!$C$30="Yes",3,0))/5,0)+S961)&gt;=($D$3+P961+SUMIF(Character!$I$62:$I$66,"Enigmatic Wisdom",Character!$J$62:$J$66)+Q961+U961),"No Twilight","Twilight")))</f>
        <v>No Twilight</v>
      </c>
      <c r="W961" s="483"/>
      <c r="X961" s="478"/>
      <c r="Y961" s="484"/>
      <c r="Z961" s="478"/>
      <c r="AA961" s="485" t="str">
        <f>IF(V961="Uncomprehended Twilight","Failed",IF(OR(ISBLANK(W961),ISBLANK(Y961))," ",IF(NOT(ISBLANK(X961)),"Failed",IF((W961+Character!$B$9+SUMIF(Character!$I$62:$I$66,"Enigmatic Wisdom",Character!$J$62:$J$66))&gt;=IF(Z961="Yes",0,(Y961+D956)),"Succeeded","Failed"))))</f>
        <v xml:space="preserve"> </v>
      </c>
      <c r="AB961" s="477" t="str">
        <f>IF(AA961=" "," ",IF(NOT(ISBLANK(X961)),VLOOKUP($D$3+X961,Calcs!$A$110:$C$122,3,TRUE),IF(AA961="Failed",VLOOKUP($D$3,Calcs!$A$110:$C$122,3,TRUE),VLOOKUP($D$3-(IF((Character!$B$9+W961)&gt;($D$3+Y961),(Character!$B$9+W961)-($D$3+Y961),0)),Calcs!$A$110:$C$122,3,TRUE))))</f>
        <v xml:space="preserve"> </v>
      </c>
      <c r="AC961" s="489"/>
      <c r="AD961" s="489" t="str">
        <f>IF(IF(AA961=" "," ",IF(NOT(ISBLANK(X961)),VLOOKUP($D$3+X961,Calcs!$A$110:$B$122,2,TRUE),IF(AA961="Failed",VLOOKUP($D$3,Calcs!$A$110:$B$122,2,TRUE),VLOOKUP($D$3-(IF((Character!$B$9+W961)&gt;($D$3+Y961),(Character!$B$9+W961)-($D$3+Y961),0)),Calcs!$A$110:$B$122,2,TRUE))))=Calcs!$B$120,IF(ISBLANK(AC961)," ",CONCATENATE(AC961+7," Years")),IF(AA961=" "," ",IF(NOT(ISBLANK(X961)),VLOOKUP($D$3+X961,Calcs!$A$110:$B$122,2,TRUE),IF(AA961="Failed",VLOOKUP($D$3,Calcs!$A$110:$B$122,2,TRUE),VLOOKUP($D$3-(IF((Character!$B$9+W961)&gt;($D$3+Y961),(Character!$B$9+W961)-($D$3+Y961),0)),Calcs!$A$110:$B$122,2,TRUE)))))</f>
        <v xml:space="preserve"> </v>
      </c>
      <c r="AE961" s="490"/>
      <c r="AF961" s="879"/>
      <c r="AG961" s="491"/>
    </row>
    <row r="962" spans="1:33" x14ac:dyDescent="0.2">
      <c r="A962" s="415">
        <f t="shared" si="28"/>
        <v>1450</v>
      </c>
      <c r="B962" s="419" t="str">
        <f t="shared" si="29"/>
        <v>Summer</v>
      </c>
      <c r="C962" s="455"/>
      <c r="D962" s="504"/>
      <c r="E962" s="455"/>
      <c r="F962" s="504"/>
      <c r="G962" s="455"/>
      <c r="H962" s="504"/>
      <c r="I962" s="455"/>
      <c r="J962" s="504"/>
      <c r="L962" s="472"/>
      <c r="M962" s="468"/>
      <c r="N962" s="468"/>
      <c r="O962" s="468"/>
      <c r="P962" s="468"/>
      <c r="Q962" s="473"/>
      <c r="R962" s="477" t="str">
        <f>IF(AND(COUNTIF('Start Character'!$I$63:$M$77,"Twilight Prone")=1,NOT(ISERROR(FIND("Magical Botch",M962)))),"Yes",IF(P962&gt;1,"Yes","No"))</f>
        <v>No</v>
      </c>
      <c r="S962" s="501"/>
      <c r="T962" s="478"/>
      <c r="U962" s="501"/>
      <c r="V962" s="479" t="str">
        <f>IF(R962="No","No Twilight",IF(T962="Yes","Uncomprehended Twilight",IF((Character!$B$14+IF(Character!$B$53="Yes",0,Character!$B$53)+IF(Magic!$C$5="Yes",2,0)+ROUNDUP((Magic!$B$30+IF(Magic!$C$30="Yes",3,0))/5,0)+S962)&gt;=($D$3+P962+SUMIF(Character!$I$62:$I$66,"Enigmatic Wisdom",Character!$J$62:$J$66)+Q962+U962),"No Twilight","Twilight")))</f>
        <v>No Twilight</v>
      </c>
      <c r="W962" s="483"/>
      <c r="X962" s="478"/>
      <c r="Y962" s="484"/>
      <c r="Z962" s="478"/>
      <c r="AA962" s="485" t="str">
        <f>IF(V962="Uncomprehended Twilight","Failed",IF(OR(ISBLANK(W962),ISBLANK(Y962))," ",IF(NOT(ISBLANK(X962)),"Failed",IF((W962+Character!$B$9+SUMIF(Character!$I$62:$I$66,"Enigmatic Wisdom",Character!$J$62:$J$66))&gt;=IF(Z962="Yes",0,(Y962+D957)),"Succeeded","Failed"))))</f>
        <v xml:space="preserve"> </v>
      </c>
      <c r="AB962" s="477" t="str">
        <f>IF(AA962=" "," ",IF(NOT(ISBLANK(X962)),VLOOKUP($D$3+X962,Calcs!$A$110:$C$122,3,TRUE),IF(AA962="Failed",VLOOKUP($D$3,Calcs!$A$110:$C$122,3,TRUE),VLOOKUP($D$3-(IF((Character!$B$9+W962)&gt;($D$3+Y962),(Character!$B$9+W962)-($D$3+Y962),0)),Calcs!$A$110:$C$122,3,TRUE))))</f>
        <v xml:space="preserve"> </v>
      </c>
      <c r="AC962" s="489"/>
      <c r="AD962" s="489" t="str">
        <f>IF(IF(AA962=" "," ",IF(NOT(ISBLANK(X962)),VLOOKUP($D$3+X962,Calcs!$A$110:$B$122,2,TRUE),IF(AA962="Failed",VLOOKUP($D$3,Calcs!$A$110:$B$122,2,TRUE),VLOOKUP($D$3-(IF((Character!$B$9+W962)&gt;($D$3+Y962),(Character!$B$9+W962)-($D$3+Y962),0)),Calcs!$A$110:$B$122,2,TRUE))))=Calcs!$B$120,IF(ISBLANK(AC962)," ",CONCATENATE(AC962+7," Years")),IF(AA962=" "," ",IF(NOT(ISBLANK(X962)),VLOOKUP($D$3+X962,Calcs!$A$110:$B$122,2,TRUE),IF(AA962="Failed",VLOOKUP($D$3,Calcs!$A$110:$B$122,2,TRUE),VLOOKUP($D$3-(IF((Character!$B$9+W962)&gt;($D$3+Y962),(Character!$B$9+W962)-($D$3+Y962),0)),Calcs!$A$110:$B$122,2,TRUE)))))</f>
        <v xml:space="preserve"> </v>
      </c>
      <c r="AE962" s="490"/>
      <c r="AF962" s="879"/>
      <c r="AG962" s="491"/>
    </row>
    <row r="963" spans="1:33" x14ac:dyDescent="0.2">
      <c r="A963" s="415">
        <f t="shared" si="28"/>
        <v>1450</v>
      </c>
      <c r="B963" s="419" t="str">
        <f t="shared" si="29"/>
        <v>Autumn</v>
      </c>
      <c r="C963" s="455"/>
      <c r="D963" s="504"/>
      <c r="E963" s="455"/>
      <c r="F963" s="504"/>
      <c r="G963" s="455"/>
      <c r="H963" s="504"/>
      <c r="I963" s="455"/>
      <c r="J963" s="504"/>
      <c r="L963" s="472"/>
      <c r="M963" s="468"/>
      <c r="N963" s="468"/>
      <c r="O963" s="468"/>
      <c r="P963" s="468"/>
      <c r="Q963" s="473"/>
      <c r="R963" s="477" t="str">
        <f>IF(AND(COUNTIF('Start Character'!$I$63:$M$77,"Twilight Prone")=1,NOT(ISERROR(FIND("Magical Botch",M963)))),"Yes",IF(P963&gt;1,"Yes","No"))</f>
        <v>No</v>
      </c>
      <c r="S963" s="501"/>
      <c r="T963" s="478"/>
      <c r="U963" s="501"/>
      <c r="V963" s="479" t="str">
        <f>IF(R963="No","No Twilight",IF(T963="Yes","Uncomprehended Twilight",IF((Character!$B$14+IF(Character!$B$53="Yes",0,Character!$B$53)+IF(Magic!$C$5="Yes",2,0)+ROUNDUP((Magic!$B$30+IF(Magic!$C$30="Yes",3,0))/5,0)+S963)&gt;=($D$3+P963+SUMIF(Character!$I$62:$I$66,"Enigmatic Wisdom",Character!$J$62:$J$66)+Q963+U963),"No Twilight","Twilight")))</f>
        <v>No Twilight</v>
      </c>
      <c r="W963" s="483"/>
      <c r="X963" s="478"/>
      <c r="Y963" s="484"/>
      <c r="Z963" s="478"/>
      <c r="AA963" s="485" t="str">
        <f>IF(V963="Uncomprehended Twilight","Failed",IF(OR(ISBLANK(W963),ISBLANK(Y963))," ",IF(NOT(ISBLANK(X963)),"Failed",IF((W963+Character!$B$9+SUMIF(Character!$I$62:$I$66,"Enigmatic Wisdom",Character!$J$62:$J$66))&gt;=IF(Z963="Yes",0,(Y963+D958)),"Succeeded","Failed"))))</f>
        <v xml:space="preserve"> </v>
      </c>
      <c r="AB963" s="477" t="str">
        <f>IF(AA963=" "," ",IF(NOT(ISBLANK(X963)),VLOOKUP($D$3+X963,Calcs!$A$110:$C$122,3,TRUE),IF(AA963="Failed",VLOOKUP($D$3,Calcs!$A$110:$C$122,3,TRUE),VLOOKUP($D$3-(IF((Character!$B$9+W963)&gt;($D$3+Y963),(Character!$B$9+W963)-($D$3+Y963),0)),Calcs!$A$110:$C$122,3,TRUE))))</f>
        <v xml:space="preserve"> </v>
      </c>
      <c r="AC963" s="489"/>
      <c r="AD963" s="489" t="str">
        <f>IF(IF(AA963=" "," ",IF(NOT(ISBLANK(X963)),VLOOKUP($D$3+X963,Calcs!$A$110:$B$122,2,TRUE),IF(AA963="Failed",VLOOKUP($D$3,Calcs!$A$110:$B$122,2,TRUE),VLOOKUP($D$3-(IF((Character!$B$9+W963)&gt;($D$3+Y963),(Character!$B$9+W963)-($D$3+Y963),0)),Calcs!$A$110:$B$122,2,TRUE))))=Calcs!$B$120,IF(ISBLANK(AC963)," ",CONCATENATE(AC963+7," Years")),IF(AA963=" "," ",IF(NOT(ISBLANK(X963)),VLOOKUP($D$3+X963,Calcs!$A$110:$B$122,2,TRUE),IF(AA963="Failed",VLOOKUP($D$3,Calcs!$A$110:$B$122,2,TRUE),VLOOKUP($D$3-(IF((Character!$B$9+W963)&gt;($D$3+Y963),(Character!$B$9+W963)-($D$3+Y963),0)),Calcs!$A$110:$B$122,2,TRUE)))))</f>
        <v xml:space="preserve"> </v>
      </c>
      <c r="AE963" s="490"/>
      <c r="AF963" s="879"/>
      <c r="AG963" s="491"/>
    </row>
    <row r="964" spans="1:33" x14ac:dyDescent="0.2">
      <c r="A964" s="415">
        <f t="shared" si="28"/>
        <v>1451</v>
      </c>
      <c r="B964" s="419" t="str">
        <f t="shared" si="29"/>
        <v>Winter</v>
      </c>
      <c r="C964" s="455"/>
      <c r="D964" s="504"/>
      <c r="E964" s="455"/>
      <c r="F964" s="504"/>
      <c r="G964" s="455"/>
      <c r="H964" s="504"/>
      <c r="I964" s="455"/>
      <c r="J964" s="504"/>
      <c r="L964" s="472"/>
      <c r="M964" s="468"/>
      <c r="N964" s="468"/>
      <c r="O964" s="468"/>
      <c r="P964" s="468"/>
      <c r="Q964" s="473"/>
      <c r="R964" s="477" t="str">
        <f>IF(AND(COUNTIF('Start Character'!$I$63:$M$77,"Twilight Prone")=1,NOT(ISERROR(FIND("Magical Botch",M964)))),"Yes",IF(P964&gt;1,"Yes","No"))</f>
        <v>No</v>
      </c>
      <c r="S964" s="501"/>
      <c r="T964" s="478"/>
      <c r="U964" s="501"/>
      <c r="V964" s="479" t="str">
        <f>IF(R964="No","No Twilight",IF(T964="Yes","Uncomprehended Twilight",IF((Character!$B$14+IF(Character!$B$53="Yes",0,Character!$B$53)+IF(Magic!$C$5="Yes",2,0)+ROUNDUP((Magic!$B$30+IF(Magic!$C$30="Yes",3,0))/5,0)+S964)&gt;=($D$3+P964+SUMIF(Character!$I$62:$I$66,"Enigmatic Wisdom",Character!$J$62:$J$66)+Q964+U964),"No Twilight","Twilight")))</f>
        <v>No Twilight</v>
      </c>
      <c r="W964" s="483"/>
      <c r="X964" s="478"/>
      <c r="Y964" s="484"/>
      <c r="Z964" s="478"/>
      <c r="AA964" s="485" t="str">
        <f>IF(V964="Uncomprehended Twilight","Failed",IF(OR(ISBLANK(W964),ISBLANK(Y964))," ",IF(NOT(ISBLANK(X964)),"Failed",IF((W964+Character!$B$9+SUMIF(Character!$I$62:$I$66,"Enigmatic Wisdom",Character!$J$62:$J$66))&gt;=IF(Z964="Yes",0,(Y964+D959)),"Succeeded","Failed"))))</f>
        <v xml:space="preserve"> </v>
      </c>
      <c r="AB964" s="477" t="str">
        <f>IF(AA964=" "," ",IF(NOT(ISBLANK(X964)),VLOOKUP($D$3+X964,Calcs!$A$110:$C$122,3,TRUE),IF(AA964="Failed",VLOOKUP($D$3,Calcs!$A$110:$C$122,3,TRUE),VLOOKUP($D$3-(IF((Character!$B$9+W964)&gt;($D$3+Y964),(Character!$B$9+W964)-($D$3+Y964),0)),Calcs!$A$110:$C$122,3,TRUE))))</f>
        <v xml:space="preserve"> </v>
      </c>
      <c r="AC964" s="489"/>
      <c r="AD964" s="489" t="str">
        <f>IF(IF(AA964=" "," ",IF(NOT(ISBLANK(X964)),VLOOKUP($D$3+X964,Calcs!$A$110:$B$122,2,TRUE),IF(AA964="Failed",VLOOKUP($D$3,Calcs!$A$110:$B$122,2,TRUE),VLOOKUP($D$3-(IF((Character!$B$9+W964)&gt;($D$3+Y964),(Character!$B$9+W964)-($D$3+Y964),0)),Calcs!$A$110:$B$122,2,TRUE))))=Calcs!$B$120,IF(ISBLANK(AC964)," ",CONCATENATE(AC964+7," Years")),IF(AA964=" "," ",IF(NOT(ISBLANK(X964)),VLOOKUP($D$3+X964,Calcs!$A$110:$B$122,2,TRUE),IF(AA964="Failed",VLOOKUP($D$3,Calcs!$A$110:$B$122,2,TRUE),VLOOKUP($D$3-(IF((Character!$B$9+W964)&gt;($D$3+Y964),(Character!$B$9+W964)-($D$3+Y964),0)),Calcs!$A$110:$B$122,2,TRUE)))))</f>
        <v xml:space="preserve"> </v>
      </c>
      <c r="AE964" s="490"/>
      <c r="AF964" s="879"/>
      <c r="AG964" s="491"/>
    </row>
    <row r="965" spans="1:33" x14ac:dyDescent="0.2">
      <c r="A965" s="415">
        <f t="shared" si="28"/>
        <v>1451</v>
      </c>
      <c r="B965" s="419" t="str">
        <f t="shared" si="29"/>
        <v>Spring</v>
      </c>
      <c r="C965" s="455"/>
      <c r="D965" s="504"/>
      <c r="E965" s="455"/>
      <c r="F965" s="504"/>
      <c r="G965" s="455"/>
      <c r="H965" s="504"/>
      <c r="I965" s="455"/>
      <c r="J965" s="504"/>
      <c r="L965" s="472"/>
      <c r="M965" s="468"/>
      <c r="N965" s="468"/>
      <c r="O965" s="468"/>
      <c r="P965" s="468"/>
      <c r="Q965" s="473"/>
      <c r="R965" s="477" t="str">
        <f>IF(AND(COUNTIF('Start Character'!$I$63:$M$77,"Twilight Prone")=1,NOT(ISERROR(FIND("Magical Botch",M965)))),"Yes",IF(P965&gt;1,"Yes","No"))</f>
        <v>No</v>
      </c>
      <c r="S965" s="501"/>
      <c r="T965" s="478"/>
      <c r="U965" s="501"/>
      <c r="V965" s="479" t="str">
        <f>IF(R965="No","No Twilight",IF(T965="Yes","Uncomprehended Twilight",IF((Character!$B$14+IF(Character!$B$53="Yes",0,Character!$B$53)+IF(Magic!$C$5="Yes",2,0)+ROUNDUP((Magic!$B$30+IF(Magic!$C$30="Yes",3,0))/5,0)+S965)&gt;=($D$3+P965+SUMIF(Character!$I$62:$I$66,"Enigmatic Wisdom",Character!$J$62:$J$66)+Q965+U965),"No Twilight","Twilight")))</f>
        <v>No Twilight</v>
      </c>
      <c r="W965" s="483"/>
      <c r="X965" s="478"/>
      <c r="Y965" s="484"/>
      <c r="Z965" s="478"/>
      <c r="AA965" s="485" t="str">
        <f>IF(V965="Uncomprehended Twilight","Failed",IF(OR(ISBLANK(W965),ISBLANK(Y965))," ",IF(NOT(ISBLANK(X965)),"Failed",IF((W965+Character!$B$9+SUMIF(Character!$I$62:$I$66,"Enigmatic Wisdom",Character!$J$62:$J$66))&gt;=IF(Z965="Yes",0,(Y965+D960)),"Succeeded","Failed"))))</f>
        <v xml:space="preserve"> </v>
      </c>
      <c r="AB965" s="477" t="str">
        <f>IF(AA965=" "," ",IF(NOT(ISBLANK(X965)),VLOOKUP($D$3+X965,Calcs!$A$110:$C$122,3,TRUE),IF(AA965="Failed",VLOOKUP($D$3,Calcs!$A$110:$C$122,3,TRUE),VLOOKUP($D$3-(IF((Character!$B$9+W965)&gt;($D$3+Y965),(Character!$B$9+W965)-($D$3+Y965),0)),Calcs!$A$110:$C$122,3,TRUE))))</f>
        <v xml:space="preserve"> </v>
      </c>
      <c r="AC965" s="489"/>
      <c r="AD965" s="489" t="str">
        <f>IF(IF(AA965=" "," ",IF(NOT(ISBLANK(X965)),VLOOKUP($D$3+X965,Calcs!$A$110:$B$122,2,TRUE),IF(AA965="Failed",VLOOKUP($D$3,Calcs!$A$110:$B$122,2,TRUE),VLOOKUP($D$3-(IF((Character!$B$9+W965)&gt;($D$3+Y965),(Character!$B$9+W965)-($D$3+Y965),0)),Calcs!$A$110:$B$122,2,TRUE))))=Calcs!$B$120,IF(ISBLANK(AC965)," ",CONCATENATE(AC965+7," Years")),IF(AA965=" "," ",IF(NOT(ISBLANK(X965)),VLOOKUP($D$3+X965,Calcs!$A$110:$B$122,2,TRUE),IF(AA965="Failed",VLOOKUP($D$3,Calcs!$A$110:$B$122,2,TRUE),VLOOKUP($D$3-(IF((Character!$B$9+W965)&gt;($D$3+Y965),(Character!$B$9+W965)-($D$3+Y965),0)),Calcs!$A$110:$B$122,2,TRUE)))))</f>
        <v xml:space="preserve"> </v>
      </c>
      <c r="AE965" s="490"/>
      <c r="AF965" s="879"/>
      <c r="AG965" s="491"/>
    </row>
    <row r="966" spans="1:33" x14ac:dyDescent="0.2">
      <c r="A966" s="415">
        <f t="shared" si="28"/>
        <v>1451</v>
      </c>
      <c r="B966" s="419" t="str">
        <f t="shared" si="29"/>
        <v>Summer</v>
      </c>
      <c r="C966" s="455"/>
      <c r="D966" s="504"/>
      <c r="E966" s="455"/>
      <c r="F966" s="504"/>
      <c r="G966" s="455"/>
      <c r="H966" s="504"/>
      <c r="I966" s="455"/>
      <c r="J966" s="504"/>
      <c r="L966" s="472"/>
      <c r="M966" s="468"/>
      <c r="N966" s="468"/>
      <c r="O966" s="468"/>
      <c r="P966" s="468"/>
      <c r="Q966" s="473"/>
      <c r="R966" s="477" t="str">
        <f>IF(AND(COUNTIF('Start Character'!$I$63:$M$77,"Twilight Prone")=1,NOT(ISERROR(FIND("Magical Botch",M966)))),"Yes",IF(P966&gt;1,"Yes","No"))</f>
        <v>No</v>
      </c>
      <c r="S966" s="501"/>
      <c r="T966" s="478"/>
      <c r="U966" s="501"/>
      <c r="V966" s="479" t="str">
        <f>IF(R966="No","No Twilight",IF(T966="Yes","Uncomprehended Twilight",IF((Character!$B$14+IF(Character!$B$53="Yes",0,Character!$B$53)+IF(Magic!$C$5="Yes",2,0)+ROUNDUP((Magic!$B$30+IF(Magic!$C$30="Yes",3,0))/5,0)+S966)&gt;=($D$3+P966+SUMIF(Character!$I$62:$I$66,"Enigmatic Wisdom",Character!$J$62:$J$66)+Q966+U966),"No Twilight","Twilight")))</f>
        <v>No Twilight</v>
      </c>
      <c r="W966" s="483"/>
      <c r="X966" s="478"/>
      <c r="Y966" s="484"/>
      <c r="Z966" s="478"/>
      <c r="AA966" s="485" t="str">
        <f>IF(V966="Uncomprehended Twilight","Failed",IF(OR(ISBLANK(W966),ISBLANK(Y966))," ",IF(NOT(ISBLANK(X966)),"Failed",IF((W966+Character!$B$9+SUMIF(Character!$I$62:$I$66,"Enigmatic Wisdom",Character!$J$62:$J$66))&gt;=IF(Z966="Yes",0,(Y966+D961)),"Succeeded","Failed"))))</f>
        <v xml:space="preserve"> </v>
      </c>
      <c r="AB966" s="477" t="str">
        <f>IF(AA966=" "," ",IF(NOT(ISBLANK(X966)),VLOOKUP($D$3+X966,Calcs!$A$110:$C$122,3,TRUE),IF(AA966="Failed",VLOOKUP($D$3,Calcs!$A$110:$C$122,3,TRUE),VLOOKUP($D$3-(IF((Character!$B$9+W966)&gt;($D$3+Y966),(Character!$B$9+W966)-($D$3+Y966),0)),Calcs!$A$110:$C$122,3,TRUE))))</f>
        <v xml:space="preserve"> </v>
      </c>
      <c r="AC966" s="489"/>
      <c r="AD966" s="489" t="str">
        <f>IF(IF(AA966=" "," ",IF(NOT(ISBLANK(X966)),VLOOKUP($D$3+X966,Calcs!$A$110:$B$122,2,TRUE),IF(AA966="Failed",VLOOKUP($D$3,Calcs!$A$110:$B$122,2,TRUE),VLOOKUP($D$3-(IF((Character!$B$9+W966)&gt;($D$3+Y966),(Character!$B$9+W966)-($D$3+Y966),0)),Calcs!$A$110:$B$122,2,TRUE))))=Calcs!$B$120,IF(ISBLANK(AC966)," ",CONCATENATE(AC966+7," Years")),IF(AA966=" "," ",IF(NOT(ISBLANK(X966)),VLOOKUP($D$3+X966,Calcs!$A$110:$B$122,2,TRUE),IF(AA966="Failed",VLOOKUP($D$3,Calcs!$A$110:$B$122,2,TRUE),VLOOKUP($D$3-(IF((Character!$B$9+W966)&gt;($D$3+Y966),(Character!$B$9+W966)-($D$3+Y966),0)),Calcs!$A$110:$B$122,2,TRUE)))))</f>
        <v xml:space="preserve"> </v>
      </c>
      <c r="AE966" s="490"/>
      <c r="AF966" s="879"/>
      <c r="AG966" s="491"/>
    </row>
    <row r="967" spans="1:33" x14ac:dyDescent="0.2">
      <c r="A967" s="415">
        <f t="shared" si="28"/>
        <v>1451</v>
      </c>
      <c r="B967" s="419" t="str">
        <f t="shared" si="29"/>
        <v>Autumn</v>
      </c>
      <c r="C967" s="455"/>
      <c r="D967" s="504"/>
      <c r="E967" s="455"/>
      <c r="F967" s="504"/>
      <c r="G967" s="455"/>
      <c r="H967" s="504"/>
      <c r="I967" s="455"/>
      <c r="J967" s="504"/>
      <c r="L967" s="472"/>
      <c r="M967" s="468"/>
      <c r="N967" s="468"/>
      <c r="O967" s="468"/>
      <c r="P967" s="468"/>
      <c r="Q967" s="473"/>
      <c r="R967" s="477" t="str">
        <f>IF(AND(COUNTIF('Start Character'!$I$63:$M$77,"Twilight Prone")=1,NOT(ISERROR(FIND("Magical Botch",M967)))),"Yes",IF(P967&gt;1,"Yes","No"))</f>
        <v>No</v>
      </c>
      <c r="S967" s="501"/>
      <c r="T967" s="478"/>
      <c r="U967" s="501"/>
      <c r="V967" s="479" t="str">
        <f>IF(R967="No","No Twilight",IF(T967="Yes","Uncomprehended Twilight",IF((Character!$B$14+IF(Character!$B$53="Yes",0,Character!$B$53)+IF(Magic!$C$5="Yes",2,0)+ROUNDUP((Magic!$B$30+IF(Magic!$C$30="Yes",3,0))/5,0)+S967)&gt;=($D$3+P967+SUMIF(Character!$I$62:$I$66,"Enigmatic Wisdom",Character!$J$62:$J$66)+Q967+U967),"No Twilight","Twilight")))</f>
        <v>No Twilight</v>
      </c>
      <c r="W967" s="483"/>
      <c r="X967" s="478"/>
      <c r="Y967" s="484"/>
      <c r="Z967" s="478"/>
      <c r="AA967" s="485" t="str">
        <f>IF(V967="Uncomprehended Twilight","Failed",IF(OR(ISBLANK(W967),ISBLANK(Y967))," ",IF(NOT(ISBLANK(X967)),"Failed",IF((W967+Character!$B$9+SUMIF(Character!$I$62:$I$66,"Enigmatic Wisdom",Character!$J$62:$J$66))&gt;=IF(Z967="Yes",0,(Y967+D962)),"Succeeded","Failed"))))</f>
        <v xml:space="preserve"> </v>
      </c>
      <c r="AB967" s="477" t="str">
        <f>IF(AA967=" "," ",IF(NOT(ISBLANK(X967)),VLOOKUP($D$3+X967,Calcs!$A$110:$C$122,3,TRUE),IF(AA967="Failed",VLOOKUP($D$3,Calcs!$A$110:$C$122,3,TRUE),VLOOKUP($D$3-(IF((Character!$B$9+W967)&gt;($D$3+Y967),(Character!$B$9+W967)-($D$3+Y967),0)),Calcs!$A$110:$C$122,3,TRUE))))</f>
        <v xml:space="preserve"> </v>
      </c>
      <c r="AC967" s="489"/>
      <c r="AD967" s="489" t="str">
        <f>IF(IF(AA967=" "," ",IF(NOT(ISBLANK(X967)),VLOOKUP($D$3+X967,Calcs!$A$110:$B$122,2,TRUE),IF(AA967="Failed",VLOOKUP($D$3,Calcs!$A$110:$B$122,2,TRUE),VLOOKUP($D$3-(IF((Character!$B$9+W967)&gt;($D$3+Y967),(Character!$B$9+W967)-($D$3+Y967),0)),Calcs!$A$110:$B$122,2,TRUE))))=Calcs!$B$120,IF(ISBLANK(AC967)," ",CONCATENATE(AC967+7," Years")),IF(AA967=" "," ",IF(NOT(ISBLANK(X967)),VLOOKUP($D$3+X967,Calcs!$A$110:$B$122,2,TRUE),IF(AA967="Failed",VLOOKUP($D$3,Calcs!$A$110:$B$122,2,TRUE),VLOOKUP($D$3-(IF((Character!$B$9+W967)&gt;($D$3+Y967),(Character!$B$9+W967)-($D$3+Y967),0)),Calcs!$A$110:$B$122,2,TRUE)))))</f>
        <v xml:space="preserve"> </v>
      </c>
      <c r="AE967" s="490"/>
      <c r="AF967" s="879"/>
      <c r="AG967" s="491"/>
    </row>
    <row r="968" spans="1:33" x14ac:dyDescent="0.2">
      <c r="A968" s="415">
        <f t="shared" si="28"/>
        <v>1452</v>
      </c>
      <c r="B968" s="419" t="str">
        <f t="shared" si="29"/>
        <v>Winter</v>
      </c>
      <c r="C968" s="455"/>
      <c r="D968" s="504"/>
      <c r="E968" s="455"/>
      <c r="F968" s="504"/>
      <c r="G968" s="455"/>
      <c r="H968" s="504"/>
      <c r="I968" s="455"/>
      <c r="J968" s="504"/>
      <c r="L968" s="472"/>
      <c r="M968" s="468"/>
      <c r="N968" s="468"/>
      <c r="O968" s="468"/>
      <c r="P968" s="468"/>
      <c r="Q968" s="473"/>
      <c r="R968" s="477" t="str">
        <f>IF(AND(COUNTIF('Start Character'!$I$63:$M$77,"Twilight Prone")=1,NOT(ISERROR(FIND("Magical Botch",M968)))),"Yes",IF(P968&gt;1,"Yes","No"))</f>
        <v>No</v>
      </c>
      <c r="S968" s="501"/>
      <c r="T968" s="478"/>
      <c r="U968" s="501"/>
      <c r="V968" s="479" t="str">
        <f>IF(R968="No","No Twilight",IF(T968="Yes","Uncomprehended Twilight",IF((Character!$B$14+IF(Character!$B$53="Yes",0,Character!$B$53)+IF(Magic!$C$5="Yes",2,0)+ROUNDUP((Magic!$B$30+IF(Magic!$C$30="Yes",3,0))/5,0)+S968)&gt;=($D$3+P968+SUMIF(Character!$I$62:$I$66,"Enigmatic Wisdom",Character!$J$62:$J$66)+Q968+U968),"No Twilight","Twilight")))</f>
        <v>No Twilight</v>
      </c>
      <c r="W968" s="483"/>
      <c r="X968" s="478"/>
      <c r="Y968" s="484"/>
      <c r="Z968" s="478"/>
      <c r="AA968" s="485" t="str">
        <f>IF(V968="Uncomprehended Twilight","Failed",IF(OR(ISBLANK(W968),ISBLANK(Y968))," ",IF(NOT(ISBLANK(X968)),"Failed",IF((W968+Character!$B$9+SUMIF(Character!$I$62:$I$66,"Enigmatic Wisdom",Character!$J$62:$J$66))&gt;=IF(Z968="Yes",0,(Y968+D963)),"Succeeded","Failed"))))</f>
        <v xml:space="preserve"> </v>
      </c>
      <c r="AB968" s="477" t="str">
        <f>IF(AA968=" "," ",IF(NOT(ISBLANK(X968)),VLOOKUP($D$3+X968,Calcs!$A$110:$C$122,3,TRUE),IF(AA968="Failed",VLOOKUP($D$3,Calcs!$A$110:$C$122,3,TRUE),VLOOKUP($D$3-(IF((Character!$B$9+W968)&gt;($D$3+Y968),(Character!$B$9+W968)-($D$3+Y968),0)),Calcs!$A$110:$C$122,3,TRUE))))</f>
        <v xml:space="preserve"> </v>
      </c>
      <c r="AC968" s="489"/>
      <c r="AD968" s="489" t="str">
        <f>IF(IF(AA968=" "," ",IF(NOT(ISBLANK(X968)),VLOOKUP($D$3+X968,Calcs!$A$110:$B$122,2,TRUE),IF(AA968="Failed",VLOOKUP($D$3,Calcs!$A$110:$B$122,2,TRUE),VLOOKUP($D$3-(IF((Character!$B$9+W968)&gt;($D$3+Y968),(Character!$B$9+W968)-($D$3+Y968),0)),Calcs!$A$110:$B$122,2,TRUE))))=Calcs!$B$120,IF(ISBLANK(AC968)," ",CONCATENATE(AC968+7," Years")),IF(AA968=" "," ",IF(NOT(ISBLANK(X968)),VLOOKUP($D$3+X968,Calcs!$A$110:$B$122,2,TRUE),IF(AA968="Failed",VLOOKUP($D$3,Calcs!$A$110:$B$122,2,TRUE),VLOOKUP($D$3-(IF((Character!$B$9+W968)&gt;($D$3+Y968),(Character!$B$9+W968)-($D$3+Y968),0)),Calcs!$A$110:$B$122,2,TRUE)))))</f>
        <v xml:space="preserve"> </v>
      </c>
      <c r="AE968" s="490"/>
      <c r="AF968" s="879"/>
      <c r="AG968" s="491"/>
    </row>
    <row r="969" spans="1:33" x14ac:dyDescent="0.2">
      <c r="A969" s="415">
        <f t="shared" si="28"/>
        <v>1452</v>
      </c>
      <c r="B969" s="419" t="str">
        <f t="shared" si="29"/>
        <v>Spring</v>
      </c>
      <c r="C969" s="455"/>
      <c r="D969" s="504"/>
      <c r="E969" s="455"/>
      <c r="F969" s="504"/>
      <c r="G969" s="455"/>
      <c r="H969" s="504"/>
      <c r="I969" s="455"/>
      <c r="J969" s="504"/>
      <c r="L969" s="472"/>
      <c r="M969" s="468"/>
      <c r="N969" s="468"/>
      <c r="O969" s="468"/>
      <c r="P969" s="468"/>
      <c r="Q969" s="473"/>
      <c r="R969" s="477" t="str">
        <f>IF(AND(COUNTIF('Start Character'!$I$63:$M$77,"Twilight Prone")=1,NOT(ISERROR(FIND("Magical Botch",M969)))),"Yes",IF(P969&gt;1,"Yes","No"))</f>
        <v>No</v>
      </c>
      <c r="S969" s="501"/>
      <c r="T969" s="478"/>
      <c r="U969" s="501"/>
      <c r="V969" s="479" t="str">
        <f>IF(R969="No","No Twilight",IF(T969="Yes","Uncomprehended Twilight",IF((Character!$B$14+IF(Character!$B$53="Yes",0,Character!$B$53)+IF(Magic!$C$5="Yes",2,0)+ROUNDUP((Magic!$B$30+IF(Magic!$C$30="Yes",3,0))/5,0)+S969)&gt;=($D$3+P969+SUMIF(Character!$I$62:$I$66,"Enigmatic Wisdom",Character!$J$62:$J$66)+Q969+U969),"No Twilight","Twilight")))</f>
        <v>No Twilight</v>
      </c>
      <c r="W969" s="483"/>
      <c r="X969" s="478"/>
      <c r="Y969" s="484"/>
      <c r="Z969" s="478"/>
      <c r="AA969" s="485" t="str">
        <f>IF(V969="Uncomprehended Twilight","Failed",IF(OR(ISBLANK(W969),ISBLANK(Y969))," ",IF(NOT(ISBLANK(X969)),"Failed",IF((W969+Character!$B$9+SUMIF(Character!$I$62:$I$66,"Enigmatic Wisdom",Character!$J$62:$J$66))&gt;=IF(Z969="Yes",0,(Y969+D964)),"Succeeded","Failed"))))</f>
        <v xml:space="preserve"> </v>
      </c>
      <c r="AB969" s="477" t="str">
        <f>IF(AA969=" "," ",IF(NOT(ISBLANK(X969)),VLOOKUP($D$3+X969,Calcs!$A$110:$C$122,3,TRUE),IF(AA969="Failed",VLOOKUP($D$3,Calcs!$A$110:$C$122,3,TRUE),VLOOKUP($D$3-(IF((Character!$B$9+W969)&gt;($D$3+Y969),(Character!$B$9+W969)-($D$3+Y969),0)),Calcs!$A$110:$C$122,3,TRUE))))</f>
        <v xml:space="preserve"> </v>
      </c>
      <c r="AC969" s="489"/>
      <c r="AD969" s="489" t="str">
        <f>IF(IF(AA969=" "," ",IF(NOT(ISBLANK(X969)),VLOOKUP($D$3+X969,Calcs!$A$110:$B$122,2,TRUE),IF(AA969="Failed",VLOOKUP($D$3,Calcs!$A$110:$B$122,2,TRUE),VLOOKUP($D$3-(IF((Character!$B$9+W969)&gt;($D$3+Y969),(Character!$B$9+W969)-($D$3+Y969),0)),Calcs!$A$110:$B$122,2,TRUE))))=Calcs!$B$120,IF(ISBLANK(AC969)," ",CONCATENATE(AC969+7," Years")),IF(AA969=" "," ",IF(NOT(ISBLANK(X969)),VLOOKUP($D$3+X969,Calcs!$A$110:$B$122,2,TRUE),IF(AA969="Failed",VLOOKUP($D$3,Calcs!$A$110:$B$122,2,TRUE),VLOOKUP($D$3-(IF((Character!$B$9+W969)&gt;($D$3+Y969),(Character!$B$9+W969)-($D$3+Y969),0)),Calcs!$A$110:$B$122,2,TRUE)))))</f>
        <v xml:space="preserve"> </v>
      </c>
      <c r="AE969" s="490"/>
      <c r="AF969" s="879"/>
      <c r="AG969" s="491"/>
    </row>
    <row r="970" spans="1:33" x14ac:dyDescent="0.2">
      <c r="A970" s="415">
        <f t="shared" si="28"/>
        <v>1452</v>
      </c>
      <c r="B970" s="419" t="str">
        <f t="shared" si="29"/>
        <v>Summer</v>
      </c>
      <c r="C970" s="455"/>
      <c r="D970" s="504"/>
      <c r="E970" s="455"/>
      <c r="F970" s="504"/>
      <c r="G970" s="455"/>
      <c r="H970" s="504"/>
      <c r="I970" s="455"/>
      <c r="J970" s="504"/>
      <c r="L970" s="472"/>
      <c r="M970" s="468"/>
      <c r="N970" s="468"/>
      <c r="O970" s="468"/>
      <c r="P970" s="468"/>
      <c r="Q970" s="473"/>
      <c r="R970" s="477" t="str">
        <f>IF(AND(COUNTIF('Start Character'!$I$63:$M$77,"Twilight Prone")=1,NOT(ISERROR(FIND("Magical Botch",M970)))),"Yes",IF(P970&gt;1,"Yes","No"))</f>
        <v>No</v>
      </c>
      <c r="S970" s="501"/>
      <c r="T970" s="478"/>
      <c r="U970" s="501"/>
      <c r="V970" s="479" t="str">
        <f>IF(R970="No","No Twilight",IF(T970="Yes","Uncomprehended Twilight",IF((Character!$B$14+IF(Character!$B$53="Yes",0,Character!$B$53)+IF(Magic!$C$5="Yes",2,0)+ROUNDUP((Magic!$B$30+IF(Magic!$C$30="Yes",3,0))/5,0)+S970)&gt;=($D$3+P970+SUMIF(Character!$I$62:$I$66,"Enigmatic Wisdom",Character!$J$62:$J$66)+Q970+U970),"No Twilight","Twilight")))</f>
        <v>No Twilight</v>
      </c>
      <c r="W970" s="483"/>
      <c r="X970" s="478"/>
      <c r="Y970" s="484"/>
      <c r="Z970" s="478"/>
      <c r="AA970" s="485" t="str">
        <f>IF(V970="Uncomprehended Twilight","Failed",IF(OR(ISBLANK(W970),ISBLANK(Y970))," ",IF(NOT(ISBLANK(X970)),"Failed",IF((W970+Character!$B$9+SUMIF(Character!$I$62:$I$66,"Enigmatic Wisdom",Character!$J$62:$J$66))&gt;=IF(Z970="Yes",0,(Y970+D965)),"Succeeded","Failed"))))</f>
        <v xml:space="preserve"> </v>
      </c>
      <c r="AB970" s="477" t="str">
        <f>IF(AA970=" "," ",IF(NOT(ISBLANK(X970)),VLOOKUP($D$3+X970,Calcs!$A$110:$C$122,3,TRUE),IF(AA970="Failed",VLOOKUP($D$3,Calcs!$A$110:$C$122,3,TRUE),VLOOKUP($D$3-(IF((Character!$B$9+W970)&gt;($D$3+Y970),(Character!$B$9+W970)-($D$3+Y970),0)),Calcs!$A$110:$C$122,3,TRUE))))</f>
        <v xml:space="preserve"> </v>
      </c>
      <c r="AC970" s="489"/>
      <c r="AD970" s="489" t="str">
        <f>IF(IF(AA970=" "," ",IF(NOT(ISBLANK(X970)),VLOOKUP($D$3+X970,Calcs!$A$110:$B$122,2,TRUE),IF(AA970="Failed",VLOOKUP($D$3,Calcs!$A$110:$B$122,2,TRUE),VLOOKUP($D$3-(IF((Character!$B$9+W970)&gt;($D$3+Y970),(Character!$B$9+W970)-($D$3+Y970),0)),Calcs!$A$110:$B$122,2,TRUE))))=Calcs!$B$120,IF(ISBLANK(AC970)," ",CONCATENATE(AC970+7," Years")),IF(AA970=" "," ",IF(NOT(ISBLANK(X970)),VLOOKUP($D$3+X970,Calcs!$A$110:$B$122,2,TRUE),IF(AA970="Failed",VLOOKUP($D$3,Calcs!$A$110:$B$122,2,TRUE),VLOOKUP($D$3-(IF((Character!$B$9+W970)&gt;($D$3+Y970),(Character!$B$9+W970)-($D$3+Y970),0)),Calcs!$A$110:$B$122,2,TRUE)))))</f>
        <v xml:space="preserve"> </v>
      </c>
      <c r="AE970" s="490"/>
      <c r="AF970" s="879"/>
      <c r="AG970" s="491"/>
    </row>
    <row r="971" spans="1:33" x14ac:dyDescent="0.2">
      <c r="A971" s="415">
        <f t="shared" si="28"/>
        <v>1452</v>
      </c>
      <c r="B971" s="419" t="str">
        <f t="shared" si="29"/>
        <v>Autumn</v>
      </c>
      <c r="C971" s="455"/>
      <c r="D971" s="504"/>
      <c r="E971" s="455"/>
      <c r="F971" s="504"/>
      <c r="G971" s="455"/>
      <c r="H971" s="504"/>
      <c r="I971" s="455"/>
      <c r="J971" s="504"/>
      <c r="L971" s="472"/>
      <c r="M971" s="468"/>
      <c r="N971" s="468"/>
      <c r="O971" s="468"/>
      <c r="P971" s="468"/>
      <c r="Q971" s="473"/>
      <c r="R971" s="477" t="str">
        <f>IF(AND(COUNTIF('Start Character'!$I$63:$M$77,"Twilight Prone")=1,NOT(ISERROR(FIND("Magical Botch",M971)))),"Yes",IF(P971&gt;1,"Yes","No"))</f>
        <v>No</v>
      </c>
      <c r="S971" s="501"/>
      <c r="T971" s="478"/>
      <c r="U971" s="501"/>
      <c r="V971" s="479" t="str">
        <f>IF(R971="No","No Twilight",IF(T971="Yes","Uncomprehended Twilight",IF((Character!$B$14+IF(Character!$B$53="Yes",0,Character!$B$53)+IF(Magic!$C$5="Yes",2,0)+ROUNDUP((Magic!$B$30+IF(Magic!$C$30="Yes",3,0))/5,0)+S971)&gt;=($D$3+P971+SUMIF(Character!$I$62:$I$66,"Enigmatic Wisdom",Character!$J$62:$J$66)+Q971+U971),"No Twilight","Twilight")))</f>
        <v>No Twilight</v>
      </c>
      <c r="W971" s="483"/>
      <c r="X971" s="478"/>
      <c r="Y971" s="484"/>
      <c r="Z971" s="478"/>
      <c r="AA971" s="485" t="str">
        <f>IF(V971="Uncomprehended Twilight","Failed",IF(OR(ISBLANK(W971),ISBLANK(Y971))," ",IF(NOT(ISBLANK(X971)),"Failed",IF((W971+Character!$B$9+SUMIF(Character!$I$62:$I$66,"Enigmatic Wisdom",Character!$J$62:$J$66))&gt;=IF(Z971="Yes",0,(Y971+D966)),"Succeeded","Failed"))))</f>
        <v xml:space="preserve"> </v>
      </c>
      <c r="AB971" s="477" t="str">
        <f>IF(AA971=" "," ",IF(NOT(ISBLANK(X971)),VLOOKUP($D$3+X971,Calcs!$A$110:$C$122,3,TRUE),IF(AA971="Failed",VLOOKUP($D$3,Calcs!$A$110:$C$122,3,TRUE),VLOOKUP($D$3-(IF((Character!$B$9+W971)&gt;($D$3+Y971),(Character!$B$9+W971)-($D$3+Y971),0)),Calcs!$A$110:$C$122,3,TRUE))))</f>
        <v xml:space="preserve"> </v>
      </c>
      <c r="AC971" s="489"/>
      <c r="AD971" s="489" t="str">
        <f>IF(IF(AA971=" "," ",IF(NOT(ISBLANK(X971)),VLOOKUP($D$3+X971,Calcs!$A$110:$B$122,2,TRUE),IF(AA971="Failed",VLOOKUP($D$3,Calcs!$A$110:$B$122,2,TRUE),VLOOKUP($D$3-(IF((Character!$B$9+W971)&gt;($D$3+Y971),(Character!$B$9+W971)-($D$3+Y971),0)),Calcs!$A$110:$B$122,2,TRUE))))=Calcs!$B$120,IF(ISBLANK(AC971)," ",CONCATENATE(AC971+7," Years")),IF(AA971=" "," ",IF(NOT(ISBLANK(X971)),VLOOKUP($D$3+X971,Calcs!$A$110:$B$122,2,TRUE),IF(AA971="Failed",VLOOKUP($D$3,Calcs!$A$110:$B$122,2,TRUE),VLOOKUP($D$3-(IF((Character!$B$9+W971)&gt;($D$3+Y971),(Character!$B$9+W971)-($D$3+Y971),0)),Calcs!$A$110:$B$122,2,TRUE)))))</f>
        <v xml:space="preserve"> </v>
      </c>
      <c r="AE971" s="490"/>
      <c r="AF971" s="879"/>
      <c r="AG971" s="491"/>
    </row>
    <row r="972" spans="1:33" x14ac:dyDescent="0.2">
      <c r="A972" s="415">
        <f t="shared" si="28"/>
        <v>1453</v>
      </c>
      <c r="B972" s="419" t="str">
        <f t="shared" si="29"/>
        <v>Winter</v>
      </c>
      <c r="C972" s="455"/>
      <c r="D972" s="504"/>
      <c r="E972" s="455"/>
      <c r="F972" s="504"/>
      <c r="G972" s="455"/>
      <c r="H972" s="504"/>
      <c r="I972" s="455"/>
      <c r="J972" s="504"/>
      <c r="L972" s="472"/>
      <c r="M972" s="468"/>
      <c r="N972" s="468"/>
      <c r="O972" s="468"/>
      <c r="P972" s="468"/>
      <c r="Q972" s="473"/>
      <c r="R972" s="477" t="str">
        <f>IF(AND(COUNTIF('Start Character'!$I$63:$M$77,"Twilight Prone")=1,NOT(ISERROR(FIND("Magical Botch",M972)))),"Yes",IF(P972&gt;1,"Yes","No"))</f>
        <v>No</v>
      </c>
      <c r="S972" s="501"/>
      <c r="T972" s="478"/>
      <c r="U972" s="501"/>
      <c r="V972" s="479" t="str">
        <f>IF(R972="No","No Twilight",IF(T972="Yes","Uncomprehended Twilight",IF((Character!$B$14+IF(Character!$B$53="Yes",0,Character!$B$53)+IF(Magic!$C$5="Yes",2,0)+ROUNDUP((Magic!$B$30+IF(Magic!$C$30="Yes",3,0))/5,0)+S972)&gt;=($D$3+P972+SUMIF(Character!$I$62:$I$66,"Enigmatic Wisdom",Character!$J$62:$J$66)+Q972+U972),"No Twilight","Twilight")))</f>
        <v>No Twilight</v>
      </c>
      <c r="W972" s="483"/>
      <c r="X972" s="478"/>
      <c r="Y972" s="484"/>
      <c r="Z972" s="478"/>
      <c r="AA972" s="485" t="str">
        <f>IF(V972="Uncomprehended Twilight","Failed",IF(OR(ISBLANK(W972),ISBLANK(Y972))," ",IF(NOT(ISBLANK(X972)),"Failed",IF((W972+Character!$B$9+SUMIF(Character!$I$62:$I$66,"Enigmatic Wisdom",Character!$J$62:$J$66))&gt;=IF(Z972="Yes",0,(Y972+D967)),"Succeeded","Failed"))))</f>
        <v xml:space="preserve"> </v>
      </c>
      <c r="AB972" s="477" t="str">
        <f>IF(AA972=" "," ",IF(NOT(ISBLANK(X972)),VLOOKUP($D$3+X972,Calcs!$A$110:$C$122,3,TRUE),IF(AA972="Failed",VLOOKUP($D$3,Calcs!$A$110:$C$122,3,TRUE),VLOOKUP($D$3-(IF((Character!$B$9+W972)&gt;($D$3+Y972),(Character!$B$9+W972)-($D$3+Y972),0)),Calcs!$A$110:$C$122,3,TRUE))))</f>
        <v xml:space="preserve"> </v>
      </c>
      <c r="AC972" s="489"/>
      <c r="AD972" s="489" t="str">
        <f>IF(IF(AA972=" "," ",IF(NOT(ISBLANK(X972)),VLOOKUP($D$3+X972,Calcs!$A$110:$B$122,2,TRUE),IF(AA972="Failed",VLOOKUP($D$3,Calcs!$A$110:$B$122,2,TRUE),VLOOKUP($D$3-(IF((Character!$B$9+W972)&gt;($D$3+Y972),(Character!$B$9+W972)-($D$3+Y972),0)),Calcs!$A$110:$B$122,2,TRUE))))=Calcs!$B$120,IF(ISBLANK(AC972)," ",CONCATENATE(AC972+7," Years")),IF(AA972=" "," ",IF(NOT(ISBLANK(X972)),VLOOKUP($D$3+X972,Calcs!$A$110:$B$122,2,TRUE),IF(AA972="Failed",VLOOKUP($D$3,Calcs!$A$110:$B$122,2,TRUE),VLOOKUP($D$3-(IF((Character!$B$9+W972)&gt;($D$3+Y972),(Character!$B$9+W972)-($D$3+Y972),0)),Calcs!$A$110:$B$122,2,TRUE)))))</f>
        <v xml:space="preserve"> </v>
      </c>
      <c r="AE972" s="490"/>
      <c r="AF972" s="879"/>
      <c r="AG972" s="491"/>
    </row>
    <row r="973" spans="1:33" x14ac:dyDescent="0.2">
      <c r="A973" s="415">
        <f t="shared" si="28"/>
        <v>1453</v>
      </c>
      <c r="B973" s="419" t="str">
        <f t="shared" si="29"/>
        <v>Spring</v>
      </c>
      <c r="C973" s="455"/>
      <c r="D973" s="504"/>
      <c r="E973" s="455"/>
      <c r="F973" s="504"/>
      <c r="G973" s="455"/>
      <c r="H973" s="504"/>
      <c r="I973" s="455"/>
      <c r="J973" s="504"/>
      <c r="L973" s="472"/>
      <c r="M973" s="468"/>
      <c r="N973" s="468"/>
      <c r="O973" s="468"/>
      <c r="P973" s="468"/>
      <c r="Q973" s="473"/>
      <c r="R973" s="477" t="str">
        <f>IF(AND(COUNTIF('Start Character'!$I$63:$M$77,"Twilight Prone")=1,NOT(ISERROR(FIND("Magical Botch",M973)))),"Yes",IF(P973&gt;1,"Yes","No"))</f>
        <v>No</v>
      </c>
      <c r="S973" s="501"/>
      <c r="T973" s="478"/>
      <c r="U973" s="501"/>
      <c r="V973" s="479" t="str">
        <f>IF(R973="No","No Twilight",IF(T973="Yes","Uncomprehended Twilight",IF((Character!$B$14+IF(Character!$B$53="Yes",0,Character!$B$53)+IF(Magic!$C$5="Yes",2,0)+ROUNDUP((Magic!$B$30+IF(Magic!$C$30="Yes",3,0))/5,0)+S973)&gt;=($D$3+P973+SUMIF(Character!$I$62:$I$66,"Enigmatic Wisdom",Character!$J$62:$J$66)+Q973+U973),"No Twilight","Twilight")))</f>
        <v>No Twilight</v>
      </c>
      <c r="W973" s="483"/>
      <c r="X973" s="478"/>
      <c r="Y973" s="484"/>
      <c r="Z973" s="478"/>
      <c r="AA973" s="485" t="str">
        <f>IF(V973="Uncomprehended Twilight","Failed",IF(OR(ISBLANK(W973),ISBLANK(Y973))," ",IF(NOT(ISBLANK(X973)),"Failed",IF((W973+Character!$B$9+SUMIF(Character!$I$62:$I$66,"Enigmatic Wisdom",Character!$J$62:$J$66))&gt;=IF(Z973="Yes",0,(Y973+D968)),"Succeeded","Failed"))))</f>
        <v xml:space="preserve"> </v>
      </c>
      <c r="AB973" s="477" t="str">
        <f>IF(AA973=" "," ",IF(NOT(ISBLANK(X973)),VLOOKUP($D$3+X973,Calcs!$A$110:$C$122,3,TRUE),IF(AA973="Failed",VLOOKUP($D$3,Calcs!$A$110:$C$122,3,TRUE),VLOOKUP($D$3-(IF((Character!$B$9+W973)&gt;($D$3+Y973),(Character!$B$9+W973)-($D$3+Y973),0)),Calcs!$A$110:$C$122,3,TRUE))))</f>
        <v xml:space="preserve"> </v>
      </c>
      <c r="AC973" s="489"/>
      <c r="AD973" s="489" t="str">
        <f>IF(IF(AA973=" "," ",IF(NOT(ISBLANK(X973)),VLOOKUP($D$3+X973,Calcs!$A$110:$B$122,2,TRUE),IF(AA973="Failed",VLOOKUP($D$3,Calcs!$A$110:$B$122,2,TRUE),VLOOKUP($D$3-(IF((Character!$B$9+W973)&gt;($D$3+Y973),(Character!$B$9+W973)-($D$3+Y973),0)),Calcs!$A$110:$B$122,2,TRUE))))=Calcs!$B$120,IF(ISBLANK(AC973)," ",CONCATENATE(AC973+7," Years")),IF(AA973=" "," ",IF(NOT(ISBLANK(X973)),VLOOKUP($D$3+X973,Calcs!$A$110:$B$122,2,TRUE),IF(AA973="Failed",VLOOKUP($D$3,Calcs!$A$110:$B$122,2,TRUE),VLOOKUP($D$3-(IF((Character!$B$9+W973)&gt;($D$3+Y973),(Character!$B$9+W973)-($D$3+Y973),0)),Calcs!$A$110:$B$122,2,TRUE)))))</f>
        <v xml:space="preserve"> </v>
      </c>
      <c r="AE973" s="490"/>
      <c r="AF973" s="879"/>
      <c r="AG973" s="491"/>
    </row>
    <row r="974" spans="1:33" x14ac:dyDescent="0.2">
      <c r="A974" s="415">
        <f t="shared" si="28"/>
        <v>1453</v>
      </c>
      <c r="B974" s="419" t="str">
        <f t="shared" si="29"/>
        <v>Summer</v>
      </c>
      <c r="C974" s="455"/>
      <c r="D974" s="504"/>
      <c r="E974" s="455"/>
      <c r="F974" s="504"/>
      <c r="G974" s="455"/>
      <c r="H974" s="504"/>
      <c r="I974" s="455"/>
      <c r="J974" s="504"/>
      <c r="L974" s="472"/>
      <c r="M974" s="468"/>
      <c r="N974" s="468"/>
      <c r="O974" s="468"/>
      <c r="P974" s="468"/>
      <c r="Q974" s="473"/>
      <c r="R974" s="477" t="str">
        <f>IF(AND(COUNTIF('Start Character'!$I$63:$M$77,"Twilight Prone")=1,NOT(ISERROR(FIND("Magical Botch",M974)))),"Yes",IF(P974&gt;1,"Yes","No"))</f>
        <v>No</v>
      </c>
      <c r="S974" s="501"/>
      <c r="T974" s="478"/>
      <c r="U974" s="501"/>
      <c r="V974" s="479" t="str">
        <f>IF(R974="No","No Twilight",IF(T974="Yes","Uncomprehended Twilight",IF((Character!$B$14+IF(Character!$B$53="Yes",0,Character!$B$53)+IF(Magic!$C$5="Yes",2,0)+ROUNDUP((Magic!$B$30+IF(Magic!$C$30="Yes",3,0))/5,0)+S974)&gt;=($D$3+P974+SUMIF(Character!$I$62:$I$66,"Enigmatic Wisdom",Character!$J$62:$J$66)+Q974+U974),"No Twilight","Twilight")))</f>
        <v>No Twilight</v>
      </c>
      <c r="W974" s="483"/>
      <c r="X974" s="478"/>
      <c r="Y974" s="484"/>
      <c r="Z974" s="478"/>
      <c r="AA974" s="485" t="str">
        <f>IF(V974="Uncomprehended Twilight","Failed",IF(OR(ISBLANK(W974),ISBLANK(Y974))," ",IF(NOT(ISBLANK(X974)),"Failed",IF((W974+Character!$B$9+SUMIF(Character!$I$62:$I$66,"Enigmatic Wisdom",Character!$J$62:$J$66))&gt;=IF(Z974="Yes",0,(Y974+D969)),"Succeeded","Failed"))))</f>
        <v xml:space="preserve"> </v>
      </c>
      <c r="AB974" s="477" t="str">
        <f>IF(AA974=" "," ",IF(NOT(ISBLANK(X974)),VLOOKUP($D$3+X974,Calcs!$A$110:$C$122,3,TRUE),IF(AA974="Failed",VLOOKUP($D$3,Calcs!$A$110:$C$122,3,TRUE),VLOOKUP($D$3-(IF((Character!$B$9+W974)&gt;($D$3+Y974),(Character!$B$9+W974)-($D$3+Y974),0)),Calcs!$A$110:$C$122,3,TRUE))))</f>
        <v xml:space="preserve"> </v>
      </c>
      <c r="AC974" s="489"/>
      <c r="AD974" s="489" t="str">
        <f>IF(IF(AA974=" "," ",IF(NOT(ISBLANK(X974)),VLOOKUP($D$3+X974,Calcs!$A$110:$B$122,2,TRUE),IF(AA974="Failed",VLOOKUP($D$3,Calcs!$A$110:$B$122,2,TRUE),VLOOKUP($D$3-(IF((Character!$B$9+W974)&gt;($D$3+Y974),(Character!$B$9+W974)-($D$3+Y974),0)),Calcs!$A$110:$B$122,2,TRUE))))=Calcs!$B$120,IF(ISBLANK(AC974)," ",CONCATENATE(AC974+7," Years")),IF(AA974=" "," ",IF(NOT(ISBLANK(X974)),VLOOKUP($D$3+X974,Calcs!$A$110:$B$122,2,TRUE),IF(AA974="Failed",VLOOKUP($D$3,Calcs!$A$110:$B$122,2,TRUE),VLOOKUP($D$3-(IF((Character!$B$9+W974)&gt;($D$3+Y974),(Character!$B$9+W974)-($D$3+Y974),0)),Calcs!$A$110:$B$122,2,TRUE)))))</f>
        <v xml:space="preserve"> </v>
      </c>
      <c r="AE974" s="490"/>
      <c r="AF974" s="879"/>
      <c r="AG974" s="491"/>
    </row>
    <row r="975" spans="1:33" x14ac:dyDescent="0.2">
      <c r="A975" s="415">
        <f t="shared" si="28"/>
        <v>1453</v>
      </c>
      <c r="B975" s="419" t="str">
        <f t="shared" si="29"/>
        <v>Autumn</v>
      </c>
      <c r="C975" s="455"/>
      <c r="D975" s="504"/>
      <c r="E975" s="455"/>
      <c r="F975" s="504"/>
      <c r="G975" s="455"/>
      <c r="H975" s="504"/>
      <c r="I975" s="455"/>
      <c r="J975" s="504"/>
      <c r="L975" s="472"/>
      <c r="M975" s="468"/>
      <c r="N975" s="468"/>
      <c r="O975" s="468"/>
      <c r="P975" s="468"/>
      <c r="Q975" s="473"/>
      <c r="R975" s="477" t="str">
        <f>IF(AND(COUNTIF('Start Character'!$I$63:$M$77,"Twilight Prone")=1,NOT(ISERROR(FIND("Magical Botch",M975)))),"Yes",IF(P975&gt;1,"Yes","No"))</f>
        <v>No</v>
      </c>
      <c r="S975" s="501"/>
      <c r="T975" s="478"/>
      <c r="U975" s="501"/>
      <c r="V975" s="479" t="str">
        <f>IF(R975="No","No Twilight",IF(T975="Yes","Uncomprehended Twilight",IF((Character!$B$14+IF(Character!$B$53="Yes",0,Character!$B$53)+IF(Magic!$C$5="Yes",2,0)+ROUNDUP((Magic!$B$30+IF(Magic!$C$30="Yes",3,0))/5,0)+S975)&gt;=($D$3+P975+SUMIF(Character!$I$62:$I$66,"Enigmatic Wisdom",Character!$J$62:$J$66)+Q975+U975),"No Twilight","Twilight")))</f>
        <v>No Twilight</v>
      </c>
      <c r="W975" s="483"/>
      <c r="X975" s="478"/>
      <c r="Y975" s="484"/>
      <c r="Z975" s="478"/>
      <c r="AA975" s="485" t="str">
        <f>IF(V975="Uncomprehended Twilight","Failed",IF(OR(ISBLANK(W975),ISBLANK(Y975))," ",IF(NOT(ISBLANK(X975)),"Failed",IF((W975+Character!$B$9+SUMIF(Character!$I$62:$I$66,"Enigmatic Wisdom",Character!$J$62:$J$66))&gt;=IF(Z975="Yes",0,(Y975+D970)),"Succeeded","Failed"))))</f>
        <v xml:space="preserve"> </v>
      </c>
      <c r="AB975" s="477" t="str">
        <f>IF(AA975=" "," ",IF(NOT(ISBLANK(X975)),VLOOKUP($D$3+X975,Calcs!$A$110:$C$122,3,TRUE),IF(AA975="Failed",VLOOKUP($D$3,Calcs!$A$110:$C$122,3,TRUE),VLOOKUP($D$3-(IF((Character!$B$9+W975)&gt;($D$3+Y975),(Character!$B$9+W975)-($D$3+Y975),0)),Calcs!$A$110:$C$122,3,TRUE))))</f>
        <v xml:space="preserve"> </v>
      </c>
      <c r="AC975" s="489"/>
      <c r="AD975" s="489" t="str">
        <f>IF(IF(AA975=" "," ",IF(NOT(ISBLANK(X975)),VLOOKUP($D$3+X975,Calcs!$A$110:$B$122,2,TRUE),IF(AA975="Failed",VLOOKUP($D$3,Calcs!$A$110:$B$122,2,TRUE),VLOOKUP($D$3-(IF((Character!$B$9+W975)&gt;($D$3+Y975),(Character!$B$9+W975)-($D$3+Y975),0)),Calcs!$A$110:$B$122,2,TRUE))))=Calcs!$B$120,IF(ISBLANK(AC975)," ",CONCATENATE(AC975+7," Years")),IF(AA975=" "," ",IF(NOT(ISBLANK(X975)),VLOOKUP($D$3+X975,Calcs!$A$110:$B$122,2,TRUE),IF(AA975="Failed",VLOOKUP($D$3,Calcs!$A$110:$B$122,2,TRUE),VLOOKUP($D$3-(IF((Character!$B$9+W975)&gt;($D$3+Y975),(Character!$B$9+W975)-($D$3+Y975),0)),Calcs!$A$110:$B$122,2,TRUE)))))</f>
        <v xml:space="preserve"> </v>
      </c>
      <c r="AE975" s="490"/>
      <c r="AF975" s="879"/>
      <c r="AG975" s="491"/>
    </row>
    <row r="976" spans="1:33" x14ac:dyDescent="0.2">
      <c r="A976" s="415">
        <f t="shared" si="28"/>
        <v>1454</v>
      </c>
      <c r="B976" s="419" t="str">
        <f t="shared" si="29"/>
        <v>Winter</v>
      </c>
      <c r="C976" s="455"/>
      <c r="D976" s="504"/>
      <c r="E976" s="455"/>
      <c r="F976" s="504"/>
      <c r="G976" s="455"/>
      <c r="H976" s="504"/>
      <c r="I976" s="455"/>
      <c r="J976" s="504"/>
      <c r="L976" s="472"/>
      <c r="M976" s="468"/>
      <c r="N976" s="468"/>
      <c r="O976" s="468"/>
      <c r="P976" s="468"/>
      <c r="Q976" s="473"/>
      <c r="R976" s="477" t="str">
        <f>IF(AND(COUNTIF('Start Character'!$I$63:$M$77,"Twilight Prone")=1,NOT(ISERROR(FIND("Magical Botch",M976)))),"Yes",IF(P976&gt;1,"Yes","No"))</f>
        <v>No</v>
      </c>
      <c r="S976" s="501"/>
      <c r="T976" s="478"/>
      <c r="U976" s="501"/>
      <c r="V976" s="479" t="str">
        <f>IF(R976="No","No Twilight",IF(T976="Yes","Uncomprehended Twilight",IF((Character!$B$14+IF(Character!$B$53="Yes",0,Character!$B$53)+IF(Magic!$C$5="Yes",2,0)+ROUNDUP((Magic!$B$30+IF(Magic!$C$30="Yes",3,0))/5,0)+S976)&gt;=($D$3+P976+SUMIF(Character!$I$62:$I$66,"Enigmatic Wisdom",Character!$J$62:$J$66)+Q976+U976),"No Twilight","Twilight")))</f>
        <v>No Twilight</v>
      </c>
      <c r="W976" s="483"/>
      <c r="X976" s="478"/>
      <c r="Y976" s="484"/>
      <c r="Z976" s="478"/>
      <c r="AA976" s="485" t="str">
        <f>IF(V976="Uncomprehended Twilight","Failed",IF(OR(ISBLANK(W976),ISBLANK(Y976))," ",IF(NOT(ISBLANK(X976)),"Failed",IF((W976+Character!$B$9+SUMIF(Character!$I$62:$I$66,"Enigmatic Wisdom",Character!$J$62:$J$66))&gt;=IF(Z976="Yes",0,(Y976+D971)),"Succeeded","Failed"))))</f>
        <v xml:space="preserve"> </v>
      </c>
      <c r="AB976" s="477" t="str">
        <f>IF(AA976=" "," ",IF(NOT(ISBLANK(X976)),VLOOKUP($D$3+X976,Calcs!$A$110:$C$122,3,TRUE),IF(AA976="Failed",VLOOKUP($D$3,Calcs!$A$110:$C$122,3,TRUE),VLOOKUP($D$3-(IF((Character!$B$9+W976)&gt;($D$3+Y976),(Character!$B$9+W976)-($D$3+Y976),0)),Calcs!$A$110:$C$122,3,TRUE))))</f>
        <v xml:space="preserve"> </v>
      </c>
      <c r="AC976" s="489"/>
      <c r="AD976" s="489" t="str">
        <f>IF(IF(AA976=" "," ",IF(NOT(ISBLANK(X976)),VLOOKUP($D$3+X976,Calcs!$A$110:$B$122,2,TRUE),IF(AA976="Failed",VLOOKUP($D$3,Calcs!$A$110:$B$122,2,TRUE),VLOOKUP($D$3-(IF((Character!$B$9+W976)&gt;($D$3+Y976),(Character!$B$9+W976)-($D$3+Y976),0)),Calcs!$A$110:$B$122,2,TRUE))))=Calcs!$B$120,IF(ISBLANK(AC976)," ",CONCATENATE(AC976+7," Years")),IF(AA976=" "," ",IF(NOT(ISBLANK(X976)),VLOOKUP($D$3+X976,Calcs!$A$110:$B$122,2,TRUE),IF(AA976="Failed",VLOOKUP($D$3,Calcs!$A$110:$B$122,2,TRUE),VLOOKUP($D$3-(IF((Character!$B$9+W976)&gt;($D$3+Y976),(Character!$B$9+W976)-($D$3+Y976),0)),Calcs!$A$110:$B$122,2,TRUE)))))</f>
        <v xml:space="preserve"> </v>
      </c>
      <c r="AE976" s="490"/>
      <c r="AF976" s="879"/>
      <c r="AG976" s="491"/>
    </row>
    <row r="977" spans="1:33" x14ac:dyDescent="0.2">
      <c r="A977" s="415">
        <f t="shared" si="28"/>
        <v>1454</v>
      </c>
      <c r="B977" s="419" t="str">
        <f t="shared" si="29"/>
        <v>Spring</v>
      </c>
      <c r="C977" s="455"/>
      <c r="D977" s="504"/>
      <c r="E977" s="455"/>
      <c r="F977" s="504"/>
      <c r="G977" s="455"/>
      <c r="H977" s="504"/>
      <c r="I977" s="455"/>
      <c r="J977" s="504"/>
      <c r="L977" s="472"/>
      <c r="M977" s="468"/>
      <c r="N977" s="468"/>
      <c r="O977" s="468"/>
      <c r="P977" s="468"/>
      <c r="Q977" s="473"/>
      <c r="R977" s="477" t="str">
        <f>IF(AND(COUNTIF('Start Character'!$I$63:$M$77,"Twilight Prone")=1,NOT(ISERROR(FIND("Magical Botch",M977)))),"Yes",IF(P977&gt;1,"Yes","No"))</f>
        <v>No</v>
      </c>
      <c r="S977" s="501"/>
      <c r="T977" s="478"/>
      <c r="U977" s="501"/>
      <c r="V977" s="479" t="str">
        <f>IF(R977="No","No Twilight",IF(T977="Yes","Uncomprehended Twilight",IF((Character!$B$14+IF(Character!$B$53="Yes",0,Character!$B$53)+IF(Magic!$C$5="Yes",2,0)+ROUNDUP((Magic!$B$30+IF(Magic!$C$30="Yes",3,0))/5,0)+S977)&gt;=($D$3+P977+SUMIF(Character!$I$62:$I$66,"Enigmatic Wisdom",Character!$J$62:$J$66)+Q977+U977),"No Twilight","Twilight")))</f>
        <v>No Twilight</v>
      </c>
      <c r="W977" s="483"/>
      <c r="X977" s="478"/>
      <c r="Y977" s="484"/>
      <c r="Z977" s="478"/>
      <c r="AA977" s="485" t="str">
        <f>IF(V977="Uncomprehended Twilight","Failed",IF(OR(ISBLANK(W977),ISBLANK(Y977))," ",IF(NOT(ISBLANK(X977)),"Failed",IF((W977+Character!$B$9+SUMIF(Character!$I$62:$I$66,"Enigmatic Wisdom",Character!$J$62:$J$66))&gt;=IF(Z977="Yes",0,(Y977+D972)),"Succeeded","Failed"))))</f>
        <v xml:space="preserve"> </v>
      </c>
      <c r="AB977" s="477" t="str">
        <f>IF(AA977=" "," ",IF(NOT(ISBLANK(X977)),VLOOKUP($D$3+X977,Calcs!$A$110:$C$122,3,TRUE),IF(AA977="Failed",VLOOKUP($D$3,Calcs!$A$110:$C$122,3,TRUE),VLOOKUP($D$3-(IF((Character!$B$9+W977)&gt;($D$3+Y977),(Character!$B$9+W977)-($D$3+Y977),0)),Calcs!$A$110:$C$122,3,TRUE))))</f>
        <v xml:space="preserve"> </v>
      </c>
      <c r="AC977" s="489"/>
      <c r="AD977" s="489" t="str">
        <f>IF(IF(AA977=" "," ",IF(NOT(ISBLANK(X977)),VLOOKUP($D$3+X977,Calcs!$A$110:$B$122,2,TRUE),IF(AA977="Failed",VLOOKUP($D$3,Calcs!$A$110:$B$122,2,TRUE),VLOOKUP($D$3-(IF((Character!$B$9+W977)&gt;($D$3+Y977),(Character!$B$9+W977)-($D$3+Y977),0)),Calcs!$A$110:$B$122,2,TRUE))))=Calcs!$B$120,IF(ISBLANK(AC977)," ",CONCATENATE(AC977+7," Years")),IF(AA977=" "," ",IF(NOT(ISBLANK(X977)),VLOOKUP($D$3+X977,Calcs!$A$110:$B$122,2,TRUE),IF(AA977="Failed",VLOOKUP($D$3,Calcs!$A$110:$B$122,2,TRUE),VLOOKUP($D$3-(IF((Character!$B$9+W977)&gt;($D$3+Y977),(Character!$B$9+W977)-($D$3+Y977),0)),Calcs!$A$110:$B$122,2,TRUE)))))</f>
        <v xml:space="preserve"> </v>
      </c>
      <c r="AE977" s="490"/>
      <c r="AF977" s="879"/>
      <c r="AG977" s="491"/>
    </row>
    <row r="978" spans="1:33" x14ac:dyDescent="0.2">
      <c r="A978" s="415">
        <f t="shared" si="28"/>
        <v>1454</v>
      </c>
      <c r="B978" s="419" t="str">
        <f t="shared" si="29"/>
        <v>Summer</v>
      </c>
      <c r="C978" s="455"/>
      <c r="D978" s="504"/>
      <c r="E978" s="455"/>
      <c r="F978" s="504"/>
      <c r="G978" s="455"/>
      <c r="H978" s="504"/>
      <c r="I978" s="455"/>
      <c r="J978" s="504"/>
      <c r="L978" s="472"/>
      <c r="M978" s="468"/>
      <c r="N978" s="468"/>
      <c r="O978" s="468"/>
      <c r="P978" s="468"/>
      <c r="Q978" s="473"/>
      <c r="R978" s="477" t="str">
        <f>IF(AND(COUNTIF('Start Character'!$I$63:$M$77,"Twilight Prone")=1,NOT(ISERROR(FIND("Magical Botch",M978)))),"Yes",IF(P978&gt;1,"Yes","No"))</f>
        <v>No</v>
      </c>
      <c r="S978" s="501"/>
      <c r="T978" s="478"/>
      <c r="U978" s="501"/>
      <c r="V978" s="479" t="str">
        <f>IF(R978="No","No Twilight",IF(T978="Yes","Uncomprehended Twilight",IF((Character!$B$14+IF(Character!$B$53="Yes",0,Character!$B$53)+IF(Magic!$C$5="Yes",2,0)+ROUNDUP((Magic!$B$30+IF(Magic!$C$30="Yes",3,0))/5,0)+S978)&gt;=($D$3+P978+SUMIF(Character!$I$62:$I$66,"Enigmatic Wisdom",Character!$J$62:$J$66)+Q978+U978),"No Twilight","Twilight")))</f>
        <v>No Twilight</v>
      </c>
      <c r="W978" s="483"/>
      <c r="X978" s="478"/>
      <c r="Y978" s="484"/>
      <c r="Z978" s="478"/>
      <c r="AA978" s="485" t="str">
        <f>IF(V978="Uncomprehended Twilight","Failed",IF(OR(ISBLANK(W978),ISBLANK(Y978))," ",IF(NOT(ISBLANK(X978)),"Failed",IF((W978+Character!$B$9+SUMIF(Character!$I$62:$I$66,"Enigmatic Wisdom",Character!$J$62:$J$66))&gt;=IF(Z978="Yes",0,(Y978+D973)),"Succeeded","Failed"))))</f>
        <v xml:space="preserve"> </v>
      </c>
      <c r="AB978" s="477" t="str">
        <f>IF(AA978=" "," ",IF(NOT(ISBLANK(X978)),VLOOKUP($D$3+X978,Calcs!$A$110:$C$122,3,TRUE),IF(AA978="Failed",VLOOKUP($D$3,Calcs!$A$110:$C$122,3,TRUE),VLOOKUP($D$3-(IF((Character!$B$9+W978)&gt;($D$3+Y978),(Character!$B$9+W978)-($D$3+Y978),0)),Calcs!$A$110:$C$122,3,TRUE))))</f>
        <v xml:space="preserve"> </v>
      </c>
      <c r="AC978" s="489"/>
      <c r="AD978" s="489" t="str">
        <f>IF(IF(AA978=" "," ",IF(NOT(ISBLANK(X978)),VLOOKUP($D$3+X978,Calcs!$A$110:$B$122,2,TRUE),IF(AA978="Failed",VLOOKUP($D$3,Calcs!$A$110:$B$122,2,TRUE),VLOOKUP($D$3-(IF((Character!$B$9+W978)&gt;($D$3+Y978),(Character!$B$9+W978)-($D$3+Y978),0)),Calcs!$A$110:$B$122,2,TRUE))))=Calcs!$B$120,IF(ISBLANK(AC978)," ",CONCATENATE(AC978+7," Years")),IF(AA978=" "," ",IF(NOT(ISBLANK(X978)),VLOOKUP($D$3+X978,Calcs!$A$110:$B$122,2,TRUE),IF(AA978="Failed",VLOOKUP($D$3,Calcs!$A$110:$B$122,2,TRUE),VLOOKUP($D$3-(IF((Character!$B$9+W978)&gt;($D$3+Y978),(Character!$B$9+W978)-($D$3+Y978),0)),Calcs!$A$110:$B$122,2,TRUE)))))</f>
        <v xml:space="preserve"> </v>
      </c>
      <c r="AE978" s="490"/>
      <c r="AF978" s="879"/>
      <c r="AG978" s="491"/>
    </row>
    <row r="979" spans="1:33" x14ac:dyDescent="0.2">
      <c r="A979" s="415">
        <f t="shared" si="28"/>
        <v>1454</v>
      </c>
      <c r="B979" s="419" t="str">
        <f t="shared" si="29"/>
        <v>Autumn</v>
      </c>
      <c r="C979" s="455"/>
      <c r="D979" s="504"/>
      <c r="E979" s="455"/>
      <c r="F979" s="504"/>
      <c r="G979" s="455"/>
      <c r="H979" s="504"/>
      <c r="I979" s="455"/>
      <c r="J979" s="504"/>
      <c r="L979" s="472"/>
      <c r="M979" s="468"/>
      <c r="N979" s="468"/>
      <c r="O979" s="468"/>
      <c r="P979" s="468"/>
      <c r="Q979" s="473"/>
      <c r="R979" s="477" t="str">
        <f>IF(AND(COUNTIF('Start Character'!$I$63:$M$77,"Twilight Prone")=1,NOT(ISERROR(FIND("Magical Botch",M979)))),"Yes",IF(P979&gt;1,"Yes","No"))</f>
        <v>No</v>
      </c>
      <c r="S979" s="501"/>
      <c r="T979" s="478"/>
      <c r="U979" s="501"/>
      <c r="V979" s="479" t="str">
        <f>IF(R979="No","No Twilight",IF(T979="Yes","Uncomprehended Twilight",IF((Character!$B$14+IF(Character!$B$53="Yes",0,Character!$B$53)+IF(Magic!$C$5="Yes",2,0)+ROUNDUP((Magic!$B$30+IF(Magic!$C$30="Yes",3,0))/5,0)+S979)&gt;=($D$3+P979+SUMIF(Character!$I$62:$I$66,"Enigmatic Wisdom",Character!$J$62:$J$66)+Q979+U979),"No Twilight","Twilight")))</f>
        <v>No Twilight</v>
      </c>
      <c r="W979" s="483"/>
      <c r="X979" s="478"/>
      <c r="Y979" s="484"/>
      <c r="Z979" s="478"/>
      <c r="AA979" s="485" t="str">
        <f>IF(V979="Uncomprehended Twilight","Failed",IF(OR(ISBLANK(W979),ISBLANK(Y979))," ",IF(NOT(ISBLANK(X979)),"Failed",IF((W979+Character!$B$9+SUMIF(Character!$I$62:$I$66,"Enigmatic Wisdom",Character!$J$62:$J$66))&gt;=IF(Z979="Yes",0,(Y979+D974)),"Succeeded","Failed"))))</f>
        <v xml:space="preserve"> </v>
      </c>
      <c r="AB979" s="477" t="str">
        <f>IF(AA979=" "," ",IF(NOT(ISBLANK(X979)),VLOOKUP($D$3+X979,Calcs!$A$110:$C$122,3,TRUE),IF(AA979="Failed",VLOOKUP($D$3,Calcs!$A$110:$C$122,3,TRUE),VLOOKUP($D$3-(IF((Character!$B$9+W979)&gt;($D$3+Y979),(Character!$B$9+W979)-($D$3+Y979),0)),Calcs!$A$110:$C$122,3,TRUE))))</f>
        <v xml:space="preserve"> </v>
      </c>
      <c r="AC979" s="489"/>
      <c r="AD979" s="489" t="str">
        <f>IF(IF(AA979=" "," ",IF(NOT(ISBLANK(X979)),VLOOKUP($D$3+X979,Calcs!$A$110:$B$122,2,TRUE),IF(AA979="Failed",VLOOKUP($D$3,Calcs!$A$110:$B$122,2,TRUE),VLOOKUP($D$3-(IF((Character!$B$9+W979)&gt;($D$3+Y979),(Character!$B$9+W979)-($D$3+Y979),0)),Calcs!$A$110:$B$122,2,TRUE))))=Calcs!$B$120,IF(ISBLANK(AC979)," ",CONCATENATE(AC979+7," Years")),IF(AA979=" "," ",IF(NOT(ISBLANK(X979)),VLOOKUP($D$3+X979,Calcs!$A$110:$B$122,2,TRUE),IF(AA979="Failed",VLOOKUP($D$3,Calcs!$A$110:$B$122,2,TRUE),VLOOKUP($D$3-(IF((Character!$B$9+W979)&gt;($D$3+Y979),(Character!$B$9+W979)-($D$3+Y979),0)),Calcs!$A$110:$B$122,2,TRUE)))))</f>
        <v xml:space="preserve"> </v>
      </c>
      <c r="AE979" s="490"/>
      <c r="AF979" s="879"/>
      <c r="AG979" s="491"/>
    </row>
    <row r="980" spans="1:33" x14ac:dyDescent="0.2">
      <c r="A980" s="415">
        <f t="shared" si="28"/>
        <v>1455</v>
      </c>
      <c r="B980" s="419" t="str">
        <f t="shared" si="29"/>
        <v>Winter</v>
      </c>
      <c r="C980" s="455"/>
      <c r="D980" s="504"/>
      <c r="E980" s="455"/>
      <c r="F980" s="504"/>
      <c r="G980" s="455"/>
      <c r="H980" s="504"/>
      <c r="I980" s="455"/>
      <c r="J980" s="504"/>
      <c r="L980" s="472"/>
      <c r="M980" s="468"/>
      <c r="N980" s="468"/>
      <c r="O980" s="468"/>
      <c r="P980" s="468"/>
      <c r="Q980" s="473"/>
      <c r="R980" s="477" t="str">
        <f>IF(AND(COUNTIF('Start Character'!$I$63:$M$77,"Twilight Prone")=1,NOT(ISERROR(FIND("Magical Botch",M980)))),"Yes",IF(P980&gt;1,"Yes","No"))</f>
        <v>No</v>
      </c>
      <c r="S980" s="501"/>
      <c r="T980" s="478"/>
      <c r="U980" s="501"/>
      <c r="V980" s="479" t="str">
        <f>IF(R980="No","No Twilight",IF(T980="Yes","Uncomprehended Twilight",IF((Character!$B$14+IF(Character!$B$53="Yes",0,Character!$B$53)+IF(Magic!$C$5="Yes",2,0)+ROUNDUP((Magic!$B$30+IF(Magic!$C$30="Yes",3,0))/5,0)+S980)&gt;=($D$3+P980+SUMIF(Character!$I$62:$I$66,"Enigmatic Wisdom",Character!$J$62:$J$66)+Q980+U980),"No Twilight","Twilight")))</f>
        <v>No Twilight</v>
      </c>
      <c r="W980" s="483"/>
      <c r="X980" s="478"/>
      <c r="Y980" s="484"/>
      <c r="Z980" s="478"/>
      <c r="AA980" s="485" t="str">
        <f>IF(V980="Uncomprehended Twilight","Failed",IF(OR(ISBLANK(W980),ISBLANK(Y980))," ",IF(NOT(ISBLANK(X980)),"Failed",IF((W980+Character!$B$9+SUMIF(Character!$I$62:$I$66,"Enigmatic Wisdom",Character!$J$62:$J$66))&gt;=IF(Z980="Yes",0,(Y980+D975)),"Succeeded","Failed"))))</f>
        <v xml:space="preserve"> </v>
      </c>
      <c r="AB980" s="477" t="str">
        <f>IF(AA980=" "," ",IF(NOT(ISBLANK(X980)),VLOOKUP($D$3+X980,Calcs!$A$110:$C$122,3,TRUE),IF(AA980="Failed",VLOOKUP($D$3,Calcs!$A$110:$C$122,3,TRUE),VLOOKUP($D$3-(IF((Character!$B$9+W980)&gt;($D$3+Y980),(Character!$B$9+W980)-($D$3+Y980),0)),Calcs!$A$110:$C$122,3,TRUE))))</f>
        <v xml:space="preserve"> </v>
      </c>
      <c r="AC980" s="489"/>
      <c r="AD980" s="489" t="str">
        <f>IF(IF(AA980=" "," ",IF(NOT(ISBLANK(X980)),VLOOKUP($D$3+X980,Calcs!$A$110:$B$122,2,TRUE),IF(AA980="Failed",VLOOKUP($D$3,Calcs!$A$110:$B$122,2,TRUE),VLOOKUP($D$3-(IF((Character!$B$9+W980)&gt;($D$3+Y980),(Character!$B$9+W980)-($D$3+Y980),0)),Calcs!$A$110:$B$122,2,TRUE))))=Calcs!$B$120,IF(ISBLANK(AC980)," ",CONCATENATE(AC980+7," Years")),IF(AA980=" "," ",IF(NOT(ISBLANK(X980)),VLOOKUP($D$3+X980,Calcs!$A$110:$B$122,2,TRUE),IF(AA980="Failed",VLOOKUP($D$3,Calcs!$A$110:$B$122,2,TRUE),VLOOKUP($D$3-(IF((Character!$B$9+W980)&gt;($D$3+Y980),(Character!$B$9+W980)-($D$3+Y980),0)),Calcs!$A$110:$B$122,2,TRUE)))))</f>
        <v xml:space="preserve"> </v>
      </c>
      <c r="AE980" s="490"/>
      <c r="AF980" s="879"/>
      <c r="AG980" s="491"/>
    </row>
    <row r="981" spans="1:33" x14ac:dyDescent="0.2">
      <c r="A981" s="415">
        <f t="shared" si="28"/>
        <v>1455</v>
      </c>
      <c r="B981" s="419" t="str">
        <f t="shared" si="29"/>
        <v>Spring</v>
      </c>
      <c r="C981" s="455"/>
      <c r="D981" s="504"/>
      <c r="E981" s="455"/>
      <c r="F981" s="504"/>
      <c r="G981" s="455"/>
      <c r="H981" s="504"/>
      <c r="I981" s="455"/>
      <c r="J981" s="504"/>
      <c r="L981" s="472"/>
      <c r="M981" s="468"/>
      <c r="N981" s="468"/>
      <c r="O981" s="468"/>
      <c r="P981" s="468"/>
      <c r="Q981" s="473"/>
      <c r="R981" s="477" t="str">
        <f>IF(AND(COUNTIF('Start Character'!$I$63:$M$77,"Twilight Prone")=1,NOT(ISERROR(FIND("Magical Botch",M981)))),"Yes",IF(P981&gt;1,"Yes","No"))</f>
        <v>No</v>
      </c>
      <c r="S981" s="501"/>
      <c r="T981" s="478"/>
      <c r="U981" s="501"/>
      <c r="V981" s="479" t="str">
        <f>IF(R981="No","No Twilight",IF(T981="Yes","Uncomprehended Twilight",IF((Character!$B$14+IF(Character!$B$53="Yes",0,Character!$B$53)+IF(Magic!$C$5="Yes",2,0)+ROUNDUP((Magic!$B$30+IF(Magic!$C$30="Yes",3,0))/5,0)+S981)&gt;=($D$3+P981+SUMIF(Character!$I$62:$I$66,"Enigmatic Wisdom",Character!$J$62:$J$66)+Q981+U981),"No Twilight","Twilight")))</f>
        <v>No Twilight</v>
      </c>
      <c r="W981" s="483"/>
      <c r="X981" s="478"/>
      <c r="Y981" s="484"/>
      <c r="Z981" s="478"/>
      <c r="AA981" s="485" t="str">
        <f>IF(V981="Uncomprehended Twilight","Failed",IF(OR(ISBLANK(W981),ISBLANK(Y981))," ",IF(NOT(ISBLANK(X981)),"Failed",IF((W981+Character!$B$9+SUMIF(Character!$I$62:$I$66,"Enigmatic Wisdom",Character!$J$62:$J$66))&gt;=IF(Z981="Yes",0,(Y981+D976)),"Succeeded","Failed"))))</f>
        <v xml:space="preserve"> </v>
      </c>
      <c r="AB981" s="477" t="str">
        <f>IF(AA981=" "," ",IF(NOT(ISBLANK(X981)),VLOOKUP($D$3+X981,Calcs!$A$110:$C$122,3,TRUE),IF(AA981="Failed",VLOOKUP($D$3,Calcs!$A$110:$C$122,3,TRUE),VLOOKUP($D$3-(IF((Character!$B$9+W981)&gt;($D$3+Y981),(Character!$B$9+W981)-($D$3+Y981),0)),Calcs!$A$110:$C$122,3,TRUE))))</f>
        <v xml:space="preserve"> </v>
      </c>
      <c r="AC981" s="489"/>
      <c r="AD981" s="489" t="str">
        <f>IF(IF(AA981=" "," ",IF(NOT(ISBLANK(X981)),VLOOKUP($D$3+X981,Calcs!$A$110:$B$122,2,TRUE),IF(AA981="Failed",VLOOKUP($D$3,Calcs!$A$110:$B$122,2,TRUE),VLOOKUP($D$3-(IF((Character!$B$9+W981)&gt;($D$3+Y981),(Character!$B$9+W981)-($D$3+Y981),0)),Calcs!$A$110:$B$122,2,TRUE))))=Calcs!$B$120,IF(ISBLANK(AC981)," ",CONCATENATE(AC981+7," Years")),IF(AA981=" "," ",IF(NOT(ISBLANK(X981)),VLOOKUP($D$3+X981,Calcs!$A$110:$B$122,2,TRUE),IF(AA981="Failed",VLOOKUP($D$3,Calcs!$A$110:$B$122,2,TRUE),VLOOKUP($D$3-(IF((Character!$B$9+W981)&gt;($D$3+Y981),(Character!$B$9+W981)-($D$3+Y981),0)),Calcs!$A$110:$B$122,2,TRUE)))))</f>
        <v xml:space="preserve"> </v>
      </c>
      <c r="AE981" s="490"/>
      <c r="AF981" s="879"/>
      <c r="AG981" s="491"/>
    </row>
    <row r="982" spans="1:33" x14ac:dyDescent="0.2">
      <c r="A982" s="415">
        <f t="shared" si="28"/>
        <v>1455</v>
      </c>
      <c r="B982" s="419" t="str">
        <f t="shared" si="29"/>
        <v>Summer</v>
      </c>
      <c r="C982" s="455"/>
      <c r="D982" s="504"/>
      <c r="E982" s="455"/>
      <c r="F982" s="504"/>
      <c r="G982" s="455"/>
      <c r="H982" s="504"/>
      <c r="I982" s="455"/>
      <c r="J982" s="504"/>
      <c r="L982" s="472"/>
      <c r="M982" s="468"/>
      <c r="N982" s="468"/>
      <c r="O982" s="468"/>
      <c r="P982" s="468"/>
      <c r="Q982" s="473"/>
      <c r="R982" s="477" t="str">
        <f>IF(AND(COUNTIF('Start Character'!$I$63:$M$77,"Twilight Prone")=1,NOT(ISERROR(FIND("Magical Botch",M982)))),"Yes",IF(P982&gt;1,"Yes","No"))</f>
        <v>No</v>
      </c>
      <c r="S982" s="501"/>
      <c r="T982" s="478"/>
      <c r="U982" s="501"/>
      <c r="V982" s="479" t="str">
        <f>IF(R982="No","No Twilight",IF(T982="Yes","Uncomprehended Twilight",IF((Character!$B$14+IF(Character!$B$53="Yes",0,Character!$B$53)+IF(Magic!$C$5="Yes",2,0)+ROUNDUP((Magic!$B$30+IF(Magic!$C$30="Yes",3,0))/5,0)+S982)&gt;=($D$3+P982+SUMIF(Character!$I$62:$I$66,"Enigmatic Wisdom",Character!$J$62:$J$66)+Q982+U982),"No Twilight","Twilight")))</f>
        <v>No Twilight</v>
      </c>
      <c r="W982" s="483"/>
      <c r="X982" s="478"/>
      <c r="Y982" s="484"/>
      <c r="Z982" s="478"/>
      <c r="AA982" s="485" t="str">
        <f>IF(V982="Uncomprehended Twilight","Failed",IF(OR(ISBLANK(W982),ISBLANK(Y982))," ",IF(NOT(ISBLANK(X982)),"Failed",IF((W982+Character!$B$9+SUMIF(Character!$I$62:$I$66,"Enigmatic Wisdom",Character!$J$62:$J$66))&gt;=IF(Z982="Yes",0,(Y982+D977)),"Succeeded","Failed"))))</f>
        <v xml:space="preserve"> </v>
      </c>
      <c r="AB982" s="477" t="str">
        <f>IF(AA982=" "," ",IF(NOT(ISBLANK(X982)),VLOOKUP($D$3+X982,Calcs!$A$110:$C$122,3,TRUE),IF(AA982="Failed",VLOOKUP($D$3,Calcs!$A$110:$C$122,3,TRUE),VLOOKUP($D$3-(IF((Character!$B$9+W982)&gt;($D$3+Y982),(Character!$B$9+W982)-($D$3+Y982),0)),Calcs!$A$110:$C$122,3,TRUE))))</f>
        <v xml:space="preserve"> </v>
      </c>
      <c r="AC982" s="489"/>
      <c r="AD982" s="489" t="str">
        <f>IF(IF(AA982=" "," ",IF(NOT(ISBLANK(X982)),VLOOKUP($D$3+X982,Calcs!$A$110:$B$122,2,TRUE),IF(AA982="Failed",VLOOKUP($D$3,Calcs!$A$110:$B$122,2,TRUE),VLOOKUP($D$3-(IF((Character!$B$9+W982)&gt;($D$3+Y982),(Character!$B$9+W982)-($D$3+Y982),0)),Calcs!$A$110:$B$122,2,TRUE))))=Calcs!$B$120,IF(ISBLANK(AC982)," ",CONCATENATE(AC982+7," Years")),IF(AA982=" "," ",IF(NOT(ISBLANK(X982)),VLOOKUP($D$3+X982,Calcs!$A$110:$B$122,2,TRUE),IF(AA982="Failed",VLOOKUP($D$3,Calcs!$A$110:$B$122,2,TRUE),VLOOKUP($D$3-(IF((Character!$B$9+W982)&gt;($D$3+Y982),(Character!$B$9+W982)-($D$3+Y982),0)),Calcs!$A$110:$B$122,2,TRUE)))))</f>
        <v xml:space="preserve"> </v>
      </c>
      <c r="AE982" s="490"/>
      <c r="AF982" s="879"/>
      <c r="AG982" s="491"/>
    </row>
    <row r="983" spans="1:33" x14ac:dyDescent="0.2">
      <c r="A983" s="415">
        <f t="shared" si="28"/>
        <v>1455</v>
      </c>
      <c r="B983" s="419" t="str">
        <f t="shared" si="29"/>
        <v>Autumn</v>
      </c>
      <c r="C983" s="455"/>
      <c r="D983" s="504"/>
      <c r="E983" s="455"/>
      <c r="F983" s="504"/>
      <c r="G983" s="455"/>
      <c r="H983" s="504"/>
      <c r="I983" s="455"/>
      <c r="J983" s="504"/>
      <c r="L983" s="472"/>
      <c r="M983" s="468"/>
      <c r="N983" s="468"/>
      <c r="O983" s="468"/>
      <c r="P983" s="468"/>
      <c r="Q983" s="473"/>
      <c r="R983" s="477" t="str">
        <f>IF(AND(COUNTIF('Start Character'!$I$63:$M$77,"Twilight Prone")=1,NOT(ISERROR(FIND("Magical Botch",M983)))),"Yes",IF(P983&gt;1,"Yes","No"))</f>
        <v>No</v>
      </c>
      <c r="S983" s="501"/>
      <c r="T983" s="478"/>
      <c r="U983" s="501"/>
      <c r="V983" s="479" t="str">
        <f>IF(R983="No","No Twilight",IF(T983="Yes","Uncomprehended Twilight",IF((Character!$B$14+IF(Character!$B$53="Yes",0,Character!$B$53)+IF(Magic!$C$5="Yes",2,0)+ROUNDUP((Magic!$B$30+IF(Magic!$C$30="Yes",3,0))/5,0)+S983)&gt;=($D$3+P983+SUMIF(Character!$I$62:$I$66,"Enigmatic Wisdom",Character!$J$62:$J$66)+Q983+U983),"No Twilight","Twilight")))</f>
        <v>No Twilight</v>
      </c>
      <c r="W983" s="483"/>
      <c r="X983" s="478"/>
      <c r="Y983" s="484"/>
      <c r="Z983" s="478"/>
      <c r="AA983" s="485" t="str">
        <f>IF(V983="Uncomprehended Twilight","Failed",IF(OR(ISBLANK(W983),ISBLANK(Y983))," ",IF(NOT(ISBLANK(X983)),"Failed",IF((W983+Character!$B$9+SUMIF(Character!$I$62:$I$66,"Enigmatic Wisdom",Character!$J$62:$J$66))&gt;=IF(Z983="Yes",0,(Y983+D978)),"Succeeded","Failed"))))</f>
        <v xml:space="preserve"> </v>
      </c>
      <c r="AB983" s="477" t="str">
        <f>IF(AA983=" "," ",IF(NOT(ISBLANK(X983)),VLOOKUP($D$3+X983,Calcs!$A$110:$C$122,3,TRUE),IF(AA983="Failed",VLOOKUP($D$3,Calcs!$A$110:$C$122,3,TRUE),VLOOKUP($D$3-(IF((Character!$B$9+W983)&gt;($D$3+Y983),(Character!$B$9+W983)-($D$3+Y983),0)),Calcs!$A$110:$C$122,3,TRUE))))</f>
        <v xml:space="preserve"> </v>
      </c>
      <c r="AC983" s="489"/>
      <c r="AD983" s="489" t="str">
        <f>IF(IF(AA983=" "," ",IF(NOT(ISBLANK(X983)),VLOOKUP($D$3+X983,Calcs!$A$110:$B$122,2,TRUE),IF(AA983="Failed",VLOOKUP($D$3,Calcs!$A$110:$B$122,2,TRUE),VLOOKUP($D$3-(IF((Character!$B$9+W983)&gt;($D$3+Y983),(Character!$B$9+W983)-($D$3+Y983),0)),Calcs!$A$110:$B$122,2,TRUE))))=Calcs!$B$120,IF(ISBLANK(AC983)," ",CONCATENATE(AC983+7," Years")),IF(AA983=" "," ",IF(NOT(ISBLANK(X983)),VLOOKUP($D$3+X983,Calcs!$A$110:$B$122,2,TRUE),IF(AA983="Failed",VLOOKUP($D$3,Calcs!$A$110:$B$122,2,TRUE),VLOOKUP($D$3-(IF((Character!$B$9+W983)&gt;($D$3+Y983),(Character!$B$9+W983)-($D$3+Y983),0)),Calcs!$A$110:$B$122,2,TRUE)))))</f>
        <v xml:space="preserve"> </v>
      </c>
      <c r="AE983" s="490"/>
      <c r="AF983" s="879"/>
      <c r="AG983" s="491"/>
    </row>
    <row r="984" spans="1:33" x14ac:dyDescent="0.2">
      <c r="A984" s="415">
        <f t="shared" si="28"/>
        <v>1456</v>
      </c>
      <c r="B984" s="419" t="str">
        <f t="shared" si="29"/>
        <v>Winter</v>
      </c>
      <c r="C984" s="455"/>
      <c r="D984" s="504"/>
      <c r="E984" s="455"/>
      <c r="F984" s="504"/>
      <c r="G984" s="455"/>
      <c r="H984" s="504"/>
      <c r="I984" s="455"/>
      <c r="J984" s="504"/>
      <c r="L984" s="472"/>
      <c r="M984" s="468"/>
      <c r="N984" s="468"/>
      <c r="O984" s="468"/>
      <c r="P984" s="468"/>
      <c r="Q984" s="473"/>
      <c r="R984" s="477" t="str">
        <f>IF(AND(COUNTIF('Start Character'!$I$63:$M$77,"Twilight Prone")=1,NOT(ISERROR(FIND("Magical Botch",M984)))),"Yes",IF(P984&gt;1,"Yes","No"))</f>
        <v>No</v>
      </c>
      <c r="S984" s="501"/>
      <c r="T984" s="478"/>
      <c r="U984" s="501"/>
      <c r="V984" s="479" t="str">
        <f>IF(R984="No","No Twilight",IF(T984="Yes","Uncomprehended Twilight",IF((Character!$B$14+IF(Character!$B$53="Yes",0,Character!$B$53)+IF(Magic!$C$5="Yes",2,0)+ROUNDUP((Magic!$B$30+IF(Magic!$C$30="Yes",3,0))/5,0)+S984)&gt;=($D$3+P984+SUMIF(Character!$I$62:$I$66,"Enigmatic Wisdom",Character!$J$62:$J$66)+Q984+U984),"No Twilight","Twilight")))</f>
        <v>No Twilight</v>
      </c>
      <c r="W984" s="483"/>
      <c r="X984" s="478"/>
      <c r="Y984" s="484"/>
      <c r="Z984" s="478"/>
      <c r="AA984" s="485" t="str">
        <f>IF(V984="Uncomprehended Twilight","Failed",IF(OR(ISBLANK(W984),ISBLANK(Y984))," ",IF(NOT(ISBLANK(X984)),"Failed",IF((W984+Character!$B$9+SUMIF(Character!$I$62:$I$66,"Enigmatic Wisdom",Character!$J$62:$J$66))&gt;=IF(Z984="Yes",0,(Y984+D979)),"Succeeded","Failed"))))</f>
        <v xml:space="preserve"> </v>
      </c>
      <c r="AB984" s="477" t="str">
        <f>IF(AA984=" "," ",IF(NOT(ISBLANK(X984)),VLOOKUP($D$3+X984,Calcs!$A$110:$C$122,3,TRUE),IF(AA984="Failed",VLOOKUP($D$3,Calcs!$A$110:$C$122,3,TRUE),VLOOKUP($D$3-(IF((Character!$B$9+W984)&gt;($D$3+Y984),(Character!$B$9+W984)-($D$3+Y984),0)),Calcs!$A$110:$C$122,3,TRUE))))</f>
        <v xml:space="preserve"> </v>
      </c>
      <c r="AC984" s="489"/>
      <c r="AD984" s="489" t="str">
        <f>IF(IF(AA984=" "," ",IF(NOT(ISBLANK(X984)),VLOOKUP($D$3+X984,Calcs!$A$110:$B$122,2,TRUE),IF(AA984="Failed",VLOOKUP($D$3,Calcs!$A$110:$B$122,2,TRUE),VLOOKUP($D$3-(IF((Character!$B$9+W984)&gt;($D$3+Y984),(Character!$B$9+W984)-($D$3+Y984),0)),Calcs!$A$110:$B$122,2,TRUE))))=Calcs!$B$120,IF(ISBLANK(AC984)," ",CONCATENATE(AC984+7," Years")),IF(AA984=" "," ",IF(NOT(ISBLANK(X984)),VLOOKUP($D$3+X984,Calcs!$A$110:$B$122,2,TRUE),IF(AA984="Failed",VLOOKUP($D$3,Calcs!$A$110:$B$122,2,TRUE),VLOOKUP($D$3-(IF((Character!$B$9+W984)&gt;($D$3+Y984),(Character!$B$9+W984)-($D$3+Y984),0)),Calcs!$A$110:$B$122,2,TRUE)))))</f>
        <v xml:space="preserve"> </v>
      </c>
      <c r="AE984" s="490"/>
      <c r="AF984" s="879"/>
      <c r="AG984" s="491"/>
    </row>
    <row r="985" spans="1:33" x14ac:dyDescent="0.2">
      <c r="A985" s="415">
        <f t="shared" si="28"/>
        <v>1456</v>
      </c>
      <c r="B985" s="419" t="str">
        <f t="shared" si="29"/>
        <v>Spring</v>
      </c>
      <c r="C985" s="455"/>
      <c r="D985" s="504"/>
      <c r="E985" s="455"/>
      <c r="F985" s="504"/>
      <c r="G985" s="455"/>
      <c r="H985" s="504"/>
      <c r="I985" s="455"/>
      <c r="J985" s="504"/>
      <c r="L985" s="472"/>
      <c r="M985" s="468"/>
      <c r="N985" s="468"/>
      <c r="O985" s="468"/>
      <c r="P985" s="468"/>
      <c r="Q985" s="473"/>
      <c r="R985" s="477" t="str">
        <f>IF(AND(COUNTIF('Start Character'!$I$63:$M$77,"Twilight Prone")=1,NOT(ISERROR(FIND("Magical Botch",M985)))),"Yes",IF(P985&gt;1,"Yes","No"))</f>
        <v>No</v>
      </c>
      <c r="S985" s="501"/>
      <c r="T985" s="478"/>
      <c r="U985" s="501"/>
      <c r="V985" s="479" t="str">
        <f>IF(R985="No","No Twilight",IF(T985="Yes","Uncomprehended Twilight",IF((Character!$B$14+IF(Character!$B$53="Yes",0,Character!$B$53)+IF(Magic!$C$5="Yes",2,0)+ROUNDUP((Magic!$B$30+IF(Magic!$C$30="Yes",3,0))/5,0)+S985)&gt;=($D$3+P985+SUMIF(Character!$I$62:$I$66,"Enigmatic Wisdom",Character!$J$62:$J$66)+Q985+U985),"No Twilight","Twilight")))</f>
        <v>No Twilight</v>
      </c>
      <c r="W985" s="483"/>
      <c r="X985" s="478"/>
      <c r="Y985" s="484"/>
      <c r="Z985" s="478"/>
      <c r="AA985" s="485" t="str">
        <f>IF(V985="Uncomprehended Twilight","Failed",IF(OR(ISBLANK(W985),ISBLANK(Y985))," ",IF(NOT(ISBLANK(X985)),"Failed",IF((W985+Character!$B$9+SUMIF(Character!$I$62:$I$66,"Enigmatic Wisdom",Character!$J$62:$J$66))&gt;=IF(Z985="Yes",0,(Y985+D980)),"Succeeded","Failed"))))</f>
        <v xml:space="preserve"> </v>
      </c>
      <c r="AB985" s="477" t="str">
        <f>IF(AA985=" "," ",IF(NOT(ISBLANK(X985)),VLOOKUP($D$3+X985,Calcs!$A$110:$C$122,3,TRUE),IF(AA985="Failed",VLOOKUP($D$3,Calcs!$A$110:$C$122,3,TRUE),VLOOKUP($D$3-(IF((Character!$B$9+W985)&gt;($D$3+Y985),(Character!$B$9+W985)-($D$3+Y985),0)),Calcs!$A$110:$C$122,3,TRUE))))</f>
        <v xml:space="preserve"> </v>
      </c>
      <c r="AC985" s="489"/>
      <c r="AD985" s="489" t="str">
        <f>IF(IF(AA985=" "," ",IF(NOT(ISBLANK(X985)),VLOOKUP($D$3+X985,Calcs!$A$110:$B$122,2,TRUE),IF(AA985="Failed",VLOOKUP($D$3,Calcs!$A$110:$B$122,2,TRUE),VLOOKUP($D$3-(IF((Character!$B$9+W985)&gt;($D$3+Y985),(Character!$B$9+W985)-($D$3+Y985),0)),Calcs!$A$110:$B$122,2,TRUE))))=Calcs!$B$120,IF(ISBLANK(AC985)," ",CONCATENATE(AC985+7," Years")),IF(AA985=" "," ",IF(NOT(ISBLANK(X985)),VLOOKUP($D$3+X985,Calcs!$A$110:$B$122,2,TRUE),IF(AA985="Failed",VLOOKUP($D$3,Calcs!$A$110:$B$122,2,TRUE),VLOOKUP($D$3-(IF((Character!$B$9+W985)&gt;($D$3+Y985),(Character!$B$9+W985)-($D$3+Y985),0)),Calcs!$A$110:$B$122,2,TRUE)))))</f>
        <v xml:space="preserve"> </v>
      </c>
      <c r="AE985" s="490"/>
      <c r="AF985" s="879"/>
      <c r="AG985" s="491"/>
    </row>
    <row r="986" spans="1:33" x14ac:dyDescent="0.2">
      <c r="A986" s="415">
        <f t="shared" si="28"/>
        <v>1456</v>
      </c>
      <c r="B986" s="419" t="str">
        <f t="shared" si="29"/>
        <v>Summer</v>
      </c>
      <c r="C986" s="455"/>
      <c r="D986" s="504"/>
      <c r="E986" s="455"/>
      <c r="F986" s="504"/>
      <c r="G986" s="455"/>
      <c r="H986" s="504"/>
      <c r="I986" s="455"/>
      <c r="J986" s="504"/>
      <c r="L986" s="472"/>
      <c r="M986" s="468"/>
      <c r="N986" s="468"/>
      <c r="O986" s="468"/>
      <c r="P986" s="468"/>
      <c r="Q986" s="473"/>
      <c r="R986" s="477" t="str">
        <f>IF(AND(COUNTIF('Start Character'!$I$63:$M$77,"Twilight Prone")=1,NOT(ISERROR(FIND("Magical Botch",M986)))),"Yes",IF(P986&gt;1,"Yes","No"))</f>
        <v>No</v>
      </c>
      <c r="S986" s="501"/>
      <c r="T986" s="478"/>
      <c r="U986" s="501"/>
      <c r="V986" s="479" t="str">
        <f>IF(R986="No","No Twilight",IF(T986="Yes","Uncomprehended Twilight",IF((Character!$B$14+IF(Character!$B$53="Yes",0,Character!$B$53)+IF(Magic!$C$5="Yes",2,0)+ROUNDUP((Magic!$B$30+IF(Magic!$C$30="Yes",3,0))/5,0)+S986)&gt;=($D$3+P986+SUMIF(Character!$I$62:$I$66,"Enigmatic Wisdom",Character!$J$62:$J$66)+Q986+U986),"No Twilight","Twilight")))</f>
        <v>No Twilight</v>
      </c>
      <c r="W986" s="483"/>
      <c r="X986" s="478"/>
      <c r="Y986" s="484"/>
      <c r="Z986" s="478"/>
      <c r="AA986" s="485" t="str">
        <f>IF(V986="Uncomprehended Twilight","Failed",IF(OR(ISBLANK(W986),ISBLANK(Y986))," ",IF(NOT(ISBLANK(X986)),"Failed",IF((W986+Character!$B$9+SUMIF(Character!$I$62:$I$66,"Enigmatic Wisdom",Character!$J$62:$J$66))&gt;=IF(Z986="Yes",0,(Y986+D981)),"Succeeded","Failed"))))</f>
        <v xml:space="preserve"> </v>
      </c>
      <c r="AB986" s="477" t="str">
        <f>IF(AA986=" "," ",IF(NOT(ISBLANK(X986)),VLOOKUP($D$3+X986,Calcs!$A$110:$C$122,3,TRUE),IF(AA986="Failed",VLOOKUP($D$3,Calcs!$A$110:$C$122,3,TRUE),VLOOKUP($D$3-(IF((Character!$B$9+W986)&gt;($D$3+Y986),(Character!$B$9+W986)-($D$3+Y986),0)),Calcs!$A$110:$C$122,3,TRUE))))</f>
        <v xml:space="preserve"> </v>
      </c>
      <c r="AC986" s="489"/>
      <c r="AD986" s="489" t="str">
        <f>IF(IF(AA986=" "," ",IF(NOT(ISBLANK(X986)),VLOOKUP($D$3+X986,Calcs!$A$110:$B$122,2,TRUE),IF(AA986="Failed",VLOOKUP($D$3,Calcs!$A$110:$B$122,2,TRUE),VLOOKUP($D$3-(IF((Character!$B$9+W986)&gt;($D$3+Y986),(Character!$B$9+W986)-($D$3+Y986),0)),Calcs!$A$110:$B$122,2,TRUE))))=Calcs!$B$120,IF(ISBLANK(AC986)," ",CONCATENATE(AC986+7," Years")),IF(AA986=" "," ",IF(NOT(ISBLANK(X986)),VLOOKUP($D$3+X986,Calcs!$A$110:$B$122,2,TRUE),IF(AA986="Failed",VLOOKUP($D$3,Calcs!$A$110:$B$122,2,TRUE),VLOOKUP($D$3-(IF((Character!$B$9+W986)&gt;($D$3+Y986),(Character!$B$9+W986)-($D$3+Y986),0)),Calcs!$A$110:$B$122,2,TRUE)))))</f>
        <v xml:space="preserve"> </v>
      </c>
      <c r="AE986" s="490"/>
      <c r="AF986" s="879"/>
      <c r="AG986" s="491"/>
    </row>
    <row r="987" spans="1:33" x14ac:dyDescent="0.2">
      <c r="A987" s="415">
        <f t="shared" si="28"/>
        <v>1456</v>
      </c>
      <c r="B987" s="419" t="str">
        <f t="shared" si="29"/>
        <v>Autumn</v>
      </c>
      <c r="C987" s="455"/>
      <c r="D987" s="504"/>
      <c r="E987" s="455"/>
      <c r="F987" s="504"/>
      <c r="G987" s="455"/>
      <c r="H987" s="504"/>
      <c r="I987" s="455"/>
      <c r="J987" s="504"/>
      <c r="L987" s="472"/>
      <c r="M987" s="468"/>
      <c r="N987" s="468"/>
      <c r="O987" s="468"/>
      <c r="P987" s="468"/>
      <c r="Q987" s="473"/>
      <c r="R987" s="477" t="str">
        <f>IF(AND(COUNTIF('Start Character'!$I$63:$M$77,"Twilight Prone")=1,NOT(ISERROR(FIND("Magical Botch",M987)))),"Yes",IF(P987&gt;1,"Yes","No"))</f>
        <v>No</v>
      </c>
      <c r="S987" s="501"/>
      <c r="T987" s="478"/>
      <c r="U987" s="501"/>
      <c r="V987" s="479" t="str">
        <f>IF(R987="No","No Twilight",IF(T987="Yes","Uncomprehended Twilight",IF((Character!$B$14+IF(Character!$B$53="Yes",0,Character!$B$53)+IF(Magic!$C$5="Yes",2,0)+ROUNDUP((Magic!$B$30+IF(Magic!$C$30="Yes",3,0))/5,0)+S987)&gt;=($D$3+P987+SUMIF(Character!$I$62:$I$66,"Enigmatic Wisdom",Character!$J$62:$J$66)+Q987+U987),"No Twilight","Twilight")))</f>
        <v>No Twilight</v>
      </c>
      <c r="W987" s="483"/>
      <c r="X987" s="478"/>
      <c r="Y987" s="484"/>
      <c r="Z987" s="478"/>
      <c r="AA987" s="485" t="str">
        <f>IF(V987="Uncomprehended Twilight","Failed",IF(OR(ISBLANK(W987),ISBLANK(Y987))," ",IF(NOT(ISBLANK(X987)),"Failed",IF((W987+Character!$B$9+SUMIF(Character!$I$62:$I$66,"Enigmatic Wisdom",Character!$J$62:$J$66))&gt;=IF(Z987="Yes",0,(Y987+D982)),"Succeeded","Failed"))))</f>
        <v xml:space="preserve"> </v>
      </c>
      <c r="AB987" s="477" t="str">
        <f>IF(AA987=" "," ",IF(NOT(ISBLANK(X987)),VLOOKUP($D$3+X987,Calcs!$A$110:$C$122,3,TRUE),IF(AA987="Failed",VLOOKUP($D$3,Calcs!$A$110:$C$122,3,TRUE),VLOOKUP($D$3-(IF((Character!$B$9+W987)&gt;($D$3+Y987),(Character!$B$9+W987)-($D$3+Y987),0)),Calcs!$A$110:$C$122,3,TRUE))))</f>
        <v xml:space="preserve"> </v>
      </c>
      <c r="AC987" s="489"/>
      <c r="AD987" s="489" t="str">
        <f>IF(IF(AA987=" "," ",IF(NOT(ISBLANK(X987)),VLOOKUP($D$3+X987,Calcs!$A$110:$B$122,2,TRUE),IF(AA987="Failed",VLOOKUP($D$3,Calcs!$A$110:$B$122,2,TRUE),VLOOKUP($D$3-(IF((Character!$B$9+W987)&gt;($D$3+Y987),(Character!$B$9+W987)-($D$3+Y987),0)),Calcs!$A$110:$B$122,2,TRUE))))=Calcs!$B$120,IF(ISBLANK(AC987)," ",CONCATENATE(AC987+7," Years")),IF(AA987=" "," ",IF(NOT(ISBLANK(X987)),VLOOKUP($D$3+X987,Calcs!$A$110:$B$122,2,TRUE),IF(AA987="Failed",VLOOKUP($D$3,Calcs!$A$110:$B$122,2,TRUE),VLOOKUP($D$3-(IF((Character!$B$9+W987)&gt;($D$3+Y987),(Character!$B$9+W987)-($D$3+Y987),0)),Calcs!$A$110:$B$122,2,TRUE)))))</f>
        <v xml:space="preserve"> </v>
      </c>
      <c r="AE987" s="490"/>
      <c r="AF987" s="879"/>
      <c r="AG987" s="491"/>
    </row>
    <row r="988" spans="1:33" x14ac:dyDescent="0.2">
      <c r="A988" s="415">
        <f t="shared" si="28"/>
        <v>1457</v>
      </c>
      <c r="B988" s="419" t="str">
        <f t="shared" si="29"/>
        <v>Winter</v>
      </c>
      <c r="C988" s="455"/>
      <c r="D988" s="504"/>
      <c r="E988" s="455"/>
      <c r="F988" s="504"/>
      <c r="G988" s="455"/>
      <c r="H988" s="504"/>
      <c r="I988" s="455"/>
      <c r="J988" s="504"/>
      <c r="L988" s="472"/>
      <c r="M988" s="468"/>
      <c r="N988" s="468"/>
      <c r="O988" s="468"/>
      <c r="P988" s="468"/>
      <c r="Q988" s="473"/>
      <c r="R988" s="477" t="str">
        <f>IF(AND(COUNTIF('Start Character'!$I$63:$M$77,"Twilight Prone")=1,NOT(ISERROR(FIND("Magical Botch",M988)))),"Yes",IF(P988&gt;1,"Yes","No"))</f>
        <v>No</v>
      </c>
      <c r="S988" s="501"/>
      <c r="T988" s="478"/>
      <c r="U988" s="501"/>
      <c r="V988" s="479" t="str">
        <f>IF(R988="No","No Twilight",IF(T988="Yes","Uncomprehended Twilight",IF((Character!$B$14+IF(Character!$B$53="Yes",0,Character!$B$53)+IF(Magic!$C$5="Yes",2,0)+ROUNDUP((Magic!$B$30+IF(Magic!$C$30="Yes",3,0))/5,0)+S988)&gt;=($D$3+P988+SUMIF(Character!$I$62:$I$66,"Enigmatic Wisdom",Character!$J$62:$J$66)+Q988+U988),"No Twilight","Twilight")))</f>
        <v>No Twilight</v>
      </c>
      <c r="W988" s="483"/>
      <c r="X988" s="478"/>
      <c r="Y988" s="484"/>
      <c r="Z988" s="478"/>
      <c r="AA988" s="485" t="str">
        <f>IF(V988="Uncomprehended Twilight","Failed",IF(OR(ISBLANK(W988),ISBLANK(Y988))," ",IF(NOT(ISBLANK(X988)),"Failed",IF((W988+Character!$B$9+SUMIF(Character!$I$62:$I$66,"Enigmatic Wisdom",Character!$J$62:$J$66))&gt;=IF(Z988="Yes",0,(Y988+D983)),"Succeeded","Failed"))))</f>
        <v xml:space="preserve"> </v>
      </c>
      <c r="AB988" s="477" t="str">
        <f>IF(AA988=" "," ",IF(NOT(ISBLANK(X988)),VLOOKUP($D$3+X988,Calcs!$A$110:$C$122,3,TRUE),IF(AA988="Failed",VLOOKUP($D$3,Calcs!$A$110:$C$122,3,TRUE),VLOOKUP($D$3-(IF((Character!$B$9+W988)&gt;($D$3+Y988),(Character!$B$9+W988)-($D$3+Y988),0)),Calcs!$A$110:$C$122,3,TRUE))))</f>
        <v xml:space="preserve"> </v>
      </c>
      <c r="AC988" s="489"/>
      <c r="AD988" s="489" t="str">
        <f>IF(IF(AA988=" "," ",IF(NOT(ISBLANK(X988)),VLOOKUP($D$3+X988,Calcs!$A$110:$B$122,2,TRUE),IF(AA988="Failed",VLOOKUP($D$3,Calcs!$A$110:$B$122,2,TRUE),VLOOKUP($D$3-(IF((Character!$B$9+W988)&gt;($D$3+Y988),(Character!$B$9+W988)-($D$3+Y988),0)),Calcs!$A$110:$B$122,2,TRUE))))=Calcs!$B$120,IF(ISBLANK(AC988)," ",CONCATENATE(AC988+7," Years")),IF(AA988=" "," ",IF(NOT(ISBLANK(X988)),VLOOKUP($D$3+X988,Calcs!$A$110:$B$122,2,TRUE),IF(AA988="Failed",VLOOKUP($D$3,Calcs!$A$110:$B$122,2,TRUE),VLOOKUP($D$3-(IF((Character!$B$9+W988)&gt;($D$3+Y988),(Character!$B$9+W988)-($D$3+Y988),0)),Calcs!$A$110:$B$122,2,TRUE)))))</f>
        <v xml:space="preserve"> </v>
      </c>
      <c r="AE988" s="490"/>
      <c r="AF988" s="879"/>
      <c r="AG988" s="491"/>
    </row>
    <row r="989" spans="1:33" x14ac:dyDescent="0.2">
      <c r="A989" s="415">
        <f t="shared" ref="A989:A1052" si="30">IF(B988="Autumn",A988+1,A988)</f>
        <v>1457</v>
      </c>
      <c r="B989" s="419" t="str">
        <f t="shared" ref="B989:B1052" si="31">IF(B988="spring","Summer",IF(B988="Summer","Autumn",IF(B988="Autumn","Winter",IF(B988="Winter","Spring"," "))))</f>
        <v>Spring</v>
      </c>
      <c r="C989" s="455"/>
      <c r="D989" s="504"/>
      <c r="E989" s="455"/>
      <c r="F989" s="504"/>
      <c r="G989" s="455"/>
      <c r="H989" s="504"/>
      <c r="I989" s="455"/>
      <c r="J989" s="504"/>
      <c r="L989" s="472"/>
      <c r="M989" s="468"/>
      <c r="N989" s="468"/>
      <c r="O989" s="468"/>
      <c r="P989" s="468"/>
      <c r="Q989" s="473"/>
      <c r="R989" s="477" t="str">
        <f>IF(AND(COUNTIF('Start Character'!$I$63:$M$77,"Twilight Prone")=1,NOT(ISERROR(FIND("Magical Botch",M989)))),"Yes",IF(P989&gt;1,"Yes","No"))</f>
        <v>No</v>
      </c>
      <c r="S989" s="501"/>
      <c r="T989" s="478"/>
      <c r="U989" s="501"/>
      <c r="V989" s="479" t="str">
        <f>IF(R989="No","No Twilight",IF(T989="Yes","Uncomprehended Twilight",IF((Character!$B$14+IF(Character!$B$53="Yes",0,Character!$B$53)+IF(Magic!$C$5="Yes",2,0)+ROUNDUP((Magic!$B$30+IF(Magic!$C$30="Yes",3,0))/5,0)+S989)&gt;=($D$3+P989+SUMIF(Character!$I$62:$I$66,"Enigmatic Wisdom",Character!$J$62:$J$66)+Q989+U989),"No Twilight","Twilight")))</f>
        <v>No Twilight</v>
      </c>
      <c r="W989" s="483"/>
      <c r="X989" s="478"/>
      <c r="Y989" s="484"/>
      <c r="Z989" s="478"/>
      <c r="AA989" s="485" t="str">
        <f>IF(V989="Uncomprehended Twilight","Failed",IF(OR(ISBLANK(W989),ISBLANK(Y989))," ",IF(NOT(ISBLANK(X989)),"Failed",IF((W989+Character!$B$9+SUMIF(Character!$I$62:$I$66,"Enigmatic Wisdom",Character!$J$62:$J$66))&gt;=IF(Z989="Yes",0,(Y989+D984)),"Succeeded","Failed"))))</f>
        <v xml:space="preserve"> </v>
      </c>
      <c r="AB989" s="477" t="str">
        <f>IF(AA989=" "," ",IF(NOT(ISBLANK(X989)),VLOOKUP($D$3+X989,Calcs!$A$110:$C$122,3,TRUE),IF(AA989="Failed",VLOOKUP($D$3,Calcs!$A$110:$C$122,3,TRUE),VLOOKUP($D$3-(IF((Character!$B$9+W989)&gt;($D$3+Y989),(Character!$B$9+W989)-($D$3+Y989),0)),Calcs!$A$110:$C$122,3,TRUE))))</f>
        <v xml:space="preserve"> </v>
      </c>
      <c r="AC989" s="489"/>
      <c r="AD989" s="489" t="str">
        <f>IF(IF(AA989=" "," ",IF(NOT(ISBLANK(X989)),VLOOKUP($D$3+X989,Calcs!$A$110:$B$122,2,TRUE),IF(AA989="Failed",VLOOKUP($D$3,Calcs!$A$110:$B$122,2,TRUE),VLOOKUP($D$3-(IF((Character!$B$9+W989)&gt;($D$3+Y989),(Character!$B$9+W989)-($D$3+Y989),0)),Calcs!$A$110:$B$122,2,TRUE))))=Calcs!$B$120,IF(ISBLANK(AC989)," ",CONCATENATE(AC989+7," Years")),IF(AA989=" "," ",IF(NOT(ISBLANK(X989)),VLOOKUP($D$3+X989,Calcs!$A$110:$B$122,2,TRUE),IF(AA989="Failed",VLOOKUP($D$3,Calcs!$A$110:$B$122,2,TRUE),VLOOKUP($D$3-(IF((Character!$B$9+W989)&gt;($D$3+Y989),(Character!$B$9+W989)-($D$3+Y989),0)),Calcs!$A$110:$B$122,2,TRUE)))))</f>
        <v xml:space="preserve"> </v>
      </c>
      <c r="AE989" s="490"/>
      <c r="AF989" s="879"/>
      <c r="AG989" s="491"/>
    </row>
    <row r="990" spans="1:33" x14ac:dyDescent="0.2">
      <c r="A990" s="415">
        <f t="shared" si="30"/>
        <v>1457</v>
      </c>
      <c r="B990" s="419" t="str">
        <f t="shared" si="31"/>
        <v>Summer</v>
      </c>
      <c r="C990" s="455"/>
      <c r="D990" s="504"/>
      <c r="E990" s="455"/>
      <c r="F990" s="504"/>
      <c r="G990" s="455"/>
      <c r="H990" s="504"/>
      <c r="I990" s="455"/>
      <c r="J990" s="504"/>
      <c r="L990" s="472"/>
      <c r="M990" s="468"/>
      <c r="N990" s="468"/>
      <c r="O990" s="468"/>
      <c r="P990" s="468"/>
      <c r="Q990" s="473"/>
      <c r="R990" s="477" t="str">
        <f>IF(AND(COUNTIF('Start Character'!$I$63:$M$77,"Twilight Prone")=1,NOT(ISERROR(FIND("Magical Botch",M990)))),"Yes",IF(P990&gt;1,"Yes","No"))</f>
        <v>No</v>
      </c>
      <c r="S990" s="501"/>
      <c r="T990" s="478"/>
      <c r="U990" s="501"/>
      <c r="V990" s="479" t="str">
        <f>IF(R990="No","No Twilight",IF(T990="Yes","Uncomprehended Twilight",IF((Character!$B$14+IF(Character!$B$53="Yes",0,Character!$B$53)+IF(Magic!$C$5="Yes",2,0)+ROUNDUP((Magic!$B$30+IF(Magic!$C$30="Yes",3,0))/5,0)+S990)&gt;=($D$3+P990+SUMIF(Character!$I$62:$I$66,"Enigmatic Wisdom",Character!$J$62:$J$66)+Q990+U990),"No Twilight","Twilight")))</f>
        <v>No Twilight</v>
      </c>
      <c r="W990" s="483"/>
      <c r="X990" s="478"/>
      <c r="Y990" s="484"/>
      <c r="Z990" s="478"/>
      <c r="AA990" s="485" t="str">
        <f>IF(V990="Uncomprehended Twilight","Failed",IF(OR(ISBLANK(W990),ISBLANK(Y990))," ",IF(NOT(ISBLANK(X990)),"Failed",IF((W990+Character!$B$9+SUMIF(Character!$I$62:$I$66,"Enigmatic Wisdom",Character!$J$62:$J$66))&gt;=IF(Z990="Yes",0,(Y990+D985)),"Succeeded","Failed"))))</f>
        <v xml:space="preserve"> </v>
      </c>
      <c r="AB990" s="477" t="str">
        <f>IF(AA990=" "," ",IF(NOT(ISBLANK(X990)),VLOOKUP($D$3+X990,Calcs!$A$110:$C$122,3,TRUE),IF(AA990="Failed",VLOOKUP($D$3,Calcs!$A$110:$C$122,3,TRUE),VLOOKUP($D$3-(IF((Character!$B$9+W990)&gt;($D$3+Y990),(Character!$B$9+W990)-($D$3+Y990),0)),Calcs!$A$110:$C$122,3,TRUE))))</f>
        <v xml:space="preserve"> </v>
      </c>
      <c r="AC990" s="489"/>
      <c r="AD990" s="489" t="str">
        <f>IF(IF(AA990=" "," ",IF(NOT(ISBLANK(X990)),VLOOKUP($D$3+X990,Calcs!$A$110:$B$122,2,TRUE),IF(AA990="Failed",VLOOKUP($D$3,Calcs!$A$110:$B$122,2,TRUE),VLOOKUP($D$3-(IF((Character!$B$9+W990)&gt;($D$3+Y990),(Character!$B$9+W990)-($D$3+Y990),0)),Calcs!$A$110:$B$122,2,TRUE))))=Calcs!$B$120,IF(ISBLANK(AC990)," ",CONCATENATE(AC990+7," Years")),IF(AA990=" "," ",IF(NOT(ISBLANK(X990)),VLOOKUP($D$3+X990,Calcs!$A$110:$B$122,2,TRUE),IF(AA990="Failed",VLOOKUP($D$3,Calcs!$A$110:$B$122,2,TRUE),VLOOKUP($D$3-(IF((Character!$B$9+W990)&gt;($D$3+Y990),(Character!$B$9+W990)-($D$3+Y990),0)),Calcs!$A$110:$B$122,2,TRUE)))))</f>
        <v xml:space="preserve"> </v>
      </c>
      <c r="AE990" s="490"/>
      <c r="AF990" s="879"/>
      <c r="AG990" s="491"/>
    </row>
    <row r="991" spans="1:33" x14ac:dyDescent="0.2">
      <c r="A991" s="415">
        <f t="shared" si="30"/>
        <v>1457</v>
      </c>
      <c r="B991" s="419" t="str">
        <f t="shared" si="31"/>
        <v>Autumn</v>
      </c>
      <c r="C991" s="455"/>
      <c r="D991" s="504"/>
      <c r="E991" s="455"/>
      <c r="F991" s="504"/>
      <c r="G991" s="455"/>
      <c r="H991" s="504"/>
      <c r="I991" s="455"/>
      <c r="J991" s="504"/>
      <c r="L991" s="472"/>
      <c r="M991" s="468"/>
      <c r="N991" s="468"/>
      <c r="O991" s="468"/>
      <c r="P991" s="468"/>
      <c r="Q991" s="473"/>
      <c r="R991" s="477" t="str">
        <f>IF(AND(COUNTIF('Start Character'!$I$63:$M$77,"Twilight Prone")=1,NOT(ISERROR(FIND("Magical Botch",M991)))),"Yes",IF(P991&gt;1,"Yes","No"))</f>
        <v>No</v>
      </c>
      <c r="S991" s="501"/>
      <c r="T991" s="478"/>
      <c r="U991" s="501"/>
      <c r="V991" s="479" t="str">
        <f>IF(R991="No","No Twilight",IF(T991="Yes","Uncomprehended Twilight",IF((Character!$B$14+IF(Character!$B$53="Yes",0,Character!$B$53)+IF(Magic!$C$5="Yes",2,0)+ROUNDUP((Magic!$B$30+IF(Magic!$C$30="Yes",3,0))/5,0)+S991)&gt;=($D$3+P991+SUMIF(Character!$I$62:$I$66,"Enigmatic Wisdom",Character!$J$62:$J$66)+Q991+U991),"No Twilight","Twilight")))</f>
        <v>No Twilight</v>
      </c>
      <c r="W991" s="483"/>
      <c r="X991" s="478"/>
      <c r="Y991" s="484"/>
      <c r="Z991" s="478"/>
      <c r="AA991" s="485" t="str">
        <f>IF(V991="Uncomprehended Twilight","Failed",IF(OR(ISBLANK(W991),ISBLANK(Y991))," ",IF(NOT(ISBLANK(X991)),"Failed",IF((W991+Character!$B$9+SUMIF(Character!$I$62:$I$66,"Enigmatic Wisdom",Character!$J$62:$J$66))&gt;=IF(Z991="Yes",0,(Y991+D986)),"Succeeded","Failed"))))</f>
        <v xml:space="preserve"> </v>
      </c>
      <c r="AB991" s="477" t="str">
        <f>IF(AA991=" "," ",IF(NOT(ISBLANK(X991)),VLOOKUP($D$3+X991,Calcs!$A$110:$C$122,3,TRUE),IF(AA991="Failed",VLOOKUP($D$3,Calcs!$A$110:$C$122,3,TRUE),VLOOKUP($D$3-(IF((Character!$B$9+W991)&gt;($D$3+Y991),(Character!$B$9+W991)-($D$3+Y991),0)),Calcs!$A$110:$C$122,3,TRUE))))</f>
        <v xml:space="preserve"> </v>
      </c>
      <c r="AC991" s="489"/>
      <c r="AD991" s="489" t="str">
        <f>IF(IF(AA991=" "," ",IF(NOT(ISBLANK(X991)),VLOOKUP($D$3+X991,Calcs!$A$110:$B$122,2,TRUE),IF(AA991="Failed",VLOOKUP($D$3,Calcs!$A$110:$B$122,2,TRUE),VLOOKUP($D$3-(IF((Character!$B$9+W991)&gt;($D$3+Y991),(Character!$B$9+W991)-($D$3+Y991),0)),Calcs!$A$110:$B$122,2,TRUE))))=Calcs!$B$120,IF(ISBLANK(AC991)," ",CONCATENATE(AC991+7," Years")),IF(AA991=" "," ",IF(NOT(ISBLANK(X991)),VLOOKUP($D$3+X991,Calcs!$A$110:$B$122,2,TRUE),IF(AA991="Failed",VLOOKUP($D$3,Calcs!$A$110:$B$122,2,TRUE),VLOOKUP($D$3-(IF((Character!$B$9+W991)&gt;($D$3+Y991),(Character!$B$9+W991)-($D$3+Y991),0)),Calcs!$A$110:$B$122,2,TRUE)))))</f>
        <v xml:space="preserve"> </v>
      </c>
      <c r="AE991" s="490"/>
      <c r="AF991" s="879"/>
      <c r="AG991" s="491"/>
    </row>
    <row r="992" spans="1:33" x14ac:dyDescent="0.2">
      <c r="A992" s="415">
        <f t="shared" si="30"/>
        <v>1458</v>
      </c>
      <c r="B992" s="419" t="str">
        <f t="shared" si="31"/>
        <v>Winter</v>
      </c>
      <c r="C992" s="455"/>
      <c r="D992" s="504"/>
      <c r="E992" s="455"/>
      <c r="F992" s="504"/>
      <c r="G992" s="455"/>
      <c r="H992" s="504"/>
      <c r="I992" s="455"/>
      <c r="J992" s="504"/>
      <c r="L992" s="472"/>
      <c r="M992" s="468"/>
      <c r="N992" s="468"/>
      <c r="O992" s="468"/>
      <c r="P992" s="468"/>
      <c r="Q992" s="473"/>
      <c r="R992" s="477" t="str">
        <f>IF(AND(COUNTIF('Start Character'!$I$63:$M$77,"Twilight Prone")=1,NOT(ISERROR(FIND("Magical Botch",M992)))),"Yes",IF(P992&gt;1,"Yes","No"))</f>
        <v>No</v>
      </c>
      <c r="S992" s="501"/>
      <c r="T992" s="478"/>
      <c r="U992" s="501"/>
      <c r="V992" s="479" t="str">
        <f>IF(R992="No","No Twilight",IF(T992="Yes","Uncomprehended Twilight",IF((Character!$B$14+IF(Character!$B$53="Yes",0,Character!$B$53)+IF(Magic!$C$5="Yes",2,0)+ROUNDUP((Magic!$B$30+IF(Magic!$C$30="Yes",3,0))/5,0)+S992)&gt;=($D$3+P992+SUMIF(Character!$I$62:$I$66,"Enigmatic Wisdom",Character!$J$62:$J$66)+Q992+U992),"No Twilight","Twilight")))</f>
        <v>No Twilight</v>
      </c>
      <c r="W992" s="483"/>
      <c r="X992" s="478"/>
      <c r="Y992" s="484"/>
      <c r="Z992" s="478"/>
      <c r="AA992" s="485" t="str">
        <f>IF(V992="Uncomprehended Twilight","Failed",IF(OR(ISBLANK(W992),ISBLANK(Y992))," ",IF(NOT(ISBLANK(X992)),"Failed",IF((W992+Character!$B$9+SUMIF(Character!$I$62:$I$66,"Enigmatic Wisdom",Character!$J$62:$J$66))&gt;=IF(Z992="Yes",0,(Y992+D987)),"Succeeded","Failed"))))</f>
        <v xml:space="preserve"> </v>
      </c>
      <c r="AB992" s="477" t="str">
        <f>IF(AA992=" "," ",IF(NOT(ISBLANK(X992)),VLOOKUP($D$3+X992,Calcs!$A$110:$C$122,3,TRUE),IF(AA992="Failed",VLOOKUP($D$3,Calcs!$A$110:$C$122,3,TRUE),VLOOKUP($D$3-(IF((Character!$B$9+W992)&gt;($D$3+Y992),(Character!$B$9+W992)-($D$3+Y992),0)),Calcs!$A$110:$C$122,3,TRUE))))</f>
        <v xml:space="preserve"> </v>
      </c>
      <c r="AC992" s="489"/>
      <c r="AD992" s="489" t="str">
        <f>IF(IF(AA992=" "," ",IF(NOT(ISBLANK(X992)),VLOOKUP($D$3+X992,Calcs!$A$110:$B$122,2,TRUE),IF(AA992="Failed",VLOOKUP($D$3,Calcs!$A$110:$B$122,2,TRUE),VLOOKUP($D$3-(IF((Character!$B$9+W992)&gt;($D$3+Y992),(Character!$B$9+W992)-($D$3+Y992),0)),Calcs!$A$110:$B$122,2,TRUE))))=Calcs!$B$120,IF(ISBLANK(AC992)," ",CONCATENATE(AC992+7," Years")),IF(AA992=" "," ",IF(NOT(ISBLANK(X992)),VLOOKUP($D$3+X992,Calcs!$A$110:$B$122,2,TRUE),IF(AA992="Failed",VLOOKUP($D$3,Calcs!$A$110:$B$122,2,TRUE),VLOOKUP($D$3-(IF((Character!$B$9+W992)&gt;($D$3+Y992),(Character!$B$9+W992)-($D$3+Y992),0)),Calcs!$A$110:$B$122,2,TRUE)))))</f>
        <v xml:space="preserve"> </v>
      </c>
      <c r="AE992" s="490"/>
      <c r="AF992" s="879"/>
      <c r="AG992" s="491"/>
    </row>
    <row r="993" spans="1:33" x14ac:dyDescent="0.2">
      <c r="A993" s="415">
        <f t="shared" si="30"/>
        <v>1458</v>
      </c>
      <c r="B993" s="419" t="str">
        <f t="shared" si="31"/>
        <v>Spring</v>
      </c>
      <c r="C993" s="455"/>
      <c r="D993" s="504"/>
      <c r="E993" s="455"/>
      <c r="F993" s="504"/>
      <c r="G993" s="455"/>
      <c r="H993" s="504"/>
      <c r="I993" s="455"/>
      <c r="J993" s="504"/>
      <c r="L993" s="472"/>
      <c r="M993" s="468"/>
      <c r="N993" s="468"/>
      <c r="O993" s="468"/>
      <c r="P993" s="468"/>
      <c r="Q993" s="473"/>
      <c r="R993" s="477" t="str">
        <f>IF(AND(COUNTIF('Start Character'!$I$63:$M$77,"Twilight Prone")=1,NOT(ISERROR(FIND("Magical Botch",M993)))),"Yes",IF(P993&gt;1,"Yes","No"))</f>
        <v>No</v>
      </c>
      <c r="S993" s="501"/>
      <c r="T993" s="478"/>
      <c r="U993" s="501"/>
      <c r="V993" s="479" t="str">
        <f>IF(R993="No","No Twilight",IF(T993="Yes","Uncomprehended Twilight",IF((Character!$B$14+IF(Character!$B$53="Yes",0,Character!$B$53)+IF(Magic!$C$5="Yes",2,0)+ROUNDUP((Magic!$B$30+IF(Magic!$C$30="Yes",3,0))/5,0)+S993)&gt;=($D$3+P993+SUMIF(Character!$I$62:$I$66,"Enigmatic Wisdom",Character!$J$62:$J$66)+Q993+U993),"No Twilight","Twilight")))</f>
        <v>No Twilight</v>
      </c>
      <c r="W993" s="483"/>
      <c r="X993" s="478"/>
      <c r="Y993" s="484"/>
      <c r="Z993" s="478"/>
      <c r="AA993" s="485" t="str">
        <f>IF(V993="Uncomprehended Twilight","Failed",IF(OR(ISBLANK(W993),ISBLANK(Y993))," ",IF(NOT(ISBLANK(X993)),"Failed",IF((W993+Character!$B$9+SUMIF(Character!$I$62:$I$66,"Enigmatic Wisdom",Character!$J$62:$J$66))&gt;=IF(Z993="Yes",0,(Y993+D988)),"Succeeded","Failed"))))</f>
        <v xml:space="preserve"> </v>
      </c>
      <c r="AB993" s="477" t="str">
        <f>IF(AA993=" "," ",IF(NOT(ISBLANK(X993)),VLOOKUP($D$3+X993,Calcs!$A$110:$C$122,3,TRUE),IF(AA993="Failed",VLOOKUP($D$3,Calcs!$A$110:$C$122,3,TRUE),VLOOKUP($D$3-(IF((Character!$B$9+W993)&gt;($D$3+Y993),(Character!$B$9+W993)-($D$3+Y993),0)),Calcs!$A$110:$C$122,3,TRUE))))</f>
        <v xml:space="preserve"> </v>
      </c>
      <c r="AC993" s="489"/>
      <c r="AD993" s="489" t="str">
        <f>IF(IF(AA993=" "," ",IF(NOT(ISBLANK(X993)),VLOOKUP($D$3+X993,Calcs!$A$110:$B$122,2,TRUE),IF(AA993="Failed",VLOOKUP($D$3,Calcs!$A$110:$B$122,2,TRUE),VLOOKUP($D$3-(IF((Character!$B$9+W993)&gt;($D$3+Y993),(Character!$B$9+W993)-($D$3+Y993),0)),Calcs!$A$110:$B$122,2,TRUE))))=Calcs!$B$120,IF(ISBLANK(AC993)," ",CONCATENATE(AC993+7," Years")),IF(AA993=" "," ",IF(NOT(ISBLANK(X993)),VLOOKUP($D$3+X993,Calcs!$A$110:$B$122,2,TRUE),IF(AA993="Failed",VLOOKUP($D$3,Calcs!$A$110:$B$122,2,TRUE),VLOOKUP($D$3-(IF((Character!$B$9+W993)&gt;($D$3+Y993),(Character!$B$9+W993)-($D$3+Y993),0)),Calcs!$A$110:$B$122,2,TRUE)))))</f>
        <v xml:space="preserve"> </v>
      </c>
      <c r="AE993" s="490"/>
      <c r="AF993" s="879"/>
      <c r="AG993" s="491"/>
    </row>
    <row r="994" spans="1:33" x14ac:dyDescent="0.2">
      <c r="A994" s="415">
        <f t="shared" si="30"/>
        <v>1458</v>
      </c>
      <c r="B994" s="419" t="str">
        <f t="shared" si="31"/>
        <v>Summer</v>
      </c>
      <c r="C994" s="455"/>
      <c r="D994" s="504"/>
      <c r="E994" s="455"/>
      <c r="F994" s="504"/>
      <c r="G994" s="455"/>
      <c r="H994" s="504"/>
      <c r="I994" s="455"/>
      <c r="J994" s="504"/>
      <c r="L994" s="472"/>
      <c r="M994" s="468"/>
      <c r="N994" s="468"/>
      <c r="O994" s="468"/>
      <c r="P994" s="468"/>
      <c r="Q994" s="473"/>
      <c r="R994" s="477" t="str">
        <f>IF(AND(COUNTIF('Start Character'!$I$63:$M$77,"Twilight Prone")=1,NOT(ISERROR(FIND("Magical Botch",M994)))),"Yes",IF(P994&gt;1,"Yes","No"))</f>
        <v>No</v>
      </c>
      <c r="S994" s="501"/>
      <c r="T994" s="478"/>
      <c r="U994" s="501"/>
      <c r="V994" s="479" t="str">
        <f>IF(R994="No","No Twilight",IF(T994="Yes","Uncomprehended Twilight",IF((Character!$B$14+IF(Character!$B$53="Yes",0,Character!$B$53)+IF(Magic!$C$5="Yes",2,0)+ROUNDUP((Magic!$B$30+IF(Magic!$C$30="Yes",3,0))/5,0)+S994)&gt;=($D$3+P994+SUMIF(Character!$I$62:$I$66,"Enigmatic Wisdom",Character!$J$62:$J$66)+Q994+U994),"No Twilight","Twilight")))</f>
        <v>No Twilight</v>
      </c>
      <c r="W994" s="483"/>
      <c r="X994" s="478"/>
      <c r="Y994" s="484"/>
      <c r="Z994" s="478"/>
      <c r="AA994" s="485" t="str">
        <f>IF(V994="Uncomprehended Twilight","Failed",IF(OR(ISBLANK(W994),ISBLANK(Y994))," ",IF(NOT(ISBLANK(X994)),"Failed",IF((W994+Character!$B$9+SUMIF(Character!$I$62:$I$66,"Enigmatic Wisdom",Character!$J$62:$J$66))&gt;=IF(Z994="Yes",0,(Y994+D989)),"Succeeded","Failed"))))</f>
        <v xml:space="preserve"> </v>
      </c>
      <c r="AB994" s="477" t="str">
        <f>IF(AA994=" "," ",IF(NOT(ISBLANK(X994)),VLOOKUP($D$3+X994,Calcs!$A$110:$C$122,3,TRUE),IF(AA994="Failed",VLOOKUP($D$3,Calcs!$A$110:$C$122,3,TRUE),VLOOKUP($D$3-(IF((Character!$B$9+W994)&gt;($D$3+Y994),(Character!$B$9+W994)-($D$3+Y994),0)),Calcs!$A$110:$C$122,3,TRUE))))</f>
        <v xml:space="preserve"> </v>
      </c>
      <c r="AC994" s="489"/>
      <c r="AD994" s="489" t="str">
        <f>IF(IF(AA994=" "," ",IF(NOT(ISBLANK(X994)),VLOOKUP($D$3+X994,Calcs!$A$110:$B$122,2,TRUE),IF(AA994="Failed",VLOOKUP($D$3,Calcs!$A$110:$B$122,2,TRUE),VLOOKUP($D$3-(IF((Character!$B$9+W994)&gt;($D$3+Y994),(Character!$B$9+W994)-($D$3+Y994),0)),Calcs!$A$110:$B$122,2,TRUE))))=Calcs!$B$120,IF(ISBLANK(AC994)," ",CONCATENATE(AC994+7," Years")),IF(AA994=" "," ",IF(NOT(ISBLANK(X994)),VLOOKUP($D$3+X994,Calcs!$A$110:$B$122,2,TRUE),IF(AA994="Failed",VLOOKUP($D$3,Calcs!$A$110:$B$122,2,TRUE),VLOOKUP($D$3-(IF((Character!$B$9+W994)&gt;($D$3+Y994),(Character!$B$9+W994)-($D$3+Y994),0)),Calcs!$A$110:$B$122,2,TRUE)))))</f>
        <v xml:space="preserve"> </v>
      </c>
      <c r="AE994" s="490"/>
      <c r="AF994" s="879"/>
      <c r="AG994" s="491"/>
    </row>
    <row r="995" spans="1:33" x14ac:dyDescent="0.2">
      <c r="A995" s="415">
        <f t="shared" si="30"/>
        <v>1458</v>
      </c>
      <c r="B995" s="419" t="str">
        <f t="shared" si="31"/>
        <v>Autumn</v>
      </c>
      <c r="C995" s="455"/>
      <c r="D995" s="504"/>
      <c r="E995" s="455"/>
      <c r="F995" s="504"/>
      <c r="G995" s="455"/>
      <c r="H995" s="504"/>
      <c r="I995" s="455"/>
      <c r="J995" s="504"/>
      <c r="L995" s="472"/>
      <c r="M995" s="468"/>
      <c r="N995" s="468"/>
      <c r="O995" s="468"/>
      <c r="P995" s="468"/>
      <c r="Q995" s="473"/>
      <c r="R995" s="477" t="str">
        <f>IF(AND(COUNTIF('Start Character'!$I$63:$M$77,"Twilight Prone")=1,NOT(ISERROR(FIND("Magical Botch",M995)))),"Yes",IF(P995&gt;1,"Yes","No"))</f>
        <v>No</v>
      </c>
      <c r="S995" s="501"/>
      <c r="T995" s="478"/>
      <c r="U995" s="501"/>
      <c r="V995" s="479" t="str">
        <f>IF(R995="No","No Twilight",IF(T995="Yes","Uncomprehended Twilight",IF((Character!$B$14+IF(Character!$B$53="Yes",0,Character!$B$53)+IF(Magic!$C$5="Yes",2,0)+ROUNDUP((Magic!$B$30+IF(Magic!$C$30="Yes",3,0))/5,0)+S995)&gt;=($D$3+P995+SUMIF(Character!$I$62:$I$66,"Enigmatic Wisdom",Character!$J$62:$J$66)+Q995+U995),"No Twilight","Twilight")))</f>
        <v>No Twilight</v>
      </c>
      <c r="W995" s="483"/>
      <c r="X995" s="478"/>
      <c r="Y995" s="484"/>
      <c r="Z995" s="478"/>
      <c r="AA995" s="485" t="str">
        <f>IF(V995="Uncomprehended Twilight","Failed",IF(OR(ISBLANK(W995),ISBLANK(Y995))," ",IF(NOT(ISBLANK(X995)),"Failed",IF((W995+Character!$B$9+SUMIF(Character!$I$62:$I$66,"Enigmatic Wisdom",Character!$J$62:$J$66))&gt;=IF(Z995="Yes",0,(Y995+D990)),"Succeeded","Failed"))))</f>
        <v xml:space="preserve"> </v>
      </c>
      <c r="AB995" s="477" t="str">
        <f>IF(AA995=" "," ",IF(NOT(ISBLANK(X995)),VLOOKUP($D$3+X995,Calcs!$A$110:$C$122,3,TRUE),IF(AA995="Failed",VLOOKUP($D$3,Calcs!$A$110:$C$122,3,TRUE),VLOOKUP($D$3-(IF((Character!$B$9+W995)&gt;($D$3+Y995),(Character!$B$9+W995)-($D$3+Y995),0)),Calcs!$A$110:$C$122,3,TRUE))))</f>
        <v xml:space="preserve"> </v>
      </c>
      <c r="AC995" s="489"/>
      <c r="AD995" s="489" t="str">
        <f>IF(IF(AA995=" "," ",IF(NOT(ISBLANK(X995)),VLOOKUP($D$3+X995,Calcs!$A$110:$B$122,2,TRUE),IF(AA995="Failed",VLOOKUP($D$3,Calcs!$A$110:$B$122,2,TRUE),VLOOKUP($D$3-(IF((Character!$B$9+W995)&gt;($D$3+Y995),(Character!$B$9+W995)-($D$3+Y995),0)),Calcs!$A$110:$B$122,2,TRUE))))=Calcs!$B$120,IF(ISBLANK(AC995)," ",CONCATENATE(AC995+7," Years")),IF(AA995=" "," ",IF(NOT(ISBLANK(X995)),VLOOKUP($D$3+X995,Calcs!$A$110:$B$122,2,TRUE),IF(AA995="Failed",VLOOKUP($D$3,Calcs!$A$110:$B$122,2,TRUE),VLOOKUP($D$3-(IF((Character!$B$9+W995)&gt;($D$3+Y995),(Character!$B$9+W995)-($D$3+Y995),0)),Calcs!$A$110:$B$122,2,TRUE)))))</f>
        <v xml:space="preserve"> </v>
      </c>
      <c r="AE995" s="490"/>
      <c r="AF995" s="879"/>
      <c r="AG995" s="491"/>
    </row>
    <row r="996" spans="1:33" x14ac:dyDescent="0.2">
      <c r="A996" s="415">
        <f t="shared" si="30"/>
        <v>1459</v>
      </c>
      <c r="B996" s="419" t="str">
        <f t="shared" si="31"/>
        <v>Winter</v>
      </c>
      <c r="C996" s="455"/>
      <c r="D996" s="504"/>
      <c r="E996" s="455"/>
      <c r="F996" s="504"/>
      <c r="G996" s="455"/>
      <c r="H996" s="504"/>
      <c r="I996" s="455"/>
      <c r="J996" s="504"/>
      <c r="L996" s="472"/>
      <c r="M996" s="468"/>
      <c r="N996" s="468"/>
      <c r="O996" s="468"/>
      <c r="P996" s="468"/>
      <c r="Q996" s="473"/>
      <c r="R996" s="477" t="str">
        <f>IF(AND(COUNTIF('Start Character'!$I$63:$M$77,"Twilight Prone")=1,NOT(ISERROR(FIND("Magical Botch",M996)))),"Yes",IF(P996&gt;1,"Yes","No"))</f>
        <v>No</v>
      </c>
      <c r="S996" s="501"/>
      <c r="T996" s="478"/>
      <c r="U996" s="501"/>
      <c r="V996" s="479" t="str">
        <f>IF(R996="No","No Twilight",IF(T996="Yes","Uncomprehended Twilight",IF((Character!$B$14+IF(Character!$B$53="Yes",0,Character!$B$53)+IF(Magic!$C$5="Yes",2,0)+ROUNDUP((Magic!$B$30+IF(Magic!$C$30="Yes",3,0))/5,0)+S996)&gt;=($D$3+P996+SUMIF(Character!$I$62:$I$66,"Enigmatic Wisdom",Character!$J$62:$J$66)+Q996+U996),"No Twilight","Twilight")))</f>
        <v>No Twilight</v>
      </c>
      <c r="W996" s="483"/>
      <c r="X996" s="478"/>
      <c r="Y996" s="484"/>
      <c r="Z996" s="478"/>
      <c r="AA996" s="485" t="str">
        <f>IF(V996="Uncomprehended Twilight","Failed",IF(OR(ISBLANK(W996),ISBLANK(Y996))," ",IF(NOT(ISBLANK(X996)),"Failed",IF((W996+Character!$B$9+SUMIF(Character!$I$62:$I$66,"Enigmatic Wisdom",Character!$J$62:$J$66))&gt;=IF(Z996="Yes",0,(Y996+D991)),"Succeeded","Failed"))))</f>
        <v xml:space="preserve"> </v>
      </c>
      <c r="AB996" s="477" t="str">
        <f>IF(AA996=" "," ",IF(NOT(ISBLANK(X996)),VLOOKUP($D$3+X996,Calcs!$A$110:$C$122,3,TRUE),IF(AA996="Failed",VLOOKUP($D$3,Calcs!$A$110:$C$122,3,TRUE),VLOOKUP($D$3-(IF((Character!$B$9+W996)&gt;($D$3+Y996),(Character!$B$9+W996)-($D$3+Y996),0)),Calcs!$A$110:$C$122,3,TRUE))))</f>
        <v xml:space="preserve"> </v>
      </c>
      <c r="AC996" s="489"/>
      <c r="AD996" s="489" t="str">
        <f>IF(IF(AA996=" "," ",IF(NOT(ISBLANK(X996)),VLOOKUP($D$3+X996,Calcs!$A$110:$B$122,2,TRUE),IF(AA996="Failed",VLOOKUP($D$3,Calcs!$A$110:$B$122,2,TRUE),VLOOKUP($D$3-(IF((Character!$B$9+W996)&gt;($D$3+Y996),(Character!$B$9+W996)-($D$3+Y996),0)),Calcs!$A$110:$B$122,2,TRUE))))=Calcs!$B$120,IF(ISBLANK(AC996)," ",CONCATENATE(AC996+7," Years")),IF(AA996=" "," ",IF(NOT(ISBLANK(X996)),VLOOKUP($D$3+X996,Calcs!$A$110:$B$122,2,TRUE),IF(AA996="Failed",VLOOKUP($D$3,Calcs!$A$110:$B$122,2,TRUE),VLOOKUP($D$3-(IF((Character!$B$9+W996)&gt;($D$3+Y996),(Character!$B$9+W996)-($D$3+Y996),0)),Calcs!$A$110:$B$122,2,TRUE)))))</f>
        <v xml:space="preserve"> </v>
      </c>
      <c r="AE996" s="490"/>
      <c r="AF996" s="879"/>
      <c r="AG996" s="491"/>
    </row>
    <row r="997" spans="1:33" x14ac:dyDescent="0.2">
      <c r="A997" s="415">
        <f t="shared" si="30"/>
        <v>1459</v>
      </c>
      <c r="B997" s="419" t="str">
        <f t="shared" si="31"/>
        <v>Spring</v>
      </c>
      <c r="C997" s="455"/>
      <c r="D997" s="504"/>
      <c r="E997" s="455"/>
      <c r="F997" s="504"/>
      <c r="G997" s="455"/>
      <c r="H997" s="504"/>
      <c r="I997" s="455"/>
      <c r="J997" s="504"/>
      <c r="L997" s="472"/>
      <c r="M997" s="468"/>
      <c r="N997" s="468"/>
      <c r="O997" s="468"/>
      <c r="P997" s="468"/>
      <c r="Q997" s="473"/>
      <c r="R997" s="477" t="str">
        <f>IF(AND(COUNTIF('Start Character'!$I$63:$M$77,"Twilight Prone")=1,NOT(ISERROR(FIND("Magical Botch",M997)))),"Yes",IF(P997&gt;1,"Yes","No"))</f>
        <v>No</v>
      </c>
      <c r="S997" s="501"/>
      <c r="T997" s="478"/>
      <c r="U997" s="501"/>
      <c r="V997" s="479" t="str">
        <f>IF(R997="No","No Twilight",IF(T997="Yes","Uncomprehended Twilight",IF((Character!$B$14+IF(Character!$B$53="Yes",0,Character!$B$53)+IF(Magic!$C$5="Yes",2,0)+ROUNDUP((Magic!$B$30+IF(Magic!$C$30="Yes",3,0))/5,0)+S997)&gt;=($D$3+P997+SUMIF(Character!$I$62:$I$66,"Enigmatic Wisdom",Character!$J$62:$J$66)+Q997+U997),"No Twilight","Twilight")))</f>
        <v>No Twilight</v>
      </c>
      <c r="W997" s="483"/>
      <c r="X997" s="478"/>
      <c r="Y997" s="484"/>
      <c r="Z997" s="478"/>
      <c r="AA997" s="485" t="str">
        <f>IF(V997="Uncomprehended Twilight","Failed",IF(OR(ISBLANK(W997),ISBLANK(Y997))," ",IF(NOT(ISBLANK(X997)),"Failed",IF((W997+Character!$B$9+SUMIF(Character!$I$62:$I$66,"Enigmatic Wisdom",Character!$J$62:$J$66))&gt;=IF(Z997="Yes",0,(Y997+D992)),"Succeeded","Failed"))))</f>
        <v xml:space="preserve"> </v>
      </c>
      <c r="AB997" s="477" t="str">
        <f>IF(AA997=" "," ",IF(NOT(ISBLANK(X997)),VLOOKUP($D$3+X997,Calcs!$A$110:$C$122,3,TRUE),IF(AA997="Failed",VLOOKUP($D$3,Calcs!$A$110:$C$122,3,TRUE),VLOOKUP($D$3-(IF((Character!$B$9+W997)&gt;($D$3+Y997),(Character!$B$9+W997)-($D$3+Y997),0)),Calcs!$A$110:$C$122,3,TRUE))))</f>
        <v xml:space="preserve"> </v>
      </c>
      <c r="AC997" s="489"/>
      <c r="AD997" s="489" t="str">
        <f>IF(IF(AA997=" "," ",IF(NOT(ISBLANK(X997)),VLOOKUP($D$3+X997,Calcs!$A$110:$B$122,2,TRUE),IF(AA997="Failed",VLOOKUP($D$3,Calcs!$A$110:$B$122,2,TRUE),VLOOKUP($D$3-(IF((Character!$B$9+W997)&gt;($D$3+Y997),(Character!$B$9+W997)-($D$3+Y997),0)),Calcs!$A$110:$B$122,2,TRUE))))=Calcs!$B$120,IF(ISBLANK(AC997)," ",CONCATENATE(AC997+7," Years")),IF(AA997=" "," ",IF(NOT(ISBLANK(X997)),VLOOKUP($D$3+X997,Calcs!$A$110:$B$122,2,TRUE),IF(AA997="Failed",VLOOKUP($D$3,Calcs!$A$110:$B$122,2,TRUE),VLOOKUP($D$3-(IF((Character!$B$9+W997)&gt;($D$3+Y997),(Character!$B$9+W997)-($D$3+Y997),0)),Calcs!$A$110:$B$122,2,TRUE)))))</f>
        <v xml:space="preserve"> </v>
      </c>
      <c r="AE997" s="490"/>
      <c r="AF997" s="879"/>
      <c r="AG997" s="491"/>
    </row>
    <row r="998" spans="1:33" x14ac:dyDescent="0.2">
      <c r="A998" s="415">
        <f t="shared" si="30"/>
        <v>1459</v>
      </c>
      <c r="B998" s="419" t="str">
        <f t="shared" si="31"/>
        <v>Summer</v>
      </c>
      <c r="C998" s="455"/>
      <c r="D998" s="504"/>
      <c r="E998" s="455"/>
      <c r="F998" s="504"/>
      <c r="G998" s="455"/>
      <c r="H998" s="504"/>
      <c r="I998" s="455"/>
      <c r="J998" s="504"/>
      <c r="L998" s="472"/>
      <c r="M998" s="468"/>
      <c r="N998" s="468"/>
      <c r="O998" s="468"/>
      <c r="P998" s="468"/>
      <c r="Q998" s="473"/>
      <c r="R998" s="477" t="str">
        <f>IF(AND(COUNTIF('Start Character'!$I$63:$M$77,"Twilight Prone")=1,NOT(ISERROR(FIND("Magical Botch",M998)))),"Yes",IF(P998&gt;1,"Yes","No"))</f>
        <v>No</v>
      </c>
      <c r="S998" s="501"/>
      <c r="T998" s="478"/>
      <c r="U998" s="501"/>
      <c r="V998" s="479" t="str">
        <f>IF(R998="No","No Twilight",IF(T998="Yes","Uncomprehended Twilight",IF((Character!$B$14+IF(Character!$B$53="Yes",0,Character!$B$53)+IF(Magic!$C$5="Yes",2,0)+ROUNDUP((Magic!$B$30+IF(Magic!$C$30="Yes",3,0))/5,0)+S998)&gt;=($D$3+P998+SUMIF(Character!$I$62:$I$66,"Enigmatic Wisdom",Character!$J$62:$J$66)+Q998+U998),"No Twilight","Twilight")))</f>
        <v>No Twilight</v>
      </c>
      <c r="W998" s="483"/>
      <c r="X998" s="478"/>
      <c r="Y998" s="484"/>
      <c r="Z998" s="478"/>
      <c r="AA998" s="485" t="str">
        <f>IF(V998="Uncomprehended Twilight","Failed",IF(OR(ISBLANK(W998),ISBLANK(Y998))," ",IF(NOT(ISBLANK(X998)),"Failed",IF((W998+Character!$B$9+SUMIF(Character!$I$62:$I$66,"Enigmatic Wisdom",Character!$J$62:$J$66))&gt;=IF(Z998="Yes",0,(Y998+D993)),"Succeeded","Failed"))))</f>
        <v xml:space="preserve"> </v>
      </c>
      <c r="AB998" s="477" t="str">
        <f>IF(AA998=" "," ",IF(NOT(ISBLANK(X998)),VLOOKUP($D$3+X998,Calcs!$A$110:$C$122,3,TRUE),IF(AA998="Failed",VLOOKUP($D$3,Calcs!$A$110:$C$122,3,TRUE),VLOOKUP($D$3-(IF((Character!$B$9+W998)&gt;($D$3+Y998),(Character!$B$9+W998)-($D$3+Y998),0)),Calcs!$A$110:$C$122,3,TRUE))))</f>
        <v xml:space="preserve"> </v>
      </c>
      <c r="AC998" s="489"/>
      <c r="AD998" s="489" t="str">
        <f>IF(IF(AA998=" "," ",IF(NOT(ISBLANK(X998)),VLOOKUP($D$3+X998,Calcs!$A$110:$B$122,2,TRUE),IF(AA998="Failed",VLOOKUP($D$3,Calcs!$A$110:$B$122,2,TRUE),VLOOKUP($D$3-(IF((Character!$B$9+W998)&gt;($D$3+Y998),(Character!$B$9+W998)-($D$3+Y998),0)),Calcs!$A$110:$B$122,2,TRUE))))=Calcs!$B$120,IF(ISBLANK(AC998)," ",CONCATENATE(AC998+7," Years")),IF(AA998=" "," ",IF(NOT(ISBLANK(X998)),VLOOKUP($D$3+X998,Calcs!$A$110:$B$122,2,TRUE),IF(AA998="Failed",VLOOKUP($D$3,Calcs!$A$110:$B$122,2,TRUE),VLOOKUP($D$3-(IF((Character!$B$9+W998)&gt;($D$3+Y998),(Character!$B$9+W998)-($D$3+Y998),0)),Calcs!$A$110:$B$122,2,TRUE)))))</f>
        <v xml:space="preserve"> </v>
      </c>
      <c r="AE998" s="490"/>
      <c r="AF998" s="879"/>
      <c r="AG998" s="491"/>
    </row>
    <row r="999" spans="1:33" x14ac:dyDescent="0.2">
      <c r="A999" s="415">
        <f t="shared" si="30"/>
        <v>1459</v>
      </c>
      <c r="B999" s="419" t="str">
        <f t="shared" si="31"/>
        <v>Autumn</v>
      </c>
      <c r="C999" s="455"/>
      <c r="D999" s="504"/>
      <c r="E999" s="455"/>
      <c r="F999" s="504"/>
      <c r="G999" s="455"/>
      <c r="H999" s="504"/>
      <c r="I999" s="455"/>
      <c r="J999" s="504"/>
      <c r="L999" s="472"/>
      <c r="M999" s="468"/>
      <c r="N999" s="468"/>
      <c r="O999" s="468"/>
      <c r="P999" s="468"/>
      <c r="Q999" s="473"/>
      <c r="R999" s="477" t="str">
        <f>IF(AND(COUNTIF('Start Character'!$I$63:$M$77,"Twilight Prone")=1,NOT(ISERROR(FIND("Magical Botch",M999)))),"Yes",IF(P999&gt;1,"Yes","No"))</f>
        <v>No</v>
      </c>
      <c r="S999" s="501"/>
      <c r="T999" s="478"/>
      <c r="U999" s="501"/>
      <c r="V999" s="479" t="str">
        <f>IF(R999="No","No Twilight",IF(T999="Yes","Uncomprehended Twilight",IF((Character!$B$14+IF(Character!$B$53="Yes",0,Character!$B$53)+IF(Magic!$C$5="Yes",2,0)+ROUNDUP((Magic!$B$30+IF(Magic!$C$30="Yes",3,0))/5,0)+S999)&gt;=($D$3+P999+SUMIF(Character!$I$62:$I$66,"Enigmatic Wisdom",Character!$J$62:$J$66)+Q999+U999),"No Twilight","Twilight")))</f>
        <v>No Twilight</v>
      </c>
      <c r="W999" s="483"/>
      <c r="X999" s="478"/>
      <c r="Y999" s="484"/>
      <c r="Z999" s="478"/>
      <c r="AA999" s="485" t="str">
        <f>IF(V999="Uncomprehended Twilight","Failed",IF(OR(ISBLANK(W999),ISBLANK(Y999))," ",IF(NOT(ISBLANK(X999)),"Failed",IF((W999+Character!$B$9+SUMIF(Character!$I$62:$I$66,"Enigmatic Wisdom",Character!$J$62:$J$66))&gt;=IF(Z999="Yes",0,(Y999+D994)),"Succeeded","Failed"))))</f>
        <v xml:space="preserve"> </v>
      </c>
      <c r="AB999" s="477" t="str">
        <f>IF(AA999=" "," ",IF(NOT(ISBLANK(X999)),VLOOKUP($D$3+X999,Calcs!$A$110:$C$122,3,TRUE),IF(AA999="Failed",VLOOKUP($D$3,Calcs!$A$110:$C$122,3,TRUE),VLOOKUP($D$3-(IF((Character!$B$9+W999)&gt;($D$3+Y999),(Character!$B$9+W999)-($D$3+Y999),0)),Calcs!$A$110:$C$122,3,TRUE))))</f>
        <v xml:space="preserve"> </v>
      </c>
      <c r="AC999" s="489"/>
      <c r="AD999" s="489" t="str">
        <f>IF(IF(AA999=" "," ",IF(NOT(ISBLANK(X999)),VLOOKUP($D$3+X999,Calcs!$A$110:$B$122,2,TRUE),IF(AA999="Failed",VLOOKUP($D$3,Calcs!$A$110:$B$122,2,TRUE),VLOOKUP($D$3-(IF((Character!$B$9+W999)&gt;($D$3+Y999),(Character!$B$9+W999)-($D$3+Y999),0)),Calcs!$A$110:$B$122,2,TRUE))))=Calcs!$B$120,IF(ISBLANK(AC999)," ",CONCATENATE(AC999+7," Years")),IF(AA999=" "," ",IF(NOT(ISBLANK(X999)),VLOOKUP($D$3+X999,Calcs!$A$110:$B$122,2,TRUE),IF(AA999="Failed",VLOOKUP($D$3,Calcs!$A$110:$B$122,2,TRUE),VLOOKUP($D$3-(IF((Character!$B$9+W999)&gt;($D$3+Y999),(Character!$B$9+W999)-($D$3+Y999),0)),Calcs!$A$110:$B$122,2,TRUE)))))</f>
        <v xml:space="preserve"> </v>
      </c>
      <c r="AE999" s="490"/>
      <c r="AF999" s="879"/>
      <c r="AG999" s="491"/>
    </row>
    <row r="1000" spans="1:33" x14ac:dyDescent="0.2">
      <c r="A1000" s="415">
        <f t="shared" si="30"/>
        <v>1460</v>
      </c>
      <c r="B1000" s="419" t="str">
        <f t="shared" si="31"/>
        <v>Winter</v>
      </c>
      <c r="C1000" s="455"/>
      <c r="D1000" s="504"/>
      <c r="E1000" s="455"/>
      <c r="F1000" s="504"/>
      <c r="G1000" s="455"/>
      <c r="H1000" s="504"/>
      <c r="I1000" s="455"/>
      <c r="J1000" s="504"/>
      <c r="L1000" s="472"/>
      <c r="M1000" s="468"/>
      <c r="N1000" s="468"/>
      <c r="O1000" s="468"/>
      <c r="P1000" s="468"/>
      <c r="Q1000" s="473"/>
      <c r="R1000" s="477" t="str">
        <f>IF(AND(COUNTIF('Start Character'!$I$63:$M$77,"Twilight Prone")=1,NOT(ISERROR(FIND("Magical Botch",M1000)))),"Yes",IF(P1000&gt;1,"Yes","No"))</f>
        <v>No</v>
      </c>
      <c r="S1000" s="501"/>
      <c r="T1000" s="478"/>
      <c r="U1000" s="501"/>
      <c r="V1000" s="479" t="str">
        <f>IF(R1000="No","No Twilight",IF(T1000="Yes","Uncomprehended Twilight",IF((Character!$B$14+IF(Character!$B$53="Yes",0,Character!$B$53)+IF(Magic!$C$5="Yes",2,0)+ROUNDUP((Magic!$B$30+IF(Magic!$C$30="Yes",3,0))/5,0)+S1000)&gt;=($D$3+P1000+SUMIF(Character!$I$62:$I$66,"Enigmatic Wisdom",Character!$J$62:$J$66)+Q1000+U1000),"No Twilight","Twilight")))</f>
        <v>No Twilight</v>
      </c>
      <c r="W1000" s="483"/>
      <c r="X1000" s="478"/>
      <c r="Y1000" s="484"/>
      <c r="Z1000" s="478"/>
      <c r="AA1000" s="485" t="str">
        <f>IF(V1000="Uncomprehended Twilight","Failed",IF(OR(ISBLANK(W1000),ISBLANK(Y1000))," ",IF(NOT(ISBLANK(X1000)),"Failed",IF((W1000+Character!$B$9+SUMIF(Character!$I$62:$I$66,"Enigmatic Wisdom",Character!$J$62:$J$66))&gt;=IF(Z1000="Yes",0,(Y1000+D995)),"Succeeded","Failed"))))</f>
        <v xml:space="preserve"> </v>
      </c>
      <c r="AB1000" s="477" t="str">
        <f>IF(AA1000=" "," ",IF(NOT(ISBLANK(X1000)),VLOOKUP($D$3+X1000,Calcs!$A$110:$C$122,3,TRUE),IF(AA1000="Failed",VLOOKUP($D$3,Calcs!$A$110:$C$122,3,TRUE),VLOOKUP($D$3-(IF((Character!$B$9+W1000)&gt;($D$3+Y1000),(Character!$B$9+W1000)-($D$3+Y1000),0)),Calcs!$A$110:$C$122,3,TRUE))))</f>
        <v xml:space="preserve"> </v>
      </c>
      <c r="AC1000" s="489"/>
      <c r="AD1000" s="489" t="str">
        <f>IF(IF(AA1000=" "," ",IF(NOT(ISBLANK(X1000)),VLOOKUP($D$3+X1000,Calcs!$A$110:$B$122,2,TRUE),IF(AA1000="Failed",VLOOKUP($D$3,Calcs!$A$110:$B$122,2,TRUE),VLOOKUP($D$3-(IF((Character!$B$9+W1000)&gt;($D$3+Y1000),(Character!$B$9+W1000)-($D$3+Y1000),0)),Calcs!$A$110:$B$122,2,TRUE))))=Calcs!$B$120,IF(ISBLANK(AC1000)," ",CONCATENATE(AC1000+7," Years")),IF(AA1000=" "," ",IF(NOT(ISBLANK(X1000)),VLOOKUP($D$3+X1000,Calcs!$A$110:$B$122,2,TRUE),IF(AA1000="Failed",VLOOKUP($D$3,Calcs!$A$110:$B$122,2,TRUE),VLOOKUP($D$3-(IF((Character!$B$9+W1000)&gt;($D$3+Y1000),(Character!$B$9+W1000)-($D$3+Y1000),0)),Calcs!$A$110:$B$122,2,TRUE)))))</f>
        <v xml:space="preserve"> </v>
      </c>
      <c r="AE1000" s="490"/>
      <c r="AF1000" s="879"/>
      <c r="AG1000" s="491"/>
    </row>
    <row r="1001" spans="1:33" x14ac:dyDescent="0.2">
      <c r="A1001" s="415">
        <f t="shared" si="30"/>
        <v>1460</v>
      </c>
      <c r="B1001" s="419" t="str">
        <f t="shared" si="31"/>
        <v>Spring</v>
      </c>
      <c r="C1001" s="455"/>
      <c r="D1001" s="504"/>
      <c r="E1001" s="455"/>
      <c r="F1001" s="504"/>
      <c r="G1001" s="455"/>
      <c r="H1001" s="504"/>
      <c r="I1001" s="455"/>
      <c r="J1001" s="504"/>
      <c r="L1001" s="472"/>
      <c r="M1001" s="468"/>
      <c r="N1001" s="468"/>
      <c r="O1001" s="468"/>
      <c r="P1001" s="468"/>
      <c r="Q1001" s="473"/>
      <c r="R1001" s="477" t="str">
        <f>IF(AND(COUNTIF('Start Character'!$I$63:$M$77,"Twilight Prone")=1,NOT(ISERROR(FIND("Magical Botch",M1001)))),"Yes",IF(P1001&gt;1,"Yes","No"))</f>
        <v>No</v>
      </c>
      <c r="S1001" s="501"/>
      <c r="T1001" s="478"/>
      <c r="U1001" s="501"/>
      <c r="V1001" s="479" t="str">
        <f>IF(R1001="No","No Twilight",IF(T1001="Yes","Uncomprehended Twilight",IF((Character!$B$14+IF(Character!$B$53="Yes",0,Character!$B$53)+IF(Magic!$C$5="Yes",2,0)+ROUNDUP((Magic!$B$30+IF(Magic!$C$30="Yes",3,0))/5,0)+S1001)&gt;=($D$3+P1001+SUMIF(Character!$I$62:$I$66,"Enigmatic Wisdom",Character!$J$62:$J$66)+Q1001+U1001),"No Twilight","Twilight")))</f>
        <v>No Twilight</v>
      </c>
      <c r="W1001" s="483"/>
      <c r="X1001" s="478"/>
      <c r="Y1001" s="484"/>
      <c r="Z1001" s="478"/>
      <c r="AA1001" s="485" t="str">
        <f>IF(V1001="Uncomprehended Twilight","Failed",IF(OR(ISBLANK(W1001),ISBLANK(Y1001))," ",IF(NOT(ISBLANK(X1001)),"Failed",IF((W1001+Character!$B$9+SUMIF(Character!$I$62:$I$66,"Enigmatic Wisdom",Character!$J$62:$J$66))&gt;=IF(Z1001="Yes",0,(Y1001+D996)),"Succeeded","Failed"))))</f>
        <v xml:space="preserve"> </v>
      </c>
      <c r="AB1001" s="477" t="str">
        <f>IF(AA1001=" "," ",IF(NOT(ISBLANK(X1001)),VLOOKUP($D$3+X1001,Calcs!$A$110:$C$122,3,TRUE),IF(AA1001="Failed",VLOOKUP($D$3,Calcs!$A$110:$C$122,3,TRUE),VLOOKUP($D$3-(IF((Character!$B$9+W1001)&gt;($D$3+Y1001),(Character!$B$9+W1001)-($D$3+Y1001),0)),Calcs!$A$110:$C$122,3,TRUE))))</f>
        <v xml:space="preserve"> </v>
      </c>
      <c r="AC1001" s="489"/>
      <c r="AD1001" s="489" t="str">
        <f>IF(IF(AA1001=" "," ",IF(NOT(ISBLANK(X1001)),VLOOKUP($D$3+X1001,Calcs!$A$110:$B$122,2,TRUE),IF(AA1001="Failed",VLOOKUP($D$3,Calcs!$A$110:$B$122,2,TRUE),VLOOKUP($D$3-(IF((Character!$B$9+W1001)&gt;($D$3+Y1001),(Character!$B$9+W1001)-($D$3+Y1001),0)),Calcs!$A$110:$B$122,2,TRUE))))=Calcs!$B$120,IF(ISBLANK(AC1001)," ",CONCATENATE(AC1001+7," Years")),IF(AA1001=" "," ",IF(NOT(ISBLANK(X1001)),VLOOKUP($D$3+X1001,Calcs!$A$110:$B$122,2,TRUE),IF(AA1001="Failed",VLOOKUP($D$3,Calcs!$A$110:$B$122,2,TRUE),VLOOKUP($D$3-(IF((Character!$B$9+W1001)&gt;($D$3+Y1001),(Character!$B$9+W1001)-($D$3+Y1001),0)),Calcs!$A$110:$B$122,2,TRUE)))))</f>
        <v xml:space="preserve"> </v>
      </c>
      <c r="AE1001" s="490"/>
      <c r="AF1001" s="879"/>
      <c r="AG1001" s="491"/>
    </row>
    <row r="1002" spans="1:33" x14ac:dyDescent="0.2">
      <c r="A1002" s="415">
        <f t="shared" si="30"/>
        <v>1460</v>
      </c>
      <c r="B1002" s="419" t="str">
        <f t="shared" si="31"/>
        <v>Summer</v>
      </c>
      <c r="C1002" s="455"/>
      <c r="D1002" s="504"/>
      <c r="E1002" s="455"/>
      <c r="F1002" s="504"/>
      <c r="G1002" s="455"/>
      <c r="H1002" s="504"/>
      <c r="I1002" s="455"/>
      <c r="J1002" s="504"/>
      <c r="L1002" s="472"/>
      <c r="M1002" s="468"/>
      <c r="N1002" s="468"/>
      <c r="O1002" s="468"/>
      <c r="P1002" s="468"/>
      <c r="Q1002" s="473"/>
      <c r="R1002" s="477" t="str">
        <f>IF(AND(COUNTIF('Start Character'!$I$63:$M$77,"Twilight Prone")=1,NOT(ISERROR(FIND("Magical Botch",M1002)))),"Yes",IF(P1002&gt;1,"Yes","No"))</f>
        <v>No</v>
      </c>
      <c r="S1002" s="501"/>
      <c r="T1002" s="478"/>
      <c r="U1002" s="501"/>
      <c r="V1002" s="479" t="str">
        <f>IF(R1002="No","No Twilight",IF(T1002="Yes","Uncomprehended Twilight",IF((Character!$B$14+IF(Character!$B$53="Yes",0,Character!$B$53)+IF(Magic!$C$5="Yes",2,0)+ROUNDUP((Magic!$B$30+IF(Magic!$C$30="Yes",3,0))/5,0)+S1002)&gt;=($D$3+P1002+SUMIF(Character!$I$62:$I$66,"Enigmatic Wisdom",Character!$J$62:$J$66)+Q1002+U1002),"No Twilight","Twilight")))</f>
        <v>No Twilight</v>
      </c>
      <c r="W1002" s="483"/>
      <c r="X1002" s="478"/>
      <c r="Y1002" s="484"/>
      <c r="Z1002" s="478"/>
      <c r="AA1002" s="485" t="str">
        <f>IF(V1002="Uncomprehended Twilight","Failed",IF(OR(ISBLANK(W1002),ISBLANK(Y1002))," ",IF(NOT(ISBLANK(X1002)),"Failed",IF((W1002+Character!$B$9+SUMIF(Character!$I$62:$I$66,"Enigmatic Wisdom",Character!$J$62:$J$66))&gt;=IF(Z1002="Yes",0,(Y1002+D997)),"Succeeded","Failed"))))</f>
        <v xml:space="preserve"> </v>
      </c>
      <c r="AB1002" s="477" t="str">
        <f>IF(AA1002=" "," ",IF(NOT(ISBLANK(X1002)),VLOOKUP($D$3+X1002,Calcs!$A$110:$C$122,3,TRUE),IF(AA1002="Failed",VLOOKUP($D$3,Calcs!$A$110:$C$122,3,TRUE),VLOOKUP($D$3-(IF((Character!$B$9+W1002)&gt;($D$3+Y1002),(Character!$B$9+W1002)-($D$3+Y1002),0)),Calcs!$A$110:$C$122,3,TRUE))))</f>
        <v xml:space="preserve"> </v>
      </c>
      <c r="AC1002" s="489"/>
      <c r="AD1002" s="489" t="str">
        <f>IF(IF(AA1002=" "," ",IF(NOT(ISBLANK(X1002)),VLOOKUP($D$3+X1002,Calcs!$A$110:$B$122,2,TRUE),IF(AA1002="Failed",VLOOKUP($D$3,Calcs!$A$110:$B$122,2,TRUE),VLOOKUP($D$3-(IF((Character!$B$9+W1002)&gt;($D$3+Y1002),(Character!$B$9+W1002)-($D$3+Y1002),0)),Calcs!$A$110:$B$122,2,TRUE))))=Calcs!$B$120,IF(ISBLANK(AC1002)," ",CONCATENATE(AC1002+7," Years")),IF(AA1002=" "," ",IF(NOT(ISBLANK(X1002)),VLOOKUP($D$3+X1002,Calcs!$A$110:$B$122,2,TRUE),IF(AA1002="Failed",VLOOKUP($D$3,Calcs!$A$110:$B$122,2,TRUE),VLOOKUP($D$3-(IF((Character!$B$9+W1002)&gt;($D$3+Y1002),(Character!$B$9+W1002)-($D$3+Y1002),0)),Calcs!$A$110:$B$122,2,TRUE)))))</f>
        <v xml:space="preserve"> </v>
      </c>
      <c r="AE1002" s="490"/>
      <c r="AF1002" s="879"/>
      <c r="AG1002" s="491"/>
    </row>
    <row r="1003" spans="1:33" x14ac:dyDescent="0.2">
      <c r="A1003" s="415">
        <f t="shared" si="30"/>
        <v>1460</v>
      </c>
      <c r="B1003" s="419" t="str">
        <f t="shared" si="31"/>
        <v>Autumn</v>
      </c>
      <c r="C1003" s="455"/>
      <c r="D1003" s="504"/>
      <c r="E1003" s="455"/>
      <c r="F1003" s="504"/>
      <c r="G1003" s="455"/>
      <c r="H1003" s="504"/>
      <c r="I1003" s="455"/>
      <c r="J1003" s="504"/>
      <c r="L1003" s="472"/>
      <c r="M1003" s="468"/>
      <c r="N1003" s="468"/>
      <c r="O1003" s="468"/>
      <c r="P1003" s="468"/>
      <c r="Q1003" s="473"/>
      <c r="R1003" s="477" t="str">
        <f>IF(AND(COUNTIF('Start Character'!$I$63:$M$77,"Twilight Prone")=1,NOT(ISERROR(FIND("Magical Botch",M1003)))),"Yes",IF(P1003&gt;1,"Yes","No"))</f>
        <v>No</v>
      </c>
      <c r="S1003" s="501"/>
      <c r="T1003" s="478"/>
      <c r="U1003" s="501"/>
      <c r="V1003" s="479" t="str">
        <f>IF(R1003="No","No Twilight",IF(T1003="Yes","Uncomprehended Twilight",IF((Character!$B$14+IF(Character!$B$53="Yes",0,Character!$B$53)+IF(Magic!$C$5="Yes",2,0)+ROUNDUP((Magic!$B$30+IF(Magic!$C$30="Yes",3,0))/5,0)+S1003)&gt;=($D$3+P1003+SUMIF(Character!$I$62:$I$66,"Enigmatic Wisdom",Character!$J$62:$J$66)+Q1003+U1003),"No Twilight","Twilight")))</f>
        <v>No Twilight</v>
      </c>
      <c r="W1003" s="483"/>
      <c r="X1003" s="478"/>
      <c r="Y1003" s="484"/>
      <c r="Z1003" s="478"/>
      <c r="AA1003" s="485" t="str">
        <f>IF(V1003="Uncomprehended Twilight","Failed",IF(OR(ISBLANK(W1003),ISBLANK(Y1003))," ",IF(NOT(ISBLANK(X1003)),"Failed",IF((W1003+Character!$B$9+SUMIF(Character!$I$62:$I$66,"Enigmatic Wisdom",Character!$J$62:$J$66))&gt;=IF(Z1003="Yes",0,(Y1003+D998)),"Succeeded","Failed"))))</f>
        <v xml:space="preserve"> </v>
      </c>
      <c r="AB1003" s="477" t="str">
        <f>IF(AA1003=" "," ",IF(NOT(ISBLANK(X1003)),VLOOKUP($D$3+X1003,Calcs!$A$110:$C$122,3,TRUE),IF(AA1003="Failed",VLOOKUP($D$3,Calcs!$A$110:$C$122,3,TRUE),VLOOKUP($D$3-(IF((Character!$B$9+W1003)&gt;($D$3+Y1003),(Character!$B$9+W1003)-($D$3+Y1003),0)),Calcs!$A$110:$C$122,3,TRUE))))</f>
        <v xml:space="preserve"> </v>
      </c>
      <c r="AC1003" s="489"/>
      <c r="AD1003" s="489" t="str">
        <f>IF(IF(AA1003=" "," ",IF(NOT(ISBLANK(X1003)),VLOOKUP($D$3+X1003,Calcs!$A$110:$B$122,2,TRUE),IF(AA1003="Failed",VLOOKUP($D$3,Calcs!$A$110:$B$122,2,TRUE),VLOOKUP($D$3-(IF((Character!$B$9+W1003)&gt;($D$3+Y1003),(Character!$B$9+W1003)-($D$3+Y1003),0)),Calcs!$A$110:$B$122,2,TRUE))))=Calcs!$B$120,IF(ISBLANK(AC1003)," ",CONCATENATE(AC1003+7," Years")),IF(AA1003=" "," ",IF(NOT(ISBLANK(X1003)),VLOOKUP($D$3+X1003,Calcs!$A$110:$B$122,2,TRUE),IF(AA1003="Failed",VLOOKUP($D$3,Calcs!$A$110:$B$122,2,TRUE),VLOOKUP($D$3-(IF((Character!$B$9+W1003)&gt;($D$3+Y1003),(Character!$B$9+W1003)-($D$3+Y1003),0)),Calcs!$A$110:$B$122,2,TRUE)))))</f>
        <v xml:space="preserve"> </v>
      </c>
      <c r="AE1003" s="490"/>
      <c r="AF1003" s="879"/>
      <c r="AG1003" s="491"/>
    </row>
    <row r="1004" spans="1:33" x14ac:dyDescent="0.2">
      <c r="A1004" s="415">
        <f t="shared" si="30"/>
        <v>1461</v>
      </c>
      <c r="B1004" s="419" t="str">
        <f t="shared" si="31"/>
        <v>Winter</v>
      </c>
      <c r="C1004" s="455"/>
      <c r="D1004" s="504"/>
      <c r="E1004" s="455"/>
      <c r="F1004" s="504"/>
      <c r="G1004" s="455"/>
      <c r="H1004" s="504"/>
      <c r="I1004" s="455"/>
      <c r="J1004" s="504"/>
      <c r="L1004" s="472"/>
      <c r="M1004" s="468"/>
      <c r="N1004" s="468"/>
      <c r="O1004" s="468"/>
      <c r="P1004" s="468"/>
      <c r="Q1004" s="473"/>
      <c r="R1004" s="477" t="str">
        <f>IF(AND(COUNTIF('Start Character'!$I$63:$M$77,"Twilight Prone")=1,NOT(ISERROR(FIND("Magical Botch",M1004)))),"Yes",IF(P1004&gt;1,"Yes","No"))</f>
        <v>No</v>
      </c>
      <c r="S1004" s="501"/>
      <c r="T1004" s="478"/>
      <c r="U1004" s="501"/>
      <c r="V1004" s="479" t="str">
        <f>IF(R1004="No","No Twilight",IF(T1004="Yes","Uncomprehended Twilight",IF((Character!$B$14+IF(Character!$B$53="Yes",0,Character!$B$53)+IF(Magic!$C$5="Yes",2,0)+ROUNDUP((Magic!$B$30+IF(Magic!$C$30="Yes",3,0))/5,0)+S1004)&gt;=($D$3+P1004+SUMIF(Character!$I$62:$I$66,"Enigmatic Wisdom",Character!$J$62:$J$66)+Q1004+U1004),"No Twilight","Twilight")))</f>
        <v>No Twilight</v>
      </c>
      <c r="W1004" s="483"/>
      <c r="X1004" s="478"/>
      <c r="Y1004" s="484"/>
      <c r="Z1004" s="478"/>
      <c r="AA1004" s="485" t="str">
        <f>IF(V1004="Uncomprehended Twilight","Failed",IF(OR(ISBLANK(W1004),ISBLANK(Y1004))," ",IF(NOT(ISBLANK(X1004)),"Failed",IF((W1004+Character!$B$9+SUMIF(Character!$I$62:$I$66,"Enigmatic Wisdom",Character!$J$62:$J$66))&gt;=IF(Z1004="Yes",0,(Y1004+D999)),"Succeeded","Failed"))))</f>
        <v xml:space="preserve"> </v>
      </c>
      <c r="AB1004" s="477" t="str">
        <f>IF(AA1004=" "," ",IF(NOT(ISBLANK(X1004)),VLOOKUP($D$3+X1004,Calcs!$A$110:$C$122,3,TRUE),IF(AA1004="Failed",VLOOKUP($D$3,Calcs!$A$110:$C$122,3,TRUE),VLOOKUP($D$3-(IF((Character!$B$9+W1004)&gt;($D$3+Y1004),(Character!$B$9+W1004)-($D$3+Y1004),0)),Calcs!$A$110:$C$122,3,TRUE))))</f>
        <v xml:space="preserve"> </v>
      </c>
      <c r="AC1004" s="489"/>
      <c r="AD1004" s="489" t="str">
        <f>IF(IF(AA1004=" "," ",IF(NOT(ISBLANK(X1004)),VLOOKUP($D$3+X1004,Calcs!$A$110:$B$122,2,TRUE),IF(AA1004="Failed",VLOOKUP($D$3,Calcs!$A$110:$B$122,2,TRUE),VLOOKUP($D$3-(IF((Character!$B$9+W1004)&gt;($D$3+Y1004),(Character!$B$9+W1004)-($D$3+Y1004),0)),Calcs!$A$110:$B$122,2,TRUE))))=Calcs!$B$120,IF(ISBLANK(AC1004)," ",CONCATENATE(AC1004+7," Years")),IF(AA1004=" "," ",IF(NOT(ISBLANK(X1004)),VLOOKUP($D$3+X1004,Calcs!$A$110:$B$122,2,TRUE),IF(AA1004="Failed",VLOOKUP($D$3,Calcs!$A$110:$B$122,2,TRUE),VLOOKUP($D$3-(IF((Character!$B$9+W1004)&gt;($D$3+Y1004),(Character!$B$9+W1004)-($D$3+Y1004),0)),Calcs!$A$110:$B$122,2,TRUE)))))</f>
        <v xml:space="preserve"> </v>
      </c>
      <c r="AE1004" s="490"/>
      <c r="AF1004" s="879"/>
      <c r="AG1004" s="491"/>
    </row>
    <row r="1005" spans="1:33" x14ac:dyDescent="0.2">
      <c r="A1005" s="415">
        <f t="shared" si="30"/>
        <v>1461</v>
      </c>
      <c r="B1005" s="419" t="str">
        <f t="shared" si="31"/>
        <v>Spring</v>
      </c>
      <c r="C1005" s="455"/>
      <c r="D1005" s="504"/>
      <c r="E1005" s="455"/>
      <c r="F1005" s="504"/>
      <c r="G1005" s="455"/>
      <c r="H1005" s="504"/>
      <c r="I1005" s="455"/>
      <c r="J1005" s="504"/>
      <c r="L1005" s="472"/>
      <c r="M1005" s="468"/>
      <c r="N1005" s="468"/>
      <c r="O1005" s="468"/>
      <c r="P1005" s="468"/>
      <c r="Q1005" s="473"/>
      <c r="R1005" s="477" t="str">
        <f>IF(AND(COUNTIF('Start Character'!$I$63:$M$77,"Twilight Prone")=1,NOT(ISERROR(FIND("Magical Botch",M1005)))),"Yes",IF(P1005&gt;1,"Yes","No"))</f>
        <v>No</v>
      </c>
      <c r="S1005" s="501"/>
      <c r="T1005" s="478"/>
      <c r="U1005" s="501"/>
      <c r="V1005" s="479" t="str">
        <f>IF(R1005="No","No Twilight",IF(T1005="Yes","Uncomprehended Twilight",IF((Character!$B$14+IF(Character!$B$53="Yes",0,Character!$B$53)+IF(Magic!$C$5="Yes",2,0)+ROUNDUP((Magic!$B$30+IF(Magic!$C$30="Yes",3,0))/5,0)+S1005)&gt;=($D$3+P1005+SUMIF(Character!$I$62:$I$66,"Enigmatic Wisdom",Character!$J$62:$J$66)+Q1005+U1005),"No Twilight","Twilight")))</f>
        <v>No Twilight</v>
      </c>
      <c r="W1005" s="483"/>
      <c r="X1005" s="478"/>
      <c r="Y1005" s="484"/>
      <c r="Z1005" s="478"/>
      <c r="AA1005" s="485" t="str">
        <f>IF(V1005="Uncomprehended Twilight","Failed",IF(OR(ISBLANK(W1005),ISBLANK(Y1005))," ",IF(NOT(ISBLANK(X1005)),"Failed",IF((W1005+Character!$B$9+SUMIF(Character!$I$62:$I$66,"Enigmatic Wisdom",Character!$J$62:$J$66))&gt;=IF(Z1005="Yes",0,(Y1005+D1000)),"Succeeded","Failed"))))</f>
        <v xml:space="preserve"> </v>
      </c>
      <c r="AB1005" s="477" t="str">
        <f>IF(AA1005=" "," ",IF(NOT(ISBLANK(X1005)),VLOOKUP($D$3+X1005,Calcs!$A$110:$C$122,3,TRUE),IF(AA1005="Failed",VLOOKUP($D$3,Calcs!$A$110:$C$122,3,TRUE),VLOOKUP($D$3-(IF((Character!$B$9+W1005)&gt;($D$3+Y1005),(Character!$B$9+W1005)-($D$3+Y1005),0)),Calcs!$A$110:$C$122,3,TRUE))))</f>
        <v xml:space="preserve"> </v>
      </c>
      <c r="AC1005" s="489"/>
      <c r="AD1005" s="489" t="str">
        <f>IF(IF(AA1005=" "," ",IF(NOT(ISBLANK(X1005)),VLOOKUP($D$3+X1005,Calcs!$A$110:$B$122,2,TRUE),IF(AA1005="Failed",VLOOKUP($D$3,Calcs!$A$110:$B$122,2,TRUE),VLOOKUP($D$3-(IF((Character!$B$9+W1005)&gt;($D$3+Y1005),(Character!$B$9+W1005)-($D$3+Y1005),0)),Calcs!$A$110:$B$122,2,TRUE))))=Calcs!$B$120,IF(ISBLANK(AC1005)," ",CONCATENATE(AC1005+7," Years")),IF(AA1005=" "," ",IF(NOT(ISBLANK(X1005)),VLOOKUP($D$3+X1005,Calcs!$A$110:$B$122,2,TRUE),IF(AA1005="Failed",VLOOKUP($D$3,Calcs!$A$110:$B$122,2,TRUE),VLOOKUP($D$3-(IF((Character!$B$9+W1005)&gt;($D$3+Y1005),(Character!$B$9+W1005)-($D$3+Y1005),0)),Calcs!$A$110:$B$122,2,TRUE)))))</f>
        <v xml:space="preserve"> </v>
      </c>
      <c r="AE1005" s="490"/>
      <c r="AF1005" s="879"/>
      <c r="AG1005" s="491"/>
    </row>
    <row r="1006" spans="1:33" x14ac:dyDescent="0.2">
      <c r="A1006" s="415">
        <f t="shared" si="30"/>
        <v>1461</v>
      </c>
      <c r="B1006" s="419" t="str">
        <f t="shared" si="31"/>
        <v>Summer</v>
      </c>
      <c r="C1006" s="455"/>
      <c r="D1006" s="504"/>
      <c r="E1006" s="455"/>
      <c r="F1006" s="504"/>
      <c r="G1006" s="455"/>
      <c r="H1006" s="504"/>
      <c r="I1006" s="455"/>
      <c r="J1006" s="504"/>
      <c r="L1006" s="472"/>
      <c r="M1006" s="468"/>
      <c r="N1006" s="468"/>
      <c r="O1006" s="468"/>
      <c r="P1006" s="468"/>
      <c r="Q1006" s="473"/>
      <c r="R1006" s="477" t="str">
        <f>IF(AND(COUNTIF('Start Character'!$I$63:$M$77,"Twilight Prone")=1,NOT(ISERROR(FIND("Magical Botch",M1006)))),"Yes",IF(P1006&gt;1,"Yes","No"))</f>
        <v>No</v>
      </c>
      <c r="S1006" s="501"/>
      <c r="T1006" s="478"/>
      <c r="U1006" s="501"/>
      <c r="V1006" s="479" t="str">
        <f>IF(R1006="No","No Twilight",IF(T1006="Yes","Uncomprehended Twilight",IF((Character!$B$14+IF(Character!$B$53="Yes",0,Character!$B$53)+IF(Magic!$C$5="Yes",2,0)+ROUNDUP((Magic!$B$30+IF(Magic!$C$30="Yes",3,0))/5,0)+S1006)&gt;=($D$3+P1006+SUMIF(Character!$I$62:$I$66,"Enigmatic Wisdom",Character!$J$62:$J$66)+Q1006+U1006),"No Twilight","Twilight")))</f>
        <v>No Twilight</v>
      </c>
      <c r="W1006" s="483"/>
      <c r="X1006" s="478"/>
      <c r="Y1006" s="484"/>
      <c r="Z1006" s="478"/>
      <c r="AA1006" s="485" t="str">
        <f>IF(V1006="Uncomprehended Twilight","Failed",IF(OR(ISBLANK(W1006),ISBLANK(Y1006))," ",IF(NOT(ISBLANK(X1006)),"Failed",IF((W1006+Character!$B$9+SUMIF(Character!$I$62:$I$66,"Enigmatic Wisdom",Character!$J$62:$J$66))&gt;=IF(Z1006="Yes",0,(Y1006+D1001)),"Succeeded","Failed"))))</f>
        <v xml:space="preserve"> </v>
      </c>
      <c r="AB1006" s="477" t="str">
        <f>IF(AA1006=" "," ",IF(NOT(ISBLANK(X1006)),VLOOKUP($D$3+X1006,Calcs!$A$110:$C$122,3,TRUE),IF(AA1006="Failed",VLOOKUP($D$3,Calcs!$A$110:$C$122,3,TRUE),VLOOKUP($D$3-(IF((Character!$B$9+W1006)&gt;($D$3+Y1006),(Character!$B$9+W1006)-($D$3+Y1006),0)),Calcs!$A$110:$C$122,3,TRUE))))</f>
        <v xml:space="preserve"> </v>
      </c>
      <c r="AC1006" s="489"/>
      <c r="AD1006" s="489" t="str">
        <f>IF(IF(AA1006=" "," ",IF(NOT(ISBLANK(X1006)),VLOOKUP($D$3+X1006,Calcs!$A$110:$B$122,2,TRUE),IF(AA1006="Failed",VLOOKUP($D$3,Calcs!$A$110:$B$122,2,TRUE),VLOOKUP($D$3-(IF((Character!$B$9+W1006)&gt;($D$3+Y1006),(Character!$B$9+W1006)-($D$3+Y1006),0)),Calcs!$A$110:$B$122,2,TRUE))))=Calcs!$B$120,IF(ISBLANK(AC1006)," ",CONCATENATE(AC1006+7," Years")),IF(AA1006=" "," ",IF(NOT(ISBLANK(X1006)),VLOOKUP($D$3+X1006,Calcs!$A$110:$B$122,2,TRUE),IF(AA1006="Failed",VLOOKUP($D$3,Calcs!$A$110:$B$122,2,TRUE),VLOOKUP($D$3-(IF((Character!$B$9+W1006)&gt;($D$3+Y1006),(Character!$B$9+W1006)-($D$3+Y1006),0)),Calcs!$A$110:$B$122,2,TRUE)))))</f>
        <v xml:space="preserve"> </v>
      </c>
      <c r="AE1006" s="490"/>
      <c r="AF1006" s="879"/>
      <c r="AG1006" s="491"/>
    </row>
    <row r="1007" spans="1:33" x14ac:dyDescent="0.2">
      <c r="A1007" s="415">
        <f t="shared" si="30"/>
        <v>1461</v>
      </c>
      <c r="B1007" s="419" t="str">
        <f t="shared" si="31"/>
        <v>Autumn</v>
      </c>
      <c r="C1007" s="455"/>
      <c r="D1007" s="504"/>
      <c r="E1007" s="455"/>
      <c r="F1007" s="504"/>
      <c r="G1007" s="455"/>
      <c r="H1007" s="504"/>
      <c r="I1007" s="455"/>
      <c r="J1007" s="504"/>
      <c r="L1007" s="472"/>
      <c r="M1007" s="468"/>
      <c r="N1007" s="468"/>
      <c r="O1007" s="468"/>
      <c r="P1007" s="468"/>
      <c r="Q1007" s="473"/>
      <c r="R1007" s="477" t="str">
        <f>IF(AND(COUNTIF('Start Character'!$I$63:$M$77,"Twilight Prone")=1,NOT(ISERROR(FIND("Magical Botch",M1007)))),"Yes",IF(P1007&gt;1,"Yes","No"))</f>
        <v>No</v>
      </c>
      <c r="S1007" s="501"/>
      <c r="T1007" s="478"/>
      <c r="U1007" s="501"/>
      <c r="V1007" s="479" t="str">
        <f>IF(R1007="No","No Twilight",IF(T1007="Yes","Uncomprehended Twilight",IF((Character!$B$14+IF(Character!$B$53="Yes",0,Character!$B$53)+IF(Magic!$C$5="Yes",2,0)+ROUNDUP((Magic!$B$30+IF(Magic!$C$30="Yes",3,0))/5,0)+S1007)&gt;=($D$3+P1007+SUMIF(Character!$I$62:$I$66,"Enigmatic Wisdom",Character!$J$62:$J$66)+Q1007+U1007),"No Twilight","Twilight")))</f>
        <v>No Twilight</v>
      </c>
      <c r="W1007" s="483"/>
      <c r="X1007" s="478"/>
      <c r="Y1007" s="484"/>
      <c r="Z1007" s="478"/>
      <c r="AA1007" s="485" t="str">
        <f>IF(V1007="Uncomprehended Twilight","Failed",IF(OR(ISBLANK(W1007),ISBLANK(Y1007))," ",IF(NOT(ISBLANK(X1007)),"Failed",IF((W1007+Character!$B$9+SUMIF(Character!$I$62:$I$66,"Enigmatic Wisdom",Character!$J$62:$J$66))&gt;=IF(Z1007="Yes",0,(Y1007+D1002)),"Succeeded","Failed"))))</f>
        <v xml:space="preserve"> </v>
      </c>
      <c r="AB1007" s="477" t="str">
        <f>IF(AA1007=" "," ",IF(NOT(ISBLANK(X1007)),VLOOKUP($D$3+X1007,Calcs!$A$110:$C$122,3,TRUE),IF(AA1007="Failed",VLOOKUP($D$3,Calcs!$A$110:$C$122,3,TRUE),VLOOKUP($D$3-(IF((Character!$B$9+W1007)&gt;($D$3+Y1007),(Character!$B$9+W1007)-($D$3+Y1007),0)),Calcs!$A$110:$C$122,3,TRUE))))</f>
        <v xml:space="preserve"> </v>
      </c>
      <c r="AC1007" s="489"/>
      <c r="AD1007" s="489" t="str">
        <f>IF(IF(AA1007=" "," ",IF(NOT(ISBLANK(X1007)),VLOOKUP($D$3+X1007,Calcs!$A$110:$B$122,2,TRUE),IF(AA1007="Failed",VLOOKUP($D$3,Calcs!$A$110:$B$122,2,TRUE),VLOOKUP($D$3-(IF((Character!$B$9+W1007)&gt;($D$3+Y1007),(Character!$B$9+W1007)-($D$3+Y1007),0)),Calcs!$A$110:$B$122,2,TRUE))))=Calcs!$B$120,IF(ISBLANK(AC1007)," ",CONCATENATE(AC1007+7," Years")),IF(AA1007=" "," ",IF(NOT(ISBLANK(X1007)),VLOOKUP($D$3+X1007,Calcs!$A$110:$B$122,2,TRUE),IF(AA1007="Failed",VLOOKUP($D$3,Calcs!$A$110:$B$122,2,TRUE),VLOOKUP($D$3-(IF((Character!$B$9+W1007)&gt;($D$3+Y1007),(Character!$B$9+W1007)-($D$3+Y1007),0)),Calcs!$A$110:$B$122,2,TRUE)))))</f>
        <v xml:space="preserve"> </v>
      </c>
      <c r="AE1007" s="490"/>
      <c r="AF1007" s="879"/>
      <c r="AG1007" s="491"/>
    </row>
    <row r="1008" spans="1:33" x14ac:dyDescent="0.2">
      <c r="A1008" s="415">
        <f t="shared" si="30"/>
        <v>1462</v>
      </c>
      <c r="B1008" s="419" t="str">
        <f t="shared" si="31"/>
        <v>Winter</v>
      </c>
      <c r="C1008" s="455"/>
      <c r="D1008" s="504"/>
      <c r="E1008" s="455"/>
      <c r="F1008" s="504"/>
      <c r="G1008" s="455"/>
      <c r="H1008" s="504"/>
      <c r="I1008" s="455"/>
      <c r="J1008" s="504"/>
      <c r="L1008" s="472"/>
      <c r="M1008" s="468"/>
      <c r="N1008" s="468"/>
      <c r="O1008" s="468"/>
      <c r="P1008" s="468"/>
      <c r="Q1008" s="473"/>
      <c r="R1008" s="477" t="str">
        <f>IF(AND(COUNTIF('Start Character'!$I$63:$M$77,"Twilight Prone")=1,NOT(ISERROR(FIND("Magical Botch",M1008)))),"Yes",IF(P1008&gt;1,"Yes","No"))</f>
        <v>No</v>
      </c>
      <c r="S1008" s="501"/>
      <c r="T1008" s="478"/>
      <c r="U1008" s="501"/>
      <c r="V1008" s="479" t="str">
        <f>IF(R1008="No","No Twilight",IF(T1008="Yes","Uncomprehended Twilight",IF((Character!$B$14+IF(Character!$B$53="Yes",0,Character!$B$53)+IF(Magic!$C$5="Yes",2,0)+ROUNDUP((Magic!$B$30+IF(Magic!$C$30="Yes",3,0))/5,0)+S1008)&gt;=($D$3+P1008+SUMIF(Character!$I$62:$I$66,"Enigmatic Wisdom",Character!$J$62:$J$66)+Q1008+U1008),"No Twilight","Twilight")))</f>
        <v>No Twilight</v>
      </c>
      <c r="W1008" s="483"/>
      <c r="X1008" s="478"/>
      <c r="Y1008" s="484"/>
      <c r="Z1008" s="478"/>
      <c r="AA1008" s="485" t="str">
        <f>IF(V1008="Uncomprehended Twilight","Failed",IF(OR(ISBLANK(W1008),ISBLANK(Y1008))," ",IF(NOT(ISBLANK(X1008)),"Failed",IF((W1008+Character!$B$9+SUMIF(Character!$I$62:$I$66,"Enigmatic Wisdom",Character!$J$62:$J$66))&gt;=IF(Z1008="Yes",0,(Y1008+D1003)),"Succeeded","Failed"))))</f>
        <v xml:space="preserve"> </v>
      </c>
      <c r="AB1008" s="477" t="str">
        <f>IF(AA1008=" "," ",IF(NOT(ISBLANK(X1008)),VLOOKUP($D$3+X1008,Calcs!$A$110:$C$122,3,TRUE),IF(AA1008="Failed",VLOOKUP($D$3,Calcs!$A$110:$C$122,3,TRUE),VLOOKUP($D$3-(IF((Character!$B$9+W1008)&gt;($D$3+Y1008),(Character!$B$9+W1008)-($D$3+Y1008),0)),Calcs!$A$110:$C$122,3,TRUE))))</f>
        <v xml:space="preserve"> </v>
      </c>
      <c r="AC1008" s="489"/>
      <c r="AD1008" s="489" t="str">
        <f>IF(IF(AA1008=" "," ",IF(NOT(ISBLANK(X1008)),VLOOKUP($D$3+X1008,Calcs!$A$110:$B$122,2,TRUE),IF(AA1008="Failed",VLOOKUP($D$3,Calcs!$A$110:$B$122,2,TRUE),VLOOKUP($D$3-(IF((Character!$B$9+W1008)&gt;($D$3+Y1008),(Character!$B$9+W1008)-($D$3+Y1008),0)),Calcs!$A$110:$B$122,2,TRUE))))=Calcs!$B$120,IF(ISBLANK(AC1008)," ",CONCATENATE(AC1008+7," Years")),IF(AA1008=" "," ",IF(NOT(ISBLANK(X1008)),VLOOKUP($D$3+X1008,Calcs!$A$110:$B$122,2,TRUE),IF(AA1008="Failed",VLOOKUP($D$3,Calcs!$A$110:$B$122,2,TRUE),VLOOKUP($D$3-(IF((Character!$B$9+W1008)&gt;($D$3+Y1008),(Character!$B$9+W1008)-($D$3+Y1008),0)),Calcs!$A$110:$B$122,2,TRUE)))))</f>
        <v xml:space="preserve"> </v>
      </c>
      <c r="AE1008" s="490"/>
      <c r="AF1008" s="879"/>
      <c r="AG1008" s="491"/>
    </row>
    <row r="1009" spans="1:33" x14ac:dyDescent="0.2">
      <c r="A1009" s="415">
        <f t="shared" si="30"/>
        <v>1462</v>
      </c>
      <c r="B1009" s="419" t="str">
        <f t="shared" si="31"/>
        <v>Spring</v>
      </c>
      <c r="C1009" s="455"/>
      <c r="D1009" s="504"/>
      <c r="E1009" s="455"/>
      <c r="F1009" s="504"/>
      <c r="G1009" s="455"/>
      <c r="H1009" s="504"/>
      <c r="I1009" s="455"/>
      <c r="J1009" s="504"/>
      <c r="L1009" s="472"/>
      <c r="M1009" s="468"/>
      <c r="N1009" s="468"/>
      <c r="O1009" s="468"/>
      <c r="P1009" s="468"/>
      <c r="Q1009" s="473"/>
      <c r="R1009" s="477" t="str">
        <f>IF(AND(COUNTIF('Start Character'!$I$63:$M$77,"Twilight Prone")=1,NOT(ISERROR(FIND("Magical Botch",M1009)))),"Yes",IF(P1009&gt;1,"Yes","No"))</f>
        <v>No</v>
      </c>
      <c r="S1009" s="501"/>
      <c r="T1009" s="478"/>
      <c r="U1009" s="501"/>
      <c r="V1009" s="479" t="str">
        <f>IF(R1009="No","No Twilight",IF(T1009="Yes","Uncomprehended Twilight",IF((Character!$B$14+IF(Character!$B$53="Yes",0,Character!$B$53)+IF(Magic!$C$5="Yes",2,0)+ROUNDUP((Magic!$B$30+IF(Magic!$C$30="Yes",3,0))/5,0)+S1009)&gt;=($D$3+P1009+SUMIF(Character!$I$62:$I$66,"Enigmatic Wisdom",Character!$J$62:$J$66)+Q1009+U1009),"No Twilight","Twilight")))</f>
        <v>No Twilight</v>
      </c>
      <c r="W1009" s="483"/>
      <c r="X1009" s="478"/>
      <c r="Y1009" s="484"/>
      <c r="Z1009" s="478"/>
      <c r="AA1009" s="485" t="str">
        <f>IF(V1009="Uncomprehended Twilight","Failed",IF(OR(ISBLANK(W1009),ISBLANK(Y1009))," ",IF(NOT(ISBLANK(X1009)),"Failed",IF((W1009+Character!$B$9+SUMIF(Character!$I$62:$I$66,"Enigmatic Wisdom",Character!$J$62:$J$66))&gt;=IF(Z1009="Yes",0,(Y1009+D1004)),"Succeeded","Failed"))))</f>
        <v xml:space="preserve"> </v>
      </c>
      <c r="AB1009" s="477" t="str">
        <f>IF(AA1009=" "," ",IF(NOT(ISBLANK(X1009)),VLOOKUP($D$3+X1009,Calcs!$A$110:$C$122,3,TRUE),IF(AA1009="Failed",VLOOKUP($D$3,Calcs!$A$110:$C$122,3,TRUE),VLOOKUP($D$3-(IF((Character!$B$9+W1009)&gt;($D$3+Y1009),(Character!$B$9+W1009)-($D$3+Y1009),0)),Calcs!$A$110:$C$122,3,TRUE))))</f>
        <v xml:space="preserve"> </v>
      </c>
      <c r="AC1009" s="489"/>
      <c r="AD1009" s="489" t="str">
        <f>IF(IF(AA1009=" "," ",IF(NOT(ISBLANK(X1009)),VLOOKUP($D$3+X1009,Calcs!$A$110:$B$122,2,TRUE),IF(AA1009="Failed",VLOOKUP($D$3,Calcs!$A$110:$B$122,2,TRUE),VLOOKUP($D$3-(IF((Character!$B$9+W1009)&gt;($D$3+Y1009),(Character!$B$9+W1009)-($D$3+Y1009),0)),Calcs!$A$110:$B$122,2,TRUE))))=Calcs!$B$120,IF(ISBLANK(AC1009)," ",CONCATENATE(AC1009+7," Years")),IF(AA1009=" "," ",IF(NOT(ISBLANK(X1009)),VLOOKUP($D$3+X1009,Calcs!$A$110:$B$122,2,TRUE),IF(AA1009="Failed",VLOOKUP($D$3,Calcs!$A$110:$B$122,2,TRUE),VLOOKUP($D$3-(IF((Character!$B$9+W1009)&gt;($D$3+Y1009),(Character!$B$9+W1009)-($D$3+Y1009),0)),Calcs!$A$110:$B$122,2,TRUE)))))</f>
        <v xml:space="preserve"> </v>
      </c>
      <c r="AE1009" s="490"/>
      <c r="AF1009" s="879"/>
      <c r="AG1009" s="491"/>
    </row>
    <row r="1010" spans="1:33" x14ac:dyDescent="0.2">
      <c r="A1010" s="415">
        <f t="shared" si="30"/>
        <v>1462</v>
      </c>
      <c r="B1010" s="419" t="str">
        <f t="shared" si="31"/>
        <v>Summer</v>
      </c>
      <c r="C1010" s="455"/>
      <c r="D1010" s="504"/>
      <c r="E1010" s="455"/>
      <c r="F1010" s="504"/>
      <c r="G1010" s="455"/>
      <c r="H1010" s="504"/>
      <c r="I1010" s="455"/>
      <c r="J1010" s="504"/>
      <c r="L1010" s="472"/>
      <c r="M1010" s="468"/>
      <c r="N1010" s="468"/>
      <c r="O1010" s="468"/>
      <c r="P1010" s="468"/>
      <c r="Q1010" s="473"/>
      <c r="R1010" s="477" t="str">
        <f>IF(AND(COUNTIF('Start Character'!$I$63:$M$77,"Twilight Prone")=1,NOT(ISERROR(FIND("Magical Botch",M1010)))),"Yes",IF(P1010&gt;1,"Yes","No"))</f>
        <v>No</v>
      </c>
      <c r="S1010" s="501"/>
      <c r="T1010" s="478"/>
      <c r="U1010" s="501"/>
      <c r="V1010" s="479" t="str">
        <f>IF(R1010="No","No Twilight",IF(T1010="Yes","Uncomprehended Twilight",IF((Character!$B$14+IF(Character!$B$53="Yes",0,Character!$B$53)+IF(Magic!$C$5="Yes",2,0)+ROUNDUP((Magic!$B$30+IF(Magic!$C$30="Yes",3,0))/5,0)+S1010)&gt;=($D$3+P1010+SUMIF(Character!$I$62:$I$66,"Enigmatic Wisdom",Character!$J$62:$J$66)+Q1010+U1010),"No Twilight","Twilight")))</f>
        <v>No Twilight</v>
      </c>
      <c r="W1010" s="483"/>
      <c r="X1010" s="478"/>
      <c r="Y1010" s="484"/>
      <c r="Z1010" s="478"/>
      <c r="AA1010" s="485" t="str">
        <f>IF(V1010="Uncomprehended Twilight","Failed",IF(OR(ISBLANK(W1010),ISBLANK(Y1010))," ",IF(NOT(ISBLANK(X1010)),"Failed",IF((W1010+Character!$B$9+SUMIF(Character!$I$62:$I$66,"Enigmatic Wisdom",Character!$J$62:$J$66))&gt;=IF(Z1010="Yes",0,(Y1010+D1005)),"Succeeded","Failed"))))</f>
        <v xml:space="preserve"> </v>
      </c>
      <c r="AB1010" s="477" t="str">
        <f>IF(AA1010=" "," ",IF(NOT(ISBLANK(X1010)),VLOOKUP($D$3+X1010,Calcs!$A$110:$C$122,3,TRUE),IF(AA1010="Failed",VLOOKUP($D$3,Calcs!$A$110:$C$122,3,TRUE),VLOOKUP($D$3-(IF((Character!$B$9+W1010)&gt;($D$3+Y1010),(Character!$B$9+W1010)-($D$3+Y1010),0)),Calcs!$A$110:$C$122,3,TRUE))))</f>
        <v xml:space="preserve"> </v>
      </c>
      <c r="AC1010" s="489"/>
      <c r="AD1010" s="489" t="str">
        <f>IF(IF(AA1010=" "," ",IF(NOT(ISBLANK(X1010)),VLOOKUP($D$3+X1010,Calcs!$A$110:$B$122,2,TRUE),IF(AA1010="Failed",VLOOKUP($D$3,Calcs!$A$110:$B$122,2,TRUE),VLOOKUP($D$3-(IF((Character!$B$9+W1010)&gt;($D$3+Y1010),(Character!$B$9+W1010)-($D$3+Y1010),0)),Calcs!$A$110:$B$122,2,TRUE))))=Calcs!$B$120,IF(ISBLANK(AC1010)," ",CONCATENATE(AC1010+7," Years")),IF(AA1010=" "," ",IF(NOT(ISBLANK(X1010)),VLOOKUP($D$3+X1010,Calcs!$A$110:$B$122,2,TRUE),IF(AA1010="Failed",VLOOKUP($D$3,Calcs!$A$110:$B$122,2,TRUE),VLOOKUP($D$3-(IF((Character!$B$9+W1010)&gt;($D$3+Y1010),(Character!$B$9+W1010)-($D$3+Y1010),0)),Calcs!$A$110:$B$122,2,TRUE)))))</f>
        <v xml:space="preserve"> </v>
      </c>
      <c r="AE1010" s="490"/>
      <c r="AF1010" s="879"/>
      <c r="AG1010" s="491"/>
    </row>
    <row r="1011" spans="1:33" x14ac:dyDescent="0.2">
      <c r="A1011" s="415">
        <f t="shared" si="30"/>
        <v>1462</v>
      </c>
      <c r="B1011" s="419" t="str">
        <f t="shared" si="31"/>
        <v>Autumn</v>
      </c>
      <c r="C1011" s="455"/>
      <c r="D1011" s="504"/>
      <c r="E1011" s="455"/>
      <c r="F1011" s="504"/>
      <c r="G1011" s="455"/>
      <c r="H1011" s="504"/>
      <c r="I1011" s="455"/>
      <c r="J1011" s="504"/>
      <c r="L1011" s="472"/>
      <c r="M1011" s="468"/>
      <c r="N1011" s="468"/>
      <c r="O1011" s="468"/>
      <c r="P1011" s="468"/>
      <c r="Q1011" s="473"/>
      <c r="R1011" s="477" t="str">
        <f>IF(AND(COUNTIF('Start Character'!$I$63:$M$77,"Twilight Prone")=1,NOT(ISERROR(FIND("Magical Botch",M1011)))),"Yes",IF(P1011&gt;1,"Yes","No"))</f>
        <v>No</v>
      </c>
      <c r="S1011" s="501"/>
      <c r="T1011" s="478"/>
      <c r="U1011" s="501"/>
      <c r="V1011" s="479" t="str">
        <f>IF(R1011="No","No Twilight",IF(T1011="Yes","Uncomprehended Twilight",IF((Character!$B$14+IF(Character!$B$53="Yes",0,Character!$B$53)+IF(Magic!$C$5="Yes",2,0)+ROUNDUP((Magic!$B$30+IF(Magic!$C$30="Yes",3,0))/5,0)+S1011)&gt;=($D$3+P1011+SUMIF(Character!$I$62:$I$66,"Enigmatic Wisdom",Character!$J$62:$J$66)+Q1011+U1011),"No Twilight","Twilight")))</f>
        <v>No Twilight</v>
      </c>
      <c r="W1011" s="483"/>
      <c r="X1011" s="478"/>
      <c r="Y1011" s="484"/>
      <c r="Z1011" s="478"/>
      <c r="AA1011" s="485" t="str">
        <f>IF(V1011="Uncomprehended Twilight","Failed",IF(OR(ISBLANK(W1011),ISBLANK(Y1011))," ",IF(NOT(ISBLANK(X1011)),"Failed",IF((W1011+Character!$B$9+SUMIF(Character!$I$62:$I$66,"Enigmatic Wisdom",Character!$J$62:$J$66))&gt;=IF(Z1011="Yes",0,(Y1011+D1006)),"Succeeded","Failed"))))</f>
        <v xml:space="preserve"> </v>
      </c>
      <c r="AB1011" s="477" t="str">
        <f>IF(AA1011=" "," ",IF(NOT(ISBLANK(X1011)),VLOOKUP($D$3+X1011,Calcs!$A$110:$C$122,3,TRUE),IF(AA1011="Failed",VLOOKUP($D$3,Calcs!$A$110:$C$122,3,TRUE),VLOOKUP($D$3-(IF((Character!$B$9+W1011)&gt;($D$3+Y1011),(Character!$B$9+W1011)-($D$3+Y1011),0)),Calcs!$A$110:$C$122,3,TRUE))))</f>
        <v xml:space="preserve"> </v>
      </c>
      <c r="AC1011" s="489"/>
      <c r="AD1011" s="489" t="str">
        <f>IF(IF(AA1011=" "," ",IF(NOT(ISBLANK(X1011)),VLOOKUP($D$3+X1011,Calcs!$A$110:$B$122,2,TRUE),IF(AA1011="Failed",VLOOKUP($D$3,Calcs!$A$110:$B$122,2,TRUE),VLOOKUP($D$3-(IF((Character!$B$9+W1011)&gt;($D$3+Y1011),(Character!$B$9+W1011)-($D$3+Y1011),0)),Calcs!$A$110:$B$122,2,TRUE))))=Calcs!$B$120,IF(ISBLANK(AC1011)," ",CONCATENATE(AC1011+7," Years")),IF(AA1011=" "," ",IF(NOT(ISBLANK(X1011)),VLOOKUP($D$3+X1011,Calcs!$A$110:$B$122,2,TRUE),IF(AA1011="Failed",VLOOKUP($D$3,Calcs!$A$110:$B$122,2,TRUE),VLOOKUP($D$3-(IF((Character!$B$9+W1011)&gt;($D$3+Y1011),(Character!$B$9+W1011)-($D$3+Y1011),0)),Calcs!$A$110:$B$122,2,TRUE)))))</f>
        <v xml:space="preserve"> </v>
      </c>
      <c r="AE1011" s="490"/>
      <c r="AF1011" s="879"/>
      <c r="AG1011" s="491"/>
    </row>
    <row r="1012" spans="1:33" x14ac:dyDescent="0.2">
      <c r="A1012" s="415">
        <f t="shared" si="30"/>
        <v>1463</v>
      </c>
      <c r="B1012" s="419" t="str">
        <f t="shared" si="31"/>
        <v>Winter</v>
      </c>
      <c r="C1012" s="455"/>
      <c r="D1012" s="504"/>
      <c r="E1012" s="455"/>
      <c r="F1012" s="504"/>
      <c r="G1012" s="455"/>
      <c r="H1012" s="504"/>
      <c r="I1012" s="455"/>
      <c r="J1012" s="504"/>
      <c r="L1012" s="472"/>
      <c r="M1012" s="468"/>
      <c r="N1012" s="468"/>
      <c r="O1012" s="468"/>
      <c r="P1012" s="468"/>
      <c r="Q1012" s="473"/>
      <c r="R1012" s="477" t="str">
        <f>IF(AND(COUNTIF('Start Character'!$I$63:$M$77,"Twilight Prone")=1,NOT(ISERROR(FIND("Magical Botch",M1012)))),"Yes",IF(P1012&gt;1,"Yes","No"))</f>
        <v>No</v>
      </c>
      <c r="S1012" s="501"/>
      <c r="T1012" s="478"/>
      <c r="U1012" s="501"/>
      <c r="V1012" s="479" t="str">
        <f>IF(R1012="No","No Twilight",IF(T1012="Yes","Uncomprehended Twilight",IF((Character!$B$14+IF(Character!$B$53="Yes",0,Character!$B$53)+IF(Magic!$C$5="Yes",2,0)+ROUNDUP((Magic!$B$30+IF(Magic!$C$30="Yes",3,0))/5,0)+S1012)&gt;=($D$3+P1012+SUMIF(Character!$I$62:$I$66,"Enigmatic Wisdom",Character!$J$62:$J$66)+Q1012+U1012),"No Twilight","Twilight")))</f>
        <v>No Twilight</v>
      </c>
      <c r="W1012" s="483"/>
      <c r="X1012" s="478"/>
      <c r="Y1012" s="484"/>
      <c r="Z1012" s="478"/>
      <c r="AA1012" s="485" t="str">
        <f>IF(V1012="Uncomprehended Twilight","Failed",IF(OR(ISBLANK(W1012),ISBLANK(Y1012))," ",IF(NOT(ISBLANK(X1012)),"Failed",IF((W1012+Character!$B$9+SUMIF(Character!$I$62:$I$66,"Enigmatic Wisdom",Character!$J$62:$J$66))&gt;=IF(Z1012="Yes",0,(Y1012+D1007)),"Succeeded","Failed"))))</f>
        <v xml:space="preserve"> </v>
      </c>
      <c r="AB1012" s="477" t="str">
        <f>IF(AA1012=" "," ",IF(NOT(ISBLANK(X1012)),VLOOKUP($D$3+X1012,Calcs!$A$110:$C$122,3,TRUE),IF(AA1012="Failed",VLOOKUP($D$3,Calcs!$A$110:$C$122,3,TRUE),VLOOKUP($D$3-(IF((Character!$B$9+W1012)&gt;($D$3+Y1012),(Character!$B$9+W1012)-($D$3+Y1012),0)),Calcs!$A$110:$C$122,3,TRUE))))</f>
        <v xml:space="preserve"> </v>
      </c>
      <c r="AC1012" s="489"/>
      <c r="AD1012" s="489" t="str">
        <f>IF(IF(AA1012=" "," ",IF(NOT(ISBLANK(X1012)),VLOOKUP($D$3+X1012,Calcs!$A$110:$B$122,2,TRUE),IF(AA1012="Failed",VLOOKUP($D$3,Calcs!$A$110:$B$122,2,TRUE),VLOOKUP($D$3-(IF((Character!$B$9+W1012)&gt;($D$3+Y1012),(Character!$B$9+W1012)-($D$3+Y1012),0)),Calcs!$A$110:$B$122,2,TRUE))))=Calcs!$B$120,IF(ISBLANK(AC1012)," ",CONCATENATE(AC1012+7," Years")),IF(AA1012=" "," ",IF(NOT(ISBLANK(X1012)),VLOOKUP($D$3+X1012,Calcs!$A$110:$B$122,2,TRUE),IF(AA1012="Failed",VLOOKUP($D$3,Calcs!$A$110:$B$122,2,TRUE),VLOOKUP($D$3-(IF((Character!$B$9+W1012)&gt;($D$3+Y1012),(Character!$B$9+W1012)-($D$3+Y1012),0)),Calcs!$A$110:$B$122,2,TRUE)))))</f>
        <v xml:space="preserve"> </v>
      </c>
      <c r="AE1012" s="490"/>
      <c r="AF1012" s="879"/>
      <c r="AG1012" s="491"/>
    </row>
    <row r="1013" spans="1:33" x14ac:dyDescent="0.2">
      <c r="A1013" s="415">
        <f t="shared" si="30"/>
        <v>1463</v>
      </c>
      <c r="B1013" s="419" t="str">
        <f t="shared" si="31"/>
        <v>Spring</v>
      </c>
      <c r="C1013" s="455"/>
      <c r="D1013" s="504"/>
      <c r="E1013" s="455"/>
      <c r="F1013" s="504"/>
      <c r="G1013" s="455"/>
      <c r="H1013" s="504"/>
      <c r="I1013" s="455"/>
      <c r="J1013" s="504"/>
      <c r="L1013" s="472"/>
      <c r="M1013" s="468"/>
      <c r="N1013" s="468"/>
      <c r="O1013" s="468"/>
      <c r="P1013" s="468"/>
      <c r="Q1013" s="473"/>
      <c r="R1013" s="477" t="str">
        <f>IF(AND(COUNTIF('Start Character'!$I$63:$M$77,"Twilight Prone")=1,NOT(ISERROR(FIND("Magical Botch",M1013)))),"Yes",IF(P1013&gt;1,"Yes","No"))</f>
        <v>No</v>
      </c>
      <c r="S1013" s="501"/>
      <c r="T1013" s="478"/>
      <c r="U1013" s="501"/>
      <c r="V1013" s="479" t="str">
        <f>IF(R1013="No","No Twilight",IF(T1013="Yes","Uncomprehended Twilight",IF((Character!$B$14+IF(Character!$B$53="Yes",0,Character!$B$53)+IF(Magic!$C$5="Yes",2,0)+ROUNDUP((Magic!$B$30+IF(Magic!$C$30="Yes",3,0))/5,0)+S1013)&gt;=($D$3+P1013+SUMIF(Character!$I$62:$I$66,"Enigmatic Wisdom",Character!$J$62:$J$66)+Q1013+U1013),"No Twilight","Twilight")))</f>
        <v>No Twilight</v>
      </c>
      <c r="W1013" s="483"/>
      <c r="X1013" s="478"/>
      <c r="Y1013" s="484"/>
      <c r="Z1013" s="478"/>
      <c r="AA1013" s="485" t="str">
        <f>IF(V1013="Uncomprehended Twilight","Failed",IF(OR(ISBLANK(W1013),ISBLANK(Y1013))," ",IF(NOT(ISBLANK(X1013)),"Failed",IF((W1013+Character!$B$9+SUMIF(Character!$I$62:$I$66,"Enigmatic Wisdom",Character!$J$62:$J$66))&gt;=IF(Z1013="Yes",0,(Y1013+D1008)),"Succeeded","Failed"))))</f>
        <v xml:space="preserve"> </v>
      </c>
      <c r="AB1013" s="477" t="str">
        <f>IF(AA1013=" "," ",IF(NOT(ISBLANK(X1013)),VLOOKUP($D$3+X1013,Calcs!$A$110:$C$122,3,TRUE),IF(AA1013="Failed",VLOOKUP($D$3,Calcs!$A$110:$C$122,3,TRUE),VLOOKUP($D$3-(IF((Character!$B$9+W1013)&gt;($D$3+Y1013),(Character!$B$9+W1013)-($D$3+Y1013),0)),Calcs!$A$110:$C$122,3,TRUE))))</f>
        <v xml:space="preserve"> </v>
      </c>
      <c r="AC1013" s="489"/>
      <c r="AD1013" s="489" t="str">
        <f>IF(IF(AA1013=" "," ",IF(NOT(ISBLANK(X1013)),VLOOKUP($D$3+X1013,Calcs!$A$110:$B$122,2,TRUE),IF(AA1013="Failed",VLOOKUP($D$3,Calcs!$A$110:$B$122,2,TRUE),VLOOKUP($D$3-(IF((Character!$B$9+W1013)&gt;($D$3+Y1013),(Character!$B$9+W1013)-($D$3+Y1013),0)),Calcs!$A$110:$B$122,2,TRUE))))=Calcs!$B$120,IF(ISBLANK(AC1013)," ",CONCATENATE(AC1013+7," Years")),IF(AA1013=" "," ",IF(NOT(ISBLANK(X1013)),VLOOKUP($D$3+X1013,Calcs!$A$110:$B$122,2,TRUE),IF(AA1013="Failed",VLOOKUP($D$3,Calcs!$A$110:$B$122,2,TRUE),VLOOKUP($D$3-(IF((Character!$B$9+W1013)&gt;($D$3+Y1013),(Character!$B$9+W1013)-($D$3+Y1013),0)),Calcs!$A$110:$B$122,2,TRUE)))))</f>
        <v xml:space="preserve"> </v>
      </c>
      <c r="AE1013" s="490"/>
      <c r="AF1013" s="879"/>
      <c r="AG1013" s="491"/>
    </row>
    <row r="1014" spans="1:33" x14ac:dyDescent="0.2">
      <c r="A1014" s="415">
        <f t="shared" si="30"/>
        <v>1463</v>
      </c>
      <c r="B1014" s="419" t="str">
        <f t="shared" si="31"/>
        <v>Summer</v>
      </c>
      <c r="C1014" s="455"/>
      <c r="D1014" s="504"/>
      <c r="E1014" s="455"/>
      <c r="F1014" s="504"/>
      <c r="G1014" s="455"/>
      <c r="H1014" s="504"/>
      <c r="I1014" s="455"/>
      <c r="J1014" s="504"/>
      <c r="L1014" s="472"/>
      <c r="M1014" s="468"/>
      <c r="N1014" s="468"/>
      <c r="O1014" s="468"/>
      <c r="P1014" s="468"/>
      <c r="Q1014" s="473"/>
      <c r="R1014" s="477" t="str">
        <f>IF(AND(COUNTIF('Start Character'!$I$63:$M$77,"Twilight Prone")=1,NOT(ISERROR(FIND("Magical Botch",M1014)))),"Yes",IF(P1014&gt;1,"Yes","No"))</f>
        <v>No</v>
      </c>
      <c r="S1014" s="501"/>
      <c r="T1014" s="478"/>
      <c r="U1014" s="501"/>
      <c r="V1014" s="479" t="str">
        <f>IF(R1014="No","No Twilight",IF(T1014="Yes","Uncomprehended Twilight",IF((Character!$B$14+IF(Character!$B$53="Yes",0,Character!$B$53)+IF(Magic!$C$5="Yes",2,0)+ROUNDUP((Magic!$B$30+IF(Magic!$C$30="Yes",3,0))/5,0)+S1014)&gt;=($D$3+P1014+SUMIF(Character!$I$62:$I$66,"Enigmatic Wisdom",Character!$J$62:$J$66)+Q1014+U1014),"No Twilight","Twilight")))</f>
        <v>No Twilight</v>
      </c>
      <c r="W1014" s="483"/>
      <c r="X1014" s="478"/>
      <c r="Y1014" s="484"/>
      <c r="Z1014" s="478"/>
      <c r="AA1014" s="485" t="str">
        <f>IF(V1014="Uncomprehended Twilight","Failed",IF(OR(ISBLANK(W1014),ISBLANK(Y1014))," ",IF(NOT(ISBLANK(X1014)),"Failed",IF((W1014+Character!$B$9+SUMIF(Character!$I$62:$I$66,"Enigmatic Wisdom",Character!$J$62:$J$66))&gt;=IF(Z1014="Yes",0,(Y1014+D1009)),"Succeeded","Failed"))))</f>
        <v xml:space="preserve"> </v>
      </c>
      <c r="AB1014" s="477" t="str">
        <f>IF(AA1014=" "," ",IF(NOT(ISBLANK(X1014)),VLOOKUP($D$3+X1014,Calcs!$A$110:$C$122,3,TRUE),IF(AA1014="Failed",VLOOKUP($D$3,Calcs!$A$110:$C$122,3,TRUE),VLOOKUP($D$3-(IF((Character!$B$9+W1014)&gt;($D$3+Y1014),(Character!$B$9+W1014)-($D$3+Y1014),0)),Calcs!$A$110:$C$122,3,TRUE))))</f>
        <v xml:space="preserve"> </v>
      </c>
      <c r="AC1014" s="489"/>
      <c r="AD1014" s="489" t="str">
        <f>IF(IF(AA1014=" "," ",IF(NOT(ISBLANK(X1014)),VLOOKUP($D$3+X1014,Calcs!$A$110:$B$122,2,TRUE),IF(AA1014="Failed",VLOOKUP($D$3,Calcs!$A$110:$B$122,2,TRUE),VLOOKUP($D$3-(IF((Character!$B$9+W1014)&gt;($D$3+Y1014),(Character!$B$9+W1014)-($D$3+Y1014),0)),Calcs!$A$110:$B$122,2,TRUE))))=Calcs!$B$120,IF(ISBLANK(AC1014)," ",CONCATENATE(AC1014+7," Years")),IF(AA1014=" "," ",IF(NOT(ISBLANK(X1014)),VLOOKUP($D$3+X1014,Calcs!$A$110:$B$122,2,TRUE),IF(AA1014="Failed",VLOOKUP($D$3,Calcs!$A$110:$B$122,2,TRUE),VLOOKUP($D$3-(IF((Character!$B$9+W1014)&gt;($D$3+Y1014),(Character!$B$9+W1014)-($D$3+Y1014),0)),Calcs!$A$110:$B$122,2,TRUE)))))</f>
        <v xml:space="preserve"> </v>
      </c>
      <c r="AE1014" s="490"/>
      <c r="AF1014" s="879"/>
      <c r="AG1014" s="491"/>
    </row>
    <row r="1015" spans="1:33" x14ac:dyDescent="0.2">
      <c r="A1015" s="415">
        <f t="shared" si="30"/>
        <v>1463</v>
      </c>
      <c r="B1015" s="419" t="str">
        <f t="shared" si="31"/>
        <v>Autumn</v>
      </c>
      <c r="C1015" s="455"/>
      <c r="D1015" s="504"/>
      <c r="E1015" s="455"/>
      <c r="F1015" s="504"/>
      <c r="G1015" s="455"/>
      <c r="H1015" s="504"/>
      <c r="I1015" s="455"/>
      <c r="J1015" s="504"/>
      <c r="L1015" s="472"/>
      <c r="M1015" s="468"/>
      <c r="N1015" s="468"/>
      <c r="O1015" s="468"/>
      <c r="P1015" s="468"/>
      <c r="Q1015" s="473"/>
      <c r="R1015" s="477" t="str">
        <f>IF(AND(COUNTIF('Start Character'!$I$63:$M$77,"Twilight Prone")=1,NOT(ISERROR(FIND("Magical Botch",M1015)))),"Yes",IF(P1015&gt;1,"Yes","No"))</f>
        <v>No</v>
      </c>
      <c r="S1015" s="501"/>
      <c r="T1015" s="478"/>
      <c r="U1015" s="501"/>
      <c r="V1015" s="479" t="str">
        <f>IF(R1015="No","No Twilight",IF(T1015="Yes","Uncomprehended Twilight",IF((Character!$B$14+IF(Character!$B$53="Yes",0,Character!$B$53)+IF(Magic!$C$5="Yes",2,0)+ROUNDUP((Magic!$B$30+IF(Magic!$C$30="Yes",3,0))/5,0)+S1015)&gt;=($D$3+P1015+SUMIF(Character!$I$62:$I$66,"Enigmatic Wisdom",Character!$J$62:$J$66)+Q1015+U1015),"No Twilight","Twilight")))</f>
        <v>No Twilight</v>
      </c>
      <c r="W1015" s="483"/>
      <c r="X1015" s="478"/>
      <c r="Y1015" s="484"/>
      <c r="Z1015" s="478"/>
      <c r="AA1015" s="485" t="str">
        <f>IF(V1015="Uncomprehended Twilight","Failed",IF(OR(ISBLANK(W1015),ISBLANK(Y1015))," ",IF(NOT(ISBLANK(X1015)),"Failed",IF((W1015+Character!$B$9+SUMIF(Character!$I$62:$I$66,"Enigmatic Wisdom",Character!$J$62:$J$66))&gt;=IF(Z1015="Yes",0,(Y1015+D1010)),"Succeeded","Failed"))))</f>
        <v xml:space="preserve"> </v>
      </c>
      <c r="AB1015" s="477" t="str">
        <f>IF(AA1015=" "," ",IF(NOT(ISBLANK(X1015)),VLOOKUP($D$3+X1015,Calcs!$A$110:$C$122,3,TRUE),IF(AA1015="Failed",VLOOKUP($D$3,Calcs!$A$110:$C$122,3,TRUE),VLOOKUP($D$3-(IF((Character!$B$9+W1015)&gt;($D$3+Y1015),(Character!$B$9+W1015)-($D$3+Y1015),0)),Calcs!$A$110:$C$122,3,TRUE))))</f>
        <v xml:space="preserve"> </v>
      </c>
      <c r="AC1015" s="489"/>
      <c r="AD1015" s="489" t="str">
        <f>IF(IF(AA1015=" "," ",IF(NOT(ISBLANK(X1015)),VLOOKUP($D$3+X1015,Calcs!$A$110:$B$122,2,TRUE),IF(AA1015="Failed",VLOOKUP($D$3,Calcs!$A$110:$B$122,2,TRUE),VLOOKUP($D$3-(IF((Character!$B$9+W1015)&gt;($D$3+Y1015),(Character!$B$9+W1015)-($D$3+Y1015),0)),Calcs!$A$110:$B$122,2,TRUE))))=Calcs!$B$120,IF(ISBLANK(AC1015)," ",CONCATENATE(AC1015+7," Years")),IF(AA1015=" "," ",IF(NOT(ISBLANK(X1015)),VLOOKUP($D$3+X1015,Calcs!$A$110:$B$122,2,TRUE),IF(AA1015="Failed",VLOOKUP($D$3,Calcs!$A$110:$B$122,2,TRUE),VLOOKUP($D$3-(IF((Character!$B$9+W1015)&gt;($D$3+Y1015),(Character!$B$9+W1015)-($D$3+Y1015),0)),Calcs!$A$110:$B$122,2,TRUE)))))</f>
        <v xml:space="preserve"> </v>
      </c>
      <c r="AE1015" s="490"/>
      <c r="AF1015" s="879"/>
      <c r="AG1015" s="491"/>
    </row>
    <row r="1016" spans="1:33" x14ac:dyDescent="0.2">
      <c r="A1016" s="415">
        <f t="shared" si="30"/>
        <v>1464</v>
      </c>
      <c r="B1016" s="419" t="str">
        <f t="shared" si="31"/>
        <v>Winter</v>
      </c>
      <c r="C1016" s="455"/>
      <c r="D1016" s="504"/>
      <c r="E1016" s="455"/>
      <c r="F1016" s="504"/>
      <c r="G1016" s="455"/>
      <c r="H1016" s="504"/>
      <c r="I1016" s="455"/>
      <c r="J1016" s="504"/>
      <c r="L1016" s="472"/>
      <c r="M1016" s="468"/>
      <c r="N1016" s="468"/>
      <c r="O1016" s="468"/>
      <c r="P1016" s="468"/>
      <c r="Q1016" s="473"/>
      <c r="R1016" s="477" t="str">
        <f>IF(AND(COUNTIF('Start Character'!$I$63:$M$77,"Twilight Prone")=1,NOT(ISERROR(FIND("Magical Botch",M1016)))),"Yes",IF(P1016&gt;1,"Yes","No"))</f>
        <v>No</v>
      </c>
      <c r="S1016" s="501"/>
      <c r="T1016" s="478"/>
      <c r="U1016" s="501"/>
      <c r="V1016" s="479" t="str">
        <f>IF(R1016="No","No Twilight",IF(T1016="Yes","Uncomprehended Twilight",IF((Character!$B$14+IF(Character!$B$53="Yes",0,Character!$B$53)+IF(Magic!$C$5="Yes",2,0)+ROUNDUP((Magic!$B$30+IF(Magic!$C$30="Yes",3,0))/5,0)+S1016)&gt;=($D$3+P1016+SUMIF(Character!$I$62:$I$66,"Enigmatic Wisdom",Character!$J$62:$J$66)+Q1016+U1016),"No Twilight","Twilight")))</f>
        <v>No Twilight</v>
      </c>
      <c r="W1016" s="483"/>
      <c r="X1016" s="478"/>
      <c r="Y1016" s="484"/>
      <c r="Z1016" s="478"/>
      <c r="AA1016" s="485" t="str">
        <f>IF(V1016="Uncomprehended Twilight","Failed",IF(OR(ISBLANK(W1016),ISBLANK(Y1016))," ",IF(NOT(ISBLANK(X1016)),"Failed",IF((W1016+Character!$B$9+SUMIF(Character!$I$62:$I$66,"Enigmatic Wisdom",Character!$J$62:$J$66))&gt;=IF(Z1016="Yes",0,(Y1016+D1011)),"Succeeded","Failed"))))</f>
        <v xml:space="preserve"> </v>
      </c>
      <c r="AB1016" s="477" t="str">
        <f>IF(AA1016=" "," ",IF(NOT(ISBLANK(X1016)),VLOOKUP($D$3+X1016,Calcs!$A$110:$C$122,3,TRUE),IF(AA1016="Failed",VLOOKUP($D$3,Calcs!$A$110:$C$122,3,TRUE),VLOOKUP($D$3-(IF((Character!$B$9+W1016)&gt;($D$3+Y1016),(Character!$B$9+W1016)-($D$3+Y1016),0)),Calcs!$A$110:$C$122,3,TRUE))))</f>
        <v xml:space="preserve"> </v>
      </c>
      <c r="AC1016" s="489"/>
      <c r="AD1016" s="489" t="str">
        <f>IF(IF(AA1016=" "," ",IF(NOT(ISBLANK(X1016)),VLOOKUP($D$3+X1016,Calcs!$A$110:$B$122,2,TRUE),IF(AA1016="Failed",VLOOKUP($D$3,Calcs!$A$110:$B$122,2,TRUE),VLOOKUP($D$3-(IF((Character!$B$9+W1016)&gt;($D$3+Y1016),(Character!$B$9+W1016)-($D$3+Y1016),0)),Calcs!$A$110:$B$122,2,TRUE))))=Calcs!$B$120,IF(ISBLANK(AC1016)," ",CONCATENATE(AC1016+7," Years")),IF(AA1016=" "," ",IF(NOT(ISBLANK(X1016)),VLOOKUP($D$3+X1016,Calcs!$A$110:$B$122,2,TRUE),IF(AA1016="Failed",VLOOKUP($D$3,Calcs!$A$110:$B$122,2,TRUE),VLOOKUP($D$3-(IF((Character!$B$9+W1016)&gt;($D$3+Y1016),(Character!$B$9+W1016)-($D$3+Y1016),0)),Calcs!$A$110:$B$122,2,TRUE)))))</f>
        <v xml:space="preserve"> </v>
      </c>
      <c r="AE1016" s="490"/>
      <c r="AF1016" s="879"/>
      <c r="AG1016" s="491"/>
    </row>
    <row r="1017" spans="1:33" x14ac:dyDescent="0.2">
      <c r="A1017" s="415">
        <f t="shared" si="30"/>
        <v>1464</v>
      </c>
      <c r="B1017" s="419" t="str">
        <f t="shared" si="31"/>
        <v>Spring</v>
      </c>
      <c r="C1017" s="455"/>
      <c r="D1017" s="504"/>
      <c r="E1017" s="455"/>
      <c r="F1017" s="504"/>
      <c r="G1017" s="455"/>
      <c r="H1017" s="504"/>
      <c r="I1017" s="455"/>
      <c r="J1017" s="504"/>
      <c r="L1017" s="472"/>
      <c r="M1017" s="468"/>
      <c r="N1017" s="468"/>
      <c r="O1017" s="468"/>
      <c r="P1017" s="468"/>
      <c r="Q1017" s="473"/>
      <c r="R1017" s="477" t="str">
        <f>IF(AND(COUNTIF('Start Character'!$I$63:$M$77,"Twilight Prone")=1,NOT(ISERROR(FIND("Magical Botch",M1017)))),"Yes",IF(P1017&gt;1,"Yes","No"))</f>
        <v>No</v>
      </c>
      <c r="S1017" s="501"/>
      <c r="T1017" s="478"/>
      <c r="U1017" s="501"/>
      <c r="V1017" s="479" t="str">
        <f>IF(R1017="No","No Twilight",IF(T1017="Yes","Uncomprehended Twilight",IF((Character!$B$14+IF(Character!$B$53="Yes",0,Character!$B$53)+IF(Magic!$C$5="Yes",2,0)+ROUNDUP((Magic!$B$30+IF(Magic!$C$30="Yes",3,0))/5,0)+S1017)&gt;=($D$3+P1017+SUMIF(Character!$I$62:$I$66,"Enigmatic Wisdom",Character!$J$62:$J$66)+Q1017+U1017),"No Twilight","Twilight")))</f>
        <v>No Twilight</v>
      </c>
      <c r="W1017" s="483"/>
      <c r="X1017" s="478"/>
      <c r="Y1017" s="484"/>
      <c r="Z1017" s="478"/>
      <c r="AA1017" s="485" t="str">
        <f>IF(V1017="Uncomprehended Twilight","Failed",IF(OR(ISBLANK(W1017),ISBLANK(Y1017))," ",IF(NOT(ISBLANK(X1017)),"Failed",IF((W1017+Character!$B$9+SUMIF(Character!$I$62:$I$66,"Enigmatic Wisdom",Character!$J$62:$J$66))&gt;=IF(Z1017="Yes",0,(Y1017+D1012)),"Succeeded","Failed"))))</f>
        <v xml:space="preserve"> </v>
      </c>
      <c r="AB1017" s="477" t="str">
        <f>IF(AA1017=" "," ",IF(NOT(ISBLANK(X1017)),VLOOKUP($D$3+X1017,Calcs!$A$110:$C$122,3,TRUE),IF(AA1017="Failed",VLOOKUP($D$3,Calcs!$A$110:$C$122,3,TRUE),VLOOKUP($D$3-(IF((Character!$B$9+W1017)&gt;($D$3+Y1017),(Character!$B$9+W1017)-($D$3+Y1017),0)),Calcs!$A$110:$C$122,3,TRUE))))</f>
        <v xml:space="preserve"> </v>
      </c>
      <c r="AC1017" s="489"/>
      <c r="AD1017" s="489" t="str">
        <f>IF(IF(AA1017=" "," ",IF(NOT(ISBLANK(X1017)),VLOOKUP($D$3+X1017,Calcs!$A$110:$B$122,2,TRUE),IF(AA1017="Failed",VLOOKUP($D$3,Calcs!$A$110:$B$122,2,TRUE),VLOOKUP($D$3-(IF((Character!$B$9+W1017)&gt;($D$3+Y1017),(Character!$B$9+W1017)-($D$3+Y1017),0)),Calcs!$A$110:$B$122,2,TRUE))))=Calcs!$B$120,IF(ISBLANK(AC1017)," ",CONCATENATE(AC1017+7," Years")),IF(AA1017=" "," ",IF(NOT(ISBLANK(X1017)),VLOOKUP($D$3+X1017,Calcs!$A$110:$B$122,2,TRUE),IF(AA1017="Failed",VLOOKUP($D$3,Calcs!$A$110:$B$122,2,TRUE),VLOOKUP($D$3-(IF((Character!$B$9+W1017)&gt;($D$3+Y1017),(Character!$B$9+W1017)-($D$3+Y1017),0)),Calcs!$A$110:$B$122,2,TRUE)))))</f>
        <v xml:space="preserve"> </v>
      </c>
      <c r="AE1017" s="490"/>
      <c r="AF1017" s="879"/>
      <c r="AG1017" s="491"/>
    </row>
    <row r="1018" spans="1:33" x14ac:dyDescent="0.2">
      <c r="A1018" s="415">
        <f t="shared" si="30"/>
        <v>1464</v>
      </c>
      <c r="B1018" s="419" t="str">
        <f t="shared" si="31"/>
        <v>Summer</v>
      </c>
      <c r="C1018" s="455"/>
      <c r="D1018" s="504"/>
      <c r="E1018" s="455"/>
      <c r="F1018" s="504"/>
      <c r="G1018" s="455"/>
      <c r="H1018" s="504"/>
      <c r="I1018" s="455"/>
      <c r="J1018" s="504"/>
      <c r="L1018" s="472"/>
      <c r="M1018" s="468"/>
      <c r="N1018" s="468"/>
      <c r="O1018" s="468"/>
      <c r="P1018" s="468"/>
      <c r="Q1018" s="473"/>
      <c r="R1018" s="477" t="str">
        <f>IF(AND(COUNTIF('Start Character'!$I$63:$M$77,"Twilight Prone")=1,NOT(ISERROR(FIND("Magical Botch",M1018)))),"Yes",IF(P1018&gt;1,"Yes","No"))</f>
        <v>No</v>
      </c>
      <c r="S1018" s="501"/>
      <c r="T1018" s="478"/>
      <c r="U1018" s="501"/>
      <c r="V1018" s="479" t="str">
        <f>IF(R1018="No","No Twilight",IF(T1018="Yes","Uncomprehended Twilight",IF((Character!$B$14+IF(Character!$B$53="Yes",0,Character!$B$53)+IF(Magic!$C$5="Yes",2,0)+ROUNDUP((Magic!$B$30+IF(Magic!$C$30="Yes",3,0))/5,0)+S1018)&gt;=($D$3+P1018+SUMIF(Character!$I$62:$I$66,"Enigmatic Wisdom",Character!$J$62:$J$66)+Q1018+U1018),"No Twilight","Twilight")))</f>
        <v>No Twilight</v>
      </c>
      <c r="W1018" s="483"/>
      <c r="X1018" s="478"/>
      <c r="Y1018" s="484"/>
      <c r="Z1018" s="478"/>
      <c r="AA1018" s="485" t="str">
        <f>IF(V1018="Uncomprehended Twilight","Failed",IF(OR(ISBLANK(W1018),ISBLANK(Y1018))," ",IF(NOT(ISBLANK(X1018)),"Failed",IF((W1018+Character!$B$9+SUMIF(Character!$I$62:$I$66,"Enigmatic Wisdom",Character!$J$62:$J$66))&gt;=IF(Z1018="Yes",0,(Y1018+D1013)),"Succeeded","Failed"))))</f>
        <v xml:space="preserve"> </v>
      </c>
      <c r="AB1018" s="477" t="str">
        <f>IF(AA1018=" "," ",IF(NOT(ISBLANK(X1018)),VLOOKUP($D$3+X1018,Calcs!$A$110:$C$122,3,TRUE),IF(AA1018="Failed",VLOOKUP($D$3,Calcs!$A$110:$C$122,3,TRUE),VLOOKUP($D$3-(IF((Character!$B$9+W1018)&gt;($D$3+Y1018),(Character!$B$9+W1018)-($D$3+Y1018),0)),Calcs!$A$110:$C$122,3,TRUE))))</f>
        <v xml:space="preserve"> </v>
      </c>
      <c r="AC1018" s="489"/>
      <c r="AD1018" s="489" t="str">
        <f>IF(IF(AA1018=" "," ",IF(NOT(ISBLANK(X1018)),VLOOKUP($D$3+X1018,Calcs!$A$110:$B$122,2,TRUE),IF(AA1018="Failed",VLOOKUP($D$3,Calcs!$A$110:$B$122,2,TRUE),VLOOKUP($D$3-(IF((Character!$B$9+W1018)&gt;($D$3+Y1018),(Character!$B$9+W1018)-($D$3+Y1018),0)),Calcs!$A$110:$B$122,2,TRUE))))=Calcs!$B$120,IF(ISBLANK(AC1018)," ",CONCATENATE(AC1018+7," Years")),IF(AA1018=" "," ",IF(NOT(ISBLANK(X1018)),VLOOKUP($D$3+X1018,Calcs!$A$110:$B$122,2,TRUE),IF(AA1018="Failed",VLOOKUP($D$3,Calcs!$A$110:$B$122,2,TRUE),VLOOKUP($D$3-(IF((Character!$B$9+W1018)&gt;($D$3+Y1018),(Character!$B$9+W1018)-($D$3+Y1018),0)),Calcs!$A$110:$B$122,2,TRUE)))))</f>
        <v xml:space="preserve"> </v>
      </c>
      <c r="AE1018" s="490"/>
      <c r="AF1018" s="879"/>
      <c r="AG1018" s="491"/>
    </row>
    <row r="1019" spans="1:33" x14ac:dyDescent="0.2">
      <c r="A1019" s="415">
        <f t="shared" si="30"/>
        <v>1464</v>
      </c>
      <c r="B1019" s="419" t="str">
        <f t="shared" si="31"/>
        <v>Autumn</v>
      </c>
      <c r="C1019" s="455"/>
      <c r="D1019" s="504"/>
      <c r="E1019" s="455"/>
      <c r="F1019" s="504"/>
      <c r="G1019" s="455"/>
      <c r="H1019" s="504"/>
      <c r="I1019" s="455"/>
      <c r="J1019" s="504"/>
      <c r="L1019" s="472"/>
      <c r="M1019" s="468"/>
      <c r="N1019" s="468"/>
      <c r="O1019" s="468"/>
      <c r="P1019" s="468"/>
      <c r="Q1019" s="473"/>
      <c r="R1019" s="477" t="str">
        <f>IF(AND(COUNTIF('Start Character'!$I$63:$M$77,"Twilight Prone")=1,NOT(ISERROR(FIND("Magical Botch",M1019)))),"Yes",IF(P1019&gt;1,"Yes","No"))</f>
        <v>No</v>
      </c>
      <c r="S1019" s="501"/>
      <c r="T1019" s="478"/>
      <c r="U1019" s="501"/>
      <c r="V1019" s="479" t="str">
        <f>IF(R1019="No","No Twilight",IF(T1019="Yes","Uncomprehended Twilight",IF((Character!$B$14+IF(Character!$B$53="Yes",0,Character!$B$53)+IF(Magic!$C$5="Yes",2,0)+ROUNDUP((Magic!$B$30+IF(Magic!$C$30="Yes",3,0))/5,0)+S1019)&gt;=($D$3+P1019+SUMIF(Character!$I$62:$I$66,"Enigmatic Wisdom",Character!$J$62:$J$66)+Q1019+U1019),"No Twilight","Twilight")))</f>
        <v>No Twilight</v>
      </c>
      <c r="W1019" s="483"/>
      <c r="X1019" s="478"/>
      <c r="Y1019" s="484"/>
      <c r="Z1019" s="478"/>
      <c r="AA1019" s="485" t="str">
        <f>IF(V1019="Uncomprehended Twilight","Failed",IF(OR(ISBLANK(W1019),ISBLANK(Y1019))," ",IF(NOT(ISBLANK(X1019)),"Failed",IF((W1019+Character!$B$9+SUMIF(Character!$I$62:$I$66,"Enigmatic Wisdom",Character!$J$62:$J$66))&gt;=IF(Z1019="Yes",0,(Y1019+D1014)),"Succeeded","Failed"))))</f>
        <v xml:space="preserve"> </v>
      </c>
      <c r="AB1019" s="477" t="str">
        <f>IF(AA1019=" "," ",IF(NOT(ISBLANK(X1019)),VLOOKUP($D$3+X1019,Calcs!$A$110:$C$122,3,TRUE),IF(AA1019="Failed",VLOOKUP($D$3,Calcs!$A$110:$C$122,3,TRUE),VLOOKUP($D$3-(IF((Character!$B$9+W1019)&gt;($D$3+Y1019),(Character!$B$9+W1019)-($D$3+Y1019),0)),Calcs!$A$110:$C$122,3,TRUE))))</f>
        <v xml:space="preserve"> </v>
      </c>
      <c r="AC1019" s="489"/>
      <c r="AD1019" s="489" t="str">
        <f>IF(IF(AA1019=" "," ",IF(NOT(ISBLANK(X1019)),VLOOKUP($D$3+X1019,Calcs!$A$110:$B$122,2,TRUE),IF(AA1019="Failed",VLOOKUP($D$3,Calcs!$A$110:$B$122,2,TRUE),VLOOKUP($D$3-(IF((Character!$B$9+W1019)&gt;($D$3+Y1019),(Character!$B$9+W1019)-($D$3+Y1019),0)),Calcs!$A$110:$B$122,2,TRUE))))=Calcs!$B$120,IF(ISBLANK(AC1019)," ",CONCATENATE(AC1019+7," Years")),IF(AA1019=" "," ",IF(NOT(ISBLANK(X1019)),VLOOKUP($D$3+X1019,Calcs!$A$110:$B$122,2,TRUE),IF(AA1019="Failed",VLOOKUP($D$3,Calcs!$A$110:$B$122,2,TRUE),VLOOKUP($D$3-(IF((Character!$B$9+W1019)&gt;($D$3+Y1019),(Character!$B$9+W1019)-($D$3+Y1019),0)),Calcs!$A$110:$B$122,2,TRUE)))))</f>
        <v xml:space="preserve"> </v>
      </c>
      <c r="AE1019" s="490"/>
      <c r="AF1019" s="879"/>
      <c r="AG1019" s="491"/>
    </row>
    <row r="1020" spans="1:33" x14ac:dyDescent="0.2">
      <c r="A1020" s="415">
        <f t="shared" si="30"/>
        <v>1465</v>
      </c>
      <c r="B1020" s="419" t="str">
        <f t="shared" si="31"/>
        <v>Winter</v>
      </c>
      <c r="C1020" s="455"/>
      <c r="D1020" s="504"/>
      <c r="E1020" s="455"/>
      <c r="F1020" s="504"/>
      <c r="G1020" s="455"/>
      <c r="H1020" s="504"/>
      <c r="I1020" s="455"/>
      <c r="J1020" s="504"/>
      <c r="L1020" s="472"/>
      <c r="M1020" s="468"/>
      <c r="N1020" s="468"/>
      <c r="O1020" s="468"/>
      <c r="P1020" s="468"/>
      <c r="Q1020" s="473"/>
      <c r="R1020" s="477" t="str">
        <f>IF(AND(COUNTIF('Start Character'!$I$63:$M$77,"Twilight Prone")=1,NOT(ISERROR(FIND("Magical Botch",M1020)))),"Yes",IF(P1020&gt;1,"Yes","No"))</f>
        <v>No</v>
      </c>
      <c r="S1020" s="501"/>
      <c r="T1020" s="478"/>
      <c r="U1020" s="501"/>
      <c r="V1020" s="479" t="str">
        <f>IF(R1020="No","No Twilight",IF(T1020="Yes","Uncomprehended Twilight",IF((Character!$B$14+IF(Character!$B$53="Yes",0,Character!$B$53)+IF(Magic!$C$5="Yes",2,0)+ROUNDUP((Magic!$B$30+IF(Magic!$C$30="Yes",3,0))/5,0)+S1020)&gt;=($D$3+P1020+SUMIF(Character!$I$62:$I$66,"Enigmatic Wisdom",Character!$J$62:$J$66)+Q1020+U1020),"No Twilight","Twilight")))</f>
        <v>No Twilight</v>
      </c>
      <c r="W1020" s="483"/>
      <c r="X1020" s="478"/>
      <c r="Y1020" s="484"/>
      <c r="Z1020" s="478"/>
      <c r="AA1020" s="485" t="str">
        <f>IF(V1020="Uncomprehended Twilight","Failed",IF(OR(ISBLANK(W1020),ISBLANK(Y1020))," ",IF(NOT(ISBLANK(X1020)),"Failed",IF((W1020+Character!$B$9+SUMIF(Character!$I$62:$I$66,"Enigmatic Wisdom",Character!$J$62:$J$66))&gt;=IF(Z1020="Yes",0,(Y1020+D1015)),"Succeeded","Failed"))))</f>
        <v xml:space="preserve"> </v>
      </c>
      <c r="AB1020" s="477" t="str">
        <f>IF(AA1020=" "," ",IF(NOT(ISBLANK(X1020)),VLOOKUP($D$3+X1020,Calcs!$A$110:$C$122,3,TRUE),IF(AA1020="Failed",VLOOKUP($D$3,Calcs!$A$110:$C$122,3,TRUE),VLOOKUP($D$3-(IF((Character!$B$9+W1020)&gt;($D$3+Y1020),(Character!$B$9+W1020)-($D$3+Y1020),0)),Calcs!$A$110:$C$122,3,TRUE))))</f>
        <v xml:space="preserve"> </v>
      </c>
      <c r="AC1020" s="489"/>
      <c r="AD1020" s="489" t="str">
        <f>IF(IF(AA1020=" "," ",IF(NOT(ISBLANK(X1020)),VLOOKUP($D$3+X1020,Calcs!$A$110:$B$122,2,TRUE),IF(AA1020="Failed",VLOOKUP($D$3,Calcs!$A$110:$B$122,2,TRUE),VLOOKUP($D$3-(IF((Character!$B$9+W1020)&gt;($D$3+Y1020),(Character!$B$9+W1020)-($D$3+Y1020),0)),Calcs!$A$110:$B$122,2,TRUE))))=Calcs!$B$120,IF(ISBLANK(AC1020)," ",CONCATENATE(AC1020+7," Years")),IF(AA1020=" "," ",IF(NOT(ISBLANK(X1020)),VLOOKUP($D$3+X1020,Calcs!$A$110:$B$122,2,TRUE),IF(AA1020="Failed",VLOOKUP($D$3,Calcs!$A$110:$B$122,2,TRUE),VLOOKUP($D$3-(IF((Character!$B$9+W1020)&gt;($D$3+Y1020),(Character!$B$9+W1020)-($D$3+Y1020),0)),Calcs!$A$110:$B$122,2,TRUE)))))</f>
        <v xml:space="preserve"> </v>
      </c>
      <c r="AE1020" s="490"/>
      <c r="AF1020" s="879"/>
      <c r="AG1020" s="491"/>
    </row>
    <row r="1021" spans="1:33" x14ac:dyDescent="0.2">
      <c r="A1021" s="415">
        <f t="shared" si="30"/>
        <v>1465</v>
      </c>
      <c r="B1021" s="419" t="str">
        <f t="shared" si="31"/>
        <v>Spring</v>
      </c>
      <c r="C1021" s="455"/>
      <c r="D1021" s="504"/>
      <c r="E1021" s="455"/>
      <c r="F1021" s="504"/>
      <c r="G1021" s="455"/>
      <c r="H1021" s="504"/>
      <c r="I1021" s="455"/>
      <c r="J1021" s="504"/>
      <c r="L1021" s="472"/>
      <c r="M1021" s="468"/>
      <c r="N1021" s="468"/>
      <c r="O1021" s="468"/>
      <c r="P1021" s="468"/>
      <c r="Q1021" s="473"/>
      <c r="R1021" s="477" t="str">
        <f>IF(AND(COUNTIF('Start Character'!$I$63:$M$77,"Twilight Prone")=1,NOT(ISERROR(FIND("Magical Botch",M1021)))),"Yes",IF(P1021&gt;1,"Yes","No"))</f>
        <v>No</v>
      </c>
      <c r="S1021" s="501"/>
      <c r="T1021" s="478"/>
      <c r="U1021" s="501"/>
      <c r="V1021" s="479" t="str">
        <f>IF(R1021="No","No Twilight",IF(T1021="Yes","Uncomprehended Twilight",IF((Character!$B$14+IF(Character!$B$53="Yes",0,Character!$B$53)+IF(Magic!$C$5="Yes",2,0)+ROUNDUP((Magic!$B$30+IF(Magic!$C$30="Yes",3,0))/5,0)+S1021)&gt;=($D$3+P1021+SUMIF(Character!$I$62:$I$66,"Enigmatic Wisdom",Character!$J$62:$J$66)+Q1021+U1021),"No Twilight","Twilight")))</f>
        <v>No Twilight</v>
      </c>
      <c r="W1021" s="483"/>
      <c r="X1021" s="478"/>
      <c r="Y1021" s="484"/>
      <c r="Z1021" s="478"/>
      <c r="AA1021" s="485" t="str">
        <f>IF(V1021="Uncomprehended Twilight","Failed",IF(OR(ISBLANK(W1021),ISBLANK(Y1021))," ",IF(NOT(ISBLANK(X1021)),"Failed",IF((W1021+Character!$B$9+SUMIF(Character!$I$62:$I$66,"Enigmatic Wisdom",Character!$J$62:$J$66))&gt;=IF(Z1021="Yes",0,(Y1021+D1016)),"Succeeded","Failed"))))</f>
        <v xml:space="preserve"> </v>
      </c>
      <c r="AB1021" s="477" t="str">
        <f>IF(AA1021=" "," ",IF(NOT(ISBLANK(X1021)),VLOOKUP($D$3+X1021,Calcs!$A$110:$C$122,3,TRUE),IF(AA1021="Failed",VLOOKUP($D$3,Calcs!$A$110:$C$122,3,TRUE),VLOOKUP($D$3-(IF((Character!$B$9+W1021)&gt;($D$3+Y1021),(Character!$B$9+W1021)-($D$3+Y1021),0)),Calcs!$A$110:$C$122,3,TRUE))))</f>
        <v xml:space="preserve"> </v>
      </c>
      <c r="AC1021" s="489"/>
      <c r="AD1021" s="489" t="str">
        <f>IF(IF(AA1021=" "," ",IF(NOT(ISBLANK(X1021)),VLOOKUP($D$3+X1021,Calcs!$A$110:$B$122,2,TRUE),IF(AA1021="Failed",VLOOKUP($D$3,Calcs!$A$110:$B$122,2,TRUE),VLOOKUP($D$3-(IF((Character!$B$9+W1021)&gt;($D$3+Y1021),(Character!$B$9+W1021)-($D$3+Y1021),0)),Calcs!$A$110:$B$122,2,TRUE))))=Calcs!$B$120,IF(ISBLANK(AC1021)," ",CONCATENATE(AC1021+7," Years")),IF(AA1021=" "," ",IF(NOT(ISBLANK(X1021)),VLOOKUP($D$3+X1021,Calcs!$A$110:$B$122,2,TRUE),IF(AA1021="Failed",VLOOKUP($D$3,Calcs!$A$110:$B$122,2,TRUE),VLOOKUP($D$3-(IF((Character!$B$9+W1021)&gt;($D$3+Y1021),(Character!$B$9+W1021)-($D$3+Y1021),0)),Calcs!$A$110:$B$122,2,TRUE)))))</f>
        <v xml:space="preserve"> </v>
      </c>
      <c r="AE1021" s="490"/>
      <c r="AF1021" s="879"/>
      <c r="AG1021" s="491"/>
    </row>
    <row r="1022" spans="1:33" x14ac:dyDescent="0.2">
      <c r="A1022" s="415">
        <f t="shared" si="30"/>
        <v>1465</v>
      </c>
      <c r="B1022" s="419" t="str">
        <f t="shared" si="31"/>
        <v>Summer</v>
      </c>
      <c r="C1022" s="455"/>
      <c r="D1022" s="504"/>
      <c r="E1022" s="455"/>
      <c r="F1022" s="504"/>
      <c r="G1022" s="455"/>
      <c r="H1022" s="504"/>
      <c r="I1022" s="455"/>
      <c r="J1022" s="504"/>
      <c r="L1022" s="472"/>
      <c r="M1022" s="468"/>
      <c r="N1022" s="468"/>
      <c r="O1022" s="468"/>
      <c r="P1022" s="468"/>
      <c r="Q1022" s="473"/>
      <c r="R1022" s="477" t="str">
        <f>IF(AND(COUNTIF('Start Character'!$I$63:$M$77,"Twilight Prone")=1,NOT(ISERROR(FIND("Magical Botch",M1022)))),"Yes",IF(P1022&gt;1,"Yes","No"))</f>
        <v>No</v>
      </c>
      <c r="S1022" s="501"/>
      <c r="T1022" s="478"/>
      <c r="U1022" s="501"/>
      <c r="V1022" s="479" t="str">
        <f>IF(R1022="No","No Twilight",IF(T1022="Yes","Uncomprehended Twilight",IF((Character!$B$14+IF(Character!$B$53="Yes",0,Character!$B$53)+IF(Magic!$C$5="Yes",2,0)+ROUNDUP((Magic!$B$30+IF(Magic!$C$30="Yes",3,0))/5,0)+S1022)&gt;=($D$3+P1022+SUMIF(Character!$I$62:$I$66,"Enigmatic Wisdom",Character!$J$62:$J$66)+Q1022+U1022),"No Twilight","Twilight")))</f>
        <v>No Twilight</v>
      </c>
      <c r="W1022" s="483"/>
      <c r="X1022" s="478"/>
      <c r="Y1022" s="484"/>
      <c r="Z1022" s="478"/>
      <c r="AA1022" s="485" t="str">
        <f>IF(V1022="Uncomprehended Twilight","Failed",IF(OR(ISBLANK(W1022),ISBLANK(Y1022))," ",IF(NOT(ISBLANK(X1022)),"Failed",IF((W1022+Character!$B$9+SUMIF(Character!$I$62:$I$66,"Enigmatic Wisdom",Character!$J$62:$J$66))&gt;=IF(Z1022="Yes",0,(Y1022+D1017)),"Succeeded","Failed"))))</f>
        <v xml:space="preserve"> </v>
      </c>
      <c r="AB1022" s="477" t="str">
        <f>IF(AA1022=" "," ",IF(NOT(ISBLANK(X1022)),VLOOKUP($D$3+X1022,Calcs!$A$110:$C$122,3,TRUE),IF(AA1022="Failed",VLOOKUP($D$3,Calcs!$A$110:$C$122,3,TRUE),VLOOKUP($D$3-(IF((Character!$B$9+W1022)&gt;($D$3+Y1022),(Character!$B$9+W1022)-($D$3+Y1022),0)),Calcs!$A$110:$C$122,3,TRUE))))</f>
        <v xml:space="preserve"> </v>
      </c>
      <c r="AC1022" s="489"/>
      <c r="AD1022" s="489" t="str">
        <f>IF(IF(AA1022=" "," ",IF(NOT(ISBLANK(X1022)),VLOOKUP($D$3+X1022,Calcs!$A$110:$B$122,2,TRUE),IF(AA1022="Failed",VLOOKUP($D$3,Calcs!$A$110:$B$122,2,TRUE),VLOOKUP($D$3-(IF((Character!$B$9+W1022)&gt;($D$3+Y1022),(Character!$B$9+W1022)-($D$3+Y1022),0)),Calcs!$A$110:$B$122,2,TRUE))))=Calcs!$B$120,IF(ISBLANK(AC1022)," ",CONCATENATE(AC1022+7," Years")),IF(AA1022=" "," ",IF(NOT(ISBLANK(X1022)),VLOOKUP($D$3+X1022,Calcs!$A$110:$B$122,2,TRUE),IF(AA1022="Failed",VLOOKUP($D$3,Calcs!$A$110:$B$122,2,TRUE),VLOOKUP($D$3-(IF((Character!$B$9+W1022)&gt;($D$3+Y1022),(Character!$B$9+W1022)-($D$3+Y1022),0)),Calcs!$A$110:$B$122,2,TRUE)))))</f>
        <v xml:space="preserve"> </v>
      </c>
      <c r="AE1022" s="490"/>
      <c r="AF1022" s="879"/>
      <c r="AG1022" s="491"/>
    </row>
    <row r="1023" spans="1:33" x14ac:dyDescent="0.2">
      <c r="A1023" s="415">
        <f t="shared" si="30"/>
        <v>1465</v>
      </c>
      <c r="B1023" s="419" t="str">
        <f t="shared" si="31"/>
        <v>Autumn</v>
      </c>
      <c r="C1023" s="455"/>
      <c r="D1023" s="504"/>
      <c r="E1023" s="455"/>
      <c r="F1023" s="504"/>
      <c r="G1023" s="455"/>
      <c r="H1023" s="504"/>
      <c r="I1023" s="455"/>
      <c r="J1023" s="504"/>
      <c r="L1023" s="472"/>
      <c r="M1023" s="468"/>
      <c r="N1023" s="468"/>
      <c r="O1023" s="468"/>
      <c r="P1023" s="468"/>
      <c r="Q1023" s="473"/>
      <c r="R1023" s="477" t="str">
        <f>IF(AND(COUNTIF('Start Character'!$I$63:$M$77,"Twilight Prone")=1,NOT(ISERROR(FIND("Magical Botch",M1023)))),"Yes",IF(P1023&gt;1,"Yes","No"))</f>
        <v>No</v>
      </c>
      <c r="S1023" s="501"/>
      <c r="T1023" s="478"/>
      <c r="U1023" s="501"/>
      <c r="V1023" s="479" t="str">
        <f>IF(R1023="No","No Twilight",IF(T1023="Yes","Uncomprehended Twilight",IF((Character!$B$14+IF(Character!$B$53="Yes",0,Character!$B$53)+IF(Magic!$C$5="Yes",2,0)+ROUNDUP((Magic!$B$30+IF(Magic!$C$30="Yes",3,0))/5,0)+S1023)&gt;=($D$3+P1023+SUMIF(Character!$I$62:$I$66,"Enigmatic Wisdom",Character!$J$62:$J$66)+Q1023+U1023),"No Twilight","Twilight")))</f>
        <v>No Twilight</v>
      </c>
      <c r="W1023" s="483"/>
      <c r="X1023" s="478"/>
      <c r="Y1023" s="484"/>
      <c r="Z1023" s="478"/>
      <c r="AA1023" s="485" t="str">
        <f>IF(V1023="Uncomprehended Twilight","Failed",IF(OR(ISBLANK(W1023),ISBLANK(Y1023))," ",IF(NOT(ISBLANK(X1023)),"Failed",IF((W1023+Character!$B$9+SUMIF(Character!$I$62:$I$66,"Enigmatic Wisdom",Character!$J$62:$J$66))&gt;=IF(Z1023="Yes",0,(Y1023+D1018)),"Succeeded","Failed"))))</f>
        <v xml:space="preserve"> </v>
      </c>
      <c r="AB1023" s="477" t="str">
        <f>IF(AA1023=" "," ",IF(NOT(ISBLANK(X1023)),VLOOKUP($D$3+X1023,Calcs!$A$110:$C$122,3,TRUE),IF(AA1023="Failed",VLOOKUP($D$3,Calcs!$A$110:$C$122,3,TRUE),VLOOKUP($D$3-(IF((Character!$B$9+W1023)&gt;($D$3+Y1023),(Character!$B$9+W1023)-($D$3+Y1023),0)),Calcs!$A$110:$C$122,3,TRUE))))</f>
        <v xml:space="preserve"> </v>
      </c>
      <c r="AC1023" s="489"/>
      <c r="AD1023" s="489" t="str">
        <f>IF(IF(AA1023=" "," ",IF(NOT(ISBLANK(X1023)),VLOOKUP($D$3+X1023,Calcs!$A$110:$B$122,2,TRUE),IF(AA1023="Failed",VLOOKUP($D$3,Calcs!$A$110:$B$122,2,TRUE),VLOOKUP($D$3-(IF((Character!$B$9+W1023)&gt;($D$3+Y1023),(Character!$B$9+W1023)-($D$3+Y1023),0)),Calcs!$A$110:$B$122,2,TRUE))))=Calcs!$B$120,IF(ISBLANK(AC1023)," ",CONCATENATE(AC1023+7," Years")),IF(AA1023=" "," ",IF(NOT(ISBLANK(X1023)),VLOOKUP($D$3+X1023,Calcs!$A$110:$B$122,2,TRUE),IF(AA1023="Failed",VLOOKUP($D$3,Calcs!$A$110:$B$122,2,TRUE),VLOOKUP($D$3-(IF((Character!$B$9+W1023)&gt;($D$3+Y1023),(Character!$B$9+W1023)-($D$3+Y1023),0)),Calcs!$A$110:$B$122,2,TRUE)))))</f>
        <v xml:space="preserve"> </v>
      </c>
      <c r="AE1023" s="490"/>
      <c r="AF1023" s="879"/>
      <c r="AG1023" s="491"/>
    </row>
    <row r="1024" spans="1:33" x14ac:dyDescent="0.2">
      <c r="A1024" s="415">
        <f t="shared" si="30"/>
        <v>1466</v>
      </c>
      <c r="B1024" s="419" t="str">
        <f t="shared" si="31"/>
        <v>Winter</v>
      </c>
      <c r="C1024" s="455"/>
      <c r="D1024" s="504"/>
      <c r="E1024" s="455"/>
      <c r="F1024" s="504"/>
      <c r="G1024" s="455"/>
      <c r="H1024" s="504"/>
      <c r="I1024" s="455"/>
      <c r="J1024" s="504"/>
      <c r="L1024" s="472"/>
      <c r="M1024" s="468"/>
      <c r="N1024" s="468"/>
      <c r="O1024" s="468"/>
      <c r="P1024" s="468"/>
      <c r="Q1024" s="473"/>
      <c r="R1024" s="477" t="str">
        <f>IF(AND(COUNTIF('Start Character'!$I$63:$M$77,"Twilight Prone")=1,NOT(ISERROR(FIND("Magical Botch",M1024)))),"Yes",IF(P1024&gt;1,"Yes","No"))</f>
        <v>No</v>
      </c>
      <c r="S1024" s="501"/>
      <c r="T1024" s="478"/>
      <c r="U1024" s="501"/>
      <c r="V1024" s="479" t="str">
        <f>IF(R1024="No","No Twilight",IF(T1024="Yes","Uncomprehended Twilight",IF((Character!$B$14+IF(Character!$B$53="Yes",0,Character!$B$53)+IF(Magic!$C$5="Yes",2,0)+ROUNDUP((Magic!$B$30+IF(Magic!$C$30="Yes",3,0))/5,0)+S1024)&gt;=($D$3+P1024+SUMIF(Character!$I$62:$I$66,"Enigmatic Wisdom",Character!$J$62:$J$66)+Q1024+U1024),"No Twilight","Twilight")))</f>
        <v>No Twilight</v>
      </c>
      <c r="W1024" s="483"/>
      <c r="X1024" s="478"/>
      <c r="Y1024" s="484"/>
      <c r="Z1024" s="478"/>
      <c r="AA1024" s="485" t="str">
        <f>IF(V1024="Uncomprehended Twilight","Failed",IF(OR(ISBLANK(W1024),ISBLANK(Y1024))," ",IF(NOT(ISBLANK(X1024)),"Failed",IF((W1024+Character!$B$9+SUMIF(Character!$I$62:$I$66,"Enigmatic Wisdom",Character!$J$62:$J$66))&gt;=IF(Z1024="Yes",0,(Y1024+D1019)),"Succeeded","Failed"))))</f>
        <v xml:space="preserve"> </v>
      </c>
      <c r="AB1024" s="477" t="str">
        <f>IF(AA1024=" "," ",IF(NOT(ISBLANK(X1024)),VLOOKUP($D$3+X1024,Calcs!$A$110:$C$122,3,TRUE),IF(AA1024="Failed",VLOOKUP($D$3,Calcs!$A$110:$C$122,3,TRUE),VLOOKUP($D$3-(IF((Character!$B$9+W1024)&gt;($D$3+Y1024),(Character!$B$9+W1024)-($D$3+Y1024),0)),Calcs!$A$110:$C$122,3,TRUE))))</f>
        <v xml:space="preserve"> </v>
      </c>
      <c r="AC1024" s="489"/>
      <c r="AD1024" s="489" t="str">
        <f>IF(IF(AA1024=" "," ",IF(NOT(ISBLANK(X1024)),VLOOKUP($D$3+X1024,Calcs!$A$110:$B$122,2,TRUE),IF(AA1024="Failed",VLOOKUP($D$3,Calcs!$A$110:$B$122,2,TRUE),VLOOKUP($D$3-(IF((Character!$B$9+W1024)&gt;($D$3+Y1024),(Character!$B$9+W1024)-($D$3+Y1024),0)),Calcs!$A$110:$B$122,2,TRUE))))=Calcs!$B$120,IF(ISBLANK(AC1024)," ",CONCATENATE(AC1024+7," Years")),IF(AA1024=" "," ",IF(NOT(ISBLANK(X1024)),VLOOKUP($D$3+X1024,Calcs!$A$110:$B$122,2,TRUE),IF(AA1024="Failed",VLOOKUP($D$3,Calcs!$A$110:$B$122,2,TRUE),VLOOKUP($D$3-(IF((Character!$B$9+W1024)&gt;($D$3+Y1024),(Character!$B$9+W1024)-($D$3+Y1024),0)),Calcs!$A$110:$B$122,2,TRUE)))))</f>
        <v xml:space="preserve"> </v>
      </c>
      <c r="AE1024" s="490"/>
      <c r="AF1024" s="879"/>
      <c r="AG1024" s="491"/>
    </row>
    <row r="1025" spans="1:33" x14ac:dyDescent="0.2">
      <c r="A1025" s="415">
        <f t="shared" si="30"/>
        <v>1466</v>
      </c>
      <c r="B1025" s="419" t="str">
        <f t="shared" si="31"/>
        <v>Spring</v>
      </c>
      <c r="C1025" s="455"/>
      <c r="D1025" s="504"/>
      <c r="E1025" s="455"/>
      <c r="F1025" s="504"/>
      <c r="G1025" s="455"/>
      <c r="H1025" s="504"/>
      <c r="I1025" s="455"/>
      <c r="J1025" s="504"/>
      <c r="L1025" s="472"/>
      <c r="M1025" s="468"/>
      <c r="N1025" s="468"/>
      <c r="O1025" s="468"/>
      <c r="P1025" s="468"/>
      <c r="Q1025" s="473"/>
      <c r="R1025" s="477" t="str">
        <f>IF(AND(COUNTIF('Start Character'!$I$63:$M$77,"Twilight Prone")=1,NOT(ISERROR(FIND("Magical Botch",M1025)))),"Yes",IF(P1025&gt;1,"Yes","No"))</f>
        <v>No</v>
      </c>
      <c r="S1025" s="501"/>
      <c r="T1025" s="478"/>
      <c r="U1025" s="501"/>
      <c r="V1025" s="479" t="str">
        <f>IF(R1025="No","No Twilight",IF(T1025="Yes","Uncomprehended Twilight",IF((Character!$B$14+IF(Character!$B$53="Yes",0,Character!$B$53)+IF(Magic!$C$5="Yes",2,0)+ROUNDUP((Magic!$B$30+IF(Magic!$C$30="Yes",3,0))/5,0)+S1025)&gt;=($D$3+P1025+SUMIF(Character!$I$62:$I$66,"Enigmatic Wisdom",Character!$J$62:$J$66)+Q1025+U1025),"No Twilight","Twilight")))</f>
        <v>No Twilight</v>
      </c>
      <c r="W1025" s="483"/>
      <c r="X1025" s="478"/>
      <c r="Y1025" s="484"/>
      <c r="Z1025" s="478"/>
      <c r="AA1025" s="485" t="str">
        <f>IF(V1025="Uncomprehended Twilight","Failed",IF(OR(ISBLANK(W1025),ISBLANK(Y1025))," ",IF(NOT(ISBLANK(X1025)),"Failed",IF((W1025+Character!$B$9+SUMIF(Character!$I$62:$I$66,"Enigmatic Wisdom",Character!$J$62:$J$66))&gt;=IF(Z1025="Yes",0,(Y1025+D1020)),"Succeeded","Failed"))))</f>
        <v xml:space="preserve"> </v>
      </c>
      <c r="AB1025" s="477" t="str">
        <f>IF(AA1025=" "," ",IF(NOT(ISBLANK(X1025)),VLOOKUP($D$3+X1025,Calcs!$A$110:$C$122,3,TRUE),IF(AA1025="Failed",VLOOKUP($D$3,Calcs!$A$110:$C$122,3,TRUE),VLOOKUP($D$3-(IF((Character!$B$9+W1025)&gt;($D$3+Y1025),(Character!$B$9+W1025)-($D$3+Y1025),0)),Calcs!$A$110:$C$122,3,TRUE))))</f>
        <v xml:space="preserve"> </v>
      </c>
      <c r="AC1025" s="489"/>
      <c r="AD1025" s="489" t="str">
        <f>IF(IF(AA1025=" "," ",IF(NOT(ISBLANK(X1025)),VLOOKUP($D$3+X1025,Calcs!$A$110:$B$122,2,TRUE),IF(AA1025="Failed",VLOOKUP($D$3,Calcs!$A$110:$B$122,2,TRUE),VLOOKUP($D$3-(IF((Character!$B$9+W1025)&gt;($D$3+Y1025),(Character!$B$9+W1025)-($D$3+Y1025),0)),Calcs!$A$110:$B$122,2,TRUE))))=Calcs!$B$120,IF(ISBLANK(AC1025)," ",CONCATENATE(AC1025+7," Years")),IF(AA1025=" "," ",IF(NOT(ISBLANK(X1025)),VLOOKUP($D$3+X1025,Calcs!$A$110:$B$122,2,TRUE),IF(AA1025="Failed",VLOOKUP($D$3,Calcs!$A$110:$B$122,2,TRUE),VLOOKUP($D$3-(IF((Character!$B$9+W1025)&gt;($D$3+Y1025),(Character!$B$9+W1025)-($D$3+Y1025),0)),Calcs!$A$110:$B$122,2,TRUE)))))</f>
        <v xml:space="preserve"> </v>
      </c>
      <c r="AE1025" s="490"/>
      <c r="AF1025" s="879"/>
      <c r="AG1025" s="491"/>
    </row>
    <row r="1026" spans="1:33" x14ac:dyDescent="0.2">
      <c r="A1026" s="415">
        <f t="shared" si="30"/>
        <v>1466</v>
      </c>
      <c r="B1026" s="419" t="str">
        <f t="shared" si="31"/>
        <v>Summer</v>
      </c>
      <c r="C1026" s="455"/>
      <c r="D1026" s="504"/>
      <c r="E1026" s="455"/>
      <c r="F1026" s="504"/>
      <c r="G1026" s="455"/>
      <c r="H1026" s="504"/>
      <c r="I1026" s="455"/>
      <c r="J1026" s="504"/>
      <c r="L1026" s="472"/>
      <c r="M1026" s="468"/>
      <c r="N1026" s="468"/>
      <c r="O1026" s="468"/>
      <c r="P1026" s="468"/>
      <c r="Q1026" s="473"/>
      <c r="R1026" s="477" t="str">
        <f>IF(AND(COUNTIF('Start Character'!$I$63:$M$77,"Twilight Prone")=1,NOT(ISERROR(FIND("Magical Botch",M1026)))),"Yes",IF(P1026&gt;1,"Yes","No"))</f>
        <v>No</v>
      </c>
      <c r="S1026" s="501"/>
      <c r="T1026" s="478"/>
      <c r="U1026" s="501"/>
      <c r="V1026" s="479" t="str">
        <f>IF(R1026="No","No Twilight",IF(T1026="Yes","Uncomprehended Twilight",IF((Character!$B$14+IF(Character!$B$53="Yes",0,Character!$B$53)+IF(Magic!$C$5="Yes",2,0)+ROUNDUP((Magic!$B$30+IF(Magic!$C$30="Yes",3,0))/5,0)+S1026)&gt;=($D$3+P1026+SUMIF(Character!$I$62:$I$66,"Enigmatic Wisdom",Character!$J$62:$J$66)+Q1026+U1026),"No Twilight","Twilight")))</f>
        <v>No Twilight</v>
      </c>
      <c r="W1026" s="483"/>
      <c r="X1026" s="478"/>
      <c r="Y1026" s="484"/>
      <c r="Z1026" s="478"/>
      <c r="AA1026" s="485" t="str">
        <f>IF(V1026="Uncomprehended Twilight","Failed",IF(OR(ISBLANK(W1026),ISBLANK(Y1026))," ",IF(NOT(ISBLANK(X1026)),"Failed",IF((W1026+Character!$B$9+SUMIF(Character!$I$62:$I$66,"Enigmatic Wisdom",Character!$J$62:$J$66))&gt;=IF(Z1026="Yes",0,(Y1026+D1021)),"Succeeded","Failed"))))</f>
        <v xml:space="preserve"> </v>
      </c>
      <c r="AB1026" s="477" t="str">
        <f>IF(AA1026=" "," ",IF(NOT(ISBLANK(X1026)),VLOOKUP($D$3+X1026,Calcs!$A$110:$C$122,3,TRUE),IF(AA1026="Failed",VLOOKUP($D$3,Calcs!$A$110:$C$122,3,TRUE),VLOOKUP($D$3-(IF((Character!$B$9+W1026)&gt;($D$3+Y1026),(Character!$B$9+W1026)-($D$3+Y1026),0)),Calcs!$A$110:$C$122,3,TRUE))))</f>
        <v xml:space="preserve"> </v>
      </c>
      <c r="AC1026" s="489"/>
      <c r="AD1026" s="489" t="str">
        <f>IF(IF(AA1026=" "," ",IF(NOT(ISBLANK(X1026)),VLOOKUP($D$3+X1026,Calcs!$A$110:$B$122,2,TRUE),IF(AA1026="Failed",VLOOKUP($D$3,Calcs!$A$110:$B$122,2,TRUE),VLOOKUP($D$3-(IF((Character!$B$9+W1026)&gt;($D$3+Y1026),(Character!$B$9+W1026)-($D$3+Y1026),0)),Calcs!$A$110:$B$122,2,TRUE))))=Calcs!$B$120,IF(ISBLANK(AC1026)," ",CONCATENATE(AC1026+7," Years")),IF(AA1026=" "," ",IF(NOT(ISBLANK(X1026)),VLOOKUP($D$3+X1026,Calcs!$A$110:$B$122,2,TRUE),IF(AA1026="Failed",VLOOKUP($D$3,Calcs!$A$110:$B$122,2,TRUE),VLOOKUP($D$3-(IF((Character!$B$9+W1026)&gt;($D$3+Y1026),(Character!$B$9+W1026)-($D$3+Y1026),0)),Calcs!$A$110:$B$122,2,TRUE)))))</f>
        <v xml:space="preserve"> </v>
      </c>
      <c r="AE1026" s="490"/>
      <c r="AF1026" s="879"/>
      <c r="AG1026" s="491"/>
    </row>
    <row r="1027" spans="1:33" x14ac:dyDescent="0.2">
      <c r="A1027" s="415">
        <f t="shared" si="30"/>
        <v>1466</v>
      </c>
      <c r="B1027" s="419" t="str">
        <f t="shared" si="31"/>
        <v>Autumn</v>
      </c>
      <c r="C1027" s="455"/>
      <c r="D1027" s="504"/>
      <c r="E1027" s="455"/>
      <c r="F1027" s="504"/>
      <c r="G1027" s="455"/>
      <c r="H1027" s="504"/>
      <c r="I1027" s="455"/>
      <c r="J1027" s="504"/>
      <c r="L1027" s="472"/>
      <c r="M1027" s="468"/>
      <c r="N1027" s="468"/>
      <c r="O1027" s="468"/>
      <c r="P1027" s="468"/>
      <c r="Q1027" s="473"/>
      <c r="R1027" s="477" t="str">
        <f>IF(AND(COUNTIF('Start Character'!$I$63:$M$77,"Twilight Prone")=1,NOT(ISERROR(FIND("Magical Botch",M1027)))),"Yes",IF(P1027&gt;1,"Yes","No"))</f>
        <v>No</v>
      </c>
      <c r="S1027" s="501"/>
      <c r="T1027" s="478"/>
      <c r="U1027" s="501"/>
      <c r="V1027" s="479" t="str">
        <f>IF(R1027="No","No Twilight",IF(T1027="Yes","Uncomprehended Twilight",IF((Character!$B$14+IF(Character!$B$53="Yes",0,Character!$B$53)+IF(Magic!$C$5="Yes",2,0)+ROUNDUP((Magic!$B$30+IF(Magic!$C$30="Yes",3,0))/5,0)+S1027)&gt;=($D$3+P1027+SUMIF(Character!$I$62:$I$66,"Enigmatic Wisdom",Character!$J$62:$J$66)+Q1027+U1027),"No Twilight","Twilight")))</f>
        <v>No Twilight</v>
      </c>
      <c r="W1027" s="483"/>
      <c r="X1027" s="478"/>
      <c r="Y1027" s="484"/>
      <c r="Z1027" s="478"/>
      <c r="AA1027" s="485" t="str">
        <f>IF(V1027="Uncomprehended Twilight","Failed",IF(OR(ISBLANK(W1027),ISBLANK(Y1027))," ",IF(NOT(ISBLANK(X1027)),"Failed",IF((W1027+Character!$B$9+SUMIF(Character!$I$62:$I$66,"Enigmatic Wisdom",Character!$J$62:$J$66))&gt;=IF(Z1027="Yes",0,(Y1027+D1022)),"Succeeded","Failed"))))</f>
        <v xml:space="preserve"> </v>
      </c>
      <c r="AB1027" s="477" t="str">
        <f>IF(AA1027=" "," ",IF(NOT(ISBLANK(X1027)),VLOOKUP($D$3+X1027,Calcs!$A$110:$C$122,3,TRUE),IF(AA1027="Failed",VLOOKUP($D$3,Calcs!$A$110:$C$122,3,TRUE),VLOOKUP($D$3-(IF((Character!$B$9+W1027)&gt;($D$3+Y1027),(Character!$B$9+W1027)-($D$3+Y1027),0)),Calcs!$A$110:$C$122,3,TRUE))))</f>
        <v xml:space="preserve"> </v>
      </c>
      <c r="AC1027" s="489"/>
      <c r="AD1027" s="489" t="str">
        <f>IF(IF(AA1027=" "," ",IF(NOT(ISBLANK(X1027)),VLOOKUP($D$3+X1027,Calcs!$A$110:$B$122,2,TRUE),IF(AA1027="Failed",VLOOKUP($D$3,Calcs!$A$110:$B$122,2,TRUE),VLOOKUP($D$3-(IF((Character!$B$9+W1027)&gt;($D$3+Y1027),(Character!$B$9+W1027)-($D$3+Y1027),0)),Calcs!$A$110:$B$122,2,TRUE))))=Calcs!$B$120,IF(ISBLANK(AC1027)," ",CONCATENATE(AC1027+7," Years")),IF(AA1027=" "," ",IF(NOT(ISBLANK(X1027)),VLOOKUP($D$3+X1027,Calcs!$A$110:$B$122,2,TRUE),IF(AA1027="Failed",VLOOKUP($D$3,Calcs!$A$110:$B$122,2,TRUE),VLOOKUP($D$3-(IF((Character!$B$9+W1027)&gt;($D$3+Y1027),(Character!$B$9+W1027)-($D$3+Y1027),0)),Calcs!$A$110:$B$122,2,TRUE)))))</f>
        <v xml:space="preserve"> </v>
      </c>
      <c r="AE1027" s="490"/>
      <c r="AF1027" s="879"/>
      <c r="AG1027" s="491"/>
    </row>
    <row r="1028" spans="1:33" x14ac:dyDescent="0.2">
      <c r="A1028" s="415">
        <f t="shared" si="30"/>
        <v>1467</v>
      </c>
      <c r="B1028" s="419" t="str">
        <f t="shared" si="31"/>
        <v>Winter</v>
      </c>
      <c r="C1028" s="455"/>
      <c r="D1028" s="504"/>
      <c r="E1028" s="455"/>
      <c r="F1028" s="504"/>
      <c r="G1028" s="455"/>
      <c r="H1028" s="504"/>
      <c r="I1028" s="455"/>
      <c r="J1028" s="504"/>
      <c r="L1028" s="472"/>
      <c r="M1028" s="468"/>
      <c r="N1028" s="468"/>
      <c r="O1028" s="468"/>
      <c r="P1028" s="468"/>
      <c r="Q1028" s="473"/>
      <c r="R1028" s="477" t="str">
        <f>IF(AND(COUNTIF('Start Character'!$I$63:$M$77,"Twilight Prone")=1,NOT(ISERROR(FIND("Magical Botch",M1028)))),"Yes",IF(P1028&gt;1,"Yes","No"))</f>
        <v>No</v>
      </c>
      <c r="S1028" s="501"/>
      <c r="T1028" s="478"/>
      <c r="U1028" s="501"/>
      <c r="V1028" s="479" t="str">
        <f>IF(R1028="No","No Twilight",IF(T1028="Yes","Uncomprehended Twilight",IF((Character!$B$14+IF(Character!$B$53="Yes",0,Character!$B$53)+IF(Magic!$C$5="Yes",2,0)+ROUNDUP((Magic!$B$30+IF(Magic!$C$30="Yes",3,0))/5,0)+S1028)&gt;=($D$3+P1028+SUMIF(Character!$I$62:$I$66,"Enigmatic Wisdom",Character!$J$62:$J$66)+Q1028+U1028),"No Twilight","Twilight")))</f>
        <v>No Twilight</v>
      </c>
      <c r="W1028" s="483"/>
      <c r="X1028" s="478"/>
      <c r="Y1028" s="484"/>
      <c r="Z1028" s="478"/>
      <c r="AA1028" s="485" t="str">
        <f>IF(V1028="Uncomprehended Twilight","Failed",IF(OR(ISBLANK(W1028),ISBLANK(Y1028))," ",IF(NOT(ISBLANK(X1028)),"Failed",IF((W1028+Character!$B$9+SUMIF(Character!$I$62:$I$66,"Enigmatic Wisdom",Character!$J$62:$J$66))&gt;=IF(Z1028="Yes",0,(Y1028+D1023)),"Succeeded","Failed"))))</f>
        <v xml:space="preserve"> </v>
      </c>
      <c r="AB1028" s="477" t="str">
        <f>IF(AA1028=" "," ",IF(NOT(ISBLANK(X1028)),VLOOKUP($D$3+X1028,Calcs!$A$110:$C$122,3,TRUE),IF(AA1028="Failed",VLOOKUP($D$3,Calcs!$A$110:$C$122,3,TRUE),VLOOKUP($D$3-(IF((Character!$B$9+W1028)&gt;($D$3+Y1028),(Character!$B$9+W1028)-($D$3+Y1028),0)),Calcs!$A$110:$C$122,3,TRUE))))</f>
        <v xml:space="preserve"> </v>
      </c>
      <c r="AC1028" s="489"/>
      <c r="AD1028" s="489" t="str">
        <f>IF(IF(AA1028=" "," ",IF(NOT(ISBLANK(X1028)),VLOOKUP($D$3+X1028,Calcs!$A$110:$B$122,2,TRUE),IF(AA1028="Failed",VLOOKUP($D$3,Calcs!$A$110:$B$122,2,TRUE),VLOOKUP($D$3-(IF((Character!$B$9+W1028)&gt;($D$3+Y1028),(Character!$B$9+W1028)-($D$3+Y1028),0)),Calcs!$A$110:$B$122,2,TRUE))))=Calcs!$B$120,IF(ISBLANK(AC1028)," ",CONCATENATE(AC1028+7," Years")),IF(AA1028=" "," ",IF(NOT(ISBLANK(X1028)),VLOOKUP($D$3+X1028,Calcs!$A$110:$B$122,2,TRUE),IF(AA1028="Failed",VLOOKUP($D$3,Calcs!$A$110:$B$122,2,TRUE),VLOOKUP($D$3-(IF((Character!$B$9+W1028)&gt;($D$3+Y1028),(Character!$B$9+W1028)-($D$3+Y1028),0)),Calcs!$A$110:$B$122,2,TRUE)))))</f>
        <v xml:space="preserve"> </v>
      </c>
      <c r="AE1028" s="490"/>
      <c r="AF1028" s="879"/>
      <c r="AG1028" s="491"/>
    </row>
    <row r="1029" spans="1:33" x14ac:dyDescent="0.2">
      <c r="A1029" s="415">
        <f t="shared" si="30"/>
        <v>1467</v>
      </c>
      <c r="B1029" s="419" t="str">
        <f t="shared" si="31"/>
        <v>Spring</v>
      </c>
      <c r="C1029" s="455"/>
      <c r="D1029" s="504"/>
      <c r="E1029" s="455"/>
      <c r="F1029" s="504"/>
      <c r="G1029" s="455"/>
      <c r="H1029" s="504"/>
      <c r="I1029" s="455"/>
      <c r="J1029" s="504"/>
      <c r="L1029" s="472"/>
      <c r="M1029" s="468"/>
      <c r="N1029" s="468"/>
      <c r="O1029" s="468"/>
      <c r="P1029" s="468"/>
      <c r="Q1029" s="473"/>
      <c r="R1029" s="477" t="str">
        <f>IF(AND(COUNTIF('Start Character'!$I$63:$M$77,"Twilight Prone")=1,NOT(ISERROR(FIND("Magical Botch",M1029)))),"Yes",IF(P1029&gt;1,"Yes","No"))</f>
        <v>No</v>
      </c>
      <c r="S1029" s="501"/>
      <c r="T1029" s="478"/>
      <c r="U1029" s="501"/>
      <c r="V1029" s="479" t="str">
        <f>IF(R1029="No","No Twilight",IF(T1029="Yes","Uncomprehended Twilight",IF((Character!$B$14+IF(Character!$B$53="Yes",0,Character!$B$53)+IF(Magic!$C$5="Yes",2,0)+ROUNDUP((Magic!$B$30+IF(Magic!$C$30="Yes",3,0))/5,0)+S1029)&gt;=($D$3+P1029+SUMIF(Character!$I$62:$I$66,"Enigmatic Wisdom",Character!$J$62:$J$66)+Q1029+U1029),"No Twilight","Twilight")))</f>
        <v>No Twilight</v>
      </c>
      <c r="W1029" s="483"/>
      <c r="X1029" s="478"/>
      <c r="Y1029" s="484"/>
      <c r="Z1029" s="478"/>
      <c r="AA1029" s="485" t="str">
        <f>IF(V1029="Uncomprehended Twilight","Failed",IF(OR(ISBLANK(W1029),ISBLANK(Y1029))," ",IF(NOT(ISBLANK(X1029)),"Failed",IF((W1029+Character!$B$9+SUMIF(Character!$I$62:$I$66,"Enigmatic Wisdom",Character!$J$62:$J$66))&gt;=IF(Z1029="Yes",0,(Y1029+D1024)),"Succeeded","Failed"))))</f>
        <v xml:space="preserve"> </v>
      </c>
      <c r="AB1029" s="477" t="str">
        <f>IF(AA1029=" "," ",IF(NOT(ISBLANK(X1029)),VLOOKUP($D$3+X1029,Calcs!$A$110:$C$122,3,TRUE),IF(AA1029="Failed",VLOOKUP($D$3,Calcs!$A$110:$C$122,3,TRUE),VLOOKUP($D$3-(IF((Character!$B$9+W1029)&gt;($D$3+Y1029),(Character!$B$9+W1029)-($D$3+Y1029),0)),Calcs!$A$110:$C$122,3,TRUE))))</f>
        <v xml:space="preserve"> </v>
      </c>
      <c r="AC1029" s="489"/>
      <c r="AD1029" s="489" t="str">
        <f>IF(IF(AA1029=" "," ",IF(NOT(ISBLANK(X1029)),VLOOKUP($D$3+X1029,Calcs!$A$110:$B$122,2,TRUE),IF(AA1029="Failed",VLOOKUP($D$3,Calcs!$A$110:$B$122,2,TRUE),VLOOKUP($D$3-(IF((Character!$B$9+W1029)&gt;($D$3+Y1029),(Character!$B$9+W1029)-($D$3+Y1029),0)),Calcs!$A$110:$B$122,2,TRUE))))=Calcs!$B$120,IF(ISBLANK(AC1029)," ",CONCATENATE(AC1029+7," Years")),IF(AA1029=" "," ",IF(NOT(ISBLANK(X1029)),VLOOKUP($D$3+X1029,Calcs!$A$110:$B$122,2,TRUE),IF(AA1029="Failed",VLOOKUP($D$3,Calcs!$A$110:$B$122,2,TRUE),VLOOKUP($D$3-(IF((Character!$B$9+W1029)&gt;($D$3+Y1029),(Character!$B$9+W1029)-($D$3+Y1029),0)),Calcs!$A$110:$B$122,2,TRUE)))))</f>
        <v xml:space="preserve"> </v>
      </c>
      <c r="AE1029" s="490"/>
      <c r="AF1029" s="879"/>
      <c r="AG1029" s="491"/>
    </row>
    <row r="1030" spans="1:33" x14ac:dyDescent="0.2">
      <c r="A1030" s="415">
        <f t="shared" si="30"/>
        <v>1467</v>
      </c>
      <c r="B1030" s="419" t="str">
        <f t="shared" si="31"/>
        <v>Summer</v>
      </c>
      <c r="C1030" s="455"/>
      <c r="D1030" s="504"/>
      <c r="E1030" s="455"/>
      <c r="F1030" s="504"/>
      <c r="G1030" s="455"/>
      <c r="H1030" s="504"/>
      <c r="I1030" s="455"/>
      <c r="J1030" s="504"/>
      <c r="L1030" s="472"/>
      <c r="M1030" s="468"/>
      <c r="N1030" s="468"/>
      <c r="O1030" s="468"/>
      <c r="P1030" s="468"/>
      <c r="Q1030" s="473"/>
      <c r="R1030" s="477" t="str">
        <f>IF(AND(COUNTIF('Start Character'!$I$63:$M$77,"Twilight Prone")=1,NOT(ISERROR(FIND("Magical Botch",M1030)))),"Yes",IF(P1030&gt;1,"Yes","No"))</f>
        <v>No</v>
      </c>
      <c r="S1030" s="501"/>
      <c r="T1030" s="478"/>
      <c r="U1030" s="501"/>
      <c r="V1030" s="479" t="str">
        <f>IF(R1030="No","No Twilight",IF(T1030="Yes","Uncomprehended Twilight",IF((Character!$B$14+IF(Character!$B$53="Yes",0,Character!$B$53)+IF(Magic!$C$5="Yes",2,0)+ROUNDUP((Magic!$B$30+IF(Magic!$C$30="Yes",3,0))/5,0)+S1030)&gt;=($D$3+P1030+SUMIF(Character!$I$62:$I$66,"Enigmatic Wisdom",Character!$J$62:$J$66)+Q1030+U1030),"No Twilight","Twilight")))</f>
        <v>No Twilight</v>
      </c>
      <c r="W1030" s="483"/>
      <c r="X1030" s="478"/>
      <c r="Y1030" s="484"/>
      <c r="Z1030" s="478"/>
      <c r="AA1030" s="485" t="str">
        <f>IF(V1030="Uncomprehended Twilight","Failed",IF(OR(ISBLANK(W1030),ISBLANK(Y1030))," ",IF(NOT(ISBLANK(X1030)),"Failed",IF((W1030+Character!$B$9+SUMIF(Character!$I$62:$I$66,"Enigmatic Wisdom",Character!$J$62:$J$66))&gt;=IF(Z1030="Yes",0,(Y1030+D1025)),"Succeeded","Failed"))))</f>
        <v xml:space="preserve"> </v>
      </c>
      <c r="AB1030" s="477" t="str">
        <f>IF(AA1030=" "," ",IF(NOT(ISBLANK(X1030)),VLOOKUP($D$3+X1030,Calcs!$A$110:$C$122,3,TRUE),IF(AA1030="Failed",VLOOKUP($D$3,Calcs!$A$110:$C$122,3,TRUE),VLOOKUP($D$3-(IF((Character!$B$9+W1030)&gt;($D$3+Y1030),(Character!$B$9+W1030)-($D$3+Y1030),0)),Calcs!$A$110:$C$122,3,TRUE))))</f>
        <v xml:space="preserve"> </v>
      </c>
      <c r="AC1030" s="489"/>
      <c r="AD1030" s="489" t="str">
        <f>IF(IF(AA1030=" "," ",IF(NOT(ISBLANK(X1030)),VLOOKUP($D$3+X1030,Calcs!$A$110:$B$122,2,TRUE),IF(AA1030="Failed",VLOOKUP($D$3,Calcs!$A$110:$B$122,2,TRUE),VLOOKUP($D$3-(IF((Character!$B$9+W1030)&gt;($D$3+Y1030),(Character!$B$9+W1030)-($D$3+Y1030),0)),Calcs!$A$110:$B$122,2,TRUE))))=Calcs!$B$120,IF(ISBLANK(AC1030)," ",CONCATENATE(AC1030+7," Years")),IF(AA1030=" "," ",IF(NOT(ISBLANK(X1030)),VLOOKUP($D$3+X1030,Calcs!$A$110:$B$122,2,TRUE),IF(AA1030="Failed",VLOOKUP($D$3,Calcs!$A$110:$B$122,2,TRUE),VLOOKUP($D$3-(IF((Character!$B$9+W1030)&gt;($D$3+Y1030),(Character!$B$9+W1030)-($D$3+Y1030),0)),Calcs!$A$110:$B$122,2,TRUE)))))</f>
        <v xml:space="preserve"> </v>
      </c>
      <c r="AE1030" s="490"/>
      <c r="AF1030" s="879"/>
      <c r="AG1030" s="491"/>
    </row>
    <row r="1031" spans="1:33" x14ac:dyDescent="0.2">
      <c r="A1031" s="415">
        <f t="shared" si="30"/>
        <v>1467</v>
      </c>
      <c r="B1031" s="419" t="str">
        <f t="shared" si="31"/>
        <v>Autumn</v>
      </c>
      <c r="C1031" s="455"/>
      <c r="D1031" s="504"/>
      <c r="E1031" s="455"/>
      <c r="F1031" s="504"/>
      <c r="G1031" s="455"/>
      <c r="H1031" s="504"/>
      <c r="I1031" s="455"/>
      <c r="J1031" s="504"/>
      <c r="L1031" s="472"/>
      <c r="M1031" s="468"/>
      <c r="N1031" s="468"/>
      <c r="O1031" s="468"/>
      <c r="P1031" s="468"/>
      <c r="Q1031" s="473"/>
      <c r="R1031" s="477" t="str">
        <f>IF(AND(COUNTIF('Start Character'!$I$63:$M$77,"Twilight Prone")=1,NOT(ISERROR(FIND("Magical Botch",M1031)))),"Yes",IF(P1031&gt;1,"Yes","No"))</f>
        <v>No</v>
      </c>
      <c r="S1031" s="501"/>
      <c r="T1031" s="478"/>
      <c r="U1031" s="501"/>
      <c r="V1031" s="479" t="str">
        <f>IF(R1031="No","No Twilight",IF(T1031="Yes","Uncomprehended Twilight",IF((Character!$B$14+IF(Character!$B$53="Yes",0,Character!$B$53)+IF(Magic!$C$5="Yes",2,0)+ROUNDUP((Magic!$B$30+IF(Magic!$C$30="Yes",3,0))/5,0)+S1031)&gt;=($D$3+P1031+SUMIF(Character!$I$62:$I$66,"Enigmatic Wisdom",Character!$J$62:$J$66)+Q1031+U1031),"No Twilight","Twilight")))</f>
        <v>No Twilight</v>
      </c>
      <c r="W1031" s="483"/>
      <c r="X1031" s="478"/>
      <c r="Y1031" s="484"/>
      <c r="Z1031" s="478"/>
      <c r="AA1031" s="485" t="str">
        <f>IF(V1031="Uncomprehended Twilight","Failed",IF(OR(ISBLANK(W1031),ISBLANK(Y1031))," ",IF(NOT(ISBLANK(X1031)),"Failed",IF((W1031+Character!$B$9+SUMIF(Character!$I$62:$I$66,"Enigmatic Wisdom",Character!$J$62:$J$66))&gt;=IF(Z1031="Yes",0,(Y1031+D1026)),"Succeeded","Failed"))))</f>
        <v xml:space="preserve"> </v>
      </c>
      <c r="AB1031" s="477" t="str">
        <f>IF(AA1031=" "," ",IF(NOT(ISBLANK(X1031)),VLOOKUP($D$3+X1031,Calcs!$A$110:$C$122,3,TRUE),IF(AA1031="Failed",VLOOKUP($D$3,Calcs!$A$110:$C$122,3,TRUE),VLOOKUP($D$3-(IF((Character!$B$9+W1031)&gt;($D$3+Y1031),(Character!$B$9+W1031)-($D$3+Y1031),0)),Calcs!$A$110:$C$122,3,TRUE))))</f>
        <v xml:space="preserve"> </v>
      </c>
      <c r="AC1031" s="489"/>
      <c r="AD1031" s="489" t="str">
        <f>IF(IF(AA1031=" "," ",IF(NOT(ISBLANK(X1031)),VLOOKUP($D$3+X1031,Calcs!$A$110:$B$122,2,TRUE),IF(AA1031="Failed",VLOOKUP($D$3,Calcs!$A$110:$B$122,2,TRUE),VLOOKUP($D$3-(IF((Character!$B$9+W1031)&gt;($D$3+Y1031),(Character!$B$9+W1031)-($D$3+Y1031),0)),Calcs!$A$110:$B$122,2,TRUE))))=Calcs!$B$120,IF(ISBLANK(AC1031)," ",CONCATENATE(AC1031+7," Years")),IF(AA1031=" "," ",IF(NOT(ISBLANK(X1031)),VLOOKUP($D$3+X1031,Calcs!$A$110:$B$122,2,TRUE),IF(AA1031="Failed",VLOOKUP($D$3,Calcs!$A$110:$B$122,2,TRUE),VLOOKUP($D$3-(IF((Character!$B$9+W1031)&gt;($D$3+Y1031),(Character!$B$9+W1031)-($D$3+Y1031),0)),Calcs!$A$110:$B$122,2,TRUE)))))</f>
        <v xml:space="preserve"> </v>
      </c>
      <c r="AE1031" s="490"/>
      <c r="AF1031" s="879"/>
      <c r="AG1031" s="491"/>
    </row>
    <row r="1032" spans="1:33" x14ac:dyDescent="0.2">
      <c r="A1032" s="415">
        <f t="shared" si="30"/>
        <v>1468</v>
      </c>
      <c r="B1032" s="419" t="str">
        <f t="shared" si="31"/>
        <v>Winter</v>
      </c>
      <c r="C1032" s="455"/>
      <c r="D1032" s="504"/>
      <c r="E1032" s="455"/>
      <c r="F1032" s="504"/>
      <c r="G1032" s="455"/>
      <c r="H1032" s="504"/>
      <c r="I1032" s="455"/>
      <c r="J1032" s="504"/>
      <c r="L1032" s="472"/>
      <c r="M1032" s="468"/>
      <c r="N1032" s="468"/>
      <c r="O1032" s="468"/>
      <c r="P1032" s="468"/>
      <c r="Q1032" s="473"/>
      <c r="R1032" s="477" t="str">
        <f>IF(AND(COUNTIF('Start Character'!$I$63:$M$77,"Twilight Prone")=1,NOT(ISERROR(FIND("Magical Botch",M1032)))),"Yes",IF(P1032&gt;1,"Yes","No"))</f>
        <v>No</v>
      </c>
      <c r="S1032" s="501"/>
      <c r="T1032" s="478"/>
      <c r="U1032" s="501"/>
      <c r="V1032" s="479" t="str">
        <f>IF(R1032="No","No Twilight",IF(T1032="Yes","Uncomprehended Twilight",IF((Character!$B$14+IF(Character!$B$53="Yes",0,Character!$B$53)+IF(Magic!$C$5="Yes",2,0)+ROUNDUP((Magic!$B$30+IF(Magic!$C$30="Yes",3,0))/5,0)+S1032)&gt;=($D$3+P1032+SUMIF(Character!$I$62:$I$66,"Enigmatic Wisdom",Character!$J$62:$J$66)+Q1032+U1032),"No Twilight","Twilight")))</f>
        <v>No Twilight</v>
      </c>
      <c r="W1032" s="483"/>
      <c r="X1032" s="478"/>
      <c r="Y1032" s="484"/>
      <c r="Z1032" s="478"/>
      <c r="AA1032" s="485" t="str">
        <f>IF(V1032="Uncomprehended Twilight","Failed",IF(OR(ISBLANK(W1032),ISBLANK(Y1032))," ",IF(NOT(ISBLANK(X1032)),"Failed",IF((W1032+Character!$B$9+SUMIF(Character!$I$62:$I$66,"Enigmatic Wisdom",Character!$J$62:$J$66))&gt;=IF(Z1032="Yes",0,(Y1032+D1027)),"Succeeded","Failed"))))</f>
        <v xml:space="preserve"> </v>
      </c>
      <c r="AB1032" s="477" t="str">
        <f>IF(AA1032=" "," ",IF(NOT(ISBLANK(X1032)),VLOOKUP($D$3+X1032,Calcs!$A$110:$C$122,3,TRUE),IF(AA1032="Failed",VLOOKUP($D$3,Calcs!$A$110:$C$122,3,TRUE),VLOOKUP($D$3-(IF((Character!$B$9+W1032)&gt;($D$3+Y1032),(Character!$B$9+W1032)-($D$3+Y1032),0)),Calcs!$A$110:$C$122,3,TRUE))))</f>
        <v xml:space="preserve"> </v>
      </c>
      <c r="AC1032" s="489"/>
      <c r="AD1032" s="489" t="str">
        <f>IF(IF(AA1032=" "," ",IF(NOT(ISBLANK(X1032)),VLOOKUP($D$3+X1032,Calcs!$A$110:$B$122,2,TRUE),IF(AA1032="Failed",VLOOKUP($D$3,Calcs!$A$110:$B$122,2,TRUE),VLOOKUP($D$3-(IF((Character!$B$9+W1032)&gt;($D$3+Y1032),(Character!$B$9+W1032)-($D$3+Y1032),0)),Calcs!$A$110:$B$122,2,TRUE))))=Calcs!$B$120,IF(ISBLANK(AC1032)," ",CONCATENATE(AC1032+7," Years")),IF(AA1032=" "," ",IF(NOT(ISBLANK(X1032)),VLOOKUP($D$3+X1032,Calcs!$A$110:$B$122,2,TRUE),IF(AA1032="Failed",VLOOKUP($D$3,Calcs!$A$110:$B$122,2,TRUE),VLOOKUP($D$3-(IF((Character!$B$9+W1032)&gt;($D$3+Y1032),(Character!$B$9+W1032)-($D$3+Y1032),0)),Calcs!$A$110:$B$122,2,TRUE)))))</f>
        <v xml:space="preserve"> </v>
      </c>
      <c r="AE1032" s="490"/>
      <c r="AF1032" s="879"/>
      <c r="AG1032" s="491"/>
    </row>
    <row r="1033" spans="1:33" x14ac:dyDescent="0.2">
      <c r="A1033" s="415">
        <f t="shared" si="30"/>
        <v>1468</v>
      </c>
      <c r="B1033" s="419" t="str">
        <f t="shared" si="31"/>
        <v>Spring</v>
      </c>
      <c r="C1033" s="455"/>
      <c r="D1033" s="504"/>
      <c r="E1033" s="455"/>
      <c r="F1033" s="504"/>
      <c r="G1033" s="455"/>
      <c r="H1033" s="504"/>
      <c r="I1033" s="455"/>
      <c r="J1033" s="504"/>
      <c r="L1033" s="472"/>
      <c r="M1033" s="468"/>
      <c r="N1033" s="468"/>
      <c r="O1033" s="468"/>
      <c r="P1033" s="468"/>
      <c r="Q1033" s="473"/>
      <c r="R1033" s="477" t="str">
        <f>IF(AND(COUNTIF('Start Character'!$I$63:$M$77,"Twilight Prone")=1,NOT(ISERROR(FIND("Magical Botch",M1033)))),"Yes",IF(P1033&gt;1,"Yes","No"))</f>
        <v>No</v>
      </c>
      <c r="S1033" s="501"/>
      <c r="T1033" s="478"/>
      <c r="U1033" s="501"/>
      <c r="V1033" s="479" t="str">
        <f>IF(R1033="No","No Twilight",IF(T1033="Yes","Uncomprehended Twilight",IF((Character!$B$14+IF(Character!$B$53="Yes",0,Character!$B$53)+IF(Magic!$C$5="Yes",2,0)+ROUNDUP((Magic!$B$30+IF(Magic!$C$30="Yes",3,0))/5,0)+S1033)&gt;=($D$3+P1033+SUMIF(Character!$I$62:$I$66,"Enigmatic Wisdom",Character!$J$62:$J$66)+Q1033+U1033),"No Twilight","Twilight")))</f>
        <v>No Twilight</v>
      </c>
      <c r="W1033" s="483"/>
      <c r="X1033" s="478"/>
      <c r="Y1033" s="484"/>
      <c r="Z1033" s="478"/>
      <c r="AA1033" s="485" t="str">
        <f>IF(V1033="Uncomprehended Twilight","Failed",IF(OR(ISBLANK(W1033),ISBLANK(Y1033))," ",IF(NOT(ISBLANK(X1033)),"Failed",IF((W1033+Character!$B$9+SUMIF(Character!$I$62:$I$66,"Enigmatic Wisdom",Character!$J$62:$J$66))&gt;=IF(Z1033="Yes",0,(Y1033+D1028)),"Succeeded","Failed"))))</f>
        <v xml:space="preserve"> </v>
      </c>
      <c r="AB1033" s="477" t="str">
        <f>IF(AA1033=" "," ",IF(NOT(ISBLANK(X1033)),VLOOKUP($D$3+X1033,Calcs!$A$110:$C$122,3,TRUE),IF(AA1033="Failed",VLOOKUP($D$3,Calcs!$A$110:$C$122,3,TRUE),VLOOKUP($D$3-(IF((Character!$B$9+W1033)&gt;($D$3+Y1033),(Character!$B$9+W1033)-($D$3+Y1033),0)),Calcs!$A$110:$C$122,3,TRUE))))</f>
        <v xml:space="preserve"> </v>
      </c>
      <c r="AC1033" s="489"/>
      <c r="AD1033" s="489" t="str">
        <f>IF(IF(AA1033=" "," ",IF(NOT(ISBLANK(X1033)),VLOOKUP($D$3+X1033,Calcs!$A$110:$B$122,2,TRUE),IF(AA1033="Failed",VLOOKUP($D$3,Calcs!$A$110:$B$122,2,TRUE),VLOOKUP($D$3-(IF((Character!$B$9+W1033)&gt;($D$3+Y1033),(Character!$B$9+W1033)-($D$3+Y1033),0)),Calcs!$A$110:$B$122,2,TRUE))))=Calcs!$B$120,IF(ISBLANK(AC1033)," ",CONCATENATE(AC1033+7," Years")),IF(AA1033=" "," ",IF(NOT(ISBLANK(X1033)),VLOOKUP($D$3+X1033,Calcs!$A$110:$B$122,2,TRUE),IF(AA1033="Failed",VLOOKUP($D$3,Calcs!$A$110:$B$122,2,TRUE),VLOOKUP($D$3-(IF((Character!$B$9+W1033)&gt;($D$3+Y1033),(Character!$B$9+W1033)-($D$3+Y1033),0)),Calcs!$A$110:$B$122,2,TRUE)))))</f>
        <v xml:space="preserve"> </v>
      </c>
      <c r="AE1033" s="490"/>
      <c r="AF1033" s="879"/>
      <c r="AG1033" s="491"/>
    </row>
    <row r="1034" spans="1:33" x14ac:dyDescent="0.2">
      <c r="A1034" s="415">
        <f t="shared" si="30"/>
        <v>1468</v>
      </c>
      <c r="B1034" s="419" t="str">
        <f t="shared" si="31"/>
        <v>Summer</v>
      </c>
      <c r="C1034" s="455"/>
      <c r="D1034" s="504"/>
      <c r="E1034" s="455"/>
      <c r="F1034" s="504"/>
      <c r="G1034" s="455"/>
      <c r="H1034" s="504"/>
      <c r="I1034" s="455"/>
      <c r="J1034" s="504"/>
      <c r="L1034" s="472"/>
      <c r="M1034" s="468"/>
      <c r="N1034" s="468"/>
      <c r="O1034" s="468"/>
      <c r="P1034" s="468"/>
      <c r="Q1034" s="473"/>
      <c r="R1034" s="477" t="str">
        <f>IF(AND(COUNTIF('Start Character'!$I$63:$M$77,"Twilight Prone")=1,NOT(ISERROR(FIND("Magical Botch",M1034)))),"Yes",IF(P1034&gt;1,"Yes","No"))</f>
        <v>No</v>
      </c>
      <c r="S1034" s="501"/>
      <c r="T1034" s="478"/>
      <c r="U1034" s="501"/>
      <c r="V1034" s="479" t="str">
        <f>IF(R1034="No","No Twilight",IF(T1034="Yes","Uncomprehended Twilight",IF((Character!$B$14+IF(Character!$B$53="Yes",0,Character!$B$53)+IF(Magic!$C$5="Yes",2,0)+ROUNDUP((Magic!$B$30+IF(Magic!$C$30="Yes",3,0))/5,0)+S1034)&gt;=($D$3+P1034+SUMIF(Character!$I$62:$I$66,"Enigmatic Wisdom",Character!$J$62:$J$66)+Q1034+U1034),"No Twilight","Twilight")))</f>
        <v>No Twilight</v>
      </c>
      <c r="W1034" s="483"/>
      <c r="X1034" s="478"/>
      <c r="Y1034" s="484"/>
      <c r="Z1034" s="478"/>
      <c r="AA1034" s="485" t="str">
        <f>IF(V1034="Uncomprehended Twilight","Failed",IF(OR(ISBLANK(W1034),ISBLANK(Y1034))," ",IF(NOT(ISBLANK(X1034)),"Failed",IF((W1034+Character!$B$9+SUMIF(Character!$I$62:$I$66,"Enigmatic Wisdom",Character!$J$62:$J$66))&gt;=IF(Z1034="Yes",0,(Y1034+D1029)),"Succeeded","Failed"))))</f>
        <v xml:space="preserve"> </v>
      </c>
      <c r="AB1034" s="477" t="str">
        <f>IF(AA1034=" "," ",IF(NOT(ISBLANK(X1034)),VLOOKUP($D$3+X1034,Calcs!$A$110:$C$122,3,TRUE),IF(AA1034="Failed",VLOOKUP($D$3,Calcs!$A$110:$C$122,3,TRUE),VLOOKUP($D$3-(IF((Character!$B$9+W1034)&gt;($D$3+Y1034),(Character!$B$9+W1034)-($D$3+Y1034),0)),Calcs!$A$110:$C$122,3,TRUE))))</f>
        <v xml:space="preserve"> </v>
      </c>
      <c r="AC1034" s="489"/>
      <c r="AD1034" s="489" t="str">
        <f>IF(IF(AA1034=" "," ",IF(NOT(ISBLANK(X1034)),VLOOKUP($D$3+X1034,Calcs!$A$110:$B$122,2,TRUE),IF(AA1034="Failed",VLOOKUP($D$3,Calcs!$A$110:$B$122,2,TRUE),VLOOKUP($D$3-(IF((Character!$B$9+W1034)&gt;($D$3+Y1034),(Character!$B$9+W1034)-($D$3+Y1034),0)),Calcs!$A$110:$B$122,2,TRUE))))=Calcs!$B$120,IF(ISBLANK(AC1034)," ",CONCATENATE(AC1034+7," Years")),IF(AA1034=" "," ",IF(NOT(ISBLANK(X1034)),VLOOKUP($D$3+X1034,Calcs!$A$110:$B$122,2,TRUE),IF(AA1034="Failed",VLOOKUP($D$3,Calcs!$A$110:$B$122,2,TRUE),VLOOKUP($D$3-(IF((Character!$B$9+W1034)&gt;($D$3+Y1034),(Character!$B$9+W1034)-($D$3+Y1034),0)),Calcs!$A$110:$B$122,2,TRUE)))))</f>
        <v xml:space="preserve"> </v>
      </c>
      <c r="AE1034" s="490"/>
      <c r="AF1034" s="879"/>
      <c r="AG1034" s="491"/>
    </row>
    <row r="1035" spans="1:33" x14ac:dyDescent="0.2">
      <c r="A1035" s="415">
        <f t="shared" si="30"/>
        <v>1468</v>
      </c>
      <c r="B1035" s="419" t="str">
        <f t="shared" si="31"/>
        <v>Autumn</v>
      </c>
      <c r="C1035" s="455"/>
      <c r="D1035" s="504"/>
      <c r="E1035" s="455"/>
      <c r="F1035" s="504"/>
      <c r="G1035" s="455"/>
      <c r="H1035" s="504"/>
      <c r="I1035" s="455"/>
      <c r="J1035" s="504"/>
      <c r="L1035" s="472"/>
      <c r="M1035" s="468"/>
      <c r="N1035" s="468"/>
      <c r="O1035" s="468"/>
      <c r="P1035" s="468"/>
      <c r="Q1035" s="473"/>
      <c r="R1035" s="477" t="str">
        <f>IF(AND(COUNTIF('Start Character'!$I$63:$M$77,"Twilight Prone")=1,NOT(ISERROR(FIND("Magical Botch",M1035)))),"Yes",IF(P1035&gt;1,"Yes","No"))</f>
        <v>No</v>
      </c>
      <c r="S1035" s="501"/>
      <c r="T1035" s="478"/>
      <c r="U1035" s="501"/>
      <c r="V1035" s="479" t="str">
        <f>IF(R1035="No","No Twilight",IF(T1035="Yes","Uncomprehended Twilight",IF((Character!$B$14+IF(Character!$B$53="Yes",0,Character!$B$53)+IF(Magic!$C$5="Yes",2,0)+ROUNDUP((Magic!$B$30+IF(Magic!$C$30="Yes",3,0))/5,0)+S1035)&gt;=($D$3+P1035+SUMIF(Character!$I$62:$I$66,"Enigmatic Wisdom",Character!$J$62:$J$66)+Q1035+U1035),"No Twilight","Twilight")))</f>
        <v>No Twilight</v>
      </c>
      <c r="W1035" s="483"/>
      <c r="X1035" s="478"/>
      <c r="Y1035" s="484"/>
      <c r="Z1035" s="478"/>
      <c r="AA1035" s="485" t="str">
        <f>IF(V1035="Uncomprehended Twilight","Failed",IF(OR(ISBLANK(W1035),ISBLANK(Y1035))," ",IF(NOT(ISBLANK(X1035)),"Failed",IF((W1035+Character!$B$9+SUMIF(Character!$I$62:$I$66,"Enigmatic Wisdom",Character!$J$62:$J$66))&gt;=IF(Z1035="Yes",0,(Y1035+D1030)),"Succeeded","Failed"))))</f>
        <v xml:space="preserve"> </v>
      </c>
      <c r="AB1035" s="477" t="str">
        <f>IF(AA1035=" "," ",IF(NOT(ISBLANK(X1035)),VLOOKUP($D$3+X1035,Calcs!$A$110:$C$122,3,TRUE),IF(AA1035="Failed",VLOOKUP($D$3,Calcs!$A$110:$C$122,3,TRUE),VLOOKUP($D$3-(IF((Character!$B$9+W1035)&gt;($D$3+Y1035),(Character!$B$9+W1035)-($D$3+Y1035),0)),Calcs!$A$110:$C$122,3,TRUE))))</f>
        <v xml:space="preserve"> </v>
      </c>
      <c r="AC1035" s="489"/>
      <c r="AD1035" s="489" t="str">
        <f>IF(IF(AA1035=" "," ",IF(NOT(ISBLANK(X1035)),VLOOKUP($D$3+X1035,Calcs!$A$110:$B$122,2,TRUE),IF(AA1035="Failed",VLOOKUP($D$3,Calcs!$A$110:$B$122,2,TRUE),VLOOKUP($D$3-(IF((Character!$B$9+W1035)&gt;($D$3+Y1035),(Character!$B$9+W1035)-($D$3+Y1035),0)),Calcs!$A$110:$B$122,2,TRUE))))=Calcs!$B$120,IF(ISBLANK(AC1035)," ",CONCATENATE(AC1035+7," Years")),IF(AA1035=" "," ",IF(NOT(ISBLANK(X1035)),VLOOKUP($D$3+X1035,Calcs!$A$110:$B$122,2,TRUE),IF(AA1035="Failed",VLOOKUP($D$3,Calcs!$A$110:$B$122,2,TRUE),VLOOKUP($D$3-(IF((Character!$B$9+W1035)&gt;($D$3+Y1035),(Character!$B$9+W1035)-($D$3+Y1035),0)),Calcs!$A$110:$B$122,2,TRUE)))))</f>
        <v xml:space="preserve"> </v>
      </c>
      <c r="AE1035" s="490"/>
      <c r="AF1035" s="879"/>
      <c r="AG1035" s="491"/>
    </row>
    <row r="1036" spans="1:33" x14ac:dyDescent="0.2">
      <c r="A1036" s="415">
        <f t="shared" si="30"/>
        <v>1469</v>
      </c>
      <c r="B1036" s="419" t="str">
        <f t="shared" si="31"/>
        <v>Winter</v>
      </c>
      <c r="C1036" s="455"/>
      <c r="D1036" s="504"/>
      <c r="E1036" s="455"/>
      <c r="F1036" s="504"/>
      <c r="G1036" s="455"/>
      <c r="H1036" s="504"/>
      <c r="I1036" s="455"/>
      <c r="J1036" s="504"/>
      <c r="L1036" s="472"/>
      <c r="M1036" s="468"/>
      <c r="N1036" s="468"/>
      <c r="O1036" s="468"/>
      <c r="P1036" s="468"/>
      <c r="Q1036" s="473"/>
      <c r="R1036" s="477" t="str">
        <f>IF(AND(COUNTIF('Start Character'!$I$63:$M$77,"Twilight Prone")=1,NOT(ISERROR(FIND("Magical Botch",M1036)))),"Yes",IF(P1036&gt;1,"Yes","No"))</f>
        <v>No</v>
      </c>
      <c r="S1036" s="501"/>
      <c r="T1036" s="478"/>
      <c r="U1036" s="501"/>
      <c r="V1036" s="479" t="str">
        <f>IF(R1036="No","No Twilight",IF(T1036="Yes","Uncomprehended Twilight",IF((Character!$B$14+IF(Character!$B$53="Yes",0,Character!$B$53)+IF(Magic!$C$5="Yes",2,0)+ROUNDUP((Magic!$B$30+IF(Magic!$C$30="Yes",3,0))/5,0)+S1036)&gt;=($D$3+P1036+SUMIF(Character!$I$62:$I$66,"Enigmatic Wisdom",Character!$J$62:$J$66)+Q1036+U1036),"No Twilight","Twilight")))</f>
        <v>No Twilight</v>
      </c>
      <c r="W1036" s="483"/>
      <c r="X1036" s="478"/>
      <c r="Y1036" s="484"/>
      <c r="Z1036" s="478"/>
      <c r="AA1036" s="485" t="str">
        <f>IF(V1036="Uncomprehended Twilight","Failed",IF(OR(ISBLANK(W1036),ISBLANK(Y1036))," ",IF(NOT(ISBLANK(X1036)),"Failed",IF((W1036+Character!$B$9+SUMIF(Character!$I$62:$I$66,"Enigmatic Wisdom",Character!$J$62:$J$66))&gt;=IF(Z1036="Yes",0,(Y1036+D1031)),"Succeeded","Failed"))))</f>
        <v xml:space="preserve"> </v>
      </c>
      <c r="AB1036" s="477" t="str">
        <f>IF(AA1036=" "," ",IF(NOT(ISBLANK(X1036)),VLOOKUP($D$3+X1036,Calcs!$A$110:$C$122,3,TRUE),IF(AA1036="Failed",VLOOKUP($D$3,Calcs!$A$110:$C$122,3,TRUE),VLOOKUP($D$3-(IF((Character!$B$9+W1036)&gt;($D$3+Y1036),(Character!$B$9+W1036)-($D$3+Y1036),0)),Calcs!$A$110:$C$122,3,TRUE))))</f>
        <v xml:space="preserve"> </v>
      </c>
      <c r="AC1036" s="489"/>
      <c r="AD1036" s="489" t="str">
        <f>IF(IF(AA1036=" "," ",IF(NOT(ISBLANK(X1036)),VLOOKUP($D$3+X1036,Calcs!$A$110:$B$122,2,TRUE),IF(AA1036="Failed",VLOOKUP($D$3,Calcs!$A$110:$B$122,2,TRUE),VLOOKUP($D$3-(IF((Character!$B$9+W1036)&gt;($D$3+Y1036),(Character!$B$9+W1036)-($D$3+Y1036),0)),Calcs!$A$110:$B$122,2,TRUE))))=Calcs!$B$120,IF(ISBLANK(AC1036)," ",CONCATENATE(AC1036+7," Years")),IF(AA1036=" "," ",IF(NOT(ISBLANK(X1036)),VLOOKUP($D$3+X1036,Calcs!$A$110:$B$122,2,TRUE),IF(AA1036="Failed",VLOOKUP($D$3,Calcs!$A$110:$B$122,2,TRUE),VLOOKUP($D$3-(IF((Character!$B$9+W1036)&gt;($D$3+Y1036),(Character!$B$9+W1036)-($D$3+Y1036),0)),Calcs!$A$110:$B$122,2,TRUE)))))</f>
        <v xml:space="preserve"> </v>
      </c>
      <c r="AE1036" s="490"/>
      <c r="AF1036" s="879"/>
      <c r="AG1036" s="491"/>
    </row>
    <row r="1037" spans="1:33" x14ac:dyDescent="0.2">
      <c r="A1037" s="415">
        <f t="shared" si="30"/>
        <v>1469</v>
      </c>
      <c r="B1037" s="419" t="str">
        <f t="shared" si="31"/>
        <v>Spring</v>
      </c>
      <c r="C1037" s="455"/>
      <c r="D1037" s="504"/>
      <c r="E1037" s="455"/>
      <c r="F1037" s="504"/>
      <c r="G1037" s="455"/>
      <c r="H1037" s="504"/>
      <c r="I1037" s="455"/>
      <c r="J1037" s="504"/>
      <c r="L1037" s="472"/>
      <c r="M1037" s="468"/>
      <c r="N1037" s="468"/>
      <c r="O1037" s="468"/>
      <c r="P1037" s="468"/>
      <c r="Q1037" s="473"/>
      <c r="R1037" s="477" t="str">
        <f>IF(AND(COUNTIF('Start Character'!$I$63:$M$77,"Twilight Prone")=1,NOT(ISERROR(FIND("Magical Botch",M1037)))),"Yes",IF(P1037&gt;1,"Yes","No"))</f>
        <v>No</v>
      </c>
      <c r="S1037" s="501"/>
      <c r="T1037" s="478"/>
      <c r="U1037" s="501"/>
      <c r="V1037" s="479" t="str">
        <f>IF(R1037="No","No Twilight",IF(T1037="Yes","Uncomprehended Twilight",IF((Character!$B$14+IF(Character!$B$53="Yes",0,Character!$B$53)+IF(Magic!$C$5="Yes",2,0)+ROUNDUP((Magic!$B$30+IF(Magic!$C$30="Yes",3,0))/5,0)+S1037)&gt;=($D$3+P1037+SUMIF(Character!$I$62:$I$66,"Enigmatic Wisdom",Character!$J$62:$J$66)+Q1037+U1037),"No Twilight","Twilight")))</f>
        <v>No Twilight</v>
      </c>
      <c r="W1037" s="483"/>
      <c r="X1037" s="478"/>
      <c r="Y1037" s="484"/>
      <c r="Z1037" s="478"/>
      <c r="AA1037" s="485" t="str">
        <f>IF(V1037="Uncomprehended Twilight","Failed",IF(OR(ISBLANK(W1037),ISBLANK(Y1037))," ",IF(NOT(ISBLANK(X1037)),"Failed",IF((W1037+Character!$B$9+SUMIF(Character!$I$62:$I$66,"Enigmatic Wisdom",Character!$J$62:$J$66))&gt;=IF(Z1037="Yes",0,(Y1037+D1032)),"Succeeded","Failed"))))</f>
        <v xml:space="preserve"> </v>
      </c>
      <c r="AB1037" s="477" t="str">
        <f>IF(AA1037=" "," ",IF(NOT(ISBLANK(X1037)),VLOOKUP($D$3+X1037,Calcs!$A$110:$C$122,3,TRUE),IF(AA1037="Failed",VLOOKUP($D$3,Calcs!$A$110:$C$122,3,TRUE),VLOOKUP($D$3-(IF((Character!$B$9+W1037)&gt;($D$3+Y1037),(Character!$B$9+W1037)-($D$3+Y1037),0)),Calcs!$A$110:$C$122,3,TRUE))))</f>
        <v xml:space="preserve"> </v>
      </c>
      <c r="AC1037" s="489"/>
      <c r="AD1037" s="489" t="str">
        <f>IF(IF(AA1037=" "," ",IF(NOT(ISBLANK(X1037)),VLOOKUP($D$3+X1037,Calcs!$A$110:$B$122,2,TRUE),IF(AA1037="Failed",VLOOKUP($D$3,Calcs!$A$110:$B$122,2,TRUE),VLOOKUP($D$3-(IF((Character!$B$9+W1037)&gt;($D$3+Y1037),(Character!$B$9+W1037)-($D$3+Y1037),0)),Calcs!$A$110:$B$122,2,TRUE))))=Calcs!$B$120,IF(ISBLANK(AC1037)," ",CONCATENATE(AC1037+7," Years")),IF(AA1037=" "," ",IF(NOT(ISBLANK(X1037)),VLOOKUP($D$3+X1037,Calcs!$A$110:$B$122,2,TRUE),IF(AA1037="Failed",VLOOKUP($D$3,Calcs!$A$110:$B$122,2,TRUE),VLOOKUP($D$3-(IF((Character!$B$9+W1037)&gt;($D$3+Y1037),(Character!$B$9+W1037)-($D$3+Y1037),0)),Calcs!$A$110:$B$122,2,TRUE)))))</f>
        <v xml:space="preserve"> </v>
      </c>
      <c r="AE1037" s="490"/>
      <c r="AF1037" s="879"/>
      <c r="AG1037" s="491"/>
    </row>
    <row r="1038" spans="1:33" x14ac:dyDescent="0.2">
      <c r="A1038" s="415">
        <f t="shared" si="30"/>
        <v>1469</v>
      </c>
      <c r="B1038" s="419" t="str">
        <f t="shared" si="31"/>
        <v>Summer</v>
      </c>
      <c r="C1038" s="455"/>
      <c r="D1038" s="504"/>
      <c r="E1038" s="455"/>
      <c r="F1038" s="504"/>
      <c r="G1038" s="455"/>
      <c r="H1038" s="504"/>
      <c r="I1038" s="455"/>
      <c r="J1038" s="504"/>
      <c r="L1038" s="472"/>
      <c r="M1038" s="468"/>
      <c r="N1038" s="468"/>
      <c r="O1038" s="468"/>
      <c r="P1038" s="468"/>
      <c r="Q1038" s="473"/>
      <c r="R1038" s="477" t="str">
        <f>IF(AND(COUNTIF('Start Character'!$I$63:$M$77,"Twilight Prone")=1,NOT(ISERROR(FIND("Magical Botch",M1038)))),"Yes",IF(P1038&gt;1,"Yes","No"))</f>
        <v>No</v>
      </c>
      <c r="S1038" s="501"/>
      <c r="T1038" s="478"/>
      <c r="U1038" s="501"/>
      <c r="V1038" s="479" t="str">
        <f>IF(R1038="No","No Twilight",IF(T1038="Yes","Uncomprehended Twilight",IF((Character!$B$14+IF(Character!$B$53="Yes",0,Character!$B$53)+IF(Magic!$C$5="Yes",2,0)+ROUNDUP((Magic!$B$30+IF(Magic!$C$30="Yes",3,0))/5,0)+S1038)&gt;=($D$3+P1038+SUMIF(Character!$I$62:$I$66,"Enigmatic Wisdom",Character!$J$62:$J$66)+Q1038+U1038),"No Twilight","Twilight")))</f>
        <v>No Twilight</v>
      </c>
      <c r="W1038" s="483"/>
      <c r="X1038" s="478"/>
      <c r="Y1038" s="484"/>
      <c r="Z1038" s="478"/>
      <c r="AA1038" s="485" t="str">
        <f>IF(V1038="Uncomprehended Twilight","Failed",IF(OR(ISBLANK(W1038),ISBLANK(Y1038))," ",IF(NOT(ISBLANK(X1038)),"Failed",IF((W1038+Character!$B$9+SUMIF(Character!$I$62:$I$66,"Enigmatic Wisdom",Character!$J$62:$J$66))&gt;=IF(Z1038="Yes",0,(Y1038+D1033)),"Succeeded","Failed"))))</f>
        <v xml:space="preserve"> </v>
      </c>
      <c r="AB1038" s="477" t="str">
        <f>IF(AA1038=" "," ",IF(NOT(ISBLANK(X1038)),VLOOKUP($D$3+X1038,Calcs!$A$110:$C$122,3,TRUE),IF(AA1038="Failed",VLOOKUP($D$3,Calcs!$A$110:$C$122,3,TRUE),VLOOKUP($D$3-(IF((Character!$B$9+W1038)&gt;($D$3+Y1038),(Character!$B$9+W1038)-($D$3+Y1038),0)),Calcs!$A$110:$C$122,3,TRUE))))</f>
        <v xml:space="preserve"> </v>
      </c>
      <c r="AC1038" s="489"/>
      <c r="AD1038" s="489" t="str">
        <f>IF(IF(AA1038=" "," ",IF(NOT(ISBLANK(X1038)),VLOOKUP($D$3+X1038,Calcs!$A$110:$B$122,2,TRUE),IF(AA1038="Failed",VLOOKUP($D$3,Calcs!$A$110:$B$122,2,TRUE),VLOOKUP($D$3-(IF((Character!$B$9+W1038)&gt;($D$3+Y1038),(Character!$B$9+W1038)-($D$3+Y1038),0)),Calcs!$A$110:$B$122,2,TRUE))))=Calcs!$B$120,IF(ISBLANK(AC1038)," ",CONCATENATE(AC1038+7," Years")),IF(AA1038=" "," ",IF(NOT(ISBLANK(X1038)),VLOOKUP($D$3+X1038,Calcs!$A$110:$B$122,2,TRUE),IF(AA1038="Failed",VLOOKUP($D$3,Calcs!$A$110:$B$122,2,TRUE),VLOOKUP($D$3-(IF((Character!$B$9+W1038)&gt;($D$3+Y1038),(Character!$B$9+W1038)-($D$3+Y1038),0)),Calcs!$A$110:$B$122,2,TRUE)))))</f>
        <v xml:space="preserve"> </v>
      </c>
      <c r="AE1038" s="490"/>
      <c r="AF1038" s="879"/>
      <c r="AG1038" s="491"/>
    </row>
    <row r="1039" spans="1:33" x14ac:dyDescent="0.2">
      <c r="A1039" s="415">
        <f t="shared" si="30"/>
        <v>1469</v>
      </c>
      <c r="B1039" s="419" t="str">
        <f t="shared" si="31"/>
        <v>Autumn</v>
      </c>
      <c r="C1039" s="455"/>
      <c r="D1039" s="504"/>
      <c r="E1039" s="455"/>
      <c r="F1039" s="504"/>
      <c r="G1039" s="455"/>
      <c r="H1039" s="504"/>
      <c r="I1039" s="455"/>
      <c r="J1039" s="504"/>
      <c r="L1039" s="472"/>
      <c r="M1039" s="468"/>
      <c r="N1039" s="468"/>
      <c r="O1039" s="468"/>
      <c r="P1039" s="468"/>
      <c r="Q1039" s="473"/>
      <c r="R1039" s="477" t="str">
        <f>IF(AND(COUNTIF('Start Character'!$I$63:$M$77,"Twilight Prone")=1,NOT(ISERROR(FIND("Magical Botch",M1039)))),"Yes",IF(P1039&gt;1,"Yes","No"))</f>
        <v>No</v>
      </c>
      <c r="S1039" s="501"/>
      <c r="T1039" s="478"/>
      <c r="U1039" s="501"/>
      <c r="V1039" s="479" t="str">
        <f>IF(R1039="No","No Twilight",IF(T1039="Yes","Uncomprehended Twilight",IF((Character!$B$14+IF(Character!$B$53="Yes",0,Character!$B$53)+IF(Magic!$C$5="Yes",2,0)+ROUNDUP((Magic!$B$30+IF(Magic!$C$30="Yes",3,0))/5,0)+S1039)&gt;=($D$3+P1039+SUMIF(Character!$I$62:$I$66,"Enigmatic Wisdom",Character!$J$62:$J$66)+Q1039+U1039),"No Twilight","Twilight")))</f>
        <v>No Twilight</v>
      </c>
      <c r="W1039" s="483"/>
      <c r="X1039" s="478"/>
      <c r="Y1039" s="484"/>
      <c r="Z1039" s="478"/>
      <c r="AA1039" s="485" t="str">
        <f>IF(V1039="Uncomprehended Twilight","Failed",IF(OR(ISBLANK(W1039),ISBLANK(Y1039))," ",IF(NOT(ISBLANK(X1039)),"Failed",IF((W1039+Character!$B$9+SUMIF(Character!$I$62:$I$66,"Enigmatic Wisdom",Character!$J$62:$J$66))&gt;=IF(Z1039="Yes",0,(Y1039+D1034)),"Succeeded","Failed"))))</f>
        <v xml:space="preserve"> </v>
      </c>
      <c r="AB1039" s="477" t="str">
        <f>IF(AA1039=" "," ",IF(NOT(ISBLANK(X1039)),VLOOKUP($D$3+X1039,Calcs!$A$110:$C$122,3,TRUE),IF(AA1039="Failed",VLOOKUP($D$3,Calcs!$A$110:$C$122,3,TRUE),VLOOKUP($D$3-(IF((Character!$B$9+W1039)&gt;($D$3+Y1039),(Character!$B$9+W1039)-($D$3+Y1039),0)),Calcs!$A$110:$C$122,3,TRUE))))</f>
        <v xml:space="preserve"> </v>
      </c>
      <c r="AC1039" s="489"/>
      <c r="AD1039" s="489" t="str">
        <f>IF(IF(AA1039=" "," ",IF(NOT(ISBLANK(X1039)),VLOOKUP($D$3+X1039,Calcs!$A$110:$B$122,2,TRUE),IF(AA1039="Failed",VLOOKUP($D$3,Calcs!$A$110:$B$122,2,TRUE),VLOOKUP($D$3-(IF((Character!$B$9+W1039)&gt;($D$3+Y1039),(Character!$B$9+W1039)-($D$3+Y1039),0)),Calcs!$A$110:$B$122,2,TRUE))))=Calcs!$B$120,IF(ISBLANK(AC1039)," ",CONCATENATE(AC1039+7," Years")),IF(AA1039=" "," ",IF(NOT(ISBLANK(X1039)),VLOOKUP($D$3+X1039,Calcs!$A$110:$B$122,2,TRUE),IF(AA1039="Failed",VLOOKUP($D$3,Calcs!$A$110:$B$122,2,TRUE),VLOOKUP($D$3-(IF((Character!$B$9+W1039)&gt;($D$3+Y1039),(Character!$B$9+W1039)-($D$3+Y1039),0)),Calcs!$A$110:$B$122,2,TRUE)))))</f>
        <v xml:space="preserve"> </v>
      </c>
      <c r="AE1039" s="490"/>
      <c r="AF1039" s="879"/>
      <c r="AG1039" s="491"/>
    </row>
    <row r="1040" spans="1:33" x14ac:dyDescent="0.2">
      <c r="A1040" s="415">
        <f t="shared" si="30"/>
        <v>1470</v>
      </c>
      <c r="B1040" s="419" t="str">
        <f t="shared" si="31"/>
        <v>Winter</v>
      </c>
      <c r="C1040" s="455"/>
      <c r="D1040" s="504"/>
      <c r="E1040" s="455"/>
      <c r="F1040" s="504"/>
      <c r="G1040" s="455"/>
      <c r="H1040" s="504"/>
      <c r="I1040" s="455"/>
      <c r="J1040" s="504"/>
      <c r="L1040" s="472"/>
      <c r="M1040" s="468"/>
      <c r="N1040" s="468"/>
      <c r="O1040" s="468"/>
      <c r="P1040" s="468"/>
      <c r="Q1040" s="473"/>
      <c r="R1040" s="477" t="str">
        <f>IF(AND(COUNTIF('Start Character'!$I$63:$M$77,"Twilight Prone")=1,NOT(ISERROR(FIND("Magical Botch",M1040)))),"Yes",IF(P1040&gt;1,"Yes","No"))</f>
        <v>No</v>
      </c>
      <c r="S1040" s="501"/>
      <c r="T1040" s="478"/>
      <c r="U1040" s="501"/>
      <c r="V1040" s="479" t="str">
        <f>IF(R1040="No","No Twilight",IF(T1040="Yes","Uncomprehended Twilight",IF((Character!$B$14+IF(Character!$B$53="Yes",0,Character!$B$53)+IF(Magic!$C$5="Yes",2,0)+ROUNDUP((Magic!$B$30+IF(Magic!$C$30="Yes",3,0))/5,0)+S1040)&gt;=($D$3+P1040+SUMIF(Character!$I$62:$I$66,"Enigmatic Wisdom",Character!$J$62:$J$66)+Q1040+U1040),"No Twilight","Twilight")))</f>
        <v>No Twilight</v>
      </c>
      <c r="W1040" s="483"/>
      <c r="X1040" s="478"/>
      <c r="Y1040" s="484"/>
      <c r="Z1040" s="478"/>
      <c r="AA1040" s="485" t="str">
        <f>IF(V1040="Uncomprehended Twilight","Failed",IF(OR(ISBLANK(W1040),ISBLANK(Y1040))," ",IF(NOT(ISBLANK(X1040)),"Failed",IF((W1040+Character!$B$9+SUMIF(Character!$I$62:$I$66,"Enigmatic Wisdom",Character!$J$62:$J$66))&gt;=IF(Z1040="Yes",0,(Y1040+D1035)),"Succeeded","Failed"))))</f>
        <v xml:space="preserve"> </v>
      </c>
      <c r="AB1040" s="477" t="str">
        <f>IF(AA1040=" "," ",IF(NOT(ISBLANK(X1040)),VLOOKUP($D$3+X1040,Calcs!$A$110:$C$122,3,TRUE),IF(AA1040="Failed",VLOOKUP($D$3,Calcs!$A$110:$C$122,3,TRUE),VLOOKUP($D$3-(IF((Character!$B$9+W1040)&gt;($D$3+Y1040),(Character!$B$9+W1040)-($D$3+Y1040),0)),Calcs!$A$110:$C$122,3,TRUE))))</f>
        <v xml:space="preserve"> </v>
      </c>
      <c r="AC1040" s="489"/>
      <c r="AD1040" s="489" t="str">
        <f>IF(IF(AA1040=" "," ",IF(NOT(ISBLANK(X1040)),VLOOKUP($D$3+X1040,Calcs!$A$110:$B$122,2,TRUE),IF(AA1040="Failed",VLOOKUP($D$3,Calcs!$A$110:$B$122,2,TRUE),VLOOKUP($D$3-(IF((Character!$B$9+W1040)&gt;($D$3+Y1040),(Character!$B$9+W1040)-($D$3+Y1040),0)),Calcs!$A$110:$B$122,2,TRUE))))=Calcs!$B$120,IF(ISBLANK(AC1040)," ",CONCATENATE(AC1040+7," Years")),IF(AA1040=" "," ",IF(NOT(ISBLANK(X1040)),VLOOKUP($D$3+X1040,Calcs!$A$110:$B$122,2,TRUE),IF(AA1040="Failed",VLOOKUP($D$3,Calcs!$A$110:$B$122,2,TRUE),VLOOKUP($D$3-(IF((Character!$B$9+W1040)&gt;($D$3+Y1040),(Character!$B$9+W1040)-($D$3+Y1040),0)),Calcs!$A$110:$B$122,2,TRUE)))))</f>
        <v xml:space="preserve"> </v>
      </c>
      <c r="AE1040" s="490"/>
      <c r="AF1040" s="879"/>
      <c r="AG1040" s="491"/>
    </row>
    <row r="1041" spans="1:33" x14ac:dyDescent="0.2">
      <c r="A1041" s="415">
        <f t="shared" si="30"/>
        <v>1470</v>
      </c>
      <c r="B1041" s="419" t="str">
        <f t="shared" si="31"/>
        <v>Spring</v>
      </c>
      <c r="C1041" s="455"/>
      <c r="D1041" s="504"/>
      <c r="E1041" s="455"/>
      <c r="F1041" s="504"/>
      <c r="G1041" s="455"/>
      <c r="H1041" s="504"/>
      <c r="I1041" s="455"/>
      <c r="J1041" s="504"/>
      <c r="L1041" s="472"/>
      <c r="M1041" s="468"/>
      <c r="N1041" s="468"/>
      <c r="O1041" s="468"/>
      <c r="P1041" s="468"/>
      <c r="Q1041" s="473"/>
      <c r="R1041" s="477" t="str">
        <f>IF(AND(COUNTIF('Start Character'!$I$63:$M$77,"Twilight Prone")=1,NOT(ISERROR(FIND("Magical Botch",M1041)))),"Yes",IF(P1041&gt;1,"Yes","No"))</f>
        <v>No</v>
      </c>
      <c r="S1041" s="501"/>
      <c r="T1041" s="478"/>
      <c r="U1041" s="501"/>
      <c r="V1041" s="479" t="str">
        <f>IF(R1041="No","No Twilight",IF(T1041="Yes","Uncomprehended Twilight",IF((Character!$B$14+IF(Character!$B$53="Yes",0,Character!$B$53)+IF(Magic!$C$5="Yes",2,0)+ROUNDUP((Magic!$B$30+IF(Magic!$C$30="Yes",3,0))/5,0)+S1041)&gt;=($D$3+P1041+SUMIF(Character!$I$62:$I$66,"Enigmatic Wisdom",Character!$J$62:$J$66)+Q1041+U1041),"No Twilight","Twilight")))</f>
        <v>No Twilight</v>
      </c>
      <c r="W1041" s="483"/>
      <c r="X1041" s="478"/>
      <c r="Y1041" s="484"/>
      <c r="Z1041" s="478"/>
      <c r="AA1041" s="485" t="str">
        <f>IF(V1041="Uncomprehended Twilight","Failed",IF(OR(ISBLANK(W1041),ISBLANK(Y1041))," ",IF(NOT(ISBLANK(X1041)),"Failed",IF((W1041+Character!$B$9+SUMIF(Character!$I$62:$I$66,"Enigmatic Wisdom",Character!$J$62:$J$66))&gt;=IF(Z1041="Yes",0,(Y1041+D1036)),"Succeeded","Failed"))))</f>
        <v xml:space="preserve"> </v>
      </c>
      <c r="AB1041" s="477" t="str">
        <f>IF(AA1041=" "," ",IF(NOT(ISBLANK(X1041)),VLOOKUP($D$3+X1041,Calcs!$A$110:$C$122,3,TRUE),IF(AA1041="Failed",VLOOKUP($D$3,Calcs!$A$110:$C$122,3,TRUE),VLOOKUP($D$3-(IF((Character!$B$9+W1041)&gt;($D$3+Y1041),(Character!$B$9+W1041)-($D$3+Y1041),0)),Calcs!$A$110:$C$122,3,TRUE))))</f>
        <v xml:space="preserve"> </v>
      </c>
      <c r="AC1041" s="489"/>
      <c r="AD1041" s="489" t="str">
        <f>IF(IF(AA1041=" "," ",IF(NOT(ISBLANK(X1041)),VLOOKUP($D$3+X1041,Calcs!$A$110:$B$122,2,TRUE),IF(AA1041="Failed",VLOOKUP($D$3,Calcs!$A$110:$B$122,2,TRUE),VLOOKUP($D$3-(IF((Character!$B$9+W1041)&gt;($D$3+Y1041),(Character!$B$9+W1041)-($D$3+Y1041),0)),Calcs!$A$110:$B$122,2,TRUE))))=Calcs!$B$120,IF(ISBLANK(AC1041)," ",CONCATENATE(AC1041+7," Years")),IF(AA1041=" "," ",IF(NOT(ISBLANK(X1041)),VLOOKUP($D$3+X1041,Calcs!$A$110:$B$122,2,TRUE),IF(AA1041="Failed",VLOOKUP($D$3,Calcs!$A$110:$B$122,2,TRUE),VLOOKUP($D$3-(IF((Character!$B$9+W1041)&gt;($D$3+Y1041),(Character!$B$9+W1041)-($D$3+Y1041),0)),Calcs!$A$110:$B$122,2,TRUE)))))</f>
        <v xml:space="preserve"> </v>
      </c>
      <c r="AE1041" s="490"/>
      <c r="AF1041" s="879"/>
      <c r="AG1041" s="491"/>
    </row>
    <row r="1042" spans="1:33" x14ac:dyDescent="0.2">
      <c r="A1042" s="415">
        <f t="shared" si="30"/>
        <v>1470</v>
      </c>
      <c r="B1042" s="419" t="str">
        <f t="shared" si="31"/>
        <v>Summer</v>
      </c>
      <c r="C1042" s="455"/>
      <c r="D1042" s="504"/>
      <c r="E1042" s="455"/>
      <c r="F1042" s="504"/>
      <c r="G1042" s="455"/>
      <c r="H1042" s="504"/>
      <c r="I1042" s="455"/>
      <c r="J1042" s="504"/>
      <c r="L1042" s="472"/>
      <c r="M1042" s="468"/>
      <c r="N1042" s="468"/>
      <c r="O1042" s="468"/>
      <c r="P1042" s="468"/>
      <c r="Q1042" s="473"/>
      <c r="R1042" s="477" t="str">
        <f>IF(AND(COUNTIF('Start Character'!$I$63:$M$77,"Twilight Prone")=1,NOT(ISERROR(FIND("Magical Botch",M1042)))),"Yes",IF(P1042&gt;1,"Yes","No"))</f>
        <v>No</v>
      </c>
      <c r="S1042" s="501"/>
      <c r="T1042" s="478"/>
      <c r="U1042" s="501"/>
      <c r="V1042" s="479" t="str">
        <f>IF(R1042="No","No Twilight",IF(T1042="Yes","Uncomprehended Twilight",IF((Character!$B$14+IF(Character!$B$53="Yes",0,Character!$B$53)+IF(Magic!$C$5="Yes",2,0)+ROUNDUP((Magic!$B$30+IF(Magic!$C$30="Yes",3,0))/5,0)+S1042)&gt;=($D$3+P1042+SUMIF(Character!$I$62:$I$66,"Enigmatic Wisdom",Character!$J$62:$J$66)+Q1042+U1042),"No Twilight","Twilight")))</f>
        <v>No Twilight</v>
      </c>
      <c r="W1042" s="483"/>
      <c r="X1042" s="478"/>
      <c r="Y1042" s="484"/>
      <c r="Z1042" s="478"/>
      <c r="AA1042" s="485" t="str">
        <f>IF(V1042="Uncomprehended Twilight","Failed",IF(OR(ISBLANK(W1042),ISBLANK(Y1042))," ",IF(NOT(ISBLANK(X1042)),"Failed",IF((W1042+Character!$B$9+SUMIF(Character!$I$62:$I$66,"Enigmatic Wisdom",Character!$J$62:$J$66))&gt;=IF(Z1042="Yes",0,(Y1042+D1037)),"Succeeded","Failed"))))</f>
        <v xml:space="preserve"> </v>
      </c>
      <c r="AB1042" s="477" t="str">
        <f>IF(AA1042=" "," ",IF(NOT(ISBLANK(X1042)),VLOOKUP($D$3+X1042,Calcs!$A$110:$C$122,3,TRUE),IF(AA1042="Failed",VLOOKUP($D$3,Calcs!$A$110:$C$122,3,TRUE),VLOOKUP($D$3-(IF((Character!$B$9+W1042)&gt;($D$3+Y1042),(Character!$B$9+W1042)-($D$3+Y1042),0)),Calcs!$A$110:$C$122,3,TRUE))))</f>
        <v xml:space="preserve"> </v>
      </c>
      <c r="AC1042" s="489"/>
      <c r="AD1042" s="489" t="str">
        <f>IF(IF(AA1042=" "," ",IF(NOT(ISBLANK(X1042)),VLOOKUP($D$3+X1042,Calcs!$A$110:$B$122,2,TRUE),IF(AA1042="Failed",VLOOKUP($D$3,Calcs!$A$110:$B$122,2,TRUE),VLOOKUP($D$3-(IF((Character!$B$9+W1042)&gt;($D$3+Y1042),(Character!$B$9+W1042)-($D$3+Y1042),0)),Calcs!$A$110:$B$122,2,TRUE))))=Calcs!$B$120,IF(ISBLANK(AC1042)," ",CONCATENATE(AC1042+7," Years")),IF(AA1042=" "," ",IF(NOT(ISBLANK(X1042)),VLOOKUP($D$3+X1042,Calcs!$A$110:$B$122,2,TRUE),IF(AA1042="Failed",VLOOKUP($D$3,Calcs!$A$110:$B$122,2,TRUE),VLOOKUP($D$3-(IF((Character!$B$9+W1042)&gt;($D$3+Y1042),(Character!$B$9+W1042)-($D$3+Y1042),0)),Calcs!$A$110:$B$122,2,TRUE)))))</f>
        <v xml:space="preserve"> </v>
      </c>
      <c r="AE1042" s="490"/>
      <c r="AF1042" s="879"/>
      <c r="AG1042" s="491"/>
    </row>
    <row r="1043" spans="1:33" x14ac:dyDescent="0.2">
      <c r="A1043" s="415">
        <f t="shared" si="30"/>
        <v>1470</v>
      </c>
      <c r="B1043" s="419" t="str">
        <f t="shared" si="31"/>
        <v>Autumn</v>
      </c>
      <c r="C1043" s="455"/>
      <c r="D1043" s="504"/>
      <c r="E1043" s="455"/>
      <c r="F1043" s="504"/>
      <c r="G1043" s="455"/>
      <c r="H1043" s="504"/>
      <c r="I1043" s="455"/>
      <c r="J1043" s="504"/>
      <c r="L1043" s="472"/>
      <c r="M1043" s="468"/>
      <c r="N1043" s="468"/>
      <c r="O1043" s="468"/>
      <c r="P1043" s="468"/>
      <c r="Q1043" s="473"/>
      <c r="R1043" s="477" t="str">
        <f>IF(AND(COUNTIF('Start Character'!$I$63:$M$77,"Twilight Prone")=1,NOT(ISERROR(FIND("Magical Botch",M1043)))),"Yes",IF(P1043&gt;1,"Yes","No"))</f>
        <v>No</v>
      </c>
      <c r="S1043" s="501"/>
      <c r="T1043" s="478"/>
      <c r="U1043" s="501"/>
      <c r="V1043" s="479" t="str">
        <f>IF(R1043="No","No Twilight",IF(T1043="Yes","Uncomprehended Twilight",IF((Character!$B$14+IF(Character!$B$53="Yes",0,Character!$B$53)+IF(Magic!$C$5="Yes",2,0)+ROUNDUP((Magic!$B$30+IF(Magic!$C$30="Yes",3,0))/5,0)+S1043)&gt;=($D$3+P1043+SUMIF(Character!$I$62:$I$66,"Enigmatic Wisdom",Character!$J$62:$J$66)+Q1043+U1043),"No Twilight","Twilight")))</f>
        <v>No Twilight</v>
      </c>
      <c r="W1043" s="483"/>
      <c r="X1043" s="478"/>
      <c r="Y1043" s="484"/>
      <c r="Z1043" s="478"/>
      <c r="AA1043" s="485" t="str">
        <f>IF(V1043="Uncomprehended Twilight","Failed",IF(OR(ISBLANK(W1043),ISBLANK(Y1043))," ",IF(NOT(ISBLANK(X1043)),"Failed",IF((W1043+Character!$B$9+SUMIF(Character!$I$62:$I$66,"Enigmatic Wisdom",Character!$J$62:$J$66))&gt;=IF(Z1043="Yes",0,(Y1043+D1038)),"Succeeded","Failed"))))</f>
        <v xml:space="preserve"> </v>
      </c>
      <c r="AB1043" s="477" t="str">
        <f>IF(AA1043=" "," ",IF(NOT(ISBLANK(X1043)),VLOOKUP($D$3+X1043,Calcs!$A$110:$C$122,3,TRUE),IF(AA1043="Failed",VLOOKUP($D$3,Calcs!$A$110:$C$122,3,TRUE),VLOOKUP($D$3-(IF((Character!$B$9+W1043)&gt;($D$3+Y1043),(Character!$B$9+W1043)-($D$3+Y1043),0)),Calcs!$A$110:$C$122,3,TRUE))))</f>
        <v xml:space="preserve"> </v>
      </c>
      <c r="AC1043" s="489"/>
      <c r="AD1043" s="489" t="str">
        <f>IF(IF(AA1043=" "," ",IF(NOT(ISBLANK(X1043)),VLOOKUP($D$3+X1043,Calcs!$A$110:$B$122,2,TRUE),IF(AA1043="Failed",VLOOKUP($D$3,Calcs!$A$110:$B$122,2,TRUE),VLOOKUP($D$3-(IF((Character!$B$9+W1043)&gt;($D$3+Y1043),(Character!$B$9+W1043)-($D$3+Y1043),0)),Calcs!$A$110:$B$122,2,TRUE))))=Calcs!$B$120,IF(ISBLANK(AC1043)," ",CONCATENATE(AC1043+7," Years")),IF(AA1043=" "," ",IF(NOT(ISBLANK(X1043)),VLOOKUP($D$3+X1043,Calcs!$A$110:$B$122,2,TRUE),IF(AA1043="Failed",VLOOKUP($D$3,Calcs!$A$110:$B$122,2,TRUE),VLOOKUP($D$3-(IF((Character!$B$9+W1043)&gt;($D$3+Y1043),(Character!$B$9+W1043)-($D$3+Y1043),0)),Calcs!$A$110:$B$122,2,TRUE)))))</f>
        <v xml:space="preserve"> </v>
      </c>
      <c r="AE1043" s="490"/>
      <c r="AF1043" s="879"/>
      <c r="AG1043" s="491"/>
    </row>
    <row r="1044" spans="1:33" x14ac:dyDescent="0.2">
      <c r="A1044" s="415">
        <f t="shared" si="30"/>
        <v>1471</v>
      </c>
      <c r="B1044" s="419" t="str">
        <f t="shared" si="31"/>
        <v>Winter</v>
      </c>
      <c r="C1044" s="455"/>
      <c r="D1044" s="504"/>
      <c r="E1044" s="455"/>
      <c r="F1044" s="504"/>
      <c r="G1044" s="455"/>
      <c r="H1044" s="504"/>
      <c r="I1044" s="455"/>
      <c r="J1044" s="504"/>
      <c r="L1044" s="472"/>
      <c r="M1044" s="468"/>
      <c r="N1044" s="468"/>
      <c r="O1044" s="468"/>
      <c r="P1044" s="468"/>
      <c r="Q1044" s="473"/>
      <c r="R1044" s="477" t="str">
        <f>IF(AND(COUNTIF('Start Character'!$I$63:$M$77,"Twilight Prone")=1,NOT(ISERROR(FIND("Magical Botch",M1044)))),"Yes",IF(P1044&gt;1,"Yes","No"))</f>
        <v>No</v>
      </c>
      <c r="S1044" s="501"/>
      <c r="T1044" s="478"/>
      <c r="U1044" s="501"/>
      <c r="V1044" s="479" t="str">
        <f>IF(R1044="No","No Twilight",IF(T1044="Yes","Uncomprehended Twilight",IF((Character!$B$14+IF(Character!$B$53="Yes",0,Character!$B$53)+IF(Magic!$C$5="Yes",2,0)+ROUNDUP((Magic!$B$30+IF(Magic!$C$30="Yes",3,0))/5,0)+S1044)&gt;=($D$3+P1044+SUMIF(Character!$I$62:$I$66,"Enigmatic Wisdom",Character!$J$62:$J$66)+Q1044+U1044),"No Twilight","Twilight")))</f>
        <v>No Twilight</v>
      </c>
      <c r="W1044" s="483"/>
      <c r="X1044" s="478"/>
      <c r="Y1044" s="484"/>
      <c r="Z1044" s="478"/>
      <c r="AA1044" s="485" t="str">
        <f>IF(V1044="Uncomprehended Twilight","Failed",IF(OR(ISBLANK(W1044),ISBLANK(Y1044))," ",IF(NOT(ISBLANK(X1044)),"Failed",IF((W1044+Character!$B$9+SUMIF(Character!$I$62:$I$66,"Enigmatic Wisdom",Character!$J$62:$J$66))&gt;=IF(Z1044="Yes",0,(Y1044+D1039)),"Succeeded","Failed"))))</f>
        <v xml:space="preserve"> </v>
      </c>
      <c r="AB1044" s="477" t="str">
        <f>IF(AA1044=" "," ",IF(NOT(ISBLANK(X1044)),VLOOKUP($D$3+X1044,Calcs!$A$110:$C$122,3,TRUE),IF(AA1044="Failed",VLOOKUP($D$3,Calcs!$A$110:$C$122,3,TRUE),VLOOKUP($D$3-(IF((Character!$B$9+W1044)&gt;($D$3+Y1044),(Character!$B$9+W1044)-($D$3+Y1044),0)),Calcs!$A$110:$C$122,3,TRUE))))</f>
        <v xml:space="preserve"> </v>
      </c>
      <c r="AC1044" s="489"/>
      <c r="AD1044" s="489" t="str">
        <f>IF(IF(AA1044=" "," ",IF(NOT(ISBLANK(X1044)),VLOOKUP($D$3+X1044,Calcs!$A$110:$B$122,2,TRUE),IF(AA1044="Failed",VLOOKUP($D$3,Calcs!$A$110:$B$122,2,TRUE),VLOOKUP($D$3-(IF((Character!$B$9+W1044)&gt;($D$3+Y1044),(Character!$B$9+W1044)-($D$3+Y1044),0)),Calcs!$A$110:$B$122,2,TRUE))))=Calcs!$B$120,IF(ISBLANK(AC1044)," ",CONCATENATE(AC1044+7," Years")),IF(AA1044=" "," ",IF(NOT(ISBLANK(X1044)),VLOOKUP($D$3+X1044,Calcs!$A$110:$B$122,2,TRUE),IF(AA1044="Failed",VLOOKUP($D$3,Calcs!$A$110:$B$122,2,TRUE),VLOOKUP($D$3-(IF((Character!$B$9+W1044)&gt;($D$3+Y1044),(Character!$B$9+W1044)-($D$3+Y1044),0)),Calcs!$A$110:$B$122,2,TRUE)))))</f>
        <v xml:space="preserve"> </v>
      </c>
      <c r="AE1044" s="490"/>
      <c r="AF1044" s="879"/>
      <c r="AG1044" s="491"/>
    </row>
    <row r="1045" spans="1:33" x14ac:dyDescent="0.2">
      <c r="A1045" s="415">
        <f t="shared" si="30"/>
        <v>1471</v>
      </c>
      <c r="B1045" s="419" t="str">
        <f t="shared" si="31"/>
        <v>Spring</v>
      </c>
      <c r="C1045" s="455"/>
      <c r="D1045" s="504"/>
      <c r="E1045" s="455"/>
      <c r="F1045" s="504"/>
      <c r="G1045" s="455"/>
      <c r="H1045" s="504"/>
      <c r="I1045" s="455"/>
      <c r="J1045" s="504"/>
      <c r="L1045" s="472"/>
      <c r="M1045" s="468"/>
      <c r="N1045" s="468"/>
      <c r="O1045" s="468"/>
      <c r="P1045" s="468"/>
      <c r="Q1045" s="473"/>
      <c r="R1045" s="477" t="str">
        <f>IF(AND(COUNTIF('Start Character'!$I$63:$M$77,"Twilight Prone")=1,NOT(ISERROR(FIND("Magical Botch",M1045)))),"Yes",IF(P1045&gt;1,"Yes","No"))</f>
        <v>No</v>
      </c>
      <c r="S1045" s="501"/>
      <c r="T1045" s="478"/>
      <c r="U1045" s="501"/>
      <c r="V1045" s="479" t="str">
        <f>IF(R1045="No","No Twilight",IF(T1045="Yes","Uncomprehended Twilight",IF((Character!$B$14+IF(Character!$B$53="Yes",0,Character!$B$53)+IF(Magic!$C$5="Yes",2,0)+ROUNDUP((Magic!$B$30+IF(Magic!$C$30="Yes",3,0))/5,0)+S1045)&gt;=($D$3+P1045+SUMIF(Character!$I$62:$I$66,"Enigmatic Wisdom",Character!$J$62:$J$66)+Q1045+U1045),"No Twilight","Twilight")))</f>
        <v>No Twilight</v>
      </c>
      <c r="W1045" s="483"/>
      <c r="X1045" s="478"/>
      <c r="Y1045" s="484"/>
      <c r="Z1045" s="478"/>
      <c r="AA1045" s="485" t="str">
        <f>IF(V1045="Uncomprehended Twilight","Failed",IF(OR(ISBLANK(W1045),ISBLANK(Y1045))," ",IF(NOT(ISBLANK(X1045)),"Failed",IF((W1045+Character!$B$9+SUMIF(Character!$I$62:$I$66,"Enigmatic Wisdom",Character!$J$62:$J$66))&gt;=IF(Z1045="Yes",0,(Y1045+D1040)),"Succeeded","Failed"))))</f>
        <v xml:space="preserve"> </v>
      </c>
      <c r="AB1045" s="477" t="str">
        <f>IF(AA1045=" "," ",IF(NOT(ISBLANK(X1045)),VLOOKUP($D$3+X1045,Calcs!$A$110:$C$122,3,TRUE),IF(AA1045="Failed",VLOOKUP($D$3,Calcs!$A$110:$C$122,3,TRUE),VLOOKUP($D$3-(IF((Character!$B$9+W1045)&gt;($D$3+Y1045),(Character!$B$9+W1045)-($D$3+Y1045),0)),Calcs!$A$110:$C$122,3,TRUE))))</f>
        <v xml:space="preserve"> </v>
      </c>
      <c r="AC1045" s="489"/>
      <c r="AD1045" s="489" t="str">
        <f>IF(IF(AA1045=" "," ",IF(NOT(ISBLANK(X1045)),VLOOKUP($D$3+X1045,Calcs!$A$110:$B$122,2,TRUE),IF(AA1045="Failed",VLOOKUP($D$3,Calcs!$A$110:$B$122,2,TRUE),VLOOKUP($D$3-(IF((Character!$B$9+W1045)&gt;($D$3+Y1045),(Character!$B$9+W1045)-($D$3+Y1045),0)),Calcs!$A$110:$B$122,2,TRUE))))=Calcs!$B$120,IF(ISBLANK(AC1045)," ",CONCATENATE(AC1045+7," Years")),IF(AA1045=" "," ",IF(NOT(ISBLANK(X1045)),VLOOKUP($D$3+X1045,Calcs!$A$110:$B$122,2,TRUE),IF(AA1045="Failed",VLOOKUP($D$3,Calcs!$A$110:$B$122,2,TRUE),VLOOKUP($D$3-(IF((Character!$B$9+W1045)&gt;($D$3+Y1045),(Character!$B$9+W1045)-($D$3+Y1045),0)),Calcs!$A$110:$B$122,2,TRUE)))))</f>
        <v xml:space="preserve"> </v>
      </c>
      <c r="AE1045" s="490"/>
      <c r="AF1045" s="879"/>
      <c r="AG1045" s="491"/>
    </row>
    <row r="1046" spans="1:33" x14ac:dyDescent="0.2">
      <c r="A1046" s="415">
        <f t="shared" si="30"/>
        <v>1471</v>
      </c>
      <c r="B1046" s="419" t="str">
        <f t="shared" si="31"/>
        <v>Summer</v>
      </c>
      <c r="C1046" s="455"/>
      <c r="D1046" s="504"/>
      <c r="E1046" s="455"/>
      <c r="F1046" s="504"/>
      <c r="G1046" s="455"/>
      <c r="H1046" s="504"/>
      <c r="I1046" s="455"/>
      <c r="J1046" s="504"/>
      <c r="L1046" s="472"/>
      <c r="M1046" s="468"/>
      <c r="N1046" s="468"/>
      <c r="O1046" s="468"/>
      <c r="P1046" s="468"/>
      <c r="Q1046" s="473"/>
      <c r="R1046" s="477" t="str">
        <f>IF(AND(COUNTIF('Start Character'!$I$63:$M$77,"Twilight Prone")=1,NOT(ISERROR(FIND("Magical Botch",M1046)))),"Yes",IF(P1046&gt;1,"Yes","No"))</f>
        <v>No</v>
      </c>
      <c r="S1046" s="501"/>
      <c r="T1046" s="478"/>
      <c r="U1046" s="501"/>
      <c r="V1046" s="479" t="str">
        <f>IF(R1046="No","No Twilight",IF(T1046="Yes","Uncomprehended Twilight",IF((Character!$B$14+IF(Character!$B$53="Yes",0,Character!$B$53)+IF(Magic!$C$5="Yes",2,0)+ROUNDUP((Magic!$B$30+IF(Magic!$C$30="Yes",3,0))/5,0)+S1046)&gt;=($D$3+P1046+SUMIF(Character!$I$62:$I$66,"Enigmatic Wisdom",Character!$J$62:$J$66)+Q1046+U1046),"No Twilight","Twilight")))</f>
        <v>No Twilight</v>
      </c>
      <c r="W1046" s="483"/>
      <c r="X1046" s="478"/>
      <c r="Y1046" s="484"/>
      <c r="Z1046" s="478"/>
      <c r="AA1046" s="485" t="str">
        <f>IF(V1046="Uncomprehended Twilight","Failed",IF(OR(ISBLANK(W1046),ISBLANK(Y1046))," ",IF(NOT(ISBLANK(X1046)),"Failed",IF((W1046+Character!$B$9+SUMIF(Character!$I$62:$I$66,"Enigmatic Wisdom",Character!$J$62:$J$66))&gt;=IF(Z1046="Yes",0,(Y1046+D1041)),"Succeeded","Failed"))))</f>
        <v xml:space="preserve"> </v>
      </c>
      <c r="AB1046" s="477" t="str">
        <f>IF(AA1046=" "," ",IF(NOT(ISBLANK(X1046)),VLOOKUP($D$3+X1046,Calcs!$A$110:$C$122,3,TRUE),IF(AA1046="Failed",VLOOKUP($D$3,Calcs!$A$110:$C$122,3,TRUE),VLOOKUP($D$3-(IF((Character!$B$9+W1046)&gt;($D$3+Y1046),(Character!$B$9+W1046)-($D$3+Y1046),0)),Calcs!$A$110:$C$122,3,TRUE))))</f>
        <v xml:space="preserve"> </v>
      </c>
      <c r="AC1046" s="489"/>
      <c r="AD1046" s="489" t="str">
        <f>IF(IF(AA1046=" "," ",IF(NOT(ISBLANK(X1046)),VLOOKUP($D$3+X1046,Calcs!$A$110:$B$122,2,TRUE),IF(AA1046="Failed",VLOOKUP($D$3,Calcs!$A$110:$B$122,2,TRUE),VLOOKUP($D$3-(IF((Character!$B$9+W1046)&gt;($D$3+Y1046),(Character!$B$9+W1046)-($D$3+Y1046),0)),Calcs!$A$110:$B$122,2,TRUE))))=Calcs!$B$120,IF(ISBLANK(AC1046)," ",CONCATENATE(AC1046+7," Years")),IF(AA1046=" "," ",IF(NOT(ISBLANK(X1046)),VLOOKUP($D$3+X1046,Calcs!$A$110:$B$122,2,TRUE),IF(AA1046="Failed",VLOOKUP($D$3,Calcs!$A$110:$B$122,2,TRUE),VLOOKUP($D$3-(IF((Character!$B$9+W1046)&gt;($D$3+Y1046),(Character!$B$9+W1046)-($D$3+Y1046),0)),Calcs!$A$110:$B$122,2,TRUE)))))</f>
        <v xml:space="preserve"> </v>
      </c>
      <c r="AE1046" s="490"/>
      <c r="AF1046" s="879"/>
      <c r="AG1046" s="491"/>
    </row>
    <row r="1047" spans="1:33" x14ac:dyDescent="0.2">
      <c r="A1047" s="415">
        <f t="shared" si="30"/>
        <v>1471</v>
      </c>
      <c r="B1047" s="419" t="str">
        <f t="shared" si="31"/>
        <v>Autumn</v>
      </c>
      <c r="C1047" s="455"/>
      <c r="D1047" s="504"/>
      <c r="E1047" s="455"/>
      <c r="F1047" s="504"/>
      <c r="G1047" s="455"/>
      <c r="H1047" s="504"/>
      <c r="I1047" s="455"/>
      <c r="J1047" s="504"/>
      <c r="L1047" s="472"/>
      <c r="M1047" s="468"/>
      <c r="N1047" s="468"/>
      <c r="O1047" s="468"/>
      <c r="P1047" s="468"/>
      <c r="Q1047" s="473"/>
      <c r="R1047" s="477" t="str">
        <f>IF(AND(COUNTIF('Start Character'!$I$63:$M$77,"Twilight Prone")=1,NOT(ISERROR(FIND("Magical Botch",M1047)))),"Yes",IF(P1047&gt;1,"Yes","No"))</f>
        <v>No</v>
      </c>
      <c r="S1047" s="501"/>
      <c r="T1047" s="478"/>
      <c r="U1047" s="501"/>
      <c r="V1047" s="479" t="str">
        <f>IF(R1047="No","No Twilight",IF(T1047="Yes","Uncomprehended Twilight",IF((Character!$B$14+IF(Character!$B$53="Yes",0,Character!$B$53)+IF(Magic!$C$5="Yes",2,0)+ROUNDUP((Magic!$B$30+IF(Magic!$C$30="Yes",3,0))/5,0)+S1047)&gt;=($D$3+P1047+SUMIF(Character!$I$62:$I$66,"Enigmatic Wisdom",Character!$J$62:$J$66)+Q1047+U1047),"No Twilight","Twilight")))</f>
        <v>No Twilight</v>
      </c>
      <c r="W1047" s="483"/>
      <c r="X1047" s="478"/>
      <c r="Y1047" s="484"/>
      <c r="Z1047" s="478"/>
      <c r="AA1047" s="485" t="str">
        <f>IF(V1047="Uncomprehended Twilight","Failed",IF(OR(ISBLANK(W1047),ISBLANK(Y1047))," ",IF(NOT(ISBLANK(X1047)),"Failed",IF((W1047+Character!$B$9+SUMIF(Character!$I$62:$I$66,"Enigmatic Wisdom",Character!$J$62:$J$66))&gt;=IF(Z1047="Yes",0,(Y1047+D1042)),"Succeeded","Failed"))))</f>
        <v xml:space="preserve"> </v>
      </c>
      <c r="AB1047" s="477" t="str">
        <f>IF(AA1047=" "," ",IF(NOT(ISBLANK(X1047)),VLOOKUP($D$3+X1047,Calcs!$A$110:$C$122,3,TRUE),IF(AA1047="Failed",VLOOKUP($D$3,Calcs!$A$110:$C$122,3,TRUE),VLOOKUP($D$3-(IF((Character!$B$9+W1047)&gt;($D$3+Y1047),(Character!$B$9+W1047)-($D$3+Y1047),0)),Calcs!$A$110:$C$122,3,TRUE))))</f>
        <v xml:space="preserve"> </v>
      </c>
      <c r="AC1047" s="489"/>
      <c r="AD1047" s="489" t="str">
        <f>IF(IF(AA1047=" "," ",IF(NOT(ISBLANK(X1047)),VLOOKUP($D$3+X1047,Calcs!$A$110:$B$122,2,TRUE),IF(AA1047="Failed",VLOOKUP($D$3,Calcs!$A$110:$B$122,2,TRUE),VLOOKUP($D$3-(IF((Character!$B$9+W1047)&gt;($D$3+Y1047),(Character!$B$9+W1047)-($D$3+Y1047),0)),Calcs!$A$110:$B$122,2,TRUE))))=Calcs!$B$120,IF(ISBLANK(AC1047)," ",CONCATENATE(AC1047+7," Years")),IF(AA1047=" "," ",IF(NOT(ISBLANK(X1047)),VLOOKUP($D$3+X1047,Calcs!$A$110:$B$122,2,TRUE),IF(AA1047="Failed",VLOOKUP($D$3,Calcs!$A$110:$B$122,2,TRUE),VLOOKUP($D$3-(IF((Character!$B$9+W1047)&gt;($D$3+Y1047),(Character!$B$9+W1047)-($D$3+Y1047),0)),Calcs!$A$110:$B$122,2,TRUE)))))</f>
        <v xml:space="preserve"> </v>
      </c>
      <c r="AE1047" s="490"/>
      <c r="AF1047" s="879"/>
      <c r="AG1047" s="491"/>
    </row>
    <row r="1048" spans="1:33" x14ac:dyDescent="0.2">
      <c r="A1048" s="415">
        <f t="shared" si="30"/>
        <v>1472</v>
      </c>
      <c r="B1048" s="419" t="str">
        <f t="shared" si="31"/>
        <v>Winter</v>
      </c>
      <c r="C1048" s="455"/>
      <c r="D1048" s="504"/>
      <c r="E1048" s="455"/>
      <c r="F1048" s="504"/>
      <c r="G1048" s="455"/>
      <c r="H1048" s="504"/>
      <c r="I1048" s="455"/>
      <c r="J1048" s="504"/>
      <c r="L1048" s="472"/>
      <c r="M1048" s="468"/>
      <c r="N1048" s="468"/>
      <c r="O1048" s="468"/>
      <c r="P1048" s="468"/>
      <c r="Q1048" s="473"/>
      <c r="R1048" s="477" t="str">
        <f>IF(AND(COUNTIF('Start Character'!$I$63:$M$77,"Twilight Prone")=1,NOT(ISERROR(FIND("Magical Botch",M1048)))),"Yes",IF(P1048&gt;1,"Yes","No"))</f>
        <v>No</v>
      </c>
      <c r="S1048" s="501"/>
      <c r="T1048" s="478"/>
      <c r="U1048" s="501"/>
      <c r="V1048" s="479" t="str">
        <f>IF(R1048="No","No Twilight",IF(T1048="Yes","Uncomprehended Twilight",IF((Character!$B$14+IF(Character!$B$53="Yes",0,Character!$B$53)+IF(Magic!$C$5="Yes",2,0)+ROUNDUP((Magic!$B$30+IF(Magic!$C$30="Yes",3,0))/5,0)+S1048)&gt;=($D$3+P1048+SUMIF(Character!$I$62:$I$66,"Enigmatic Wisdom",Character!$J$62:$J$66)+Q1048+U1048),"No Twilight","Twilight")))</f>
        <v>No Twilight</v>
      </c>
      <c r="W1048" s="483"/>
      <c r="X1048" s="478"/>
      <c r="Y1048" s="484"/>
      <c r="Z1048" s="478"/>
      <c r="AA1048" s="485" t="str">
        <f>IF(V1048="Uncomprehended Twilight","Failed",IF(OR(ISBLANK(W1048),ISBLANK(Y1048))," ",IF(NOT(ISBLANK(X1048)),"Failed",IF((W1048+Character!$B$9+SUMIF(Character!$I$62:$I$66,"Enigmatic Wisdom",Character!$J$62:$J$66))&gt;=IF(Z1048="Yes",0,(Y1048+D1043)),"Succeeded","Failed"))))</f>
        <v xml:space="preserve"> </v>
      </c>
      <c r="AB1048" s="477" t="str">
        <f>IF(AA1048=" "," ",IF(NOT(ISBLANK(X1048)),VLOOKUP($D$3+X1048,Calcs!$A$110:$C$122,3,TRUE),IF(AA1048="Failed",VLOOKUP($D$3,Calcs!$A$110:$C$122,3,TRUE),VLOOKUP($D$3-(IF((Character!$B$9+W1048)&gt;($D$3+Y1048),(Character!$B$9+W1048)-($D$3+Y1048),0)),Calcs!$A$110:$C$122,3,TRUE))))</f>
        <v xml:space="preserve"> </v>
      </c>
      <c r="AC1048" s="489"/>
      <c r="AD1048" s="489" t="str">
        <f>IF(IF(AA1048=" "," ",IF(NOT(ISBLANK(X1048)),VLOOKUP($D$3+X1048,Calcs!$A$110:$B$122,2,TRUE),IF(AA1048="Failed",VLOOKUP($D$3,Calcs!$A$110:$B$122,2,TRUE),VLOOKUP($D$3-(IF((Character!$B$9+W1048)&gt;($D$3+Y1048),(Character!$B$9+W1048)-($D$3+Y1048),0)),Calcs!$A$110:$B$122,2,TRUE))))=Calcs!$B$120,IF(ISBLANK(AC1048)," ",CONCATENATE(AC1048+7," Years")),IF(AA1048=" "," ",IF(NOT(ISBLANK(X1048)),VLOOKUP($D$3+X1048,Calcs!$A$110:$B$122,2,TRUE),IF(AA1048="Failed",VLOOKUP($D$3,Calcs!$A$110:$B$122,2,TRUE),VLOOKUP($D$3-(IF((Character!$B$9+W1048)&gt;($D$3+Y1048),(Character!$B$9+W1048)-($D$3+Y1048),0)),Calcs!$A$110:$B$122,2,TRUE)))))</f>
        <v xml:space="preserve"> </v>
      </c>
      <c r="AE1048" s="490"/>
      <c r="AF1048" s="879"/>
      <c r="AG1048" s="491"/>
    </row>
    <row r="1049" spans="1:33" x14ac:dyDescent="0.2">
      <c r="A1049" s="415">
        <f t="shared" si="30"/>
        <v>1472</v>
      </c>
      <c r="B1049" s="419" t="str">
        <f t="shared" si="31"/>
        <v>Spring</v>
      </c>
      <c r="C1049" s="455"/>
      <c r="D1049" s="504"/>
      <c r="E1049" s="455"/>
      <c r="F1049" s="504"/>
      <c r="G1049" s="455"/>
      <c r="H1049" s="504"/>
      <c r="I1049" s="455"/>
      <c r="J1049" s="504"/>
      <c r="L1049" s="472"/>
      <c r="M1049" s="468"/>
      <c r="N1049" s="468"/>
      <c r="O1049" s="468"/>
      <c r="P1049" s="468"/>
      <c r="Q1049" s="473"/>
      <c r="R1049" s="477" t="str">
        <f>IF(AND(COUNTIF('Start Character'!$I$63:$M$77,"Twilight Prone")=1,NOT(ISERROR(FIND("Magical Botch",M1049)))),"Yes",IF(P1049&gt;1,"Yes","No"))</f>
        <v>No</v>
      </c>
      <c r="S1049" s="501"/>
      <c r="T1049" s="478"/>
      <c r="U1049" s="501"/>
      <c r="V1049" s="479" t="str">
        <f>IF(R1049="No","No Twilight",IF(T1049="Yes","Uncomprehended Twilight",IF((Character!$B$14+IF(Character!$B$53="Yes",0,Character!$B$53)+IF(Magic!$C$5="Yes",2,0)+ROUNDUP((Magic!$B$30+IF(Magic!$C$30="Yes",3,0))/5,0)+S1049)&gt;=($D$3+P1049+SUMIF(Character!$I$62:$I$66,"Enigmatic Wisdom",Character!$J$62:$J$66)+Q1049+U1049),"No Twilight","Twilight")))</f>
        <v>No Twilight</v>
      </c>
      <c r="W1049" s="483"/>
      <c r="X1049" s="478"/>
      <c r="Y1049" s="484"/>
      <c r="Z1049" s="478"/>
      <c r="AA1049" s="485" t="str">
        <f>IF(V1049="Uncomprehended Twilight","Failed",IF(OR(ISBLANK(W1049),ISBLANK(Y1049))," ",IF(NOT(ISBLANK(X1049)),"Failed",IF((W1049+Character!$B$9+SUMIF(Character!$I$62:$I$66,"Enigmatic Wisdom",Character!$J$62:$J$66))&gt;=IF(Z1049="Yes",0,(Y1049+D1044)),"Succeeded","Failed"))))</f>
        <v xml:space="preserve"> </v>
      </c>
      <c r="AB1049" s="477" t="str">
        <f>IF(AA1049=" "," ",IF(NOT(ISBLANK(X1049)),VLOOKUP($D$3+X1049,Calcs!$A$110:$C$122,3,TRUE),IF(AA1049="Failed",VLOOKUP($D$3,Calcs!$A$110:$C$122,3,TRUE),VLOOKUP($D$3-(IF((Character!$B$9+W1049)&gt;($D$3+Y1049),(Character!$B$9+W1049)-($D$3+Y1049),0)),Calcs!$A$110:$C$122,3,TRUE))))</f>
        <v xml:space="preserve"> </v>
      </c>
      <c r="AC1049" s="489"/>
      <c r="AD1049" s="489" t="str">
        <f>IF(IF(AA1049=" "," ",IF(NOT(ISBLANK(X1049)),VLOOKUP($D$3+X1049,Calcs!$A$110:$B$122,2,TRUE),IF(AA1049="Failed",VLOOKUP($D$3,Calcs!$A$110:$B$122,2,TRUE),VLOOKUP($D$3-(IF((Character!$B$9+W1049)&gt;($D$3+Y1049),(Character!$B$9+W1049)-($D$3+Y1049),0)),Calcs!$A$110:$B$122,2,TRUE))))=Calcs!$B$120,IF(ISBLANK(AC1049)," ",CONCATENATE(AC1049+7," Years")),IF(AA1049=" "," ",IF(NOT(ISBLANK(X1049)),VLOOKUP($D$3+X1049,Calcs!$A$110:$B$122,2,TRUE),IF(AA1049="Failed",VLOOKUP($D$3,Calcs!$A$110:$B$122,2,TRUE),VLOOKUP($D$3-(IF((Character!$B$9+W1049)&gt;($D$3+Y1049),(Character!$B$9+W1049)-($D$3+Y1049),0)),Calcs!$A$110:$B$122,2,TRUE)))))</f>
        <v xml:space="preserve"> </v>
      </c>
      <c r="AE1049" s="490"/>
      <c r="AF1049" s="879"/>
      <c r="AG1049" s="491"/>
    </row>
    <row r="1050" spans="1:33" x14ac:dyDescent="0.2">
      <c r="A1050" s="415">
        <f t="shared" si="30"/>
        <v>1472</v>
      </c>
      <c r="B1050" s="419" t="str">
        <f t="shared" si="31"/>
        <v>Summer</v>
      </c>
      <c r="C1050" s="455"/>
      <c r="D1050" s="504"/>
      <c r="E1050" s="455"/>
      <c r="F1050" s="504"/>
      <c r="G1050" s="455"/>
      <c r="H1050" s="504"/>
      <c r="I1050" s="455"/>
      <c r="J1050" s="504"/>
      <c r="L1050" s="472"/>
      <c r="M1050" s="468"/>
      <c r="N1050" s="468"/>
      <c r="O1050" s="468"/>
      <c r="P1050" s="468"/>
      <c r="Q1050" s="473"/>
      <c r="R1050" s="477" t="str">
        <f>IF(AND(COUNTIF('Start Character'!$I$63:$M$77,"Twilight Prone")=1,NOT(ISERROR(FIND("Magical Botch",M1050)))),"Yes",IF(P1050&gt;1,"Yes","No"))</f>
        <v>No</v>
      </c>
      <c r="S1050" s="501"/>
      <c r="T1050" s="478"/>
      <c r="U1050" s="501"/>
      <c r="V1050" s="479" t="str">
        <f>IF(R1050="No","No Twilight",IF(T1050="Yes","Uncomprehended Twilight",IF((Character!$B$14+IF(Character!$B$53="Yes",0,Character!$B$53)+IF(Magic!$C$5="Yes",2,0)+ROUNDUP((Magic!$B$30+IF(Magic!$C$30="Yes",3,0))/5,0)+S1050)&gt;=($D$3+P1050+SUMIF(Character!$I$62:$I$66,"Enigmatic Wisdom",Character!$J$62:$J$66)+Q1050+U1050),"No Twilight","Twilight")))</f>
        <v>No Twilight</v>
      </c>
      <c r="W1050" s="483"/>
      <c r="X1050" s="478"/>
      <c r="Y1050" s="484"/>
      <c r="Z1050" s="478"/>
      <c r="AA1050" s="485" t="str">
        <f>IF(V1050="Uncomprehended Twilight","Failed",IF(OR(ISBLANK(W1050),ISBLANK(Y1050))," ",IF(NOT(ISBLANK(X1050)),"Failed",IF((W1050+Character!$B$9+SUMIF(Character!$I$62:$I$66,"Enigmatic Wisdom",Character!$J$62:$J$66))&gt;=IF(Z1050="Yes",0,(Y1050+D1045)),"Succeeded","Failed"))))</f>
        <v xml:space="preserve"> </v>
      </c>
      <c r="AB1050" s="477" t="str">
        <f>IF(AA1050=" "," ",IF(NOT(ISBLANK(X1050)),VLOOKUP($D$3+X1050,Calcs!$A$110:$C$122,3,TRUE),IF(AA1050="Failed",VLOOKUP($D$3,Calcs!$A$110:$C$122,3,TRUE),VLOOKUP($D$3-(IF((Character!$B$9+W1050)&gt;($D$3+Y1050),(Character!$B$9+W1050)-($D$3+Y1050),0)),Calcs!$A$110:$C$122,3,TRUE))))</f>
        <v xml:space="preserve"> </v>
      </c>
      <c r="AC1050" s="489"/>
      <c r="AD1050" s="489" t="str">
        <f>IF(IF(AA1050=" "," ",IF(NOT(ISBLANK(X1050)),VLOOKUP($D$3+X1050,Calcs!$A$110:$B$122,2,TRUE),IF(AA1050="Failed",VLOOKUP($D$3,Calcs!$A$110:$B$122,2,TRUE),VLOOKUP($D$3-(IF((Character!$B$9+W1050)&gt;($D$3+Y1050),(Character!$B$9+W1050)-($D$3+Y1050),0)),Calcs!$A$110:$B$122,2,TRUE))))=Calcs!$B$120,IF(ISBLANK(AC1050)," ",CONCATENATE(AC1050+7," Years")),IF(AA1050=" "," ",IF(NOT(ISBLANK(X1050)),VLOOKUP($D$3+X1050,Calcs!$A$110:$B$122,2,TRUE),IF(AA1050="Failed",VLOOKUP($D$3,Calcs!$A$110:$B$122,2,TRUE),VLOOKUP($D$3-(IF((Character!$B$9+W1050)&gt;($D$3+Y1050),(Character!$B$9+W1050)-($D$3+Y1050),0)),Calcs!$A$110:$B$122,2,TRUE)))))</f>
        <v xml:space="preserve"> </v>
      </c>
      <c r="AE1050" s="490"/>
      <c r="AF1050" s="879"/>
      <c r="AG1050" s="491"/>
    </row>
    <row r="1051" spans="1:33" x14ac:dyDescent="0.2">
      <c r="A1051" s="415">
        <f t="shared" si="30"/>
        <v>1472</v>
      </c>
      <c r="B1051" s="419" t="str">
        <f t="shared" si="31"/>
        <v>Autumn</v>
      </c>
      <c r="C1051" s="455"/>
      <c r="D1051" s="504"/>
      <c r="E1051" s="455"/>
      <c r="F1051" s="504"/>
      <c r="G1051" s="455"/>
      <c r="H1051" s="504"/>
      <c r="I1051" s="455"/>
      <c r="J1051" s="504"/>
      <c r="L1051" s="472"/>
      <c r="M1051" s="468"/>
      <c r="N1051" s="468"/>
      <c r="O1051" s="468"/>
      <c r="P1051" s="468"/>
      <c r="Q1051" s="473"/>
      <c r="R1051" s="477" t="str">
        <f>IF(AND(COUNTIF('Start Character'!$I$63:$M$77,"Twilight Prone")=1,NOT(ISERROR(FIND("Magical Botch",M1051)))),"Yes",IF(P1051&gt;1,"Yes","No"))</f>
        <v>No</v>
      </c>
      <c r="S1051" s="501"/>
      <c r="T1051" s="478"/>
      <c r="U1051" s="501"/>
      <c r="V1051" s="479" t="str">
        <f>IF(R1051="No","No Twilight",IF(T1051="Yes","Uncomprehended Twilight",IF((Character!$B$14+IF(Character!$B$53="Yes",0,Character!$B$53)+IF(Magic!$C$5="Yes",2,0)+ROUNDUP((Magic!$B$30+IF(Magic!$C$30="Yes",3,0))/5,0)+S1051)&gt;=($D$3+P1051+SUMIF(Character!$I$62:$I$66,"Enigmatic Wisdom",Character!$J$62:$J$66)+Q1051+U1051),"No Twilight","Twilight")))</f>
        <v>No Twilight</v>
      </c>
      <c r="W1051" s="483"/>
      <c r="X1051" s="478"/>
      <c r="Y1051" s="484"/>
      <c r="Z1051" s="478"/>
      <c r="AA1051" s="485" t="str">
        <f>IF(V1051="Uncomprehended Twilight","Failed",IF(OR(ISBLANK(W1051),ISBLANK(Y1051))," ",IF(NOT(ISBLANK(X1051)),"Failed",IF((W1051+Character!$B$9+SUMIF(Character!$I$62:$I$66,"Enigmatic Wisdom",Character!$J$62:$J$66))&gt;=IF(Z1051="Yes",0,(Y1051+D1046)),"Succeeded","Failed"))))</f>
        <v xml:space="preserve"> </v>
      </c>
      <c r="AB1051" s="477" t="str">
        <f>IF(AA1051=" "," ",IF(NOT(ISBLANK(X1051)),VLOOKUP($D$3+X1051,Calcs!$A$110:$C$122,3,TRUE),IF(AA1051="Failed",VLOOKUP($D$3,Calcs!$A$110:$C$122,3,TRUE),VLOOKUP($D$3-(IF((Character!$B$9+W1051)&gt;($D$3+Y1051),(Character!$B$9+W1051)-($D$3+Y1051),0)),Calcs!$A$110:$C$122,3,TRUE))))</f>
        <v xml:space="preserve"> </v>
      </c>
      <c r="AC1051" s="489"/>
      <c r="AD1051" s="489" t="str">
        <f>IF(IF(AA1051=" "," ",IF(NOT(ISBLANK(X1051)),VLOOKUP($D$3+X1051,Calcs!$A$110:$B$122,2,TRUE),IF(AA1051="Failed",VLOOKUP($D$3,Calcs!$A$110:$B$122,2,TRUE),VLOOKUP($D$3-(IF((Character!$B$9+W1051)&gt;($D$3+Y1051),(Character!$B$9+W1051)-($D$3+Y1051),0)),Calcs!$A$110:$B$122,2,TRUE))))=Calcs!$B$120,IF(ISBLANK(AC1051)," ",CONCATENATE(AC1051+7," Years")),IF(AA1051=" "," ",IF(NOT(ISBLANK(X1051)),VLOOKUP($D$3+X1051,Calcs!$A$110:$B$122,2,TRUE),IF(AA1051="Failed",VLOOKUP($D$3,Calcs!$A$110:$B$122,2,TRUE),VLOOKUP($D$3-(IF((Character!$B$9+W1051)&gt;($D$3+Y1051),(Character!$B$9+W1051)-($D$3+Y1051),0)),Calcs!$A$110:$B$122,2,TRUE)))))</f>
        <v xml:space="preserve"> </v>
      </c>
      <c r="AE1051" s="490"/>
      <c r="AF1051" s="879"/>
      <c r="AG1051" s="491"/>
    </row>
    <row r="1052" spans="1:33" x14ac:dyDescent="0.2">
      <c r="A1052" s="415">
        <f t="shared" si="30"/>
        <v>1473</v>
      </c>
      <c r="B1052" s="419" t="str">
        <f t="shared" si="31"/>
        <v>Winter</v>
      </c>
      <c r="C1052" s="455"/>
      <c r="D1052" s="504"/>
      <c r="E1052" s="455"/>
      <c r="F1052" s="504"/>
      <c r="G1052" s="455"/>
      <c r="H1052" s="504"/>
      <c r="I1052" s="455"/>
      <c r="J1052" s="504"/>
      <c r="L1052" s="472"/>
      <c r="M1052" s="468"/>
      <c r="N1052" s="468"/>
      <c r="O1052" s="468"/>
      <c r="P1052" s="468"/>
      <c r="Q1052" s="473"/>
      <c r="R1052" s="477" t="str">
        <f>IF(AND(COUNTIF('Start Character'!$I$63:$M$77,"Twilight Prone")=1,NOT(ISERROR(FIND("Magical Botch",M1052)))),"Yes",IF(P1052&gt;1,"Yes","No"))</f>
        <v>No</v>
      </c>
      <c r="S1052" s="501"/>
      <c r="T1052" s="478"/>
      <c r="U1052" s="501"/>
      <c r="V1052" s="479" t="str">
        <f>IF(R1052="No","No Twilight",IF(T1052="Yes","Uncomprehended Twilight",IF((Character!$B$14+IF(Character!$B$53="Yes",0,Character!$B$53)+IF(Magic!$C$5="Yes",2,0)+ROUNDUP((Magic!$B$30+IF(Magic!$C$30="Yes",3,0))/5,0)+S1052)&gt;=($D$3+P1052+SUMIF(Character!$I$62:$I$66,"Enigmatic Wisdom",Character!$J$62:$J$66)+Q1052+U1052),"No Twilight","Twilight")))</f>
        <v>No Twilight</v>
      </c>
      <c r="W1052" s="483"/>
      <c r="X1052" s="478"/>
      <c r="Y1052" s="484"/>
      <c r="Z1052" s="478"/>
      <c r="AA1052" s="485" t="str">
        <f>IF(V1052="Uncomprehended Twilight","Failed",IF(OR(ISBLANK(W1052),ISBLANK(Y1052))," ",IF(NOT(ISBLANK(X1052)),"Failed",IF((W1052+Character!$B$9+SUMIF(Character!$I$62:$I$66,"Enigmatic Wisdom",Character!$J$62:$J$66))&gt;=IF(Z1052="Yes",0,(Y1052+D1047)),"Succeeded","Failed"))))</f>
        <v xml:space="preserve"> </v>
      </c>
      <c r="AB1052" s="477" t="str">
        <f>IF(AA1052=" "," ",IF(NOT(ISBLANK(X1052)),VLOOKUP($D$3+X1052,Calcs!$A$110:$C$122,3,TRUE),IF(AA1052="Failed",VLOOKUP($D$3,Calcs!$A$110:$C$122,3,TRUE),VLOOKUP($D$3-(IF((Character!$B$9+W1052)&gt;($D$3+Y1052),(Character!$B$9+W1052)-($D$3+Y1052),0)),Calcs!$A$110:$C$122,3,TRUE))))</f>
        <v xml:space="preserve"> </v>
      </c>
      <c r="AC1052" s="489"/>
      <c r="AD1052" s="489" t="str">
        <f>IF(IF(AA1052=" "," ",IF(NOT(ISBLANK(X1052)),VLOOKUP($D$3+X1052,Calcs!$A$110:$B$122,2,TRUE),IF(AA1052="Failed",VLOOKUP($D$3,Calcs!$A$110:$B$122,2,TRUE),VLOOKUP($D$3-(IF((Character!$B$9+W1052)&gt;($D$3+Y1052),(Character!$B$9+W1052)-($D$3+Y1052),0)),Calcs!$A$110:$B$122,2,TRUE))))=Calcs!$B$120,IF(ISBLANK(AC1052)," ",CONCATENATE(AC1052+7," Years")),IF(AA1052=" "," ",IF(NOT(ISBLANK(X1052)),VLOOKUP($D$3+X1052,Calcs!$A$110:$B$122,2,TRUE),IF(AA1052="Failed",VLOOKUP($D$3,Calcs!$A$110:$B$122,2,TRUE),VLOOKUP($D$3-(IF((Character!$B$9+W1052)&gt;($D$3+Y1052),(Character!$B$9+W1052)-($D$3+Y1052),0)),Calcs!$A$110:$B$122,2,TRUE)))))</f>
        <v xml:space="preserve"> </v>
      </c>
      <c r="AE1052" s="490"/>
      <c r="AF1052" s="879"/>
      <c r="AG1052" s="491"/>
    </row>
    <row r="1053" spans="1:33" x14ac:dyDescent="0.2">
      <c r="A1053" s="415">
        <f t="shared" ref="A1053:A1116" si="32">IF(B1052="Autumn",A1052+1,A1052)</f>
        <v>1473</v>
      </c>
      <c r="B1053" s="419" t="str">
        <f t="shared" ref="B1053:B1116" si="33">IF(B1052="spring","Summer",IF(B1052="Summer","Autumn",IF(B1052="Autumn","Winter",IF(B1052="Winter","Spring"," "))))</f>
        <v>Spring</v>
      </c>
      <c r="C1053" s="455"/>
      <c r="D1053" s="504"/>
      <c r="E1053" s="455"/>
      <c r="F1053" s="504"/>
      <c r="G1053" s="455"/>
      <c r="H1053" s="504"/>
      <c r="I1053" s="455"/>
      <c r="J1053" s="504"/>
      <c r="L1053" s="472"/>
      <c r="M1053" s="468"/>
      <c r="N1053" s="468"/>
      <c r="O1053" s="468"/>
      <c r="P1053" s="468"/>
      <c r="Q1053" s="473"/>
      <c r="R1053" s="477" t="str">
        <f>IF(AND(COUNTIF('Start Character'!$I$63:$M$77,"Twilight Prone")=1,NOT(ISERROR(FIND("Magical Botch",M1053)))),"Yes",IF(P1053&gt;1,"Yes","No"))</f>
        <v>No</v>
      </c>
      <c r="S1053" s="501"/>
      <c r="T1053" s="478"/>
      <c r="U1053" s="501"/>
      <c r="V1053" s="479" t="str">
        <f>IF(R1053="No","No Twilight",IF(T1053="Yes","Uncomprehended Twilight",IF((Character!$B$14+IF(Character!$B$53="Yes",0,Character!$B$53)+IF(Magic!$C$5="Yes",2,0)+ROUNDUP((Magic!$B$30+IF(Magic!$C$30="Yes",3,0))/5,0)+S1053)&gt;=($D$3+P1053+SUMIF(Character!$I$62:$I$66,"Enigmatic Wisdom",Character!$J$62:$J$66)+Q1053+U1053),"No Twilight","Twilight")))</f>
        <v>No Twilight</v>
      </c>
      <c r="W1053" s="483"/>
      <c r="X1053" s="478"/>
      <c r="Y1053" s="484"/>
      <c r="Z1053" s="478"/>
      <c r="AA1053" s="485" t="str">
        <f>IF(V1053="Uncomprehended Twilight","Failed",IF(OR(ISBLANK(W1053),ISBLANK(Y1053))," ",IF(NOT(ISBLANK(X1053)),"Failed",IF((W1053+Character!$B$9+SUMIF(Character!$I$62:$I$66,"Enigmatic Wisdom",Character!$J$62:$J$66))&gt;=IF(Z1053="Yes",0,(Y1053+D1048)),"Succeeded","Failed"))))</f>
        <v xml:space="preserve"> </v>
      </c>
      <c r="AB1053" s="477" t="str">
        <f>IF(AA1053=" "," ",IF(NOT(ISBLANK(X1053)),VLOOKUP($D$3+X1053,Calcs!$A$110:$C$122,3,TRUE),IF(AA1053="Failed",VLOOKUP($D$3,Calcs!$A$110:$C$122,3,TRUE),VLOOKUP($D$3-(IF((Character!$B$9+W1053)&gt;($D$3+Y1053),(Character!$B$9+W1053)-($D$3+Y1053),0)),Calcs!$A$110:$C$122,3,TRUE))))</f>
        <v xml:space="preserve"> </v>
      </c>
      <c r="AC1053" s="489"/>
      <c r="AD1053" s="489" t="str">
        <f>IF(IF(AA1053=" "," ",IF(NOT(ISBLANK(X1053)),VLOOKUP($D$3+X1053,Calcs!$A$110:$B$122,2,TRUE),IF(AA1053="Failed",VLOOKUP($D$3,Calcs!$A$110:$B$122,2,TRUE),VLOOKUP($D$3-(IF((Character!$B$9+W1053)&gt;($D$3+Y1053),(Character!$B$9+W1053)-($D$3+Y1053),0)),Calcs!$A$110:$B$122,2,TRUE))))=Calcs!$B$120,IF(ISBLANK(AC1053)," ",CONCATENATE(AC1053+7," Years")),IF(AA1053=" "," ",IF(NOT(ISBLANK(X1053)),VLOOKUP($D$3+X1053,Calcs!$A$110:$B$122,2,TRUE),IF(AA1053="Failed",VLOOKUP($D$3,Calcs!$A$110:$B$122,2,TRUE),VLOOKUP($D$3-(IF((Character!$B$9+W1053)&gt;($D$3+Y1053),(Character!$B$9+W1053)-($D$3+Y1053),0)),Calcs!$A$110:$B$122,2,TRUE)))))</f>
        <v xml:space="preserve"> </v>
      </c>
      <c r="AE1053" s="490"/>
      <c r="AF1053" s="879"/>
      <c r="AG1053" s="491"/>
    </row>
    <row r="1054" spans="1:33" x14ac:dyDescent="0.2">
      <c r="A1054" s="415">
        <f t="shared" si="32"/>
        <v>1473</v>
      </c>
      <c r="B1054" s="419" t="str">
        <f t="shared" si="33"/>
        <v>Summer</v>
      </c>
      <c r="C1054" s="455"/>
      <c r="D1054" s="504"/>
      <c r="E1054" s="455"/>
      <c r="F1054" s="504"/>
      <c r="G1054" s="455"/>
      <c r="H1054" s="504"/>
      <c r="I1054" s="455"/>
      <c r="J1054" s="504"/>
      <c r="L1054" s="472"/>
      <c r="M1054" s="468"/>
      <c r="N1054" s="468"/>
      <c r="O1054" s="468"/>
      <c r="P1054" s="468"/>
      <c r="Q1054" s="473"/>
      <c r="R1054" s="477" t="str">
        <f>IF(AND(COUNTIF('Start Character'!$I$63:$M$77,"Twilight Prone")=1,NOT(ISERROR(FIND("Magical Botch",M1054)))),"Yes",IF(P1054&gt;1,"Yes","No"))</f>
        <v>No</v>
      </c>
      <c r="S1054" s="501"/>
      <c r="T1054" s="478"/>
      <c r="U1054" s="501"/>
      <c r="V1054" s="479" t="str">
        <f>IF(R1054="No","No Twilight",IF(T1054="Yes","Uncomprehended Twilight",IF((Character!$B$14+IF(Character!$B$53="Yes",0,Character!$B$53)+IF(Magic!$C$5="Yes",2,0)+ROUNDUP((Magic!$B$30+IF(Magic!$C$30="Yes",3,0))/5,0)+S1054)&gt;=($D$3+P1054+SUMIF(Character!$I$62:$I$66,"Enigmatic Wisdom",Character!$J$62:$J$66)+Q1054+U1054),"No Twilight","Twilight")))</f>
        <v>No Twilight</v>
      </c>
      <c r="W1054" s="483"/>
      <c r="X1054" s="478"/>
      <c r="Y1054" s="484"/>
      <c r="Z1054" s="478"/>
      <c r="AA1054" s="485" t="str">
        <f>IF(V1054="Uncomprehended Twilight","Failed",IF(OR(ISBLANK(W1054),ISBLANK(Y1054))," ",IF(NOT(ISBLANK(X1054)),"Failed",IF((W1054+Character!$B$9+SUMIF(Character!$I$62:$I$66,"Enigmatic Wisdom",Character!$J$62:$J$66))&gt;=IF(Z1054="Yes",0,(Y1054+D1049)),"Succeeded","Failed"))))</f>
        <v xml:space="preserve"> </v>
      </c>
      <c r="AB1054" s="477" t="str">
        <f>IF(AA1054=" "," ",IF(NOT(ISBLANK(X1054)),VLOOKUP($D$3+X1054,Calcs!$A$110:$C$122,3,TRUE),IF(AA1054="Failed",VLOOKUP($D$3,Calcs!$A$110:$C$122,3,TRUE),VLOOKUP($D$3-(IF((Character!$B$9+W1054)&gt;($D$3+Y1054),(Character!$B$9+W1054)-($D$3+Y1054),0)),Calcs!$A$110:$C$122,3,TRUE))))</f>
        <v xml:space="preserve"> </v>
      </c>
      <c r="AC1054" s="489"/>
      <c r="AD1054" s="489" t="str">
        <f>IF(IF(AA1054=" "," ",IF(NOT(ISBLANK(X1054)),VLOOKUP($D$3+X1054,Calcs!$A$110:$B$122,2,TRUE),IF(AA1054="Failed",VLOOKUP($D$3,Calcs!$A$110:$B$122,2,TRUE),VLOOKUP($D$3-(IF((Character!$B$9+W1054)&gt;($D$3+Y1054),(Character!$B$9+W1054)-($D$3+Y1054),0)),Calcs!$A$110:$B$122,2,TRUE))))=Calcs!$B$120,IF(ISBLANK(AC1054)," ",CONCATENATE(AC1054+7," Years")),IF(AA1054=" "," ",IF(NOT(ISBLANK(X1054)),VLOOKUP($D$3+X1054,Calcs!$A$110:$B$122,2,TRUE),IF(AA1054="Failed",VLOOKUP($D$3,Calcs!$A$110:$B$122,2,TRUE),VLOOKUP($D$3-(IF((Character!$B$9+W1054)&gt;($D$3+Y1054),(Character!$B$9+W1054)-($D$3+Y1054),0)),Calcs!$A$110:$B$122,2,TRUE)))))</f>
        <v xml:space="preserve"> </v>
      </c>
      <c r="AE1054" s="490"/>
      <c r="AF1054" s="879"/>
      <c r="AG1054" s="491"/>
    </row>
    <row r="1055" spans="1:33" x14ac:dyDescent="0.2">
      <c r="A1055" s="415">
        <f t="shared" si="32"/>
        <v>1473</v>
      </c>
      <c r="B1055" s="419" t="str">
        <f t="shared" si="33"/>
        <v>Autumn</v>
      </c>
      <c r="C1055" s="455"/>
      <c r="D1055" s="504"/>
      <c r="E1055" s="455"/>
      <c r="F1055" s="504"/>
      <c r="G1055" s="455"/>
      <c r="H1055" s="504"/>
      <c r="I1055" s="455"/>
      <c r="J1055" s="504"/>
      <c r="L1055" s="472"/>
      <c r="M1055" s="468"/>
      <c r="N1055" s="468"/>
      <c r="O1055" s="468"/>
      <c r="P1055" s="468"/>
      <c r="Q1055" s="473"/>
      <c r="R1055" s="477" t="str">
        <f>IF(AND(COUNTIF('Start Character'!$I$63:$M$77,"Twilight Prone")=1,NOT(ISERROR(FIND("Magical Botch",M1055)))),"Yes",IF(P1055&gt;1,"Yes","No"))</f>
        <v>No</v>
      </c>
      <c r="S1055" s="501"/>
      <c r="T1055" s="478"/>
      <c r="U1055" s="501"/>
      <c r="V1055" s="479" t="str">
        <f>IF(R1055="No","No Twilight",IF(T1055="Yes","Uncomprehended Twilight",IF((Character!$B$14+IF(Character!$B$53="Yes",0,Character!$B$53)+IF(Magic!$C$5="Yes",2,0)+ROUNDUP((Magic!$B$30+IF(Magic!$C$30="Yes",3,0))/5,0)+S1055)&gt;=($D$3+P1055+SUMIF(Character!$I$62:$I$66,"Enigmatic Wisdom",Character!$J$62:$J$66)+Q1055+U1055),"No Twilight","Twilight")))</f>
        <v>No Twilight</v>
      </c>
      <c r="W1055" s="483"/>
      <c r="X1055" s="478"/>
      <c r="Y1055" s="484"/>
      <c r="Z1055" s="478"/>
      <c r="AA1055" s="485" t="str">
        <f>IF(V1055="Uncomprehended Twilight","Failed",IF(OR(ISBLANK(W1055),ISBLANK(Y1055))," ",IF(NOT(ISBLANK(X1055)),"Failed",IF((W1055+Character!$B$9+SUMIF(Character!$I$62:$I$66,"Enigmatic Wisdom",Character!$J$62:$J$66))&gt;=IF(Z1055="Yes",0,(Y1055+D1050)),"Succeeded","Failed"))))</f>
        <v xml:space="preserve"> </v>
      </c>
      <c r="AB1055" s="477" t="str">
        <f>IF(AA1055=" "," ",IF(NOT(ISBLANK(X1055)),VLOOKUP($D$3+X1055,Calcs!$A$110:$C$122,3,TRUE),IF(AA1055="Failed",VLOOKUP($D$3,Calcs!$A$110:$C$122,3,TRUE),VLOOKUP($D$3-(IF((Character!$B$9+W1055)&gt;($D$3+Y1055),(Character!$B$9+W1055)-($D$3+Y1055),0)),Calcs!$A$110:$C$122,3,TRUE))))</f>
        <v xml:space="preserve"> </v>
      </c>
      <c r="AC1055" s="489"/>
      <c r="AD1055" s="489" t="str">
        <f>IF(IF(AA1055=" "," ",IF(NOT(ISBLANK(X1055)),VLOOKUP($D$3+X1055,Calcs!$A$110:$B$122,2,TRUE),IF(AA1055="Failed",VLOOKUP($D$3,Calcs!$A$110:$B$122,2,TRUE),VLOOKUP($D$3-(IF((Character!$B$9+W1055)&gt;($D$3+Y1055),(Character!$B$9+W1055)-($D$3+Y1055),0)),Calcs!$A$110:$B$122,2,TRUE))))=Calcs!$B$120,IF(ISBLANK(AC1055)," ",CONCATENATE(AC1055+7," Years")),IF(AA1055=" "," ",IF(NOT(ISBLANK(X1055)),VLOOKUP($D$3+X1055,Calcs!$A$110:$B$122,2,TRUE),IF(AA1055="Failed",VLOOKUP($D$3,Calcs!$A$110:$B$122,2,TRUE),VLOOKUP($D$3-(IF((Character!$B$9+W1055)&gt;($D$3+Y1055),(Character!$B$9+W1055)-($D$3+Y1055),0)),Calcs!$A$110:$B$122,2,TRUE)))))</f>
        <v xml:space="preserve"> </v>
      </c>
      <c r="AE1055" s="490"/>
      <c r="AF1055" s="879"/>
      <c r="AG1055" s="491"/>
    </row>
    <row r="1056" spans="1:33" x14ac:dyDescent="0.2">
      <c r="A1056" s="415">
        <f t="shared" si="32"/>
        <v>1474</v>
      </c>
      <c r="B1056" s="419" t="str">
        <f t="shared" si="33"/>
        <v>Winter</v>
      </c>
      <c r="C1056" s="455"/>
      <c r="D1056" s="504"/>
      <c r="E1056" s="455"/>
      <c r="F1056" s="504"/>
      <c r="G1056" s="455"/>
      <c r="H1056" s="504"/>
      <c r="I1056" s="455"/>
      <c r="J1056" s="504"/>
      <c r="L1056" s="472"/>
      <c r="M1056" s="468"/>
      <c r="N1056" s="468"/>
      <c r="O1056" s="468"/>
      <c r="P1056" s="468"/>
      <c r="Q1056" s="473"/>
      <c r="R1056" s="477" t="str">
        <f>IF(AND(COUNTIF('Start Character'!$I$63:$M$77,"Twilight Prone")=1,NOT(ISERROR(FIND("Magical Botch",M1056)))),"Yes",IF(P1056&gt;1,"Yes","No"))</f>
        <v>No</v>
      </c>
      <c r="S1056" s="501"/>
      <c r="T1056" s="478"/>
      <c r="U1056" s="501"/>
      <c r="V1056" s="479" t="str">
        <f>IF(R1056="No","No Twilight",IF(T1056="Yes","Uncomprehended Twilight",IF((Character!$B$14+IF(Character!$B$53="Yes",0,Character!$B$53)+IF(Magic!$C$5="Yes",2,0)+ROUNDUP((Magic!$B$30+IF(Magic!$C$30="Yes",3,0))/5,0)+S1056)&gt;=($D$3+P1056+SUMIF(Character!$I$62:$I$66,"Enigmatic Wisdom",Character!$J$62:$J$66)+Q1056+U1056),"No Twilight","Twilight")))</f>
        <v>No Twilight</v>
      </c>
      <c r="W1056" s="483"/>
      <c r="X1056" s="478"/>
      <c r="Y1056" s="484"/>
      <c r="Z1056" s="478"/>
      <c r="AA1056" s="485" t="str">
        <f>IF(V1056="Uncomprehended Twilight","Failed",IF(OR(ISBLANK(W1056),ISBLANK(Y1056))," ",IF(NOT(ISBLANK(X1056)),"Failed",IF((W1056+Character!$B$9+SUMIF(Character!$I$62:$I$66,"Enigmatic Wisdom",Character!$J$62:$J$66))&gt;=IF(Z1056="Yes",0,(Y1056+D1051)),"Succeeded","Failed"))))</f>
        <v xml:space="preserve"> </v>
      </c>
      <c r="AB1056" s="477" t="str">
        <f>IF(AA1056=" "," ",IF(NOT(ISBLANK(X1056)),VLOOKUP($D$3+X1056,Calcs!$A$110:$C$122,3,TRUE),IF(AA1056="Failed",VLOOKUP($D$3,Calcs!$A$110:$C$122,3,TRUE),VLOOKUP($D$3-(IF((Character!$B$9+W1056)&gt;($D$3+Y1056),(Character!$B$9+W1056)-($D$3+Y1056),0)),Calcs!$A$110:$C$122,3,TRUE))))</f>
        <v xml:space="preserve"> </v>
      </c>
      <c r="AC1056" s="489"/>
      <c r="AD1056" s="489" t="str">
        <f>IF(IF(AA1056=" "," ",IF(NOT(ISBLANK(X1056)),VLOOKUP($D$3+X1056,Calcs!$A$110:$B$122,2,TRUE),IF(AA1056="Failed",VLOOKUP($D$3,Calcs!$A$110:$B$122,2,TRUE),VLOOKUP($D$3-(IF((Character!$B$9+W1056)&gt;($D$3+Y1056),(Character!$B$9+W1056)-($D$3+Y1056),0)),Calcs!$A$110:$B$122,2,TRUE))))=Calcs!$B$120,IF(ISBLANK(AC1056)," ",CONCATENATE(AC1056+7," Years")),IF(AA1056=" "," ",IF(NOT(ISBLANK(X1056)),VLOOKUP($D$3+X1056,Calcs!$A$110:$B$122,2,TRUE),IF(AA1056="Failed",VLOOKUP($D$3,Calcs!$A$110:$B$122,2,TRUE),VLOOKUP($D$3-(IF((Character!$B$9+W1056)&gt;($D$3+Y1056),(Character!$B$9+W1056)-($D$3+Y1056),0)),Calcs!$A$110:$B$122,2,TRUE)))))</f>
        <v xml:space="preserve"> </v>
      </c>
      <c r="AE1056" s="490"/>
      <c r="AF1056" s="879"/>
      <c r="AG1056" s="491"/>
    </row>
    <row r="1057" spans="1:33" x14ac:dyDescent="0.2">
      <c r="A1057" s="415">
        <f t="shared" si="32"/>
        <v>1474</v>
      </c>
      <c r="B1057" s="419" t="str">
        <f t="shared" si="33"/>
        <v>Spring</v>
      </c>
      <c r="C1057" s="455"/>
      <c r="D1057" s="504"/>
      <c r="E1057" s="455"/>
      <c r="F1057" s="504"/>
      <c r="G1057" s="455"/>
      <c r="H1057" s="504"/>
      <c r="I1057" s="455"/>
      <c r="J1057" s="504"/>
      <c r="L1057" s="472"/>
      <c r="M1057" s="468"/>
      <c r="N1057" s="468"/>
      <c r="O1057" s="468"/>
      <c r="P1057" s="468"/>
      <c r="Q1057" s="473"/>
      <c r="R1057" s="477" t="str">
        <f>IF(AND(COUNTIF('Start Character'!$I$63:$M$77,"Twilight Prone")=1,NOT(ISERROR(FIND("Magical Botch",M1057)))),"Yes",IF(P1057&gt;1,"Yes","No"))</f>
        <v>No</v>
      </c>
      <c r="S1057" s="501"/>
      <c r="T1057" s="478"/>
      <c r="U1057" s="501"/>
      <c r="V1057" s="479" t="str">
        <f>IF(R1057="No","No Twilight",IF(T1057="Yes","Uncomprehended Twilight",IF((Character!$B$14+IF(Character!$B$53="Yes",0,Character!$B$53)+IF(Magic!$C$5="Yes",2,0)+ROUNDUP((Magic!$B$30+IF(Magic!$C$30="Yes",3,0))/5,0)+S1057)&gt;=($D$3+P1057+SUMIF(Character!$I$62:$I$66,"Enigmatic Wisdom",Character!$J$62:$J$66)+Q1057+U1057),"No Twilight","Twilight")))</f>
        <v>No Twilight</v>
      </c>
      <c r="W1057" s="483"/>
      <c r="X1057" s="478"/>
      <c r="Y1057" s="484"/>
      <c r="Z1057" s="478"/>
      <c r="AA1057" s="485" t="str">
        <f>IF(V1057="Uncomprehended Twilight","Failed",IF(OR(ISBLANK(W1057),ISBLANK(Y1057))," ",IF(NOT(ISBLANK(X1057)),"Failed",IF((W1057+Character!$B$9+SUMIF(Character!$I$62:$I$66,"Enigmatic Wisdom",Character!$J$62:$J$66))&gt;=IF(Z1057="Yes",0,(Y1057+D1052)),"Succeeded","Failed"))))</f>
        <v xml:space="preserve"> </v>
      </c>
      <c r="AB1057" s="477" t="str">
        <f>IF(AA1057=" "," ",IF(NOT(ISBLANK(X1057)),VLOOKUP($D$3+X1057,Calcs!$A$110:$C$122,3,TRUE),IF(AA1057="Failed",VLOOKUP($D$3,Calcs!$A$110:$C$122,3,TRUE),VLOOKUP($D$3-(IF((Character!$B$9+W1057)&gt;($D$3+Y1057),(Character!$B$9+W1057)-($D$3+Y1057),0)),Calcs!$A$110:$C$122,3,TRUE))))</f>
        <v xml:space="preserve"> </v>
      </c>
      <c r="AC1057" s="489"/>
      <c r="AD1057" s="489" t="str">
        <f>IF(IF(AA1057=" "," ",IF(NOT(ISBLANK(X1057)),VLOOKUP($D$3+X1057,Calcs!$A$110:$B$122,2,TRUE),IF(AA1057="Failed",VLOOKUP($D$3,Calcs!$A$110:$B$122,2,TRUE),VLOOKUP($D$3-(IF((Character!$B$9+W1057)&gt;($D$3+Y1057),(Character!$B$9+W1057)-($D$3+Y1057),0)),Calcs!$A$110:$B$122,2,TRUE))))=Calcs!$B$120,IF(ISBLANK(AC1057)," ",CONCATENATE(AC1057+7," Years")),IF(AA1057=" "," ",IF(NOT(ISBLANK(X1057)),VLOOKUP($D$3+X1057,Calcs!$A$110:$B$122,2,TRUE),IF(AA1057="Failed",VLOOKUP($D$3,Calcs!$A$110:$B$122,2,TRUE),VLOOKUP($D$3-(IF((Character!$B$9+W1057)&gt;($D$3+Y1057),(Character!$B$9+W1057)-($D$3+Y1057),0)),Calcs!$A$110:$B$122,2,TRUE)))))</f>
        <v xml:space="preserve"> </v>
      </c>
      <c r="AE1057" s="490"/>
      <c r="AF1057" s="879"/>
      <c r="AG1057" s="491"/>
    </row>
    <row r="1058" spans="1:33" x14ac:dyDescent="0.2">
      <c r="A1058" s="415">
        <f t="shared" si="32"/>
        <v>1474</v>
      </c>
      <c r="B1058" s="419" t="str">
        <f t="shared" si="33"/>
        <v>Summer</v>
      </c>
      <c r="C1058" s="455"/>
      <c r="D1058" s="504"/>
      <c r="E1058" s="455"/>
      <c r="F1058" s="504"/>
      <c r="G1058" s="455"/>
      <c r="H1058" s="504"/>
      <c r="I1058" s="455"/>
      <c r="J1058" s="504"/>
      <c r="L1058" s="472"/>
      <c r="M1058" s="468"/>
      <c r="N1058" s="468"/>
      <c r="O1058" s="468"/>
      <c r="P1058" s="468"/>
      <c r="Q1058" s="473"/>
      <c r="R1058" s="477" t="str">
        <f>IF(AND(COUNTIF('Start Character'!$I$63:$M$77,"Twilight Prone")=1,NOT(ISERROR(FIND("Magical Botch",M1058)))),"Yes",IF(P1058&gt;1,"Yes","No"))</f>
        <v>No</v>
      </c>
      <c r="S1058" s="501"/>
      <c r="T1058" s="478"/>
      <c r="U1058" s="501"/>
      <c r="V1058" s="479" t="str">
        <f>IF(R1058="No","No Twilight",IF(T1058="Yes","Uncomprehended Twilight",IF((Character!$B$14+IF(Character!$B$53="Yes",0,Character!$B$53)+IF(Magic!$C$5="Yes",2,0)+ROUNDUP((Magic!$B$30+IF(Magic!$C$30="Yes",3,0))/5,0)+S1058)&gt;=($D$3+P1058+SUMIF(Character!$I$62:$I$66,"Enigmatic Wisdom",Character!$J$62:$J$66)+Q1058+U1058),"No Twilight","Twilight")))</f>
        <v>No Twilight</v>
      </c>
      <c r="W1058" s="483"/>
      <c r="X1058" s="478"/>
      <c r="Y1058" s="484"/>
      <c r="Z1058" s="478"/>
      <c r="AA1058" s="485" t="str">
        <f>IF(V1058="Uncomprehended Twilight","Failed",IF(OR(ISBLANK(W1058),ISBLANK(Y1058))," ",IF(NOT(ISBLANK(X1058)),"Failed",IF((W1058+Character!$B$9+SUMIF(Character!$I$62:$I$66,"Enigmatic Wisdom",Character!$J$62:$J$66))&gt;=IF(Z1058="Yes",0,(Y1058+D1053)),"Succeeded","Failed"))))</f>
        <v xml:space="preserve"> </v>
      </c>
      <c r="AB1058" s="477" t="str">
        <f>IF(AA1058=" "," ",IF(NOT(ISBLANK(X1058)),VLOOKUP($D$3+X1058,Calcs!$A$110:$C$122,3,TRUE),IF(AA1058="Failed",VLOOKUP($D$3,Calcs!$A$110:$C$122,3,TRUE),VLOOKUP($D$3-(IF((Character!$B$9+W1058)&gt;($D$3+Y1058),(Character!$B$9+W1058)-($D$3+Y1058),0)),Calcs!$A$110:$C$122,3,TRUE))))</f>
        <v xml:space="preserve"> </v>
      </c>
      <c r="AC1058" s="489"/>
      <c r="AD1058" s="489" t="str">
        <f>IF(IF(AA1058=" "," ",IF(NOT(ISBLANK(X1058)),VLOOKUP($D$3+X1058,Calcs!$A$110:$B$122,2,TRUE),IF(AA1058="Failed",VLOOKUP($D$3,Calcs!$A$110:$B$122,2,TRUE),VLOOKUP($D$3-(IF((Character!$B$9+W1058)&gt;($D$3+Y1058),(Character!$B$9+W1058)-($D$3+Y1058),0)),Calcs!$A$110:$B$122,2,TRUE))))=Calcs!$B$120,IF(ISBLANK(AC1058)," ",CONCATENATE(AC1058+7," Years")),IF(AA1058=" "," ",IF(NOT(ISBLANK(X1058)),VLOOKUP($D$3+X1058,Calcs!$A$110:$B$122,2,TRUE),IF(AA1058="Failed",VLOOKUP($D$3,Calcs!$A$110:$B$122,2,TRUE),VLOOKUP($D$3-(IF((Character!$B$9+W1058)&gt;($D$3+Y1058),(Character!$B$9+W1058)-($D$3+Y1058),0)),Calcs!$A$110:$B$122,2,TRUE)))))</f>
        <v xml:space="preserve"> </v>
      </c>
      <c r="AE1058" s="490"/>
      <c r="AF1058" s="879"/>
      <c r="AG1058" s="491"/>
    </row>
    <row r="1059" spans="1:33" x14ac:dyDescent="0.2">
      <c r="A1059" s="415">
        <f t="shared" si="32"/>
        <v>1474</v>
      </c>
      <c r="B1059" s="419" t="str">
        <f t="shared" si="33"/>
        <v>Autumn</v>
      </c>
      <c r="C1059" s="455"/>
      <c r="D1059" s="504"/>
      <c r="E1059" s="455"/>
      <c r="F1059" s="504"/>
      <c r="G1059" s="455"/>
      <c r="H1059" s="504"/>
      <c r="I1059" s="455"/>
      <c r="J1059" s="504"/>
      <c r="L1059" s="472"/>
      <c r="M1059" s="468"/>
      <c r="N1059" s="468"/>
      <c r="O1059" s="468"/>
      <c r="P1059" s="468"/>
      <c r="Q1059" s="473"/>
      <c r="R1059" s="477" t="str">
        <f>IF(AND(COUNTIF('Start Character'!$I$63:$M$77,"Twilight Prone")=1,NOT(ISERROR(FIND("Magical Botch",M1059)))),"Yes",IF(P1059&gt;1,"Yes","No"))</f>
        <v>No</v>
      </c>
      <c r="S1059" s="501"/>
      <c r="T1059" s="478"/>
      <c r="U1059" s="501"/>
      <c r="V1059" s="479" t="str">
        <f>IF(R1059="No","No Twilight",IF(T1059="Yes","Uncomprehended Twilight",IF((Character!$B$14+IF(Character!$B$53="Yes",0,Character!$B$53)+IF(Magic!$C$5="Yes",2,0)+ROUNDUP((Magic!$B$30+IF(Magic!$C$30="Yes",3,0))/5,0)+S1059)&gt;=($D$3+P1059+SUMIF(Character!$I$62:$I$66,"Enigmatic Wisdom",Character!$J$62:$J$66)+Q1059+U1059),"No Twilight","Twilight")))</f>
        <v>No Twilight</v>
      </c>
      <c r="W1059" s="483"/>
      <c r="X1059" s="478"/>
      <c r="Y1059" s="484"/>
      <c r="Z1059" s="478"/>
      <c r="AA1059" s="485" t="str">
        <f>IF(V1059="Uncomprehended Twilight","Failed",IF(OR(ISBLANK(W1059),ISBLANK(Y1059))," ",IF(NOT(ISBLANK(X1059)),"Failed",IF((W1059+Character!$B$9+SUMIF(Character!$I$62:$I$66,"Enigmatic Wisdom",Character!$J$62:$J$66))&gt;=IF(Z1059="Yes",0,(Y1059+D1054)),"Succeeded","Failed"))))</f>
        <v xml:space="preserve"> </v>
      </c>
      <c r="AB1059" s="477" t="str">
        <f>IF(AA1059=" "," ",IF(NOT(ISBLANK(X1059)),VLOOKUP($D$3+X1059,Calcs!$A$110:$C$122,3,TRUE),IF(AA1059="Failed",VLOOKUP($D$3,Calcs!$A$110:$C$122,3,TRUE),VLOOKUP($D$3-(IF((Character!$B$9+W1059)&gt;($D$3+Y1059),(Character!$B$9+W1059)-($D$3+Y1059),0)),Calcs!$A$110:$C$122,3,TRUE))))</f>
        <v xml:space="preserve"> </v>
      </c>
      <c r="AC1059" s="489"/>
      <c r="AD1059" s="489" t="str">
        <f>IF(IF(AA1059=" "," ",IF(NOT(ISBLANK(X1059)),VLOOKUP($D$3+X1059,Calcs!$A$110:$B$122,2,TRUE),IF(AA1059="Failed",VLOOKUP($D$3,Calcs!$A$110:$B$122,2,TRUE),VLOOKUP($D$3-(IF((Character!$B$9+W1059)&gt;($D$3+Y1059),(Character!$B$9+W1059)-($D$3+Y1059),0)),Calcs!$A$110:$B$122,2,TRUE))))=Calcs!$B$120,IF(ISBLANK(AC1059)," ",CONCATENATE(AC1059+7," Years")),IF(AA1059=" "," ",IF(NOT(ISBLANK(X1059)),VLOOKUP($D$3+X1059,Calcs!$A$110:$B$122,2,TRUE),IF(AA1059="Failed",VLOOKUP($D$3,Calcs!$A$110:$B$122,2,TRUE),VLOOKUP($D$3-(IF((Character!$B$9+W1059)&gt;($D$3+Y1059),(Character!$B$9+W1059)-($D$3+Y1059),0)),Calcs!$A$110:$B$122,2,TRUE)))))</f>
        <v xml:space="preserve"> </v>
      </c>
      <c r="AE1059" s="490"/>
      <c r="AF1059" s="879"/>
      <c r="AG1059" s="491"/>
    </row>
    <row r="1060" spans="1:33" x14ac:dyDescent="0.2">
      <c r="A1060" s="415">
        <f t="shared" si="32"/>
        <v>1475</v>
      </c>
      <c r="B1060" s="419" t="str">
        <f t="shared" si="33"/>
        <v>Winter</v>
      </c>
      <c r="C1060" s="455"/>
      <c r="D1060" s="504"/>
      <c r="E1060" s="455"/>
      <c r="F1060" s="504"/>
      <c r="G1060" s="455"/>
      <c r="H1060" s="504"/>
      <c r="I1060" s="455"/>
      <c r="J1060" s="504"/>
      <c r="L1060" s="472"/>
      <c r="M1060" s="468"/>
      <c r="N1060" s="468"/>
      <c r="O1060" s="468"/>
      <c r="P1060" s="468"/>
      <c r="Q1060" s="473"/>
      <c r="R1060" s="477" t="str">
        <f>IF(AND(COUNTIF('Start Character'!$I$63:$M$77,"Twilight Prone")=1,NOT(ISERROR(FIND("Magical Botch",M1060)))),"Yes",IF(P1060&gt;1,"Yes","No"))</f>
        <v>No</v>
      </c>
      <c r="S1060" s="501"/>
      <c r="T1060" s="478"/>
      <c r="U1060" s="501"/>
      <c r="V1060" s="479" t="str">
        <f>IF(R1060="No","No Twilight",IF(T1060="Yes","Uncomprehended Twilight",IF((Character!$B$14+IF(Character!$B$53="Yes",0,Character!$B$53)+IF(Magic!$C$5="Yes",2,0)+ROUNDUP((Magic!$B$30+IF(Magic!$C$30="Yes",3,0))/5,0)+S1060)&gt;=($D$3+P1060+SUMIF(Character!$I$62:$I$66,"Enigmatic Wisdom",Character!$J$62:$J$66)+Q1060+U1060),"No Twilight","Twilight")))</f>
        <v>No Twilight</v>
      </c>
      <c r="W1060" s="483"/>
      <c r="X1060" s="478"/>
      <c r="Y1060" s="484"/>
      <c r="Z1060" s="478"/>
      <c r="AA1060" s="485" t="str">
        <f>IF(V1060="Uncomprehended Twilight","Failed",IF(OR(ISBLANK(W1060),ISBLANK(Y1060))," ",IF(NOT(ISBLANK(X1060)),"Failed",IF((W1060+Character!$B$9+SUMIF(Character!$I$62:$I$66,"Enigmatic Wisdom",Character!$J$62:$J$66))&gt;=IF(Z1060="Yes",0,(Y1060+D1055)),"Succeeded","Failed"))))</f>
        <v xml:space="preserve"> </v>
      </c>
      <c r="AB1060" s="477" t="str">
        <f>IF(AA1060=" "," ",IF(NOT(ISBLANK(X1060)),VLOOKUP($D$3+X1060,Calcs!$A$110:$C$122,3,TRUE),IF(AA1060="Failed",VLOOKUP($D$3,Calcs!$A$110:$C$122,3,TRUE),VLOOKUP($D$3-(IF((Character!$B$9+W1060)&gt;($D$3+Y1060),(Character!$B$9+W1060)-($D$3+Y1060),0)),Calcs!$A$110:$C$122,3,TRUE))))</f>
        <v xml:space="preserve"> </v>
      </c>
      <c r="AC1060" s="489"/>
      <c r="AD1060" s="489" t="str">
        <f>IF(IF(AA1060=" "," ",IF(NOT(ISBLANK(X1060)),VLOOKUP($D$3+X1060,Calcs!$A$110:$B$122,2,TRUE),IF(AA1060="Failed",VLOOKUP($D$3,Calcs!$A$110:$B$122,2,TRUE),VLOOKUP($D$3-(IF((Character!$B$9+W1060)&gt;($D$3+Y1060),(Character!$B$9+W1060)-($D$3+Y1060),0)),Calcs!$A$110:$B$122,2,TRUE))))=Calcs!$B$120,IF(ISBLANK(AC1060)," ",CONCATENATE(AC1060+7," Years")),IF(AA1060=" "," ",IF(NOT(ISBLANK(X1060)),VLOOKUP($D$3+X1060,Calcs!$A$110:$B$122,2,TRUE),IF(AA1060="Failed",VLOOKUP($D$3,Calcs!$A$110:$B$122,2,TRUE),VLOOKUP($D$3-(IF((Character!$B$9+W1060)&gt;($D$3+Y1060),(Character!$B$9+W1060)-($D$3+Y1060),0)),Calcs!$A$110:$B$122,2,TRUE)))))</f>
        <v xml:space="preserve"> </v>
      </c>
      <c r="AE1060" s="490"/>
      <c r="AF1060" s="879"/>
      <c r="AG1060" s="491"/>
    </row>
    <row r="1061" spans="1:33" x14ac:dyDescent="0.2">
      <c r="A1061" s="415">
        <f t="shared" si="32"/>
        <v>1475</v>
      </c>
      <c r="B1061" s="419" t="str">
        <f t="shared" si="33"/>
        <v>Spring</v>
      </c>
      <c r="C1061" s="455"/>
      <c r="D1061" s="504"/>
      <c r="E1061" s="455"/>
      <c r="F1061" s="504"/>
      <c r="G1061" s="455"/>
      <c r="H1061" s="504"/>
      <c r="I1061" s="455"/>
      <c r="J1061" s="504"/>
      <c r="L1061" s="472"/>
      <c r="M1061" s="468"/>
      <c r="N1061" s="468"/>
      <c r="O1061" s="468"/>
      <c r="P1061" s="468"/>
      <c r="Q1061" s="473"/>
      <c r="R1061" s="477" t="str">
        <f>IF(AND(COUNTIF('Start Character'!$I$63:$M$77,"Twilight Prone")=1,NOT(ISERROR(FIND("Magical Botch",M1061)))),"Yes",IF(P1061&gt;1,"Yes","No"))</f>
        <v>No</v>
      </c>
      <c r="S1061" s="501"/>
      <c r="T1061" s="478"/>
      <c r="U1061" s="501"/>
      <c r="V1061" s="479" t="str">
        <f>IF(R1061="No","No Twilight",IF(T1061="Yes","Uncomprehended Twilight",IF((Character!$B$14+IF(Character!$B$53="Yes",0,Character!$B$53)+IF(Magic!$C$5="Yes",2,0)+ROUNDUP((Magic!$B$30+IF(Magic!$C$30="Yes",3,0))/5,0)+S1061)&gt;=($D$3+P1061+SUMIF(Character!$I$62:$I$66,"Enigmatic Wisdom",Character!$J$62:$J$66)+Q1061+U1061),"No Twilight","Twilight")))</f>
        <v>No Twilight</v>
      </c>
      <c r="W1061" s="483"/>
      <c r="X1061" s="478"/>
      <c r="Y1061" s="484"/>
      <c r="Z1061" s="478"/>
      <c r="AA1061" s="485" t="str">
        <f>IF(V1061="Uncomprehended Twilight","Failed",IF(OR(ISBLANK(W1061),ISBLANK(Y1061))," ",IF(NOT(ISBLANK(X1061)),"Failed",IF((W1061+Character!$B$9+SUMIF(Character!$I$62:$I$66,"Enigmatic Wisdom",Character!$J$62:$J$66))&gt;=IF(Z1061="Yes",0,(Y1061+D1056)),"Succeeded","Failed"))))</f>
        <v xml:space="preserve"> </v>
      </c>
      <c r="AB1061" s="477" t="str">
        <f>IF(AA1061=" "," ",IF(NOT(ISBLANK(X1061)),VLOOKUP($D$3+X1061,Calcs!$A$110:$C$122,3,TRUE),IF(AA1061="Failed",VLOOKUP($D$3,Calcs!$A$110:$C$122,3,TRUE),VLOOKUP($D$3-(IF((Character!$B$9+W1061)&gt;($D$3+Y1061),(Character!$B$9+W1061)-($D$3+Y1061),0)),Calcs!$A$110:$C$122,3,TRUE))))</f>
        <v xml:space="preserve"> </v>
      </c>
      <c r="AC1061" s="489"/>
      <c r="AD1061" s="489" t="str">
        <f>IF(IF(AA1061=" "," ",IF(NOT(ISBLANK(X1061)),VLOOKUP($D$3+X1061,Calcs!$A$110:$B$122,2,TRUE),IF(AA1061="Failed",VLOOKUP($D$3,Calcs!$A$110:$B$122,2,TRUE),VLOOKUP($D$3-(IF((Character!$B$9+W1061)&gt;($D$3+Y1061),(Character!$B$9+W1061)-($D$3+Y1061),0)),Calcs!$A$110:$B$122,2,TRUE))))=Calcs!$B$120,IF(ISBLANK(AC1061)," ",CONCATENATE(AC1061+7," Years")),IF(AA1061=" "," ",IF(NOT(ISBLANK(X1061)),VLOOKUP($D$3+X1061,Calcs!$A$110:$B$122,2,TRUE),IF(AA1061="Failed",VLOOKUP($D$3,Calcs!$A$110:$B$122,2,TRUE),VLOOKUP($D$3-(IF((Character!$B$9+W1061)&gt;($D$3+Y1061),(Character!$B$9+W1061)-($D$3+Y1061),0)),Calcs!$A$110:$B$122,2,TRUE)))))</f>
        <v xml:space="preserve"> </v>
      </c>
      <c r="AE1061" s="490"/>
      <c r="AF1061" s="879"/>
      <c r="AG1061" s="491"/>
    </row>
    <row r="1062" spans="1:33" x14ac:dyDescent="0.2">
      <c r="A1062" s="415">
        <f t="shared" si="32"/>
        <v>1475</v>
      </c>
      <c r="B1062" s="419" t="str">
        <f t="shared" si="33"/>
        <v>Summer</v>
      </c>
      <c r="C1062" s="455"/>
      <c r="D1062" s="504"/>
      <c r="E1062" s="455"/>
      <c r="F1062" s="504"/>
      <c r="G1062" s="455"/>
      <c r="H1062" s="504"/>
      <c r="I1062" s="455"/>
      <c r="J1062" s="504"/>
      <c r="L1062" s="472"/>
      <c r="M1062" s="468"/>
      <c r="N1062" s="468"/>
      <c r="O1062" s="468"/>
      <c r="P1062" s="468"/>
      <c r="Q1062" s="473"/>
      <c r="R1062" s="477" t="str">
        <f>IF(AND(COUNTIF('Start Character'!$I$63:$M$77,"Twilight Prone")=1,NOT(ISERROR(FIND("Magical Botch",M1062)))),"Yes",IF(P1062&gt;1,"Yes","No"))</f>
        <v>No</v>
      </c>
      <c r="S1062" s="501"/>
      <c r="T1062" s="478"/>
      <c r="U1062" s="501"/>
      <c r="V1062" s="479" t="str">
        <f>IF(R1062="No","No Twilight",IF(T1062="Yes","Uncomprehended Twilight",IF((Character!$B$14+IF(Character!$B$53="Yes",0,Character!$B$53)+IF(Magic!$C$5="Yes",2,0)+ROUNDUP((Magic!$B$30+IF(Magic!$C$30="Yes",3,0))/5,0)+S1062)&gt;=($D$3+P1062+SUMIF(Character!$I$62:$I$66,"Enigmatic Wisdom",Character!$J$62:$J$66)+Q1062+U1062),"No Twilight","Twilight")))</f>
        <v>No Twilight</v>
      </c>
      <c r="W1062" s="483"/>
      <c r="X1062" s="478"/>
      <c r="Y1062" s="484"/>
      <c r="Z1062" s="478"/>
      <c r="AA1062" s="485" t="str">
        <f>IF(V1062="Uncomprehended Twilight","Failed",IF(OR(ISBLANK(W1062),ISBLANK(Y1062))," ",IF(NOT(ISBLANK(X1062)),"Failed",IF((W1062+Character!$B$9+SUMIF(Character!$I$62:$I$66,"Enigmatic Wisdom",Character!$J$62:$J$66))&gt;=IF(Z1062="Yes",0,(Y1062+D1057)),"Succeeded","Failed"))))</f>
        <v xml:space="preserve"> </v>
      </c>
      <c r="AB1062" s="477" t="str">
        <f>IF(AA1062=" "," ",IF(NOT(ISBLANK(X1062)),VLOOKUP($D$3+X1062,Calcs!$A$110:$C$122,3,TRUE),IF(AA1062="Failed",VLOOKUP($D$3,Calcs!$A$110:$C$122,3,TRUE),VLOOKUP($D$3-(IF((Character!$B$9+W1062)&gt;($D$3+Y1062),(Character!$B$9+W1062)-($D$3+Y1062),0)),Calcs!$A$110:$C$122,3,TRUE))))</f>
        <v xml:space="preserve"> </v>
      </c>
      <c r="AC1062" s="489"/>
      <c r="AD1062" s="489" t="str">
        <f>IF(IF(AA1062=" "," ",IF(NOT(ISBLANK(X1062)),VLOOKUP($D$3+X1062,Calcs!$A$110:$B$122,2,TRUE),IF(AA1062="Failed",VLOOKUP($D$3,Calcs!$A$110:$B$122,2,TRUE),VLOOKUP($D$3-(IF((Character!$B$9+W1062)&gt;($D$3+Y1062),(Character!$B$9+W1062)-($D$3+Y1062),0)),Calcs!$A$110:$B$122,2,TRUE))))=Calcs!$B$120,IF(ISBLANK(AC1062)," ",CONCATENATE(AC1062+7," Years")),IF(AA1062=" "," ",IF(NOT(ISBLANK(X1062)),VLOOKUP($D$3+X1062,Calcs!$A$110:$B$122,2,TRUE),IF(AA1062="Failed",VLOOKUP($D$3,Calcs!$A$110:$B$122,2,TRUE),VLOOKUP($D$3-(IF((Character!$B$9+W1062)&gt;($D$3+Y1062),(Character!$B$9+W1062)-($D$3+Y1062),0)),Calcs!$A$110:$B$122,2,TRUE)))))</f>
        <v xml:space="preserve"> </v>
      </c>
      <c r="AE1062" s="490"/>
      <c r="AF1062" s="879"/>
      <c r="AG1062" s="491"/>
    </row>
    <row r="1063" spans="1:33" x14ac:dyDescent="0.2">
      <c r="A1063" s="415">
        <f t="shared" si="32"/>
        <v>1475</v>
      </c>
      <c r="B1063" s="419" t="str">
        <f t="shared" si="33"/>
        <v>Autumn</v>
      </c>
      <c r="C1063" s="455"/>
      <c r="D1063" s="504"/>
      <c r="E1063" s="455"/>
      <c r="F1063" s="504"/>
      <c r="G1063" s="455"/>
      <c r="H1063" s="504"/>
      <c r="I1063" s="455"/>
      <c r="J1063" s="504"/>
      <c r="L1063" s="472"/>
      <c r="M1063" s="468"/>
      <c r="N1063" s="468"/>
      <c r="O1063" s="468"/>
      <c r="P1063" s="468"/>
      <c r="Q1063" s="473"/>
      <c r="R1063" s="477" t="str">
        <f>IF(AND(COUNTIF('Start Character'!$I$63:$M$77,"Twilight Prone")=1,NOT(ISERROR(FIND("Magical Botch",M1063)))),"Yes",IF(P1063&gt;1,"Yes","No"))</f>
        <v>No</v>
      </c>
      <c r="S1063" s="501"/>
      <c r="T1063" s="478"/>
      <c r="U1063" s="501"/>
      <c r="V1063" s="479" t="str">
        <f>IF(R1063="No","No Twilight",IF(T1063="Yes","Uncomprehended Twilight",IF((Character!$B$14+IF(Character!$B$53="Yes",0,Character!$B$53)+IF(Magic!$C$5="Yes",2,0)+ROUNDUP((Magic!$B$30+IF(Magic!$C$30="Yes",3,0))/5,0)+S1063)&gt;=($D$3+P1063+SUMIF(Character!$I$62:$I$66,"Enigmatic Wisdom",Character!$J$62:$J$66)+Q1063+U1063),"No Twilight","Twilight")))</f>
        <v>No Twilight</v>
      </c>
      <c r="W1063" s="483"/>
      <c r="X1063" s="478"/>
      <c r="Y1063" s="484"/>
      <c r="Z1063" s="478"/>
      <c r="AA1063" s="485" t="str">
        <f>IF(V1063="Uncomprehended Twilight","Failed",IF(OR(ISBLANK(W1063),ISBLANK(Y1063))," ",IF(NOT(ISBLANK(X1063)),"Failed",IF((W1063+Character!$B$9+SUMIF(Character!$I$62:$I$66,"Enigmatic Wisdom",Character!$J$62:$J$66))&gt;=IF(Z1063="Yes",0,(Y1063+D1058)),"Succeeded","Failed"))))</f>
        <v xml:space="preserve"> </v>
      </c>
      <c r="AB1063" s="477" t="str">
        <f>IF(AA1063=" "," ",IF(NOT(ISBLANK(X1063)),VLOOKUP($D$3+X1063,Calcs!$A$110:$C$122,3,TRUE),IF(AA1063="Failed",VLOOKUP($D$3,Calcs!$A$110:$C$122,3,TRUE),VLOOKUP($D$3-(IF((Character!$B$9+W1063)&gt;($D$3+Y1063),(Character!$B$9+W1063)-($D$3+Y1063),0)),Calcs!$A$110:$C$122,3,TRUE))))</f>
        <v xml:space="preserve"> </v>
      </c>
      <c r="AC1063" s="489"/>
      <c r="AD1063" s="489" t="str">
        <f>IF(IF(AA1063=" "," ",IF(NOT(ISBLANK(X1063)),VLOOKUP($D$3+X1063,Calcs!$A$110:$B$122,2,TRUE),IF(AA1063="Failed",VLOOKUP($D$3,Calcs!$A$110:$B$122,2,TRUE),VLOOKUP($D$3-(IF((Character!$B$9+W1063)&gt;($D$3+Y1063),(Character!$B$9+W1063)-($D$3+Y1063),0)),Calcs!$A$110:$B$122,2,TRUE))))=Calcs!$B$120,IF(ISBLANK(AC1063)," ",CONCATENATE(AC1063+7," Years")),IF(AA1063=" "," ",IF(NOT(ISBLANK(X1063)),VLOOKUP($D$3+X1063,Calcs!$A$110:$B$122,2,TRUE),IF(AA1063="Failed",VLOOKUP($D$3,Calcs!$A$110:$B$122,2,TRUE),VLOOKUP($D$3-(IF((Character!$B$9+W1063)&gt;($D$3+Y1063),(Character!$B$9+W1063)-($D$3+Y1063),0)),Calcs!$A$110:$B$122,2,TRUE)))))</f>
        <v xml:space="preserve"> </v>
      </c>
      <c r="AE1063" s="490"/>
      <c r="AF1063" s="879"/>
      <c r="AG1063" s="491"/>
    </row>
    <row r="1064" spans="1:33" x14ac:dyDescent="0.2">
      <c r="A1064" s="415">
        <f t="shared" si="32"/>
        <v>1476</v>
      </c>
      <c r="B1064" s="419" t="str">
        <f t="shared" si="33"/>
        <v>Winter</v>
      </c>
      <c r="C1064" s="455"/>
      <c r="D1064" s="504"/>
      <c r="E1064" s="455"/>
      <c r="F1064" s="504"/>
      <c r="G1064" s="455"/>
      <c r="H1064" s="504"/>
      <c r="I1064" s="455"/>
      <c r="J1064" s="504"/>
      <c r="L1064" s="472"/>
      <c r="M1064" s="468"/>
      <c r="N1064" s="468"/>
      <c r="O1064" s="468"/>
      <c r="P1064" s="468"/>
      <c r="Q1064" s="473"/>
      <c r="R1064" s="477" t="str">
        <f>IF(AND(COUNTIF('Start Character'!$I$63:$M$77,"Twilight Prone")=1,NOT(ISERROR(FIND("Magical Botch",M1064)))),"Yes",IF(P1064&gt;1,"Yes","No"))</f>
        <v>No</v>
      </c>
      <c r="S1064" s="501"/>
      <c r="T1064" s="478"/>
      <c r="U1064" s="501"/>
      <c r="V1064" s="479" t="str">
        <f>IF(R1064="No","No Twilight",IF(T1064="Yes","Uncomprehended Twilight",IF((Character!$B$14+IF(Character!$B$53="Yes",0,Character!$B$53)+IF(Magic!$C$5="Yes",2,0)+ROUNDUP((Magic!$B$30+IF(Magic!$C$30="Yes",3,0))/5,0)+S1064)&gt;=($D$3+P1064+SUMIF(Character!$I$62:$I$66,"Enigmatic Wisdom",Character!$J$62:$J$66)+Q1064+U1064),"No Twilight","Twilight")))</f>
        <v>No Twilight</v>
      </c>
      <c r="W1064" s="483"/>
      <c r="X1064" s="478"/>
      <c r="Y1064" s="484"/>
      <c r="Z1064" s="478"/>
      <c r="AA1064" s="485" t="str">
        <f>IF(V1064="Uncomprehended Twilight","Failed",IF(OR(ISBLANK(W1064),ISBLANK(Y1064))," ",IF(NOT(ISBLANK(X1064)),"Failed",IF((W1064+Character!$B$9+SUMIF(Character!$I$62:$I$66,"Enigmatic Wisdom",Character!$J$62:$J$66))&gt;=IF(Z1064="Yes",0,(Y1064+D1059)),"Succeeded","Failed"))))</f>
        <v xml:space="preserve"> </v>
      </c>
      <c r="AB1064" s="477" t="str">
        <f>IF(AA1064=" "," ",IF(NOT(ISBLANK(X1064)),VLOOKUP($D$3+X1064,Calcs!$A$110:$C$122,3,TRUE),IF(AA1064="Failed",VLOOKUP($D$3,Calcs!$A$110:$C$122,3,TRUE),VLOOKUP($D$3-(IF((Character!$B$9+W1064)&gt;($D$3+Y1064),(Character!$B$9+W1064)-($D$3+Y1064),0)),Calcs!$A$110:$C$122,3,TRUE))))</f>
        <v xml:space="preserve"> </v>
      </c>
      <c r="AC1064" s="489"/>
      <c r="AD1064" s="489" t="str">
        <f>IF(IF(AA1064=" "," ",IF(NOT(ISBLANK(X1064)),VLOOKUP($D$3+X1064,Calcs!$A$110:$B$122,2,TRUE),IF(AA1064="Failed",VLOOKUP($D$3,Calcs!$A$110:$B$122,2,TRUE),VLOOKUP($D$3-(IF((Character!$B$9+W1064)&gt;($D$3+Y1064),(Character!$B$9+W1064)-($D$3+Y1064),0)),Calcs!$A$110:$B$122,2,TRUE))))=Calcs!$B$120,IF(ISBLANK(AC1064)," ",CONCATENATE(AC1064+7," Years")),IF(AA1064=" "," ",IF(NOT(ISBLANK(X1064)),VLOOKUP($D$3+X1064,Calcs!$A$110:$B$122,2,TRUE),IF(AA1064="Failed",VLOOKUP($D$3,Calcs!$A$110:$B$122,2,TRUE),VLOOKUP($D$3-(IF((Character!$B$9+W1064)&gt;($D$3+Y1064),(Character!$B$9+W1064)-($D$3+Y1064),0)),Calcs!$A$110:$B$122,2,TRUE)))))</f>
        <v xml:space="preserve"> </v>
      </c>
      <c r="AE1064" s="490"/>
      <c r="AF1064" s="879"/>
      <c r="AG1064" s="491"/>
    </row>
    <row r="1065" spans="1:33" x14ac:dyDescent="0.2">
      <c r="A1065" s="415">
        <f t="shared" si="32"/>
        <v>1476</v>
      </c>
      <c r="B1065" s="419" t="str">
        <f t="shared" si="33"/>
        <v>Spring</v>
      </c>
      <c r="C1065" s="455"/>
      <c r="D1065" s="504"/>
      <c r="E1065" s="455"/>
      <c r="F1065" s="504"/>
      <c r="G1065" s="455"/>
      <c r="H1065" s="504"/>
      <c r="I1065" s="455"/>
      <c r="J1065" s="504"/>
      <c r="L1065" s="472"/>
      <c r="M1065" s="468"/>
      <c r="N1065" s="468"/>
      <c r="O1065" s="468"/>
      <c r="P1065" s="468"/>
      <c r="Q1065" s="473"/>
      <c r="R1065" s="477" t="str">
        <f>IF(AND(COUNTIF('Start Character'!$I$63:$M$77,"Twilight Prone")=1,NOT(ISERROR(FIND("Magical Botch",M1065)))),"Yes",IF(P1065&gt;1,"Yes","No"))</f>
        <v>No</v>
      </c>
      <c r="S1065" s="501"/>
      <c r="T1065" s="478"/>
      <c r="U1065" s="501"/>
      <c r="V1065" s="479" t="str">
        <f>IF(R1065="No","No Twilight",IF(T1065="Yes","Uncomprehended Twilight",IF((Character!$B$14+IF(Character!$B$53="Yes",0,Character!$B$53)+IF(Magic!$C$5="Yes",2,0)+ROUNDUP((Magic!$B$30+IF(Magic!$C$30="Yes",3,0))/5,0)+S1065)&gt;=($D$3+P1065+SUMIF(Character!$I$62:$I$66,"Enigmatic Wisdom",Character!$J$62:$J$66)+Q1065+U1065),"No Twilight","Twilight")))</f>
        <v>No Twilight</v>
      </c>
      <c r="W1065" s="483"/>
      <c r="X1065" s="478"/>
      <c r="Y1065" s="484"/>
      <c r="Z1065" s="478"/>
      <c r="AA1065" s="485" t="str">
        <f>IF(V1065="Uncomprehended Twilight","Failed",IF(OR(ISBLANK(W1065),ISBLANK(Y1065))," ",IF(NOT(ISBLANK(X1065)),"Failed",IF((W1065+Character!$B$9+SUMIF(Character!$I$62:$I$66,"Enigmatic Wisdom",Character!$J$62:$J$66))&gt;=IF(Z1065="Yes",0,(Y1065+D1060)),"Succeeded","Failed"))))</f>
        <v xml:space="preserve"> </v>
      </c>
      <c r="AB1065" s="477" t="str">
        <f>IF(AA1065=" "," ",IF(NOT(ISBLANK(X1065)),VLOOKUP($D$3+X1065,Calcs!$A$110:$C$122,3,TRUE),IF(AA1065="Failed",VLOOKUP($D$3,Calcs!$A$110:$C$122,3,TRUE),VLOOKUP($D$3-(IF((Character!$B$9+W1065)&gt;($D$3+Y1065),(Character!$B$9+W1065)-($D$3+Y1065),0)),Calcs!$A$110:$C$122,3,TRUE))))</f>
        <v xml:space="preserve"> </v>
      </c>
      <c r="AC1065" s="489"/>
      <c r="AD1065" s="489" t="str">
        <f>IF(IF(AA1065=" "," ",IF(NOT(ISBLANK(X1065)),VLOOKUP($D$3+X1065,Calcs!$A$110:$B$122,2,TRUE),IF(AA1065="Failed",VLOOKUP($D$3,Calcs!$A$110:$B$122,2,TRUE),VLOOKUP($D$3-(IF((Character!$B$9+W1065)&gt;($D$3+Y1065),(Character!$B$9+W1065)-($D$3+Y1065),0)),Calcs!$A$110:$B$122,2,TRUE))))=Calcs!$B$120,IF(ISBLANK(AC1065)," ",CONCATENATE(AC1065+7," Years")),IF(AA1065=" "," ",IF(NOT(ISBLANK(X1065)),VLOOKUP($D$3+X1065,Calcs!$A$110:$B$122,2,TRUE),IF(AA1065="Failed",VLOOKUP($D$3,Calcs!$A$110:$B$122,2,TRUE),VLOOKUP($D$3-(IF((Character!$B$9+W1065)&gt;($D$3+Y1065),(Character!$B$9+W1065)-($D$3+Y1065),0)),Calcs!$A$110:$B$122,2,TRUE)))))</f>
        <v xml:space="preserve"> </v>
      </c>
      <c r="AE1065" s="490"/>
      <c r="AF1065" s="879"/>
      <c r="AG1065" s="491"/>
    </row>
    <row r="1066" spans="1:33" x14ac:dyDescent="0.2">
      <c r="A1066" s="415">
        <f t="shared" si="32"/>
        <v>1476</v>
      </c>
      <c r="B1066" s="419" t="str">
        <f t="shared" si="33"/>
        <v>Summer</v>
      </c>
      <c r="C1066" s="455"/>
      <c r="D1066" s="504"/>
      <c r="E1066" s="455"/>
      <c r="F1066" s="504"/>
      <c r="G1066" s="455"/>
      <c r="H1066" s="504"/>
      <c r="I1066" s="455"/>
      <c r="J1066" s="504"/>
      <c r="L1066" s="472"/>
      <c r="M1066" s="468"/>
      <c r="N1066" s="468"/>
      <c r="O1066" s="468"/>
      <c r="P1066" s="468"/>
      <c r="Q1066" s="473"/>
      <c r="R1066" s="477" t="str">
        <f>IF(AND(COUNTIF('Start Character'!$I$63:$M$77,"Twilight Prone")=1,NOT(ISERROR(FIND("Magical Botch",M1066)))),"Yes",IF(P1066&gt;1,"Yes","No"))</f>
        <v>No</v>
      </c>
      <c r="S1066" s="501"/>
      <c r="T1066" s="478"/>
      <c r="U1066" s="501"/>
      <c r="V1066" s="479" t="str">
        <f>IF(R1066="No","No Twilight",IF(T1066="Yes","Uncomprehended Twilight",IF((Character!$B$14+IF(Character!$B$53="Yes",0,Character!$B$53)+IF(Magic!$C$5="Yes",2,0)+ROUNDUP((Magic!$B$30+IF(Magic!$C$30="Yes",3,0))/5,0)+S1066)&gt;=($D$3+P1066+SUMIF(Character!$I$62:$I$66,"Enigmatic Wisdom",Character!$J$62:$J$66)+Q1066+U1066),"No Twilight","Twilight")))</f>
        <v>No Twilight</v>
      </c>
      <c r="W1066" s="483"/>
      <c r="X1066" s="478"/>
      <c r="Y1066" s="484"/>
      <c r="Z1066" s="478"/>
      <c r="AA1066" s="485" t="str">
        <f>IF(V1066="Uncomprehended Twilight","Failed",IF(OR(ISBLANK(W1066),ISBLANK(Y1066))," ",IF(NOT(ISBLANK(X1066)),"Failed",IF((W1066+Character!$B$9+SUMIF(Character!$I$62:$I$66,"Enigmatic Wisdom",Character!$J$62:$J$66))&gt;=IF(Z1066="Yes",0,(Y1066+D1061)),"Succeeded","Failed"))))</f>
        <v xml:space="preserve"> </v>
      </c>
      <c r="AB1066" s="477" t="str">
        <f>IF(AA1066=" "," ",IF(NOT(ISBLANK(X1066)),VLOOKUP($D$3+X1066,Calcs!$A$110:$C$122,3,TRUE),IF(AA1066="Failed",VLOOKUP($D$3,Calcs!$A$110:$C$122,3,TRUE),VLOOKUP($D$3-(IF((Character!$B$9+W1066)&gt;($D$3+Y1066),(Character!$B$9+W1066)-($D$3+Y1066),0)),Calcs!$A$110:$C$122,3,TRUE))))</f>
        <v xml:space="preserve"> </v>
      </c>
      <c r="AC1066" s="489"/>
      <c r="AD1066" s="489" t="str">
        <f>IF(IF(AA1066=" "," ",IF(NOT(ISBLANK(X1066)),VLOOKUP($D$3+X1066,Calcs!$A$110:$B$122,2,TRUE),IF(AA1066="Failed",VLOOKUP($D$3,Calcs!$A$110:$B$122,2,TRUE),VLOOKUP($D$3-(IF((Character!$B$9+W1066)&gt;($D$3+Y1066),(Character!$B$9+W1066)-($D$3+Y1066),0)),Calcs!$A$110:$B$122,2,TRUE))))=Calcs!$B$120,IF(ISBLANK(AC1066)," ",CONCATENATE(AC1066+7," Years")),IF(AA1066=" "," ",IF(NOT(ISBLANK(X1066)),VLOOKUP($D$3+X1066,Calcs!$A$110:$B$122,2,TRUE),IF(AA1066="Failed",VLOOKUP($D$3,Calcs!$A$110:$B$122,2,TRUE),VLOOKUP($D$3-(IF((Character!$B$9+W1066)&gt;($D$3+Y1066),(Character!$B$9+W1066)-($D$3+Y1066),0)),Calcs!$A$110:$B$122,2,TRUE)))))</f>
        <v xml:space="preserve"> </v>
      </c>
      <c r="AE1066" s="490"/>
      <c r="AF1066" s="879"/>
      <c r="AG1066" s="491"/>
    </row>
    <row r="1067" spans="1:33" x14ac:dyDescent="0.2">
      <c r="A1067" s="415">
        <f t="shared" si="32"/>
        <v>1476</v>
      </c>
      <c r="B1067" s="419" t="str">
        <f t="shared" si="33"/>
        <v>Autumn</v>
      </c>
      <c r="C1067" s="455"/>
      <c r="D1067" s="504"/>
      <c r="E1067" s="455"/>
      <c r="F1067" s="504"/>
      <c r="G1067" s="455"/>
      <c r="H1067" s="504"/>
      <c r="I1067" s="455"/>
      <c r="J1067" s="504"/>
      <c r="L1067" s="472"/>
      <c r="M1067" s="468"/>
      <c r="N1067" s="468"/>
      <c r="O1067" s="468"/>
      <c r="P1067" s="468"/>
      <c r="Q1067" s="473"/>
      <c r="R1067" s="477" t="str">
        <f>IF(AND(COUNTIF('Start Character'!$I$63:$M$77,"Twilight Prone")=1,NOT(ISERROR(FIND("Magical Botch",M1067)))),"Yes",IF(P1067&gt;1,"Yes","No"))</f>
        <v>No</v>
      </c>
      <c r="S1067" s="501"/>
      <c r="T1067" s="478"/>
      <c r="U1067" s="501"/>
      <c r="V1067" s="479" t="str">
        <f>IF(R1067="No","No Twilight",IF(T1067="Yes","Uncomprehended Twilight",IF((Character!$B$14+IF(Character!$B$53="Yes",0,Character!$B$53)+IF(Magic!$C$5="Yes",2,0)+ROUNDUP((Magic!$B$30+IF(Magic!$C$30="Yes",3,0))/5,0)+S1067)&gt;=($D$3+P1067+SUMIF(Character!$I$62:$I$66,"Enigmatic Wisdom",Character!$J$62:$J$66)+Q1067+U1067),"No Twilight","Twilight")))</f>
        <v>No Twilight</v>
      </c>
      <c r="W1067" s="483"/>
      <c r="X1067" s="478"/>
      <c r="Y1067" s="484"/>
      <c r="Z1067" s="478"/>
      <c r="AA1067" s="485" t="str">
        <f>IF(V1067="Uncomprehended Twilight","Failed",IF(OR(ISBLANK(W1067),ISBLANK(Y1067))," ",IF(NOT(ISBLANK(X1067)),"Failed",IF((W1067+Character!$B$9+SUMIF(Character!$I$62:$I$66,"Enigmatic Wisdom",Character!$J$62:$J$66))&gt;=IF(Z1067="Yes",0,(Y1067+D1062)),"Succeeded","Failed"))))</f>
        <v xml:space="preserve"> </v>
      </c>
      <c r="AB1067" s="477" t="str">
        <f>IF(AA1067=" "," ",IF(NOT(ISBLANK(X1067)),VLOOKUP($D$3+X1067,Calcs!$A$110:$C$122,3,TRUE),IF(AA1067="Failed",VLOOKUP($D$3,Calcs!$A$110:$C$122,3,TRUE),VLOOKUP($D$3-(IF((Character!$B$9+W1067)&gt;($D$3+Y1067),(Character!$B$9+W1067)-($D$3+Y1067),0)),Calcs!$A$110:$C$122,3,TRUE))))</f>
        <v xml:space="preserve"> </v>
      </c>
      <c r="AC1067" s="489"/>
      <c r="AD1067" s="489" t="str">
        <f>IF(IF(AA1067=" "," ",IF(NOT(ISBLANK(X1067)),VLOOKUP($D$3+X1067,Calcs!$A$110:$B$122,2,TRUE),IF(AA1067="Failed",VLOOKUP($D$3,Calcs!$A$110:$B$122,2,TRUE),VLOOKUP($D$3-(IF((Character!$B$9+W1067)&gt;($D$3+Y1067),(Character!$B$9+W1067)-($D$3+Y1067),0)),Calcs!$A$110:$B$122,2,TRUE))))=Calcs!$B$120,IF(ISBLANK(AC1067)," ",CONCATENATE(AC1067+7," Years")),IF(AA1067=" "," ",IF(NOT(ISBLANK(X1067)),VLOOKUP($D$3+X1067,Calcs!$A$110:$B$122,2,TRUE),IF(AA1067="Failed",VLOOKUP($D$3,Calcs!$A$110:$B$122,2,TRUE),VLOOKUP($D$3-(IF((Character!$B$9+W1067)&gt;($D$3+Y1067),(Character!$B$9+W1067)-($D$3+Y1067),0)),Calcs!$A$110:$B$122,2,TRUE)))))</f>
        <v xml:space="preserve"> </v>
      </c>
      <c r="AE1067" s="490"/>
      <c r="AF1067" s="879"/>
      <c r="AG1067" s="491"/>
    </row>
    <row r="1068" spans="1:33" x14ac:dyDescent="0.2">
      <c r="A1068" s="415">
        <f t="shared" si="32"/>
        <v>1477</v>
      </c>
      <c r="B1068" s="419" t="str">
        <f t="shared" si="33"/>
        <v>Winter</v>
      </c>
      <c r="C1068" s="455"/>
      <c r="D1068" s="504"/>
      <c r="E1068" s="455"/>
      <c r="F1068" s="504"/>
      <c r="G1068" s="455"/>
      <c r="H1068" s="504"/>
      <c r="I1068" s="455"/>
      <c r="J1068" s="504"/>
      <c r="L1068" s="472"/>
      <c r="M1068" s="468"/>
      <c r="N1068" s="468"/>
      <c r="O1068" s="468"/>
      <c r="P1068" s="468"/>
      <c r="Q1068" s="473"/>
      <c r="R1068" s="477" t="str">
        <f>IF(AND(COUNTIF('Start Character'!$I$63:$M$77,"Twilight Prone")=1,NOT(ISERROR(FIND("Magical Botch",M1068)))),"Yes",IF(P1068&gt;1,"Yes","No"))</f>
        <v>No</v>
      </c>
      <c r="S1068" s="501"/>
      <c r="T1068" s="478"/>
      <c r="U1068" s="501"/>
      <c r="V1068" s="479" t="str">
        <f>IF(R1068="No","No Twilight",IF(T1068="Yes","Uncomprehended Twilight",IF((Character!$B$14+IF(Character!$B$53="Yes",0,Character!$B$53)+IF(Magic!$C$5="Yes",2,0)+ROUNDUP((Magic!$B$30+IF(Magic!$C$30="Yes",3,0))/5,0)+S1068)&gt;=($D$3+P1068+SUMIF(Character!$I$62:$I$66,"Enigmatic Wisdom",Character!$J$62:$J$66)+Q1068+U1068),"No Twilight","Twilight")))</f>
        <v>No Twilight</v>
      </c>
      <c r="W1068" s="483"/>
      <c r="X1068" s="478"/>
      <c r="Y1068" s="484"/>
      <c r="Z1068" s="478"/>
      <c r="AA1068" s="485" t="str">
        <f>IF(V1068="Uncomprehended Twilight","Failed",IF(OR(ISBLANK(W1068),ISBLANK(Y1068))," ",IF(NOT(ISBLANK(X1068)),"Failed",IF((W1068+Character!$B$9+SUMIF(Character!$I$62:$I$66,"Enigmatic Wisdom",Character!$J$62:$J$66))&gt;=IF(Z1068="Yes",0,(Y1068+D1063)),"Succeeded","Failed"))))</f>
        <v xml:space="preserve"> </v>
      </c>
      <c r="AB1068" s="477" t="str">
        <f>IF(AA1068=" "," ",IF(NOT(ISBLANK(X1068)),VLOOKUP($D$3+X1068,Calcs!$A$110:$C$122,3,TRUE),IF(AA1068="Failed",VLOOKUP($D$3,Calcs!$A$110:$C$122,3,TRUE),VLOOKUP($D$3-(IF((Character!$B$9+W1068)&gt;($D$3+Y1068),(Character!$B$9+W1068)-($D$3+Y1068),0)),Calcs!$A$110:$C$122,3,TRUE))))</f>
        <v xml:space="preserve"> </v>
      </c>
      <c r="AC1068" s="489"/>
      <c r="AD1068" s="489" t="str">
        <f>IF(IF(AA1068=" "," ",IF(NOT(ISBLANK(X1068)),VLOOKUP($D$3+X1068,Calcs!$A$110:$B$122,2,TRUE),IF(AA1068="Failed",VLOOKUP($D$3,Calcs!$A$110:$B$122,2,TRUE),VLOOKUP($D$3-(IF((Character!$B$9+W1068)&gt;($D$3+Y1068),(Character!$B$9+W1068)-($D$3+Y1068),0)),Calcs!$A$110:$B$122,2,TRUE))))=Calcs!$B$120,IF(ISBLANK(AC1068)," ",CONCATENATE(AC1068+7," Years")),IF(AA1068=" "," ",IF(NOT(ISBLANK(X1068)),VLOOKUP($D$3+X1068,Calcs!$A$110:$B$122,2,TRUE),IF(AA1068="Failed",VLOOKUP($D$3,Calcs!$A$110:$B$122,2,TRUE),VLOOKUP($D$3-(IF((Character!$B$9+W1068)&gt;($D$3+Y1068),(Character!$B$9+W1068)-($D$3+Y1068),0)),Calcs!$A$110:$B$122,2,TRUE)))))</f>
        <v xml:space="preserve"> </v>
      </c>
      <c r="AE1068" s="490"/>
      <c r="AF1068" s="879"/>
      <c r="AG1068" s="491"/>
    </row>
    <row r="1069" spans="1:33" x14ac:dyDescent="0.2">
      <c r="A1069" s="415">
        <f t="shared" si="32"/>
        <v>1477</v>
      </c>
      <c r="B1069" s="419" t="str">
        <f t="shared" si="33"/>
        <v>Spring</v>
      </c>
      <c r="C1069" s="455"/>
      <c r="D1069" s="504"/>
      <c r="E1069" s="455"/>
      <c r="F1069" s="504"/>
      <c r="G1069" s="455"/>
      <c r="H1069" s="504"/>
      <c r="I1069" s="455"/>
      <c r="J1069" s="504"/>
      <c r="L1069" s="472"/>
      <c r="M1069" s="468"/>
      <c r="N1069" s="468"/>
      <c r="O1069" s="468"/>
      <c r="P1069" s="468"/>
      <c r="Q1069" s="473"/>
      <c r="R1069" s="477" t="str">
        <f>IF(AND(COUNTIF('Start Character'!$I$63:$M$77,"Twilight Prone")=1,NOT(ISERROR(FIND("Magical Botch",M1069)))),"Yes",IF(P1069&gt;1,"Yes","No"))</f>
        <v>No</v>
      </c>
      <c r="S1069" s="501"/>
      <c r="T1069" s="478"/>
      <c r="U1069" s="501"/>
      <c r="V1069" s="479" t="str">
        <f>IF(R1069="No","No Twilight",IF(T1069="Yes","Uncomprehended Twilight",IF((Character!$B$14+IF(Character!$B$53="Yes",0,Character!$B$53)+IF(Magic!$C$5="Yes",2,0)+ROUNDUP((Magic!$B$30+IF(Magic!$C$30="Yes",3,0))/5,0)+S1069)&gt;=($D$3+P1069+SUMIF(Character!$I$62:$I$66,"Enigmatic Wisdom",Character!$J$62:$J$66)+Q1069+U1069),"No Twilight","Twilight")))</f>
        <v>No Twilight</v>
      </c>
      <c r="W1069" s="483"/>
      <c r="X1069" s="478"/>
      <c r="Y1069" s="484"/>
      <c r="Z1069" s="478"/>
      <c r="AA1069" s="485" t="str">
        <f>IF(V1069="Uncomprehended Twilight","Failed",IF(OR(ISBLANK(W1069),ISBLANK(Y1069))," ",IF(NOT(ISBLANK(X1069)),"Failed",IF((W1069+Character!$B$9+SUMIF(Character!$I$62:$I$66,"Enigmatic Wisdom",Character!$J$62:$J$66))&gt;=IF(Z1069="Yes",0,(Y1069+D1064)),"Succeeded","Failed"))))</f>
        <v xml:space="preserve"> </v>
      </c>
      <c r="AB1069" s="477" t="str">
        <f>IF(AA1069=" "," ",IF(NOT(ISBLANK(X1069)),VLOOKUP($D$3+X1069,Calcs!$A$110:$C$122,3,TRUE),IF(AA1069="Failed",VLOOKUP($D$3,Calcs!$A$110:$C$122,3,TRUE),VLOOKUP($D$3-(IF((Character!$B$9+W1069)&gt;($D$3+Y1069),(Character!$B$9+W1069)-($D$3+Y1069),0)),Calcs!$A$110:$C$122,3,TRUE))))</f>
        <v xml:space="preserve"> </v>
      </c>
      <c r="AC1069" s="489"/>
      <c r="AD1069" s="489" t="str">
        <f>IF(IF(AA1069=" "," ",IF(NOT(ISBLANK(X1069)),VLOOKUP($D$3+X1069,Calcs!$A$110:$B$122,2,TRUE),IF(AA1069="Failed",VLOOKUP($D$3,Calcs!$A$110:$B$122,2,TRUE),VLOOKUP($D$3-(IF((Character!$B$9+W1069)&gt;($D$3+Y1069),(Character!$B$9+W1069)-($D$3+Y1069),0)),Calcs!$A$110:$B$122,2,TRUE))))=Calcs!$B$120,IF(ISBLANK(AC1069)," ",CONCATENATE(AC1069+7," Years")),IF(AA1069=" "," ",IF(NOT(ISBLANK(X1069)),VLOOKUP($D$3+X1069,Calcs!$A$110:$B$122,2,TRUE),IF(AA1069="Failed",VLOOKUP($D$3,Calcs!$A$110:$B$122,2,TRUE),VLOOKUP($D$3-(IF((Character!$B$9+W1069)&gt;($D$3+Y1069),(Character!$B$9+W1069)-($D$3+Y1069),0)),Calcs!$A$110:$B$122,2,TRUE)))))</f>
        <v xml:space="preserve"> </v>
      </c>
      <c r="AE1069" s="490"/>
      <c r="AF1069" s="879"/>
      <c r="AG1069" s="491"/>
    </row>
    <row r="1070" spans="1:33" x14ac:dyDescent="0.2">
      <c r="A1070" s="415">
        <f t="shared" si="32"/>
        <v>1477</v>
      </c>
      <c r="B1070" s="419" t="str">
        <f t="shared" si="33"/>
        <v>Summer</v>
      </c>
      <c r="C1070" s="455"/>
      <c r="D1070" s="504"/>
      <c r="E1070" s="455"/>
      <c r="F1070" s="504"/>
      <c r="G1070" s="455"/>
      <c r="H1070" s="504"/>
      <c r="I1070" s="455"/>
      <c r="J1070" s="504"/>
      <c r="L1070" s="472"/>
      <c r="M1070" s="468"/>
      <c r="N1070" s="468"/>
      <c r="O1070" s="468"/>
      <c r="P1070" s="468"/>
      <c r="Q1070" s="473"/>
      <c r="R1070" s="477" t="str">
        <f>IF(AND(COUNTIF('Start Character'!$I$63:$M$77,"Twilight Prone")=1,NOT(ISERROR(FIND("Magical Botch",M1070)))),"Yes",IF(P1070&gt;1,"Yes","No"))</f>
        <v>No</v>
      </c>
      <c r="S1070" s="501"/>
      <c r="T1070" s="478"/>
      <c r="U1070" s="501"/>
      <c r="V1070" s="479" t="str">
        <f>IF(R1070="No","No Twilight",IF(T1070="Yes","Uncomprehended Twilight",IF((Character!$B$14+IF(Character!$B$53="Yes",0,Character!$B$53)+IF(Magic!$C$5="Yes",2,0)+ROUNDUP((Magic!$B$30+IF(Magic!$C$30="Yes",3,0))/5,0)+S1070)&gt;=($D$3+P1070+SUMIF(Character!$I$62:$I$66,"Enigmatic Wisdom",Character!$J$62:$J$66)+Q1070+U1070),"No Twilight","Twilight")))</f>
        <v>No Twilight</v>
      </c>
      <c r="W1070" s="483"/>
      <c r="X1070" s="478"/>
      <c r="Y1070" s="484"/>
      <c r="Z1070" s="478"/>
      <c r="AA1070" s="485" t="str">
        <f>IF(V1070="Uncomprehended Twilight","Failed",IF(OR(ISBLANK(W1070),ISBLANK(Y1070))," ",IF(NOT(ISBLANK(X1070)),"Failed",IF((W1070+Character!$B$9+SUMIF(Character!$I$62:$I$66,"Enigmatic Wisdom",Character!$J$62:$J$66))&gt;=IF(Z1070="Yes",0,(Y1070+D1065)),"Succeeded","Failed"))))</f>
        <v xml:space="preserve"> </v>
      </c>
      <c r="AB1070" s="477" t="str">
        <f>IF(AA1070=" "," ",IF(NOT(ISBLANK(X1070)),VLOOKUP($D$3+X1070,Calcs!$A$110:$C$122,3,TRUE),IF(AA1070="Failed",VLOOKUP($D$3,Calcs!$A$110:$C$122,3,TRUE),VLOOKUP($D$3-(IF((Character!$B$9+W1070)&gt;($D$3+Y1070),(Character!$B$9+W1070)-($D$3+Y1070),0)),Calcs!$A$110:$C$122,3,TRUE))))</f>
        <v xml:space="preserve"> </v>
      </c>
      <c r="AC1070" s="489"/>
      <c r="AD1070" s="489" t="str">
        <f>IF(IF(AA1070=" "," ",IF(NOT(ISBLANK(X1070)),VLOOKUP($D$3+X1070,Calcs!$A$110:$B$122,2,TRUE),IF(AA1070="Failed",VLOOKUP($D$3,Calcs!$A$110:$B$122,2,TRUE),VLOOKUP($D$3-(IF((Character!$B$9+W1070)&gt;($D$3+Y1070),(Character!$B$9+W1070)-($D$3+Y1070),0)),Calcs!$A$110:$B$122,2,TRUE))))=Calcs!$B$120,IF(ISBLANK(AC1070)," ",CONCATENATE(AC1070+7," Years")),IF(AA1070=" "," ",IF(NOT(ISBLANK(X1070)),VLOOKUP($D$3+X1070,Calcs!$A$110:$B$122,2,TRUE),IF(AA1070="Failed",VLOOKUP($D$3,Calcs!$A$110:$B$122,2,TRUE),VLOOKUP($D$3-(IF((Character!$B$9+W1070)&gt;($D$3+Y1070),(Character!$B$9+W1070)-($D$3+Y1070),0)),Calcs!$A$110:$B$122,2,TRUE)))))</f>
        <v xml:space="preserve"> </v>
      </c>
      <c r="AE1070" s="490"/>
      <c r="AF1070" s="879"/>
      <c r="AG1070" s="491"/>
    </row>
    <row r="1071" spans="1:33" x14ac:dyDescent="0.2">
      <c r="A1071" s="415">
        <f t="shared" si="32"/>
        <v>1477</v>
      </c>
      <c r="B1071" s="419" t="str">
        <f t="shared" si="33"/>
        <v>Autumn</v>
      </c>
      <c r="C1071" s="455"/>
      <c r="D1071" s="504"/>
      <c r="E1071" s="455"/>
      <c r="F1071" s="504"/>
      <c r="G1071" s="455"/>
      <c r="H1071" s="504"/>
      <c r="I1071" s="455"/>
      <c r="J1071" s="504"/>
      <c r="L1071" s="472"/>
      <c r="M1071" s="468"/>
      <c r="N1071" s="468"/>
      <c r="O1071" s="468"/>
      <c r="P1071" s="468"/>
      <c r="Q1071" s="473"/>
      <c r="R1071" s="477" t="str">
        <f>IF(AND(COUNTIF('Start Character'!$I$63:$M$77,"Twilight Prone")=1,NOT(ISERROR(FIND("Magical Botch",M1071)))),"Yes",IF(P1071&gt;1,"Yes","No"))</f>
        <v>No</v>
      </c>
      <c r="S1071" s="501"/>
      <c r="T1071" s="478"/>
      <c r="U1071" s="501"/>
      <c r="V1071" s="479" t="str">
        <f>IF(R1071="No","No Twilight",IF(T1071="Yes","Uncomprehended Twilight",IF((Character!$B$14+IF(Character!$B$53="Yes",0,Character!$B$53)+IF(Magic!$C$5="Yes",2,0)+ROUNDUP((Magic!$B$30+IF(Magic!$C$30="Yes",3,0))/5,0)+S1071)&gt;=($D$3+P1071+SUMIF(Character!$I$62:$I$66,"Enigmatic Wisdom",Character!$J$62:$J$66)+Q1071+U1071),"No Twilight","Twilight")))</f>
        <v>No Twilight</v>
      </c>
      <c r="W1071" s="483"/>
      <c r="X1071" s="478"/>
      <c r="Y1071" s="484"/>
      <c r="Z1071" s="478"/>
      <c r="AA1071" s="485" t="str">
        <f>IF(V1071="Uncomprehended Twilight","Failed",IF(OR(ISBLANK(W1071),ISBLANK(Y1071))," ",IF(NOT(ISBLANK(X1071)),"Failed",IF((W1071+Character!$B$9+SUMIF(Character!$I$62:$I$66,"Enigmatic Wisdom",Character!$J$62:$J$66))&gt;=IF(Z1071="Yes",0,(Y1071+D1066)),"Succeeded","Failed"))))</f>
        <v xml:space="preserve"> </v>
      </c>
      <c r="AB1071" s="477" t="str">
        <f>IF(AA1071=" "," ",IF(NOT(ISBLANK(X1071)),VLOOKUP($D$3+X1071,Calcs!$A$110:$C$122,3,TRUE),IF(AA1071="Failed",VLOOKUP($D$3,Calcs!$A$110:$C$122,3,TRUE),VLOOKUP($D$3-(IF((Character!$B$9+W1071)&gt;($D$3+Y1071),(Character!$B$9+W1071)-($D$3+Y1071),0)),Calcs!$A$110:$C$122,3,TRUE))))</f>
        <v xml:space="preserve"> </v>
      </c>
      <c r="AC1071" s="489"/>
      <c r="AD1071" s="489" t="str">
        <f>IF(IF(AA1071=" "," ",IF(NOT(ISBLANK(X1071)),VLOOKUP($D$3+X1071,Calcs!$A$110:$B$122,2,TRUE),IF(AA1071="Failed",VLOOKUP($D$3,Calcs!$A$110:$B$122,2,TRUE),VLOOKUP($D$3-(IF((Character!$B$9+W1071)&gt;($D$3+Y1071),(Character!$B$9+W1071)-($D$3+Y1071),0)),Calcs!$A$110:$B$122,2,TRUE))))=Calcs!$B$120,IF(ISBLANK(AC1071)," ",CONCATENATE(AC1071+7," Years")),IF(AA1071=" "," ",IF(NOT(ISBLANK(X1071)),VLOOKUP($D$3+X1071,Calcs!$A$110:$B$122,2,TRUE),IF(AA1071="Failed",VLOOKUP($D$3,Calcs!$A$110:$B$122,2,TRUE),VLOOKUP($D$3-(IF((Character!$B$9+W1071)&gt;($D$3+Y1071),(Character!$B$9+W1071)-($D$3+Y1071),0)),Calcs!$A$110:$B$122,2,TRUE)))))</f>
        <v xml:space="preserve"> </v>
      </c>
      <c r="AE1071" s="490"/>
      <c r="AF1071" s="879"/>
      <c r="AG1071" s="491"/>
    </row>
    <row r="1072" spans="1:33" x14ac:dyDescent="0.2">
      <c r="A1072" s="415">
        <f t="shared" si="32"/>
        <v>1478</v>
      </c>
      <c r="B1072" s="419" t="str">
        <f t="shared" si="33"/>
        <v>Winter</v>
      </c>
      <c r="C1072" s="455"/>
      <c r="D1072" s="504"/>
      <c r="E1072" s="455"/>
      <c r="F1072" s="504"/>
      <c r="G1072" s="455"/>
      <c r="H1072" s="504"/>
      <c r="I1072" s="455"/>
      <c r="J1072" s="504"/>
      <c r="L1072" s="472"/>
      <c r="M1072" s="468"/>
      <c r="N1072" s="468"/>
      <c r="O1072" s="468"/>
      <c r="P1072" s="468"/>
      <c r="Q1072" s="473"/>
      <c r="R1072" s="477" t="str">
        <f>IF(AND(COUNTIF('Start Character'!$I$63:$M$77,"Twilight Prone")=1,NOT(ISERROR(FIND("Magical Botch",M1072)))),"Yes",IF(P1072&gt;1,"Yes","No"))</f>
        <v>No</v>
      </c>
      <c r="S1072" s="501"/>
      <c r="T1072" s="478"/>
      <c r="U1072" s="501"/>
      <c r="V1072" s="479" t="str">
        <f>IF(R1072="No","No Twilight",IF(T1072="Yes","Uncomprehended Twilight",IF((Character!$B$14+IF(Character!$B$53="Yes",0,Character!$B$53)+IF(Magic!$C$5="Yes",2,0)+ROUNDUP((Magic!$B$30+IF(Magic!$C$30="Yes",3,0))/5,0)+S1072)&gt;=($D$3+P1072+SUMIF(Character!$I$62:$I$66,"Enigmatic Wisdom",Character!$J$62:$J$66)+Q1072+U1072),"No Twilight","Twilight")))</f>
        <v>No Twilight</v>
      </c>
      <c r="W1072" s="483"/>
      <c r="X1072" s="478"/>
      <c r="Y1072" s="484"/>
      <c r="Z1072" s="478"/>
      <c r="AA1072" s="485" t="str">
        <f>IF(V1072="Uncomprehended Twilight","Failed",IF(OR(ISBLANK(W1072),ISBLANK(Y1072))," ",IF(NOT(ISBLANK(X1072)),"Failed",IF((W1072+Character!$B$9+SUMIF(Character!$I$62:$I$66,"Enigmatic Wisdom",Character!$J$62:$J$66))&gt;=IF(Z1072="Yes",0,(Y1072+D1067)),"Succeeded","Failed"))))</f>
        <v xml:space="preserve"> </v>
      </c>
      <c r="AB1072" s="477" t="str">
        <f>IF(AA1072=" "," ",IF(NOT(ISBLANK(X1072)),VLOOKUP($D$3+X1072,Calcs!$A$110:$C$122,3,TRUE),IF(AA1072="Failed",VLOOKUP($D$3,Calcs!$A$110:$C$122,3,TRUE),VLOOKUP($D$3-(IF((Character!$B$9+W1072)&gt;($D$3+Y1072),(Character!$B$9+W1072)-($D$3+Y1072),0)),Calcs!$A$110:$C$122,3,TRUE))))</f>
        <v xml:space="preserve"> </v>
      </c>
      <c r="AC1072" s="489"/>
      <c r="AD1072" s="489" t="str">
        <f>IF(IF(AA1072=" "," ",IF(NOT(ISBLANK(X1072)),VLOOKUP($D$3+X1072,Calcs!$A$110:$B$122,2,TRUE),IF(AA1072="Failed",VLOOKUP($D$3,Calcs!$A$110:$B$122,2,TRUE),VLOOKUP($D$3-(IF((Character!$B$9+W1072)&gt;($D$3+Y1072),(Character!$B$9+W1072)-($D$3+Y1072),0)),Calcs!$A$110:$B$122,2,TRUE))))=Calcs!$B$120,IF(ISBLANK(AC1072)," ",CONCATENATE(AC1072+7," Years")),IF(AA1072=" "," ",IF(NOT(ISBLANK(X1072)),VLOOKUP($D$3+X1072,Calcs!$A$110:$B$122,2,TRUE),IF(AA1072="Failed",VLOOKUP($D$3,Calcs!$A$110:$B$122,2,TRUE),VLOOKUP($D$3-(IF((Character!$B$9+W1072)&gt;($D$3+Y1072),(Character!$B$9+W1072)-($D$3+Y1072),0)),Calcs!$A$110:$B$122,2,TRUE)))))</f>
        <v xml:space="preserve"> </v>
      </c>
      <c r="AE1072" s="490"/>
      <c r="AF1072" s="879"/>
      <c r="AG1072" s="491"/>
    </row>
    <row r="1073" spans="1:33" x14ac:dyDescent="0.2">
      <c r="A1073" s="415">
        <f t="shared" si="32"/>
        <v>1478</v>
      </c>
      <c r="B1073" s="419" t="str">
        <f t="shared" si="33"/>
        <v>Spring</v>
      </c>
      <c r="C1073" s="455"/>
      <c r="D1073" s="504"/>
      <c r="E1073" s="455"/>
      <c r="F1073" s="504"/>
      <c r="G1073" s="455"/>
      <c r="H1073" s="504"/>
      <c r="I1073" s="455"/>
      <c r="J1073" s="504"/>
      <c r="L1073" s="472"/>
      <c r="M1073" s="468"/>
      <c r="N1073" s="468"/>
      <c r="O1073" s="468"/>
      <c r="P1073" s="468"/>
      <c r="Q1073" s="473"/>
      <c r="R1073" s="477" t="str">
        <f>IF(AND(COUNTIF('Start Character'!$I$63:$M$77,"Twilight Prone")=1,NOT(ISERROR(FIND("Magical Botch",M1073)))),"Yes",IF(P1073&gt;1,"Yes","No"))</f>
        <v>No</v>
      </c>
      <c r="S1073" s="501"/>
      <c r="T1073" s="478"/>
      <c r="U1073" s="501"/>
      <c r="V1073" s="479" t="str">
        <f>IF(R1073="No","No Twilight",IF(T1073="Yes","Uncomprehended Twilight",IF((Character!$B$14+IF(Character!$B$53="Yes",0,Character!$B$53)+IF(Magic!$C$5="Yes",2,0)+ROUNDUP((Magic!$B$30+IF(Magic!$C$30="Yes",3,0))/5,0)+S1073)&gt;=($D$3+P1073+SUMIF(Character!$I$62:$I$66,"Enigmatic Wisdom",Character!$J$62:$J$66)+Q1073+U1073),"No Twilight","Twilight")))</f>
        <v>No Twilight</v>
      </c>
      <c r="W1073" s="483"/>
      <c r="X1073" s="478"/>
      <c r="Y1073" s="484"/>
      <c r="Z1073" s="478"/>
      <c r="AA1073" s="485" t="str">
        <f>IF(V1073="Uncomprehended Twilight","Failed",IF(OR(ISBLANK(W1073),ISBLANK(Y1073))," ",IF(NOT(ISBLANK(X1073)),"Failed",IF((W1073+Character!$B$9+SUMIF(Character!$I$62:$I$66,"Enigmatic Wisdom",Character!$J$62:$J$66))&gt;=IF(Z1073="Yes",0,(Y1073+D1068)),"Succeeded","Failed"))))</f>
        <v xml:space="preserve"> </v>
      </c>
      <c r="AB1073" s="477" t="str">
        <f>IF(AA1073=" "," ",IF(NOT(ISBLANK(X1073)),VLOOKUP($D$3+X1073,Calcs!$A$110:$C$122,3,TRUE),IF(AA1073="Failed",VLOOKUP($D$3,Calcs!$A$110:$C$122,3,TRUE),VLOOKUP($D$3-(IF((Character!$B$9+W1073)&gt;($D$3+Y1073),(Character!$B$9+W1073)-($D$3+Y1073),0)),Calcs!$A$110:$C$122,3,TRUE))))</f>
        <v xml:space="preserve"> </v>
      </c>
      <c r="AC1073" s="489"/>
      <c r="AD1073" s="489" t="str">
        <f>IF(IF(AA1073=" "," ",IF(NOT(ISBLANK(X1073)),VLOOKUP($D$3+X1073,Calcs!$A$110:$B$122,2,TRUE),IF(AA1073="Failed",VLOOKUP($D$3,Calcs!$A$110:$B$122,2,TRUE),VLOOKUP($D$3-(IF((Character!$B$9+W1073)&gt;($D$3+Y1073),(Character!$B$9+W1073)-($D$3+Y1073),0)),Calcs!$A$110:$B$122,2,TRUE))))=Calcs!$B$120,IF(ISBLANK(AC1073)," ",CONCATENATE(AC1073+7," Years")),IF(AA1073=" "," ",IF(NOT(ISBLANK(X1073)),VLOOKUP($D$3+X1073,Calcs!$A$110:$B$122,2,TRUE),IF(AA1073="Failed",VLOOKUP($D$3,Calcs!$A$110:$B$122,2,TRUE),VLOOKUP($D$3-(IF((Character!$B$9+W1073)&gt;($D$3+Y1073),(Character!$B$9+W1073)-($D$3+Y1073),0)),Calcs!$A$110:$B$122,2,TRUE)))))</f>
        <v xml:space="preserve"> </v>
      </c>
      <c r="AE1073" s="490"/>
      <c r="AF1073" s="879"/>
      <c r="AG1073" s="491"/>
    </row>
    <row r="1074" spans="1:33" x14ac:dyDescent="0.2">
      <c r="A1074" s="415">
        <f t="shared" si="32"/>
        <v>1478</v>
      </c>
      <c r="B1074" s="419" t="str">
        <f t="shared" si="33"/>
        <v>Summer</v>
      </c>
      <c r="C1074" s="455"/>
      <c r="D1074" s="504"/>
      <c r="E1074" s="455"/>
      <c r="F1074" s="504"/>
      <c r="G1074" s="455"/>
      <c r="H1074" s="504"/>
      <c r="I1074" s="455"/>
      <c r="J1074" s="504"/>
      <c r="L1074" s="472"/>
      <c r="M1074" s="468"/>
      <c r="N1074" s="468"/>
      <c r="O1074" s="468"/>
      <c r="P1074" s="468"/>
      <c r="Q1074" s="473"/>
      <c r="R1074" s="477" t="str">
        <f>IF(AND(COUNTIF('Start Character'!$I$63:$M$77,"Twilight Prone")=1,NOT(ISERROR(FIND("Magical Botch",M1074)))),"Yes",IF(P1074&gt;1,"Yes","No"))</f>
        <v>No</v>
      </c>
      <c r="S1074" s="501"/>
      <c r="T1074" s="478"/>
      <c r="U1074" s="501"/>
      <c r="V1074" s="479" t="str">
        <f>IF(R1074="No","No Twilight",IF(T1074="Yes","Uncomprehended Twilight",IF((Character!$B$14+IF(Character!$B$53="Yes",0,Character!$B$53)+IF(Magic!$C$5="Yes",2,0)+ROUNDUP((Magic!$B$30+IF(Magic!$C$30="Yes",3,0))/5,0)+S1074)&gt;=($D$3+P1074+SUMIF(Character!$I$62:$I$66,"Enigmatic Wisdom",Character!$J$62:$J$66)+Q1074+U1074),"No Twilight","Twilight")))</f>
        <v>No Twilight</v>
      </c>
      <c r="W1074" s="483"/>
      <c r="X1074" s="478"/>
      <c r="Y1074" s="484"/>
      <c r="Z1074" s="478"/>
      <c r="AA1074" s="485" t="str">
        <f>IF(V1074="Uncomprehended Twilight","Failed",IF(OR(ISBLANK(W1074),ISBLANK(Y1074))," ",IF(NOT(ISBLANK(X1074)),"Failed",IF((W1074+Character!$B$9+SUMIF(Character!$I$62:$I$66,"Enigmatic Wisdom",Character!$J$62:$J$66))&gt;=IF(Z1074="Yes",0,(Y1074+D1069)),"Succeeded","Failed"))))</f>
        <v xml:space="preserve"> </v>
      </c>
      <c r="AB1074" s="477" t="str">
        <f>IF(AA1074=" "," ",IF(NOT(ISBLANK(X1074)),VLOOKUP($D$3+X1074,Calcs!$A$110:$C$122,3,TRUE),IF(AA1074="Failed",VLOOKUP($D$3,Calcs!$A$110:$C$122,3,TRUE),VLOOKUP($D$3-(IF((Character!$B$9+W1074)&gt;($D$3+Y1074),(Character!$B$9+W1074)-($D$3+Y1074),0)),Calcs!$A$110:$C$122,3,TRUE))))</f>
        <v xml:space="preserve"> </v>
      </c>
      <c r="AC1074" s="489"/>
      <c r="AD1074" s="489" t="str">
        <f>IF(IF(AA1074=" "," ",IF(NOT(ISBLANK(X1074)),VLOOKUP($D$3+X1074,Calcs!$A$110:$B$122,2,TRUE),IF(AA1074="Failed",VLOOKUP($D$3,Calcs!$A$110:$B$122,2,TRUE),VLOOKUP($D$3-(IF((Character!$B$9+W1074)&gt;($D$3+Y1074),(Character!$B$9+W1074)-($D$3+Y1074),0)),Calcs!$A$110:$B$122,2,TRUE))))=Calcs!$B$120,IF(ISBLANK(AC1074)," ",CONCATENATE(AC1074+7," Years")),IF(AA1074=" "," ",IF(NOT(ISBLANK(X1074)),VLOOKUP($D$3+X1074,Calcs!$A$110:$B$122,2,TRUE),IF(AA1074="Failed",VLOOKUP($D$3,Calcs!$A$110:$B$122,2,TRUE),VLOOKUP($D$3-(IF((Character!$B$9+W1074)&gt;($D$3+Y1074),(Character!$B$9+W1074)-($D$3+Y1074),0)),Calcs!$A$110:$B$122,2,TRUE)))))</f>
        <v xml:space="preserve"> </v>
      </c>
      <c r="AE1074" s="490"/>
      <c r="AF1074" s="879"/>
      <c r="AG1074" s="491"/>
    </row>
    <row r="1075" spans="1:33" x14ac:dyDescent="0.2">
      <c r="A1075" s="415">
        <f t="shared" si="32"/>
        <v>1478</v>
      </c>
      <c r="B1075" s="419" t="str">
        <f t="shared" si="33"/>
        <v>Autumn</v>
      </c>
      <c r="C1075" s="455"/>
      <c r="D1075" s="504"/>
      <c r="E1075" s="455"/>
      <c r="F1075" s="504"/>
      <c r="G1075" s="455"/>
      <c r="H1075" s="504"/>
      <c r="I1075" s="455"/>
      <c r="J1075" s="504"/>
      <c r="L1075" s="472"/>
      <c r="M1075" s="468"/>
      <c r="N1075" s="468"/>
      <c r="O1075" s="468"/>
      <c r="P1075" s="468"/>
      <c r="Q1075" s="473"/>
      <c r="R1075" s="477" t="str">
        <f>IF(AND(COUNTIF('Start Character'!$I$63:$M$77,"Twilight Prone")=1,NOT(ISERROR(FIND("Magical Botch",M1075)))),"Yes",IF(P1075&gt;1,"Yes","No"))</f>
        <v>No</v>
      </c>
      <c r="S1075" s="501"/>
      <c r="T1075" s="478"/>
      <c r="U1075" s="501"/>
      <c r="V1075" s="479" t="str">
        <f>IF(R1075="No","No Twilight",IF(T1075="Yes","Uncomprehended Twilight",IF((Character!$B$14+IF(Character!$B$53="Yes",0,Character!$B$53)+IF(Magic!$C$5="Yes",2,0)+ROUNDUP((Magic!$B$30+IF(Magic!$C$30="Yes",3,0))/5,0)+S1075)&gt;=($D$3+P1075+SUMIF(Character!$I$62:$I$66,"Enigmatic Wisdom",Character!$J$62:$J$66)+Q1075+U1075),"No Twilight","Twilight")))</f>
        <v>No Twilight</v>
      </c>
      <c r="W1075" s="483"/>
      <c r="X1075" s="478"/>
      <c r="Y1075" s="484"/>
      <c r="Z1075" s="478"/>
      <c r="AA1075" s="485" t="str">
        <f>IF(V1075="Uncomprehended Twilight","Failed",IF(OR(ISBLANK(W1075),ISBLANK(Y1075))," ",IF(NOT(ISBLANK(X1075)),"Failed",IF((W1075+Character!$B$9+SUMIF(Character!$I$62:$I$66,"Enigmatic Wisdom",Character!$J$62:$J$66))&gt;=IF(Z1075="Yes",0,(Y1075+D1070)),"Succeeded","Failed"))))</f>
        <v xml:space="preserve"> </v>
      </c>
      <c r="AB1075" s="477" t="str">
        <f>IF(AA1075=" "," ",IF(NOT(ISBLANK(X1075)),VLOOKUP($D$3+X1075,Calcs!$A$110:$C$122,3,TRUE),IF(AA1075="Failed",VLOOKUP($D$3,Calcs!$A$110:$C$122,3,TRUE),VLOOKUP($D$3-(IF((Character!$B$9+W1075)&gt;($D$3+Y1075),(Character!$B$9+W1075)-($D$3+Y1075),0)),Calcs!$A$110:$C$122,3,TRUE))))</f>
        <v xml:space="preserve"> </v>
      </c>
      <c r="AC1075" s="489"/>
      <c r="AD1075" s="489" t="str">
        <f>IF(IF(AA1075=" "," ",IF(NOT(ISBLANK(X1075)),VLOOKUP($D$3+X1075,Calcs!$A$110:$B$122,2,TRUE),IF(AA1075="Failed",VLOOKUP($D$3,Calcs!$A$110:$B$122,2,TRUE),VLOOKUP($D$3-(IF((Character!$B$9+W1075)&gt;($D$3+Y1075),(Character!$B$9+W1075)-($D$3+Y1075),0)),Calcs!$A$110:$B$122,2,TRUE))))=Calcs!$B$120,IF(ISBLANK(AC1075)," ",CONCATENATE(AC1075+7," Years")),IF(AA1075=" "," ",IF(NOT(ISBLANK(X1075)),VLOOKUP($D$3+X1075,Calcs!$A$110:$B$122,2,TRUE),IF(AA1075="Failed",VLOOKUP($D$3,Calcs!$A$110:$B$122,2,TRUE),VLOOKUP($D$3-(IF((Character!$B$9+W1075)&gt;($D$3+Y1075),(Character!$B$9+W1075)-($D$3+Y1075),0)),Calcs!$A$110:$B$122,2,TRUE)))))</f>
        <v xml:space="preserve"> </v>
      </c>
      <c r="AE1075" s="490"/>
      <c r="AF1075" s="879"/>
      <c r="AG1075" s="491"/>
    </row>
    <row r="1076" spans="1:33" x14ac:dyDescent="0.2">
      <c r="A1076" s="415">
        <f t="shared" si="32"/>
        <v>1479</v>
      </c>
      <c r="B1076" s="419" t="str">
        <f t="shared" si="33"/>
        <v>Winter</v>
      </c>
      <c r="C1076" s="455"/>
      <c r="D1076" s="504"/>
      <c r="E1076" s="455"/>
      <c r="F1076" s="504"/>
      <c r="G1076" s="455"/>
      <c r="H1076" s="504"/>
      <c r="I1076" s="455"/>
      <c r="J1076" s="504"/>
      <c r="L1076" s="472"/>
      <c r="M1076" s="468"/>
      <c r="N1076" s="468"/>
      <c r="O1076" s="468"/>
      <c r="P1076" s="468"/>
      <c r="Q1076" s="473"/>
      <c r="R1076" s="477" t="str">
        <f>IF(AND(COUNTIF('Start Character'!$I$63:$M$77,"Twilight Prone")=1,NOT(ISERROR(FIND("Magical Botch",M1076)))),"Yes",IF(P1076&gt;1,"Yes","No"))</f>
        <v>No</v>
      </c>
      <c r="S1076" s="501"/>
      <c r="T1076" s="478"/>
      <c r="U1076" s="501"/>
      <c r="V1076" s="479" t="str">
        <f>IF(R1076="No","No Twilight",IF(T1076="Yes","Uncomprehended Twilight",IF((Character!$B$14+IF(Character!$B$53="Yes",0,Character!$B$53)+IF(Magic!$C$5="Yes",2,0)+ROUNDUP((Magic!$B$30+IF(Magic!$C$30="Yes",3,0))/5,0)+S1076)&gt;=($D$3+P1076+SUMIF(Character!$I$62:$I$66,"Enigmatic Wisdom",Character!$J$62:$J$66)+Q1076+U1076),"No Twilight","Twilight")))</f>
        <v>No Twilight</v>
      </c>
      <c r="W1076" s="483"/>
      <c r="X1076" s="478"/>
      <c r="Y1076" s="484"/>
      <c r="Z1076" s="478"/>
      <c r="AA1076" s="485" t="str">
        <f>IF(V1076="Uncomprehended Twilight","Failed",IF(OR(ISBLANK(W1076),ISBLANK(Y1076))," ",IF(NOT(ISBLANK(X1076)),"Failed",IF((W1076+Character!$B$9+SUMIF(Character!$I$62:$I$66,"Enigmatic Wisdom",Character!$J$62:$J$66))&gt;=IF(Z1076="Yes",0,(Y1076+D1071)),"Succeeded","Failed"))))</f>
        <v xml:space="preserve"> </v>
      </c>
      <c r="AB1076" s="477" t="str">
        <f>IF(AA1076=" "," ",IF(NOT(ISBLANK(X1076)),VLOOKUP($D$3+X1076,Calcs!$A$110:$C$122,3,TRUE),IF(AA1076="Failed",VLOOKUP($D$3,Calcs!$A$110:$C$122,3,TRUE),VLOOKUP($D$3-(IF((Character!$B$9+W1076)&gt;($D$3+Y1076),(Character!$B$9+W1076)-($D$3+Y1076),0)),Calcs!$A$110:$C$122,3,TRUE))))</f>
        <v xml:space="preserve"> </v>
      </c>
      <c r="AC1076" s="489"/>
      <c r="AD1076" s="489" t="str">
        <f>IF(IF(AA1076=" "," ",IF(NOT(ISBLANK(X1076)),VLOOKUP($D$3+X1076,Calcs!$A$110:$B$122,2,TRUE),IF(AA1076="Failed",VLOOKUP($D$3,Calcs!$A$110:$B$122,2,TRUE),VLOOKUP($D$3-(IF((Character!$B$9+W1076)&gt;($D$3+Y1076),(Character!$B$9+W1076)-($D$3+Y1076),0)),Calcs!$A$110:$B$122,2,TRUE))))=Calcs!$B$120,IF(ISBLANK(AC1076)," ",CONCATENATE(AC1076+7," Years")),IF(AA1076=" "," ",IF(NOT(ISBLANK(X1076)),VLOOKUP($D$3+X1076,Calcs!$A$110:$B$122,2,TRUE),IF(AA1076="Failed",VLOOKUP($D$3,Calcs!$A$110:$B$122,2,TRUE),VLOOKUP($D$3-(IF((Character!$B$9+W1076)&gt;($D$3+Y1076),(Character!$B$9+W1076)-($D$3+Y1076),0)),Calcs!$A$110:$B$122,2,TRUE)))))</f>
        <v xml:space="preserve"> </v>
      </c>
      <c r="AE1076" s="490"/>
      <c r="AF1076" s="879"/>
      <c r="AG1076" s="491"/>
    </row>
    <row r="1077" spans="1:33" x14ac:dyDescent="0.2">
      <c r="A1077" s="415">
        <f t="shared" si="32"/>
        <v>1479</v>
      </c>
      <c r="B1077" s="419" t="str">
        <f t="shared" si="33"/>
        <v>Spring</v>
      </c>
      <c r="C1077" s="455"/>
      <c r="D1077" s="504"/>
      <c r="E1077" s="455"/>
      <c r="F1077" s="504"/>
      <c r="G1077" s="455"/>
      <c r="H1077" s="504"/>
      <c r="I1077" s="455"/>
      <c r="J1077" s="504"/>
      <c r="L1077" s="472"/>
      <c r="M1077" s="468"/>
      <c r="N1077" s="468"/>
      <c r="O1077" s="468"/>
      <c r="P1077" s="468"/>
      <c r="Q1077" s="473"/>
      <c r="R1077" s="477" t="str">
        <f>IF(AND(COUNTIF('Start Character'!$I$63:$M$77,"Twilight Prone")=1,NOT(ISERROR(FIND("Magical Botch",M1077)))),"Yes",IF(P1077&gt;1,"Yes","No"))</f>
        <v>No</v>
      </c>
      <c r="S1077" s="501"/>
      <c r="T1077" s="478"/>
      <c r="U1077" s="501"/>
      <c r="V1077" s="479" t="str">
        <f>IF(R1077="No","No Twilight",IF(T1077="Yes","Uncomprehended Twilight",IF((Character!$B$14+IF(Character!$B$53="Yes",0,Character!$B$53)+IF(Magic!$C$5="Yes",2,0)+ROUNDUP((Magic!$B$30+IF(Magic!$C$30="Yes",3,0))/5,0)+S1077)&gt;=($D$3+P1077+SUMIF(Character!$I$62:$I$66,"Enigmatic Wisdom",Character!$J$62:$J$66)+Q1077+U1077),"No Twilight","Twilight")))</f>
        <v>No Twilight</v>
      </c>
      <c r="W1077" s="483"/>
      <c r="X1077" s="478"/>
      <c r="Y1077" s="484"/>
      <c r="Z1077" s="478"/>
      <c r="AA1077" s="485" t="str">
        <f>IF(V1077="Uncomprehended Twilight","Failed",IF(OR(ISBLANK(W1077),ISBLANK(Y1077))," ",IF(NOT(ISBLANK(X1077)),"Failed",IF((W1077+Character!$B$9+SUMIF(Character!$I$62:$I$66,"Enigmatic Wisdom",Character!$J$62:$J$66))&gt;=IF(Z1077="Yes",0,(Y1077+D1072)),"Succeeded","Failed"))))</f>
        <v xml:space="preserve"> </v>
      </c>
      <c r="AB1077" s="477" t="str">
        <f>IF(AA1077=" "," ",IF(NOT(ISBLANK(X1077)),VLOOKUP($D$3+X1077,Calcs!$A$110:$C$122,3,TRUE),IF(AA1077="Failed",VLOOKUP($D$3,Calcs!$A$110:$C$122,3,TRUE),VLOOKUP($D$3-(IF((Character!$B$9+W1077)&gt;($D$3+Y1077),(Character!$B$9+W1077)-($D$3+Y1077),0)),Calcs!$A$110:$C$122,3,TRUE))))</f>
        <v xml:space="preserve"> </v>
      </c>
      <c r="AC1077" s="489"/>
      <c r="AD1077" s="489" t="str">
        <f>IF(IF(AA1077=" "," ",IF(NOT(ISBLANK(X1077)),VLOOKUP($D$3+X1077,Calcs!$A$110:$B$122,2,TRUE),IF(AA1077="Failed",VLOOKUP($D$3,Calcs!$A$110:$B$122,2,TRUE),VLOOKUP($D$3-(IF((Character!$B$9+W1077)&gt;($D$3+Y1077),(Character!$B$9+W1077)-($D$3+Y1077),0)),Calcs!$A$110:$B$122,2,TRUE))))=Calcs!$B$120,IF(ISBLANK(AC1077)," ",CONCATENATE(AC1077+7," Years")),IF(AA1077=" "," ",IF(NOT(ISBLANK(X1077)),VLOOKUP($D$3+X1077,Calcs!$A$110:$B$122,2,TRUE),IF(AA1077="Failed",VLOOKUP($D$3,Calcs!$A$110:$B$122,2,TRUE),VLOOKUP($D$3-(IF((Character!$B$9+W1077)&gt;($D$3+Y1077),(Character!$B$9+W1077)-($D$3+Y1077),0)),Calcs!$A$110:$B$122,2,TRUE)))))</f>
        <v xml:space="preserve"> </v>
      </c>
      <c r="AE1077" s="490"/>
      <c r="AF1077" s="879"/>
      <c r="AG1077" s="491"/>
    </row>
    <row r="1078" spans="1:33" x14ac:dyDescent="0.2">
      <c r="A1078" s="415">
        <f t="shared" si="32"/>
        <v>1479</v>
      </c>
      <c r="B1078" s="419" t="str">
        <f t="shared" si="33"/>
        <v>Summer</v>
      </c>
      <c r="C1078" s="455"/>
      <c r="D1078" s="504"/>
      <c r="E1078" s="455"/>
      <c r="F1078" s="504"/>
      <c r="G1078" s="455"/>
      <c r="H1078" s="504"/>
      <c r="I1078" s="455"/>
      <c r="J1078" s="504"/>
      <c r="L1078" s="472"/>
      <c r="M1078" s="468"/>
      <c r="N1078" s="468"/>
      <c r="O1078" s="468"/>
      <c r="P1078" s="468"/>
      <c r="Q1078" s="473"/>
      <c r="R1078" s="477" t="str">
        <f>IF(AND(COUNTIF('Start Character'!$I$63:$M$77,"Twilight Prone")=1,NOT(ISERROR(FIND("Magical Botch",M1078)))),"Yes",IF(P1078&gt;1,"Yes","No"))</f>
        <v>No</v>
      </c>
      <c r="S1078" s="501"/>
      <c r="T1078" s="478"/>
      <c r="U1078" s="501"/>
      <c r="V1078" s="479" t="str">
        <f>IF(R1078="No","No Twilight",IF(T1078="Yes","Uncomprehended Twilight",IF((Character!$B$14+IF(Character!$B$53="Yes",0,Character!$B$53)+IF(Magic!$C$5="Yes",2,0)+ROUNDUP((Magic!$B$30+IF(Magic!$C$30="Yes",3,0))/5,0)+S1078)&gt;=($D$3+P1078+SUMIF(Character!$I$62:$I$66,"Enigmatic Wisdom",Character!$J$62:$J$66)+Q1078+U1078),"No Twilight","Twilight")))</f>
        <v>No Twilight</v>
      </c>
      <c r="W1078" s="483"/>
      <c r="X1078" s="478"/>
      <c r="Y1078" s="484"/>
      <c r="Z1078" s="478"/>
      <c r="AA1078" s="485" t="str">
        <f>IF(V1078="Uncomprehended Twilight","Failed",IF(OR(ISBLANK(W1078),ISBLANK(Y1078))," ",IF(NOT(ISBLANK(X1078)),"Failed",IF((W1078+Character!$B$9+SUMIF(Character!$I$62:$I$66,"Enigmatic Wisdom",Character!$J$62:$J$66))&gt;=IF(Z1078="Yes",0,(Y1078+D1073)),"Succeeded","Failed"))))</f>
        <v xml:space="preserve"> </v>
      </c>
      <c r="AB1078" s="477" t="str">
        <f>IF(AA1078=" "," ",IF(NOT(ISBLANK(X1078)),VLOOKUP($D$3+X1078,Calcs!$A$110:$C$122,3,TRUE),IF(AA1078="Failed",VLOOKUP($D$3,Calcs!$A$110:$C$122,3,TRUE),VLOOKUP($D$3-(IF((Character!$B$9+W1078)&gt;($D$3+Y1078),(Character!$B$9+W1078)-($D$3+Y1078),0)),Calcs!$A$110:$C$122,3,TRUE))))</f>
        <v xml:space="preserve"> </v>
      </c>
      <c r="AC1078" s="489"/>
      <c r="AD1078" s="489" t="str">
        <f>IF(IF(AA1078=" "," ",IF(NOT(ISBLANK(X1078)),VLOOKUP($D$3+X1078,Calcs!$A$110:$B$122,2,TRUE),IF(AA1078="Failed",VLOOKUP($D$3,Calcs!$A$110:$B$122,2,TRUE),VLOOKUP($D$3-(IF((Character!$B$9+W1078)&gt;($D$3+Y1078),(Character!$B$9+W1078)-($D$3+Y1078),0)),Calcs!$A$110:$B$122,2,TRUE))))=Calcs!$B$120,IF(ISBLANK(AC1078)," ",CONCATENATE(AC1078+7," Years")),IF(AA1078=" "," ",IF(NOT(ISBLANK(X1078)),VLOOKUP($D$3+X1078,Calcs!$A$110:$B$122,2,TRUE),IF(AA1078="Failed",VLOOKUP($D$3,Calcs!$A$110:$B$122,2,TRUE),VLOOKUP($D$3-(IF((Character!$B$9+W1078)&gt;($D$3+Y1078),(Character!$B$9+W1078)-($D$3+Y1078),0)),Calcs!$A$110:$B$122,2,TRUE)))))</f>
        <v xml:space="preserve"> </v>
      </c>
      <c r="AE1078" s="490"/>
      <c r="AF1078" s="879"/>
      <c r="AG1078" s="491"/>
    </row>
    <row r="1079" spans="1:33" x14ac:dyDescent="0.2">
      <c r="A1079" s="415">
        <f t="shared" si="32"/>
        <v>1479</v>
      </c>
      <c r="B1079" s="419" t="str">
        <f t="shared" si="33"/>
        <v>Autumn</v>
      </c>
      <c r="C1079" s="455"/>
      <c r="D1079" s="504"/>
      <c r="E1079" s="455"/>
      <c r="F1079" s="504"/>
      <c r="G1079" s="455"/>
      <c r="H1079" s="504"/>
      <c r="I1079" s="455"/>
      <c r="J1079" s="504"/>
      <c r="L1079" s="472"/>
      <c r="M1079" s="468"/>
      <c r="N1079" s="468"/>
      <c r="O1079" s="468"/>
      <c r="P1079" s="468"/>
      <c r="Q1079" s="473"/>
      <c r="R1079" s="477" t="str">
        <f>IF(AND(COUNTIF('Start Character'!$I$63:$M$77,"Twilight Prone")=1,NOT(ISERROR(FIND("Magical Botch",M1079)))),"Yes",IF(P1079&gt;1,"Yes","No"))</f>
        <v>No</v>
      </c>
      <c r="S1079" s="501"/>
      <c r="T1079" s="478"/>
      <c r="U1079" s="501"/>
      <c r="V1079" s="479" t="str">
        <f>IF(R1079="No","No Twilight",IF(T1079="Yes","Uncomprehended Twilight",IF((Character!$B$14+IF(Character!$B$53="Yes",0,Character!$B$53)+IF(Magic!$C$5="Yes",2,0)+ROUNDUP((Magic!$B$30+IF(Magic!$C$30="Yes",3,0))/5,0)+S1079)&gt;=($D$3+P1079+SUMIF(Character!$I$62:$I$66,"Enigmatic Wisdom",Character!$J$62:$J$66)+Q1079+U1079),"No Twilight","Twilight")))</f>
        <v>No Twilight</v>
      </c>
      <c r="W1079" s="483"/>
      <c r="X1079" s="478"/>
      <c r="Y1079" s="484"/>
      <c r="Z1079" s="478"/>
      <c r="AA1079" s="485" t="str">
        <f>IF(V1079="Uncomprehended Twilight","Failed",IF(OR(ISBLANK(W1079),ISBLANK(Y1079))," ",IF(NOT(ISBLANK(X1079)),"Failed",IF((W1079+Character!$B$9+SUMIF(Character!$I$62:$I$66,"Enigmatic Wisdom",Character!$J$62:$J$66))&gt;=IF(Z1079="Yes",0,(Y1079+D1074)),"Succeeded","Failed"))))</f>
        <v xml:space="preserve"> </v>
      </c>
      <c r="AB1079" s="477" t="str">
        <f>IF(AA1079=" "," ",IF(NOT(ISBLANK(X1079)),VLOOKUP($D$3+X1079,Calcs!$A$110:$C$122,3,TRUE),IF(AA1079="Failed",VLOOKUP($D$3,Calcs!$A$110:$C$122,3,TRUE),VLOOKUP($D$3-(IF((Character!$B$9+W1079)&gt;($D$3+Y1079),(Character!$B$9+W1079)-($D$3+Y1079),0)),Calcs!$A$110:$C$122,3,TRUE))))</f>
        <v xml:space="preserve"> </v>
      </c>
      <c r="AC1079" s="489"/>
      <c r="AD1079" s="489" t="str">
        <f>IF(IF(AA1079=" "," ",IF(NOT(ISBLANK(X1079)),VLOOKUP($D$3+X1079,Calcs!$A$110:$B$122,2,TRUE),IF(AA1079="Failed",VLOOKUP($D$3,Calcs!$A$110:$B$122,2,TRUE),VLOOKUP($D$3-(IF((Character!$B$9+W1079)&gt;($D$3+Y1079),(Character!$B$9+W1079)-($D$3+Y1079),0)),Calcs!$A$110:$B$122,2,TRUE))))=Calcs!$B$120,IF(ISBLANK(AC1079)," ",CONCATENATE(AC1079+7," Years")),IF(AA1079=" "," ",IF(NOT(ISBLANK(X1079)),VLOOKUP($D$3+X1079,Calcs!$A$110:$B$122,2,TRUE),IF(AA1079="Failed",VLOOKUP($D$3,Calcs!$A$110:$B$122,2,TRUE),VLOOKUP($D$3-(IF((Character!$B$9+W1079)&gt;($D$3+Y1079),(Character!$B$9+W1079)-($D$3+Y1079),0)),Calcs!$A$110:$B$122,2,TRUE)))))</f>
        <v xml:space="preserve"> </v>
      </c>
      <c r="AE1079" s="490"/>
      <c r="AF1079" s="879"/>
      <c r="AG1079" s="491"/>
    </row>
    <row r="1080" spans="1:33" x14ac:dyDescent="0.2">
      <c r="A1080" s="415">
        <f t="shared" si="32"/>
        <v>1480</v>
      </c>
      <c r="B1080" s="419" t="str">
        <f t="shared" si="33"/>
        <v>Winter</v>
      </c>
      <c r="C1080" s="455"/>
      <c r="D1080" s="504"/>
      <c r="E1080" s="455"/>
      <c r="F1080" s="504"/>
      <c r="G1080" s="455"/>
      <c r="H1080" s="504"/>
      <c r="I1080" s="455"/>
      <c r="J1080" s="504"/>
      <c r="L1080" s="472"/>
      <c r="M1080" s="468"/>
      <c r="N1080" s="468"/>
      <c r="O1080" s="468"/>
      <c r="P1080" s="468"/>
      <c r="Q1080" s="473"/>
      <c r="R1080" s="477" t="str">
        <f>IF(AND(COUNTIF('Start Character'!$I$63:$M$77,"Twilight Prone")=1,NOT(ISERROR(FIND("Magical Botch",M1080)))),"Yes",IF(P1080&gt;1,"Yes","No"))</f>
        <v>No</v>
      </c>
      <c r="S1080" s="501"/>
      <c r="T1080" s="478"/>
      <c r="U1080" s="501"/>
      <c r="V1080" s="479" t="str">
        <f>IF(R1080="No","No Twilight",IF(T1080="Yes","Uncomprehended Twilight",IF((Character!$B$14+IF(Character!$B$53="Yes",0,Character!$B$53)+IF(Magic!$C$5="Yes",2,0)+ROUNDUP((Magic!$B$30+IF(Magic!$C$30="Yes",3,0))/5,0)+S1080)&gt;=($D$3+P1080+SUMIF(Character!$I$62:$I$66,"Enigmatic Wisdom",Character!$J$62:$J$66)+Q1080+U1080),"No Twilight","Twilight")))</f>
        <v>No Twilight</v>
      </c>
      <c r="W1080" s="483"/>
      <c r="X1080" s="478"/>
      <c r="Y1080" s="484"/>
      <c r="Z1080" s="478"/>
      <c r="AA1080" s="485" t="str">
        <f>IF(V1080="Uncomprehended Twilight","Failed",IF(OR(ISBLANK(W1080),ISBLANK(Y1080))," ",IF(NOT(ISBLANK(X1080)),"Failed",IF((W1080+Character!$B$9+SUMIF(Character!$I$62:$I$66,"Enigmatic Wisdom",Character!$J$62:$J$66))&gt;=IF(Z1080="Yes",0,(Y1080+D1075)),"Succeeded","Failed"))))</f>
        <v xml:space="preserve"> </v>
      </c>
      <c r="AB1080" s="477" t="str">
        <f>IF(AA1080=" "," ",IF(NOT(ISBLANK(X1080)),VLOOKUP($D$3+X1080,Calcs!$A$110:$C$122,3,TRUE),IF(AA1080="Failed",VLOOKUP($D$3,Calcs!$A$110:$C$122,3,TRUE),VLOOKUP($D$3-(IF((Character!$B$9+W1080)&gt;($D$3+Y1080),(Character!$B$9+W1080)-($D$3+Y1080),0)),Calcs!$A$110:$C$122,3,TRUE))))</f>
        <v xml:space="preserve"> </v>
      </c>
      <c r="AC1080" s="489"/>
      <c r="AD1080" s="489" t="str">
        <f>IF(IF(AA1080=" "," ",IF(NOT(ISBLANK(X1080)),VLOOKUP($D$3+X1080,Calcs!$A$110:$B$122,2,TRUE),IF(AA1080="Failed",VLOOKUP($D$3,Calcs!$A$110:$B$122,2,TRUE),VLOOKUP($D$3-(IF((Character!$B$9+W1080)&gt;($D$3+Y1080),(Character!$B$9+W1080)-($D$3+Y1080),0)),Calcs!$A$110:$B$122,2,TRUE))))=Calcs!$B$120,IF(ISBLANK(AC1080)," ",CONCATENATE(AC1080+7," Years")),IF(AA1080=" "," ",IF(NOT(ISBLANK(X1080)),VLOOKUP($D$3+X1080,Calcs!$A$110:$B$122,2,TRUE),IF(AA1080="Failed",VLOOKUP($D$3,Calcs!$A$110:$B$122,2,TRUE),VLOOKUP($D$3-(IF((Character!$B$9+W1080)&gt;($D$3+Y1080),(Character!$B$9+W1080)-($D$3+Y1080),0)),Calcs!$A$110:$B$122,2,TRUE)))))</f>
        <v xml:space="preserve"> </v>
      </c>
      <c r="AE1080" s="490"/>
      <c r="AF1080" s="879"/>
      <c r="AG1080" s="491"/>
    </row>
    <row r="1081" spans="1:33" x14ac:dyDescent="0.2">
      <c r="A1081" s="415">
        <f t="shared" si="32"/>
        <v>1480</v>
      </c>
      <c r="B1081" s="419" t="str">
        <f t="shared" si="33"/>
        <v>Spring</v>
      </c>
      <c r="C1081" s="455"/>
      <c r="D1081" s="504"/>
      <c r="E1081" s="455"/>
      <c r="F1081" s="504"/>
      <c r="G1081" s="455"/>
      <c r="H1081" s="504"/>
      <c r="I1081" s="455"/>
      <c r="J1081" s="504"/>
      <c r="L1081" s="472"/>
      <c r="M1081" s="468"/>
      <c r="N1081" s="468"/>
      <c r="O1081" s="468"/>
      <c r="P1081" s="468"/>
      <c r="Q1081" s="473"/>
      <c r="R1081" s="477" t="str">
        <f>IF(AND(COUNTIF('Start Character'!$I$63:$M$77,"Twilight Prone")=1,NOT(ISERROR(FIND("Magical Botch",M1081)))),"Yes",IF(P1081&gt;1,"Yes","No"))</f>
        <v>No</v>
      </c>
      <c r="S1081" s="501"/>
      <c r="T1081" s="478"/>
      <c r="U1081" s="501"/>
      <c r="V1081" s="479" t="str">
        <f>IF(R1081="No","No Twilight",IF(T1081="Yes","Uncomprehended Twilight",IF((Character!$B$14+IF(Character!$B$53="Yes",0,Character!$B$53)+IF(Magic!$C$5="Yes",2,0)+ROUNDUP((Magic!$B$30+IF(Magic!$C$30="Yes",3,0))/5,0)+S1081)&gt;=($D$3+P1081+SUMIF(Character!$I$62:$I$66,"Enigmatic Wisdom",Character!$J$62:$J$66)+Q1081+U1081),"No Twilight","Twilight")))</f>
        <v>No Twilight</v>
      </c>
      <c r="W1081" s="483"/>
      <c r="X1081" s="478"/>
      <c r="Y1081" s="484"/>
      <c r="Z1081" s="478"/>
      <c r="AA1081" s="485" t="str">
        <f>IF(V1081="Uncomprehended Twilight","Failed",IF(OR(ISBLANK(W1081),ISBLANK(Y1081))," ",IF(NOT(ISBLANK(X1081)),"Failed",IF((W1081+Character!$B$9+SUMIF(Character!$I$62:$I$66,"Enigmatic Wisdom",Character!$J$62:$J$66))&gt;=IF(Z1081="Yes",0,(Y1081+D1076)),"Succeeded","Failed"))))</f>
        <v xml:space="preserve"> </v>
      </c>
      <c r="AB1081" s="477" t="str">
        <f>IF(AA1081=" "," ",IF(NOT(ISBLANK(X1081)),VLOOKUP($D$3+X1081,Calcs!$A$110:$C$122,3,TRUE),IF(AA1081="Failed",VLOOKUP($D$3,Calcs!$A$110:$C$122,3,TRUE),VLOOKUP($D$3-(IF((Character!$B$9+W1081)&gt;($D$3+Y1081),(Character!$B$9+W1081)-($D$3+Y1081),0)),Calcs!$A$110:$C$122,3,TRUE))))</f>
        <v xml:space="preserve"> </v>
      </c>
      <c r="AC1081" s="489"/>
      <c r="AD1081" s="489" t="str">
        <f>IF(IF(AA1081=" "," ",IF(NOT(ISBLANK(X1081)),VLOOKUP($D$3+X1081,Calcs!$A$110:$B$122,2,TRUE),IF(AA1081="Failed",VLOOKUP($D$3,Calcs!$A$110:$B$122,2,TRUE),VLOOKUP($D$3-(IF((Character!$B$9+W1081)&gt;($D$3+Y1081),(Character!$B$9+W1081)-($D$3+Y1081),0)),Calcs!$A$110:$B$122,2,TRUE))))=Calcs!$B$120,IF(ISBLANK(AC1081)," ",CONCATENATE(AC1081+7," Years")),IF(AA1081=" "," ",IF(NOT(ISBLANK(X1081)),VLOOKUP($D$3+X1081,Calcs!$A$110:$B$122,2,TRUE),IF(AA1081="Failed",VLOOKUP($D$3,Calcs!$A$110:$B$122,2,TRUE),VLOOKUP($D$3-(IF((Character!$B$9+W1081)&gt;($D$3+Y1081),(Character!$B$9+W1081)-($D$3+Y1081),0)),Calcs!$A$110:$B$122,2,TRUE)))))</f>
        <v xml:space="preserve"> </v>
      </c>
      <c r="AE1081" s="490"/>
      <c r="AF1081" s="879"/>
      <c r="AG1081" s="491"/>
    </row>
    <row r="1082" spans="1:33" x14ac:dyDescent="0.2">
      <c r="A1082" s="415">
        <f t="shared" si="32"/>
        <v>1480</v>
      </c>
      <c r="B1082" s="419" t="str">
        <f t="shared" si="33"/>
        <v>Summer</v>
      </c>
      <c r="C1082" s="455"/>
      <c r="D1082" s="504"/>
      <c r="E1082" s="455"/>
      <c r="F1082" s="504"/>
      <c r="G1082" s="455"/>
      <c r="H1082" s="504"/>
      <c r="I1082" s="455"/>
      <c r="J1082" s="504"/>
      <c r="L1082" s="472"/>
      <c r="M1082" s="468"/>
      <c r="N1082" s="468"/>
      <c r="O1082" s="468"/>
      <c r="P1082" s="468"/>
      <c r="Q1082" s="473"/>
      <c r="R1082" s="477" t="str">
        <f>IF(AND(COUNTIF('Start Character'!$I$63:$M$77,"Twilight Prone")=1,NOT(ISERROR(FIND("Magical Botch",M1082)))),"Yes",IF(P1082&gt;1,"Yes","No"))</f>
        <v>No</v>
      </c>
      <c r="S1082" s="501"/>
      <c r="T1082" s="478"/>
      <c r="U1082" s="501"/>
      <c r="V1082" s="479" t="str">
        <f>IF(R1082="No","No Twilight",IF(T1082="Yes","Uncomprehended Twilight",IF((Character!$B$14+IF(Character!$B$53="Yes",0,Character!$B$53)+IF(Magic!$C$5="Yes",2,0)+ROUNDUP((Magic!$B$30+IF(Magic!$C$30="Yes",3,0))/5,0)+S1082)&gt;=($D$3+P1082+SUMIF(Character!$I$62:$I$66,"Enigmatic Wisdom",Character!$J$62:$J$66)+Q1082+U1082),"No Twilight","Twilight")))</f>
        <v>No Twilight</v>
      </c>
      <c r="W1082" s="483"/>
      <c r="X1082" s="478"/>
      <c r="Y1082" s="484"/>
      <c r="Z1082" s="478"/>
      <c r="AA1082" s="485" t="str">
        <f>IF(V1082="Uncomprehended Twilight","Failed",IF(OR(ISBLANK(W1082),ISBLANK(Y1082))," ",IF(NOT(ISBLANK(X1082)),"Failed",IF((W1082+Character!$B$9+SUMIF(Character!$I$62:$I$66,"Enigmatic Wisdom",Character!$J$62:$J$66))&gt;=IF(Z1082="Yes",0,(Y1082+D1077)),"Succeeded","Failed"))))</f>
        <v xml:space="preserve"> </v>
      </c>
      <c r="AB1082" s="477" t="str">
        <f>IF(AA1082=" "," ",IF(NOT(ISBLANK(X1082)),VLOOKUP($D$3+X1082,Calcs!$A$110:$C$122,3,TRUE),IF(AA1082="Failed",VLOOKUP($D$3,Calcs!$A$110:$C$122,3,TRUE),VLOOKUP($D$3-(IF((Character!$B$9+W1082)&gt;($D$3+Y1082),(Character!$B$9+W1082)-($D$3+Y1082),0)),Calcs!$A$110:$C$122,3,TRUE))))</f>
        <v xml:space="preserve"> </v>
      </c>
      <c r="AC1082" s="489"/>
      <c r="AD1082" s="489" t="str">
        <f>IF(IF(AA1082=" "," ",IF(NOT(ISBLANK(X1082)),VLOOKUP($D$3+X1082,Calcs!$A$110:$B$122,2,TRUE),IF(AA1082="Failed",VLOOKUP($D$3,Calcs!$A$110:$B$122,2,TRUE),VLOOKUP($D$3-(IF((Character!$B$9+W1082)&gt;($D$3+Y1082),(Character!$B$9+W1082)-($D$3+Y1082),0)),Calcs!$A$110:$B$122,2,TRUE))))=Calcs!$B$120,IF(ISBLANK(AC1082)," ",CONCATENATE(AC1082+7," Years")),IF(AA1082=" "," ",IF(NOT(ISBLANK(X1082)),VLOOKUP($D$3+X1082,Calcs!$A$110:$B$122,2,TRUE),IF(AA1082="Failed",VLOOKUP($D$3,Calcs!$A$110:$B$122,2,TRUE),VLOOKUP($D$3-(IF((Character!$B$9+W1082)&gt;($D$3+Y1082),(Character!$B$9+W1082)-($D$3+Y1082),0)),Calcs!$A$110:$B$122,2,TRUE)))))</f>
        <v xml:space="preserve"> </v>
      </c>
      <c r="AE1082" s="490"/>
      <c r="AF1082" s="879"/>
      <c r="AG1082" s="491"/>
    </row>
    <row r="1083" spans="1:33" x14ac:dyDescent="0.2">
      <c r="A1083" s="415">
        <f t="shared" si="32"/>
        <v>1480</v>
      </c>
      <c r="B1083" s="419" t="str">
        <f t="shared" si="33"/>
        <v>Autumn</v>
      </c>
      <c r="C1083" s="455"/>
      <c r="D1083" s="504"/>
      <c r="E1083" s="455"/>
      <c r="F1083" s="504"/>
      <c r="G1083" s="455"/>
      <c r="H1083" s="504"/>
      <c r="I1083" s="455"/>
      <c r="J1083" s="504"/>
      <c r="L1083" s="472"/>
      <c r="M1083" s="468"/>
      <c r="N1083" s="468"/>
      <c r="O1083" s="468"/>
      <c r="P1083" s="468"/>
      <c r="Q1083" s="473"/>
      <c r="R1083" s="477" t="str">
        <f>IF(AND(COUNTIF('Start Character'!$I$63:$M$77,"Twilight Prone")=1,NOT(ISERROR(FIND("Magical Botch",M1083)))),"Yes",IF(P1083&gt;1,"Yes","No"))</f>
        <v>No</v>
      </c>
      <c r="S1083" s="501"/>
      <c r="T1083" s="478"/>
      <c r="U1083" s="501"/>
      <c r="V1083" s="479" t="str">
        <f>IF(R1083="No","No Twilight",IF(T1083="Yes","Uncomprehended Twilight",IF((Character!$B$14+IF(Character!$B$53="Yes",0,Character!$B$53)+IF(Magic!$C$5="Yes",2,0)+ROUNDUP((Magic!$B$30+IF(Magic!$C$30="Yes",3,0))/5,0)+S1083)&gt;=($D$3+P1083+SUMIF(Character!$I$62:$I$66,"Enigmatic Wisdom",Character!$J$62:$J$66)+Q1083+U1083),"No Twilight","Twilight")))</f>
        <v>No Twilight</v>
      </c>
      <c r="W1083" s="483"/>
      <c r="X1083" s="478"/>
      <c r="Y1083" s="484"/>
      <c r="Z1083" s="478"/>
      <c r="AA1083" s="485" t="str">
        <f>IF(V1083="Uncomprehended Twilight","Failed",IF(OR(ISBLANK(W1083),ISBLANK(Y1083))," ",IF(NOT(ISBLANK(X1083)),"Failed",IF((W1083+Character!$B$9+SUMIF(Character!$I$62:$I$66,"Enigmatic Wisdom",Character!$J$62:$J$66))&gt;=IF(Z1083="Yes",0,(Y1083+D1078)),"Succeeded","Failed"))))</f>
        <v xml:space="preserve"> </v>
      </c>
      <c r="AB1083" s="477" t="str">
        <f>IF(AA1083=" "," ",IF(NOT(ISBLANK(X1083)),VLOOKUP($D$3+X1083,Calcs!$A$110:$C$122,3,TRUE),IF(AA1083="Failed",VLOOKUP($D$3,Calcs!$A$110:$C$122,3,TRUE),VLOOKUP($D$3-(IF((Character!$B$9+W1083)&gt;($D$3+Y1083),(Character!$B$9+W1083)-($D$3+Y1083),0)),Calcs!$A$110:$C$122,3,TRUE))))</f>
        <v xml:space="preserve"> </v>
      </c>
      <c r="AC1083" s="489"/>
      <c r="AD1083" s="489" t="str">
        <f>IF(IF(AA1083=" "," ",IF(NOT(ISBLANK(X1083)),VLOOKUP($D$3+X1083,Calcs!$A$110:$B$122,2,TRUE),IF(AA1083="Failed",VLOOKUP($D$3,Calcs!$A$110:$B$122,2,TRUE),VLOOKUP($D$3-(IF((Character!$B$9+W1083)&gt;($D$3+Y1083),(Character!$B$9+W1083)-($D$3+Y1083),0)),Calcs!$A$110:$B$122,2,TRUE))))=Calcs!$B$120,IF(ISBLANK(AC1083)," ",CONCATENATE(AC1083+7," Years")),IF(AA1083=" "," ",IF(NOT(ISBLANK(X1083)),VLOOKUP($D$3+X1083,Calcs!$A$110:$B$122,2,TRUE),IF(AA1083="Failed",VLOOKUP($D$3,Calcs!$A$110:$B$122,2,TRUE),VLOOKUP($D$3-(IF((Character!$B$9+W1083)&gt;($D$3+Y1083),(Character!$B$9+W1083)-($D$3+Y1083),0)),Calcs!$A$110:$B$122,2,TRUE)))))</f>
        <v xml:space="preserve"> </v>
      </c>
      <c r="AE1083" s="490"/>
      <c r="AF1083" s="879"/>
      <c r="AG1083" s="491"/>
    </row>
    <row r="1084" spans="1:33" x14ac:dyDescent="0.2">
      <c r="A1084" s="415">
        <f t="shared" si="32"/>
        <v>1481</v>
      </c>
      <c r="B1084" s="419" t="str">
        <f t="shared" si="33"/>
        <v>Winter</v>
      </c>
      <c r="C1084" s="455"/>
      <c r="D1084" s="504"/>
      <c r="E1084" s="455"/>
      <c r="F1084" s="504"/>
      <c r="G1084" s="455"/>
      <c r="H1084" s="504"/>
      <c r="I1084" s="455"/>
      <c r="J1084" s="504"/>
      <c r="L1084" s="472"/>
      <c r="M1084" s="468"/>
      <c r="N1084" s="468"/>
      <c r="O1084" s="468"/>
      <c r="P1084" s="468"/>
      <c r="Q1084" s="473"/>
      <c r="R1084" s="477" t="str">
        <f>IF(AND(COUNTIF('Start Character'!$I$63:$M$77,"Twilight Prone")=1,NOT(ISERROR(FIND("Magical Botch",M1084)))),"Yes",IF(P1084&gt;1,"Yes","No"))</f>
        <v>No</v>
      </c>
      <c r="S1084" s="501"/>
      <c r="T1084" s="478"/>
      <c r="U1084" s="501"/>
      <c r="V1084" s="479" t="str">
        <f>IF(R1084="No","No Twilight",IF(T1084="Yes","Uncomprehended Twilight",IF((Character!$B$14+IF(Character!$B$53="Yes",0,Character!$B$53)+IF(Magic!$C$5="Yes",2,0)+ROUNDUP((Magic!$B$30+IF(Magic!$C$30="Yes",3,0))/5,0)+S1084)&gt;=($D$3+P1084+SUMIF(Character!$I$62:$I$66,"Enigmatic Wisdom",Character!$J$62:$J$66)+Q1084+U1084),"No Twilight","Twilight")))</f>
        <v>No Twilight</v>
      </c>
      <c r="W1084" s="483"/>
      <c r="X1084" s="478"/>
      <c r="Y1084" s="484"/>
      <c r="Z1084" s="478"/>
      <c r="AA1084" s="485" t="str">
        <f>IF(V1084="Uncomprehended Twilight","Failed",IF(OR(ISBLANK(W1084),ISBLANK(Y1084))," ",IF(NOT(ISBLANK(X1084)),"Failed",IF((W1084+Character!$B$9+SUMIF(Character!$I$62:$I$66,"Enigmatic Wisdom",Character!$J$62:$J$66))&gt;=IF(Z1084="Yes",0,(Y1084+D1079)),"Succeeded","Failed"))))</f>
        <v xml:space="preserve"> </v>
      </c>
      <c r="AB1084" s="477" t="str">
        <f>IF(AA1084=" "," ",IF(NOT(ISBLANK(X1084)),VLOOKUP($D$3+X1084,Calcs!$A$110:$C$122,3,TRUE),IF(AA1084="Failed",VLOOKUP($D$3,Calcs!$A$110:$C$122,3,TRUE),VLOOKUP($D$3-(IF((Character!$B$9+W1084)&gt;($D$3+Y1084),(Character!$B$9+W1084)-($D$3+Y1084),0)),Calcs!$A$110:$C$122,3,TRUE))))</f>
        <v xml:space="preserve"> </v>
      </c>
      <c r="AC1084" s="489"/>
      <c r="AD1084" s="489" t="str">
        <f>IF(IF(AA1084=" "," ",IF(NOT(ISBLANK(X1084)),VLOOKUP($D$3+X1084,Calcs!$A$110:$B$122,2,TRUE),IF(AA1084="Failed",VLOOKUP($D$3,Calcs!$A$110:$B$122,2,TRUE),VLOOKUP($D$3-(IF((Character!$B$9+W1084)&gt;($D$3+Y1084),(Character!$B$9+W1084)-($D$3+Y1084),0)),Calcs!$A$110:$B$122,2,TRUE))))=Calcs!$B$120,IF(ISBLANK(AC1084)," ",CONCATENATE(AC1084+7," Years")),IF(AA1084=" "," ",IF(NOT(ISBLANK(X1084)),VLOOKUP($D$3+X1084,Calcs!$A$110:$B$122,2,TRUE),IF(AA1084="Failed",VLOOKUP($D$3,Calcs!$A$110:$B$122,2,TRUE),VLOOKUP($D$3-(IF((Character!$B$9+W1084)&gt;($D$3+Y1084),(Character!$B$9+W1084)-($D$3+Y1084),0)),Calcs!$A$110:$B$122,2,TRUE)))))</f>
        <v xml:space="preserve"> </v>
      </c>
      <c r="AE1084" s="490"/>
      <c r="AF1084" s="879"/>
      <c r="AG1084" s="491"/>
    </row>
    <row r="1085" spans="1:33" x14ac:dyDescent="0.2">
      <c r="A1085" s="415">
        <f t="shared" si="32"/>
        <v>1481</v>
      </c>
      <c r="B1085" s="419" t="str">
        <f t="shared" si="33"/>
        <v>Spring</v>
      </c>
      <c r="C1085" s="455"/>
      <c r="D1085" s="504"/>
      <c r="E1085" s="455"/>
      <c r="F1085" s="504"/>
      <c r="G1085" s="455"/>
      <c r="H1085" s="504"/>
      <c r="I1085" s="455"/>
      <c r="J1085" s="504"/>
      <c r="L1085" s="472"/>
      <c r="M1085" s="468"/>
      <c r="N1085" s="468"/>
      <c r="O1085" s="468"/>
      <c r="P1085" s="468"/>
      <c r="Q1085" s="473"/>
      <c r="R1085" s="477" t="str">
        <f>IF(AND(COUNTIF('Start Character'!$I$63:$M$77,"Twilight Prone")=1,NOT(ISERROR(FIND("Magical Botch",M1085)))),"Yes",IF(P1085&gt;1,"Yes","No"))</f>
        <v>No</v>
      </c>
      <c r="S1085" s="501"/>
      <c r="T1085" s="478"/>
      <c r="U1085" s="501"/>
      <c r="V1085" s="479" t="str">
        <f>IF(R1085="No","No Twilight",IF(T1085="Yes","Uncomprehended Twilight",IF((Character!$B$14+IF(Character!$B$53="Yes",0,Character!$B$53)+IF(Magic!$C$5="Yes",2,0)+ROUNDUP((Magic!$B$30+IF(Magic!$C$30="Yes",3,0))/5,0)+S1085)&gt;=($D$3+P1085+SUMIF(Character!$I$62:$I$66,"Enigmatic Wisdom",Character!$J$62:$J$66)+Q1085+U1085),"No Twilight","Twilight")))</f>
        <v>No Twilight</v>
      </c>
      <c r="W1085" s="483"/>
      <c r="X1085" s="478"/>
      <c r="Y1085" s="484"/>
      <c r="Z1085" s="478"/>
      <c r="AA1085" s="485" t="str">
        <f>IF(V1085="Uncomprehended Twilight","Failed",IF(OR(ISBLANK(W1085),ISBLANK(Y1085))," ",IF(NOT(ISBLANK(X1085)),"Failed",IF((W1085+Character!$B$9+SUMIF(Character!$I$62:$I$66,"Enigmatic Wisdom",Character!$J$62:$J$66))&gt;=IF(Z1085="Yes",0,(Y1085+D1080)),"Succeeded","Failed"))))</f>
        <v xml:space="preserve"> </v>
      </c>
      <c r="AB1085" s="477" t="str">
        <f>IF(AA1085=" "," ",IF(NOT(ISBLANK(X1085)),VLOOKUP($D$3+X1085,Calcs!$A$110:$C$122,3,TRUE),IF(AA1085="Failed",VLOOKUP($D$3,Calcs!$A$110:$C$122,3,TRUE),VLOOKUP($D$3-(IF((Character!$B$9+W1085)&gt;($D$3+Y1085),(Character!$B$9+W1085)-($D$3+Y1085),0)),Calcs!$A$110:$C$122,3,TRUE))))</f>
        <v xml:space="preserve"> </v>
      </c>
      <c r="AC1085" s="489"/>
      <c r="AD1085" s="489" t="str">
        <f>IF(IF(AA1085=" "," ",IF(NOT(ISBLANK(X1085)),VLOOKUP($D$3+X1085,Calcs!$A$110:$B$122,2,TRUE),IF(AA1085="Failed",VLOOKUP($D$3,Calcs!$A$110:$B$122,2,TRUE),VLOOKUP($D$3-(IF((Character!$B$9+W1085)&gt;($D$3+Y1085),(Character!$B$9+W1085)-($D$3+Y1085),0)),Calcs!$A$110:$B$122,2,TRUE))))=Calcs!$B$120,IF(ISBLANK(AC1085)," ",CONCATENATE(AC1085+7," Years")),IF(AA1085=" "," ",IF(NOT(ISBLANK(X1085)),VLOOKUP($D$3+X1085,Calcs!$A$110:$B$122,2,TRUE),IF(AA1085="Failed",VLOOKUP($D$3,Calcs!$A$110:$B$122,2,TRUE),VLOOKUP($D$3-(IF((Character!$B$9+W1085)&gt;($D$3+Y1085),(Character!$B$9+W1085)-($D$3+Y1085),0)),Calcs!$A$110:$B$122,2,TRUE)))))</f>
        <v xml:space="preserve"> </v>
      </c>
      <c r="AE1085" s="490"/>
      <c r="AF1085" s="879"/>
      <c r="AG1085" s="491"/>
    </row>
    <row r="1086" spans="1:33" x14ac:dyDescent="0.2">
      <c r="A1086" s="415">
        <f t="shared" si="32"/>
        <v>1481</v>
      </c>
      <c r="B1086" s="419" t="str">
        <f t="shared" si="33"/>
        <v>Summer</v>
      </c>
      <c r="C1086" s="455"/>
      <c r="D1086" s="504"/>
      <c r="E1086" s="455"/>
      <c r="F1086" s="504"/>
      <c r="G1086" s="455"/>
      <c r="H1086" s="504"/>
      <c r="I1086" s="455"/>
      <c r="J1086" s="504"/>
      <c r="L1086" s="472"/>
      <c r="M1086" s="468"/>
      <c r="N1086" s="468"/>
      <c r="O1086" s="468"/>
      <c r="P1086" s="468"/>
      <c r="Q1086" s="473"/>
      <c r="R1086" s="477" t="str">
        <f>IF(AND(COUNTIF('Start Character'!$I$63:$M$77,"Twilight Prone")=1,NOT(ISERROR(FIND("Magical Botch",M1086)))),"Yes",IF(P1086&gt;1,"Yes","No"))</f>
        <v>No</v>
      </c>
      <c r="S1086" s="501"/>
      <c r="T1086" s="478"/>
      <c r="U1086" s="501"/>
      <c r="V1086" s="479" t="str">
        <f>IF(R1086="No","No Twilight",IF(T1086="Yes","Uncomprehended Twilight",IF((Character!$B$14+IF(Character!$B$53="Yes",0,Character!$B$53)+IF(Magic!$C$5="Yes",2,0)+ROUNDUP((Magic!$B$30+IF(Magic!$C$30="Yes",3,0))/5,0)+S1086)&gt;=($D$3+P1086+SUMIF(Character!$I$62:$I$66,"Enigmatic Wisdom",Character!$J$62:$J$66)+Q1086+U1086),"No Twilight","Twilight")))</f>
        <v>No Twilight</v>
      </c>
      <c r="W1086" s="483"/>
      <c r="X1086" s="478"/>
      <c r="Y1086" s="484"/>
      <c r="Z1086" s="478"/>
      <c r="AA1086" s="485" t="str">
        <f>IF(V1086="Uncomprehended Twilight","Failed",IF(OR(ISBLANK(W1086),ISBLANK(Y1086))," ",IF(NOT(ISBLANK(X1086)),"Failed",IF((W1086+Character!$B$9+SUMIF(Character!$I$62:$I$66,"Enigmatic Wisdom",Character!$J$62:$J$66))&gt;=IF(Z1086="Yes",0,(Y1086+D1081)),"Succeeded","Failed"))))</f>
        <v xml:space="preserve"> </v>
      </c>
      <c r="AB1086" s="477" t="str">
        <f>IF(AA1086=" "," ",IF(NOT(ISBLANK(X1086)),VLOOKUP($D$3+X1086,Calcs!$A$110:$C$122,3,TRUE),IF(AA1086="Failed",VLOOKUP($D$3,Calcs!$A$110:$C$122,3,TRUE),VLOOKUP($D$3-(IF((Character!$B$9+W1086)&gt;($D$3+Y1086),(Character!$B$9+W1086)-($D$3+Y1086),0)),Calcs!$A$110:$C$122,3,TRUE))))</f>
        <v xml:space="preserve"> </v>
      </c>
      <c r="AC1086" s="489"/>
      <c r="AD1086" s="489" t="str">
        <f>IF(IF(AA1086=" "," ",IF(NOT(ISBLANK(X1086)),VLOOKUP($D$3+X1086,Calcs!$A$110:$B$122,2,TRUE),IF(AA1086="Failed",VLOOKUP($D$3,Calcs!$A$110:$B$122,2,TRUE),VLOOKUP($D$3-(IF((Character!$B$9+W1086)&gt;($D$3+Y1086),(Character!$B$9+W1086)-($D$3+Y1086),0)),Calcs!$A$110:$B$122,2,TRUE))))=Calcs!$B$120,IF(ISBLANK(AC1086)," ",CONCATENATE(AC1086+7," Years")),IF(AA1086=" "," ",IF(NOT(ISBLANK(X1086)),VLOOKUP($D$3+X1086,Calcs!$A$110:$B$122,2,TRUE),IF(AA1086="Failed",VLOOKUP($D$3,Calcs!$A$110:$B$122,2,TRUE),VLOOKUP($D$3-(IF((Character!$B$9+W1086)&gt;($D$3+Y1086),(Character!$B$9+W1086)-($D$3+Y1086),0)),Calcs!$A$110:$B$122,2,TRUE)))))</f>
        <v xml:space="preserve"> </v>
      </c>
      <c r="AE1086" s="490"/>
      <c r="AF1086" s="879"/>
      <c r="AG1086" s="491"/>
    </row>
    <row r="1087" spans="1:33" x14ac:dyDescent="0.2">
      <c r="A1087" s="415">
        <f t="shared" si="32"/>
        <v>1481</v>
      </c>
      <c r="B1087" s="419" t="str">
        <f t="shared" si="33"/>
        <v>Autumn</v>
      </c>
      <c r="C1087" s="455"/>
      <c r="D1087" s="504"/>
      <c r="E1087" s="455"/>
      <c r="F1087" s="504"/>
      <c r="G1087" s="455"/>
      <c r="H1087" s="504"/>
      <c r="I1087" s="455"/>
      <c r="J1087" s="504"/>
      <c r="L1087" s="472"/>
      <c r="M1087" s="468"/>
      <c r="N1087" s="468"/>
      <c r="O1087" s="468"/>
      <c r="P1087" s="468"/>
      <c r="Q1087" s="473"/>
      <c r="R1087" s="477" t="str">
        <f>IF(AND(COUNTIF('Start Character'!$I$63:$M$77,"Twilight Prone")=1,NOT(ISERROR(FIND("Magical Botch",M1087)))),"Yes",IF(P1087&gt;1,"Yes","No"))</f>
        <v>No</v>
      </c>
      <c r="S1087" s="501"/>
      <c r="T1087" s="478"/>
      <c r="U1087" s="501"/>
      <c r="V1087" s="479" t="str">
        <f>IF(R1087="No","No Twilight",IF(T1087="Yes","Uncomprehended Twilight",IF((Character!$B$14+IF(Character!$B$53="Yes",0,Character!$B$53)+IF(Magic!$C$5="Yes",2,0)+ROUNDUP((Magic!$B$30+IF(Magic!$C$30="Yes",3,0))/5,0)+S1087)&gt;=($D$3+P1087+SUMIF(Character!$I$62:$I$66,"Enigmatic Wisdom",Character!$J$62:$J$66)+Q1087+U1087),"No Twilight","Twilight")))</f>
        <v>No Twilight</v>
      </c>
      <c r="W1087" s="483"/>
      <c r="X1087" s="478"/>
      <c r="Y1087" s="484"/>
      <c r="Z1087" s="478"/>
      <c r="AA1087" s="485" t="str">
        <f>IF(V1087="Uncomprehended Twilight","Failed",IF(OR(ISBLANK(W1087),ISBLANK(Y1087))," ",IF(NOT(ISBLANK(X1087)),"Failed",IF((W1087+Character!$B$9+SUMIF(Character!$I$62:$I$66,"Enigmatic Wisdom",Character!$J$62:$J$66))&gt;=IF(Z1087="Yes",0,(Y1087+D1082)),"Succeeded","Failed"))))</f>
        <v xml:space="preserve"> </v>
      </c>
      <c r="AB1087" s="477" t="str">
        <f>IF(AA1087=" "," ",IF(NOT(ISBLANK(X1087)),VLOOKUP($D$3+X1087,Calcs!$A$110:$C$122,3,TRUE),IF(AA1087="Failed",VLOOKUP($D$3,Calcs!$A$110:$C$122,3,TRUE),VLOOKUP($D$3-(IF((Character!$B$9+W1087)&gt;($D$3+Y1087),(Character!$B$9+W1087)-($D$3+Y1087),0)),Calcs!$A$110:$C$122,3,TRUE))))</f>
        <v xml:space="preserve"> </v>
      </c>
      <c r="AC1087" s="489"/>
      <c r="AD1087" s="489" t="str">
        <f>IF(IF(AA1087=" "," ",IF(NOT(ISBLANK(X1087)),VLOOKUP($D$3+X1087,Calcs!$A$110:$B$122,2,TRUE),IF(AA1087="Failed",VLOOKUP($D$3,Calcs!$A$110:$B$122,2,TRUE),VLOOKUP($D$3-(IF((Character!$B$9+W1087)&gt;($D$3+Y1087),(Character!$B$9+W1087)-($D$3+Y1087),0)),Calcs!$A$110:$B$122,2,TRUE))))=Calcs!$B$120,IF(ISBLANK(AC1087)," ",CONCATENATE(AC1087+7," Years")),IF(AA1087=" "," ",IF(NOT(ISBLANK(X1087)),VLOOKUP($D$3+X1087,Calcs!$A$110:$B$122,2,TRUE),IF(AA1087="Failed",VLOOKUP($D$3,Calcs!$A$110:$B$122,2,TRUE),VLOOKUP($D$3-(IF((Character!$B$9+W1087)&gt;($D$3+Y1087),(Character!$B$9+W1087)-($D$3+Y1087),0)),Calcs!$A$110:$B$122,2,TRUE)))))</f>
        <v xml:space="preserve"> </v>
      </c>
      <c r="AE1087" s="490"/>
      <c r="AF1087" s="879"/>
      <c r="AG1087" s="491"/>
    </row>
    <row r="1088" spans="1:33" x14ac:dyDescent="0.2">
      <c r="A1088" s="415">
        <f t="shared" si="32"/>
        <v>1482</v>
      </c>
      <c r="B1088" s="419" t="str">
        <f t="shared" si="33"/>
        <v>Winter</v>
      </c>
      <c r="C1088" s="455"/>
      <c r="D1088" s="504"/>
      <c r="E1088" s="455"/>
      <c r="F1088" s="504"/>
      <c r="G1088" s="455"/>
      <c r="H1088" s="504"/>
      <c r="I1088" s="455"/>
      <c r="J1088" s="504"/>
      <c r="L1088" s="472"/>
      <c r="M1088" s="468"/>
      <c r="N1088" s="468"/>
      <c r="O1088" s="468"/>
      <c r="P1088" s="468"/>
      <c r="Q1088" s="473"/>
      <c r="R1088" s="477" t="str">
        <f>IF(AND(COUNTIF('Start Character'!$I$63:$M$77,"Twilight Prone")=1,NOT(ISERROR(FIND("Magical Botch",M1088)))),"Yes",IF(P1088&gt;1,"Yes","No"))</f>
        <v>No</v>
      </c>
      <c r="S1088" s="501"/>
      <c r="T1088" s="478"/>
      <c r="U1088" s="501"/>
      <c r="V1088" s="479" t="str">
        <f>IF(R1088="No","No Twilight",IF(T1088="Yes","Uncomprehended Twilight",IF((Character!$B$14+IF(Character!$B$53="Yes",0,Character!$B$53)+IF(Magic!$C$5="Yes",2,0)+ROUNDUP((Magic!$B$30+IF(Magic!$C$30="Yes",3,0))/5,0)+S1088)&gt;=($D$3+P1088+SUMIF(Character!$I$62:$I$66,"Enigmatic Wisdom",Character!$J$62:$J$66)+Q1088+U1088),"No Twilight","Twilight")))</f>
        <v>No Twilight</v>
      </c>
      <c r="W1088" s="483"/>
      <c r="X1088" s="478"/>
      <c r="Y1088" s="484"/>
      <c r="Z1088" s="478"/>
      <c r="AA1088" s="485" t="str">
        <f>IF(V1088="Uncomprehended Twilight","Failed",IF(OR(ISBLANK(W1088),ISBLANK(Y1088))," ",IF(NOT(ISBLANK(X1088)),"Failed",IF((W1088+Character!$B$9+SUMIF(Character!$I$62:$I$66,"Enigmatic Wisdom",Character!$J$62:$J$66))&gt;=IF(Z1088="Yes",0,(Y1088+D1083)),"Succeeded","Failed"))))</f>
        <v xml:space="preserve"> </v>
      </c>
      <c r="AB1088" s="477" t="str">
        <f>IF(AA1088=" "," ",IF(NOT(ISBLANK(X1088)),VLOOKUP($D$3+X1088,Calcs!$A$110:$C$122,3,TRUE),IF(AA1088="Failed",VLOOKUP($D$3,Calcs!$A$110:$C$122,3,TRUE),VLOOKUP($D$3-(IF((Character!$B$9+W1088)&gt;($D$3+Y1088),(Character!$B$9+W1088)-($D$3+Y1088),0)),Calcs!$A$110:$C$122,3,TRUE))))</f>
        <v xml:space="preserve"> </v>
      </c>
      <c r="AC1088" s="489"/>
      <c r="AD1088" s="489" t="str">
        <f>IF(IF(AA1088=" "," ",IF(NOT(ISBLANK(X1088)),VLOOKUP($D$3+X1088,Calcs!$A$110:$B$122,2,TRUE),IF(AA1088="Failed",VLOOKUP($D$3,Calcs!$A$110:$B$122,2,TRUE),VLOOKUP($D$3-(IF((Character!$B$9+W1088)&gt;($D$3+Y1088),(Character!$B$9+W1088)-($D$3+Y1088),0)),Calcs!$A$110:$B$122,2,TRUE))))=Calcs!$B$120,IF(ISBLANK(AC1088)," ",CONCATENATE(AC1088+7," Years")),IF(AA1088=" "," ",IF(NOT(ISBLANK(X1088)),VLOOKUP($D$3+X1088,Calcs!$A$110:$B$122,2,TRUE),IF(AA1088="Failed",VLOOKUP($D$3,Calcs!$A$110:$B$122,2,TRUE),VLOOKUP($D$3-(IF((Character!$B$9+W1088)&gt;($D$3+Y1088),(Character!$B$9+W1088)-($D$3+Y1088),0)),Calcs!$A$110:$B$122,2,TRUE)))))</f>
        <v xml:space="preserve"> </v>
      </c>
      <c r="AE1088" s="490"/>
      <c r="AF1088" s="879"/>
      <c r="AG1088" s="491"/>
    </row>
    <row r="1089" spans="1:33" x14ac:dyDescent="0.2">
      <c r="A1089" s="415">
        <f t="shared" si="32"/>
        <v>1482</v>
      </c>
      <c r="B1089" s="419" t="str">
        <f t="shared" si="33"/>
        <v>Spring</v>
      </c>
      <c r="C1089" s="455"/>
      <c r="D1089" s="504"/>
      <c r="E1089" s="455"/>
      <c r="F1089" s="504"/>
      <c r="G1089" s="455"/>
      <c r="H1089" s="504"/>
      <c r="I1089" s="455"/>
      <c r="J1089" s="504"/>
      <c r="L1089" s="472"/>
      <c r="M1089" s="468"/>
      <c r="N1089" s="468"/>
      <c r="O1089" s="468"/>
      <c r="P1089" s="468"/>
      <c r="Q1089" s="473"/>
      <c r="R1089" s="477" t="str">
        <f>IF(AND(COUNTIF('Start Character'!$I$63:$M$77,"Twilight Prone")=1,NOT(ISERROR(FIND("Magical Botch",M1089)))),"Yes",IF(P1089&gt;1,"Yes","No"))</f>
        <v>No</v>
      </c>
      <c r="S1089" s="501"/>
      <c r="T1089" s="478"/>
      <c r="U1089" s="501"/>
      <c r="V1089" s="479" t="str">
        <f>IF(R1089="No","No Twilight",IF(T1089="Yes","Uncomprehended Twilight",IF((Character!$B$14+IF(Character!$B$53="Yes",0,Character!$B$53)+IF(Magic!$C$5="Yes",2,0)+ROUNDUP((Magic!$B$30+IF(Magic!$C$30="Yes",3,0))/5,0)+S1089)&gt;=($D$3+P1089+SUMIF(Character!$I$62:$I$66,"Enigmatic Wisdom",Character!$J$62:$J$66)+Q1089+U1089),"No Twilight","Twilight")))</f>
        <v>No Twilight</v>
      </c>
      <c r="W1089" s="483"/>
      <c r="X1089" s="478"/>
      <c r="Y1089" s="484"/>
      <c r="Z1089" s="478"/>
      <c r="AA1089" s="485" t="str">
        <f>IF(V1089="Uncomprehended Twilight","Failed",IF(OR(ISBLANK(W1089),ISBLANK(Y1089))," ",IF(NOT(ISBLANK(X1089)),"Failed",IF((W1089+Character!$B$9+SUMIF(Character!$I$62:$I$66,"Enigmatic Wisdom",Character!$J$62:$J$66))&gt;=IF(Z1089="Yes",0,(Y1089+D1084)),"Succeeded","Failed"))))</f>
        <v xml:space="preserve"> </v>
      </c>
      <c r="AB1089" s="477" t="str">
        <f>IF(AA1089=" "," ",IF(NOT(ISBLANK(X1089)),VLOOKUP($D$3+X1089,Calcs!$A$110:$C$122,3,TRUE),IF(AA1089="Failed",VLOOKUP($D$3,Calcs!$A$110:$C$122,3,TRUE),VLOOKUP($D$3-(IF((Character!$B$9+W1089)&gt;($D$3+Y1089),(Character!$B$9+W1089)-($D$3+Y1089),0)),Calcs!$A$110:$C$122,3,TRUE))))</f>
        <v xml:space="preserve"> </v>
      </c>
      <c r="AC1089" s="489"/>
      <c r="AD1089" s="489" t="str">
        <f>IF(IF(AA1089=" "," ",IF(NOT(ISBLANK(X1089)),VLOOKUP($D$3+X1089,Calcs!$A$110:$B$122,2,TRUE),IF(AA1089="Failed",VLOOKUP($D$3,Calcs!$A$110:$B$122,2,TRUE),VLOOKUP($D$3-(IF((Character!$B$9+W1089)&gt;($D$3+Y1089),(Character!$B$9+W1089)-($D$3+Y1089),0)),Calcs!$A$110:$B$122,2,TRUE))))=Calcs!$B$120,IF(ISBLANK(AC1089)," ",CONCATENATE(AC1089+7," Years")),IF(AA1089=" "," ",IF(NOT(ISBLANK(X1089)),VLOOKUP($D$3+X1089,Calcs!$A$110:$B$122,2,TRUE),IF(AA1089="Failed",VLOOKUP($D$3,Calcs!$A$110:$B$122,2,TRUE),VLOOKUP($D$3-(IF((Character!$B$9+W1089)&gt;($D$3+Y1089),(Character!$B$9+W1089)-($D$3+Y1089),0)),Calcs!$A$110:$B$122,2,TRUE)))))</f>
        <v xml:space="preserve"> </v>
      </c>
      <c r="AE1089" s="490"/>
      <c r="AF1089" s="879"/>
      <c r="AG1089" s="491"/>
    </row>
    <row r="1090" spans="1:33" x14ac:dyDescent="0.2">
      <c r="A1090" s="415">
        <f t="shared" si="32"/>
        <v>1482</v>
      </c>
      <c r="B1090" s="419" t="str">
        <f t="shared" si="33"/>
        <v>Summer</v>
      </c>
      <c r="C1090" s="455"/>
      <c r="D1090" s="504"/>
      <c r="E1090" s="455"/>
      <c r="F1090" s="504"/>
      <c r="G1090" s="455"/>
      <c r="H1090" s="504"/>
      <c r="I1090" s="455"/>
      <c r="J1090" s="504"/>
      <c r="L1090" s="472"/>
      <c r="M1090" s="468"/>
      <c r="N1090" s="468"/>
      <c r="O1090" s="468"/>
      <c r="P1090" s="468"/>
      <c r="Q1090" s="473"/>
      <c r="R1090" s="477" t="str">
        <f>IF(AND(COUNTIF('Start Character'!$I$63:$M$77,"Twilight Prone")=1,NOT(ISERROR(FIND("Magical Botch",M1090)))),"Yes",IF(P1090&gt;1,"Yes","No"))</f>
        <v>No</v>
      </c>
      <c r="S1090" s="501"/>
      <c r="T1090" s="478"/>
      <c r="U1090" s="501"/>
      <c r="V1090" s="479" t="str">
        <f>IF(R1090="No","No Twilight",IF(T1090="Yes","Uncomprehended Twilight",IF((Character!$B$14+IF(Character!$B$53="Yes",0,Character!$B$53)+IF(Magic!$C$5="Yes",2,0)+ROUNDUP((Magic!$B$30+IF(Magic!$C$30="Yes",3,0))/5,0)+S1090)&gt;=($D$3+P1090+SUMIF(Character!$I$62:$I$66,"Enigmatic Wisdom",Character!$J$62:$J$66)+Q1090+U1090),"No Twilight","Twilight")))</f>
        <v>No Twilight</v>
      </c>
      <c r="W1090" s="483"/>
      <c r="X1090" s="478"/>
      <c r="Y1090" s="484"/>
      <c r="Z1090" s="478"/>
      <c r="AA1090" s="485" t="str">
        <f>IF(V1090="Uncomprehended Twilight","Failed",IF(OR(ISBLANK(W1090),ISBLANK(Y1090))," ",IF(NOT(ISBLANK(X1090)),"Failed",IF((W1090+Character!$B$9+SUMIF(Character!$I$62:$I$66,"Enigmatic Wisdom",Character!$J$62:$J$66))&gt;=IF(Z1090="Yes",0,(Y1090+D1085)),"Succeeded","Failed"))))</f>
        <v xml:space="preserve"> </v>
      </c>
      <c r="AB1090" s="477" t="str">
        <f>IF(AA1090=" "," ",IF(NOT(ISBLANK(X1090)),VLOOKUP($D$3+X1090,Calcs!$A$110:$C$122,3,TRUE),IF(AA1090="Failed",VLOOKUP($D$3,Calcs!$A$110:$C$122,3,TRUE),VLOOKUP($D$3-(IF((Character!$B$9+W1090)&gt;($D$3+Y1090),(Character!$B$9+W1090)-($D$3+Y1090),0)),Calcs!$A$110:$C$122,3,TRUE))))</f>
        <v xml:space="preserve"> </v>
      </c>
      <c r="AC1090" s="489"/>
      <c r="AD1090" s="489" t="str">
        <f>IF(IF(AA1090=" "," ",IF(NOT(ISBLANK(X1090)),VLOOKUP($D$3+X1090,Calcs!$A$110:$B$122,2,TRUE),IF(AA1090="Failed",VLOOKUP($D$3,Calcs!$A$110:$B$122,2,TRUE),VLOOKUP($D$3-(IF((Character!$B$9+W1090)&gt;($D$3+Y1090),(Character!$B$9+W1090)-($D$3+Y1090),0)),Calcs!$A$110:$B$122,2,TRUE))))=Calcs!$B$120,IF(ISBLANK(AC1090)," ",CONCATENATE(AC1090+7," Years")),IF(AA1090=" "," ",IF(NOT(ISBLANK(X1090)),VLOOKUP($D$3+X1090,Calcs!$A$110:$B$122,2,TRUE),IF(AA1090="Failed",VLOOKUP($D$3,Calcs!$A$110:$B$122,2,TRUE),VLOOKUP($D$3-(IF((Character!$B$9+W1090)&gt;($D$3+Y1090),(Character!$B$9+W1090)-($D$3+Y1090),0)),Calcs!$A$110:$B$122,2,TRUE)))))</f>
        <v xml:space="preserve"> </v>
      </c>
      <c r="AE1090" s="490"/>
      <c r="AF1090" s="879"/>
      <c r="AG1090" s="491"/>
    </row>
    <row r="1091" spans="1:33" x14ac:dyDescent="0.2">
      <c r="A1091" s="415">
        <f t="shared" si="32"/>
        <v>1482</v>
      </c>
      <c r="B1091" s="419" t="str">
        <f t="shared" si="33"/>
        <v>Autumn</v>
      </c>
      <c r="C1091" s="455"/>
      <c r="D1091" s="504"/>
      <c r="E1091" s="455"/>
      <c r="F1091" s="504"/>
      <c r="G1091" s="455"/>
      <c r="H1091" s="504"/>
      <c r="I1091" s="455"/>
      <c r="J1091" s="504"/>
      <c r="L1091" s="472"/>
      <c r="M1091" s="468"/>
      <c r="N1091" s="468"/>
      <c r="O1091" s="468"/>
      <c r="P1091" s="468"/>
      <c r="Q1091" s="473"/>
      <c r="R1091" s="477" t="str">
        <f>IF(AND(COUNTIF('Start Character'!$I$63:$M$77,"Twilight Prone")=1,NOT(ISERROR(FIND("Magical Botch",M1091)))),"Yes",IF(P1091&gt;1,"Yes","No"))</f>
        <v>No</v>
      </c>
      <c r="S1091" s="501"/>
      <c r="T1091" s="478"/>
      <c r="U1091" s="501"/>
      <c r="V1091" s="479" t="str">
        <f>IF(R1091="No","No Twilight",IF(T1091="Yes","Uncomprehended Twilight",IF((Character!$B$14+IF(Character!$B$53="Yes",0,Character!$B$53)+IF(Magic!$C$5="Yes",2,0)+ROUNDUP((Magic!$B$30+IF(Magic!$C$30="Yes",3,0))/5,0)+S1091)&gt;=($D$3+P1091+SUMIF(Character!$I$62:$I$66,"Enigmatic Wisdom",Character!$J$62:$J$66)+Q1091+U1091),"No Twilight","Twilight")))</f>
        <v>No Twilight</v>
      </c>
      <c r="W1091" s="483"/>
      <c r="X1091" s="478"/>
      <c r="Y1091" s="484"/>
      <c r="Z1091" s="478"/>
      <c r="AA1091" s="485" t="str">
        <f>IF(V1091="Uncomprehended Twilight","Failed",IF(OR(ISBLANK(W1091),ISBLANK(Y1091))," ",IF(NOT(ISBLANK(X1091)),"Failed",IF((W1091+Character!$B$9+SUMIF(Character!$I$62:$I$66,"Enigmatic Wisdom",Character!$J$62:$J$66))&gt;=IF(Z1091="Yes",0,(Y1091+D1086)),"Succeeded","Failed"))))</f>
        <v xml:space="preserve"> </v>
      </c>
      <c r="AB1091" s="477" t="str">
        <f>IF(AA1091=" "," ",IF(NOT(ISBLANK(X1091)),VLOOKUP($D$3+X1091,Calcs!$A$110:$C$122,3,TRUE),IF(AA1091="Failed",VLOOKUP($D$3,Calcs!$A$110:$C$122,3,TRUE),VLOOKUP($D$3-(IF((Character!$B$9+W1091)&gt;($D$3+Y1091),(Character!$B$9+W1091)-($D$3+Y1091),0)),Calcs!$A$110:$C$122,3,TRUE))))</f>
        <v xml:space="preserve"> </v>
      </c>
      <c r="AC1091" s="489"/>
      <c r="AD1091" s="489" t="str">
        <f>IF(IF(AA1091=" "," ",IF(NOT(ISBLANK(X1091)),VLOOKUP($D$3+X1091,Calcs!$A$110:$B$122,2,TRUE),IF(AA1091="Failed",VLOOKUP($D$3,Calcs!$A$110:$B$122,2,TRUE),VLOOKUP($D$3-(IF((Character!$B$9+W1091)&gt;($D$3+Y1091),(Character!$B$9+W1091)-($D$3+Y1091),0)),Calcs!$A$110:$B$122,2,TRUE))))=Calcs!$B$120,IF(ISBLANK(AC1091)," ",CONCATENATE(AC1091+7," Years")),IF(AA1091=" "," ",IF(NOT(ISBLANK(X1091)),VLOOKUP($D$3+X1091,Calcs!$A$110:$B$122,2,TRUE),IF(AA1091="Failed",VLOOKUP($D$3,Calcs!$A$110:$B$122,2,TRUE),VLOOKUP($D$3-(IF((Character!$B$9+W1091)&gt;($D$3+Y1091),(Character!$B$9+W1091)-($D$3+Y1091),0)),Calcs!$A$110:$B$122,2,TRUE)))))</f>
        <v xml:space="preserve"> </v>
      </c>
      <c r="AE1091" s="490"/>
      <c r="AF1091" s="879"/>
      <c r="AG1091" s="491"/>
    </row>
    <row r="1092" spans="1:33" x14ac:dyDescent="0.2">
      <c r="A1092" s="415">
        <f t="shared" si="32"/>
        <v>1483</v>
      </c>
      <c r="B1092" s="419" t="str">
        <f t="shared" si="33"/>
        <v>Winter</v>
      </c>
      <c r="C1092" s="455"/>
      <c r="D1092" s="504"/>
      <c r="E1092" s="455"/>
      <c r="F1092" s="504"/>
      <c r="G1092" s="455"/>
      <c r="H1092" s="504"/>
      <c r="I1092" s="455"/>
      <c r="J1092" s="504"/>
      <c r="L1092" s="472"/>
      <c r="M1092" s="468"/>
      <c r="N1092" s="468"/>
      <c r="O1092" s="468"/>
      <c r="P1092" s="468"/>
      <c r="Q1092" s="473"/>
      <c r="R1092" s="477" t="str">
        <f>IF(AND(COUNTIF('Start Character'!$I$63:$M$77,"Twilight Prone")=1,NOT(ISERROR(FIND("Magical Botch",M1092)))),"Yes",IF(P1092&gt;1,"Yes","No"))</f>
        <v>No</v>
      </c>
      <c r="S1092" s="501"/>
      <c r="T1092" s="478"/>
      <c r="U1092" s="501"/>
      <c r="V1092" s="479" t="str">
        <f>IF(R1092="No","No Twilight",IF(T1092="Yes","Uncomprehended Twilight",IF((Character!$B$14+IF(Character!$B$53="Yes",0,Character!$B$53)+IF(Magic!$C$5="Yes",2,0)+ROUNDUP((Magic!$B$30+IF(Magic!$C$30="Yes",3,0))/5,0)+S1092)&gt;=($D$3+P1092+SUMIF(Character!$I$62:$I$66,"Enigmatic Wisdom",Character!$J$62:$J$66)+Q1092+U1092),"No Twilight","Twilight")))</f>
        <v>No Twilight</v>
      </c>
      <c r="W1092" s="483"/>
      <c r="X1092" s="478"/>
      <c r="Y1092" s="484"/>
      <c r="Z1092" s="478"/>
      <c r="AA1092" s="485" t="str">
        <f>IF(V1092="Uncomprehended Twilight","Failed",IF(OR(ISBLANK(W1092),ISBLANK(Y1092))," ",IF(NOT(ISBLANK(X1092)),"Failed",IF((W1092+Character!$B$9+SUMIF(Character!$I$62:$I$66,"Enigmatic Wisdom",Character!$J$62:$J$66))&gt;=IF(Z1092="Yes",0,(Y1092+D1087)),"Succeeded","Failed"))))</f>
        <v xml:space="preserve"> </v>
      </c>
      <c r="AB1092" s="477" t="str">
        <f>IF(AA1092=" "," ",IF(NOT(ISBLANK(X1092)),VLOOKUP($D$3+X1092,Calcs!$A$110:$C$122,3,TRUE),IF(AA1092="Failed",VLOOKUP($D$3,Calcs!$A$110:$C$122,3,TRUE),VLOOKUP($D$3-(IF((Character!$B$9+W1092)&gt;($D$3+Y1092),(Character!$B$9+W1092)-($D$3+Y1092),0)),Calcs!$A$110:$C$122,3,TRUE))))</f>
        <v xml:space="preserve"> </v>
      </c>
      <c r="AC1092" s="489"/>
      <c r="AD1092" s="489" t="str">
        <f>IF(IF(AA1092=" "," ",IF(NOT(ISBLANK(X1092)),VLOOKUP($D$3+X1092,Calcs!$A$110:$B$122,2,TRUE),IF(AA1092="Failed",VLOOKUP($D$3,Calcs!$A$110:$B$122,2,TRUE),VLOOKUP($D$3-(IF((Character!$B$9+W1092)&gt;($D$3+Y1092),(Character!$B$9+W1092)-($D$3+Y1092),0)),Calcs!$A$110:$B$122,2,TRUE))))=Calcs!$B$120,IF(ISBLANK(AC1092)," ",CONCATENATE(AC1092+7," Years")),IF(AA1092=" "," ",IF(NOT(ISBLANK(X1092)),VLOOKUP($D$3+X1092,Calcs!$A$110:$B$122,2,TRUE),IF(AA1092="Failed",VLOOKUP($D$3,Calcs!$A$110:$B$122,2,TRUE),VLOOKUP($D$3-(IF((Character!$B$9+W1092)&gt;($D$3+Y1092),(Character!$B$9+W1092)-($D$3+Y1092),0)),Calcs!$A$110:$B$122,2,TRUE)))))</f>
        <v xml:space="preserve"> </v>
      </c>
      <c r="AE1092" s="490"/>
      <c r="AF1092" s="879"/>
      <c r="AG1092" s="491"/>
    </row>
    <row r="1093" spans="1:33" x14ac:dyDescent="0.2">
      <c r="A1093" s="415">
        <f t="shared" si="32"/>
        <v>1483</v>
      </c>
      <c r="B1093" s="419" t="str">
        <f t="shared" si="33"/>
        <v>Spring</v>
      </c>
      <c r="C1093" s="455"/>
      <c r="D1093" s="504"/>
      <c r="E1093" s="455"/>
      <c r="F1093" s="504"/>
      <c r="G1093" s="455"/>
      <c r="H1093" s="504"/>
      <c r="I1093" s="455"/>
      <c r="J1093" s="504"/>
      <c r="L1093" s="472"/>
      <c r="M1093" s="468"/>
      <c r="N1093" s="468"/>
      <c r="O1093" s="468"/>
      <c r="P1093" s="468"/>
      <c r="Q1093" s="473"/>
      <c r="R1093" s="477" t="str">
        <f>IF(AND(COUNTIF('Start Character'!$I$63:$M$77,"Twilight Prone")=1,NOT(ISERROR(FIND("Magical Botch",M1093)))),"Yes",IF(P1093&gt;1,"Yes","No"))</f>
        <v>No</v>
      </c>
      <c r="S1093" s="501"/>
      <c r="T1093" s="478"/>
      <c r="U1093" s="501"/>
      <c r="V1093" s="479" t="str">
        <f>IF(R1093="No","No Twilight",IF(T1093="Yes","Uncomprehended Twilight",IF((Character!$B$14+IF(Character!$B$53="Yes",0,Character!$B$53)+IF(Magic!$C$5="Yes",2,0)+ROUNDUP((Magic!$B$30+IF(Magic!$C$30="Yes",3,0))/5,0)+S1093)&gt;=($D$3+P1093+SUMIF(Character!$I$62:$I$66,"Enigmatic Wisdom",Character!$J$62:$J$66)+Q1093+U1093),"No Twilight","Twilight")))</f>
        <v>No Twilight</v>
      </c>
      <c r="W1093" s="483"/>
      <c r="X1093" s="478"/>
      <c r="Y1093" s="484"/>
      <c r="Z1093" s="478"/>
      <c r="AA1093" s="485" t="str">
        <f>IF(V1093="Uncomprehended Twilight","Failed",IF(OR(ISBLANK(W1093),ISBLANK(Y1093))," ",IF(NOT(ISBLANK(X1093)),"Failed",IF((W1093+Character!$B$9+SUMIF(Character!$I$62:$I$66,"Enigmatic Wisdom",Character!$J$62:$J$66))&gt;=IF(Z1093="Yes",0,(Y1093+D1088)),"Succeeded","Failed"))))</f>
        <v xml:space="preserve"> </v>
      </c>
      <c r="AB1093" s="477" t="str">
        <f>IF(AA1093=" "," ",IF(NOT(ISBLANK(X1093)),VLOOKUP($D$3+X1093,Calcs!$A$110:$C$122,3,TRUE),IF(AA1093="Failed",VLOOKUP($D$3,Calcs!$A$110:$C$122,3,TRUE),VLOOKUP($D$3-(IF((Character!$B$9+W1093)&gt;($D$3+Y1093),(Character!$B$9+W1093)-($D$3+Y1093),0)),Calcs!$A$110:$C$122,3,TRUE))))</f>
        <v xml:space="preserve"> </v>
      </c>
      <c r="AC1093" s="489"/>
      <c r="AD1093" s="489" t="str">
        <f>IF(IF(AA1093=" "," ",IF(NOT(ISBLANK(X1093)),VLOOKUP($D$3+X1093,Calcs!$A$110:$B$122,2,TRUE),IF(AA1093="Failed",VLOOKUP($D$3,Calcs!$A$110:$B$122,2,TRUE),VLOOKUP($D$3-(IF((Character!$B$9+W1093)&gt;($D$3+Y1093),(Character!$B$9+W1093)-($D$3+Y1093),0)),Calcs!$A$110:$B$122,2,TRUE))))=Calcs!$B$120,IF(ISBLANK(AC1093)," ",CONCATENATE(AC1093+7," Years")),IF(AA1093=" "," ",IF(NOT(ISBLANK(X1093)),VLOOKUP($D$3+X1093,Calcs!$A$110:$B$122,2,TRUE),IF(AA1093="Failed",VLOOKUP($D$3,Calcs!$A$110:$B$122,2,TRUE),VLOOKUP($D$3-(IF((Character!$B$9+W1093)&gt;($D$3+Y1093),(Character!$B$9+W1093)-($D$3+Y1093),0)),Calcs!$A$110:$B$122,2,TRUE)))))</f>
        <v xml:space="preserve"> </v>
      </c>
      <c r="AE1093" s="490"/>
      <c r="AF1093" s="879"/>
      <c r="AG1093" s="491"/>
    </row>
    <row r="1094" spans="1:33" x14ac:dyDescent="0.2">
      <c r="A1094" s="415">
        <f t="shared" si="32"/>
        <v>1483</v>
      </c>
      <c r="B1094" s="419" t="str">
        <f t="shared" si="33"/>
        <v>Summer</v>
      </c>
      <c r="C1094" s="455"/>
      <c r="D1094" s="504"/>
      <c r="E1094" s="455"/>
      <c r="F1094" s="504"/>
      <c r="G1094" s="455"/>
      <c r="H1094" s="504"/>
      <c r="I1094" s="455"/>
      <c r="J1094" s="504"/>
      <c r="L1094" s="472"/>
      <c r="M1094" s="468"/>
      <c r="N1094" s="468"/>
      <c r="O1094" s="468"/>
      <c r="P1094" s="468"/>
      <c r="Q1094" s="473"/>
      <c r="R1094" s="477" t="str">
        <f>IF(AND(COUNTIF('Start Character'!$I$63:$M$77,"Twilight Prone")=1,NOT(ISERROR(FIND("Magical Botch",M1094)))),"Yes",IF(P1094&gt;1,"Yes","No"))</f>
        <v>No</v>
      </c>
      <c r="S1094" s="501"/>
      <c r="T1094" s="478"/>
      <c r="U1094" s="501"/>
      <c r="V1094" s="479" t="str">
        <f>IF(R1094="No","No Twilight",IF(T1094="Yes","Uncomprehended Twilight",IF((Character!$B$14+IF(Character!$B$53="Yes",0,Character!$B$53)+IF(Magic!$C$5="Yes",2,0)+ROUNDUP((Magic!$B$30+IF(Magic!$C$30="Yes",3,0))/5,0)+S1094)&gt;=($D$3+P1094+SUMIF(Character!$I$62:$I$66,"Enigmatic Wisdom",Character!$J$62:$J$66)+Q1094+U1094),"No Twilight","Twilight")))</f>
        <v>No Twilight</v>
      </c>
      <c r="W1094" s="483"/>
      <c r="X1094" s="478"/>
      <c r="Y1094" s="484"/>
      <c r="Z1094" s="478"/>
      <c r="AA1094" s="485" t="str">
        <f>IF(V1094="Uncomprehended Twilight","Failed",IF(OR(ISBLANK(W1094),ISBLANK(Y1094))," ",IF(NOT(ISBLANK(X1094)),"Failed",IF((W1094+Character!$B$9+SUMIF(Character!$I$62:$I$66,"Enigmatic Wisdom",Character!$J$62:$J$66))&gt;=IF(Z1094="Yes",0,(Y1094+D1089)),"Succeeded","Failed"))))</f>
        <v xml:space="preserve"> </v>
      </c>
      <c r="AB1094" s="477" t="str">
        <f>IF(AA1094=" "," ",IF(NOT(ISBLANK(X1094)),VLOOKUP($D$3+X1094,Calcs!$A$110:$C$122,3,TRUE),IF(AA1094="Failed",VLOOKUP($D$3,Calcs!$A$110:$C$122,3,TRUE),VLOOKUP($D$3-(IF((Character!$B$9+W1094)&gt;($D$3+Y1094),(Character!$B$9+W1094)-($D$3+Y1094),0)),Calcs!$A$110:$C$122,3,TRUE))))</f>
        <v xml:space="preserve"> </v>
      </c>
      <c r="AC1094" s="489"/>
      <c r="AD1094" s="489" t="str">
        <f>IF(IF(AA1094=" "," ",IF(NOT(ISBLANK(X1094)),VLOOKUP($D$3+X1094,Calcs!$A$110:$B$122,2,TRUE),IF(AA1094="Failed",VLOOKUP($D$3,Calcs!$A$110:$B$122,2,TRUE),VLOOKUP($D$3-(IF((Character!$B$9+W1094)&gt;($D$3+Y1094),(Character!$B$9+W1094)-($D$3+Y1094),0)),Calcs!$A$110:$B$122,2,TRUE))))=Calcs!$B$120,IF(ISBLANK(AC1094)," ",CONCATENATE(AC1094+7," Years")),IF(AA1094=" "," ",IF(NOT(ISBLANK(X1094)),VLOOKUP($D$3+X1094,Calcs!$A$110:$B$122,2,TRUE),IF(AA1094="Failed",VLOOKUP($D$3,Calcs!$A$110:$B$122,2,TRUE),VLOOKUP($D$3-(IF((Character!$B$9+W1094)&gt;($D$3+Y1094),(Character!$B$9+W1094)-($D$3+Y1094),0)),Calcs!$A$110:$B$122,2,TRUE)))))</f>
        <v xml:space="preserve"> </v>
      </c>
      <c r="AE1094" s="490"/>
      <c r="AF1094" s="879"/>
      <c r="AG1094" s="491"/>
    </row>
    <row r="1095" spans="1:33" x14ac:dyDescent="0.2">
      <c r="A1095" s="415">
        <f t="shared" si="32"/>
        <v>1483</v>
      </c>
      <c r="B1095" s="419" t="str">
        <f t="shared" si="33"/>
        <v>Autumn</v>
      </c>
      <c r="C1095" s="455"/>
      <c r="D1095" s="504"/>
      <c r="E1095" s="455"/>
      <c r="F1095" s="504"/>
      <c r="G1095" s="455"/>
      <c r="H1095" s="504"/>
      <c r="I1095" s="455"/>
      <c r="J1095" s="504"/>
      <c r="L1095" s="472"/>
      <c r="M1095" s="468"/>
      <c r="N1095" s="468"/>
      <c r="O1095" s="468"/>
      <c r="P1095" s="468"/>
      <c r="Q1095" s="473"/>
      <c r="R1095" s="477" t="str">
        <f>IF(AND(COUNTIF('Start Character'!$I$63:$M$77,"Twilight Prone")=1,NOT(ISERROR(FIND("Magical Botch",M1095)))),"Yes",IF(P1095&gt;1,"Yes","No"))</f>
        <v>No</v>
      </c>
      <c r="S1095" s="501"/>
      <c r="T1095" s="478"/>
      <c r="U1095" s="501"/>
      <c r="V1095" s="479" t="str">
        <f>IF(R1095="No","No Twilight",IF(T1095="Yes","Uncomprehended Twilight",IF((Character!$B$14+IF(Character!$B$53="Yes",0,Character!$B$53)+IF(Magic!$C$5="Yes",2,0)+ROUNDUP((Magic!$B$30+IF(Magic!$C$30="Yes",3,0))/5,0)+S1095)&gt;=($D$3+P1095+SUMIF(Character!$I$62:$I$66,"Enigmatic Wisdom",Character!$J$62:$J$66)+Q1095+U1095),"No Twilight","Twilight")))</f>
        <v>No Twilight</v>
      </c>
      <c r="W1095" s="483"/>
      <c r="X1095" s="478"/>
      <c r="Y1095" s="484"/>
      <c r="Z1095" s="478"/>
      <c r="AA1095" s="485" t="str">
        <f>IF(V1095="Uncomprehended Twilight","Failed",IF(OR(ISBLANK(W1095),ISBLANK(Y1095))," ",IF(NOT(ISBLANK(X1095)),"Failed",IF((W1095+Character!$B$9+SUMIF(Character!$I$62:$I$66,"Enigmatic Wisdom",Character!$J$62:$J$66))&gt;=IF(Z1095="Yes",0,(Y1095+D1090)),"Succeeded","Failed"))))</f>
        <v xml:space="preserve"> </v>
      </c>
      <c r="AB1095" s="477" t="str">
        <f>IF(AA1095=" "," ",IF(NOT(ISBLANK(X1095)),VLOOKUP($D$3+X1095,Calcs!$A$110:$C$122,3,TRUE),IF(AA1095="Failed",VLOOKUP($D$3,Calcs!$A$110:$C$122,3,TRUE),VLOOKUP($D$3-(IF((Character!$B$9+W1095)&gt;($D$3+Y1095),(Character!$B$9+W1095)-($D$3+Y1095),0)),Calcs!$A$110:$C$122,3,TRUE))))</f>
        <v xml:space="preserve"> </v>
      </c>
      <c r="AC1095" s="489"/>
      <c r="AD1095" s="489" t="str">
        <f>IF(IF(AA1095=" "," ",IF(NOT(ISBLANK(X1095)),VLOOKUP($D$3+X1095,Calcs!$A$110:$B$122,2,TRUE),IF(AA1095="Failed",VLOOKUP($D$3,Calcs!$A$110:$B$122,2,TRUE),VLOOKUP($D$3-(IF((Character!$B$9+W1095)&gt;($D$3+Y1095),(Character!$B$9+W1095)-($D$3+Y1095),0)),Calcs!$A$110:$B$122,2,TRUE))))=Calcs!$B$120,IF(ISBLANK(AC1095)," ",CONCATENATE(AC1095+7," Years")),IF(AA1095=" "," ",IF(NOT(ISBLANK(X1095)),VLOOKUP($D$3+X1095,Calcs!$A$110:$B$122,2,TRUE),IF(AA1095="Failed",VLOOKUP($D$3,Calcs!$A$110:$B$122,2,TRUE),VLOOKUP($D$3-(IF((Character!$B$9+W1095)&gt;($D$3+Y1095),(Character!$B$9+W1095)-($D$3+Y1095),0)),Calcs!$A$110:$B$122,2,TRUE)))))</f>
        <v xml:space="preserve"> </v>
      </c>
      <c r="AE1095" s="490"/>
      <c r="AF1095" s="879"/>
      <c r="AG1095" s="491"/>
    </row>
    <row r="1096" spans="1:33" x14ac:dyDescent="0.2">
      <c r="A1096" s="415">
        <f t="shared" si="32"/>
        <v>1484</v>
      </c>
      <c r="B1096" s="419" t="str">
        <f t="shared" si="33"/>
        <v>Winter</v>
      </c>
      <c r="C1096" s="455"/>
      <c r="D1096" s="504"/>
      <c r="E1096" s="455"/>
      <c r="F1096" s="504"/>
      <c r="G1096" s="455"/>
      <c r="H1096" s="504"/>
      <c r="I1096" s="455"/>
      <c r="J1096" s="504"/>
      <c r="L1096" s="472"/>
      <c r="M1096" s="468"/>
      <c r="N1096" s="468"/>
      <c r="O1096" s="468"/>
      <c r="P1096" s="468"/>
      <c r="Q1096" s="473"/>
      <c r="R1096" s="477" t="str">
        <f>IF(AND(COUNTIF('Start Character'!$I$63:$M$77,"Twilight Prone")=1,NOT(ISERROR(FIND("Magical Botch",M1096)))),"Yes",IF(P1096&gt;1,"Yes","No"))</f>
        <v>No</v>
      </c>
      <c r="S1096" s="501"/>
      <c r="T1096" s="478"/>
      <c r="U1096" s="501"/>
      <c r="V1096" s="479" t="str">
        <f>IF(R1096="No","No Twilight",IF(T1096="Yes","Uncomprehended Twilight",IF((Character!$B$14+IF(Character!$B$53="Yes",0,Character!$B$53)+IF(Magic!$C$5="Yes",2,0)+ROUNDUP((Magic!$B$30+IF(Magic!$C$30="Yes",3,0))/5,0)+S1096)&gt;=($D$3+P1096+SUMIF(Character!$I$62:$I$66,"Enigmatic Wisdom",Character!$J$62:$J$66)+Q1096+U1096),"No Twilight","Twilight")))</f>
        <v>No Twilight</v>
      </c>
      <c r="W1096" s="483"/>
      <c r="X1096" s="478"/>
      <c r="Y1096" s="484"/>
      <c r="Z1096" s="478"/>
      <c r="AA1096" s="485" t="str">
        <f>IF(V1096="Uncomprehended Twilight","Failed",IF(OR(ISBLANK(W1096),ISBLANK(Y1096))," ",IF(NOT(ISBLANK(X1096)),"Failed",IF((W1096+Character!$B$9+SUMIF(Character!$I$62:$I$66,"Enigmatic Wisdom",Character!$J$62:$J$66))&gt;=IF(Z1096="Yes",0,(Y1096+D1091)),"Succeeded","Failed"))))</f>
        <v xml:space="preserve"> </v>
      </c>
      <c r="AB1096" s="477" t="str">
        <f>IF(AA1096=" "," ",IF(NOT(ISBLANK(X1096)),VLOOKUP($D$3+X1096,Calcs!$A$110:$C$122,3,TRUE),IF(AA1096="Failed",VLOOKUP($D$3,Calcs!$A$110:$C$122,3,TRUE),VLOOKUP($D$3-(IF((Character!$B$9+W1096)&gt;($D$3+Y1096),(Character!$B$9+W1096)-($D$3+Y1096),0)),Calcs!$A$110:$C$122,3,TRUE))))</f>
        <v xml:space="preserve"> </v>
      </c>
      <c r="AC1096" s="489"/>
      <c r="AD1096" s="489" t="str">
        <f>IF(IF(AA1096=" "," ",IF(NOT(ISBLANK(X1096)),VLOOKUP($D$3+X1096,Calcs!$A$110:$B$122,2,TRUE),IF(AA1096="Failed",VLOOKUP($D$3,Calcs!$A$110:$B$122,2,TRUE),VLOOKUP($D$3-(IF((Character!$B$9+W1096)&gt;($D$3+Y1096),(Character!$B$9+W1096)-($D$3+Y1096),0)),Calcs!$A$110:$B$122,2,TRUE))))=Calcs!$B$120,IF(ISBLANK(AC1096)," ",CONCATENATE(AC1096+7," Years")),IF(AA1096=" "," ",IF(NOT(ISBLANK(X1096)),VLOOKUP($D$3+X1096,Calcs!$A$110:$B$122,2,TRUE),IF(AA1096="Failed",VLOOKUP($D$3,Calcs!$A$110:$B$122,2,TRUE),VLOOKUP($D$3-(IF((Character!$B$9+W1096)&gt;($D$3+Y1096),(Character!$B$9+W1096)-($D$3+Y1096),0)),Calcs!$A$110:$B$122,2,TRUE)))))</f>
        <v xml:space="preserve"> </v>
      </c>
      <c r="AE1096" s="490"/>
      <c r="AF1096" s="879"/>
      <c r="AG1096" s="491"/>
    </row>
    <row r="1097" spans="1:33" x14ac:dyDescent="0.2">
      <c r="A1097" s="415">
        <f t="shared" si="32"/>
        <v>1484</v>
      </c>
      <c r="B1097" s="419" t="str">
        <f t="shared" si="33"/>
        <v>Spring</v>
      </c>
      <c r="C1097" s="455"/>
      <c r="D1097" s="504"/>
      <c r="E1097" s="455"/>
      <c r="F1097" s="504"/>
      <c r="G1097" s="455"/>
      <c r="H1097" s="504"/>
      <c r="I1097" s="455"/>
      <c r="J1097" s="504"/>
      <c r="L1097" s="472"/>
      <c r="M1097" s="468"/>
      <c r="N1097" s="468"/>
      <c r="O1097" s="468"/>
      <c r="P1097" s="468"/>
      <c r="Q1097" s="473"/>
      <c r="R1097" s="477" t="str">
        <f>IF(AND(COUNTIF('Start Character'!$I$63:$M$77,"Twilight Prone")=1,NOT(ISERROR(FIND("Magical Botch",M1097)))),"Yes",IF(P1097&gt;1,"Yes","No"))</f>
        <v>No</v>
      </c>
      <c r="S1097" s="501"/>
      <c r="T1097" s="478"/>
      <c r="U1097" s="501"/>
      <c r="V1097" s="479" t="str">
        <f>IF(R1097="No","No Twilight",IF(T1097="Yes","Uncomprehended Twilight",IF((Character!$B$14+IF(Character!$B$53="Yes",0,Character!$B$53)+IF(Magic!$C$5="Yes",2,0)+ROUNDUP((Magic!$B$30+IF(Magic!$C$30="Yes",3,0))/5,0)+S1097)&gt;=($D$3+P1097+SUMIF(Character!$I$62:$I$66,"Enigmatic Wisdom",Character!$J$62:$J$66)+Q1097+U1097),"No Twilight","Twilight")))</f>
        <v>No Twilight</v>
      </c>
      <c r="W1097" s="483"/>
      <c r="X1097" s="478"/>
      <c r="Y1097" s="484"/>
      <c r="Z1097" s="478"/>
      <c r="AA1097" s="485" t="str">
        <f>IF(V1097="Uncomprehended Twilight","Failed",IF(OR(ISBLANK(W1097),ISBLANK(Y1097))," ",IF(NOT(ISBLANK(X1097)),"Failed",IF((W1097+Character!$B$9+SUMIF(Character!$I$62:$I$66,"Enigmatic Wisdom",Character!$J$62:$J$66))&gt;=IF(Z1097="Yes",0,(Y1097+D1092)),"Succeeded","Failed"))))</f>
        <v xml:space="preserve"> </v>
      </c>
      <c r="AB1097" s="477" t="str">
        <f>IF(AA1097=" "," ",IF(NOT(ISBLANK(X1097)),VLOOKUP($D$3+X1097,Calcs!$A$110:$C$122,3,TRUE),IF(AA1097="Failed",VLOOKUP($D$3,Calcs!$A$110:$C$122,3,TRUE),VLOOKUP($D$3-(IF((Character!$B$9+W1097)&gt;($D$3+Y1097),(Character!$B$9+W1097)-($D$3+Y1097),0)),Calcs!$A$110:$C$122,3,TRUE))))</f>
        <v xml:space="preserve"> </v>
      </c>
      <c r="AC1097" s="489"/>
      <c r="AD1097" s="489" t="str">
        <f>IF(IF(AA1097=" "," ",IF(NOT(ISBLANK(X1097)),VLOOKUP($D$3+X1097,Calcs!$A$110:$B$122,2,TRUE),IF(AA1097="Failed",VLOOKUP($D$3,Calcs!$A$110:$B$122,2,TRUE),VLOOKUP($D$3-(IF((Character!$B$9+W1097)&gt;($D$3+Y1097),(Character!$B$9+W1097)-($D$3+Y1097),0)),Calcs!$A$110:$B$122,2,TRUE))))=Calcs!$B$120,IF(ISBLANK(AC1097)," ",CONCATENATE(AC1097+7," Years")),IF(AA1097=" "," ",IF(NOT(ISBLANK(X1097)),VLOOKUP($D$3+X1097,Calcs!$A$110:$B$122,2,TRUE),IF(AA1097="Failed",VLOOKUP($D$3,Calcs!$A$110:$B$122,2,TRUE),VLOOKUP($D$3-(IF((Character!$B$9+W1097)&gt;($D$3+Y1097),(Character!$B$9+W1097)-($D$3+Y1097),0)),Calcs!$A$110:$B$122,2,TRUE)))))</f>
        <v xml:space="preserve"> </v>
      </c>
      <c r="AE1097" s="490"/>
      <c r="AF1097" s="879"/>
      <c r="AG1097" s="491"/>
    </row>
    <row r="1098" spans="1:33" x14ac:dyDescent="0.2">
      <c r="A1098" s="415">
        <f t="shared" si="32"/>
        <v>1484</v>
      </c>
      <c r="B1098" s="419" t="str">
        <f t="shared" si="33"/>
        <v>Summer</v>
      </c>
      <c r="C1098" s="455"/>
      <c r="D1098" s="504"/>
      <c r="E1098" s="455"/>
      <c r="F1098" s="504"/>
      <c r="G1098" s="455"/>
      <c r="H1098" s="504"/>
      <c r="I1098" s="455"/>
      <c r="J1098" s="504"/>
      <c r="L1098" s="472"/>
      <c r="M1098" s="468"/>
      <c r="N1098" s="468"/>
      <c r="O1098" s="468"/>
      <c r="P1098" s="468"/>
      <c r="Q1098" s="473"/>
      <c r="R1098" s="477" t="str">
        <f>IF(AND(COUNTIF('Start Character'!$I$63:$M$77,"Twilight Prone")=1,NOT(ISERROR(FIND("Magical Botch",M1098)))),"Yes",IF(P1098&gt;1,"Yes","No"))</f>
        <v>No</v>
      </c>
      <c r="S1098" s="501"/>
      <c r="T1098" s="478"/>
      <c r="U1098" s="501"/>
      <c r="V1098" s="479" t="str">
        <f>IF(R1098="No","No Twilight",IF(T1098="Yes","Uncomprehended Twilight",IF((Character!$B$14+IF(Character!$B$53="Yes",0,Character!$B$53)+IF(Magic!$C$5="Yes",2,0)+ROUNDUP((Magic!$B$30+IF(Magic!$C$30="Yes",3,0))/5,0)+S1098)&gt;=($D$3+P1098+SUMIF(Character!$I$62:$I$66,"Enigmatic Wisdom",Character!$J$62:$J$66)+Q1098+U1098),"No Twilight","Twilight")))</f>
        <v>No Twilight</v>
      </c>
      <c r="W1098" s="483"/>
      <c r="X1098" s="478"/>
      <c r="Y1098" s="484"/>
      <c r="Z1098" s="478"/>
      <c r="AA1098" s="485" t="str">
        <f>IF(V1098="Uncomprehended Twilight","Failed",IF(OR(ISBLANK(W1098),ISBLANK(Y1098))," ",IF(NOT(ISBLANK(X1098)),"Failed",IF((W1098+Character!$B$9+SUMIF(Character!$I$62:$I$66,"Enigmatic Wisdom",Character!$J$62:$J$66))&gt;=IF(Z1098="Yes",0,(Y1098+D1093)),"Succeeded","Failed"))))</f>
        <v xml:space="preserve"> </v>
      </c>
      <c r="AB1098" s="477" t="str">
        <f>IF(AA1098=" "," ",IF(NOT(ISBLANK(X1098)),VLOOKUP($D$3+X1098,Calcs!$A$110:$C$122,3,TRUE),IF(AA1098="Failed",VLOOKUP($D$3,Calcs!$A$110:$C$122,3,TRUE),VLOOKUP($D$3-(IF((Character!$B$9+W1098)&gt;($D$3+Y1098),(Character!$B$9+W1098)-($D$3+Y1098),0)),Calcs!$A$110:$C$122,3,TRUE))))</f>
        <v xml:space="preserve"> </v>
      </c>
      <c r="AC1098" s="489"/>
      <c r="AD1098" s="489" t="str">
        <f>IF(IF(AA1098=" "," ",IF(NOT(ISBLANK(X1098)),VLOOKUP($D$3+X1098,Calcs!$A$110:$B$122,2,TRUE),IF(AA1098="Failed",VLOOKUP($D$3,Calcs!$A$110:$B$122,2,TRUE),VLOOKUP($D$3-(IF((Character!$B$9+W1098)&gt;($D$3+Y1098),(Character!$B$9+W1098)-($D$3+Y1098),0)),Calcs!$A$110:$B$122,2,TRUE))))=Calcs!$B$120,IF(ISBLANK(AC1098)," ",CONCATENATE(AC1098+7," Years")),IF(AA1098=" "," ",IF(NOT(ISBLANK(X1098)),VLOOKUP($D$3+X1098,Calcs!$A$110:$B$122,2,TRUE),IF(AA1098="Failed",VLOOKUP($D$3,Calcs!$A$110:$B$122,2,TRUE),VLOOKUP($D$3-(IF((Character!$B$9+W1098)&gt;($D$3+Y1098),(Character!$B$9+W1098)-($D$3+Y1098),0)),Calcs!$A$110:$B$122,2,TRUE)))))</f>
        <v xml:space="preserve"> </v>
      </c>
      <c r="AE1098" s="490"/>
      <c r="AF1098" s="879"/>
      <c r="AG1098" s="491"/>
    </row>
    <row r="1099" spans="1:33" x14ac:dyDescent="0.2">
      <c r="A1099" s="415">
        <f t="shared" si="32"/>
        <v>1484</v>
      </c>
      <c r="B1099" s="419" t="str">
        <f t="shared" si="33"/>
        <v>Autumn</v>
      </c>
      <c r="C1099" s="455"/>
      <c r="D1099" s="504"/>
      <c r="E1099" s="455"/>
      <c r="F1099" s="504"/>
      <c r="G1099" s="455"/>
      <c r="H1099" s="504"/>
      <c r="I1099" s="455"/>
      <c r="J1099" s="504"/>
      <c r="L1099" s="472"/>
      <c r="M1099" s="468"/>
      <c r="N1099" s="468"/>
      <c r="O1099" s="468"/>
      <c r="P1099" s="468"/>
      <c r="Q1099" s="473"/>
      <c r="R1099" s="477" t="str">
        <f>IF(AND(COUNTIF('Start Character'!$I$63:$M$77,"Twilight Prone")=1,NOT(ISERROR(FIND("Magical Botch",M1099)))),"Yes",IF(P1099&gt;1,"Yes","No"))</f>
        <v>No</v>
      </c>
      <c r="S1099" s="501"/>
      <c r="T1099" s="478"/>
      <c r="U1099" s="501"/>
      <c r="V1099" s="479" t="str">
        <f>IF(R1099="No","No Twilight",IF(T1099="Yes","Uncomprehended Twilight",IF((Character!$B$14+IF(Character!$B$53="Yes",0,Character!$B$53)+IF(Magic!$C$5="Yes",2,0)+ROUNDUP((Magic!$B$30+IF(Magic!$C$30="Yes",3,0))/5,0)+S1099)&gt;=($D$3+P1099+SUMIF(Character!$I$62:$I$66,"Enigmatic Wisdom",Character!$J$62:$J$66)+Q1099+U1099),"No Twilight","Twilight")))</f>
        <v>No Twilight</v>
      </c>
      <c r="W1099" s="483"/>
      <c r="X1099" s="478"/>
      <c r="Y1099" s="484"/>
      <c r="Z1099" s="478"/>
      <c r="AA1099" s="485" t="str">
        <f>IF(V1099="Uncomprehended Twilight","Failed",IF(OR(ISBLANK(W1099),ISBLANK(Y1099))," ",IF(NOT(ISBLANK(X1099)),"Failed",IF((W1099+Character!$B$9+SUMIF(Character!$I$62:$I$66,"Enigmatic Wisdom",Character!$J$62:$J$66))&gt;=IF(Z1099="Yes",0,(Y1099+D1094)),"Succeeded","Failed"))))</f>
        <v xml:space="preserve"> </v>
      </c>
      <c r="AB1099" s="477" t="str">
        <f>IF(AA1099=" "," ",IF(NOT(ISBLANK(X1099)),VLOOKUP($D$3+X1099,Calcs!$A$110:$C$122,3,TRUE),IF(AA1099="Failed",VLOOKUP($D$3,Calcs!$A$110:$C$122,3,TRUE),VLOOKUP($D$3-(IF((Character!$B$9+W1099)&gt;($D$3+Y1099),(Character!$B$9+W1099)-($D$3+Y1099),0)),Calcs!$A$110:$C$122,3,TRUE))))</f>
        <v xml:space="preserve"> </v>
      </c>
      <c r="AC1099" s="489"/>
      <c r="AD1099" s="489" t="str">
        <f>IF(IF(AA1099=" "," ",IF(NOT(ISBLANK(X1099)),VLOOKUP($D$3+X1099,Calcs!$A$110:$B$122,2,TRUE),IF(AA1099="Failed",VLOOKUP($D$3,Calcs!$A$110:$B$122,2,TRUE),VLOOKUP($D$3-(IF((Character!$B$9+W1099)&gt;($D$3+Y1099),(Character!$B$9+W1099)-($D$3+Y1099),0)),Calcs!$A$110:$B$122,2,TRUE))))=Calcs!$B$120,IF(ISBLANK(AC1099)," ",CONCATENATE(AC1099+7," Years")),IF(AA1099=" "," ",IF(NOT(ISBLANK(X1099)),VLOOKUP($D$3+X1099,Calcs!$A$110:$B$122,2,TRUE),IF(AA1099="Failed",VLOOKUP($D$3,Calcs!$A$110:$B$122,2,TRUE),VLOOKUP($D$3-(IF((Character!$B$9+W1099)&gt;($D$3+Y1099),(Character!$B$9+W1099)-($D$3+Y1099),0)),Calcs!$A$110:$B$122,2,TRUE)))))</f>
        <v xml:space="preserve"> </v>
      </c>
      <c r="AE1099" s="490"/>
      <c r="AF1099" s="879"/>
      <c r="AG1099" s="491"/>
    </row>
    <row r="1100" spans="1:33" x14ac:dyDescent="0.2">
      <c r="A1100" s="415">
        <f t="shared" si="32"/>
        <v>1485</v>
      </c>
      <c r="B1100" s="419" t="str">
        <f t="shared" si="33"/>
        <v>Winter</v>
      </c>
      <c r="C1100" s="455"/>
      <c r="D1100" s="504"/>
      <c r="E1100" s="455"/>
      <c r="F1100" s="504"/>
      <c r="G1100" s="455"/>
      <c r="H1100" s="504"/>
      <c r="I1100" s="455"/>
      <c r="J1100" s="504"/>
      <c r="L1100" s="472"/>
      <c r="M1100" s="468"/>
      <c r="N1100" s="468"/>
      <c r="O1100" s="468"/>
      <c r="P1100" s="468"/>
      <c r="Q1100" s="473"/>
      <c r="R1100" s="477" t="str">
        <f>IF(AND(COUNTIF('Start Character'!$I$63:$M$77,"Twilight Prone")=1,NOT(ISERROR(FIND("Magical Botch",M1100)))),"Yes",IF(P1100&gt;1,"Yes","No"))</f>
        <v>No</v>
      </c>
      <c r="S1100" s="501"/>
      <c r="T1100" s="478"/>
      <c r="U1100" s="501"/>
      <c r="V1100" s="479" t="str">
        <f>IF(R1100="No","No Twilight",IF(T1100="Yes","Uncomprehended Twilight",IF((Character!$B$14+IF(Character!$B$53="Yes",0,Character!$B$53)+IF(Magic!$C$5="Yes",2,0)+ROUNDUP((Magic!$B$30+IF(Magic!$C$30="Yes",3,0))/5,0)+S1100)&gt;=($D$3+P1100+SUMIF(Character!$I$62:$I$66,"Enigmatic Wisdom",Character!$J$62:$J$66)+Q1100+U1100),"No Twilight","Twilight")))</f>
        <v>No Twilight</v>
      </c>
      <c r="W1100" s="483"/>
      <c r="X1100" s="478"/>
      <c r="Y1100" s="484"/>
      <c r="Z1100" s="478"/>
      <c r="AA1100" s="485" t="str">
        <f>IF(V1100="Uncomprehended Twilight","Failed",IF(OR(ISBLANK(W1100),ISBLANK(Y1100))," ",IF(NOT(ISBLANK(X1100)),"Failed",IF((W1100+Character!$B$9+SUMIF(Character!$I$62:$I$66,"Enigmatic Wisdom",Character!$J$62:$J$66))&gt;=IF(Z1100="Yes",0,(Y1100+D1095)),"Succeeded","Failed"))))</f>
        <v xml:space="preserve"> </v>
      </c>
      <c r="AB1100" s="477" t="str">
        <f>IF(AA1100=" "," ",IF(NOT(ISBLANK(X1100)),VLOOKUP($D$3+X1100,Calcs!$A$110:$C$122,3,TRUE),IF(AA1100="Failed",VLOOKUP($D$3,Calcs!$A$110:$C$122,3,TRUE),VLOOKUP($D$3-(IF((Character!$B$9+W1100)&gt;($D$3+Y1100),(Character!$B$9+W1100)-($D$3+Y1100),0)),Calcs!$A$110:$C$122,3,TRUE))))</f>
        <v xml:space="preserve"> </v>
      </c>
      <c r="AC1100" s="489"/>
      <c r="AD1100" s="489" t="str">
        <f>IF(IF(AA1100=" "," ",IF(NOT(ISBLANK(X1100)),VLOOKUP($D$3+X1100,Calcs!$A$110:$B$122,2,TRUE),IF(AA1100="Failed",VLOOKUP($D$3,Calcs!$A$110:$B$122,2,TRUE),VLOOKUP($D$3-(IF((Character!$B$9+W1100)&gt;($D$3+Y1100),(Character!$B$9+W1100)-($D$3+Y1100),0)),Calcs!$A$110:$B$122,2,TRUE))))=Calcs!$B$120,IF(ISBLANK(AC1100)," ",CONCATENATE(AC1100+7," Years")),IF(AA1100=" "," ",IF(NOT(ISBLANK(X1100)),VLOOKUP($D$3+X1100,Calcs!$A$110:$B$122,2,TRUE),IF(AA1100="Failed",VLOOKUP($D$3,Calcs!$A$110:$B$122,2,TRUE),VLOOKUP($D$3-(IF((Character!$B$9+W1100)&gt;($D$3+Y1100),(Character!$B$9+W1100)-($D$3+Y1100),0)),Calcs!$A$110:$B$122,2,TRUE)))))</f>
        <v xml:space="preserve"> </v>
      </c>
      <c r="AE1100" s="490"/>
      <c r="AF1100" s="879"/>
      <c r="AG1100" s="491"/>
    </row>
    <row r="1101" spans="1:33" x14ac:dyDescent="0.2">
      <c r="A1101" s="415">
        <f t="shared" si="32"/>
        <v>1485</v>
      </c>
      <c r="B1101" s="419" t="str">
        <f t="shared" si="33"/>
        <v>Spring</v>
      </c>
      <c r="C1101" s="455"/>
      <c r="D1101" s="504"/>
      <c r="E1101" s="455"/>
      <c r="F1101" s="504"/>
      <c r="G1101" s="455"/>
      <c r="H1101" s="504"/>
      <c r="I1101" s="455"/>
      <c r="J1101" s="504"/>
      <c r="L1101" s="472"/>
      <c r="M1101" s="468"/>
      <c r="N1101" s="468"/>
      <c r="O1101" s="468"/>
      <c r="P1101" s="468"/>
      <c r="Q1101" s="473"/>
      <c r="R1101" s="477" t="str">
        <f>IF(AND(COUNTIF('Start Character'!$I$63:$M$77,"Twilight Prone")=1,NOT(ISERROR(FIND("Magical Botch",M1101)))),"Yes",IF(P1101&gt;1,"Yes","No"))</f>
        <v>No</v>
      </c>
      <c r="S1101" s="501"/>
      <c r="T1101" s="478"/>
      <c r="U1101" s="501"/>
      <c r="V1101" s="479" t="str">
        <f>IF(R1101="No","No Twilight",IF(T1101="Yes","Uncomprehended Twilight",IF((Character!$B$14+IF(Character!$B$53="Yes",0,Character!$B$53)+IF(Magic!$C$5="Yes",2,0)+ROUNDUP((Magic!$B$30+IF(Magic!$C$30="Yes",3,0))/5,0)+S1101)&gt;=($D$3+P1101+SUMIF(Character!$I$62:$I$66,"Enigmatic Wisdom",Character!$J$62:$J$66)+Q1101+U1101),"No Twilight","Twilight")))</f>
        <v>No Twilight</v>
      </c>
      <c r="W1101" s="483"/>
      <c r="X1101" s="478"/>
      <c r="Y1101" s="484"/>
      <c r="Z1101" s="478"/>
      <c r="AA1101" s="485" t="str">
        <f>IF(V1101="Uncomprehended Twilight","Failed",IF(OR(ISBLANK(W1101),ISBLANK(Y1101))," ",IF(NOT(ISBLANK(X1101)),"Failed",IF((W1101+Character!$B$9+SUMIF(Character!$I$62:$I$66,"Enigmatic Wisdom",Character!$J$62:$J$66))&gt;=IF(Z1101="Yes",0,(Y1101+D1096)),"Succeeded","Failed"))))</f>
        <v xml:space="preserve"> </v>
      </c>
      <c r="AB1101" s="477" t="str">
        <f>IF(AA1101=" "," ",IF(NOT(ISBLANK(X1101)),VLOOKUP($D$3+X1101,Calcs!$A$110:$C$122,3,TRUE),IF(AA1101="Failed",VLOOKUP($D$3,Calcs!$A$110:$C$122,3,TRUE),VLOOKUP($D$3-(IF((Character!$B$9+W1101)&gt;($D$3+Y1101),(Character!$B$9+W1101)-($D$3+Y1101),0)),Calcs!$A$110:$C$122,3,TRUE))))</f>
        <v xml:space="preserve"> </v>
      </c>
      <c r="AC1101" s="489"/>
      <c r="AD1101" s="489" t="str">
        <f>IF(IF(AA1101=" "," ",IF(NOT(ISBLANK(X1101)),VLOOKUP($D$3+X1101,Calcs!$A$110:$B$122,2,TRUE),IF(AA1101="Failed",VLOOKUP($D$3,Calcs!$A$110:$B$122,2,TRUE),VLOOKUP($D$3-(IF((Character!$B$9+W1101)&gt;($D$3+Y1101),(Character!$B$9+W1101)-($D$3+Y1101),0)),Calcs!$A$110:$B$122,2,TRUE))))=Calcs!$B$120,IF(ISBLANK(AC1101)," ",CONCATENATE(AC1101+7," Years")),IF(AA1101=" "," ",IF(NOT(ISBLANK(X1101)),VLOOKUP($D$3+X1101,Calcs!$A$110:$B$122,2,TRUE),IF(AA1101="Failed",VLOOKUP($D$3,Calcs!$A$110:$B$122,2,TRUE),VLOOKUP($D$3-(IF((Character!$B$9+W1101)&gt;($D$3+Y1101),(Character!$B$9+W1101)-($D$3+Y1101),0)),Calcs!$A$110:$B$122,2,TRUE)))))</f>
        <v xml:space="preserve"> </v>
      </c>
      <c r="AE1101" s="490"/>
      <c r="AF1101" s="879"/>
      <c r="AG1101" s="491"/>
    </row>
    <row r="1102" spans="1:33" x14ac:dyDescent="0.2">
      <c r="A1102" s="415">
        <f t="shared" si="32"/>
        <v>1485</v>
      </c>
      <c r="B1102" s="419" t="str">
        <f t="shared" si="33"/>
        <v>Summer</v>
      </c>
      <c r="C1102" s="455"/>
      <c r="D1102" s="504"/>
      <c r="E1102" s="455"/>
      <c r="F1102" s="504"/>
      <c r="G1102" s="455"/>
      <c r="H1102" s="504"/>
      <c r="I1102" s="455"/>
      <c r="J1102" s="504"/>
      <c r="L1102" s="472"/>
      <c r="M1102" s="468"/>
      <c r="N1102" s="468"/>
      <c r="O1102" s="468"/>
      <c r="P1102" s="468"/>
      <c r="Q1102" s="473"/>
      <c r="R1102" s="477" t="str">
        <f>IF(AND(COUNTIF('Start Character'!$I$63:$M$77,"Twilight Prone")=1,NOT(ISERROR(FIND("Magical Botch",M1102)))),"Yes",IF(P1102&gt;1,"Yes","No"))</f>
        <v>No</v>
      </c>
      <c r="S1102" s="501"/>
      <c r="T1102" s="478"/>
      <c r="U1102" s="501"/>
      <c r="V1102" s="479" t="str">
        <f>IF(R1102="No","No Twilight",IF(T1102="Yes","Uncomprehended Twilight",IF((Character!$B$14+IF(Character!$B$53="Yes",0,Character!$B$53)+IF(Magic!$C$5="Yes",2,0)+ROUNDUP((Magic!$B$30+IF(Magic!$C$30="Yes",3,0))/5,0)+S1102)&gt;=($D$3+P1102+SUMIF(Character!$I$62:$I$66,"Enigmatic Wisdom",Character!$J$62:$J$66)+Q1102+U1102),"No Twilight","Twilight")))</f>
        <v>No Twilight</v>
      </c>
      <c r="W1102" s="483"/>
      <c r="X1102" s="478"/>
      <c r="Y1102" s="484"/>
      <c r="Z1102" s="478"/>
      <c r="AA1102" s="485" t="str">
        <f>IF(V1102="Uncomprehended Twilight","Failed",IF(OR(ISBLANK(W1102),ISBLANK(Y1102))," ",IF(NOT(ISBLANK(X1102)),"Failed",IF((W1102+Character!$B$9+SUMIF(Character!$I$62:$I$66,"Enigmatic Wisdom",Character!$J$62:$J$66))&gt;=IF(Z1102="Yes",0,(Y1102+D1097)),"Succeeded","Failed"))))</f>
        <v xml:space="preserve"> </v>
      </c>
      <c r="AB1102" s="477" t="str">
        <f>IF(AA1102=" "," ",IF(NOT(ISBLANK(X1102)),VLOOKUP($D$3+X1102,Calcs!$A$110:$C$122,3,TRUE),IF(AA1102="Failed",VLOOKUP($D$3,Calcs!$A$110:$C$122,3,TRUE),VLOOKUP($D$3-(IF((Character!$B$9+W1102)&gt;($D$3+Y1102),(Character!$B$9+W1102)-($D$3+Y1102),0)),Calcs!$A$110:$C$122,3,TRUE))))</f>
        <v xml:space="preserve"> </v>
      </c>
      <c r="AC1102" s="489"/>
      <c r="AD1102" s="489" t="str">
        <f>IF(IF(AA1102=" "," ",IF(NOT(ISBLANK(X1102)),VLOOKUP($D$3+X1102,Calcs!$A$110:$B$122,2,TRUE),IF(AA1102="Failed",VLOOKUP($D$3,Calcs!$A$110:$B$122,2,TRUE),VLOOKUP($D$3-(IF((Character!$B$9+W1102)&gt;($D$3+Y1102),(Character!$B$9+W1102)-($D$3+Y1102),0)),Calcs!$A$110:$B$122,2,TRUE))))=Calcs!$B$120,IF(ISBLANK(AC1102)," ",CONCATENATE(AC1102+7," Years")),IF(AA1102=" "," ",IF(NOT(ISBLANK(X1102)),VLOOKUP($D$3+X1102,Calcs!$A$110:$B$122,2,TRUE),IF(AA1102="Failed",VLOOKUP($D$3,Calcs!$A$110:$B$122,2,TRUE),VLOOKUP($D$3-(IF((Character!$B$9+W1102)&gt;($D$3+Y1102),(Character!$B$9+W1102)-($D$3+Y1102),0)),Calcs!$A$110:$B$122,2,TRUE)))))</f>
        <v xml:space="preserve"> </v>
      </c>
      <c r="AE1102" s="490"/>
      <c r="AF1102" s="879"/>
      <c r="AG1102" s="491"/>
    </row>
    <row r="1103" spans="1:33" x14ac:dyDescent="0.2">
      <c r="A1103" s="415">
        <f t="shared" si="32"/>
        <v>1485</v>
      </c>
      <c r="B1103" s="419" t="str">
        <f t="shared" si="33"/>
        <v>Autumn</v>
      </c>
      <c r="C1103" s="455"/>
      <c r="D1103" s="504"/>
      <c r="E1103" s="455"/>
      <c r="F1103" s="504"/>
      <c r="G1103" s="455"/>
      <c r="H1103" s="504"/>
      <c r="I1103" s="455"/>
      <c r="J1103" s="504"/>
      <c r="L1103" s="472"/>
      <c r="M1103" s="468"/>
      <c r="N1103" s="468"/>
      <c r="O1103" s="468"/>
      <c r="P1103" s="468"/>
      <c r="Q1103" s="473"/>
      <c r="R1103" s="477" t="str">
        <f>IF(AND(COUNTIF('Start Character'!$I$63:$M$77,"Twilight Prone")=1,NOT(ISERROR(FIND("Magical Botch",M1103)))),"Yes",IF(P1103&gt;1,"Yes","No"))</f>
        <v>No</v>
      </c>
      <c r="S1103" s="501"/>
      <c r="T1103" s="478"/>
      <c r="U1103" s="501"/>
      <c r="V1103" s="479" t="str">
        <f>IF(R1103="No","No Twilight",IF(T1103="Yes","Uncomprehended Twilight",IF((Character!$B$14+IF(Character!$B$53="Yes",0,Character!$B$53)+IF(Magic!$C$5="Yes",2,0)+ROUNDUP((Magic!$B$30+IF(Magic!$C$30="Yes",3,0))/5,0)+S1103)&gt;=($D$3+P1103+SUMIF(Character!$I$62:$I$66,"Enigmatic Wisdom",Character!$J$62:$J$66)+Q1103+U1103),"No Twilight","Twilight")))</f>
        <v>No Twilight</v>
      </c>
      <c r="W1103" s="483"/>
      <c r="X1103" s="478"/>
      <c r="Y1103" s="484"/>
      <c r="Z1103" s="478"/>
      <c r="AA1103" s="485" t="str">
        <f>IF(V1103="Uncomprehended Twilight","Failed",IF(OR(ISBLANK(W1103),ISBLANK(Y1103))," ",IF(NOT(ISBLANK(X1103)),"Failed",IF((W1103+Character!$B$9+SUMIF(Character!$I$62:$I$66,"Enigmatic Wisdom",Character!$J$62:$J$66))&gt;=IF(Z1103="Yes",0,(Y1103+D1098)),"Succeeded","Failed"))))</f>
        <v xml:space="preserve"> </v>
      </c>
      <c r="AB1103" s="477" t="str">
        <f>IF(AA1103=" "," ",IF(NOT(ISBLANK(X1103)),VLOOKUP($D$3+X1103,Calcs!$A$110:$C$122,3,TRUE),IF(AA1103="Failed",VLOOKUP($D$3,Calcs!$A$110:$C$122,3,TRUE),VLOOKUP($D$3-(IF((Character!$B$9+W1103)&gt;($D$3+Y1103),(Character!$B$9+W1103)-($D$3+Y1103),0)),Calcs!$A$110:$C$122,3,TRUE))))</f>
        <v xml:space="preserve"> </v>
      </c>
      <c r="AC1103" s="489"/>
      <c r="AD1103" s="489" t="str">
        <f>IF(IF(AA1103=" "," ",IF(NOT(ISBLANK(X1103)),VLOOKUP($D$3+X1103,Calcs!$A$110:$B$122,2,TRUE),IF(AA1103="Failed",VLOOKUP($D$3,Calcs!$A$110:$B$122,2,TRUE),VLOOKUP($D$3-(IF((Character!$B$9+W1103)&gt;($D$3+Y1103),(Character!$B$9+W1103)-($D$3+Y1103),0)),Calcs!$A$110:$B$122,2,TRUE))))=Calcs!$B$120,IF(ISBLANK(AC1103)," ",CONCATENATE(AC1103+7," Years")),IF(AA1103=" "," ",IF(NOT(ISBLANK(X1103)),VLOOKUP($D$3+X1103,Calcs!$A$110:$B$122,2,TRUE),IF(AA1103="Failed",VLOOKUP($D$3,Calcs!$A$110:$B$122,2,TRUE),VLOOKUP($D$3-(IF((Character!$B$9+W1103)&gt;($D$3+Y1103),(Character!$B$9+W1103)-($D$3+Y1103),0)),Calcs!$A$110:$B$122,2,TRUE)))))</f>
        <v xml:space="preserve"> </v>
      </c>
      <c r="AE1103" s="490"/>
      <c r="AF1103" s="879"/>
      <c r="AG1103" s="491"/>
    </row>
    <row r="1104" spans="1:33" x14ac:dyDescent="0.2">
      <c r="A1104" s="415">
        <f t="shared" si="32"/>
        <v>1486</v>
      </c>
      <c r="B1104" s="419" t="str">
        <f t="shared" si="33"/>
        <v>Winter</v>
      </c>
      <c r="C1104" s="455"/>
      <c r="D1104" s="504"/>
      <c r="E1104" s="455"/>
      <c r="F1104" s="504"/>
      <c r="G1104" s="455"/>
      <c r="H1104" s="504"/>
      <c r="I1104" s="455"/>
      <c r="J1104" s="504"/>
      <c r="L1104" s="472"/>
      <c r="M1104" s="468"/>
      <c r="N1104" s="468"/>
      <c r="O1104" s="468"/>
      <c r="P1104" s="468"/>
      <c r="Q1104" s="473"/>
      <c r="R1104" s="477" t="str">
        <f>IF(AND(COUNTIF('Start Character'!$I$63:$M$77,"Twilight Prone")=1,NOT(ISERROR(FIND("Magical Botch",M1104)))),"Yes",IF(P1104&gt;1,"Yes","No"))</f>
        <v>No</v>
      </c>
      <c r="S1104" s="501"/>
      <c r="T1104" s="478"/>
      <c r="U1104" s="501"/>
      <c r="V1104" s="479" t="str">
        <f>IF(R1104="No","No Twilight",IF(T1104="Yes","Uncomprehended Twilight",IF((Character!$B$14+IF(Character!$B$53="Yes",0,Character!$B$53)+IF(Magic!$C$5="Yes",2,0)+ROUNDUP((Magic!$B$30+IF(Magic!$C$30="Yes",3,0))/5,0)+S1104)&gt;=($D$3+P1104+SUMIF(Character!$I$62:$I$66,"Enigmatic Wisdom",Character!$J$62:$J$66)+Q1104+U1104),"No Twilight","Twilight")))</f>
        <v>No Twilight</v>
      </c>
      <c r="W1104" s="483"/>
      <c r="X1104" s="478"/>
      <c r="Y1104" s="484"/>
      <c r="Z1104" s="478"/>
      <c r="AA1104" s="485" t="str">
        <f>IF(V1104="Uncomprehended Twilight","Failed",IF(OR(ISBLANK(W1104),ISBLANK(Y1104))," ",IF(NOT(ISBLANK(X1104)),"Failed",IF((W1104+Character!$B$9+SUMIF(Character!$I$62:$I$66,"Enigmatic Wisdom",Character!$J$62:$J$66))&gt;=IF(Z1104="Yes",0,(Y1104+D1099)),"Succeeded","Failed"))))</f>
        <v xml:space="preserve"> </v>
      </c>
      <c r="AB1104" s="477" t="str">
        <f>IF(AA1104=" "," ",IF(NOT(ISBLANK(X1104)),VLOOKUP($D$3+X1104,Calcs!$A$110:$C$122,3,TRUE),IF(AA1104="Failed",VLOOKUP($D$3,Calcs!$A$110:$C$122,3,TRUE),VLOOKUP($D$3-(IF((Character!$B$9+W1104)&gt;($D$3+Y1104),(Character!$B$9+W1104)-($D$3+Y1104),0)),Calcs!$A$110:$C$122,3,TRUE))))</f>
        <v xml:space="preserve"> </v>
      </c>
      <c r="AC1104" s="489"/>
      <c r="AD1104" s="489" t="str">
        <f>IF(IF(AA1104=" "," ",IF(NOT(ISBLANK(X1104)),VLOOKUP($D$3+X1104,Calcs!$A$110:$B$122,2,TRUE),IF(AA1104="Failed",VLOOKUP($D$3,Calcs!$A$110:$B$122,2,TRUE),VLOOKUP($D$3-(IF((Character!$B$9+W1104)&gt;($D$3+Y1104),(Character!$B$9+W1104)-($D$3+Y1104),0)),Calcs!$A$110:$B$122,2,TRUE))))=Calcs!$B$120,IF(ISBLANK(AC1104)," ",CONCATENATE(AC1104+7," Years")),IF(AA1104=" "," ",IF(NOT(ISBLANK(X1104)),VLOOKUP($D$3+X1104,Calcs!$A$110:$B$122,2,TRUE),IF(AA1104="Failed",VLOOKUP($D$3,Calcs!$A$110:$B$122,2,TRUE),VLOOKUP($D$3-(IF((Character!$B$9+W1104)&gt;($D$3+Y1104),(Character!$B$9+W1104)-($D$3+Y1104),0)),Calcs!$A$110:$B$122,2,TRUE)))))</f>
        <v xml:space="preserve"> </v>
      </c>
      <c r="AE1104" s="490"/>
      <c r="AF1104" s="879"/>
      <c r="AG1104" s="491"/>
    </row>
    <row r="1105" spans="1:33" x14ac:dyDescent="0.2">
      <c r="A1105" s="415">
        <f t="shared" si="32"/>
        <v>1486</v>
      </c>
      <c r="B1105" s="419" t="str">
        <f t="shared" si="33"/>
        <v>Spring</v>
      </c>
      <c r="C1105" s="455"/>
      <c r="D1105" s="504"/>
      <c r="E1105" s="455"/>
      <c r="F1105" s="504"/>
      <c r="G1105" s="455"/>
      <c r="H1105" s="504"/>
      <c r="I1105" s="455"/>
      <c r="J1105" s="504"/>
      <c r="L1105" s="472"/>
      <c r="M1105" s="468"/>
      <c r="N1105" s="468"/>
      <c r="O1105" s="468"/>
      <c r="P1105" s="468"/>
      <c r="Q1105" s="473"/>
      <c r="R1105" s="477" t="str">
        <f>IF(AND(COUNTIF('Start Character'!$I$63:$M$77,"Twilight Prone")=1,NOT(ISERROR(FIND("Magical Botch",M1105)))),"Yes",IF(P1105&gt;1,"Yes","No"))</f>
        <v>No</v>
      </c>
      <c r="S1105" s="501"/>
      <c r="T1105" s="478"/>
      <c r="U1105" s="501"/>
      <c r="V1105" s="479" t="str">
        <f>IF(R1105="No","No Twilight",IF(T1105="Yes","Uncomprehended Twilight",IF((Character!$B$14+IF(Character!$B$53="Yes",0,Character!$B$53)+IF(Magic!$C$5="Yes",2,0)+ROUNDUP((Magic!$B$30+IF(Magic!$C$30="Yes",3,0))/5,0)+S1105)&gt;=($D$3+P1105+SUMIF(Character!$I$62:$I$66,"Enigmatic Wisdom",Character!$J$62:$J$66)+Q1105+U1105),"No Twilight","Twilight")))</f>
        <v>No Twilight</v>
      </c>
      <c r="W1105" s="483"/>
      <c r="X1105" s="478"/>
      <c r="Y1105" s="484"/>
      <c r="Z1105" s="478"/>
      <c r="AA1105" s="485" t="str">
        <f>IF(V1105="Uncomprehended Twilight","Failed",IF(OR(ISBLANK(W1105),ISBLANK(Y1105))," ",IF(NOT(ISBLANK(X1105)),"Failed",IF((W1105+Character!$B$9+SUMIF(Character!$I$62:$I$66,"Enigmatic Wisdom",Character!$J$62:$J$66))&gt;=IF(Z1105="Yes",0,(Y1105+D1100)),"Succeeded","Failed"))))</f>
        <v xml:space="preserve"> </v>
      </c>
      <c r="AB1105" s="477" t="str">
        <f>IF(AA1105=" "," ",IF(NOT(ISBLANK(X1105)),VLOOKUP($D$3+X1105,Calcs!$A$110:$C$122,3,TRUE),IF(AA1105="Failed",VLOOKUP($D$3,Calcs!$A$110:$C$122,3,TRUE),VLOOKUP($D$3-(IF((Character!$B$9+W1105)&gt;($D$3+Y1105),(Character!$B$9+W1105)-($D$3+Y1105),0)),Calcs!$A$110:$C$122,3,TRUE))))</f>
        <v xml:space="preserve"> </v>
      </c>
      <c r="AC1105" s="489"/>
      <c r="AD1105" s="489" t="str">
        <f>IF(IF(AA1105=" "," ",IF(NOT(ISBLANK(X1105)),VLOOKUP($D$3+X1105,Calcs!$A$110:$B$122,2,TRUE),IF(AA1105="Failed",VLOOKUP($D$3,Calcs!$A$110:$B$122,2,TRUE),VLOOKUP($D$3-(IF((Character!$B$9+W1105)&gt;($D$3+Y1105),(Character!$B$9+W1105)-($D$3+Y1105),0)),Calcs!$A$110:$B$122,2,TRUE))))=Calcs!$B$120,IF(ISBLANK(AC1105)," ",CONCATENATE(AC1105+7," Years")),IF(AA1105=" "," ",IF(NOT(ISBLANK(X1105)),VLOOKUP($D$3+X1105,Calcs!$A$110:$B$122,2,TRUE),IF(AA1105="Failed",VLOOKUP($D$3,Calcs!$A$110:$B$122,2,TRUE),VLOOKUP($D$3-(IF((Character!$B$9+W1105)&gt;($D$3+Y1105),(Character!$B$9+W1105)-($D$3+Y1105),0)),Calcs!$A$110:$B$122,2,TRUE)))))</f>
        <v xml:space="preserve"> </v>
      </c>
      <c r="AE1105" s="490"/>
      <c r="AF1105" s="879"/>
      <c r="AG1105" s="491"/>
    </row>
    <row r="1106" spans="1:33" x14ac:dyDescent="0.2">
      <c r="A1106" s="415">
        <f t="shared" si="32"/>
        <v>1486</v>
      </c>
      <c r="B1106" s="419" t="str">
        <f t="shared" si="33"/>
        <v>Summer</v>
      </c>
      <c r="C1106" s="455"/>
      <c r="D1106" s="504"/>
      <c r="E1106" s="455"/>
      <c r="F1106" s="504"/>
      <c r="G1106" s="455"/>
      <c r="H1106" s="504"/>
      <c r="I1106" s="455"/>
      <c r="J1106" s="504"/>
      <c r="L1106" s="472"/>
      <c r="M1106" s="468"/>
      <c r="N1106" s="468"/>
      <c r="O1106" s="468"/>
      <c r="P1106" s="468"/>
      <c r="Q1106" s="473"/>
      <c r="R1106" s="477" t="str">
        <f>IF(AND(COUNTIF('Start Character'!$I$63:$M$77,"Twilight Prone")=1,NOT(ISERROR(FIND("Magical Botch",M1106)))),"Yes",IF(P1106&gt;1,"Yes","No"))</f>
        <v>No</v>
      </c>
      <c r="S1106" s="501"/>
      <c r="T1106" s="478"/>
      <c r="U1106" s="501"/>
      <c r="V1106" s="479" t="str">
        <f>IF(R1106="No","No Twilight",IF(T1106="Yes","Uncomprehended Twilight",IF((Character!$B$14+IF(Character!$B$53="Yes",0,Character!$B$53)+IF(Magic!$C$5="Yes",2,0)+ROUNDUP((Magic!$B$30+IF(Magic!$C$30="Yes",3,0))/5,0)+S1106)&gt;=($D$3+P1106+SUMIF(Character!$I$62:$I$66,"Enigmatic Wisdom",Character!$J$62:$J$66)+Q1106+U1106),"No Twilight","Twilight")))</f>
        <v>No Twilight</v>
      </c>
      <c r="W1106" s="483"/>
      <c r="X1106" s="478"/>
      <c r="Y1106" s="484"/>
      <c r="Z1106" s="478"/>
      <c r="AA1106" s="485" t="str">
        <f>IF(V1106="Uncomprehended Twilight","Failed",IF(OR(ISBLANK(W1106),ISBLANK(Y1106))," ",IF(NOT(ISBLANK(X1106)),"Failed",IF((W1106+Character!$B$9+SUMIF(Character!$I$62:$I$66,"Enigmatic Wisdom",Character!$J$62:$J$66))&gt;=IF(Z1106="Yes",0,(Y1106+D1101)),"Succeeded","Failed"))))</f>
        <v xml:space="preserve"> </v>
      </c>
      <c r="AB1106" s="477" t="str">
        <f>IF(AA1106=" "," ",IF(NOT(ISBLANK(X1106)),VLOOKUP($D$3+X1106,Calcs!$A$110:$C$122,3,TRUE),IF(AA1106="Failed",VLOOKUP($D$3,Calcs!$A$110:$C$122,3,TRUE),VLOOKUP($D$3-(IF((Character!$B$9+W1106)&gt;($D$3+Y1106),(Character!$B$9+W1106)-($D$3+Y1106),0)),Calcs!$A$110:$C$122,3,TRUE))))</f>
        <v xml:space="preserve"> </v>
      </c>
      <c r="AC1106" s="489"/>
      <c r="AD1106" s="489" t="str">
        <f>IF(IF(AA1106=" "," ",IF(NOT(ISBLANK(X1106)),VLOOKUP($D$3+X1106,Calcs!$A$110:$B$122,2,TRUE),IF(AA1106="Failed",VLOOKUP($D$3,Calcs!$A$110:$B$122,2,TRUE),VLOOKUP($D$3-(IF((Character!$B$9+W1106)&gt;($D$3+Y1106),(Character!$B$9+W1106)-($D$3+Y1106),0)),Calcs!$A$110:$B$122,2,TRUE))))=Calcs!$B$120,IF(ISBLANK(AC1106)," ",CONCATENATE(AC1106+7," Years")),IF(AA1106=" "," ",IF(NOT(ISBLANK(X1106)),VLOOKUP($D$3+X1106,Calcs!$A$110:$B$122,2,TRUE),IF(AA1106="Failed",VLOOKUP($D$3,Calcs!$A$110:$B$122,2,TRUE),VLOOKUP($D$3-(IF((Character!$B$9+W1106)&gt;($D$3+Y1106),(Character!$B$9+W1106)-($D$3+Y1106),0)),Calcs!$A$110:$B$122,2,TRUE)))))</f>
        <v xml:space="preserve"> </v>
      </c>
      <c r="AE1106" s="490"/>
      <c r="AF1106" s="879"/>
      <c r="AG1106" s="491"/>
    </row>
    <row r="1107" spans="1:33" x14ac:dyDescent="0.2">
      <c r="A1107" s="415">
        <f t="shared" si="32"/>
        <v>1486</v>
      </c>
      <c r="B1107" s="419" t="str">
        <f t="shared" si="33"/>
        <v>Autumn</v>
      </c>
      <c r="C1107" s="455"/>
      <c r="D1107" s="504"/>
      <c r="E1107" s="455"/>
      <c r="F1107" s="504"/>
      <c r="G1107" s="455"/>
      <c r="H1107" s="504"/>
      <c r="I1107" s="455"/>
      <c r="J1107" s="504"/>
      <c r="L1107" s="472"/>
      <c r="M1107" s="468"/>
      <c r="N1107" s="468"/>
      <c r="O1107" s="468"/>
      <c r="P1107" s="468"/>
      <c r="Q1107" s="473"/>
      <c r="R1107" s="477" t="str">
        <f>IF(AND(COUNTIF('Start Character'!$I$63:$M$77,"Twilight Prone")=1,NOT(ISERROR(FIND("Magical Botch",M1107)))),"Yes",IF(P1107&gt;1,"Yes","No"))</f>
        <v>No</v>
      </c>
      <c r="S1107" s="501"/>
      <c r="T1107" s="478"/>
      <c r="U1107" s="501"/>
      <c r="V1107" s="479" t="str">
        <f>IF(R1107="No","No Twilight",IF(T1107="Yes","Uncomprehended Twilight",IF((Character!$B$14+IF(Character!$B$53="Yes",0,Character!$B$53)+IF(Magic!$C$5="Yes",2,0)+ROUNDUP((Magic!$B$30+IF(Magic!$C$30="Yes",3,0))/5,0)+S1107)&gt;=($D$3+P1107+SUMIF(Character!$I$62:$I$66,"Enigmatic Wisdom",Character!$J$62:$J$66)+Q1107+U1107),"No Twilight","Twilight")))</f>
        <v>No Twilight</v>
      </c>
      <c r="W1107" s="483"/>
      <c r="X1107" s="478"/>
      <c r="Y1107" s="484"/>
      <c r="Z1107" s="478"/>
      <c r="AA1107" s="485" t="str">
        <f>IF(V1107="Uncomprehended Twilight","Failed",IF(OR(ISBLANK(W1107),ISBLANK(Y1107))," ",IF(NOT(ISBLANK(X1107)),"Failed",IF((W1107+Character!$B$9+SUMIF(Character!$I$62:$I$66,"Enigmatic Wisdom",Character!$J$62:$J$66))&gt;=IF(Z1107="Yes",0,(Y1107+D1102)),"Succeeded","Failed"))))</f>
        <v xml:space="preserve"> </v>
      </c>
      <c r="AB1107" s="477" t="str">
        <f>IF(AA1107=" "," ",IF(NOT(ISBLANK(X1107)),VLOOKUP($D$3+X1107,Calcs!$A$110:$C$122,3,TRUE),IF(AA1107="Failed",VLOOKUP($D$3,Calcs!$A$110:$C$122,3,TRUE),VLOOKUP($D$3-(IF((Character!$B$9+W1107)&gt;($D$3+Y1107),(Character!$B$9+W1107)-($D$3+Y1107),0)),Calcs!$A$110:$C$122,3,TRUE))))</f>
        <v xml:space="preserve"> </v>
      </c>
      <c r="AC1107" s="489"/>
      <c r="AD1107" s="489" t="str">
        <f>IF(IF(AA1107=" "," ",IF(NOT(ISBLANK(X1107)),VLOOKUP($D$3+X1107,Calcs!$A$110:$B$122,2,TRUE),IF(AA1107="Failed",VLOOKUP($D$3,Calcs!$A$110:$B$122,2,TRUE),VLOOKUP($D$3-(IF((Character!$B$9+W1107)&gt;($D$3+Y1107),(Character!$B$9+W1107)-($D$3+Y1107),0)),Calcs!$A$110:$B$122,2,TRUE))))=Calcs!$B$120,IF(ISBLANK(AC1107)," ",CONCATENATE(AC1107+7," Years")),IF(AA1107=" "," ",IF(NOT(ISBLANK(X1107)),VLOOKUP($D$3+X1107,Calcs!$A$110:$B$122,2,TRUE),IF(AA1107="Failed",VLOOKUP($D$3,Calcs!$A$110:$B$122,2,TRUE),VLOOKUP($D$3-(IF((Character!$B$9+W1107)&gt;($D$3+Y1107),(Character!$B$9+W1107)-($D$3+Y1107),0)),Calcs!$A$110:$B$122,2,TRUE)))))</f>
        <v xml:space="preserve"> </v>
      </c>
      <c r="AE1107" s="490"/>
      <c r="AF1107" s="879"/>
      <c r="AG1107" s="491"/>
    </row>
    <row r="1108" spans="1:33" x14ac:dyDescent="0.2">
      <c r="A1108" s="415">
        <f t="shared" si="32"/>
        <v>1487</v>
      </c>
      <c r="B1108" s="419" t="str">
        <f t="shared" si="33"/>
        <v>Winter</v>
      </c>
      <c r="C1108" s="455"/>
      <c r="D1108" s="504"/>
      <c r="E1108" s="455"/>
      <c r="F1108" s="504"/>
      <c r="G1108" s="455"/>
      <c r="H1108" s="504"/>
      <c r="I1108" s="455"/>
      <c r="J1108" s="504"/>
      <c r="L1108" s="472"/>
      <c r="M1108" s="468"/>
      <c r="N1108" s="468"/>
      <c r="O1108" s="468"/>
      <c r="P1108" s="468"/>
      <c r="Q1108" s="473"/>
      <c r="R1108" s="477" t="str">
        <f>IF(AND(COUNTIF('Start Character'!$I$63:$M$77,"Twilight Prone")=1,NOT(ISERROR(FIND("Magical Botch",M1108)))),"Yes",IF(P1108&gt;1,"Yes","No"))</f>
        <v>No</v>
      </c>
      <c r="S1108" s="501"/>
      <c r="T1108" s="478"/>
      <c r="U1108" s="501"/>
      <c r="V1108" s="479" t="str">
        <f>IF(R1108="No","No Twilight",IF(T1108="Yes","Uncomprehended Twilight",IF((Character!$B$14+IF(Character!$B$53="Yes",0,Character!$B$53)+IF(Magic!$C$5="Yes",2,0)+ROUNDUP((Magic!$B$30+IF(Magic!$C$30="Yes",3,0))/5,0)+S1108)&gt;=($D$3+P1108+SUMIF(Character!$I$62:$I$66,"Enigmatic Wisdom",Character!$J$62:$J$66)+Q1108+U1108),"No Twilight","Twilight")))</f>
        <v>No Twilight</v>
      </c>
      <c r="W1108" s="483"/>
      <c r="X1108" s="478"/>
      <c r="Y1108" s="484"/>
      <c r="Z1108" s="478"/>
      <c r="AA1108" s="485" t="str">
        <f>IF(V1108="Uncomprehended Twilight","Failed",IF(OR(ISBLANK(W1108),ISBLANK(Y1108))," ",IF(NOT(ISBLANK(X1108)),"Failed",IF((W1108+Character!$B$9+SUMIF(Character!$I$62:$I$66,"Enigmatic Wisdom",Character!$J$62:$J$66))&gt;=IF(Z1108="Yes",0,(Y1108+D1103)),"Succeeded","Failed"))))</f>
        <v xml:space="preserve"> </v>
      </c>
      <c r="AB1108" s="477" t="str">
        <f>IF(AA1108=" "," ",IF(NOT(ISBLANK(X1108)),VLOOKUP($D$3+X1108,Calcs!$A$110:$C$122,3,TRUE),IF(AA1108="Failed",VLOOKUP($D$3,Calcs!$A$110:$C$122,3,TRUE),VLOOKUP($D$3-(IF((Character!$B$9+W1108)&gt;($D$3+Y1108),(Character!$B$9+W1108)-($D$3+Y1108),0)),Calcs!$A$110:$C$122,3,TRUE))))</f>
        <v xml:space="preserve"> </v>
      </c>
      <c r="AC1108" s="489"/>
      <c r="AD1108" s="489" t="str">
        <f>IF(IF(AA1108=" "," ",IF(NOT(ISBLANK(X1108)),VLOOKUP($D$3+X1108,Calcs!$A$110:$B$122,2,TRUE),IF(AA1108="Failed",VLOOKUP($D$3,Calcs!$A$110:$B$122,2,TRUE),VLOOKUP($D$3-(IF((Character!$B$9+W1108)&gt;($D$3+Y1108),(Character!$B$9+W1108)-($D$3+Y1108),0)),Calcs!$A$110:$B$122,2,TRUE))))=Calcs!$B$120,IF(ISBLANK(AC1108)," ",CONCATENATE(AC1108+7," Years")),IF(AA1108=" "," ",IF(NOT(ISBLANK(X1108)),VLOOKUP($D$3+X1108,Calcs!$A$110:$B$122,2,TRUE),IF(AA1108="Failed",VLOOKUP($D$3,Calcs!$A$110:$B$122,2,TRUE),VLOOKUP($D$3-(IF((Character!$B$9+W1108)&gt;($D$3+Y1108),(Character!$B$9+W1108)-($D$3+Y1108),0)),Calcs!$A$110:$B$122,2,TRUE)))))</f>
        <v xml:space="preserve"> </v>
      </c>
      <c r="AE1108" s="490"/>
      <c r="AF1108" s="879"/>
      <c r="AG1108" s="491"/>
    </row>
    <row r="1109" spans="1:33" x14ac:dyDescent="0.2">
      <c r="A1109" s="415">
        <f t="shared" si="32"/>
        <v>1487</v>
      </c>
      <c r="B1109" s="419" t="str">
        <f t="shared" si="33"/>
        <v>Spring</v>
      </c>
      <c r="C1109" s="455"/>
      <c r="D1109" s="504"/>
      <c r="E1109" s="455"/>
      <c r="F1109" s="504"/>
      <c r="G1109" s="455"/>
      <c r="H1109" s="504"/>
      <c r="I1109" s="455"/>
      <c r="J1109" s="504"/>
      <c r="L1109" s="472"/>
      <c r="M1109" s="468"/>
      <c r="N1109" s="468"/>
      <c r="O1109" s="468"/>
      <c r="P1109" s="468"/>
      <c r="Q1109" s="473"/>
      <c r="R1109" s="477" t="str">
        <f>IF(AND(COUNTIF('Start Character'!$I$63:$M$77,"Twilight Prone")=1,NOT(ISERROR(FIND("Magical Botch",M1109)))),"Yes",IF(P1109&gt;1,"Yes","No"))</f>
        <v>No</v>
      </c>
      <c r="S1109" s="501"/>
      <c r="T1109" s="478"/>
      <c r="U1109" s="501"/>
      <c r="V1109" s="479" t="str">
        <f>IF(R1109="No","No Twilight",IF(T1109="Yes","Uncomprehended Twilight",IF((Character!$B$14+IF(Character!$B$53="Yes",0,Character!$B$53)+IF(Magic!$C$5="Yes",2,0)+ROUNDUP((Magic!$B$30+IF(Magic!$C$30="Yes",3,0))/5,0)+S1109)&gt;=($D$3+P1109+SUMIF(Character!$I$62:$I$66,"Enigmatic Wisdom",Character!$J$62:$J$66)+Q1109+U1109),"No Twilight","Twilight")))</f>
        <v>No Twilight</v>
      </c>
      <c r="W1109" s="483"/>
      <c r="X1109" s="478"/>
      <c r="Y1109" s="484"/>
      <c r="Z1109" s="478"/>
      <c r="AA1109" s="485" t="str">
        <f>IF(V1109="Uncomprehended Twilight","Failed",IF(OR(ISBLANK(W1109),ISBLANK(Y1109))," ",IF(NOT(ISBLANK(X1109)),"Failed",IF((W1109+Character!$B$9+SUMIF(Character!$I$62:$I$66,"Enigmatic Wisdom",Character!$J$62:$J$66))&gt;=IF(Z1109="Yes",0,(Y1109+D1104)),"Succeeded","Failed"))))</f>
        <v xml:space="preserve"> </v>
      </c>
      <c r="AB1109" s="477" t="str">
        <f>IF(AA1109=" "," ",IF(NOT(ISBLANK(X1109)),VLOOKUP($D$3+X1109,Calcs!$A$110:$C$122,3,TRUE),IF(AA1109="Failed",VLOOKUP($D$3,Calcs!$A$110:$C$122,3,TRUE),VLOOKUP($D$3-(IF((Character!$B$9+W1109)&gt;($D$3+Y1109),(Character!$B$9+W1109)-($D$3+Y1109),0)),Calcs!$A$110:$C$122,3,TRUE))))</f>
        <v xml:space="preserve"> </v>
      </c>
      <c r="AC1109" s="489"/>
      <c r="AD1109" s="489" t="str">
        <f>IF(IF(AA1109=" "," ",IF(NOT(ISBLANK(X1109)),VLOOKUP($D$3+X1109,Calcs!$A$110:$B$122,2,TRUE),IF(AA1109="Failed",VLOOKUP($D$3,Calcs!$A$110:$B$122,2,TRUE),VLOOKUP($D$3-(IF((Character!$B$9+W1109)&gt;($D$3+Y1109),(Character!$B$9+W1109)-($D$3+Y1109),0)),Calcs!$A$110:$B$122,2,TRUE))))=Calcs!$B$120,IF(ISBLANK(AC1109)," ",CONCATENATE(AC1109+7," Years")),IF(AA1109=" "," ",IF(NOT(ISBLANK(X1109)),VLOOKUP($D$3+X1109,Calcs!$A$110:$B$122,2,TRUE),IF(AA1109="Failed",VLOOKUP($D$3,Calcs!$A$110:$B$122,2,TRUE),VLOOKUP($D$3-(IF((Character!$B$9+W1109)&gt;($D$3+Y1109),(Character!$B$9+W1109)-($D$3+Y1109),0)),Calcs!$A$110:$B$122,2,TRUE)))))</f>
        <v xml:space="preserve"> </v>
      </c>
      <c r="AE1109" s="490"/>
      <c r="AF1109" s="879"/>
      <c r="AG1109" s="491"/>
    </row>
    <row r="1110" spans="1:33" x14ac:dyDescent="0.2">
      <c r="A1110" s="415">
        <f t="shared" si="32"/>
        <v>1487</v>
      </c>
      <c r="B1110" s="419" t="str">
        <f t="shared" si="33"/>
        <v>Summer</v>
      </c>
      <c r="C1110" s="455"/>
      <c r="D1110" s="504"/>
      <c r="E1110" s="455"/>
      <c r="F1110" s="504"/>
      <c r="G1110" s="455"/>
      <c r="H1110" s="504"/>
      <c r="I1110" s="455"/>
      <c r="J1110" s="504"/>
      <c r="L1110" s="472"/>
      <c r="M1110" s="468"/>
      <c r="N1110" s="468"/>
      <c r="O1110" s="468"/>
      <c r="P1110" s="468"/>
      <c r="Q1110" s="473"/>
      <c r="R1110" s="477" t="str">
        <f>IF(AND(COUNTIF('Start Character'!$I$63:$M$77,"Twilight Prone")=1,NOT(ISERROR(FIND("Magical Botch",M1110)))),"Yes",IF(P1110&gt;1,"Yes","No"))</f>
        <v>No</v>
      </c>
      <c r="S1110" s="501"/>
      <c r="T1110" s="478"/>
      <c r="U1110" s="501"/>
      <c r="V1110" s="479" t="str">
        <f>IF(R1110="No","No Twilight",IF(T1110="Yes","Uncomprehended Twilight",IF((Character!$B$14+IF(Character!$B$53="Yes",0,Character!$B$53)+IF(Magic!$C$5="Yes",2,0)+ROUNDUP((Magic!$B$30+IF(Magic!$C$30="Yes",3,0))/5,0)+S1110)&gt;=($D$3+P1110+SUMIF(Character!$I$62:$I$66,"Enigmatic Wisdom",Character!$J$62:$J$66)+Q1110+U1110),"No Twilight","Twilight")))</f>
        <v>No Twilight</v>
      </c>
      <c r="W1110" s="483"/>
      <c r="X1110" s="478"/>
      <c r="Y1110" s="484"/>
      <c r="Z1110" s="478"/>
      <c r="AA1110" s="485" t="str">
        <f>IF(V1110="Uncomprehended Twilight","Failed",IF(OR(ISBLANK(W1110),ISBLANK(Y1110))," ",IF(NOT(ISBLANK(X1110)),"Failed",IF((W1110+Character!$B$9+SUMIF(Character!$I$62:$I$66,"Enigmatic Wisdom",Character!$J$62:$J$66))&gt;=IF(Z1110="Yes",0,(Y1110+D1105)),"Succeeded","Failed"))))</f>
        <v xml:space="preserve"> </v>
      </c>
      <c r="AB1110" s="477" t="str">
        <f>IF(AA1110=" "," ",IF(NOT(ISBLANK(X1110)),VLOOKUP($D$3+X1110,Calcs!$A$110:$C$122,3,TRUE),IF(AA1110="Failed",VLOOKUP($D$3,Calcs!$A$110:$C$122,3,TRUE),VLOOKUP($D$3-(IF((Character!$B$9+W1110)&gt;($D$3+Y1110),(Character!$B$9+W1110)-($D$3+Y1110),0)),Calcs!$A$110:$C$122,3,TRUE))))</f>
        <v xml:space="preserve"> </v>
      </c>
      <c r="AC1110" s="489"/>
      <c r="AD1110" s="489" t="str">
        <f>IF(IF(AA1110=" "," ",IF(NOT(ISBLANK(X1110)),VLOOKUP($D$3+X1110,Calcs!$A$110:$B$122,2,TRUE),IF(AA1110="Failed",VLOOKUP($D$3,Calcs!$A$110:$B$122,2,TRUE),VLOOKUP($D$3-(IF((Character!$B$9+W1110)&gt;($D$3+Y1110),(Character!$B$9+W1110)-($D$3+Y1110),0)),Calcs!$A$110:$B$122,2,TRUE))))=Calcs!$B$120,IF(ISBLANK(AC1110)," ",CONCATENATE(AC1110+7," Years")),IF(AA1110=" "," ",IF(NOT(ISBLANK(X1110)),VLOOKUP($D$3+X1110,Calcs!$A$110:$B$122,2,TRUE),IF(AA1110="Failed",VLOOKUP($D$3,Calcs!$A$110:$B$122,2,TRUE),VLOOKUP($D$3-(IF((Character!$B$9+W1110)&gt;($D$3+Y1110),(Character!$B$9+W1110)-($D$3+Y1110),0)),Calcs!$A$110:$B$122,2,TRUE)))))</f>
        <v xml:space="preserve"> </v>
      </c>
      <c r="AE1110" s="490"/>
      <c r="AF1110" s="879"/>
      <c r="AG1110" s="491"/>
    </row>
    <row r="1111" spans="1:33" x14ac:dyDescent="0.2">
      <c r="A1111" s="415">
        <f t="shared" si="32"/>
        <v>1487</v>
      </c>
      <c r="B1111" s="419" t="str">
        <f t="shared" si="33"/>
        <v>Autumn</v>
      </c>
      <c r="C1111" s="455"/>
      <c r="D1111" s="504"/>
      <c r="E1111" s="455"/>
      <c r="F1111" s="504"/>
      <c r="G1111" s="455"/>
      <c r="H1111" s="504"/>
      <c r="I1111" s="455"/>
      <c r="J1111" s="504"/>
      <c r="L1111" s="472"/>
      <c r="M1111" s="468"/>
      <c r="N1111" s="468"/>
      <c r="O1111" s="468"/>
      <c r="P1111" s="468"/>
      <c r="Q1111" s="473"/>
      <c r="R1111" s="477" t="str">
        <f>IF(AND(COUNTIF('Start Character'!$I$63:$M$77,"Twilight Prone")=1,NOT(ISERROR(FIND("Magical Botch",M1111)))),"Yes",IF(P1111&gt;1,"Yes","No"))</f>
        <v>No</v>
      </c>
      <c r="S1111" s="501"/>
      <c r="T1111" s="478"/>
      <c r="U1111" s="501"/>
      <c r="V1111" s="479" t="str">
        <f>IF(R1111="No","No Twilight",IF(T1111="Yes","Uncomprehended Twilight",IF((Character!$B$14+IF(Character!$B$53="Yes",0,Character!$B$53)+IF(Magic!$C$5="Yes",2,0)+ROUNDUP((Magic!$B$30+IF(Magic!$C$30="Yes",3,0))/5,0)+S1111)&gt;=($D$3+P1111+SUMIF(Character!$I$62:$I$66,"Enigmatic Wisdom",Character!$J$62:$J$66)+Q1111+U1111),"No Twilight","Twilight")))</f>
        <v>No Twilight</v>
      </c>
      <c r="W1111" s="483"/>
      <c r="X1111" s="478"/>
      <c r="Y1111" s="484"/>
      <c r="Z1111" s="478"/>
      <c r="AA1111" s="485" t="str">
        <f>IF(V1111="Uncomprehended Twilight","Failed",IF(OR(ISBLANK(W1111),ISBLANK(Y1111))," ",IF(NOT(ISBLANK(X1111)),"Failed",IF((W1111+Character!$B$9+SUMIF(Character!$I$62:$I$66,"Enigmatic Wisdom",Character!$J$62:$J$66))&gt;=IF(Z1111="Yes",0,(Y1111+D1106)),"Succeeded","Failed"))))</f>
        <v xml:space="preserve"> </v>
      </c>
      <c r="AB1111" s="477" t="str">
        <f>IF(AA1111=" "," ",IF(NOT(ISBLANK(X1111)),VLOOKUP($D$3+X1111,Calcs!$A$110:$C$122,3,TRUE),IF(AA1111="Failed",VLOOKUP($D$3,Calcs!$A$110:$C$122,3,TRUE),VLOOKUP($D$3-(IF((Character!$B$9+W1111)&gt;($D$3+Y1111),(Character!$B$9+W1111)-($D$3+Y1111),0)),Calcs!$A$110:$C$122,3,TRUE))))</f>
        <v xml:space="preserve"> </v>
      </c>
      <c r="AC1111" s="489"/>
      <c r="AD1111" s="489" t="str">
        <f>IF(IF(AA1111=" "," ",IF(NOT(ISBLANK(X1111)),VLOOKUP($D$3+X1111,Calcs!$A$110:$B$122,2,TRUE),IF(AA1111="Failed",VLOOKUP($D$3,Calcs!$A$110:$B$122,2,TRUE),VLOOKUP($D$3-(IF((Character!$B$9+W1111)&gt;($D$3+Y1111),(Character!$B$9+W1111)-($D$3+Y1111),0)),Calcs!$A$110:$B$122,2,TRUE))))=Calcs!$B$120,IF(ISBLANK(AC1111)," ",CONCATENATE(AC1111+7," Years")),IF(AA1111=" "," ",IF(NOT(ISBLANK(X1111)),VLOOKUP($D$3+X1111,Calcs!$A$110:$B$122,2,TRUE),IF(AA1111="Failed",VLOOKUP($D$3,Calcs!$A$110:$B$122,2,TRUE),VLOOKUP($D$3-(IF((Character!$B$9+W1111)&gt;($D$3+Y1111),(Character!$B$9+W1111)-($D$3+Y1111),0)),Calcs!$A$110:$B$122,2,TRUE)))))</f>
        <v xml:space="preserve"> </v>
      </c>
      <c r="AE1111" s="490"/>
      <c r="AF1111" s="879"/>
      <c r="AG1111" s="491"/>
    </row>
    <row r="1112" spans="1:33" x14ac:dyDescent="0.2">
      <c r="A1112" s="415">
        <f t="shared" si="32"/>
        <v>1488</v>
      </c>
      <c r="B1112" s="419" t="str">
        <f t="shared" si="33"/>
        <v>Winter</v>
      </c>
      <c r="C1112" s="455"/>
      <c r="D1112" s="504"/>
      <c r="E1112" s="455"/>
      <c r="F1112" s="504"/>
      <c r="G1112" s="455"/>
      <c r="H1112" s="504"/>
      <c r="I1112" s="455"/>
      <c r="J1112" s="504"/>
      <c r="L1112" s="472"/>
      <c r="M1112" s="468"/>
      <c r="N1112" s="468"/>
      <c r="O1112" s="468"/>
      <c r="P1112" s="468"/>
      <c r="Q1112" s="473"/>
      <c r="R1112" s="477" t="str">
        <f>IF(AND(COUNTIF('Start Character'!$I$63:$M$77,"Twilight Prone")=1,NOT(ISERROR(FIND("Magical Botch",M1112)))),"Yes",IF(P1112&gt;1,"Yes","No"))</f>
        <v>No</v>
      </c>
      <c r="S1112" s="501"/>
      <c r="T1112" s="478"/>
      <c r="U1112" s="501"/>
      <c r="V1112" s="479" t="str">
        <f>IF(R1112="No","No Twilight",IF(T1112="Yes","Uncomprehended Twilight",IF((Character!$B$14+IF(Character!$B$53="Yes",0,Character!$B$53)+IF(Magic!$C$5="Yes",2,0)+ROUNDUP((Magic!$B$30+IF(Magic!$C$30="Yes",3,0))/5,0)+S1112)&gt;=($D$3+P1112+SUMIF(Character!$I$62:$I$66,"Enigmatic Wisdom",Character!$J$62:$J$66)+Q1112+U1112),"No Twilight","Twilight")))</f>
        <v>No Twilight</v>
      </c>
      <c r="W1112" s="483"/>
      <c r="X1112" s="478"/>
      <c r="Y1112" s="484"/>
      <c r="Z1112" s="478"/>
      <c r="AA1112" s="485" t="str">
        <f>IF(V1112="Uncomprehended Twilight","Failed",IF(OR(ISBLANK(W1112),ISBLANK(Y1112))," ",IF(NOT(ISBLANK(X1112)),"Failed",IF((W1112+Character!$B$9+SUMIF(Character!$I$62:$I$66,"Enigmatic Wisdom",Character!$J$62:$J$66))&gt;=IF(Z1112="Yes",0,(Y1112+D1107)),"Succeeded","Failed"))))</f>
        <v xml:space="preserve"> </v>
      </c>
      <c r="AB1112" s="477" t="str">
        <f>IF(AA1112=" "," ",IF(NOT(ISBLANK(X1112)),VLOOKUP($D$3+X1112,Calcs!$A$110:$C$122,3,TRUE),IF(AA1112="Failed",VLOOKUP($D$3,Calcs!$A$110:$C$122,3,TRUE),VLOOKUP($D$3-(IF((Character!$B$9+W1112)&gt;($D$3+Y1112),(Character!$B$9+W1112)-($D$3+Y1112),0)),Calcs!$A$110:$C$122,3,TRUE))))</f>
        <v xml:space="preserve"> </v>
      </c>
      <c r="AC1112" s="489"/>
      <c r="AD1112" s="489" t="str">
        <f>IF(IF(AA1112=" "," ",IF(NOT(ISBLANK(X1112)),VLOOKUP($D$3+X1112,Calcs!$A$110:$B$122,2,TRUE),IF(AA1112="Failed",VLOOKUP($D$3,Calcs!$A$110:$B$122,2,TRUE),VLOOKUP($D$3-(IF((Character!$B$9+W1112)&gt;($D$3+Y1112),(Character!$B$9+W1112)-($D$3+Y1112),0)),Calcs!$A$110:$B$122,2,TRUE))))=Calcs!$B$120,IF(ISBLANK(AC1112)," ",CONCATENATE(AC1112+7," Years")),IF(AA1112=" "," ",IF(NOT(ISBLANK(X1112)),VLOOKUP($D$3+X1112,Calcs!$A$110:$B$122,2,TRUE),IF(AA1112="Failed",VLOOKUP($D$3,Calcs!$A$110:$B$122,2,TRUE),VLOOKUP($D$3-(IF((Character!$B$9+W1112)&gt;($D$3+Y1112),(Character!$B$9+W1112)-($D$3+Y1112),0)),Calcs!$A$110:$B$122,2,TRUE)))))</f>
        <v xml:space="preserve"> </v>
      </c>
      <c r="AE1112" s="490"/>
      <c r="AF1112" s="879"/>
      <c r="AG1112" s="491"/>
    </row>
    <row r="1113" spans="1:33" x14ac:dyDescent="0.2">
      <c r="A1113" s="415">
        <f t="shared" si="32"/>
        <v>1488</v>
      </c>
      <c r="B1113" s="419" t="str">
        <f t="shared" si="33"/>
        <v>Spring</v>
      </c>
      <c r="C1113" s="455"/>
      <c r="D1113" s="504"/>
      <c r="E1113" s="455"/>
      <c r="F1113" s="504"/>
      <c r="G1113" s="455"/>
      <c r="H1113" s="504"/>
      <c r="I1113" s="455"/>
      <c r="J1113" s="504"/>
      <c r="L1113" s="472"/>
      <c r="M1113" s="468"/>
      <c r="N1113" s="468"/>
      <c r="O1113" s="468"/>
      <c r="P1113" s="468"/>
      <c r="Q1113" s="473"/>
      <c r="R1113" s="477" t="str">
        <f>IF(AND(COUNTIF('Start Character'!$I$63:$M$77,"Twilight Prone")=1,NOT(ISERROR(FIND("Magical Botch",M1113)))),"Yes",IF(P1113&gt;1,"Yes","No"))</f>
        <v>No</v>
      </c>
      <c r="S1113" s="501"/>
      <c r="T1113" s="478"/>
      <c r="U1113" s="501"/>
      <c r="V1113" s="479" t="str">
        <f>IF(R1113="No","No Twilight",IF(T1113="Yes","Uncomprehended Twilight",IF((Character!$B$14+IF(Character!$B$53="Yes",0,Character!$B$53)+IF(Magic!$C$5="Yes",2,0)+ROUNDUP((Magic!$B$30+IF(Magic!$C$30="Yes",3,0))/5,0)+S1113)&gt;=($D$3+P1113+SUMIF(Character!$I$62:$I$66,"Enigmatic Wisdom",Character!$J$62:$J$66)+Q1113+U1113),"No Twilight","Twilight")))</f>
        <v>No Twilight</v>
      </c>
      <c r="W1113" s="483"/>
      <c r="X1113" s="478"/>
      <c r="Y1113" s="484"/>
      <c r="Z1113" s="478"/>
      <c r="AA1113" s="485" t="str">
        <f>IF(V1113="Uncomprehended Twilight","Failed",IF(OR(ISBLANK(W1113),ISBLANK(Y1113))," ",IF(NOT(ISBLANK(X1113)),"Failed",IF((W1113+Character!$B$9+SUMIF(Character!$I$62:$I$66,"Enigmatic Wisdom",Character!$J$62:$J$66))&gt;=IF(Z1113="Yes",0,(Y1113+D1108)),"Succeeded","Failed"))))</f>
        <v xml:space="preserve"> </v>
      </c>
      <c r="AB1113" s="477" t="str">
        <f>IF(AA1113=" "," ",IF(NOT(ISBLANK(X1113)),VLOOKUP($D$3+X1113,Calcs!$A$110:$C$122,3,TRUE),IF(AA1113="Failed",VLOOKUP($D$3,Calcs!$A$110:$C$122,3,TRUE),VLOOKUP($D$3-(IF((Character!$B$9+W1113)&gt;($D$3+Y1113),(Character!$B$9+W1113)-($D$3+Y1113),0)),Calcs!$A$110:$C$122,3,TRUE))))</f>
        <v xml:space="preserve"> </v>
      </c>
      <c r="AC1113" s="489"/>
      <c r="AD1113" s="489" t="str">
        <f>IF(IF(AA1113=" "," ",IF(NOT(ISBLANK(X1113)),VLOOKUP($D$3+X1113,Calcs!$A$110:$B$122,2,TRUE),IF(AA1113="Failed",VLOOKUP($D$3,Calcs!$A$110:$B$122,2,TRUE),VLOOKUP($D$3-(IF((Character!$B$9+W1113)&gt;($D$3+Y1113),(Character!$B$9+W1113)-($D$3+Y1113),0)),Calcs!$A$110:$B$122,2,TRUE))))=Calcs!$B$120,IF(ISBLANK(AC1113)," ",CONCATENATE(AC1113+7," Years")),IF(AA1113=" "," ",IF(NOT(ISBLANK(X1113)),VLOOKUP($D$3+X1113,Calcs!$A$110:$B$122,2,TRUE),IF(AA1113="Failed",VLOOKUP($D$3,Calcs!$A$110:$B$122,2,TRUE),VLOOKUP($D$3-(IF((Character!$B$9+W1113)&gt;($D$3+Y1113),(Character!$B$9+W1113)-($D$3+Y1113),0)),Calcs!$A$110:$B$122,2,TRUE)))))</f>
        <v xml:space="preserve"> </v>
      </c>
      <c r="AE1113" s="490"/>
      <c r="AF1113" s="879"/>
      <c r="AG1113" s="491"/>
    </row>
    <row r="1114" spans="1:33" x14ac:dyDescent="0.2">
      <c r="A1114" s="415">
        <f t="shared" si="32"/>
        <v>1488</v>
      </c>
      <c r="B1114" s="419" t="str">
        <f t="shared" si="33"/>
        <v>Summer</v>
      </c>
      <c r="C1114" s="455"/>
      <c r="D1114" s="504"/>
      <c r="E1114" s="455"/>
      <c r="F1114" s="504"/>
      <c r="G1114" s="455"/>
      <c r="H1114" s="504"/>
      <c r="I1114" s="455"/>
      <c r="J1114" s="504"/>
      <c r="L1114" s="472"/>
      <c r="M1114" s="468"/>
      <c r="N1114" s="468"/>
      <c r="O1114" s="468"/>
      <c r="P1114" s="468"/>
      <c r="Q1114" s="473"/>
      <c r="R1114" s="477" t="str">
        <f>IF(AND(COUNTIF('Start Character'!$I$63:$M$77,"Twilight Prone")=1,NOT(ISERROR(FIND("Magical Botch",M1114)))),"Yes",IF(P1114&gt;1,"Yes","No"))</f>
        <v>No</v>
      </c>
      <c r="S1114" s="501"/>
      <c r="T1114" s="478"/>
      <c r="U1114" s="501"/>
      <c r="V1114" s="479" t="str">
        <f>IF(R1114="No","No Twilight",IF(T1114="Yes","Uncomprehended Twilight",IF((Character!$B$14+IF(Character!$B$53="Yes",0,Character!$B$53)+IF(Magic!$C$5="Yes",2,0)+ROUNDUP((Magic!$B$30+IF(Magic!$C$30="Yes",3,0))/5,0)+S1114)&gt;=($D$3+P1114+SUMIF(Character!$I$62:$I$66,"Enigmatic Wisdom",Character!$J$62:$J$66)+Q1114+U1114),"No Twilight","Twilight")))</f>
        <v>No Twilight</v>
      </c>
      <c r="W1114" s="483"/>
      <c r="X1114" s="478"/>
      <c r="Y1114" s="484"/>
      <c r="Z1114" s="478"/>
      <c r="AA1114" s="485" t="str">
        <f>IF(V1114="Uncomprehended Twilight","Failed",IF(OR(ISBLANK(W1114),ISBLANK(Y1114))," ",IF(NOT(ISBLANK(X1114)),"Failed",IF((W1114+Character!$B$9+SUMIF(Character!$I$62:$I$66,"Enigmatic Wisdom",Character!$J$62:$J$66))&gt;=IF(Z1114="Yes",0,(Y1114+D1109)),"Succeeded","Failed"))))</f>
        <v xml:space="preserve"> </v>
      </c>
      <c r="AB1114" s="477" t="str">
        <f>IF(AA1114=" "," ",IF(NOT(ISBLANK(X1114)),VLOOKUP($D$3+X1114,Calcs!$A$110:$C$122,3,TRUE),IF(AA1114="Failed",VLOOKUP($D$3,Calcs!$A$110:$C$122,3,TRUE),VLOOKUP($D$3-(IF((Character!$B$9+W1114)&gt;($D$3+Y1114),(Character!$B$9+W1114)-($D$3+Y1114),0)),Calcs!$A$110:$C$122,3,TRUE))))</f>
        <v xml:space="preserve"> </v>
      </c>
      <c r="AC1114" s="489"/>
      <c r="AD1114" s="489" t="str">
        <f>IF(IF(AA1114=" "," ",IF(NOT(ISBLANK(X1114)),VLOOKUP($D$3+X1114,Calcs!$A$110:$B$122,2,TRUE),IF(AA1114="Failed",VLOOKUP($D$3,Calcs!$A$110:$B$122,2,TRUE),VLOOKUP($D$3-(IF((Character!$B$9+W1114)&gt;($D$3+Y1114),(Character!$B$9+W1114)-($D$3+Y1114),0)),Calcs!$A$110:$B$122,2,TRUE))))=Calcs!$B$120,IF(ISBLANK(AC1114)," ",CONCATENATE(AC1114+7," Years")),IF(AA1114=" "," ",IF(NOT(ISBLANK(X1114)),VLOOKUP($D$3+X1114,Calcs!$A$110:$B$122,2,TRUE),IF(AA1114="Failed",VLOOKUP($D$3,Calcs!$A$110:$B$122,2,TRUE),VLOOKUP($D$3-(IF((Character!$B$9+W1114)&gt;($D$3+Y1114),(Character!$B$9+W1114)-($D$3+Y1114),0)),Calcs!$A$110:$B$122,2,TRUE)))))</f>
        <v xml:space="preserve"> </v>
      </c>
      <c r="AE1114" s="490"/>
      <c r="AF1114" s="879"/>
      <c r="AG1114" s="491"/>
    </row>
    <row r="1115" spans="1:33" x14ac:dyDescent="0.2">
      <c r="A1115" s="415">
        <f t="shared" si="32"/>
        <v>1488</v>
      </c>
      <c r="B1115" s="419" t="str">
        <f t="shared" si="33"/>
        <v>Autumn</v>
      </c>
      <c r="C1115" s="455"/>
      <c r="D1115" s="504"/>
      <c r="E1115" s="455"/>
      <c r="F1115" s="504"/>
      <c r="G1115" s="455"/>
      <c r="H1115" s="504"/>
      <c r="I1115" s="455"/>
      <c r="J1115" s="504"/>
      <c r="L1115" s="472"/>
      <c r="M1115" s="468"/>
      <c r="N1115" s="468"/>
      <c r="O1115" s="468"/>
      <c r="P1115" s="468"/>
      <c r="Q1115" s="473"/>
      <c r="R1115" s="477" t="str">
        <f>IF(AND(COUNTIF('Start Character'!$I$63:$M$77,"Twilight Prone")=1,NOT(ISERROR(FIND("Magical Botch",M1115)))),"Yes",IF(P1115&gt;1,"Yes","No"))</f>
        <v>No</v>
      </c>
      <c r="S1115" s="501"/>
      <c r="T1115" s="478"/>
      <c r="U1115" s="501"/>
      <c r="V1115" s="479" t="str">
        <f>IF(R1115="No","No Twilight",IF(T1115="Yes","Uncomprehended Twilight",IF((Character!$B$14+IF(Character!$B$53="Yes",0,Character!$B$53)+IF(Magic!$C$5="Yes",2,0)+ROUNDUP((Magic!$B$30+IF(Magic!$C$30="Yes",3,0))/5,0)+S1115)&gt;=($D$3+P1115+SUMIF(Character!$I$62:$I$66,"Enigmatic Wisdom",Character!$J$62:$J$66)+Q1115+U1115),"No Twilight","Twilight")))</f>
        <v>No Twilight</v>
      </c>
      <c r="W1115" s="483"/>
      <c r="X1115" s="478"/>
      <c r="Y1115" s="484"/>
      <c r="Z1115" s="478"/>
      <c r="AA1115" s="485" t="str">
        <f>IF(V1115="Uncomprehended Twilight","Failed",IF(OR(ISBLANK(W1115),ISBLANK(Y1115))," ",IF(NOT(ISBLANK(X1115)),"Failed",IF((W1115+Character!$B$9+SUMIF(Character!$I$62:$I$66,"Enigmatic Wisdom",Character!$J$62:$J$66))&gt;=IF(Z1115="Yes",0,(Y1115+D1110)),"Succeeded","Failed"))))</f>
        <v xml:space="preserve"> </v>
      </c>
      <c r="AB1115" s="477" t="str">
        <f>IF(AA1115=" "," ",IF(NOT(ISBLANK(X1115)),VLOOKUP($D$3+X1115,Calcs!$A$110:$C$122,3,TRUE),IF(AA1115="Failed",VLOOKUP($D$3,Calcs!$A$110:$C$122,3,TRUE),VLOOKUP($D$3-(IF((Character!$B$9+W1115)&gt;($D$3+Y1115),(Character!$B$9+W1115)-($D$3+Y1115),0)),Calcs!$A$110:$C$122,3,TRUE))))</f>
        <v xml:space="preserve"> </v>
      </c>
      <c r="AC1115" s="489"/>
      <c r="AD1115" s="489" t="str">
        <f>IF(IF(AA1115=" "," ",IF(NOT(ISBLANK(X1115)),VLOOKUP($D$3+X1115,Calcs!$A$110:$B$122,2,TRUE),IF(AA1115="Failed",VLOOKUP($D$3,Calcs!$A$110:$B$122,2,TRUE),VLOOKUP($D$3-(IF((Character!$B$9+W1115)&gt;($D$3+Y1115),(Character!$B$9+W1115)-($D$3+Y1115),0)),Calcs!$A$110:$B$122,2,TRUE))))=Calcs!$B$120,IF(ISBLANK(AC1115)," ",CONCATENATE(AC1115+7," Years")),IF(AA1115=" "," ",IF(NOT(ISBLANK(X1115)),VLOOKUP($D$3+X1115,Calcs!$A$110:$B$122,2,TRUE),IF(AA1115="Failed",VLOOKUP($D$3,Calcs!$A$110:$B$122,2,TRUE),VLOOKUP($D$3-(IF((Character!$B$9+W1115)&gt;($D$3+Y1115),(Character!$B$9+W1115)-($D$3+Y1115),0)),Calcs!$A$110:$B$122,2,TRUE)))))</f>
        <v xml:space="preserve"> </v>
      </c>
      <c r="AE1115" s="490"/>
      <c r="AF1115" s="879"/>
      <c r="AG1115" s="491"/>
    </row>
    <row r="1116" spans="1:33" x14ac:dyDescent="0.2">
      <c r="A1116" s="415">
        <f t="shared" si="32"/>
        <v>1489</v>
      </c>
      <c r="B1116" s="419" t="str">
        <f t="shared" si="33"/>
        <v>Winter</v>
      </c>
      <c r="C1116" s="455"/>
      <c r="D1116" s="504"/>
      <c r="E1116" s="455"/>
      <c r="F1116" s="504"/>
      <c r="G1116" s="455"/>
      <c r="H1116" s="504"/>
      <c r="I1116" s="455"/>
      <c r="J1116" s="504"/>
      <c r="L1116" s="472"/>
      <c r="M1116" s="468"/>
      <c r="N1116" s="468"/>
      <c r="O1116" s="468"/>
      <c r="P1116" s="468"/>
      <c r="Q1116" s="473"/>
      <c r="R1116" s="477" t="str">
        <f>IF(AND(COUNTIF('Start Character'!$I$63:$M$77,"Twilight Prone")=1,NOT(ISERROR(FIND("Magical Botch",M1116)))),"Yes",IF(P1116&gt;1,"Yes","No"))</f>
        <v>No</v>
      </c>
      <c r="S1116" s="501"/>
      <c r="T1116" s="478"/>
      <c r="U1116" s="501"/>
      <c r="V1116" s="479" t="str">
        <f>IF(R1116="No","No Twilight",IF(T1116="Yes","Uncomprehended Twilight",IF((Character!$B$14+IF(Character!$B$53="Yes",0,Character!$B$53)+IF(Magic!$C$5="Yes",2,0)+ROUNDUP((Magic!$B$30+IF(Magic!$C$30="Yes",3,0))/5,0)+S1116)&gt;=($D$3+P1116+SUMIF(Character!$I$62:$I$66,"Enigmatic Wisdom",Character!$J$62:$J$66)+Q1116+U1116),"No Twilight","Twilight")))</f>
        <v>No Twilight</v>
      </c>
      <c r="W1116" s="483"/>
      <c r="X1116" s="478"/>
      <c r="Y1116" s="484"/>
      <c r="Z1116" s="478"/>
      <c r="AA1116" s="485" t="str">
        <f>IF(V1116="Uncomprehended Twilight","Failed",IF(OR(ISBLANK(W1116),ISBLANK(Y1116))," ",IF(NOT(ISBLANK(X1116)),"Failed",IF((W1116+Character!$B$9+SUMIF(Character!$I$62:$I$66,"Enigmatic Wisdom",Character!$J$62:$J$66))&gt;=IF(Z1116="Yes",0,(Y1116+D1111)),"Succeeded","Failed"))))</f>
        <v xml:space="preserve"> </v>
      </c>
      <c r="AB1116" s="477" t="str">
        <f>IF(AA1116=" "," ",IF(NOT(ISBLANK(X1116)),VLOOKUP($D$3+X1116,Calcs!$A$110:$C$122,3,TRUE),IF(AA1116="Failed",VLOOKUP($D$3,Calcs!$A$110:$C$122,3,TRUE),VLOOKUP($D$3-(IF((Character!$B$9+W1116)&gt;($D$3+Y1116),(Character!$B$9+W1116)-($D$3+Y1116),0)),Calcs!$A$110:$C$122,3,TRUE))))</f>
        <v xml:space="preserve"> </v>
      </c>
      <c r="AC1116" s="489"/>
      <c r="AD1116" s="489" t="str">
        <f>IF(IF(AA1116=" "," ",IF(NOT(ISBLANK(X1116)),VLOOKUP($D$3+X1116,Calcs!$A$110:$B$122,2,TRUE),IF(AA1116="Failed",VLOOKUP($D$3,Calcs!$A$110:$B$122,2,TRUE),VLOOKUP($D$3-(IF((Character!$B$9+W1116)&gt;($D$3+Y1116),(Character!$B$9+W1116)-($D$3+Y1116),0)),Calcs!$A$110:$B$122,2,TRUE))))=Calcs!$B$120,IF(ISBLANK(AC1116)," ",CONCATENATE(AC1116+7," Years")),IF(AA1116=" "," ",IF(NOT(ISBLANK(X1116)),VLOOKUP($D$3+X1116,Calcs!$A$110:$B$122,2,TRUE),IF(AA1116="Failed",VLOOKUP($D$3,Calcs!$A$110:$B$122,2,TRUE),VLOOKUP($D$3-(IF((Character!$B$9+W1116)&gt;($D$3+Y1116),(Character!$B$9+W1116)-($D$3+Y1116),0)),Calcs!$A$110:$B$122,2,TRUE)))))</f>
        <v xml:space="preserve"> </v>
      </c>
      <c r="AE1116" s="490"/>
      <c r="AF1116" s="879"/>
      <c r="AG1116" s="491"/>
    </row>
    <row r="1117" spans="1:33" x14ac:dyDescent="0.2">
      <c r="A1117" s="415">
        <f t="shared" ref="A1117:A1180" si="34">IF(B1116="Autumn",A1116+1,A1116)</f>
        <v>1489</v>
      </c>
      <c r="B1117" s="419" t="str">
        <f t="shared" ref="B1117:B1180" si="35">IF(B1116="spring","Summer",IF(B1116="Summer","Autumn",IF(B1116="Autumn","Winter",IF(B1116="Winter","Spring"," "))))</f>
        <v>Spring</v>
      </c>
      <c r="C1117" s="455"/>
      <c r="D1117" s="504"/>
      <c r="E1117" s="455"/>
      <c r="F1117" s="504"/>
      <c r="G1117" s="455"/>
      <c r="H1117" s="504"/>
      <c r="I1117" s="455"/>
      <c r="J1117" s="504"/>
      <c r="L1117" s="472"/>
      <c r="M1117" s="468"/>
      <c r="N1117" s="468"/>
      <c r="O1117" s="468"/>
      <c r="P1117" s="468"/>
      <c r="Q1117" s="473"/>
      <c r="R1117" s="477" t="str">
        <f>IF(AND(COUNTIF('Start Character'!$I$63:$M$77,"Twilight Prone")=1,NOT(ISERROR(FIND("Magical Botch",M1117)))),"Yes",IF(P1117&gt;1,"Yes","No"))</f>
        <v>No</v>
      </c>
      <c r="S1117" s="501"/>
      <c r="T1117" s="478"/>
      <c r="U1117" s="501"/>
      <c r="V1117" s="479" t="str">
        <f>IF(R1117="No","No Twilight",IF(T1117="Yes","Uncomprehended Twilight",IF((Character!$B$14+IF(Character!$B$53="Yes",0,Character!$B$53)+IF(Magic!$C$5="Yes",2,0)+ROUNDUP((Magic!$B$30+IF(Magic!$C$30="Yes",3,0))/5,0)+S1117)&gt;=($D$3+P1117+SUMIF(Character!$I$62:$I$66,"Enigmatic Wisdom",Character!$J$62:$J$66)+Q1117+U1117),"No Twilight","Twilight")))</f>
        <v>No Twilight</v>
      </c>
      <c r="W1117" s="483"/>
      <c r="X1117" s="478"/>
      <c r="Y1117" s="484"/>
      <c r="Z1117" s="478"/>
      <c r="AA1117" s="485" t="str">
        <f>IF(V1117="Uncomprehended Twilight","Failed",IF(OR(ISBLANK(W1117),ISBLANK(Y1117))," ",IF(NOT(ISBLANK(X1117)),"Failed",IF((W1117+Character!$B$9+SUMIF(Character!$I$62:$I$66,"Enigmatic Wisdom",Character!$J$62:$J$66))&gt;=IF(Z1117="Yes",0,(Y1117+D1112)),"Succeeded","Failed"))))</f>
        <v xml:space="preserve"> </v>
      </c>
      <c r="AB1117" s="477" t="str">
        <f>IF(AA1117=" "," ",IF(NOT(ISBLANK(X1117)),VLOOKUP($D$3+X1117,Calcs!$A$110:$C$122,3,TRUE),IF(AA1117="Failed",VLOOKUP($D$3,Calcs!$A$110:$C$122,3,TRUE),VLOOKUP($D$3-(IF((Character!$B$9+W1117)&gt;($D$3+Y1117),(Character!$B$9+W1117)-($D$3+Y1117),0)),Calcs!$A$110:$C$122,3,TRUE))))</f>
        <v xml:space="preserve"> </v>
      </c>
      <c r="AC1117" s="489"/>
      <c r="AD1117" s="489" t="str">
        <f>IF(IF(AA1117=" "," ",IF(NOT(ISBLANK(X1117)),VLOOKUP($D$3+X1117,Calcs!$A$110:$B$122,2,TRUE),IF(AA1117="Failed",VLOOKUP($D$3,Calcs!$A$110:$B$122,2,TRUE),VLOOKUP($D$3-(IF((Character!$B$9+W1117)&gt;($D$3+Y1117),(Character!$B$9+W1117)-($D$3+Y1117),0)),Calcs!$A$110:$B$122,2,TRUE))))=Calcs!$B$120,IF(ISBLANK(AC1117)," ",CONCATENATE(AC1117+7," Years")),IF(AA1117=" "," ",IF(NOT(ISBLANK(X1117)),VLOOKUP($D$3+X1117,Calcs!$A$110:$B$122,2,TRUE),IF(AA1117="Failed",VLOOKUP($D$3,Calcs!$A$110:$B$122,2,TRUE),VLOOKUP($D$3-(IF((Character!$B$9+W1117)&gt;($D$3+Y1117),(Character!$B$9+W1117)-($D$3+Y1117),0)),Calcs!$A$110:$B$122,2,TRUE)))))</f>
        <v xml:space="preserve"> </v>
      </c>
      <c r="AE1117" s="490"/>
      <c r="AF1117" s="879"/>
      <c r="AG1117" s="491"/>
    </row>
    <row r="1118" spans="1:33" x14ac:dyDescent="0.2">
      <c r="A1118" s="415">
        <f t="shared" si="34"/>
        <v>1489</v>
      </c>
      <c r="B1118" s="419" t="str">
        <f t="shared" si="35"/>
        <v>Summer</v>
      </c>
      <c r="C1118" s="455"/>
      <c r="D1118" s="504"/>
      <c r="E1118" s="455"/>
      <c r="F1118" s="504"/>
      <c r="G1118" s="455"/>
      <c r="H1118" s="504"/>
      <c r="I1118" s="455"/>
      <c r="J1118" s="504"/>
      <c r="L1118" s="472"/>
      <c r="M1118" s="468"/>
      <c r="N1118" s="468"/>
      <c r="O1118" s="468"/>
      <c r="P1118" s="468"/>
      <c r="Q1118" s="473"/>
      <c r="R1118" s="477" t="str">
        <f>IF(AND(COUNTIF('Start Character'!$I$63:$M$77,"Twilight Prone")=1,NOT(ISERROR(FIND("Magical Botch",M1118)))),"Yes",IF(P1118&gt;1,"Yes","No"))</f>
        <v>No</v>
      </c>
      <c r="S1118" s="501"/>
      <c r="T1118" s="478"/>
      <c r="U1118" s="501"/>
      <c r="V1118" s="479" t="str">
        <f>IF(R1118="No","No Twilight",IF(T1118="Yes","Uncomprehended Twilight",IF((Character!$B$14+IF(Character!$B$53="Yes",0,Character!$B$53)+IF(Magic!$C$5="Yes",2,0)+ROUNDUP((Magic!$B$30+IF(Magic!$C$30="Yes",3,0))/5,0)+S1118)&gt;=($D$3+P1118+SUMIF(Character!$I$62:$I$66,"Enigmatic Wisdom",Character!$J$62:$J$66)+Q1118+U1118),"No Twilight","Twilight")))</f>
        <v>No Twilight</v>
      </c>
      <c r="W1118" s="483"/>
      <c r="X1118" s="478"/>
      <c r="Y1118" s="484"/>
      <c r="Z1118" s="478"/>
      <c r="AA1118" s="485" t="str">
        <f>IF(V1118="Uncomprehended Twilight","Failed",IF(OR(ISBLANK(W1118),ISBLANK(Y1118))," ",IF(NOT(ISBLANK(X1118)),"Failed",IF((W1118+Character!$B$9+SUMIF(Character!$I$62:$I$66,"Enigmatic Wisdom",Character!$J$62:$J$66))&gt;=IF(Z1118="Yes",0,(Y1118+D1113)),"Succeeded","Failed"))))</f>
        <v xml:space="preserve"> </v>
      </c>
      <c r="AB1118" s="477" t="str">
        <f>IF(AA1118=" "," ",IF(NOT(ISBLANK(X1118)),VLOOKUP($D$3+X1118,Calcs!$A$110:$C$122,3,TRUE),IF(AA1118="Failed",VLOOKUP($D$3,Calcs!$A$110:$C$122,3,TRUE),VLOOKUP($D$3-(IF((Character!$B$9+W1118)&gt;($D$3+Y1118),(Character!$B$9+W1118)-($D$3+Y1118),0)),Calcs!$A$110:$C$122,3,TRUE))))</f>
        <v xml:space="preserve"> </v>
      </c>
      <c r="AC1118" s="489"/>
      <c r="AD1118" s="489" t="str">
        <f>IF(IF(AA1118=" "," ",IF(NOT(ISBLANK(X1118)),VLOOKUP($D$3+X1118,Calcs!$A$110:$B$122,2,TRUE),IF(AA1118="Failed",VLOOKUP($D$3,Calcs!$A$110:$B$122,2,TRUE),VLOOKUP($D$3-(IF((Character!$B$9+W1118)&gt;($D$3+Y1118),(Character!$B$9+W1118)-($D$3+Y1118),0)),Calcs!$A$110:$B$122,2,TRUE))))=Calcs!$B$120,IF(ISBLANK(AC1118)," ",CONCATENATE(AC1118+7," Years")),IF(AA1118=" "," ",IF(NOT(ISBLANK(X1118)),VLOOKUP($D$3+X1118,Calcs!$A$110:$B$122,2,TRUE),IF(AA1118="Failed",VLOOKUP($D$3,Calcs!$A$110:$B$122,2,TRUE),VLOOKUP($D$3-(IF((Character!$B$9+W1118)&gt;($D$3+Y1118),(Character!$B$9+W1118)-($D$3+Y1118),0)),Calcs!$A$110:$B$122,2,TRUE)))))</f>
        <v xml:space="preserve"> </v>
      </c>
      <c r="AE1118" s="490"/>
      <c r="AF1118" s="879"/>
      <c r="AG1118" s="491"/>
    </row>
    <row r="1119" spans="1:33" x14ac:dyDescent="0.2">
      <c r="A1119" s="415">
        <f t="shared" si="34"/>
        <v>1489</v>
      </c>
      <c r="B1119" s="419" t="str">
        <f t="shared" si="35"/>
        <v>Autumn</v>
      </c>
      <c r="C1119" s="455"/>
      <c r="D1119" s="504"/>
      <c r="E1119" s="455"/>
      <c r="F1119" s="504"/>
      <c r="G1119" s="455"/>
      <c r="H1119" s="504"/>
      <c r="I1119" s="455"/>
      <c r="J1119" s="504"/>
      <c r="L1119" s="472"/>
      <c r="M1119" s="468"/>
      <c r="N1119" s="468"/>
      <c r="O1119" s="468"/>
      <c r="P1119" s="468"/>
      <c r="Q1119" s="473"/>
      <c r="R1119" s="477" t="str">
        <f>IF(AND(COUNTIF('Start Character'!$I$63:$M$77,"Twilight Prone")=1,NOT(ISERROR(FIND("Magical Botch",M1119)))),"Yes",IF(P1119&gt;1,"Yes","No"))</f>
        <v>No</v>
      </c>
      <c r="S1119" s="501"/>
      <c r="T1119" s="478"/>
      <c r="U1119" s="501"/>
      <c r="V1119" s="479" t="str">
        <f>IF(R1119="No","No Twilight",IF(T1119="Yes","Uncomprehended Twilight",IF((Character!$B$14+IF(Character!$B$53="Yes",0,Character!$B$53)+IF(Magic!$C$5="Yes",2,0)+ROUNDUP((Magic!$B$30+IF(Magic!$C$30="Yes",3,0))/5,0)+S1119)&gt;=($D$3+P1119+SUMIF(Character!$I$62:$I$66,"Enigmatic Wisdom",Character!$J$62:$J$66)+Q1119+U1119),"No Twilight","Twilight")))</f>
        <v>No Twilight</v>
      </c>
      <c r="W1119" s="483"/>
      <c r="X1119" s="478"/>
      <c r="Y1119" s="484"/>
      <c r="Z1119" s="478"/>
      <c r="AA1119" s="485" t="str">
        <f>IF(V1119="Uncomprehended Twilight","Failed",IF(OR(ISBLANK(W1119),ISBLANK(Y1119))," ",IF(NOT(ISBLANK(X1119)),"Failed",IF((W1119+Character!$B$9+SUMIF(Character!$I$62:$I$66,"Enigmatic Wisdom",Character!$J$62:$J$66))&gt;=IF(Z1119="Yes",0,(Y1119+D1114)),"Succeeded","Failed"))))</f>
        <v xml:space="preserve"> </v>
      </c>
      <c r="AB1119" s="477" t="str">
        <f>IF(AA1119=" "," ",IF(NOT(ISBLANK(X1119)),VLOOKUP($D$3+X1119,Calcs!$A$110:$C$122,3,TRUE),IF(AA1119="Failed",VLOOKUP($D$3,Calcs!$A$110:$C$122,3,TRUE),VLOOKUP($D$3-(IF((Character!$B$9+W1119)&gt;($D$3+Y1119),(Character!$B$9+W1119)-($D$3+Y1119),0)),Calcs!$A$110:$C$122,3,TRUE))))</f>
        <v xml:space="preserve"> </v>
      </c>
      <c r="AC1119" s="489"/>
      <c r="AD1119" s="489" t="str">
        <f>IF(IF(AA1119=" "," ",IF(NOT(ISBLANK(X1119)),VLOOKUP($D$3+X1119,Calcs!$A$110:$B$122,2,TRUE),IF(AA1119="Failed",VLOOKUP($D$3,Calcs!$A$110:$B$122,2,TRUE),VLOOKUP($D$3-(IF((Character!$B$9+W1119)&gt;($D$3+Y1119),(Character!$B$9+W1119)-($D$3+Y1119),0)),Calcs!$A$110:$B$122,2,TRUE))))=Calcs!$B$120,IF(ISBLANK(AC1119)," ",CONCATENATE(AC1119+7," Years")),IF(AA1119=" "," ",IF(NOT(ISBLANK(X1119)),VLOOKUP($D$3+X1119,Calcs!$A$110:$B$122,2,TRUE),IF(AA1119="Failed",VLOOKUP($D$3,Calcs!$A$110:$B$122,2,TRUE),VLOOKUP($D$3-(IF((Character!$B$9+W1119)&gt;($D$3+Y1119),(Character!$B$9+W1119)-($D$3+Y1119),0)),Calcs!$A$110:$B$122,2,TRUE)))))</f>
        <v xml:space="preserve"> </v>
      </c>
      <c r="AE1119" s="490"/>
      <c r="AF1119" s="879"/>
      <c r="AG1119" s="491"/>
    </row>
    <row r="1120" spans="1:33" x14ac:dyDescent="0.2">
      <c r="A1120" s="415">
        <f t="shared" si="34"/>
        <v>1490</v>
      </c>
      <c r="B1120" s="419" t="str">
        <f t="shared" si="35"/>
        <v>Winter</v>
      </c>
      <c r="C1120" s="455"/>
      <c r="D1120" s="504"/>
      <c r="E1120" s="455"/>
      <c r="F1120" s="504"/>
      <c r="G1120" s="455"/>
      <c r="H1120" s="504"/>
      <c r="I1120" s="455"/>
      <c r="J1120" s="504"/>
      <c r="L1120" s="472"/>
      <c r="M1120" s="468"/>
      <c r="N1120" s="468"/>
      <c r="O1120" s="468"/>
      <c r="P1120" s="468"/>
      <c r="Q1120" s="473"/>
      <c r="R1120" s="477" t="str">
        <f>IF(AND(COUNTIF('Start Character'!$I$63:$M$77,"Twilight Prone")=1,NOT(ISERROR(FIND("Magical Botch",M1120)))),"Yes",IF(P1120&gt;1,"Yes","No"))</f>
        <v>No</v>
      </c>
      <c r="S1120" s="501"/>
      <c r="T1120" s="478"/>
      <c r="U1120" s="501"/>
      <c r="V1120" s="479" t="str">
        <f>IF(R1120="No","No Twilight",IF(T1120="Yes","Uncomprehended Twilight",IF((Character!$B$14+IF(Character!$B$53="Yes",0,Character!$B$53)+IF(Magic!$C$5="Yes",2,0)+ROUNDUP((Magic!$B$30+IF(Magic!$C$30="Yes",3,0))/5,0)+S1120)&gt;=($D$3+P1120+SUMIF(Character!$I$62:$I$66,"Enigmatic Wisdom",Character!$J$62:$J$66)+Q1120+U1120),"No Twilight","Twilight")))</f>
        <v>No Twilight</v>
      </c>
      <c r="W1120" s="483"/>
      <c r="X1120" s="478"/>
      <c r="Y1120" s="484"/>
      <c r="Z1120" s="478"/>
      <c r="AA1120" s="485" t="str">
        <f>IF(V1120="Uncomprehended Twilight","Failed",IF(OR(ISBLANK(W1120),ISBLANK(Y1120))," ",IF(NOT(ISBLANK(X1120)),"Failed",IF((W1120+Character!$B$9+SUMIF(Character!$I$62:$I$66,"Enigmatic Wisdom",Character!$J$62:$J$66))&gt;=IF(Z1120="Yes",0,(Y1120+D1115)),"Succeeded","Failed"))))</f>
        <v xml:space="preserve"> </v>
      </c>
      <c r="AB1120" s="477" t="str">
        <f>IF(AA1120=" "," ",IF(NOT(ISBLANK(X1120)),VLOOKUP($D$3+X1120,Calcs!$A$110:$C$122,3,TRUE),IF(AA1120="Failed",VLOOKUP($D$3,Calcs!$A$110:$C$122,3,TRUE),VLOOKUP($D$3-(IF((Character!$B$9+W1120)&gt;($D$3+Y1120),(Character!$B$9+W1120)-($D$3+Y1120),0)),Calcs!$A$110:$C$122,3,TRUE))))</f>
        <v xml:space="preserve"> </v>
      </c>
      <c r="AC1120" s="489"/>
      <c r="AD1120" s="489" t="str">
        <f>IF(IF(AA1120=" "," ",IF(NOT(ISBLANK(X1120)),VLOOKUP($D$3+X1120,Calcs!$A$110:$B$122,2,TRUE),IF(AA1120="Failed",VLOOKUP($D$3,Calcs!$A$110:$B$122,2,TRUE),VLOOKUP($D$3-(IF((Character!$B$9+W1120)&gt;($D$3+Y1120),(Character!$B$9+W1120)-($D$3+Y1120),0)),Calcs!$A$110:$B$122,2,TRUE))))=Calcs!$B$120,IF(ISBLANK(AC1120)," ",CONCATENATE(AC1120+7," Years")),IF(AA1120=" "," ",IF(NOT(ISBLANK(X1120)),VLOOKUP($D$3+X1120,Calcs!$A$110:$B$122,2,TRUE),IF(AA1120="Failed",VLOOKUP($D$3,Calcs!$A$110:$B$122,2,TRUE),VLOOKUP($D$3-(IF((Character!$B$9+W1120)&gt;($D$3+Y1120),(Character!$B$9+W1120)-($D$3+Y1120),0)),Calcs!$A$110:$B$122,2,TRUE)))))</f>
        <v xml:space="preserve"> </v>
      </c>
      <c r="AE1120" s="490"/>
      <c r="AF1120" s="879"/>
      <c r="AG1120" s="491"/>
    </row>
    <row r="1121" spans="1:33" x14ac:dyDescent="0.2">
      <c r="A1121" s="415">
        <f t="shared" si="34"/>
        <v>1490</v>
      </c>
      <c r="B1121" s="419" t="str">
        <f t="shared" si="35"/>
        <v>Spring</v>
      </c>
      <c r="C1121" s="455"/>
      <c r="D1121" s="504"/>
      <c r="E1121" s="455"/>
      <c r="F1121" s="504"/>
      <c r="G1121" s="455"/>
      <c r="H1121" s="504"/>
      <c r="I1121" s="455"/>
      <c r="J1121" s="504"/>
      <c r="L1121" s="472"/>
      <c r="M1121" s="468"/>
      <c r="N1121" s="468"/>
      <c r="O1121" s="468"/>
      <c r="P1121" s="468"/>
      <c r="Q1121" s="473"/>
      <c r="R1121" s="477" t="str">
        <f>IF(AND(COUNTIF('Start Character'!$I$63:$M$77,"Twilight Prone")=1,NOT(ISERROR(FIND("Magical Botch",M1121)))),"Yes",IF(P1121&gt;1,"Yes","No"))</f>
        <v>No</v>
      </c>
      <c r="S1121" s="501"/>
      <c r="T1121" s="478"/>
      <c r="U1121" s="501"/>
      <c r="V1121" s="479" t="str">
        <f>IF(R1121="No","No Twilight",IF(T1121="Yes","Uncomprehended Twilight",IF((Character!$B$14+IF(Character!$B$53="Yes",0,Character!$B$53)+IF(Magic!$C$5="Yes",2,0)+ROUNDUP((Magic!$B$30+IF(Magic!$C$30="Yes",3,0))/5,0)+S1121)&gt;=($D$3+P1121+SUMIF(Character!$I$62:$I$66,"Enigmatic Wisdom",Character!$J$62:$J$66)+Q1121+U1121),"No Twilight","Twilight")))</f>
        <v>No Twilight</v>
      </c>
      <c r="W1121" s="483"/>
      <c r="X1121" s="478"/>
      <c r="Y1121" s="484"/>
      <c r="Z1121" s="478"/>
      <c r="AA1121" s="485" t="str">
        <f>IF(V1121="Uncomprehended Twilight","Failed",IF(OR(ISBLANK(W1121),ISBLANK(Y1121))," ",IF(NOT(ISBLANK(X1121)),"Failed",IF((W1121+Character!$B$9+SUMIF(Character!$I$62:$I$66,"Enigmatic Wisdom",Character!$J$62:$J$66))&gt;=IF(Z1121="Yes",0,(Y1121+D1116)),"Succeeded","Failed"))))</f>
        <v xml:space="preserve"> </v>
      </c>
      <c r="AB1121" s="477" t="str">
        <f>IF(AA1121=" "," ",IF(NOT(ISBLANK(X1121)),VLOOKUP($D$3+X1121,Calcs!$A$110:$C$122,3,TRUE),IF(AA1121="Failed",VLOOKUP($D$3,Calcs!$A$110:$C$122,3,TRUE),VLOOKUP($D$3-(IF((Character!$B$9+W1121)&gt;($D$3+Y1121),(Character!$B$9+W1121)-($D$3+Y1121),0)),Calcs!$A$110:$C$122,3,TRUE))))</f>
        <v xml:space="preserve"> </v>
      </c>
      <c r="AC1121" s="489"/>
      <c r="AD1121" s="489" t="str">
        <f>IF(IF(AA1121=" "," ",IF(NOT(ISBLANK(X1121)),VLOOKUP($D$3+X1121,Calcs!$A$110:$B$122,2,TRUE),IF(AA1121="Failed",VLOOKUP($D$3,Calcs!$A$110:$B$122,2,TRUE),VLOOKUP($D$3-(IF((Character!$B$9+W1121)&gt;($D$3+Y1121),(Character!$B$9+W1121)-($D$3+Y1121),0)),Calcs!$A$110:$B$122,2,TRUE))))=Calcs!$B$120,IF(ISBLANK(AC1121)," ",CONCATENATE(AC1121+7," Years")),IF(AA1121=" "," ",IF(NOT(ISBLANK(X1121)),VLOOKUP($D$3+X1121,Calcs!$A$110:$B$122,2,TRUE),IF(AA1121="Failed",VLOOKUP($D$3,Calcs!$A$110:$B$122,2,TRUE),VLOOKUP($D$3-(IF((Character!$B$9+W1121)&gt;($D$3+Y1121),(Character!$B$9+W1121)-($D$3+Y1121),0)),Calcs!$A$110:$B$122,2,TRUE)))))</f>
        <v xml:space="preserve"> </v>
      </c>
      <c r="AE1121" s="490"/>
      <c r="AF1121" s="879"/>
      <c r="AG1121" s="491"/>
    </row>
    <row r="1122" spans="1:33" x14ac:dyDescent="0.2">
      <c r="A1122" s="415">
        <f t="shared" si="34"/>
        <v>1490</v>
      </c>
      <c r="B1122" s="419" t="str">
        <f t="shared" si="35"/>
        <v>Summer</v>
      </c>
      <c r="C1122" s="455"/>
      <c r="D1122" s="504"/>
      <c r="E1122" s="455"/>
      <c r="F1122" s="504"/>
      <c r="G1122" s="455"/>
      <c r="H1122" s="504"/>
      <c r="I1122" s="455"/>
      <c r="J1122" s="504"/>
      <c r="L1122" s="472"/>
      <c r="M1122" s="468"/>
      <c r="N1122" s="468"/>
      <c r="O1122" s="468"/>
      <c r="P1122" s="468"/>
      <c r="Q1122" s="473"/>
      <c r="R1122" s="477" t="str">
        <f>IF(AND(COUNTIF('Start Character'!$I$63:$M$77,"Twilight Prone")=1,NOT(ISERROR(FIND("Magical Botch",M1122)))),"Yes",IF(P1122&gt;1,"Yes","No"))</f>
        <v>No</v>
      </c>
      <c r="S1122" s="501"/>
      <c r="T1122" s="478"/>
      <c r="U1122" s="501"/>
      <c r="V1122" s="479" t="str">
        <f>IF(R1122="No","No Twilight",IF(T1122="Yes","Uncomprehended Twilight",IF((Character!$B$14+IF(Character!$B$53="Yes",0,Character!$B$53)+IF(Magic!$C$5="Yes",2,0)+ROUNDUP((Magic!$B$30+IF(Magic!$C$30="Yes",3,0))/5,0)+S1122)&gt;=($D$3+P1122+SUMIF(Character!$I$62:$I$66,"Enigmatic Wisdom",Character!$J$62:$J$66)+Q1122+U1122),"No Twilight","Twilight")))</f>
        <v>No Twilight</v>
      </c>
      <c r="W1122" s="483"/>
      <c r="X1122" s="478"/>
      <c r="Y1122" s="484"/>
      <c r="Z1122" s="478"/>
      <c r="AA1122" s="485" t="str">
        <f>IF(V1122="Uncomprehended Twilight","Failed",IF(OR(ISBLANK(W1122),ISBLANK(Y1122))," ",IF(NOT(ISBLANK(X1122)),"Failed",IF((W1122+Character!$B$9+SUMIF(Character!$I$62:$I$66,"Enigmatic Wisdom",Character!$J$62:$J$66))&gt;=IF(Z1122="Yes",0,(Y1122+D1117)),"Succeeded","Failed"))))</f>
        <v xml:space="preserve"> </v>
      </c>
      <c r="AB1122" s="477" t="str">
        <f>IF(AA1122=" "," ",IF(NOT(ISBLANK(X1122)),VLOOKUP($D$3+X1122,Calcs!$A$110:$C$122,3,TRUE),IF(AA1122="Failed",VLOOKUP($D$3,Calcs!$A$110:$C$122,3,TRUE),VLOOKUP($D$3-(IF((Character!$B$9+W1122)&gt;($D$3+Y1122),(Character!$B$9+W1122)-($D$3+Y1122),0)),Calcs!$A$110:$C$122,3,TRUE))))</f>
        <v xml:space="preserve"> </v>
      </c>
      <c r="AC1122" s="489"/>
      <c r="AD1122" s="489" t="str">
        <f>IF(IF(AA1122=" "," ",IF(NOT(ISBLANK(X1122)),VLOOKUP($D$3+X1122,Calcs!$A$110:$B$122,2,TRUE),IF(AA1122="Failed",VLOOKUP($D$3,Calcs!$A$110:$B$122,2,TRUE),VLOOKUP($D$3-(IF((Character!$B$9+W1122)&gt;($D$3+Y1122),(Character!$B$9+W1122)-($D$3+Y1122),0)),Calcs!$A$110:$B$122,2,TRUE))))=Calcs!$B$120,IF(ISBLANK(AC1122)," ",CONCATENATE(AC1122+7," Years")),IF(AA1122=" "," ",IF(NOT(ISBLANK(X1122)),VLOOKUP($D$3+X1122,Calcs!$A$110:$B$122,2,TRUE),IF(AA1122="Failed",VLOOKUP($D$3,Calcs!$A$110:$B$122,2,TRUE),VLOOKUP($D$3-(IF((Character!$B$9+W1122)&gt;($D$3+Y1122),(Character!$B$9+W1122)-($D$3+Y1122),0)),Calcs!$A$110:$B$122,2,TRUE)))))</f>
        <v xml:space="preserve"> </v>
      </c>
      <c r="AE1122" s="490"/>
      <c r="AF1122" s="879"/>
      <c r="AG1122" s="491"/>
    </row>
    <row r="1123" spans="1:33" x14ac:dyDescent="0.2">
      <c r="A1123" s="415">
        <f t="shared" si="34"/>
        <v>1490</v>
      </c>
      <c r="B1123" s="419" t="str">
        <f t="shared" si="35"/>
        <v>Autumn</v>
      </c>
      <c r="C1123" s="455"/>
      <c r="D1123" s="504"/>
      <c r="E1123" s="455"/>
      <c r="F1123" s="504"/>
      <c r="G1123" s="455"/>
      <c r="H1123" s="504"/>
      <c r="I1123" s="455"/>
      <c r="J1123" s="504"/>
      <c r="L1123" s="472"/>
      <c r="M1123" s="468"/>
      <c r="N1123" s="468"/>
      <c r="O1123" s="468"/>
      <c r="P1123" s="468"/>
      <c r="Q1123" s="473"/>
      <c r="R1123" s="477" t="str">
        <f>IF(AND(COUNTIF('Start Character'!$I$63:$M$77,"Twilight Prone")=1,NOT(ISERROR(FIND("Magical Botch",M1123)))),"Yes",IF(P1123&gt;1,"Yes","No"))</f>
        <v>No</v>
      </c>
      <c r="S1123" s="501"/>
      <c r="T1123" s="478"/>
      <c r="U1123" s="501"/>
      <c r="V1123" s="479" t="str">
        <f>IF(R1123="No","No Twilight",IF(T1123="Yes","Uncomprehended Twilight",IF((Character!$B$14+IF(Character!$B$53="Yes",0,Character!$B$53)+IF(Magic!$C$5="Yes",2,0)+ROUNDUP((Magic!$B$30+IF(Magic!$C$30="Yes",3,0))/5,0)+S1123)&gt;=($D$3+P1123+SUMIF(Character!$I$62:$I$66,"Enigmatic Wisdom",Character!$J$62:$J$66)+Q1123+U1123),"No Twilight","Twilight")))</f>
        <v>No Twilight</v>
      </c>
      <c r="W1123" s="483"/>
      <c r="X1123" s="478"/>
      <c r="Y1123" s="484"/>
      <c r="Z1123" s="478"/>
      <c r="AA1123" s="485" t="str">
        <f>IF(V1123="Uncomprehended Twilight","Failed",IF(OR(ISBLANK(W1123),ISBLANK(Y1123))," ",IF(NOT(ISBLANK(X1123)),"Failed",IF((W1123+Character!$B$9+SUMIF(Character!$I$62:$I$66,"Enigmatic Wisdom",Character!$J$62:$J$66))&gt;=IF(Z1123="Yes",0,(Y1123+D1118)),"Succeeded","Failed"))))</f>
        <v xml:space="preserve"> </v>
      </c>
      <c r="AB1123" s="477" t="str">
        <f>IF(AA1123=" "," ",IF(NOT(ISBLANK(X1123)),VLOOKUP($D$3+X1123,Calcs!$A$110:$C$122,3,TRUE),IF(AA1123="Failed",VLOOKUP($D$3,Calcs!$A$110:$C$122,3,TRUE),VLOOKUP($D$3-(IF((Character!$B$9+W1123)&gt;($D$3+Y1123),(Character!$B$9+W1123)-($D$3+Y1123),0)),Calcs!$A$110:$C$122,3,TRUE))))</f>
        <v xml:space="preserve"> </v>
      </c>
      <c r="AC1123" s="489"/>
      <c r="AD1123" s="489" t="str">
        <f>IF(IF(AA1123=" "," ",IF(NOT(ISBLANK(X1123)),VLOOKUP($D$3+X1123,Calcs!$A$110:$B$122,2,TRUE),IF(AA1123="Failed",VLOOKUP($D$3,Calcs!$A$110:$B$122,2,TRUE),VLOOKUP($D$3-(IF((Character!$B$9+W1123)&gt;($D$3+Y1123),(Character!$B$9+W1123)-($D$3+Y1123),0)),Calcs!$A$110:$B$122,2,TRUE))))=Calcs!$B$120,IF(ISBLANK(AC1123)," ",CONCATENATE(AC1123+7," Years")),IF(AA1123=" "," ",IF(NOT(ISBLANK(X1123)),VLOOKUP($D$3+X1123,Calcs!$A$110:$B$122,2,TRUE),IF(AA1123="Failed",VLOOKUP($D$3,Calcs!$A$110:$B$122,2,TRUE),VLOOKUP($D$3-(IF((Character!$B$9+W1123)&gt;($D$3+Y1123),(Character!$B$9+W1123)-($D$3+Y1123),0)),Calcs!$A$110:$B$122,2,TRUE)))))</f>
        <v xml:space="preserve"> </v>
      </c>
      <c r="AE1123" s="490"/>
      <c r="AF1123" s="879"/>
      <c r="AG1123" s="491"/>
    </row>
    <row r="1124" spans="1:33" x14ac:dyDescent="0.2">
      <c r="A1124" s="415">
        <f t="shared" si="34"/>
        <v>1491</v>
      </c>
      <c r="B1124" s="419" t="str">
        <f t="shared" si="35"/>
        <v>Winter</v>
      </c>
      <c r="C1124" s="455"/>
      <c r="D1124" s="504"/>
      <c r="E1124" s="455"/>
      <c r="F1124" s="504"/>
      <c r="G1124" s="455"/>
      <c r="H1124" s="504"/>
      <c r="I1124" s="455"/>
      <c r="J1124" s="504"/>
      <c r="L1124" s="472"/>
      <c r="M1124" s="468"/>
      <c r="N1124" s="468"/>
      <c r="O1124" s="468"/>
      <c r="P1124" s="468"/>
      <c r="Q1124" s="473"/>
      <c r="R1124" s="477" t="str">
        <f>IF(AND(COUNTIF('Start Character'!$I$63:$M$77,"Twilight Prone")=1,NOT(ISERROR(FIND("Magical Botch",M1124)))),"Yes",IF(P1124&gt;1,"Yes","No"))</f>
        <v>No</v>
      </c>
      <c r="S1124" s="501"/>
      <c r="T1124" s="478"/>
      <c r="U1124" s="501"/>
      <c r="V1124" s="479" t="str">
        <f>IF(R1124="No","No Twilight",IF(T1124="Yes","Uncomprehended Twilight",IF((Character!$B$14+IF(Character!$B$53="Yes",0,Character!$B$53)+IF(Magic!$C$5="Yes",2,0)+ROUNDUP((Magic!$B$30+IF(Magic!$C$30="Yes",3,0))/5,0)+S1124)&gt;=($D$3+P1124+SUMIF(Character!$I$62:$I$66,"Enigmatic Wisdom",Character!$J$62:$J$66)+Q1124+U1124),"No Twilight","Twilight")))</f>
        <v>No Twilight</v>
      </c>
      <c r="W1124" s="483"/>
      <c r="X1124" s="478"/>
      <c r="Y1124" s="484"/>
      <c r="Z1124" s="478"/>
      <c r="AA1124" s="485" t="str">
        <f>IF(V1124="Uncomprehended Twilight","Failed",IF(OR(ISBLANK(W1124),ISBLANK(Y1124))," ",IF(NOT(ISBLANK(X1124)),"Failed",IF((W1124+Character!$B$9+SUMIF(Character!$I$62:$I$66,"Enigmatic Wisdom",Character!$J$62:$J$66))&gt;=IF(Z1124="Yes",0,(Y1124+D1119)),"Succeeded","Failed"))))</f>
        <v xml:space="preserve"> </v>
      </c>
      <c r="AB1124" s="477" t="str">
        <f>IF(AA1124=" "," ",IF(NOT(ISBLANK(X1124)),VLOOKUP($D$3+X1124,Calcs!$A$110:$C$122,3,TRUE),IF(AA1124="Failed",VLOOKUP($D$3,Calcs!$A$110:$C$122,3,TRUE),VLOOKUP($D$3-(IF((Character!$B$9+W1124)&gt;($D$3+Y1124),(Character!$B$9+W1124)-($D$3+Y1124),0)),Calcs!$A$110:$C$122,3,TRUE))))</f>
        <v xml:space="preserve"> </v>
      </c>
      <c r="AC1124" s="489"/>
      <c r="AD1124" s="489" t="str">
        <f>IF(IF(AA1124=" "," ",IF(NOT(ISBLANK(X1124)),VLOOKUP($D$3+X1124,Calcs!$A$110:$B$122,2,TRUE),IF(AA1124="Failed",VLOOKUP($D$3,Calcs!$A$110:$B$122,2,TRUE),VLOOKUP($D$3-(IF((Character!$B$9+W1124)&gt;($D$3+Y1124),(Character!$B$9+W1124)-($D$3+Y1124),0)),Calcs!$A$110:$B$122,2,TRUE))))=Calcs!$B$120,IF(ISBLANK(AC1124)," ",CONCATENATE(AC1124+7," Years")),IF(AA1124=" "," ",IF(NOT(ISBLANK(X1124)),VLOOKUP($D$3+X1124,Calcs!$A$110:$B$122,2,TRUE),IF(AA1124="Failed",VLOOKUP($D$3,Calcs!$A$110:$B$122,2,TRUE),VLOOKUP($D$3-(IF((Character!$B$9+W1124)&gt;($D$3+Y1124),(Character!$B$9+W1124)-($D$3+Y1124),0)),Calcs!$A$110:$B$122,2,TRUE)))))</f>
        <v xml:space="preserve"> </v>
      </c>
      <c r="AE1124" s="490"/>
      <c r="AF1124" s="879"/>
      <c r="AG1124" s="491"/>
    </row>
    <row r="1125" spans="1:33" x14ac:dyDescent="0.2">
      <c r="A1125" s="415">
        <f t="shared" si="34"/>
        <v>1491</v>
      </c>
      <c r="B1125" s="419" t="str">
        <f t="shared" si="35"/>
        <v>Spring</v>
      </c>
      <c r="C1125" s="455"/>
      <c r="D1125" s="504"/>
      <c r="E1125" s="455"/>
      <c r="F1125" s="504"/>
      <c r="G1125" s="455"/>
      <c r="H1125" s="504"/>
      <c r="I1125" s="455"/>
      <c r="J1125" s="504"/>
      <c r="L1125" s="472"/>
      <c r="M1125" s="468"/>
      <c r="N1125" s="468"/>
      <c r="O1125" s="468"/>
      <c r="P1125" s="468"/>
      <c r="Q1125" s="473"/>
      <c r="R1125" s="477" t="str">
        <f>IF(AND(COUNTIF('Start Character'!$I$63:$M$77,"Twilight Prone")=1,NOT(ISERROR(FIND("Magical Botch",M1125)))),"Yes",IF(P1125&gt;1,"Yes","No"))</f>
        <v>No</v>
      </c>
      <c r="S1125" s="501"/>
      <c r="T1125" s="478"/>
      <c r="U1125" s="501"/>
      <c r="V1125" s="479" t="str">
        <f>IF(R1125="No","No Twilight",IF(T1125="Yes","Uncomprehended Twilight",IF((Character!$B$14+IF(Character!$B$53="Yes",0,Character!$B$53)+IF(Magic!$C$5="Yes",2,0)+ROUNDUP((Magic!$B$30+IF(Magic!$C$30="Yes",3,0))/5,0)+S1125)&gt;=($D$3+P1125+SUMIF(Character!$I$62:$I$66,"Enigmatic Wisdom",Character!$J$62:$J$66)+Q1125+U1125),"No Twilight","Twilight")))</f>
        <v>No Twilight</v>
      </c>
      <c r="W1125" s="483"/>
      <c r="X1125" s="478"/>
      <c r="Y1125" s="484"/>
      <c r="Z1125" s="478"/>
      <c r="AA1125" s="485" t="str">
        <f>IF(V1125="Uncomprehended Twilight","Failed",IF(OR(ISBLANK(W1125),ISBLANK(Y1125))," ",IF(NOT(ISBLANK(X1125)),"Failed",IF((W1125+Character!$B$9+SUMIF(Character!$I$62:$I$66,"Enigmatic Wisdom",Character!$J$62:$J$66))&gt;=IF(Z1125="Yes",0,(Y1125+D1120)),"Succeeded","Failed"))))</f>
        <v xml:space="preserve"> </v>
      </c>
      <c r="AB1125" s="477" t="str">
        <f>IF(AA1125=" "," ",IF(NOT(ISBLANK(X1125)),VLOOKUP($D$3+X1125,Calcs!$A$110:$C$122,3,TRUE),IF(AA1125="Failed",VLOOKUP($D$3,Calcs!$A$110:$C$122,3,TRUE),VLOOKUP($D$3-(IF((Character!$B$9+W1125)&gt;($D$3+Y1125),(Character!$B$9+W1125)-($D$3+Y1125),0)),Calcs!$A$110:$C$122,3,TRUE))))</f>
        <v xml:space="preserve"> </v>
      </c>
      <c r="AC1125" s="489"/>
      <c r="AD1125" s="489" t="str">
        <f>IF(IF(AA1125=" "," ",IF(NOT(ISBLANK(X1125)),VLOOKUP($D$3+X1125,Calcs!$A$110:$B$122,2,TRUE),IF(AA1125="Failed",VLOOKUP($D$3,Calcs!$A$110:$B$122,2,TRUE),VLOOKUP($D$3-(IF((Character!$B$9+W1125)&gt;($D$3+Y1125),(Character!$B$9+W1125)-($D$3+Y1125),0)),Calcs!$A$110:$B$122,2,TRUE))))=Calcs!$B$120,IF(ISBLANK(AC1125)," ",CONCATENATE(AC1125+7," Years")),IF(AA1125=" "," ",IF(NOT(ISBLANK(X1125)),VLOOKUP($D$3+X1125,Calcs!$A$110:$B$122,2,TRUE),IF(AA1125="Failed",VLOOKUP($D$3,Calcs!$A$110:$B$122,2,TRUE),VLOOKUP($D$3-(IF((Character!$B$9+W1125)&gt;($D$3+Y1125),(Character!$B$9+W1125)-($D$3+Y1125),0)),Calcs!$A$110:$B$122,2,TRUE)))))</f>
        <v xml:space="preserve"> </v>
      </c>
      <c r="AE1125" s="490"/>
      <c r="AF1125" s="879"/>
      <c r="AG1125" s="491"/>
    </row>
    <row r="1126" spans="1:33" x14ac:dyDescent="0.2">
      <c r="A1126" s="415">
        <f t="shared" si="34"/>
        <v>1491</v>
      </c>
      <c r="B1126" s="419" t="str">
        <f t="shared" si="35"/>
        <v>Summer</v>
      </c>
      <c r="C1126" s="455"/>
      <c r="D1126" s="504"/>
      <c r="E1126" s="455"/>
      <c r="F1126" s="504"/>
      <c r="G1126" s="455"/>
      <c r="H1126" s="504"/>
      <c r="I1126" s="455"/>
      <c r="J1126" s="504"/>
      <c r="L1126" s="472"/>
      <c r="M1126" s="468"/>
      <c r="N1126" s="468"/>
      <c r="O1126" s="468"/>
      <c r="P1126" s="468"/>
      <c r="Q1126" s="473"/>
      <c r="R1126" s="477" t="str">
        <f>IF(AND(COUNTIF('Start Character'!$I$63:$M$77,"Twilight Prone")=1,NOT(ISERROR(FIND("Magical Botch",M1126)))),"Yes",IF(P1126&gt;1,"Yes","No"))</f>
        <v>No</v>
      </c>
      <c r="S1126" s="501"/>
      <c r="T1126" s="478"/>
      <c r="U1126" s="501"/>
      <c r="V1126" s="479" t="str">
        <f>IF(R1126="No","No Twilight",IF(T1126="Yes","Uncomprehended Twilight",IF((Character!$B$14+IF(Character!$B$53="Yes",0,Character!$B$53)+IF(Magic!$C$5="Yes",2,0)+ROUNDUP((Magic!$B$30+IF(Magic!$C$30="Yes",3,0))/5,0)+S1126)&gt;=($D$3+P1126+SUMIF(Character!$I$62:$I$66,"Enigmatic Wisdom",Character!$J$62:$J$66)+Q1126+U1126),"No Twilight","Twilight")))</f>
        <v>No Twilight</v>
      </c>
      <c r="W1126" s="483"/>
      <c r="X1126" s="478"/>
      <c r="Y1126" s="484"/>
      <c r="Z1126" s="478"/>
      <c r="AA1126" s="485" t="str">
        <f>IF(V1126="Uncomprehended Twilight","Failed",IF(OR(ISBLANK(W1126),ISBLANK(Y1126))," ",IF(NOT(ISBLANK(X1126)),"Failed",IF((W1126+Character!$B$9+SUMIF(Character!$I$62:$I$66,"Enigmatic Wisdom",Character!$J$62:$J$66))&gt;=IF(Z1126="Yes",0,(Y1126+D1121)),"Succeeded","Failed"))))</f>
        <v xml:space="preserve"> </v>
      </c>
      <c r="AB1126" s="477" t="str">
        <f>IF(AA1126=" "," ",IF(NOT(ISBLANK(X1126)),VLOOKUP($D$3+X1126,Calcs!$A$110:$C$122,3,TRUE),IF(AA1126="Failed",VLOOKUP($D$3,Calcs!$A$110:$C$122,3,TRUE),VLOOKUP($D$3-(IF((Character!$B$9+W1126)&gt;($D$3+Y1126),(Character!$B$9+W1126)-($D$3+Y1126),0)),Calcs!$A$110:$C$122,3,TRUE))))</f>
        <v xml:space="preserve"> </v>
      </c>
      <c r="AC1126" s="489"/>
      <c r="AD1126" s="489" t="str">
        <f>IF(IF(AA1126=" "," ",IF(NOT(ISBLANK(X1126)),VLOOKUP($D$3+X1126,Calcs!$A$110:$B$122,2,TRUE),IF(AA1126="Failed",VLOOKUP($D$3,Calcs!$A$110:$B$122,2,TRUE),VLOOKUP($D$3-(IF((Character!$B$9+W1126)&gt;($D$3+Y1126),(Character!$B$9+W1126)-($D$3+Y1126),0)),Calcs!$A$110:$B$122,2,TRUE))))=Calcs!$B$120,IF(ISBLANK(AC1126)," ",CONCATENATE(AC1126+7," Years")),IF(AA1126=" "," ",IF(NOT(ISBLANK(X1126)),VLOOKUP($D$3+X1126,Calcs!$A$110:$B$122,2,TRUE),IF(AA1126="Failed",VLOOKUP($D$3,Calcs!$A$110:$B$122,2,TRUE),VLOOKUP($D$3-(IF((Character!$B$9+W1126)&gt;($D$3+Y1126),(Character!$B$9+W1126)-($D$3+Y1126),0)),Calcs!$A$110:$B$122,2,TRUE)))))</f>
        <v xml:space="preserve"> </v>
      </c>
      <c r="AE1126" s="490"/>
      <c r="AF1126" s="879"/>
      <c r="AG1126" s="491"/>
    </row>
    <row r="1127" spans="1:33" x14ac:dyDescent="0.2">
      <c r="A1127" s="415">
        <f t="shared" si="34"/>
        <v>1491</v>
      </c>
      <c r="B1127" s="419" t="str">
        <f t="shared" si="35"/>
        <v>Autumn</v>
      </c>
      <c r="C1127" s="455"/>
      <c r="D1127" s="504"/>
      <c r="E1127" s="455"/>
      <c r="F1127" s="504"/>
      <c r="G1127" s="455"/>
      <c r="H1127" s="504"/>
      <c r="I1127" s="455"/>
      <c r="J1127" s="504"/>
      <c r="L1127" s="472"/>
      <c r="M1127" s="468"/>
      <c r="N1127" s="468"/>
      <c r="O1127" s="468"/>
      <c r="P1127" s="468"/>
      <c r="Q1127" s="473"/>
      <c r="R1127" s="477" t="str">
        <f>IF(AND(COUNTIF('Start Character'!$I$63:$M$77,"Twilight Prone")=1,NOT(ISERROR(FIND("Magical Botch",M1127)))),"Yes",IF(P1127&gt;1,"Yes","No"))</f>
        <v>No</v>
      </c>
      <c r="S1127" s="501"/>
      <c r="T1127" s="478"/>
      <c r="U1127" s="501"/>
      <c r="V1127" s="479" t="str">
        <f>IF(R1127="No","No Twilight",IF(T1127="Yes","Uncomprehended Twilight",IF((Character!$B$14+IF(Character!$B$53="Yes",0,Character!$B$53)+IF(Magic!$C$5="Yes",2,0)+ROUNDUP((Magic!$B$30+IF(Magic!$C$30="Yes",3,0))/5,0)+S1127)&gt;=($D$3+P1127+SUMIF(Character!$I$62:$I$66,"Enigmatic Wisdom",Character!$J$62:$J$66)+Q1127+U1127),"No Twilight","Twilight")))</f>
        <v>No Twilight</v>
      </c>
      <c r="W1127" s="483"/>
      <c r="X1127" s="478"/>
      <c r="Y1127" s="484"/>
      <c r="Z1127" s="478"/>
      <c r="AA1127" s="485" t="str">
        <f>IF(V1127="Uncomprehended Twilight","Failed",IF(OR(ISBLANK(W1127),ISBLANK(Y1127))," ",IF(NOT(ISBLANK(X1127)),"Failed",IF((W1127+Character!$B$9+SUMIF(Character!$I$62:$I$66,"Enigmatic Wisdom",Character!$J$62:$J$66))&gt;=IF(Z1127="Yes",0,(Y1127+D1122)),"Succeeded","Failed"))))</f>
        <v xml:space="preserve"> </v>
      </c>
      <c r="AB1127" s="477" t="str">
        <f>IF(AA1127=" "," ",IF(NOT(ISBLANK(X1127)),VLOOKUP($D$3+X1127,Calcs!$A$110:$C$122,3,TRUE),IF(AA1127="Failed",VLOOKUP($D$3,Calcs!$A$110:$C$122,3,TRUE),VLOOKUP($D$3-(IF((Character!$B$9+W1127)&gt;($D$3+Y1127),(Character!$B$9+W1127)-($D$3+Y1127),0)),Calcs!$A$110:$C$122,3,TRUE))))</f>
        <v xml:space="preserve"> </v>
      </c>
      <c r="AC1127" s="489"/>
      <c r="AD1127" s="489" t="str">
        <f>IF(IF(AA1127=" "," ",IF(NOT(ISBLANK(X1127)),VLOOKUP($D$3+X1127,Calcs!$A$110:$B$122,2,TRUE),IF(AA1127="Failed",VLOOKUP($D$3,Calcs!$A$110:$B$122,2,TRUE),VLOOKUP($D$3-(IF((Character!$B$9+W1127)&gt;($D$3+Y1127),(Character!$B$9+W1127)-($D$3+Y1127),0)),Calcs!$A$110:$B$122,2,TRUE))))=Calcs!$B$120,IF(ISBLANK(AC1127)," ",CONCATENATE(AC1127+7," Years")),IF(AA1127=" "," ",IF(NOT(ISBLANK(X1127)),VLOOKUP($D$3+X1127,Calcs!$A$110:$B$122,2,TRUE),IF(AA1127="Failed",VLOOKUP($D$3,Calcs!$A$110:$B$122,2,TRUE),VLOOKUP($D$3-(IF((Character!$B$9+W1127)&gt;($D$3+Y1127),(Character!$B$9+W1127)-($D$3+Y1127),0)),Calcs!$A$110:$B$122,2,TRUE)))))</f>
        <v xml:space="preserve"> </v>
      </c>
      <c r="AE1127" s="490"/>
      <c r="AF1127" s="879"/>
      <c r="AG1127" s="491"/>
    </row>
    <row r="1128" spans="1:33" x14ac:dyDescent="0.2">
      <c r="A1128" s="415">
        <f t="shared" si="34"/>
        <v>1492</v>
      </c>
      <c r="B1128" s="419" t="str">
        <f t="shared" si="35"/>
        <v>Winter</v>
      </c>
      <c r="C1128" s="455"/>
      <c r="D1128" s="504"/>
      <c r="E1128" s="455"/>
      <c r="F1128" s="504"/>
      <c r="G1128" s="455"/>
      <c r="H1128" s="504"/>
      <c r="I1128" s="455"/>
      <c r="J1128" s="504"/>
      <c r="L1128" s="472"/>
      <c r="M1128" s="468"/>
      <c r="N1128" s="468"/>
      <c r="O1128" s="468"/>
      <c r="P1128" s="468"/>
      <c r="Q1128" s="473"/>
      <c r="R1128" s="477" t="str">
        <f>IF(AND(COUNTIF('Start Character'!$I$63:$M$77,"Twilight Prone")=1,NOT(ISERROR(FIND("Magical Botch",M1128)))),"Yes",IF(P1128&gt;1,"Yes","No"))</f>
        <v>No</v>
      </c>
      <c r="S1128" s="501"/>
      <c r="T1128" s="478"/>
      <c r="U1128" s="501"/>
      <c r="V1128" s="479" t="str">
        <f>IF(R1128="No","No Twilight",IF(T1128="Yes","Uncomprehended Twilight",IF((Character!$B$14+IF(Character!$B$53="Yes",0,Character!$B$53)+IF(Magic!$C$5="Yes",2,0)+ROUNDUP((Magic!$B$30+IF(Magic!$C$30="Yes",3,0))/5,0)+S1128)&gt;=($D$3+P1128+SUMIF(Character!$I$62:$I$66,"Enigmatic Wisdom",Character!$J$62:$J$66)+Q1128+U1128),"No Twilight","Twilight")))</f>
        <v>No Twilight</v>
      </c>
      <c r="W1128" s="483"/>
      <c r="X1128" s="478"/>
      <c r="Y1128" s="484"/>
      <c r="Z1128" s="478"/>
      <c r="AA1128" s="485" t="str">
        <f>IF(V1128="Uncomprehended Twilight","Failed",IF(OR(ISBLANK(W1128),ISBLANK(Y1128))," ",IF(NOT(ISBLANK(X1128)),"Failed",IF((W1128+Character!$B$9+SUMIF(Character!$I$62:$I$66,"Enigmatic Wisdom",Character!$J$62:$J$66))&gt;=IF(Z1128="Yes",0,(Y1128+D1123)),"Succeeded","Failed"))))</f>
        <v xml:space="preserve"> </v>
      </c>
      <c r="AB1128" s="477" t="str">
        <f>IF(AA1128=" "," ",IF(NOT(ISBLANK(X1128)),VLOOKUP($D$3+X1128,Calcs!$A$110:$C$122,3,TRUE),IF(AA1128="Failed",VLOOKUP($D$3,Calcs!$A$110:$C$122,3,TRUE),VLOOKUP($D$3-(IF((Character!$B$9+W1128)&gt;($D$3+Y1128),(Character!$B$9+W1128)-($D$3+Y1128),0)),Calcs!$A$110:$C$122,3,TRUE))))</f>
        <v xml:space="preserve"> </v>
      </c>
      <c r="AC1128" s="489"/>
      <c r="AD1128" s="489" t="str">
        <f>IF(IF(AA1128=" "," ",IF(NOT(ISBLANK(X1128)),VLOOKUP($D$3+X1128,Calcs!$A$110:$B$122,2,TRUE),IF(AA1128="Failed",VLOOKUP($D$3,Calcs!$A$110:$B$122,2,TRUE),VLOOKUP($D$3-(IF((Character!$B$9+W1128)&gt;($D$3+Y1128),(Character!$B$9+W1128)-($D$3+Y1128),0)),Calcs!$A$110:$B$122,2,TRUE))))=Calcs!$B$120,IF(ISBLANK(AC1128)," ",CONCATENATE(AC1128+7," Years")),IF(AA1128=" "," ",IF(NOT(ISBLANK(X1128)),VLOOKUP($D$3+X1128,Calcs!$A$110:$B$122,2,TRUE),IF(AA1128="Failed",VLOOKUP($D$3,Calcs!$A$110:$B$122,2,TRUE),VLOOKUP($D$3-(IF((Character!$B$9+W1128)&gt;($D$3+Y1128),(Character!$B$9+W1128)-($D$3+Y1128),0)),Calcs!$A$110:$B$122,2,TRUE)))))</f>
        <v xml:space="preserve"> </v>
      </c>
      <c r="AE1128" s="490"/>
      <c r="AF1128" s="879"/>
      <c r="AG1128" s="491"/>
    </row>
    <row r="1129" spans="1:33" x14ac:dyDescent="0.2">
      <c r="A1129" s="415">
        <f t="shared" si="34"/>
        <v>1492</v>
      </c>
      <c r="B1129" s="419" t="str">
        <f t="shared" si="35"/>
        <v>Spring</v>
      </c>
      <c r="C1129" s="455"/>
      <c r="D1129" s="504"/>
      <c r="E1129" s="455"/>
      <c r="F1129" s="504"/>
      <c r="G1129" s="455"/>
      <c r="H1129" s="504"/>
      <c r="I1129" s="455"/>
      <c r="J1129" s="504"/>
      <c r="L1129" s="472"/>
      <c r="M1129" s="468"/>
      <c r="N1129" s="468"/>
      <c r="O1129" s="468"/>
      <c r="P1129" s="468"/>
      <c r="Q1129" s="473"/>
      <c r="R1129" s="477" t="str">
        <f>IF(AND(COUNTIF('Start Character'!$I$63:$M$77,"Twilight Prone")=1,NOT(ISERROR(FIND("Magical Botch",M1129)))),"Yes",IF(P1129&gt;1,"Yes","No"))</f>
        <v>No</v>
      </c>
      <c r="S1129" s="501"/>
      <c r="T1129" s="478"/>
      <c r="U1129" s="501"/>
      <c r="V1129" s="479" t="str">
        <f>IF(R1129="No","No Twilight",IF(T1129="Yes","Uncomprehended Twilight",IF((Character!$B$14+IF(Character!$B$53="Yes",0,Character!$B$53)+IF(Magic!$C$5="Yes",2,0)+ROUNDUP((Magic!$B$30+IF(Magic!$C$30="Yes",3,0))/5,0)+S1129)&gt;=($D$3+P1129+SUMIF(Character!$I$62:$I$66,"Enigmatic Wisdom",Character!$J$62:$J$66)+Q1129+U1129),"No Twilight","Twilight")))</f>
        <v>No Twilight</v>
      </c>
      <c r="W1129" s="483"/>
      <c r="X1129" s="478"/>
      <c r="Y1129" s="484"/>
      <c r="Z1129" s="478"/>
      <c r="AA1129" s="485" t="str">
        <f>IF(V1129="Uncomprehended Twilight","Failed",IF(OR(ISBLANK(W1129),ISBLANK(Y1129))," ",IF(NOT(ISBLANK(X1129)),"Failed",IF((W1129+Character!$B$9+SUMIF(Character!$I$62:$I$66,"Enigmatic Wisdom",Character!$J$62:$J$66))&gt;=IF(Z1129="Yes",0,(Y1129+D1124)),"Succeeded","Failed"))))</f>
        <v xml:space="preserve"> </v>
      </c>
      <c r="AB1129" s="477" t="str">
        <f>IF(AA1129=" "," ",IF(NOT(ISBLANK(X1129)),VLOOKUP($D$3+X1129,Calcs!$A$110:$C$122,3,TRUE),IF(AA1129="Failed",VLOOKUP($D$3,Calcs!$A$110:$C$122,3,TRUE),VLOOKUP($D$3-(IF((Character!$B$9+W1129)&gt;($D$3+Y1129),(Character!$B$9+W1129)-($D$3+Y1129),0)),Calcs!$A$110:$C$122,3,TRUE))))</f>
        <v xml:space="preserve"> </v>
      </c>
      <c r="AC1129" s="489"/>
      <c r="AD1129" s="489" t="str">
        <f>IF(IF(AA1129=" "," ",IF(NOT(ISBLANK(X1129)),VLOOKUP($D$3+X1129,Calcs!$A$110:$B$122,2,TRUE),IF(AA1129="Failed",VLOOKUP($D$3,Calcs!$A$110:$B$122,2,TRUE),VLOOKUP($D$3-(IF((Character!$B$9+W1129)&gt;($D$3+Y1129),(Character!$B$9+W1129)-($D$3+Y1129),0)),Calcs!$A$110:$B$122,2,TRUE))))=Calcs!$B$120,IF(ISBLANK(AC1129)," ",CONCATENATE(AC1129+7," Years")),IF(AA1129=" "," ",IF(NOT(ISBLANK(X1129)),VLOOKUP($D$3+X1129,Calcs!$A$110:$B$122,2,TRUE),IF(AA1129="Failed",VLOOKUP($D$3,Calcs!$A$110:$B$122,2,TRUE),VLOOKUP($D$3-(IF((Character!$B$9+W1129)&gt;($D$3+Y1129),(Character!$B$9+W1129)-($D$3+Y1129),0)),Calcs!$A$110:$B$122,2,TRUE)))))</f>
        <v xml:space="preserve"> </v>
      </c>
      <c r="AE1129" s="490"/>
      <c r="AF1129" s="879"/>
      <c r="AG1129" s="491"/>
    </row>
    <row r="1130" spans="1:33" x14ac:dyDescent="0.2">
      <c r="A1130" s="415">
        <f t="shared" si="34"/>
        <v>1492</v>
      </c>
      <c r="B1130" s="419" t="str">
        <f t="shared" si="35"/>
        <v>Summer</v>
      </c>
      <c r="C1130" s="455"/>
      <c r="D1130" s="504"/>
      <c r="E1130" s="455"/>
      <c r="F1130" s="504"/>
      <c r="G1130" s="455"/>
      <c r="H1130" s="504"/>
      <c r="I1130" s="455"/>
      <c r="J1130" s="504"/>
      <c r="L1130" s="472"/>
      <c r="M1130" s="468"/>
      <c r="N1130" s="468"/>
      <c r="O1130" s="468"/>
      <c r="P1130" s="468"/>
      <c r="Q1130" s="473"/>
      <c r="R1130" s="477" t="str">
        <f>IF(AND(COUNTIF('Start Character'!$I$63:$M$77,"Twilight Prone")=1,NOT(ISERROR(FIND("Magical Botch",M1130)))),"Yes",IF(P1130&gt;1,"Yes","No"))</f>
        <v>No</v>
      </c>
      <c r="S1130" s="501"/>
      <c r="T1130" s="478"/>
      <c r="U1130" s="501"/>
      <c r="V1130" s="479" t="str">
        <f>IF(R1130="No","No Twilight",IF(T1130="Yes","Uncomprehended Twilight",IF((Character!$B$14+IF(Character!$B$53="Yes",0,Character!$B$53)+IF(Magic!$C$5="Yes",2,0)+ROUNDUP((Magic!$B$30+IF(Magic!$C$30="Yes",3,0))/5,0)+S1130)&gt;=($D$3+P1130+SUMIF(Character!$I$62:$I$66,"Enigmatic Wisdom",Character!$J$62:$J$66)+Q1130+U1130),"No Twilight","Twilight")))</f>
        <v>No Twilight</v>
      </c>
      <c r="W1130" s="483"/>
      <c r="X1130" s="478"/>
      <c r="Y1130" s="484"/>
      <c r="Z1130" s="478"/>
      <c r="AA1130" s="485" t="str">
        <f>IF(V1130="Uncomprehended Twilight","Failed",IF(OR(ISBLANK(W1130),ISBLANK(Y1130))," ",IF(NOT(ISBLANK(X1130)),"Failed",IF((W1130+Character!$B$9+SUMIF(Character!$I$62:$I$66,"Enigmatic Wisdom",Character!$J$62:$J$66))&gt;=IF(Z1130="Yes",0,(Y1130+D1125)),"Succeeded","Failed"))))</f>
        <v xml:space="preserve"> </v>
      </c>
      <c r="AB1130" s="477" t="str">
        <f>IF(AA1130=" "," ",IF(NOT(ISBLANK(X1130)),VLOOKUP($D$3+X1130,Calcs!$A$110:$C$122,3,TRUE),IF(AA1130="Failed",VLOOKUP($D$3,Calcs!$A$110:$C$122,3,TRUE),VLOOKUP($D$3-(IF((Character!$B$9+W1130)&gt;($D$3+Y1130),(Character!$B$9+W1130)-($D$3+Y1130),0)),Calcs!$A$110:$C$122,3,TRUE))))</f>
        <v xml:space="preserve"> </v>
      </c>
      <c r="AC1130" s="489"/>
      <c r="AD1130" s="489" t="str">
        <f>IF(IF(AA1130=" "," ",IF(NOT(ISBLANK(X1130)),VLOOKUP($D$3+X1130,Calcs!$A$110:$B$122,2,TRUE),IF(AA1130="Failed",VLOOKUP($D$3,Calcs!$A$110:$B$122,2,TRUE),VLOOKUP($D$3-(IF((Character!$B$9+W1130)&gt;($D$3+Y1130),(Character!$B$9+W1130)-($D$3+Y1130),0)),Calcs!$A$110:$B$122,2,TRUE))))=Calcs!$B$120,IF(ISBLANK(AC1130)," ",CONCATENATE(AC1130+7," Years")),IF(AA1130=" "," ",IF(NOT(ISBLANK(X1130)),VLOOKUP($D$3+X1130,Calcs!$A$110:$B$122,2,TRUE),IF(AA1130="Failed",VLOOKUP($D$3,Calcs!$A$110:$B$122,2,TRUE),VLOOKUP($D$3-(IF((Character!$B$9+W1130)&gt;($D$3+Y1130),(Character!$B$9+W1130)-($D$3+Y1130),0)),Calcs!$A$110:$B$122,2,TRUE)))))</f>
        <v xml:space="preserve"> </v>
      </c>
      <c r="AE1130" s="490"/>
      <c r="AF1130" s="879"/>
      <c r="AG1130" s="491"/>
    </row>
    <row r="1131" spans="1:33" x14ac:dyDescent="0.2">
      <c r="A1131" s="415">
        <f t="shared" si="34"/>
        <v>1492</v>
      </c>
      <c r="B1131" s="419" t="str">
        <f t="shared" si="35"/>
        <v>Autumn</v>
      </c>
      <c r="C1131" s="455"/>
      <c r="D1131" s="504"/>
      <c r="E1131" s="455"/>
      <c r="F1131" s="504"/>
      <c r="G1131" s="455"/>
      <c r="H1131" s="504"/>
      <c r="I1131" s="455"/>
      <c r="J1131" s="504"/>
      <c r="L1131" s="472"/>
      <c r="M1131" s="468"/>
      <c r="N1131" s="468"/>
      <c r="O1131" s="468"/>
      <c r="P1131" s="468"/>
      <c r="Q1131" s="473"/>
      <c r="R1131" s="477" t="str">
        <f>IF(AND(COUNTIF('Start Character'!$I$63:$M$77,"Twilight Prone")=1,NOT(ISERROR(FIND("Magical Botch",M1131)))),"Yes",IF(P1131&gt;1,"Yes","No"))</f>
        <v>No</v>
      </c>
      <c r="S1131" s="501"/>
      <c r="T1131" s="478"/>
      <c r="U1131" s="501"/>
      <c r="V1131" s="479" t="str">
        <f>IF(R1131="No","No Twilight",IF(T1131="Yes","Uncomprehended Twilight",IF((Character!$B$14+IF(Character!$B$53="Yes",0,Character!$B$53)+IF(Magic!$C$5="Yes",2,0)+ROUNDUP((Magic!$B$30+IF(Magic!$C$30="Yes",3,0))/5,0)+S1131)&gt;=($D$3+P1131+SUMIF(Character!$I$62:$I$66,"Enigmatic Wisdom",Character!$J$62:$J$66)+Q1131+U1131),"No Twilight","Twilight")))</f>
        <v>No Twilight</v>
      </c>
      <c r="W1131" s="483"/>
      <c r="X1131" s="478"/>
      <c r="Y1131" s="484"/>
      <c r="Z1131" s="478"/>
      <c r="AA1131" s="485" t="str">
        <f>IF(V1131="Uncomprehended Twilight","Failed",IF(OR(ISBLANK(W1131),ISBLANK(Y1131))," ",IF(NOT(ISBLANK(X1131)),"Failed",IF((W1131+Character!$B$9+SUMIF(Character!$I$62:$I$66,"Enigmatic Wisdom",Character!$J$62:$J$66))&gt;=IF(Z1131="Yes",0,(Y1131+D1126)),"Succeeded","Failed"))))</f>
        <v xml:space="preserve"> </v>
      </c>
      <c r="AB1131" s="477" t="str">
        <f>IF(AA1131=" "," ",IF(NOT(ISBLANK(X1131)),VLOOKUP($D$3+X1131,Calcs!$A$110:$C$122,3,TRUE),IF(AA1131="Failed",VLOOKUP($D$3,Calcs!$A$110:$C$122,3,TRUE),VLOOKUP($D$3-(IF((Character!$B$9+W1131)&gt;($D$3+Y1131),(Character!$B$9+W1131)-($D$3+Y1131),0)),Calcs!$A$110:$C$122,3,TRUE))))</f>
        <v xml:space="preserve"> </v>
      </c>
      <c r="AC1131" s="489"/>
      <c r="AD1131" s="489" t="str">
        <f>IF(IF(AA1131=" "," ",IF(NOT(ISBLANK(X1131)),VLOOKUP($D$3+X1131,Calcs!$A$110:$B$122,2,TRUE),IF(AA1131="Failed",VLOOKUP($D$3,Calcs!$A$110:$B$122,2,TRUE),VLOOKUP($D$3-(IF((Character!$B$9+W1131)&gt;($D$3+Y1131),(Character!$B$9+W1131)-($D$3+Y1131),0)),Calcs!$A$110:$B$122,2,TRUE))))=Calcs!$B$120,IF(ISBLANK(AC1131)," ",CONCATENATE(AC1131+7," Years")),IF(AA1131=" "," ",IF(NOT(ISBLANK(X1131)),VLOOKUP($D$3+X1131,Calcs!$A$110:$B$122,2,TRUE),IF(AA1131="Failed",VLOOKUP($D$3,Calcs!$A$110:$B$122,2,TRUE),VLOOKUP($D$3-(IF((Character!$B$9+W1131)&gt;($D$3+Y1131),(Character!$B$9+W1131)-($D$3+Y1131),0)),Calcs!$A$110:$B$122,2,TRUE)))))</f>
        <v xml:space="preserve"> </v>
      </c>
      <c r="AE1131" s="490"/>
      <c r="AF1131" s="879"/>
      <c r="AG1131" s="491"/>
    </row>
    <row r="1132" spans="1:33" x14ac:dyDescent="0.2">
      <c r="A1132" s="415">
        <f t="shared" si="34"/>
        <v>1493</v>
      </c>
      <c r="B1132" s="419" t="str">
        <f t="shared" si="35"/>
        <v>Winter</v>
      </c>
      <c r="C1132" s="455"/>
      <c r="D1132" s="504"/>
      <c r="E1132" s="455"/>
      <c r="F1132" s="504"/>
      <c r="G1132" s="455"/>
      <c r="H1132" s="504"/>
      <c r="I1132" s="455"/>
      <c r="J1132" s="504"/>
      <c r="L1132" s="472"/>
      <c r="M1132" s="468"/>
      <c r="N1132" s="468"/>
      <c r="O1132" s="468"/>
      <c r="P1132" s="468"/>
      <c r="Q1132" s="473"/>
      <c r="R1132" s="477" t="str">
        <f>IF(AND(COUNTIF('Start Character'!$I$63:$M$77,"Twilight Prone")=1,NOT(ISERROR(FIND("Magical Botch",M1132)))),"Yes",IF(P1132&gt;1,"Yes","No"))</f>
        <v>No</v>
      </c>
      <c r="S1132" s="501"/>
      <c r="T1132" s="478"/>
      <c r="U1132" s="501"/>
      <c r="V1132" s="479" t="str">
        <f>IF(R1132="No","No Twilight",IF(T1132="Yes","Uncomprehended Twilight",IF((Character!$B$14+IF(Character!$B$53="Yes",0,Character!$B$53)+IF(Magic!$C$5="Yes",2,0)+ROUNDUP((Magic!$B$30+IF(Magic!$C$30="Yes",3,0))/5,0)+S1132)&gt;=($D$3+P1132+SUMIF(Character!$I$62:$I$66,"Enigmatic Wisdom",Character!$J$62:$J$66)+Q1132+U1132),"No Twilight","Twilight")))</f>
        <v>No Twilight</v>
      </c>
      <c r="W1132" s="483"/>
      <c r="X1132" s="478"/>
      <c r="Y1132" s="484"/>
      <c r="Z1132" s="478"/>
      <c r="AA1132" s="485" t="str">
        <f>IF(V1132="Uncomprehended Twilight","Failed",IF(OR(ISBLANK(W1132),ISBLANK(Y1132))," ",IF(NOT(ISBLANK(X1132)),"Failed",IF((W1132+Character!$B$9+SUMIF(Character!$I$62:$I$66,"Enigmatic Wisdom",Character!$J$62:$J$66))&gt;=IF(Z1132="Yes",0,(Y1132+D1127)),"Succeeded","Failed"))))</f>
        <v xml:space="preserve"> </v>
      </c>
      <c r="AB1132" s="477" t="str">
        <f>IF(AA1132=" "," ",IF(NOT(ISBLANK(X1132)),VLOOKUP($D$3+X1132,Calcs!$A$110:$C$122,3,TRUE),IF(AA1132="Failed",VLOOKUP($D$3,Calcs!$A$110:$C$122,3,TRUE),VLOOKUP($D$3-(IF((Character!$B$9+W1132)&gt;($D$3+Y1132),(Character!$B$9+W1132)-($D$3+Y1132),0)),Calcs!$A$110:$C$122,3,TRUE))))</f>
        <v xml:space="preserve"> </v>
      </c>
      <c r="AC1132" s="489"/>
      <c r="AD1132" s="489" t="str">
        <f>IF(IF(AA1132=" "," ",IF(NOT(ISBLANK(X1132)),VLOOKUP($D$3+X1132,Calcs!$A$110:$B$122,2,TRUE),IF(AA1132="Failed",VLOOKUP($D$3,Calcs!$A$110:$B$122,2,TRUE),VLOOKUP($D$3-(IF((Character!$B$9+W1132)&gt;($D$3+Y1132),(Character!$B$9+W1132)-($D$3+Y1132),0)),Calcs!$A$110:$B$122,2,TRUE))))=Calcs!$B$120,IF(ISBLANK(AC1132)," ",CONCATENATE(AC1132+7," Years")),IF(AA1132=" "," ",IF(NOT(ISBLANK(X1132)),VLOOKUP($D$3+X1132,Calcs!$A$110:$B$122,2,TRUE),IF(AA1132="Failed",VLOOKUP($D$3,Calcs!$A$110:$B$122,2,TRUE),VLOOKUP($D$3-(IF((Character!$B$9+W1132)&gt;($D$3+Y1132),(Character!$B$9+W1132)-($D$3+Y1132),0)),Calcs!$A$110:$B$122,2,TRUE)))))</f>
        <v xml:space="preserve"> </v>
      </c>
      <c r="AE1132" s="490"/>
      <c r="AF1132" s="879"/>
      <c r="AG1132" s="491"/>
    </row>
    <row r="1133" spans="1:33" x14ac:dyDescent="0.2">
      <c r="A1133" s="415">
        <f t="shared" si="34"/>
        <v>1493</v>
      </c>
      <c r="B1133" s="419" t="str">
        <f t="shared" si="35"/>
        <v>Spring</v>
      </c>
      <c r="C1133" s="455"/>
      <c r="D1133" s="504"/>
      <c r="E1133" s="455"/>
      <c r="F1133" s="504"/>
      <c r="G1133" s="455"/>
      <c r="H1133" s="504"/>
      <c r="I1133" s="455"/>
      <c r="J1133" s="504"/>
      <c r="L1133" s="472"/>
      <c r="M1133" s="468"/>
      <c r="N1133" s="468"/>
      <c r="O1133" s="468"/>
      <c r="P1133" s="468"/>
      <c r="Q1133" s="473"/>
      <c r="R1133" s="477" t="str">
        <f>IF(AND(COUNTIF('Start Character'!$I$63:$M$77,"Twilight Prone")=1,NOT(ISERROR(FIND("Magical Botch",M1133)))),"Yes",IF(P1133&gt;1,"Yes","No"))</f>
        <v>No</v>
      </c>
      <c r="S1133" s="501"/>
      <c r="T1133" s="478"/>
      <c r="U1133" s="501"/>
      <c r="V1133" s="479" t="str">
        <f>IF(R1133="No","No Twilight",IF(T1133="Yes","Uncomprehended Twilight",IF((Character!$B$14+IF(Character!$B$53="Yes",0,Character!$B$53)+IF(Magic!$C$5="Yes",2,0)+ROUNDUP((Magic!$B$30+IF(Magic!$C$30="Yes",3,0))/5,0)+S1133)&gt;=($D$3+P1133+SUMIF(Character!$I$62:$I$66,"Enigmatic Wisdom",Character!$J$62:$J$66)+Q1133+U1133),"No Twilight","Twilight")))</f>
        <v>No Twilight</v>
      </c>
      <c r="W1133" s="483"/>
      <c r="X1133" s="478"/>
      <c r="Y1133" s="484"/>
      <c r="Z1133" s="478"/>
      <c r="AA1133" s="485" t="str">
        <f>IF(V1133="Uncomprehended Twilight","Failed",IF(OR(ISBLANK(W1133),ISBLANK(Y1133))," ",IF(NOT(ISBLANK(X1133)),"Failed",IF((W1133+Character!$B$9+SUMIF(Character!$I$62:$I$66,"Enigmatic Wisdom",Character!$J$62:$J$66))&gt;=IF(Z1133="Yes",0,(Y1133+D1128)),"Succeeded","Failed"))))</f>
        <v xml:space="preserve"> </v>
      </c>
      <c r="AB1133" s="477" t="str">
        <f>IF(AA1133=" "," ",IF(NOT(ISBLANK(X1133)),VLOOKUP($D$3+X1133,Calcs!$A$110:$C$122,3,TRUE),IF(AA1133="Failed",VLOOKUP($D$3,Calcs!$A$110:$C$122,3,TRUE),VLOOKUP($D$3-(IF((Character!$B$9+W1133)&gt;($D$3+Y1133),(Character!$B$9+W1133)-($D$3+Y1133),0)),Calcs!$A$110:$C$122,3,TRUE))))</f>
        <v xml:space="preserve"> </v>
      </c>
      <c r="AC1133" s="489"/>
      <c r="AD1133" s="489" t="str">
        <f>IF(IF(AA1133=" "," ",IF(NOT(ISBLANK(X1133)),VLOOKUP($D$3+X1133,Calcs!$A$110:$B$122,2,TRUE),IF(AA1133="Failed",VLOOKUP($D$3,Calcs!$A$110:$B$122,2,TRUE),VLOOKUP($D$3-(IF((Character!$B$9+W1133)&gt;($D$3+Y1133),(Character!$B$9+W1133)-($D$3+Y1133),0)),Calcs!$A$110:$B$122,2,TRUE))))=Calcs!$B$120,IF(ISBLANK(AC1133)," ",CONCATENATE(AC1133+7," Years")),IF(AA1133=" "," ",IF(NOT(ISBLANK(X1133)),VLOOKUP($D$3+X1133,Calcs!$A$110:$B$122,2,TRUE),IF(AA1133="Failed",VLOOKUP($D$3,Calcs!$A$110:$B$122,2,TRUE),VLOOKUP($D$3-(IF((Character!$B$9+W1133)&gt;($D$3+Y1133),(Character!$B$9+W1133)-($D$3+Y1133),0)),Calcs!$A$110:$B$122,2,TRUE)))))</f>
        <v xml:space="preserve"> </v>
      </c>
      <c r="AE1133" s="490"/>
      <c r="AF1133" s="879"/>
      <c r="AG1133" s="491"/>
    </row>
    <row r="1134" spans="1:33" x14ac:dyDescent="0.2">
      <c r="A1134" s="415">
        <f t="shared" si="34"/>
        <v>1493</v>
      </c>
      <c r="B1134" s="419" t="str">
        <f t="shared" si="35"/>
        <v>Summer</v>
      </c>
      <c r="C1134" s="455"/>
      <c r="D1134" s="504"/>
      <c r="E1134" s="455"/>
      <c r="F1134" s="504"/>
      <c r="G1134" s="455"/>
      <c r="H1134" s="504"/>
      <c r="I1134" s="455"/>
      <c r="J1134" s="504"/>
      <c r="L1134" s="472"/>
      <c r="M1134" s="468"/>
      <c r="N1134" s="468"/>
      <c r="O1134" s="468"/>
      <c r="P1134" s="468"/>
      <c r="Q1134" s="473"/>
      <c r="R1134" s="477" t="str">
        <f>IF(AND(COUNTIF('Start Character'!$I$63:$M$77,"Twilight Prone")=1,NOT(ISERROR(FIND("Magical Botch",M1134)))),"Yes",IF(P1134&gt;1,"Yes","No"))</f>
        <v>No</v>
      </c>
      <c r="S1134" s="501"/>
      <c r="T1134" s="478"/>
      <c r="U1134" s="501"/>
      <c r="V1134" s="479" t="str">
        <f>IF(R1134="No","No Twilight",IF(T1134="Yes","Uncomprehended Twilight",IF((Character!$B$14+IF(Character!$B$53="Yes",0,Character!$B$53)+IF(Magic!$C$5="Yes",2,0)+ROUNDUP((Magic!$B$30+IF(Magic!$C$30="Yes",3,0))/5,0)+S1134)&gt;=($D$3+P1134+SUMIF(Character!$I$62:$I$66,"Enigmatic Wisdom",Character!$J$62:$J$66)+Q1134+U1134),"No Twilight","Twilight")))</f>
        <v>No Twilight</v>
      </c>
      <c r="W1134" s="483"/>
      <c r="X1134" s="478"/>
      <c r="Y1134" s="484"/>
      <c r="Z1134" s="478"/>
      <c r="AA1134" s="485" t="str">
        <f>IF(V1134="Uncomprehended Twilight","Failed",IF(OR(ISBLANK(W1134),ISBLANK(Y1134))," ",IF(NOT(ISBLANK(X1134)),"Failed",IF((W1134+Character!$B$9+SUMIF(Character!$I$62:$I$66,"Enigmatic Wisdom",Character!$J$62:$J$66))&gt;=IF(Z1134="Yes",0,(Y1134+D1129)),"Succeeded","Failed"))))</f>
        <v xml:space="preserve"> </v>
      </c>
      <c r="AB1134" s="477" t="str">
        <f>IF(AA1134=" "," ",IF(NOT(ISBLANK(X1134)),VLOOKUP($D$3+X1134,Calcs!$A$110:$C$122,3,TRUE),IF(AA1134="Failed",VLOOKUP($D$3,Calcs!$A$110:$C$122,3,TRUE),VLOOKUP($D$3-(IF((Character!$B$9+W1134)&gt;($D$3+Y1134),(Character!$B$9+W1134)-($D$3+Y1134),0)),Calcs!$A$110:$C$122,3,TRUE))))</f>
        <v xml:space="preserve"> </v>
      </c>
      <c r="AC1134" s="489"/>
      <c r="AD1134" s="489" t="str">
        <f>IF(IF(AA1134=" "," ",IF(NOT(ISBLANK(X1134)),VLOOKUP($D$3+X1134,Calcs!$A$110:$B$122,2,TRUE),IF(AA1134="Failed",VLOOKUP($D$3,Calcs!$A$110:$B$122,2,TRUE),VLOOKUP($D$3-(IF((Character!$B$9+W1134)&gt;($D$3+Y1134),(Character!$B$9+W1134)-($D$3+Y1134),0)),Calcs!$A$110:$B$122,2,TRUE))))=Calcs!$B$120,IF(ISBLANK(AC1134)," ",CONCATENATE(AC1134+7," Years")),IF(AA1134=" "," ",IF(NOT(ISBLANK(X1134)),VLOOKUP($D$3+X1134,Calcs!$A$110:$B$122,2,TRUE),IF(AA1134="Failed",VLOOKUP($D$3,Calcs!$A$110:$B$122,2,TRUE),VLOOKUP($D$3-(IF((Character!$B$9+W1134)&gt;($D$3+Y1134),(Character!$B$9+W1134)-($D$3+Y1134),0)),Calcs!$A$110:$B$122,2,TRUE)))))</f>
        <v xml:space="preserve"> </v>
      </c>
      <c r="AE1134" s="490"/>
      <c r="AF1134" s="879"/>
      <c r="AG1134" s="491"/>
    </row>
    <row r="1135" spans="1:33" x14ac:dyDescent="0.2">
      <c r="A1135" s="415">
        <f t="shared" si="34"/>
        <v>1493</v>
      </c>
      <c r="B1135" s="419" t="str">
        <f t="shared" si="35"/>
        <v>Autumn</v>
      </c>
      <c r="C1135" s="455"/>
      <c r="D1135" s="504"/>
      <c r="E1135" s="455"/>
      <c r="F1135" s="504"/>
      <c r="G1135" s="455"/>
      <c r="H1135" s="504"/>
      <c r="I1135" s="455"/>
      <c r="J1135" s="504"/>
      <c r="L1135" s="472"/>
      <c r="M1135" s="468"/>
      <c r="N1135" s="468"/>
      <c r="O1135" s="468"/>
      <c r="P1135" s="468"/>
      <c r="Q1135" s="473"/>
      <c r="R1135" s="477" t="str">
        <f>IF(AND(COUNTIF('Start Character'!$I$63:$M$77,"Twilight Prone")=1,NOT(ISERROR(FIND("Magical Botch",M1135)))),"Yes",IF(P1135&gt;1,"Yes","No"))</f>
        <v>No</v>
      </c>
      <c r="S1135" s="501"/>
      <c r="T1135" s="478"/>
      <c r="U1135" s="501"/>
      <c r="V1135" s="479" t="str">
        <f>IF(R1135="No","No Twilight",IF(T1135="Yes","Uncomprehended Twilight",IF((Character!$B$14+IF(Character!$B$53="Yes",0,Character!$B$53)+IF(Magic!$C$5="Yes",2,0)+ROUNDUP((Magic!$B$30+IF(Magic!$C$30="Yes",3,0))/5,0)+S1135)&gt;=($D$3+P1135+SUMIF(Character!$I$62:$I$66,"Enigmatic Wisdom",Character!$J$62:$J$66)+Q1135+U1135),"No Twilight","Twilight")))</f>
        <v>No Twilight</v>
      </c>
      <c r="W1135" s="483"/>
      <c r="X1135" s="478"/>
      <c r="Y1135" s="484"/>
      <c r="Z1135" s="478"/>
      <c r="AA1135" s="485" t="str">
        <f>IF(V1135="Uncomprehended Twilight","Failed",IF(OR(ISBLANK(W1135),ISBLANK(Y1135))," ",IF(NOT(ISBLANK(X1135)),"Failed",IF((W1135+Character!$B$9+SUMIF(Character!$I$62:$I$66,"Enigmatic Wisdom",Character!$J$62:$J$66))&gt;=IF(Z1135="Yes",0,(Y1135+D1130)),"Succeeded","Failed"))))</f>
        <v xml:space="preserve"> </v>
      </c>
      <c r="AB1135" s="477" t="str">
        <f>IF(AA1135=" "," ",IF(NOT(ISBLANK(X1135)),VLOOKUP($D$3+X1135,Calcs!$A$110:$C$122,3,TRUE),IF(AA1135="Failed",VLOOKUP($D$3,Calcs!$A$110:$C$122,3,TRUE),VLOOKUP($D$3-(IF((Character!$B$9+W1135)&gt;($D$3+Y1135),(Character!$B$9+W1135)-($D$3+Y1135),0)),Calcs!$A$110:$C$122,3,TRUE))))</f>
        <v xml:space="preserve"> </v>
      </c>
      <c r="AC1135" s="489"/>
      <c r="AD1135" s="489" t="str">
        <f>IF(IF(AA1135=" "," ",IF(NOT(ISBLANK(X1135)),VLOOKUP($D$3+X1135,Calcs!$A$110:$B$122,2,TRUE),IF(AA1135="Failed",VLOOKUP($D$3,Calcs!$A$110:$B$122,2,TRUE),VLOOKUP($D$3-(IF((Character!$B$9+W1135)&gt;($D$3+Y1135),(Character!$B$9+W1135)-($D$3+Y1135),0)),Calcs!$A$110:$B$122,2,TRUE))))=Calcs!$B$120,IF(ISBLANK(AC1135)," ",CONCATENATE(AC1135+7," Years")),IF(AA1135=" "," ",IF(NOT(ISBLANK(X1135)),VLOOKUP($D$3+X1135,Calcs!$A$110:$B$122,2,TRUE),IF(AA1135="Failed",VLOOKUP($D$3,Calcs!$A$110:$B$122,2,TRUE),VLOOKUP($D$3-(IF((Character!$B$9+W1135)&gt;($D$3+Y1135),(Character!$B$9+W1135)-($D$3+Y1135),0)),Calcs!$A$110:$B$122,2,TRUE)))))</f>
        <v xml:space="preserve"> </v>
      </c>
      <c r="AE1135" s="490"/>
      <c r="AF1135" s="879"/>
      <c r="AG1135" s="491"/>
    </row>
    <row r="1136" spans="1:33" x14ac:dyDescent="0.2">
      <c r="A1136" s="415">
        <f t="shared" si="34"/>
        <v>1494</v>
      </c>
      <c r="B1136" s="419" t="str">
        <f t="shared" si="35"/>
        <v>Winter</v>
      </c>
      <c r="C1136" s="455"/>
      <c r="D1136" s="504"/>
      <c r="E1136" s="455"/>
      <c r="F1136" s="504"/>
      <c r="G1136" s="455"/>
      <c r="H1136" s="504"/>
      <c r="I1136" s="455"/>
      <c r="J1136" s="504"/>
      <c r="L1136" s="472"/>
      <c r="M1136" s="468"/>
      <c r="N1136" s="468"/>
      <c r="O1136" s="468"/>
      <c r="P1136" s="468"/>
      <c r="Q1136" s="473"/>
      <c r="R1136" s="477" t="str">
        <f>IF(AND(COUNTIF('Start Character'!$I$63:$M$77,"Twilight Prone")=1,NOT(ISERROR(FIND("Magical Botch",M1136)))),"Yes",IF(P1136&gt;1,"Yes","No"))</f>
        <v>No</v>
      </c>
      <c r="S1136" s="501"/>
      <c r="T1136" s="478"/>
      <c r="U1136" s="501"/>
      <c r="V1136" s="479" t="str">
        <f>IF(R1136="No","No Twilight",IF(T1136="Yes","Uncomprehended Twilight",IF((Character!$B$14+IF(Character!$B$53="Yes",0,Character!$B$53)+IF(Magic!$C$5="Yes",2,0)+ROUNDUP((Magic!$B$30+IF(Magic!$C$30="Yes",3,0))/5,0)+S1136)&gt;=($D$3+P1136+SUMIF(Character!$I$62:$I$66,"Enigmatic Wisdom",Character!$J$62:$J$66)+Q1136+U1136),"No Twilight","Twilight")))</f>
        <v>No Twilight</v>
      </c>
      <c r="W1136" s="483"/>
      <c r="X1136" s="478"/>
      <c r="Y1136" s="484"/>
      <c r="Z1136" s="478"/>
      <c r="AA1136" s="485" t="str">
        <f>IF(V1136="Uncomprehended Twilight","Failed",IF(OR(ISBLANK(W1136),ISBLANK(Y1136))," ",IF(NOT(ISBLANK(X1136)),"Failed",IF((W1136+Character!$B$9+SUMIF(Character!$I$62:$I$66,"Enigmatic Wisdom",Character!$J$62:$J$66))&gt;=IF(Z1136="Yes",0,(Y1136+D1131)),"Succeeded","Failed"))))</f>
        <v xml:space="preserve"> </v>
      </c>
      <c r="AB1136" s="477" t="str">
        <f>IF(AA1136=" "," ",IF(NOT(ISBLANK(X1136)),VLOOKUP($D$3+X1136,Calcs!$A$110:$C$122,3,TRUE),IF(AA1136="Failed",VLOOKUP($D$3,Calcs!$A$110:$C$122,3,TRUE),VLOOKUP($D$3-(IF((Character!$B$9+W1136)&gt;($D$3+Y1136),(Character!$B$9+W1136)-($D$3+Y1136),0)),Calcs!$A$110:$C$122,3,TRUE))))</f>
        <v xml:space="preserve"> </v>
      </c>
      <c r="AC1136" s="489"/>
      <c r="AD1136" s="489" t="str">
        <f>IF(IF(AA1136=" "," ",IF(NOT(ISBLANK(X1136)),VLOOKUP($D$3+X1136,Calcs!$A$110:$B$122,2,TRUE),IF(AA1136="Failed",VLOOKUP($D$3,Calcs!$A$110:$B$122,2,TRUE),VLOOKUP($D$3-(IF((Character!$B$9+W1136)&gt;($D$3+Y1136),(Character!$B$9+W1136)-($D$3+Y1136),0)),Calcs!$A$110:$B$122,2,TRUE))))=Calcs!$B$120,IF(ISBLANK(AC1136)," ",CONCATENATE(AC1136+7," Years")),IF(AA1136=" "," ",IF(NOT(ISBLANK(X1136)),VLOOKUP($D$3+X1136,Calcs!$A$110:$B$122,2,TRUE),IF(AA1136="Failed",VLOOKUP($D$3,Calcs!$A$110:$B$122,2,TRUE),VLOOKUP($D$3-(IF((Character!$B$9+W1136)&gt;($D$3+Y1136),(Character!$B$9+W1136)-($D$3+Y1136),0)),Calcs!$A$110:$B$122,2,TRUE)))))</f>
        <v xml:space="preserve"> </v>
      </c>
      <c r="AE1136" s="490"/>
      <c r="AF1136" s="879"/>
      <c r="AG1136" s="491"/>
    </row>
    <row r="1137" spans="1:33" x14ac:dyDescent="0.2">
      <c r="A1137" s="415">
        <f t="shared" si="34"/>
        <v>1494</v>
      </c>
      <c r="B1137" s="419" t="str">
        <f t="shared" si="35"/>
        <v>Spring</v>
      </c>
      <c r="C1137" s="455"/>
      <c r="D1137" s="504"/>
      <c r="E1137" s="455"/>
      <c r="F1137" s="504"/>
      <c r="G1137" s="455"/>
      <c r="H1137" s="504"/>
      <c r="I1137" s="455"/>
      <c r="J1137" s="504"/>
      <c r="L1137" s="472"/>
      <c r="M1137" s="468"/>
      <c r="N1137" s="468"/>
      <c r="O1137" s="468"/>
      <c r="P1137" s="468"/>
      <c r="Q1137" s="473"/>
      <c r="R1137" s="477" t="str">
        <f>IF(AND(COUNTIF('Start Character'!$I$63:$M$77,"Twilight Prone")=1,NOT(ISERROR(FIND("Magical Botch",M1137)))),"Yes",IF(P1137&gt;1,"Yes","No"))</f>
        <v>No</v>
      </c>
      <c r="S1137" s="501"/>
      <c r="T1137" s="478"/>
      <c r="U1137" s="501"/>
      <c r="V1137" s="479" t="str">
        <f>IF(R1137="No","No Twilight",IF(T1137="Yes","Uncomprehended Twilight",IF((Character!$B$14+IF(Character!$B$53="Yes",0,Character!$B$53)+IF(Magic!$C$5="Yes",2,0)+ROUNDUP((Magic!$B$30+IF(Magic!$C$30="Yes",3,0))/5,0)+S1137)&gt;=($D$3+P1137+SUMIF(Character!$I$62:$I$66,"Enigmatic Wisdom",Character!$J$62:$J$66)+Q1137+U1137),"No Twilight","Twilight")))</f>
        <v>No Twilight</v>
      </c>
      <c r="W1137" s="483"/>
      <c r="X1137" s="478"/>
      <c r="Y1137" s="484"/>
      <c r="Z1137" s="478"/>
      <c r="AA1137" s="485" t="str">
        <f>IF(V1137="Uncomprehended Twilight","Failed",IF(OR(ISBLANK(W1137),ISBLANK(Y1137))," ",IF(NOT(ISBLANK(X1137)),"Failed",IF((W1137+Character!$B$9+SUMIF(Character!$I$62:$I$66,"Enigmatic Wisdom",Character!$J$62:$J$66))&gt;=IF(Z1137="Yes",0,(Y1137+D1132)),"Succeeded","Failed"))))</f>
        <v xml:space="preserve"> </v>
      </c>
      <c r="AB1137" s="477" t="str">
        <f>IF(AA1137=" "," ",IF(NOT(ISBLANK(X1137)),VLOOKUP($D$3+X1137,Calcs!$A$110:$C$122,3,TRUE),IF(AA1137="Failed",VLOOKUP($D$3,Calcs!$A$110:$C$122,3,TRUE),VLOOKUP($D$3-(IF((Character!$B$9+W1137)&gt;($D$3+Y1137),(Character!$B$9+W1137)-($D$3+Y1137),0)),Calcs!$A$110:$C$122,3,TRUE))))</f>
        <v xml:space="preserve"> </v>
      </c>
      <c r="AC1137" s="489"/>
      <c r="AD1137" s="489" t="str">
        <f>IF(IF(AA1137=" "," ",IF(NOT(ISBLANK(X1137)),VLOOKUP($D$3+X1137,Calcs!$A$110:$B$122,2,TRUE),IF(AA1137="Failed",VLOOKUP($D$3,Calcs!$A$110:$B$122,2,TRUE),VLOOKUP($D$3-(IF((Character!$B$9+W1137)&gt;($D$3+Y1137),(Character!$B$9+W1137)-($D$3+Y1137),0)),Calcs!$A$110:$B$122,2,TRUE))))=Calcs!$B$120,IF(ISBLANK(AC1137)," ",CONCATENATE(AC1137+7," Years")),IF(AA1137=" "," ",IF(NOT(ISBLANK(X1137)),VLOOKUP($D$3+X1137,Calcs!$A$110:$B$122,2,TRUE),IF(AA1137="Failed",VLOOKUP($D$3,Calcs!$A$110:$B$122,2,TRUE),VLOOKUP($D$3-(IF((Character!$B$9+W1137)&gt;($D$3+Y1137),(Character!$B$9+W1137)-($D$3+Y1137),0)),Calcs!$A$110:$B$122,2,TRUE)))))</f>
        <v xml:space="preserve"> </v>
      </c>
      <c r="AE1137" s="490"/>
      <c r="AF1137" s="879"/>
      <c r="AG1137" s="491"/>
    </row>
    <row r="1138" spans="1:33" x14ac:dyDescent="0.2">
      <c r="A1138" s="415">
        <f t="shared" si="34"/>
        <v>1494</v>
      </c>
      <c r="B1138" s="419" t="str">
        <f t="shared" si="35"/>
        <v>Summer</v>
      </c>
      <c r="C1138" s="455"/>
      <c r="D1138" s="504"/>
      <c r="E1138" s="455"/>
      <c r="F1138" s="504"/>
      <c r="G1138" s="455"/>
      <c r="H1138" s="504"/>
      <c r="I1138" s="455"/>
      <c r="J1138" s="504"/>
      <c r="L1138" s="472"/>
      <c r="M1138" s="468"/>
      <c r="N1138" s="468"/>
      <c r="O1138" s="468"/>
      <c r="P1138" s="468"/>
      <c r="Q1138" s="473"/>
      <c r="R1138" s="477" t="str">
        <f>IF(AND(COUNTIF('Start Character'!$I$63:$M$77,"Twilight Prone")=1,NOT(ISERROR(FIND("Magical Botch",M1138)))),"Yes",IF(P1138&gt;1,"Yes","No"))</f>
        <v>No</v>
      </c>
      <c r="S1138" s="501"/>
      <c r="T1138" s="478"/>
      <c r="U1138" s="501"/>
      <c r="V1138" s="479" t="str">
        <f>IF(R1138="No","No Twilight",IF(T1138="Yes","Uncomprehended Twilight",IF((Character!$B$14+IF(Character!$B$53="Yes",0,Character!$B$53)+IF(Magic!$C$5="Yes",2,0)+ROUNDUP((Magic!$B$30+IF(Magic!$C$30="Yes",3,0))/5,0)+S1138)&gt;=($D$3+P1138+SUMIF(Character!$I$62:$I$66,"Enigmatic Wisdom",Character!$J$62:$J$66)+Q1138+U1138),"No Twilight","Twilight")))</f>
        <v>No Twilight</v>
      </c>
      <c r="W1138" s="483"/>
      <c r="X1138" s="478"/>
      <c r="Y1138" s="484"/>
      <c r="Z1138" s="478"/>
      <c r="AA1138" s="485" t="str">
        <f>IF(V1138="Uncomprehended Twilight","Failed",IF(OR(ISBLANK(W1138),ISBLANK(Y1138))," ",IF(NOT(ISBLANK(X1138)),"Failed",IF((W1138+Character!$B$9+SUMIF(Character!$I$62:$I$66,"Enigmatic Wisdom",Character!$J$62:$J$66))&gt;=IF(Z1138="Yes",0,(Y1138+D1133)),"Succeeded","Failed"))))</f>
        <v xml:space="preserve"> </v>
      </c>
      <c r="AB1138" s="477" t="str">
        <f>IF(AA1138=" "," ",IF(NOT(ISBLANK(X1138)),VLOOKUP($D$3+X1138,Calcs!$A$110:$C$122,3,TRUE),IF(AA1138="Failed",VLOOKUP($D$3,Calcs!$A$110:$C$122,3,TRUE),VLOOKUP($D$3-(IF((Character!$B$9+W1138)&gt;($D$3+Y1138),(Character!$B$9+W1138)-($D$3+Y1138),0)),Calcs!$A$110:$C$122,3,TRUE))))</f>
        <v xml:space="preserve"> </v>
      </c>
      <c r="AC1138" s="489"/>
      <c r="AD1138" s="489" t="str">
        <f>IF(IF(AA1138=" "," ",IF(NOT(ISBLANK(X1138)),VLOOKUP($D$3+X1138,Calcs!$A$110:$B$122,2,TRUE),IF(AA1138="Failed",VLOOKUP($D$3,Calcs!$A$110:$B$122,2,TRUE),VLOOKUP($D$3-(IF((Character!$B$9+W1138)&gt;($D$3+Y1138),(Character!$B$9+W1138)-($D$3+Y1138),0)),Calcs!$A$110:$B$122,2,TRUE))))=Calcs!$B$120,IF(ISBLANK(AC1138)," ",CONCATENATE(AC1138+7," Years")),IF(AA1138=" "," ",IF(NOT(ISBLANK(X1138)),VLOOKUP($D$3+X1138,Calcs!$A$110:$B$122,2,TRUE),IF(AA1138="Failed",VLOOKUP($D$3,Calcs!$A$110:$B$122,2,TRUE),VLOOKUP($D$3-(IF((Character!$B$9+W1138)&gt;($D$3+Y1138),(Character!$B$9+W1138)-($D$3+Y1138),0)),Calcs!$A$110:$B$122,2,TRUE)))))</f>
        <v xml:space="preserve"> </v>
      </c>
      <c r="AE1138" s="490"/>
      <c r="AF1138" s="879"/>
      <c r="AG1138" s="491"/>
    </row>
    <row r="1139" spans="1:33" x14ac:dyDescent="0.2">
      <c r="A1139" s="415">
        <f t="shared" si="34"/>
        <v>1494</v>
      </c>
      <c r="B1139" s="419" t="str">
        <f t="shared" si="35"/>
        <v>Autumn</v>
      </c>
      <c r="C1139" s="455"/>
      <c r="D1139" s="504"/>
      <c r="E1139" s="455"/>
      <c r="F1139" s="504"/>
      <c r="G1139" s="455"/>
      <c r="H1139" s="504"/>
      <c r="I1139" s="455"/>
      <c r="J1139" s="504"/>
      <c r="L1139" s="472"/>
      <c r="M1139" s="468"/>
      <c r="N1139" s="468"/>
      <c r="O1139" s="468"/>
      <c r="P1139" s="468"/>
      <c r="Q1139" s="473"/>
      <c r="R1139" s="477" t="str">
        <f>IF(AND(COUNTIF('Start Character'!$I$63:$M$77,"Twilight Prone")=1,NOT(ISERROR(FIND("Magical Botch",M1139)))),"Yes",IF(P1139&gt;1,"Yes","No"))</f>
        <v>No</v>
      </c>
      <c r="S1139" s="501"/>
      <c r="T1139" s="478"/>
      <c r="U1139" s="501"/>
      <c r="V1139" s="479" t="str">
        <f>IF(R1139="No","No Twilight",IF(T1139="Yes","Uncomprehended Twilight",IF((Character!$B$14+IF(Character!$B$53="Yes",0,Character!$B$53)+IF(Magic!$C$5="Yes",2,0)+ROUNDUP((Magic!$B$30+IF(Magic!$C$30="Yes",3,0))/5,0)+S1139)&gt;=($D$3+P1139+SUMIF(Character!$I$62:$I$66,"Enigmatic Wisdom",Character!$J$62:$J$66)+Q1139+U1139),"No Twilight","Twilight")))</f>
        <v>No Twilight</v>
      </c>
      <c r="W1139" s="483"/>
      <c r="X1139" s="478"/>
      <c r="Y1139" s="484"/>
      <c r="Z1139" s="478"/>
      <c r="AA1139" s="485" t="str">
        <f>IF(V1139="Uncomprehended Twilight","Failed",IF(OR(ISBLANK(W1139),ISBLANK(Y1139))," ",IF(NOT(ISBLANK(X1139)),"Failed",IF((W1139+Character!$B$9+SUMIF(Character!$I$62:$I$66,"Enigmatic Wisdom",Character!$J$62:$J$66))&gt;=IF(Z1139="Yes",0,(Y1139+D1134)),"Succeeded","Failed"))))</f>
        <v xml:space="preserve"> </v>
      </c>
      <c r="AB1139" s="477" t="str">
        <f>IF(AA1139=" "," ",IF(NOT(ISBLANK(X1139)),VLOOKUP($D$3+X1139,Calcs!$A$110:$C$122,3,TRUE),IF(AA1139="Failed",VLOOKUP($D$3,Calcs!$A$110:$C$122,3,TRUE),VLOOKUP($D$3-(IF((Character!$B$9+W1139)&gt;($D$3+Y1139),(Character!$B$9+W1139)-($D$3+Y1139),0)),Calcs!$A$110:$C$122,3,TRUE))))</f>
        <v xml:space="preserve"> </v>
      </c>
      <c r="AC1139" s="489"/>
      <c r="AD1139" s="489" t="str">
        <f>IF(IF(AA1139=" "," ",IF(NOT(ISBLANK(X1139)),VLOOKUP($D$3+X1139,Calcs!$A$110:$B$122,2,TRUE),IF(AA1139="Failed",VLOOKUP($D$3,Calcs!$A$110:$B$122,2,TRUE),VLOOKUP($D$3-(IF((Character!$B$9+W1139)&gt;($D$3+Y1139),(Character!$B$9+W1139)-($D$3+Y1139),0)),Calcs!$A$110:$B$122,2,TRUE))))=Calcs!$B$120,IF(ISBLANK(AC1139)," ",CONCATENATE(AC1139+7," Years")),IF(AA1139=" "," ",IF(NOT(ISBLANK(X1139)),VLOOKUP($D$3+X1139,Calcs!$A$110:$B$122,2,TRUE),IF(AA1139="Failed",VLOOKUP($D$3,Calcs!$A$110:$B$122,2,TRUE),VLOOKUP($D$3-(IF((Character!$B$9+W1139)&gt;($D$3+Y1139),(Character!$B$9+W1139)-($D$3+Y1139),0)),Calcs!$A$110:$B$122,2,TRUE)))))</f>
        <v xml:space="preserve"> </v>
      </c>
      <c r="AE1139" s="490"/>
      <c r="AF1139" s="879"/>
      <c r="AG1139" s="491"/>
    </row>
    <row r="1140" spans="1:33" x14ac:dyDescent="0.2">
      <c r="A1140" s="415">
        <f t="shared" si="34"/>
        <v>1495</v>
      </c>
      <c r="B1140" s="419" t="str">
        <f t="shared" si="35"/>
        <v>Winter</v>
      </c>
      <c r="C1140" s="455"/>
      <c r="D1140" s="504"/>
      <c r="E1140" s="455"/>
      <c r="F1140" s="504"/>
      <c r="G1140" s="455"/>
      <c r="H1140" s="504"/>
      <c r="I1140" s="455"/>
      <c r="J1140" s="504"/>
      <c r="L1140" s="472"/>
      <c r="M1140" s="468"/>
      <c r="N1140" s="468"/>
      <c r="O1140" s="468"/>
      <c r="P1140" s="468"/>
      <c r="Q1140" s="473"/>
      <c r="R1140" s="477" t="str">
        <f>IF(AND(COUNTIF('Start Character'!$I$63:$M$77,"Twilight Prone")=1,NOT(ISERROR(FIND("Magical Botch",M1140)))),"Yes",IF(P1140&gt;1,"Yes","No"))</f>
        <v>No</v>
      </c>
      <c r="S1140" s="501"/>
      <c r="T1140" s="478"/>
      <c r="U1140" s="501"/>
      <c r="V1140" s="479" t="str">
        <f>IF(R1140="No","No Twilight",IF(T1140="Yes","Uncomprehended Twilight",IF((Character!$B$14+IF(Character!$B$53="Yes",0,Character!$B$53)+IF(Magic!$C$5="Yes",2,0)+ROUNDUP((Magic!$B$30+IF(Magic!$C$30="Yes",3,0))/5,0)+S1140)&gt;=($D$3+P1140+SUMIF(Character!$I$62:$I$66,"Enigmatic Wisdom",Character!$J$62:$J$66)+Q1140+U1140),"No Twilight","Twilight")))</f>
        <v>No Twilight</v>
      </c>
      <c r="W1140" s="483"/>
      <c r="X1140" s="478"/>
      <c r="Y1140" s="484"/>
      <c r="Z1140" s="478"/>
      <c r="AA1140" s="485" t="str">
        <f>IF(V1140="Uncomprehended Twilight","Failed",IF(OR(ISBLANK(W1140),ISBLANK(Y1140))," ",IF(NOT(ISBLANK(X1140)),"Failed",IF((W1140+Character!$B$9+SUMIF(Character!$I$62:$I$66,"Enigmatic Wisdom",Character!$J$62:$J$66))&gt;=IF(Z1140="Yes",0,(Y1140+D1135)),"Succeeded","Failed"))))</f>
        <v xml:space="preserve"> </v>
      </c>
      <c r="AB1140" s="477" t="str">
        <f>IF(AA1140=" "," ",IF(NOT(ISBLANK(X1140)),VLOOKUP($D$3+X1140,Calcs!$A$110:$C$122,3,TRUE),IF(AA1140="Failed",VLOOKUP($D$3,Calcs!$A$110:$C$122,3,TRUE),VLOOKUP($D$3-(IF((Character!$B$9+W1140)&gt;($D$3+Y1140),(Character!$B$9+W1140)-($D$3+Y1140),0)),Calcs!$A$110:$C$122,3,TRUE))))</f>
        <v xml:space="preserve"> </v>
      </c>
      <c r="AC1140" s="489"/>
      <c r="AD1140" s="489" t="str">
        <f>IF(IF(AA1140=" "," ",IF(NOT(ISBLANK(X1140)),VLOOKUP($D$3+X1140,Calcs!$A$110:$B$122,2,TRUE),IF(AA1140="Failed",VLOOKUP($D$3,Calcs!$A$110:$B$122,2,TRUE),VLOOKUP($D$3-(IF((Character!$B$9+W1140)&gt;($D$3+Y1140),(Character!$B$9+W1140)-($D$3+Y1140),0)),Calcs!$A$110:$B$122,2,TRUE))))=Calcs!$B$120,IF(ISBLANK(AC1140)," ",CONCATENATE(AC1140+7," Years")),IF(AA1140=" "," ",IF(NOT(ISBLANK(X1140)),VLOOKUP($D$3+X1140,Calcs!$A$110:$B$122,2,TRUE),IF(AA1140="Failed",VLOOKUP($D$3,Calcs!$A$110:$B$122,2,TRUE),VLOOKUP($D$3-(IF((Character!$B$9+W1140)&gt;($D$3+Y1140),(Character!$B$9+W1140)-($D$3+Y1140),0)),Calcs!$A$110:$B$122,2,TRUE)))))</f>
        <v xml:space="preserve"> </v>
      </c>
      <c r="AE1140" s="490"/>
      <c r="AF1140" s="879"/>
      <c r="AG1140" s="491"/>
    </row>
    <row r="1141" spans="1:33" x14ac:dyDescent="0.2">
      <c r="A1141" s="415">
        <f t="shared" si="34"/>
        <v>1495</v>
      </c>
      <c r="B1141" s="419" t="str">
        <f t="shared" si="35"/>
        <v>Spring</v>
      </c>
      <c r="C1141" s="455"/>
      <c r="D1141" s="504"/>
      <c r="E1141" s="455"/>
      <c r="F1141" s="504"/>
      <c r="G1141" s="455"/>
      <c r="H1141" s="504"/>
      <c r="I1141" s="455"/>
      <c r="J1141" s="504"/>
      <c r="L1141" s="472"/>
      <c r="M1141" s="468"/>
      <c r="N1141" s="468"/>
      <c r="O1141" s="468"/>
      <c r="P1141" s="468"/>
      <c r="Q1141" s="473"/>
      <c r="R1141" s="477" t="str">
        <f>IF(AND(COUNTIF('Start Character'!$I$63:$M$77,"Twilight Prone")=1,NOT(ISERROR(FIND("Magical Botch",M1141)))),"Yes",IF(P1141&gt;1,"Yes","No"))</f>
        <v>No</v>
      </c>
      <c r="S1141" s="501"/>
      <c r="T1141" s="478"/>
      <c r="U1141" s="501"/>
      <c r="V1141" s="479" t="str">
        <f>IF(R1141="No","No Twilight",IF(T1141="Yes","Uncomprehended Twilight",IF((Character!$B$14+IF(Character!$B$53="Yes",0,Character!$B$53)+IF(Magic!$C$5="Yes",2,0)+ROUNDUP((Magic!$B$30+IF(Magic!$C$30="Yes",3,0))/5,0)+S1141)&gt;=($D$3+P1141+SUMIF(Character!$I$62:$I$66,"Enigmatic Wisdom",Character!$J$62:$J$66)+Q1141+U1141),"No Twilight","Twilight")))</f>
        <v>No Twilight</v>
      </c>
      <c r="W1141" s="483"/>
      <c r="X1141" s="478"/>
      <c r="Y1141" s="484"/>
      <c r="Z1141" s="478"/>
      <c r="AA1141" s="485" t="str">
        <f>IF(V1141="Uncomprehended Twilight","Failed",IF(OR(ISBLANK(W1141),ISBLANK(Y1141))," ",IF(NOT(ISBLANK(X1141)),"Failed",IF((W1141+Character!$B$9+SUMIF(Character!$I$62:$I$66,"Enigmatic Wisdom",Character!$J$62:$J$66))&gt;=IF(Z1141="Yes",0,(Y1141+D1136)),"Succeeded","Failed"))))</f>
        <v xml:space="preserve"> </v>
      </c>
      <c r="AB1141" s="477" t="str">
        <f>IF(AA1141=" "," ",IF(NOT(ISBLANK(X1141)),VLOOKUP($D$3+X1141,Calcs!$A$110:$C$122,3,TRUE),IF(AA1141="Failed",VLOOKUP($D$3,Calcs!$A$110:$C$122,3,TRUE),VLOOKUP($D$3-(IF((Character!$B$9+W1141)&gt;($D$3+Y1141),(Character!$B$9+W1141)-($D$3+Y1141),0)),Calcs!$A$110:$C$122,3,TRUE))))</f>
        <v xml:space="preserve"> </v>
      </c>
      <c r="AC1141" s="489"/>
      <c r="AD1141" s="489" t="str">
        <f>IF(IF(AA1141=" "," ",IF(NOT(ISBLANK(X1141)),VLOOKUP($D$3+X1141,Calcs!$A$110:$B$122,2,TRUE),IF(AA1141="Failed",VLOOKUP($D$3,Calcs!$A$110:$B$122,2,TRUE),VLOOKUP($D$3-(IF((Character!$B$9+W1141)&gt;($D$3+Y1141),(Character!$B$9+W1141)-($D$3+Y1141),0)),Calcs!$A$110:$B$122,2,TRUE))))=Calcs!$B$120,IF(ISBLANK(AC1141)," ",CONCATENATE(AC1141+7," Years")),IF(AA1141=" "," ",IF(NOT(ISBLANK(X1141)),VLOOKUP($D$3+X1141,Calcs!$A$110:$B$122,2,TRUE),IF(AA1141="Failed",VLOOKUP($D$3,Calcs!$A$110:$B$122,2,TRUE),VLOOKUP($D$3-(IF((Character!$B$9+W1141)&gt;($D$3+Y1141),(Character!$B$9+W1141)-($D$3+Y1141),0)),Calcs!$A$110:$B$122,2,TRUE)))))</f>
        <v xml:space="preserve"> </v>
      </c>
      <c r="AE1141" s="490"/>
      <c r="AF1141" s="879"/>
      <c r="AG1141" s="491"/>
    </row>
    <row r="1142" spans="1:33" x14ac:dyDescent="0.2">
      <c r="A1142" s="415">
        <f t="shared" si="34"/>
        <v>1495</v>
      </c>
      <c r="B1142" s="419" t="str">
        <f t="shared" si="35"/>
        <v>Summer</v>
      </c>
      <c r="C1142" s="455"/>
      <c r="D1142" s="504"/>
      <c r="E1142" s="455"/>
      <c r="F1142" s="504"/>
      <c r="G1142" s="455"/>
      <c r="H1142" s="504"/>
      <c r="I1142" s="455"/>
      <c r="J1142" s="504"/>
      <c r="L1142" s="472"/>
      <c r="M1142" s="468"/>
      <c r="N1142" s="468"/>
      <c r="O1142" s="468"/>
      <c r="P1142" s="468"/>
      <c r="Q1142" s="473"/>
      <c r="R1142" s="477" t="str">
        <f>IF(AND(COUNTIF('Start Character'!$I$63:$M$77,"Twilight Prone")=1,NOT(ISERROR(FIND("Magical Botch",M1142)))),"Yes",IF(P1142&gt;1,"Yes","No"))</f>
        <v>No</v>
      </c>
      <c r="S1142" s="501"/>
      <c r="T1142" s="478"/>
      <c r="U1142" s="501"/>
      <c r="V1142" s="479" t="str">
        <f>IF(R1142="No","No Twilight",IF(T1142="Yes","Uncomprehended Twilight",IF((Character!$B$14+IF(Character!$B$53="Yes",0,Character!$B$53)+IF(Magic!$C$5="Yes",2,0)+ROUNDUP((Magic!$B$30+IF(Magic!$C$30="Yes",3,0))/5,0)+S1142)&gt;=($D$3+P1142+SUMIF(Character!$I$62:$I$66,"Enigmatic Wisdom",Character!$J$62:$J$66)+Q1142+U1142),"No Twilight","Twilight")))</f>
        <v>No Twilight</v>
      </c>
      <c r="W1142" s="483"/>
      <c r="X1142" s="478"/>
      <c r="Y1142" s="484"/>
      <c r="Z1142" s="478"/>
      <c r="AA1142" s="485" t="str">
        <f>IF(V1142="Uncomprehended Twilight","Failed",IF(OR(ISBLANK(W1142),ISBLANK(Y1142))," ",IF(NOT(ISBLANK(X1142)),"Failed",IF((W1142+Character!$B$9+SUMIF(Character!$I$62:$I$66,"Enigmatic Wisdom",Character!$J$62:$J$66))&gt;=IF(Z1142="Yes",0,(Y1142+D1137)),"Succeeded","Failed"))))</f>
        <v xml:space="preserve"> </v>
      </c>
      <c r="AB1142" s="477" t="str">
        <f>IF(AA1142=" "," ",IF(NOT(ISBLANK(X1142)),VLOOKUP($D$3+X1142,Calcs!$A$110:$C$122,3,TRUE),IF(AA1142="Failed",VLOOKUP($D$3,Calcs!$A$110:$C$122,3,TRUE),VLOOKUP($D$3-(IF((Character!$B$9+W1142)&gt;($D$3+Y1142),(Character!$B$9+W1142)-($D$3+Y1142),0)),Calcs!$A$110:$C$122,3,TRUE))))</f>
        <v xml:space="preserve"> </v>
      </c>
      <c r="AC1142" s="489"/>
      <c r="AD1142" s="489" t="str">
        <f>IF(IF(AA1142=" "," ",IF(NOT(ISBLANK(X1142)),VLOOKUP($D$3+X1142,Calcs!$A$110:$B$122,2,TRUE),IF(AA1142="Failed",VLOOKUP($D$3,Calcs!$A$110:$B$122,2,TRUE),VLOOKUP($D$3-(IF((Character!$B$9+W1142)&gt;($D$3+Y1142),(Character!$B$9+W1142)-($D$3+Y1142),0)),Calcs!$A$110:$B$122,2,TRUE))))=Calcs!$B$120,IF(ISBLANK(AC1142)," ",CONCATENATE(AC1142+7," Years")),IF(AA1142=" "," ",IF(NOT(ISBLANK(X1142)),VLOOKUP($D$3+X1142,Calcs!$A$110:$B$122,2,TRUE),IF(AA1142="Failed",VLOOKUP($D$3,Calcs!$A$110:$B$122,2,TRUE),VLOOKUP($D$3-(IF((Character!$B$9+W1142)&gt;($D$3+Y1142),(Character!$B$9+W1142)-($D$3+Y1142),0)),Calcs!$A$110:$B$122,2,TRUE)))))</f>
        <v xml:space="preserve"> </v>
      </c>
      <c r="AE1142" s="490"/>
      <c r="AF1142" s="879"/>
      <c r="AG1142" s="491"/>
    </row>
    <row r="1143" spans="1:33" x14ac:dyDescent="0.2">
      <c r="A1143" s="415">
        <f t="shared" si="34"/>
        <v>1495</v>
      </c>
      <c r="B1143" s="419" t="str">
        <f t="shared" si="35"/>
        <v>Autumn</v>
      </c>
      <c r="C1143" s="455"/>
      <c r="D1143" s="504"/>
      <c r="E1143" s="455"/>
      <c r="F1143" s="504"/>
      <c r="G1143" s="455"/>
      <c r="H1143" s="504"/>
      <c r="I1143" s="455"/>
      <c r="J1143" s="504"/>
      <c r="L1143" s="472"/>
      <c r="M1143" s="468"/>
      <c r="N1143" s="468"/>
      <c r="O1143" s="468"/>
      <c r="P1143" s="468"/>
      <c r="Q1143" s="473"/>
      <c r="R1143" s="477" t="str">
        <f>IF(AND(COUNTIF('Start Character'!$I$63:$M$77,"Twilight Prone")=1,NOT(ISERROR(FIND("Magical Botch",M1143)))),"Yes",IF(P1143&gt;1,"Yes","No"))</f>
        <v>No</v>
      </c>
      <c r="S1143" s="501"/>
      <c r="T1143" s="478"/>
      <c r="U1143" s="501"/>
      <c r="V1143" s="479" t="str">
        <f>IF(R1143="No","No Twilight",IF(T1143="Yes","Uncomprehended Twilight",IF((Character!$B$14+IF(Character!$B$53="Yes",0,Character!$B$53)+IF(Magic!$C$5="Yes",2,0)+ROUNDUP((Magic!$B$30+IF(Magic!$C$30="Yes",3,0))/5,0)+S1143)&gt;=($D$3+P1143+SUMIF(Character!$I$62:$I$66,"Enigmatic Wisdom",Character!$J$62:$J$66)+Q1143+U1143),"No Twilight","Twilight")))</f>
        <v>No Twilight</v>
      </c>
      <c r="W1143" s="483"/>
      <c r="X1143" s="478"/>
      <c r="Y1143" s="484"/>
      <c r="Z1143" s="478"/>
      <c r="AA1143" s="485" t="str">
        <f>IF(V1143="Uncomprehended Twilight","Failed",IF(OR(ISBLANK(W1143),ISBLANK(Y1143))," ",IF(NOT(ISBLANK(X1143)),"Failed",IF((W1143+Character!$B$9+SUMIF(Character!$I$62:$I$66,"Enigmatic Wisdom",Character!$J$62:$J$66))&gt;=IF(Z1143="Yes",0,(Y1143+D1138)),"Succeeded","Failed"))))</f>
        <v xml:space="preserve"> </v>
      </c>
      <c r="AB1143" s="477" t="str">
        <f>IF(AA1143=" "," ",IF(NOT(ISBLANK(X1143)),VLOOKUP($D$3+X1143,Calcs!$A$110:$C$122,3,TRUE),IF(AA1143="Failed",VLOOKUP($D$3,Calcs!$A$110:$C$122,3,TRUE),VLOOKUP($D$3-(IF((Character!$B$9+W1143)&gt;($D$3+Y1143),(Character!$B$9+W1143)-($D$3+Y1143),0)),Calcs!$A$110:$C$122,3,TRUE))))</f>
        <v xml:space="preserve"> </v>
      </c>
      <c r="AC1143" s="489"/>
      <c r="AD1143" s="489" t="str">
        <f>IF(IF(AA1143=" "," ",IF(NOT(ISBLANK(X1143)),VLOOKUP($D$3+X1143,Calcs!$A$110:$B$122,2,TRUE),IF(AA1143="Failed",VLOOKUP($D$3,Calcs!$A$110:$B$122,2,TRUE),VLOOKUP($D$3-(IF((Character!$B$9+W1143)&gt;($D$3+Y1143),(Character!$B$9+W1143)-($D$3+Y1143),0)),Calcs!$A$110:$B$122,2,TRUE))))=Calcs!$B$120,IF(ISBLANK(AC1143)," ",CONCATENATE(AC1143+7," Years")),IF(AA1143=" "," ",IF(NOT(ISBLANK(X1143)),VLOOKUP($D$3+X1143,Calcs!$A$110:$B$122,2,TRUE),IF(AA1143="Failed",VLOOKUP($D$3,Calcs!$A$110:$B$122,2,TRUE),VLOOKUP($D$3-(IF((Character!$B$9+W1143)&gt;($D$3+Y1143),(Character!$B$9+W1143)-($D$3+Y1143),0)),Calcs!$A$110:$B$122,2,TRUE)))))</f>
        <v xml:space="preserve"> </v>
      </c>
      <c r="AE1143" s="490"/>
      <c r="AF1143" s="879"/>
      <c r="AG1143" s="491"/>
    </row>
    <row r="1144" spans="1:33" x14ac:dyDescent="0.2">
      <c r="A1144" s="415">
        <f t="shared" si="34"/>
        <v>1496</v>
      </c>
      <c r="B1144" s="419" t="str">
        <f t="shared" si="35"/>
        <v>Winter</v>
      </c>
      <c r="C1144" s="455"/>
      <c r="D1144" s="504"/>
      <c r="E1144" s="455"/>
      <c r="F1144" s="504"/>
      <c r="G1144" s="455"/>
      <c r="H1144" s="504"/>
      <c r="I1144" s="455"/>
      <c r="J1144" s="504"/>
      <c r="L1144" s="472"/>
      <c r="M1144" s="468"/>
      <c r="N1144" s="468"/>
      <c r="O1144" s="468"/>
      <c r="P1144" s="468"/>
      <c r="Q1144" s="473"/>
      <c r="R1144" s="477" t="str">
        <f>IF(AND(COUNTIF('Start Character'!$I$63:$M$77,"Twilight Prone")=1,NOT(ISERROR(FIND("Magical Botch",M1144)))),"Yes",IF(P1144&gt;1,"Yes","No"))</f>
        <v>No</v>
      </c>
      <c r="S1144" s="501"/>
      <c r="T1144" s="478"/>
      <c r="U1144" s="501"/>
      <c r="V1144" s="479" t="str">
        <f>IF(R1144="No","No Twilight",IF(T1144="Yes","Uncomprehended Twilight",IF((Character!$B$14+IF(Character!$B$53="Yes",0,Character!$B$53)+IF(Magic!$C$5="Yes",2,0)+ROUNDUP((Magic!$B$30+IF(Magic!$C$30="Yes",3,0))/5,0)+S1144)&gt;=($D$3+P1144+SUMIF(Character!$I$62:$I$66,"Enigmatic Wisdom",Character!$J$62:$J$66)+Q1144+U1144),"No Twilight","Twilight")))</f>
        <v>No Twilight</v>
      </c>
      <c r="W1144" s="483"/>
      <c r="X1144" s="478"/>
      <c r="Y1144" s="484"/>
      <c r="Z1144" s="478"/>
      <c r="AA1144" s="485" t="str">
        <f>IF(V1144="Uncomprehended Twilight","Failed",IF(OR(ISBLANK(W1144),ISBLANK(Y1144))," ",IF(NOT(ISBLANK(X1144)),"Failed",IF((W1144+Character!$B$9+SUMIF(Character!$I$62:$I$66,"Enigmatic Wisdom",Character!$J$62:$J$66))&gt;=IF(Z1144="Yes",0,(Y1144+D1139)),"Succeeded","Failed"))))</f>
        <v xml:space="preserve"> </v>
      </c>
      <c r="AB1144" s="477" t="str">
        <f>IF(AA1144=" "," ",IF(NOT(ISBLANK(X1144)),VLOOKUP($D$3+X1144,Calcs!$A$110:$C$122,3,TRUE),IF(AA1144="Failed",VLOOKUP($D$3,Calcs!$A$110:$C$122,3,TRUE),VLOOKUP($D$3-(IF((Character!$B$9+W1144)&gt;($D$3+Y1144),(Character!$B$9+W1144)-($D$3+Y1144),0)),Calcs!$A$110:$C$122,3,TRUE))))</f>
        <v xml:space="preserve"> </v>
      </c>
      <c r="AC1144" s="489"/>
      <c r="AD1144" s="489" t="str">
        <f>IF(IF(AA1144=" "," ",IF(NOT(ISBLANK(X1144)),VLOOKUP($D$3+X1144,Calcs!$A$110:$B$122,2,TRUE),IF(AA1144="Failed",VLOOKUP($D$3,Calcs!$A$110:$B$122,2,TRUE),VLOOKUP($D$3-(IF((Character!$B$9+W1144)&gt;($D$3+Y1144),(Character!$B$9+W1144)-($D$3+Y1144),0)),Calcs!$A$110:$B$122,2,TRUE))))=Calcs!$B$120,IF(ISBLANK(AC1144)," ",CONCATENATE(AC1144+7," Years")),IF(AA1144=" "," ",IF(NOT(ISBLANK(X1144)),VLOOKUP($D$3+X1144,Calcs!$A$110:$B$122,2,TRUE),IF(AA1144="Failed",VLOOKUP($D$3,Calcs!$A$110:$B$122,2,TRUE),VLOOKUP($D$3-(IF((Character!$B$9+W1144)&gt;($D$3+Y1144),(Character!$B$9+W1144)-($D$3+Y1144),0)),Calcs!$A$110:$B$122,2,TRUE)))))</f>
        <v xml:space="preserve"> </v>
      </c>
      <c r="AE1144" s="490"/>
      <c r="AF1144" s="879"/>
      <c r="AG1144" s="491"/>
    </row>
    <row r="1145" spans="1:33" x14ac:dyDescent="0.2">
      <c r="A1145" s="415">
        <f t="shared" si="34"/>
        <v>1496</v>
      </c>
      <c r="B1145" s="419" t="str">
        <f t="shared" si="35"/>
        <v>Spring</v>
      </c>
      <c r="C1145" s="455"/>
      <c r="D1145" s="504"/>
      <c r="E1145" s="455"/>
      <c r="F1145" s="504"/>
      <c r="G1145" s="455"/>
      <c r="H1145" s="504"/>
      <c r="I1145" s="455"/>
      <c r="J1145" s="504"/>
      <c r="L1145" s="472"/>
      <c r="M1145" s="468"/>
      <c r="N1145" s="468"/>
      <c r="O1145" s="468"/>
      <c r="P1145" s="468"/>
      <c r="Q1145" s="473"/>
      <c r="R1145" s="477" t="str">
        <f>IF(AND(COUNTIF('Start Character'!$I$63:$M$77,"Twilight Prone")=1,NOT(ISERROR(FIND("Magical Botch",M1145)))),"Yes",IF(P1145&gt;1,"Yes","No"))</f>
        <v>No</v>
      </c>
      <c r="S1145" s="501"/>
      <c r="T1145" s="478"/>
      <c r="U1145" s="501"/>
      <c r="V1145" s="479" t="str">
        <f>IF(R1145="No","No Twilight",IF(T1145="Yes","Uncomprehended Twilight",IF((Character!$B$14+IF(Character!$B$53="Yes",0,Character!$B$53)+IF(Magic!$C$5="Yes",2,0)+ROUNDUP((Magic!$B$30+IF(Magic!$C$30="Yes",3,0))/5,0)+S1145)&gt;=($D$3+P1145+SUMIF(Character!$I$62:$I$66,"Enigmatic Wisdom",Character!$J$62:$J$66)+Q1145+U1145),"No Twilight","Twilight")))</f>
        <v>No Twilight</v>
      </c>
      <c r="W1145" s="483"/>
      <c r="X1145" s="478"/>
      <c r="Y1145" s="484"/>
      <c r="Z1145" s="478"/>
      <c r="AA1145" s="485" t="str">
        <f>IF(V1145="Uncomprehended Twilight","Failed",IF(OR(ISBLANK(W1145),ISBLANK(Y1145))," ",IF(NOT(ISBLANK(X1145)),"Failed",IF((W1145+Character!$B$9+SUMIF(Character!$I$62:$I$66,"Enigmatic Wisdom",Character!$J$62:$J$66))&gt;=IF(Z1145="Yes",0,(Y1145+D1140)),"Succeeded","Failed"))))</f>
        <v xml:space="preserve"> </v>
      </c>
      <c r="AB1145" s="477" t="str">
        <f>IF(AA1145=" "," ",IF(NOT(ISBLANK(X1145)),VLOOKUP($D$3+X1145,Calcs!$A$110:$C$122,3,TRUE),IF(AA1145="Failed",VLOOKUP($D$3,Calcs!$A$110:$C$122,3,TRUE),VLOOKUP($D$3-(IF((Character!$B$9+W1145)&gt;($D$3+Y1145),(Character!$B$9+W1145)-($D$3+Y1145),0)),Calcs!$A$110:$C$122,3,TRUE))))</f>
        <v xml:space="preserve"> </v>
      </c>
      <c r="AC1145" s="489"/>
      <c r="AD1145" s="489" t="str">
        <f>IF(IF(AA1145=" "," ",IF(NOT(ISBLANK(X1145)),VLOOKUP($D$3+X1145,Calcs!$A$110:$B$122,2,TRUE),IF(AA1145="Failed",VLOOKUP($D$3,Calcs!$A$110:$B$122,2,TRUE),VLOOKUP($D$3-(IF((Character!$B$9+W1145)&gt;($D$3+Y1145),(Character!$B$9+W1145)-($D$3+Y1145),0)),Calcs!$A$110:$B$122,2,TRUE))))=Calcs!$B$120,IF(ISBLANK(AC1145)," ",CONCATENATE(AC1145+7," Years")),IF(AA1145=" "," ",IF(NOT(ISBLANK(X1145)),VLOOKUP($D$3+X1145,Calcs!$A$110:$B$122,2,TRUE),IF(AA1145="Failed",VLOOKUP($D$3,Calcs!$A$110:$B$122,2,TRUE),VLOOKUP($D$3-(IF((Character!$B$9+W1145)&gt;($D$3+Y1145),(Character!$B$9+W1145)-($D$3+Y1145),0)),Calcs!$A$110:$B$122,2,TRUE)))))</f>
        <v xml:space="preserve"> </v>
      </c>
      <c r="AE1145" s="490"/>
      <c r="AF1145" s="879"/>
      <c r="AG1145" s="491"/>
    </row>
    <row r="1146" spans="1:33" x14ac:dyDescent="0.2">
      <c r="A1146" s="415">
        <f t="shared" si="34"/>
        <v>1496</v>
      </c>
      <c r="B1146" s="419" t="str">
        <f t="shared" si="35"/>
        <v>Summer</v>
      </c>
      <c r="C1146" s="455"/>
      <c r="D1146" s="504"/>
      <c r="E1146" s="455"/>
      <c r="F1146" s="504"/>
      <c r="G1146" s="455"/>
      <c r="H1146" s="504"/>
      <c r="I1146" s="455"/>
      <c r="J1146" s="504"/>
      <c r="L1146" s="472"/>
      <c r="M1146" s="468"/>
      <c r="N1146" s="468"/>
      <c r="O1146" s="468"/>
      <c r="P1146" s="468"/>
      <c r="Q1146" s="473"/>
      <c r="R1146" s="477" t="str">
        <f>IF(AND(COUNTIF('Start Character'!$I$63:$M$77,"Twilight Prone")=1,NOT(ISERROR(FIND("Magical Botch",M1146)))),"Yes",IF(P1146&gt;1,"Yes","No"))</f>
        <v>No</v>
      </c>
      <c r="S1146" s="501"/>
      <c r="T1146" s="478"/>
      <c r="U1146" s="501"/>
      <c r="V1146" s="479" t="str">
        <f>IF(R1146="No","No Twilight",IF(T1146="Yes","Uncomprehended Twilight",IF((Character!$B$14+IF(Character!$B$53="Yes",0,Character!$B$53)+IF(Magic!$C$5="Yes",2,0)+ROUNDUP((Magic!$B$30+IF(Magic!$C$30="Yes",3,0))/5,0)+S1146)&gt;=($D$3+P1146+SUMIF(Character!$I$62:$I$66,"Enigmatic Wisdom",Character!$J$62:$J$66)+Q1146+U1146),"No Twilight","Twilight")))</f>
        <v>No Twilight</v>
      </c>
      <c r="W1146" s="483"/>
      <c r="X1146" s="478"/>
      <c r="Y1146" s="484"/>
      <c r="Z1146" s="478"/>
      <c r="AA1146" s="485" t="str">
        <f>IF(V1146="Uncomprehended Twilight","Failed",IF(OR(ISBLANK(W1146),ISBLANK(Y1146))," ",IF(NOT(ISBLANK(X1146)),"Failed",IF((W1146+Character!$B$9+SUMIF(Character!$I$62:$I$66,"Enigmatic Wisdom",Character!$J$62:$J$66))&gt;=IF(Z1146="Yes",0,(Y1146+D1141)),"Succeeded","Failed"))))</f>
        <v xml:space="preserve"> </v>
      </c>
      <c r="AB1146" s="477" t="str">
        <f>IF(AA1146=" "," ",IF(NOT(ISBLANK(X1146)),VLOOKUP($D$3+X1146,Calcs!$A$110:$C$122,3,TRUE),IF(AA1146="Failed",VLOOKUP($D$3,Calcs!$A$110:$C$122,3,TRUE),VLOOKUP($D$3-(IF((Character!$B$9+W1146)&gt;($D$3+Y1146),(Character!$B$9+W1146)-($D$3+Y1146),0)),Calcs!$A$110:$C$122,3,TRUE))))</f>
        <v xml:space="preserve"> </v>
      </c>
      <c r="AC1146" s="489"/>
      <c r="AD1146" s="489" t="str">
        <f>IF(IF(AA1146=" "," ",IF(NOT(ISBLANK(X1146)),VLOOKUP($D$3+X1146,Calcs!$A$110:$B$122,2,TRUE),IF(AA1146="Failed",VLOOKUP($D$3,Calcs!$A$110:$B$122,2,TRUE),VLOOKUP($D$3-(IF((Character!$B$9+W1146)&gt;($D$3+Y1146),(Character!$B$9+W1146)-($D$3+Y1146),0)),Calcs!$A$110:$B$122,2,TRUE))))=Calcs!$B$120,IF(ISBLANK(AC1146)," ",CONCATENATE(AC1146+7," Years")),IF(AA1146=" "," ",IF(NOT(ISBLANK(X1146)),VLOOKUP($D$3+X1146,Calcs!$A$110:$B$122,2,TRUE),IF(AA1146="Failed",VLOOKUP($D$3,Calcs!$A$110:$B$122,2,TRUE),VLOOKUP($D$3-(IF((Character!$B$9+W1146)&gt;($D$3+Y1146),(Character!$B$9+W1146)-($D$3+Y1146),0)),Calcs!$A$110:$B$122,2,TRUE)))))</f>
        <v xml:space="preserve"> </v>
      </c>
      <c r="AE1146" s="490"/>
      <c r="AF1146" s="879"/>
      <c r="AG1146" s="491"/>
    </row>
    <row r="1147" spans="1:33" x14ac:dyDescent="0.2">
      <c r="A1147" s="415">
        <f t="shared" si="34"/>
        <v>1496</v>
      </c>
      <c r="B1147" s="419" t="str">
        <f t="shared" si="35"/>
        <v>Autumn</v>
      </c>
      <c r="C1147" s="455"/>
      <c r="D1147" s="504"/>
      <c r="E1147" s="455"/>
      <c r="F1147" s="504"/>
      <c r="G1147" s="455"/>
      <c r="H1147" s="504"/>
      <c r="I1147" s="455"/>
      <c r="J1147" s="504"/>
      <c r="L1147" s="472"/>
      <c r="M1147" s="468"/>
      <c r="N1147" s="468"/>
      <c r="O1147" s="468"/>
      <c r="P1147" s="468"/>
      <c r="Q1147" s="473"/>
      <c r="R1147" s="477" t="str">
        <f>IF(AND(COUNTIF('Start Character'!$I$63:$M$77,"Twilight Prone")=1,NOT(ISERROR(FIND("Magical Botch",M1147)))),"Yes",IF(P1147&gt;1,"Yes","No"))</f>
        <v>No</v>
      </c>
      <c r="S1147" s="501"/>
      <c r="T1147" s="478"/>
      <c r="U1147" s="501"/>
      <c r="V1147" s="479" t="str">
        <f>IF(R1147="No","No Twilight",IF(T1147="Yes","Uncomprehended Twilight",IF((Character!$B$14+IF(Character!$B$53="Yes",0,Character!$B$53)+IF(Magic!$C$5="Yes",2,0)+ROUNDUP((Magic!$B$30+IF(Magic!$C$30="Yes",3,0))/5,0)+S1147)&gt;=($D$3+P1147+SUMIF(Character!$I$62:$I$66,"Enigmatic Wisdom",Character!$J$62:$J$66)+Q1147+U1147),"No Twilight","Twilight")))</f>
        <v>No Twilight</v>
      </c>
      <c r="W1147" s="483"/>
      <c r="X1147" s="478"/>
      <c r="Y1147" s="484"/>
      <c r="Z1147" s="478"/>
      <c r="AA1147" s="485" t="str">
        <f>IF(V1147="Uncomprehended Twilight","Failed",IF(OR(ISBLANK(W1147),ISBLANK(Y1147))," ",IF(NOT(ISBLANK(X1147)),"Failed",IF((W1147+Character!$B$9+SUMIF(Character!$I$62:$I$66,"Enigmatic Wisdom",Character!$J$62:$J$66))&gt;=IF(Z1147="Yes",0,(Y1147+D1142)),"Succeeded","Failed"))))</f>
        <v xml:space="preserve"> </v>
      </c>
      <c r="AB1147" s="477" t="str">
        <f>IF(AA1147=" "," ",IF(NOT(ISBLANK(X1147)),VLOOKUP($D$3+X1147,Calcs!$A$110:$C$122,3,TRUE),IF(AA1147="Failed",VLOOKUP($D$3,Calcs!$A$110:$C$122,3,TRUE),VLOOKUP($D$3-(IF((Character!$B$9+W1147)&gt;($D$3+Y1147),(Character!$B$9+W1147)-($D$3+Y1147),0)),Calcs!$A$110:$C$122,3,TRUE))))</f>
        <v xml:space="preserve"> </v>
      </c>
      <c r="AC1147" s="489"/>
      <c r="AD1147" s="489" t="str">
        <f>IF(IF(AA1147=" "," ",IF(NOT(ISBLANK(X1147)),VLOOKUP($D$3+X1147,Calcs!$A$110:$B$122,2,TRUE),IF(AA1147="Failed",VLOOKUP($D$3,Calcs!$A$110:$B$122,2,TRUE),VLOOKUP($D$3-(IF((Character!$B$9+W1147)&gt;($D$3+Y1147),(Character!$B$9+W1147)-($D$3+Y1147),0)),Calcs!$A$110:$B$122,2,TRUE))))=Calcs!$B$120,IF(ISBLANK(AC1147)," ",CONCATENATE(AC1147+7," Years")),IF(AA1147=" "," ",IF(NOT(ISBLANK(X1147)),VLOOKUP($D$3+X1147,Calcs!$A$110:$B$122,2,TRUE),IF(AA1147="Failed",VLOOKUP($D$3,Calcs!$A$110:$B$122,2,TRUE),VLOOKUP($D$3-(IF((Character!$B$9+W1147)&gt;($D$3+Y1147),(Character!$B$9+W1147)-($D$3+Y1147),0)),Calcs!$A$110:$B$122,2,TRUE)))))</f>
        <v xml:space="preserve"> </v>
      </c>
      <c r="AE1147" s="490"/>
      <c r="AF1147" s="879"/>
      <c r="AG1147" s="491"/>
    </row>
    <row r="1148" spans="1:33" x14ac:dyDescent="0.2">
      <c r="A1148" s="415">
        <f t="shared" si="34"/>
        <v>1497</v>
      </c>
      <c r="B1148" s="419" t="str">
        <f t="shared" si="35"/>
        <v>Winter</v>
      </c>
      <c r="C1148" s="455"/>
      <c r="D1148" s="504"/>
      <c r="E1148" s="455"/>
      <c r="F1148" s="504"/>
      <c r="G1148" s="455"/>
      <c r="H1148" s="504"/>
      <c r="I1148" s="455"/>
      <c r="J1148" s="504"/>
      <c r="L1148" s="472"/>
      <c r="M1148" s="468"/>
      <c r="N1148" s="468"/>
      <c r="O1148" s="468"/>
      <c r="P1148" s="468"/>
      <c r="Q1148" s="473"/>
      <c r="R1148" s="477" t="str">
        <f>IF(AND(COUNTIF('Start Character'!$I$63:$M$77,"Twilight Prone")=1,NOT(ISERROR(FIND("Magical Botch",M1148)))),"Yes",IF(P1148&gt;1,"Yes","No"))</f>
        <v>No</v>
      </c>
      <c r="S1148" s="501"/>
      <c r="T1148" s="478"/>
      <c r="U1148" s="501"/>
      <c r="V1148" s="479" t="str">
        <f>IF(R1148="No","No Twilight",IF(T1148="Yes","Uncomprehended Twilight",IF((Character!$B$14+IF(Character!$B$53="Yes",0,Character!$B$53)+IF(Magic!$C$5="Yes",2,0)+ROUNDUP((Magic!$B$30+IF(Magic!$C$30="Yes",3,0))/5,0)+S1148)&gt;=($D$3+P1148+SUMIF(Character!$I$62:$I$66,"Enigmatic Wisdom",Character!$J$62:$J$66)+Q1148+U1148),"No Twilight","Twilight")))</f>
        <v>No Twilight</v>
      </c>
      <c r="W1148" s="483"/>
      <c r="X1148" s="478"/>
      <c r="Y1148" s="484"/>
      <c r="Z1148" s="478"/>
      <c r="AA1148" s="485" t="str">
        <f>IF(V1148="Uncomprehended Twilight","Failed",IF(OR(ISBLANK(W1148),ISBLANK(Y1148))," ",IF(NOT(ISBLANK(X1148)),"Failed",IF((W1148+Character!$B$9+SUMIF(Character!$I$62:$I$66,"Enigmatic Wisdom",Character!$J$62:$J$66))&gt;=IF(Z1148="Yes",0,(Y1148+D1143)),"Succeeded","Failed"))))</f>
        <v xml:space="preserve"> </v>
      </c>
      <c r="AB1148" s="477" t="str">
        <f>IF(AA1148=" "," ",IF(NOT(ISBLANK(X1148)),VLOOKUP($D$3+X1148,Calcs!$A$110:$C$122,3,TRUE),IF(AA1148="Failed",VLOOKUP($D$3,Calcs!$A$110:$C$122,3,TRUE),VLOOKUP($D$3-(IF((Character!$B$9+W1148)&gt;($D$3+Y1148),(Character!$B$9+W1148)-($D$3+Y1148),0)),Calcs!$A$110:$C$122,3,TRUE))))</f>
        <v xml:space="preserve"> </v>
      </c>
      <c r="AC1148" s="489"/>
      <c r="AD1148" s="489" t="str">
        <f>IF(IF(AA1148=" "," ",IF(NOT(ISBLANK(X1148)),VLOOKUP($D$3+X1148,Calcs!$A$110:$B$122,2,TRUE),IF(AA1148="Failed",VLOOKUP($D$3,Calcs!$A$110:$B$122,2,TRUE),VLOOKUP($D$3-(IF((Character!$B$9+W1148)&gt;($D$3+Y1148),(Character!$B$9+W1148)-($D$3+Y1148),0)),Calcs!$A$110:$B$122,2,TRUE))))=Calcs!$B$120,IF(ISBLANK(AC1148)," ",CONCATENATE(AC1148+7," Years")),IF(AA1148=" "," ",IF(NOT(ISBLANK(X1148)),VLOOKUP($D$3+X1148,Calcs!$A$110:$B$122,2,TRUE),IF(AA1148="Failed",VLOOKUP($D$3,Calcs!$A$110:$B$122,2,TRUE),VLOOKUP($D$3-(IF((Character!$B$9+W1148)&gt;($D$3+Y1148),(Character!$B$9+W1148)-($D$3+Y1148),0)),Calcs!$A$110:$B$122,2,TRUE)))))</f>
        <v xml:space="preserve"> </v>
      </c>
      <c r="AE1148" s="490"/>
      <c r="AF1148" s="879"/>
      <c r="AG1148" s="491"/>
    </row>
    <row r="1149" spans="1:33" x14ac:dyDescent="0.2">
      <c r="A1149" s="415">
        <f t="shared" si="34"/>
        <v>1497</v>
      </c>
      <c r="B1149" s="419" t="str">
        <f t="shared" si="35"/>
        <v>Spring</v>
      </c>
      <c r="C1149" s="455"/>
      <c r="D1149" s="504"/>
      <c r="E1149" s="455"/>
      <c r="F1149" s="504"/>
      <c r="G1149" s="455"/>
      <c r="H1149" s="504"/>
      <c r="I1149" s="455"/>
      <c r="J1149" s="504"/>
      <c r="L1149" s="472"/>
      <c r="M1149" s="468"/>
      <c r="N1149" s="468"/>
      <c r="O1149" s="468"/>
      <c r="P1149" s="468"/>
      <c r="Q1149" s="473"/>
      <c r="R1149" s="477" t="str">
        <f>IF(AND(COUNTIF('Start Character'!$I$63:$M$77,"Twilight Prone")=1,NOT(ISERROR(FIND("Magical Botch",M1149)))),"Yes",IF(P1149&gt;1,"Yes","No"))</f>
        <v>No</v>
      </c>
      <c r="S1149" s="501"/>
      <c r="T1149" s="478"/>
      <c r="U1149" s="501"/>
      <c r="V1149" s="479" t="str">
        <f>IF(R1149="No","No Twilight",IF(T1149="Yes","Uncomprehended Twilight",IF((Character!$B$14+IF(Character!$B$53="Yes",0,Character!$B$53)+IF(Magic!$C$5="Yes",2,0)+ROUNDUP((Magic!$B$30+IF(Magic!$C$30="Yes",3,0))/5,0)+S1149)&gt;=($D$3+P1149+SUMIF(Character!$I$62:$I$66,"Enigmatic Wisdom",Character!$J$62:$J$66)+Q1149+U1149),"No Twilight","Twilight")))</f>
        <v>No Twilight</v>
      </c>
      <c r="W1149" s="483"/>
      <c r="X1149" s="478"/>
      <c r="Y1149" s="484"/>
      <c r="Z1149" s="478"/>
      <c r="AA1149" s="485" t="str">
        <f>IF(V1149="Uncomprehended Twilight","Failed",IF(OR(ISBLANK(W1149),ISBLANK(Y1149))," ",IF(NOT(ISBLANK(X1149)),"Failed",IF((W1149+Character!$B$9+SUMIF(Character!$I$62:$I$66,"Enigmatic Wisdom",Character!$J$62:$J$66))&gt;=IF(Z1149="Yes",0,(Y1149+D1144)),"Succeeded","Failed"))))</f>
        <v xml:space="preserve"> </v>
      </c>
      <c r="AB1149" s="477" t="str">
        <f>IF(AA1149=" "," ",IF(NOT(ISBLANK(X1149)),VLOOKUP($D$3+X1149,Calcs!$A$110:$C$122,3,TRUE),IF(AA1149="Failed",VLOOKUP($D$3,Calcs!$A$110:$C$122,3,TRUE),VLOOKUP($D$3-(IF((Character!$B$9+W1149)&gt;($D$3+Y1149),(Character!$B$9+W1149)-($D$3+Y1149),0)),Calcs!$A$110:$C$122,3,TRUE))))</f>
        <v xml:space="preserve"> </v>
      </c>
      <c r="AC1149" s="489"/>
      <c r="AD1149" s="489" t="str">
        <f>IF(IF(AA1149=" "," ",IF(NOT(ISBLANK(X1149)),VLOOKUP($D$3+X1149,Calcs!$A$110:$B$122,2,TRUE),IF(AA1149="Failed",VLOOKUP($D$3,Calcs!$A$110:$B$122,2,TRUE),VLOOKUP($D$3-(IF((Character!$B$9+W1149)&gt;($D$3+Y1149),(Character!$B$9+W1149)-($D$3+Y1149),0)),Calcs!$A$110:$B$122,2,TRUE))))=Calcs!$B$120,IF(ISBLANK(AC1149)," ",CONCATENATE(AC1149+7," Years")),IF(AA1149=" "," ",IF(NOT(ISBLANK(X1149)),VLOOKUP($D$3+X1149,Calcs!$A$110:$B$122,2,TRUE),IF(AA1149="Failed",VLOOKUP($D$3,Calcs!$A$110:$B$122,2,TRUE),VLOOKUP($D$3-(IF((Character!$B$9+W1149)&gt;($D$3+Y1149),(Character!$B$9+W1149)-($D$3+Y1149),0)),Calcs!$A$110:$B$122,2,TRUE)))))</f>
        <v xml:space="preserve"> </v>
      </c>
      <c r="AE1149" s="490"/>
      <c r="AF1149" s="879"/>
      <c r="AG1149" s="491"/>
    </row>
    <row r="1150" spans="1:33" x14ac:dyDescent="0.2">
      <c r="A1150" s="415">
        <f t="shared" si="34"/>
        <v>1497</v>
      </c>
      <c r="B1150" s="419" t="str">
        <f t="shared" si="35"/>
        <v>Summer</v>
      </c>
      <c r="C1150" s="455"/>
      <c r="D1150" s="504"/>
      <c r="E1150" s="455"/>
      <c r="F1150" s="504"/>
      <c r="G1150" s="455"/>
      <c r="H1150" s="504"/>
      <c r="I1150" s="455"/>
      <c r="J1150" s="504"/>
      <c r="L1150" s="472"/>
      <c r="M1150" s="468"/>
      <c r="N1150" s="468"/>
      <c r="O1150" s="468"/>
      <c r="P1150" s="468"/>
      <c r="Q1150" s="473"/>
      <c r="R1150" s="477" t="str">
        <f>IF(AND(COUNTIF('Start Character'!$I$63:$M$77,"Twilight Prone")=1,NOT(ISERROR(FIND("Magical Botch",M1150)))),"Yes",IF(P1150&gt;1,"Yes","No"))</f>
        <v>No</v>
      </c>
      <c r="S1150" s="501"/>
      <c r="T1150" s="478"/>
      <c r="U1150" s="501"/>
      <c r="V1150" s="479" t="str">
        <f>IF(R1150="No","No Twilight",IF(T1150="Yes","Uncomprehended Twilight",IF((Character!$B$14+IF(Character!$B$53="Yes",0,Character!$B$53)+IF(Magic!$C$5="Yes",2,0)+ROUNDUP((Magic!$B$30+IF(Magic!$C$30="Yes",3,0))/5,0)+S1150)&gt;=($D$3+P1150+SUMIF(Character!$I$62:$I$66,"Enigmatic Wisdom",Character!$J$62:$J$66)+Q1150+U1150),"No Twilight","Twilight")))</f>
        <v>No Twilight</v>
      </c>
      <c r="W1150" s="483"/>
      <c r="X1150" s="478"/>
      <c r="Y1150" s="484"/>
      <c r="Z1150" s="478"/>
      <c r="AA1150" s="485" t="str">
        <f>IF(V1150="Uncomprehended Twilight","Failed",IF(OR(ISBLANK(W1150),ISBLANK(Y1150))," ",IF(NOT(ISBLANK(X1150)),"Failed",IF((W1150+Character!$B$9+SUMIF(Character!$I$62:$I$66,"Enigmatic Wisdom",Character!$J$62:$J$66))&gt;=IF(Z1150="Yes",0,(Y1150+D1145)),"Succeeded","Failed"))))</f>
        <v xml:space="preserve"> </v>
      </c>
      <c r="AB1150" s="477" t="str">
        <f>IF(AA1150=" "," ",IF(NOT(ISBLANK(X1150)),VLOOKUP($D$3+X1150,Calcs!$A$110:$C$122,3,TRUE),IF(AA1150="Failed",VLOOKUP($D$3,Calcs!$A$110:$C$122,3,TRUE),VLOOKUP($D$3-(IF((Character!$B$9+W1150)&gt;($D$3+Y1150),(Character!$B$9+W1150)-($D$3+Y1150),0)),Calcs!$A$110:$C$122,3,TRUE))))</f>
        <v xml:space="preserve"> </v>
      </c>
      <c r="AC1150" s="489"/>
      <c r="AD1150" s="489" t="str">
        <f>IF(IF(AA1150=" "," ",IF(NOT(ISBLANK(X1150)),VLOOKUP($D$3+X1150,Calcs!$A$110:$B$122,2,TRUE),IF(AA1150="Failed",VLOOKUP($D$3,Calcs!$A$110:$B$122,2,TRUE),VLOOKUP($D$3-(IF((Character!$B$9+W1150)&gt;($D$3+Y1150),(Character!$B$9+W1150)-($D$3+Y1150),0)),Calcs!$A$110:$B$122,2,TRUE))))=Calcs!$B$120,IF(ISBLANK(AC1150)," ",CONCATENATE(AC1150+7," Years")),IF(AA1150=" "," ",IF(NOT(ISBLANK(X1150)),VLOOKUP($D$3+X1150,Calcs!$A$110:$B$122,2,TRUE),IF(AA1150="Failed",VLOOKUP($D$3,Calcs!$A$110:$B$122,2,TRUE),VLOOKUP($D$3-(IF((Character!$B$9+W1150)&gt;($D$3+Y1150),(Character!$B$9+W1150)-($D$3+Y1150),0)),Calcs!$A$110:$B$122,2,TRUE)))))</f>
        <v xml:space="preserve"> </v>
      </c>
      <c r="AE1150" s="490"/>
      <c r="AF1150" s="879"/>
      <c r="AG1150" s="491"/>
    </row>
    <row r="1151" spans="1:33" x14ac:dyDescent="0.2">
      <c r="A1151" s="415">
        <f t="shared" si="34"/>
        <v>1497</v>
      </c>
      <c r="B1151" s="419" t="str">
        <f t="shared" si="35"/>
        <v>Autumn</v>
      </c>
      <c r="C1151" s="455"/>
      <c r="D1151" s="504"/>
      <c r="E1151" s="455"/>
      <c r="F1151" s="504"/>
      <c r="G1151" s="455"/>
      <c r="H1151" s="504"/>
      <c r="I1151" s="455"/>
      <c r="J1151" s="504"/>
      <c r="L1151" s="472"/>
      <c r="M1151" s="468"/>
      <c r="N1151" s="468"/>
      <c r="O1151" s="468"/>
      <c r="P1151" s="468"/>
      <c r="Q1151" s="473"/>
      <c r="R1151" s="477" t="str">
        <f>IF(AND(COUNTIF('Start Character'!$I$63:$M$77,"Twilight Prone")=1,NOT(ISERROR(FIND("Magical Botch",M1151)))),"Yes",IF(P1151&gt;1,"Yes","No"))</f>
        <v>No</v>
      </c>
      <c r="S1151" s="501"/>
      <c r="T1151" s="478"/>
      <c r="U1151" s="501"/>
      <c r="V1151" s="479" t="str">
        <f>IF(R1151="No","No Twilight",IF(T1151="Yes","Uncomprehended Twilight",IF((Character!$B$14+IF(Character!$B$53="Yes",0,Character!$B$53)+IF(Magic!$C$5="Yes",2,0)+ROUNDUP((Magic!$B$30+IF(Magic!$C$30="Yes",3,0))/5,0)+S1151)&gt;=($D$3+P1151+SUMIF(Character!$I$62:$I$66,"Enigmatic Wisdom",Character!$J$62:$J$66)+Q1151+U1151),"No Twilight","Twilight")))</f>
        <v>No Twilight</v>
      </c>
      <c r="W1151" s="483"/>
      <c r="X1151" s="478"/>
      <c r="Y1151" s="484"/>
      <c r="Z1151" s="478"/>
      <c r="AA1151" s="485" t="str">
        <f>IF(V1151="Uncomprehended Twilight","Failed",IF(OR(ISBLANK(W1151),ISBLANK(Y1151))," ",IF(NOT(ISBLANK(X1151)),"Failed",IF((W1151+Character!$B$9+SUMIF(Character!$I$62:$I$66,"Enigmatic Wisdom",Character!$J$62:$J$66))&gt;=IF(Z1151="Yes",0,(Y1151+D1146)),"Succeeded","Failed"))))</f>
        <v xml:space="preserve"> </v>
      </c>
      <c r="AB1151" s="477" t="str">
        <f>IF(AA1151=" "," ",IF(NOT(ISBLANK(X1151)),VLOOKUP($D$3+X1151,Calcs!$A$110:$C$122,3,TRUE),IF(AA1151="Failed",VLOOKUP($D$3,Calcs!$A$110:$C$122,3,TRUE),VLOOKUP($D$3-(IF((Character!$B$9+W1151)&gt;($D$3+Y1151),(Character!$B$9+W1151)-($D$3+Y1151),0)),Calcs!$A$110:$C$122,3,TRUE))))</f>
        <v xml:space="preserve"> </v>
      </c>
      <c r="AC1151" s="489"/>
      <c r="AD1151" s="489" t="str">
        <f>IF(IF(AA1151=" "," ",IF(NOT(ISBLANK(X1151)),VLOOKUP($D$3+X1151,Calcs!$A$110:$B$122,2,TRUE),IF(AA1151="Failed",VLOOKUP($D$3,Calcs!$A$110:$B$122,2,TRUE),VLOOKUP($D$3-(IF((Character!$B$9+W1151)&gt;($D$3+Y1151),(Character!$B$9+W1151)-($D$3+Y1151),0)),Calcs!$A$110:$B$122,2,TRUE))))=Calcs!$B$120,IF(ISBLANK(AC1151)," ",CONCATENATE(AC1151+7," Years")),IF(AA1151=" "," ",IF(NOT(ISBLANK(X1151)),VLOOKUP($D$3+X1151,Calcs!$A$110:$B$122,2,TRUE),IF(AA1151="Failed",VLOOKUP($D$3,Calcs!$A$110:$B$122,2,TRUE),VLOOKUP($D$3-(IF((Character!$B$9+W1151)&gt;($D$3+Y1151),(Character!$B$9+W1151)-($D$3+Y1151),0)),Calcs!$A$110:$B$122,2,TRUE)))))</f>
        <v xml:space="preserve"> </v>
      </c>
      <c r="AE1151" s="490"/>
      <c r="AF1151" s="879"/>
      <c r="AG1151" s="491"/>
    </row>
    <row r="1152" spans="1:33" x14ac:dyDescent="0.2">
      <c r="A1152" s="415">
        <f t="shared" si="34"/>
        <v>1498</v>
      </c>
      <c r="B1152" s="419" t="str">
        <f t="shared" si="35"/>
        <v>Winter</v>
      </c>
      <c r="C1152" s="455"/>
      <c r="D1152" s="504"/>
      <c r="E1152" s="455"/>
      <c r="F1152" s="504"/>
      <c r="G1152" s="455"/>
      <c r="H1152" s="504"/>
      <c r="I1152" s="455"/>
      <c r="J1152" s="504"/>
      <c r="L1152" s="472"/>
      <c r="M1152" s="468"/>
      <c r="N1152" s="468"/>
      <c r="O1152" s="468"/>
      <c r="P1152" s="468"/>
      <c r="Q1152" s="473"/>
      <c r="R1152" s="477" t="str">
        <f>IF(AND(COUNTIF('Start Character'!$I$63:$M$77,"Twilight Prone")=1,NOT(ISERROR(FIND("Magical Botch",M1152)))),"Yes",IF(P1152&gt;1,"Yes","No"))</f>
        <v>No</v>
      </c>
      <c r="S1152" s="501"/>
      <c r="T1152" s="478"/>
      <c r="U1152" s="501"/>
      <c r="V1152" s="479" t="str">
        <f>IF(R1152="No","No Twilight",IF(T1152="Yes","Uncomprehended Twilight",IF((Character!$B$14+IF(Character!$B$53="Yes",0,Character!$B$53)+IF(Magic!$C$5="Yes",2,0)+ROUNDUP((Magic!$B$30+IF(Magic!$C$30="Yes",3,0))/5,0)+S1152)&gt;=($D$3+P1152+SUMIF(Character!$I$62:$I$66,"Enigmatic Wisdom",Character!$J$62:$J$66)+Q1152+U1152),"No Twilight","Twilight")))</f>
        <v>No Twilight</v>
      </c>
      <c r="W1152" s="483"/>
      <c r="X1152" s="478"/>
      <c r="Y1152" s="484"/>
      <c r="Z1152" s="478"/>
      <c r="AA1152" s="485" t="str">
        <f>IF(V1152="Uncomprehended Twilight","Failed",IF(OR(ISBLANK(W1152),ISBLANK(Y1152))," ",IF(NOT(ISBLANK(X1152)),"Failed",IF((W1152+Character!$B$9+SUMIF(Character!$I$62:$I$66,"Enigmatic Wisdom",Character!$J$62:$J$66))&gt;=IF(Z1152="Yes",0,(Y1152+D1147)),"Succeeded","Failed"))))</f>
        <v xml:space="preserve"> </v>
      </c>
      <c r="AB1152" s="477" t="str">
        <f>IF(AA1152=" "," ",IF(NOT(ISBLANK(X1152)),VLOOKUP($D$3+X1152,Calcs!$A$110:$C$122,3,TRUE),IF(AA1152="Failed",VLOOKUP($D$3,Calcs!$A$110:$C$122,3,TRUE),VLOOKUP($D$3-(IF((Character!$B$9+W1152)&gt;($D$3+Y1152),(Character!$B$9+W1152)-($D$3+Y1152),0)),Calcs!$A$110:$C$122,3,TRUE))))</f>
        <v xml:space="preserve"> </v>
      </c>
      <c r="AC1152" s="489"/>
      <c r="AD1152" s="489" t="str">
        <f>IF(IF(AA1152=" "," ",IF(NOT(ISBLANK(X1152)),VLOOKUP($D$3+X1152,Calcs!$A$110:$B$122,2,TRUE),IF(AA1152="Failed",VLOOKUP($D$3,Calcs!$A$110:$B$122,2,TRUE),VLOOKUP($D$3-(IF((Character!$B$9+W1152)&gt;($D$3+Y1152),(Character!$B$9+W1152)-($D$3+Y1152),0)),Calcs!$A$110:$B$122,2,TRUE))))=Calcs!$B$120,IF(ISBLANK(AC1152)," ",CONCATENATE(AC1152+7," Years")),IF(AA1152=" "," ",IF(NOT(ISBLANK(X1152)),VLOOKUP($D$3+X1152,Calcs!$A$110:$B$122,2,TRUE),IF(AA1152="Failed",VLOOKUP($D$3,Calcs!$A$110:$B$122,2,TRUE),VLOOKUP($D$3-(IF((Character!$B$9+W1152)&gt;($D$3+Y1152),(Character!$B$9+W1152)-($D$3+Y1152),0)),Calcs!$A$110:$B$122,2,TRUE)))))</f>
        <v xml:space="preserve"> </v>
      </c>
      <c r="AE1152" s="490"/>
      <c r="AF1152" s="879"/>
      <c r="AG1152" s="491"/>
    </row>
    <row r="1153" spans="1:33" x14ac:dyDescent="0.2">
      <c r="A1153" s="415">
        <f t="shared" si="34"/>
        <v>1498</v>
      </c>
      <c r="B1153" s="419" t="str">
        <f t="shared" si="35"/>
        <v>Spring</v>
      </c>
      <c r="C1153" s="455"/>
      <c r="D1153" s="504"/>
      <c r="E1153" s="455"/>
      <c r="F1153" s="504"/>
      <c r="G1153" s="455"/>
      <c r="H1153" s="504"/>
      <c r="I1153" s="455"/>
      <c r="J1153" s="504"/>
      <c r="L1153" s="472"/>
      <c r="M1153" s="468"/>
      <c r="N1153" s="468"/>
      <c r="O1153" s="468"/>
      <c r="P1153" s="468"/>
      <c r="Q1153" s="473"/>
      <c r="R1153" s="477" t="str">
        <f>IF(AND(COUNTIF('Start Character'!$I$63:$M$77,"Twilight Prone")=1,NOT(ISERROR(FIND("Magical Botch",M1153)))),"Yes",IF(P1153&gt;1,"Yes","No"))</f>
        <v>No</v>
      </c>
      <c r="S1153" s="501"/>
      <c r="T1153" s="478"/>
      <c r="U1153" s="501"/>
      <c r="V1153" s="479" t="str">
        <f>IF(R1153="No","No Twilight",IF(T1153="Yes","Uncomprehended Twilight",IF((Character!$B$14+IF(Character!$B$53="Yes",0,Character!$B$53)+IF(Magic!$C$5="Yes",2,0)+ROUNDUP((Magic!$B$30+IF(Magic!$C$30="Yes",3,0))/5,0)+S1153)&gt;=($D$3+P1153+SUMIF(Character!$I$62:$I$66,"Enigmatic Wisdom",Character!$J$62:$J$66)+Q1153+U1153),"No Twilight","Twilight")))</f>
        <v>No Twilight</v>
      </c>
      <c r="W1153" s="483"/>
      <c r="X1153" s="478"/>
      <c r="Y1153" s="484"/>
      <c r="Z1153" s="478"/>
      <c r="AA1153" s="485" t="str">
        <f>IF(V1153="Uncomprehended Twilight","Failed",IF(OR(ISBLANK(W1153),ISBLANK(Y1153))," ",IF(NOT(ISBLANK(X1153)),"Failed",IF((W1153+Character!$B$9+SUMIF(Character!$I$62:$I$66,"Enigmatic Wisdom",Character!$J$62:$J$66))&gt;=IF(Z1153="Yes",0,(Y1153+D1148)),"Succeeded","Failed"))))</f>
        <v xml:space="preserve"> </v>
      </c>
      <c r="AB1153" s="477" t="str">
        <f>IF(AA1153=" "," ",IF(NOT(ISBLANK(X1153)),VLOOKUP($D$3+X1153,Calcs!$A$110:$C$122,3,TRUE),IF(AA1153="Failed",VLOOKUP($D$3,Calcs!$A$110:$C$122,3,TRUE),VLOOKUP($D$3-(IF((Character!$B$9+W1153)&gt;($D$3+Y1153),(Character!$B$9+W1153)-($D$3+Y1153),0)),Calcs!$A$110:$C$122,3,TRUE))))</f>
        <v xml:space="preserve"> </v>
      </c>
      <c r="AC1153" s="489"/>
      <c r="AD1153" s="489" t="str">
        <f>IF(IF(AA1153=" "," ",IF(NOT(ISBLANK(X1153)),VLOOKUP($D$3+X1153,Calcs!$A$110:$B$122,2,TRUE),IF(AA1153="Failed",VLOOKUP($D$3,Calcs!$A$110:$B$122,2,TRUE),VLOOKUP($D$3-(IF((Character!$B$9+W1153)&gt;($D$3+Y1153),(Character!$B$9+W1153)-($D$3+Y1153),0)),Calcs!$A$110:$B$122,2,TRUE))))=Calcs!$B$120,IF(ISBLANK(AC1153)," ",CONCATENATE(AC1153+7," Years")),IF(AA1153=" "," ",IF(NOT(ISBLANK(X1153)),VLOOKUP($D$3+X1153,Calcs!$A$110:$B$122,2,TRUE),IF(AA1153="Failed",VLOOKUP($D$3,Calcs!$A$110:$B$122,2,TRUE),VLOOKUP($D$3-(IF((Character!$B$9+W1153)&gt;($D$3+Y1153),(Character!$B$9+W1153)-($D$3+Y1153),0)),Calcs!$A$110:$B$122,2,TRUE)))))</f>
        <v xml:space="preserve"> </v>
      </c>
      <c r="AE1153" s="490"/>
      <c r="AF1153" s="879"/>
      <c r="AG1153" s="491"/>
    </row>
    <row r="1154" spans="1:33" x14ac:dyDescent="0.2">
      <c r="A1154" s="415">
        <f t="shared" si="34"/>
        <v>1498</v>
      </c>
      <c r="B1154" s="419" t="str">
        <f t="shared" si="35"/>
        <v>Summer</v>
      </c>
      <c r="C1154" s="455"/>
      <c r="D1154" s="504"/>
      <c r="E1154" s="455"/>
      <c r="F1154" s="504"/>
      <c r="G1154" s="455"/>
      <c r="H1154" s="504"/>
      <c r="I1154" s="455"/>
      <c r="J1154" s="504"/>
      <c r="L1154" s="472"/>
      <c r="M1154" s="468"/>
      <c r="N1154" s="468"/>
      <c r="O1154" s="468"/>
      <c r="P1154" s="468"/>
      <c r="Q1154" s="473"/>
      <c r="R1154" s="477" t="str">
        <f>IF(AND(COUNTIF('Start Character'!$I$63:$M$77,"Twilight Prone")=1,NOT(ISERROR(FIND("Magical Botch",M1154)))),"Yes",IF(P1154&gt;1,"Yes","No"))</f>
        <v>No</v>
      </c>
      <c r="S1154" s="501"/>
      <c r="T1154" s="478"/>
      <c r="U1154" s="501"/>
      <c r="V1154" s="479" t="str">
        <f>IF(R1154="No","No Twilight",IF(T1154="Yes","Uncomprehended Twilight",IF((Character!$B$14+IF(Character!$B$53="Yes",0,Character!$B$53)+IF(Magic!$C$5="Yes",2,0)+ROUNDUP((Magic!$B$30+IF(Magic!$C$30="Yes",3,0))/5,0)+S1154)&gt;=($D$3+P1154+SUMIF(Character!$I$62:$I$66,"Enigmatic Wisdom",Character!$J$62:$J$66)+Q1154+U1154),"No Twilight","Twilight")))</f>
        <v>No Twilight</v>
      </c>
      <c r="W1154" s="483"/>
      <c r="X1154" s="478"/>
      <c r="Y1154" s="484"/>
      <c r="Z1154" s="478"/>
      <c r="AA1154" s="485" t="str">
        <f>IF(V1154="Uncomprehended Twilight","Failed",IF(OR(ISBLANK(W1154),ISBLANK(Y1154))," ",IF(NOT(ISBLANK(X1154)),"Failed",IF((W1154+Character!$B$9+SUMIF(Character!$I$62:$I$66,"Enigmatic Wisdom",Character!$J$62:$J$66))&gt;=IF(Z1154="Yes",0,(Y1154+D1149)),"Succeeded","Failed"))))</f>
        <v xml:space="preserve"> </v>
      </c>
      <c r="AB1154" s="477" t="str">
        <f>IF(AA1154=" "," ",IF(NOT(ISBLANK(X1154)),VLOOKUP($D$3+X1154,Calcs!$A$110:$C$122,3,TRUE),IF(AA1154="Failed",VLOOKUP($D$3,Calcs!$A$110:$C$122,3,TRUE),VLOOKUP($D$3-(IF((Character!$B$9+W1154)&gt;($D$3+Y1154),(Character!$B$9+W1154)-($D$3+Y1154),0)),Calcs!$A$110:$C$122,3,TRUE))))</f>
        <v xml:space="preserve"> </v>
      </c>
      <c r="AC1154" s="489"/>
      <c r="AD1154" s="489" t="str">
        <f>IF(IF(AA1154=" "," ",IF(NOT(ISBLANK(X1154)),VLOOKUP($D$3+X1154,Calcs!$A$110:$B$122,2,TRUE),IF(AA1154="Failed",VLOOKUP($D$3,Calcs!$A$110:$B$122,2,TRUE),VLOOKUP($D$3-(IF((Character!$B$9+W1154)&gt;($D$3+Y1154),(Character!$B$9+W1154)-($D$3+Y1154),0)),Calcs!$A$110:$B$122,2,TRUE))))=Calcs!$B$120,IF(ISBLANK(AC1154)," ",CONCATENATE(AC1154+7," Years")),IF(AA1154=" "," ",IF(NOT(ISBLANK(X1154)),VLOOKUP($D$3+X1154,Calcs!$A$110:$B$122,2,TRUE),IF(AA1154="Failed",VLOOKUP($D$3,Calcs!$A$110:$B$122,2,TRUE),VLOOKUP($D$3-(IF((Character!$B$9+W1154)&gt;($D$3+Y1154),(Character!$B$9+W1154)-($D$3+Y1154),0)),Calcs!$A$110:$B$122,2,TRUE)))))</f>
        <v xml:space="preserve"> </v>
      </c>
      <c r="AE1154" s="490"/>
      <c r="AF1154" s="879"/>
      <c r="AG1154" s="491"/>
    </row>
    <row r="1155" spans="1:33" x14ac:dyDescent="0.2">
      <c r="A1155" s="415">
        <f t="shared" si="34"/>
        <v>1498</v>
      </c>
      <c r="B1155" s="419" t="str">
        <f t="shared" si="35"/>
        <v>Autumn</v>
      </c>
      <c r="C1155" s="455"/>
      <c r="D1155" s="504"/>
      <c r="E1155" s="455"/>
      <c r="F1155" s="504"/>
      <c r="G1155" s="455"/>
      <c r="H1155" s="504"/>
      <c r="I1155" s="455"/>
      <c r="J1155" s="504"/>
      <c r="L1155" s="472"/>
      <c r="M1155" s="468"/>
      <c r="N1155" s="468"/>
      <c r="O1155" s="468"/>
      <c r="P1155" s="468"/>
      <c r="Q1155" s="473"/>
      <c r="R1155" s="477" t="str">
        <f>IF(AND(COUNTIF('Start Character'!$I$63:$M$77,"Twilight Prone")=1,NOT(ISERROR(FIND("Magical Botch",M1155)))),"Yes",IF(P1155&gt;1,"Yes","No"))</f>
        <v>No</v>
      </c>
      <c r="S1155" s="501"/>
      <c r="T1155" s="478"/>
      <c r="U1155" s="501"/>
      <c r="V1155" s="479" t="str">
        <f>IF(R1155="No","No Twilight",IF(T1155="Yes","Uncomprehended Twilight",IF((Character!$B$14+IF(Character!$B$53="Yes",0,Character!$B$53)+IF(Magic!$C$5="Yes",2,0)+ROUNDUP((Magic!$B$30+IF(Magic!$C$30="Yes",3,0))/5,0)+S1155)&gt;=($D$3+P1155+SUMIF(Character!$I$62:$I$66,"Enigmatic Wisdom",Character!$J$62:$J$66)+Q1155+U1155),"No Twilight","Twilight")))</f>
        <v>No Twilight</v>
      </c>
      <c r="W1155" s="483"/>
      <c r="X1155" s="478"/>
      <c r="Y1155" s="484"/>
      <c r="Z1155" s="478"/>
      <c r="AA1155" s="485" t="str">
        <f>IF(V1155="Uncomprehended Twilight","Failed",IF(OR(ISBLANK(W1155),ISBLANK(Y1155))," ",IF(NOT(ISBLANK(X1155)),"Failed",IF((W1155+Character!$B$9+SUMIF(Character!$I$62:$I$66,"Enigmatic Wisdom",Character!$J$62:$J$66))&gt;=IF(Z1155="Yes",0,(Y1155+D1150)),"Succeeded","Failed"))))</f>
        <v xml:space="preserve"> </v>
      </c>
      <c r="AB1155" s="477" t="str">
        <f>IF(AA1155=" "," ",IF(NOT(ISBLANK(X1155)),VLOOKUP($D$3+X1155,Calcs!$A$110:$C$122,3,TRUE),IF(AA1155="Failed",VLOOKUP($D$3,Calcs!$A$110:$C$122,3,TRUE),VLOOKUP($D$3-(IF((Character!$B$9+W1155)&gt;($D$3+Y1155),(Character!$B$9+W1155)-($D$3+Y1155),0)),Calcs!$A$110:$C$122,3,TRUE))))</f>
        <v xml:space="preserve"> </v>
      </c>
      <c r="AC1155" s="489"/>
      <c r="AD1155" s="489" t="str">
        <f>IF(IF(AA1155=" "," ",IF(NOT(ISBLANK(X1155)),VLOOKUP($D$3+X1155,Calcs!$A$110:$B$122,2,TRUE),IF(AA1155="Failed",VLOOKUP($D$3,Calcs!$A$110:$B$122,2,TRUE),VLOOKUP($D$3-(IF((Character!$B$9+W1155)&gt;($D$3+Y1155),(Character!$B$9+W1155)-($D$3+Y1155),0)),Calcs!$A$110:$B$122,2,TRUE))))=Calcs!$B$120,IF(ISBLANK(AC1155)," ",CONCATENATE(AC1155+7," Years")),IF(AA1155=" "," ",IF(NOT(ISBLANK(X1155)),VLOOKUP($D$3+X1155,Calcs!$A$110:$B$122,2,TRUE),IF(AA1155="Failed",VLOOKUP($D$3,Calcs!$A$110:$B$122,2,TRUE),VLOOKUP($D$3-(IF((Character!$B$9+W1155)&gt;($D$3+Y1155),(Character!$B$9+W1155)-($D$3+Y1155),0)),Calcs!$A$110:$B$122,2,TRUE)))))</f>
        <v xml:space="preserve"> </v>
      </c>
      <c r="AE1155" s="490"/>
      <c r="AF1155" s="879"/>
      <c r="AG1155" s="491"/>
    </row>
    <row r="1156" spans="1:33" x14ac:dyDescent="0.2">
      <c r="A1156" s="415">
        <f t="shared" si="34"/>
        <v>1499</v>
      </c>
      <c r="B1156" s="419" t="str">
        <f t="shared" si="35"/>
        <v>Winter</v>
      </c>
      <c r="C1156" s="455"/>
      <c r="D1156" s="504"/>
      <c r="E1156" s="455"/>
      <c r="F1156" s="504"/>
      <c r="G1156" s="455"/>
      <c r="H1156" s="504"/>
      <c r="I1156" s="455"/>
      <c r="J1156" s="504"/>
      <c r="L1156" s="472"/>
      <c r="M1156" s="468"/>
      <c r="N1156" s="468"/>
      <c r="O1156" s="468"/>
      <c r="P1156" s="468"/>
      <c r="Q1156" s="473"/>
      <c r="R1156" s="477" t="str">
        <f>IF(AND(COUNTIF('Start Character'!$I$63:$M$77,"Twilight Prone")=1,NOT(ISERROR(FIND("Magical Botch",M1156)))),"Yes",IF(P1156&gt;1,"Yes","No"))</f>
        <v>No</v>
      </c>
      <c r="S1156" s="501"/>
      <c r="T1156" s="478"/>
      <c r="U1156" s="501"/>
      <c r="V1156" s="479" t="str">
        <f>IF(R1156="No","No Twilight",IF(T1156="Yes","Uncomprehended Twilight",IF((Character!$B$14+IF(Character!$B$53="Yes",0,Character!$B$53)+IF(Magic!$C$5="Yes",2,0)+ROUNDUP((Magic!$B$30+IF(Magic!$C$30="Yes",3,0))/5,0)+S1156)&gt;=($D$3+P1156+SUMIF(Character!$I$62:$I$66,"Enigmatic Wisdom",Character!$J$62:$J$66)+Q1156+U1156),"No Twilight","Twilight")))</f>
        <v>No Twilight</v>
      </c>
      <c r="W1156" s="483"/>
      <c r="X1156" s="478"/>
      <c r="Y1156" s="484"/>
      <c r="Z1156" s="478"/>
      <c r="AA1156" s="485" t="str">
        <f>IF(V1156="Uncomprehended Twilight","Failed",IF(OR(ISBLANK(W1156),ISBLANK(Y1156))," ",IF(NOT(ISBLANK(X1156)),"Failed",IF((W1156+Character!$B$9+SUMIF(Character!$I$62:$I$66,"Enigmatic Wisdom",Character!$J$62:$J$66))&gt;=IF(Z1156="Yes",0,(Y1156+D1151)),"Succeeded","Failed"))))</f>
        <v xml:space="preserve"> </v>
      </c>
      <c r="AB1156" s="477" t="str">
        <f>IF(AA1156=" "," ",IF(NOT(ISBLANK(X1156)),VLOOKUP($D$3+X1156,Calcs!$A$110:$C$122,3,TRUE),IF(AA1156="Failed",VLOOKUP($D$3,Calcs!$A$110:$C$122,3,TRUE),VLOOKUP($D$3-(IF((Character!$B$9+W1156)&gt;($D$3+Y1156),(Character!$B$9+W1156)-($D$3+Y1156),0)),Calcs!$A$110:$C$122,3,TRUE))))</f>
        <v xml:space="preserve"> </v>
      </c>
      <c r="AC1156" s="489"/>
      <c r="AD1156" s="489" t="str">
        <f>IF(IF(AA1156=" "," ",IF(NOT(ISBLANK(X1156)),VLOOKUP($D$3+X1156,Calcs!$A$110:$B$122,2,TRUE),IF(AA1156="Failed",VLOOKUP($D$3,Calcs!$A$110:$B$122,2,TRUE),VLOOKUP($D$3-(IF((Character!$B$9+W1156)&gt;($D$3+Y1156),(Character!$B$9+W1156)-($D$3+Y1156),0)),Calcs!$A$110:$B$122,2,TRUE))))=Calcs!$B$120,IF(ISBLANK(AC1156)," ",CONCATENATE(AC1156+7," Years")),IF(AA1156=" "," ",IF(NOT(ISBLANK(X1156)),VLOOKUP($D$3+X1156,Calcs!$A$110:$B$122,2,TRUE),IF(AA1156="Failed",VLOOKUP($D$3,Calcs!$A$110:$B$122,2,TRUE),VLOOKUP($D$3-(IF((Character!$B$9+W1156)&gt;($D$3+Y1156),(Character!$B$9+W1156)-($D$3+Y1156),0)),Calcs!$A$110:$B$122,2,TRUE)))))</f>
        <v xml:space="preserve"> </v>
      </c>
      <c r="AE1156" s="490"/>
      <c r="AF1156" s="879"/>
      <c r="AG1156" s="491"/>
    </row>
    <row r="1157" spans="1:33" x14ac:dyDescent="0.2">
      <c r="A1157" s="415">
        <f t="shared" si="34"/>
        <v>1499</v>
      </c>
      <c r="B1157" s="419" t="str">
        <f t="shared" si="35"/>
        <v>Spring</v>
      </c>
      <c r="C1157" s="455"/>
      <c r="D1157" s="504"/>
      <c r="E1157" s="455"/>
      <c r="F1157" s="504"/>
      <c r="G1157" s="455"/>
      <c r="H1157" s="504"/>
      <c r="I1157" s="455"/>
      <c r="J1157" s="504"/>
      <c r="L1157" s="472"/>
      <c r="M1157" s="468"/>
      <c r="N1157" s="468"/>
      <c r="O1157" s="468"/>
      <c r="P1157" s="468"/>
      <c r="Q1157" s="473"/>
      <c r="R1157" s="477" t="str">
        <f>IF(AND(COUNTIF('Start Character'!$I$63:$M$77,"Twilight Prone")=1,NOT(ISERROR(FIND("Magical Botch",M1157)))),"Yes",IF(P1157&gt;1,"Yes","No"))</f>
        <v>No</v>
      </c>
      <c r="S1157" s="501"/>
      <c r="T1157" s="478"/>
      <c r="U1157" s="501"/>
      <c r="V1157" s="479" t="str">
        <f>IF(R1157="No","No Twilight",IF(T1157="Yes","Uncomprehended Twilight",IF((Character!$B$14+IF(Character!$B$53="Yes",0,Character!$B$53)+IF(Magic!$C$5="Yes",2,0)+ROUNDUP((Magic!$B$30+IF(Magic!$C$30="Yes",3,0))/5,0)+S1157)&gt;=($D$3+P1157+SUMIF(Character!$I$62:$I$66,"Enigmatic Wisdom",Character!$J$62:$J$66)+Q1157+U1157),"No Twilight","Twilight")))</f>
        <v>No Twilight</v>
      </c>
      <c r="W1157" s="483"/>
      <c r="X1157" s="478"/>
      <c r="Y1157" s="484"/>
      <c r="Z1157" s="478"/>
      <c r="AA1157" s="485" t="str">
        <f>IF(V1157="Uncomprehended Twilight","Failed",IF(OR(ISBLANK(W1157),ISBLANK(Y1157))," ",IF(NOT(ISBLANK(X1157)),"Failed",IF((W1157+Character!$B$9+SUMIF(Character!$I$62:$I$66,"Enigmatic Wisdom",Character!$J$62:$J$66))&gt;=IF(Z1157="Yes",0,(Y1157+D1152)),"Succeeded","Failed"))))</f>
        <v xml:space="preserve"> </v>
      </c>
      <c r="AB1157" s="477" t="str">
        <f>IF(AA1157=" "," ",IF(NOT(ISBLANK(X1157)),VLOOKUP($D$3+X1157,Calcs!$A$110:$C$122,3,TRUE),IF(AA1157="Failed",VLOOKUP($D$3,Calcs!$A$110:$C$122,3,TRUE),VLOOKUP($D$3-(IF((Character!$B$9+W1157)&gt;($D$3+Y1157),(Character!$B$9+W1157)-($D$3+Y1157),0)),Calcs!$A$110:$C$122,3,TRUE))))</f>
        <v xml:space="preserve"> </v>
      </c>
      <c r="AC1157" s="489"/>
      <c r="AD1157" s="489" t="str">
        <f>IF(IF(AA1157=" "," ",IF(NOT(ISBLANK(X1157)),VLOOKUP($D$3+X1157,Calcs!$A$110:$B$122,2,TRUE),IF(AA1157="Failed",VLOOKUP($D$3,Calcs!$A$110:$B$122,2,TRUE),VLOOKUP($D$3-(IF((Character!$B$9+W1157)&gt;($D$3+Y1157),(Character!$B$9+W1157)-($D$3+Y1157),0)),Calcs!$A$110:$B$122,2,TRUE))))=Calcs!$B$120,IF(ISBLANK(AC1157)," ",CONCATENATE(AC1157+7," Years")),IF(AA1157=" "," ",IF(NOT(ISBLANK(X1157)),VLOOKUP($D$3+X1157,Calcs!$A$110:$B$122,2,TRUE),IF(AA1157="Failed",VLOOKUP($D$3,Calcs!$A$110:$B$122,2,TRUE),VLOOKUP($D$3-(IF((Character!$B$9+W1157)&gt;($D$3+Y1157),(Character!$B$9+W1157)-($D$3+Y1157),0)),Calcs!$A$110:$B$122,2,TRUE)))))</f>
        <v xml:space="preserve"> </v>
      </c>
      <c r="AE1157" s="490"/>
      <c r="AF1157" s="879"/>
      <c r="AG1157" s="491"/>
    </row>
    <row r="1158" spans="1:33" x14ac:dyDescent="0.2">
      <c r="A1158" s="415">
        <f t="shared" si="34"/>
        <v>1499</v>
      </c>
      <c r="B1158" s="419" t="str">
        <f t="shared" si="35"/>
        <v>Summer</v>
      </c>
      <c r="C1158" s="455"/>
      <c r="D1158" s="504"/>
      <c r="E1158" s="455"/>
      <c r="F1158" s="504"/>
      <c r="G1158" s="455"/>
      <c r="H1158" s="504"/>
      <c r="I1158" s="455"/>
      <c r="J1158" s="504"/>
      <c r="L1158" s="472"/>
      <c r="M1158" s="468"/>
      <c r="N1158" s="468"/>
      <c r="O1158" s="468"/>
      <c r="P1158" s="468"/>
      <c r="Q1158" s="473"/>
      <c r="R1158" s="477" t="str">
        <f>IF(AND(COUNTIF('Start Character'!$I$63:$M$77,"Twilight Prone")=1,NOT(ISERROR(FIND("Magical Botch",M1158)))),"Yes",IF(P1158&gt;1,"Yes","No"))</f>
        <v>No</v>
      </c>
      <c r="S1158" s="501"/>
      <c r="T1158" s="478"/>
      <c r="U1158" s="501"/>
      <c r="V1158" s="479" t="str">
        <f>IF(R1158="No","No Twilight",IF(T1158="Yes","Uncomprehended Twilight",IF((Character!$B$14+IF(Character!$B$53="Yes",0,Character!$B$53)+IF(Magic!$C$5="Yes",2,0)+ROUNDUP((Magic!$B$30+IF(Magic!$C$30="Yes",3,0))/5,0)+S1158)&gt;=($D$3+P1158+SUMIF(Character!$I$62:$I$66,"Enigmatic Wisdom",Character!$J$62:$J$66)+Q1158+U1158),"No Twilight","Twilight")))</f>
        <v>No Twilight</v>
      </c>
      <c r="W1158" s="483"/>
      <c r="X1158" s="478"/>
      <c r="Y1158" s="484"/>
      <c r="Z1158" s="478"/>
      <c r="AA1158" s="485" t="str">
        <f>IF(V1158="Uncomprehended Twilight","Failed",IF(OR(ISBLANK(W1158),ISBLANK(Y1158))," ",IF(NOT(ISBLANK(X1158)),"Failed",IF((W1158+Character!$B$9+SUMIF(Character!$I$62:$I$66,"Enigmatic Wisdom",Character!$J$62:$J$66))&gt;=IF(Z1158="Yes",0,(Y1158+D1153)),"Succeeded","Failed"))))</f>
        <v xml:space="preserve"> </v>
      </c>
      <c r="AB1158" s="477" t="str">
        <f>IF(AA1158=" "," ",IF(NOT(ISBLANK(X1158)),VLOOKUP($D$3+X1158,Calcs!$A$110:$C$122,3,TRUE),IF(AA1158="Failed",VLOOKUP($D$3,Calcs!$A$110:$C$122,3,TRUE),VLOOKUP($D$3-(IF((Character!$B$9+W1158)&gt;($D$3+Y1158),(Character!$B$9+W1158)-($D$3+Y1158),0)),Calcs!$A$110:$C$122,3,TRUE))))</f>
        <v xml:space="preserve"> </v>
      </c>
      <c r="AC1158" s="489"/>
      <c r="AD1158" s="489" t="str">
        <f>IF(IF(AA1158=" "," ",IF(NOT(ISBLANK(X1158)),VLOOKUP($D$3+X1158,Calcs!$A$110:$B$122,2,TRUE),IF(AA1158="Failed",VLOOKUP($D$3,Calcs!$A$110:$B$122,2,TRUE),VLOOKUP($D$3-(IF((Character!$B$9+W1158)&gt;($D$3+Y1158),(Character!$B$9+W1158)-($D$3+Y1158),0)),Calcs!$A$110:$B$122,2,TRUE))))=Calcs!$B$120,IF(ISBLANK(AC1158)," ",CONCATENATE(AC1158+7," Years")),IF(AA1158=" "," ",IF(NOT(ISBLANK(X1158)),VLOOKUP($D$3+X1158,Calcs!$A$110:$B$122,2,TRUE),IF(AA1158="Failed",VLOOKUP($D$3,Calcs!$A$110:$B$122,2,TRUE),VLOOKUP($D$3-(IF((Character!$B$9+W1158)&gt;($D$3+Y1158),(Character!$B$9+W1158)-($D$3+Y1158),0)),Calcs!$A$110:$B$122,2,TRUE)))))</f>
        <v xml:space="preserve"> </v>
      </c>
      <c r="AE1158" s="490"/>
      <c r="AF1158" s="879"/>
      <c r="AG1158" s="491"/>
    </row>
    <row r="1159" spans="1:33" x14ac:dyDescent="0.2">
      <c r="A1159" s="415">
        <f t="shared" si="34"/>
        <v>1499</v>
      </c>
      <c r="B1159" s="419" t="str">
        <f t="shared" si="35"/>
        <v>Autumn</v>
      </c>
      <c r="C1159" s="455"/>
      <c r="D1159" s="504"/>
      <c r="E1159" s="455"/>
      <c r="F1159" s="504"/>
      <c r="G1159" s="455"/>
      <c r="H1159" s="504"/>
      <c r="I1159" s="455"/>
      <c r="J1159" s="504"/>
      <c r="L1159" s="472"/>
      <c r="M1159" s="468"/>
      <c r="N1159" s="468"/>
      <c r="O1159" s="468"/>
      <c r="P1159" s="468"/>
      <c r="Q1159" s="473"/>
      <c r="R1159" s="477" t="str">
        <f>IF(AND(COUNTIF('Start Character'!$I$63:$M$77,"Twilight Prone")=1,NOT(ISERROR(FIND("Magical Botch",M1159)))),"Yes",IF(P1159&gt;1,"Yes","No"))</f>
        <v>No</v>
      </c>
      <c r="S1159" s="501"/>
      <c r="T1159" s="478"/>
      <c r="U1159" s="501"/>
      <c r="V1159" s="479" t="str">
        <f>IF(R1159="No","No Twilight",IF(T1159="Yes","Uncomprehended Twilight",IF((Character!$B$14+IF(Character!$B$53="Yes",0,Character!$B$53)+IF(Magic!$C$5="Yes",2,0)+ROUNDUP((Magic!$B$30+IF(Magic!$C$30="Yes",3,0))/5,0)+S1159)&gt;=($D$3+P1159+SUMIF(Character!$I$62:$I$66,"Enigmatic Wisdom",Character!$J$62:$J$66)+Q1159+U1159),"No Twilight","Twilight")))</f>
        <v>No Twilight</v>
      </c>
      <c r="W1159" s="483"/>
      <c r="X1159" s="478"/>
      <c r="Y1159" s="484"/>
      <c r="Z1159" s="478"/>
      <c r="AA1159" s="485" t="str">
        <f>IF(V1159="Uncomprehended Twilight","Failed",IF(OR(ISBLANK(W1159),ISBLANK(Y1159))," ",IF(NOT(ISBLANK(X1159)),"Failed",IF((W1159+Character!$B$9+SUMIF(Character!$I$62:$I$66,"Enigmatic Wisdom",Character!$J$62:$J$66))&gt;=IF(Z1159="Yes",0,(Y1159+D1154)),"Succeeded","Failed"))))</f>
        <v xml:space="preserve"> </v>
      </c>
      <c r="AB1159" s="477" t="str">
        <f>IF(AA1159=" "," ",IF(NOT(ISBLANK(X1159)),VLOOKUP($D$3+X1159,Calcs!$A$110:$C$122,3,TRUE),IF(AA1159="Failed",VLOOKUP($D$3,Calcs!$A$110:$C$122,3,TRUE),VLOOKUP($D$3-(IF((Character!$B$9+W1159)&gt;($D$3+Y1159),(Character!$B$9+W1159)-($D$3+Y1159),0)),Calcs!$A$110:$C$122,3,TRUE))))</f>
        <v xml:space="preserve"> </v>
      </c>
      <c r="AC1159" s="489"/>
      <c r="AD1159" s="489" t="str">
        <f>IF(IF(AA1159=" "," ",IF(NOT(ISBLANK(X1159)),VLOOKUP($D$3+X1159,Calcs!$A$110:$B$122,2,TRUE),IF(AA1159="Failed",VLOOKUP($D$3,Calcs!$A$110:$B$122,2,TRUE),VLOOKUP($D$3-(IF((Character!$B$9+W1159)&gt;($D$3+Y1159),(Character!$B$9+W1159)-($D$3+Y1159),0)),Calcs!$A$110:$B$122,2,TRUE))))=Calcs!$B$120,IF(ISBLANK(AC1159)," ",CONCATENATE(AC1159+7," Years")),IF(AA1159=" "," ",IF(NOT(ISBLANK(X1159)),VLOOKUP($D$3+X1159,Calcs!$A$110:$B$122,2,TRUE),IF(AA1159="Failed",VLOOKUP($D$3,Calcs!$A$110:$B$122,2,TRUE),VLOOKUP($D$3-(IF((Character!$B$9+W1159)&gt;($D$3+Y1159),(Character!$B$9+W1159)-($D$3+Y1159),0)),Calcs!$A$110:$B$122,2,TRUE)))))</f>
        <v xml:space="preserve"> </v>
      </c>
      <c r="AE1159" s="490"/>
      <c r="AF1159" s="879"/>
      <c r="AG1159" s="491"/>
    </row>
    <row r="1160" spans="1:33" x14ac:dyDescent="0.2">
      <c r="A1160" s="415">
        <f t="shared" si="34"/>
        <v>1500</v>
      </c>
      <c r="B1160" s="419" t="str">
        <f t="shared" si="35"/>
        <v>Winter</v>
      </c>
      <c r="C1160" s="455"/>
      <c r="D1160" s="504"/>
      <c r="E1160" s="455"/>
      <c r="F1160" s="504"/>
      <c r="G1160" s="455"/>
      <c r="H1160" s="504"/>
      <c r="I1160" s="455"/>
      <c r="J1160" s="504"/>
      <c r="L1160" s="472"/>
      <c r="M1160" s="468"/>
      <c r="N1160" s="468"/>
      <c r="O1160" s="468"/>
      <c r="P1160" s="468"/>
      <c r="Q1160" s="473"/>
      <c r="R1160" s="477" t="str">
        <f>IF(AND(COUNTIF('Start Character'!$I$63:$M$77,"Twilight Prone")=1,NOT(ISERROR(FIND("Magical Botch",M1160)))),"Yes",IF(P1160&gt;1,"Yes","No"))</f>
        <v>No</v>
      </c>
      <c r="S1160" s="501"/>
      <c r="T1160" s="478"/>
      <c r="U1160" s="501"/>
      <c r="V1160" s="479" t="str">
        <f>IF(R1160="No","No Twilight",IF(T1160="Yes","Uncomprehended Twilight",IF((Character!$B$14+IF(Character!$B$53="Yes",0,Character!$B$53)+IF(Magic!$C$5="Yes",2,0)+ROUNDUP((Magic!$B$30+IF(Magic!$C$30="Yes",3,0))/5,0)+S1160)&gt;=($D$3+P1160+SUMIF(Character!$I$62:$I$66,"Enigmatic Wisdom",Character!$J$62:$J$66)+Q1160+U1160),"No Twilight","Twilight")))</f>
        <v>No Twilight</v>
      </c>
      <c r="W1160" s="483"/>
      <c r="X1160" s="478"/>
      <c r="Y1160" s="484"/>
      <c r="Z1160" s="478"/>
      <c r="AA1160" s="485" t="str">
        <f>IF(V1160="Uncomprehended Twilight","Failed",IF(OR(ISBLANK(W1160),ISBLANK(Y1160))," ",IF(NOT(ISBLANK(X1160)),"Failed",IF((W1160+Character!$B$9+SUMIF(Character!$I$62:$I$66,"Enigmatic Wisdom",Character!$J$62:$J$66))&gt;=IF(Z1160="Yes",0,(Y1160+D1155)),"Succeeded","Failed"))))</f>
        <v xml:space="preserve"> </v>
      </c>
      <c r="AB1160" s="477" t="str">
        <f>IF(AA1160=" "," ",IF(NOT(ISBLANK(X1160)),VLOOKUP($D$3+X1160,Calcs!$A$110:$C$122,3,TRUE),IF(AA1160="Failed",VLOOKUP($D$3,Calcs!$A$110:$C$122,3,TRUE),VLOOKUP($D$3-(IF((Character!$B$9+W1160)&gt;($D$3+Y1160),(Character!$B$9+W1160)-($D$3+Y1160),0)),Calcs!$A$110:$C$122,3,TRUE))))</f>
        <v xml:space="preserve"> </v>
      </c>
      <c r="AC1160" s="489"/>
      <c r="AD1160" s="489" t="str">
        <f>IF(IF(AA1160=" "," ",IF(NOT(ISBLANK(X1160)),VLOOKUP($D$3+X1160,Calcs!$A$110:$B$122,2,TRUE),IF(AA1160="Failed",VLOOKUP($D$3,Calcs!$A$110:$B$122,2,TRUE),VLOOKUP($D$3-(IF((Character!$B$9+W1160)&gt;($D$3+Y1160),(Character!$B$9+W1160)-($D$3+Y1160),0)),Calcs!$A$110:$B$122,2,TRUE))))=Calcs!$B$120,IF(ISBLANK(AC1160)," ",CONCATENATE(AC1160+7," Years")),IF(AA1160=" "," ",IF(NOT(ISBLANK(X1160)),VLOOKUP($D$3+X1160,Calcs!$A$110:$B$122,2,TRUE),IF(AA1160="Failed",VLOOKUP($D$3,Calcs!$A$110:$B$122,2,TRUE),VLOOKUP($D$3-(IF((Character!$B$9+W1160)&gt;($D$3+Y1160),(Character!$B$9+W1160)-($D$3+Y1160),0)),Calcs!$A$110:$B$122,2,TRUE)))))</f>
        <v xml:space="preserve"> </v>
      </c>
      <c r="AE1160" s="490"/>
      <c r="AF1160" s="879"/>
      <c r="AG1160" s="491"/>
    </row>
    <row r="1161" spans="1:33" x14ac:dyDescent="0.2">
      <c r="A1161" s="415">
        <f t="shared" si="34"/>
        <v>1500</v>
      </c>
      <c r="B1161" s="419" t="str">
        <f t="shared" si="35"/>
        <v>Spring</v>
      </c>
      <c r="C1161" s="455"/>
      <c r="D1161" s="504"/>
      <c r="E1161" s="455"/>
      <c r="F1161" s="504"/>
      <c r="G1161" s="455"/>
      <c r="H1161" s="504"/>
      <c r="I1161" s="455"/>
      <c r="J1161" s="504"/>
      <c r="L1161" s="472"/>
      <c r="M1161" s="468"/>
      <c r="N1161" s="468"/>
      <c r="O1161" s="468"/>
      <c r="P1161" s="468"/>
      <c r="Q1161" s="473"/>
      <c r="R1161" s="477" t="str">
        <f>IF(AND(COUNTIF('Start Character'!$I$63:$M$77,"Twilight Prone")=1,NOT(ISERROR(FIND("Magical Botch",M1161)))),"Yes",IF(P1161&gt;1,"Yes","No"))</f>
        <v>No</v>
      </c>
      <c r="S1161" s="501"/>
      <c r="T1161" s="478"/>
      <c r="U1161" s="501"/>
      <c r="V1161" s="479" t="str">
        <f>IF(R1161="No","No Twilight",IF(T1161="Yes","Uncomprehended Twilight",IF((Character!$B$14+IF(Character!$B$53="Yes",0,Character!$B$53)+IF(Magic!$C$5="Yes",2,0)+ROUNDUP((Magic!$B$30+IF(Magic!$C$30="Yes",3,0))/5,0)+S1161)&gt;=($D$3+P1161+SUMIF(Character!$I$62:$I$66,"Enigmatic Wisdom",Character!$J$62:$J$66)+Q1161+U1161),"No Twilight","Twilight")))</f>
        <v>No Twilight</v>
      </c>
      <c r="W1161" s="483"/>
      <c r="X1161" s="478"/>
      <c r="Y1161" s="484"/>
      <c r="Z1161" s="478"/>
      <c r="AA1161" s="485" t="str">
        <f>IF(V1161="Uncomprehended Twilight","Failed",IF(OR(ISBLANK(W1161),ISBLANK(Y1161))," ",IF(NOT(ISBLANK(X1161)),"Failed",IF((W1161+Character!$B$9+SUMIF(Character!$I$62:$I$66,"Enigmatic Wisdom",Character!$J$62:$J$66))&gt;=IF(Z1161="Yes",0,(Y1161+D1156)),"Succeeded","Failed"))))</f>
        <v xml:space="preserve"> </v>
      </c>
      <c r="AB1161" s="477" t="str">
        <f>IF(AA1161=" "," ",IF(NOT(ISBLANK(X1161)),VLOOKUP($D$3+X1161,Calcs!$A$110:$C$122,3,TRUE),IF(AA1161="Failed",VLOOKUP($D$3,Calcs!$A$110:$C$122,3,TRUE),VLOOKUP($D$3-(IF((Character!$B$9+W1161)&gt;($D$3+Y1161),(Character!$B$9+W1161)-($D$3+Y1161),0)),Calcs!$A$110:$C$122,3,TRUE))))</f>
        <v xml:space="preserve"> </v>
      </c>
      <c r="AC1161" s="489"/>
      <c r="AD1161" s="489" t="str">
        <f>IF(IF(AA1161=" "," ",IF(NOT(ISBLANK(X1161)),VLOOKUP($D$3+X1161,Calcs!$A$110:$B$122,2,TRUE),IF(AA1161="Failed",VLOOKUP($D$3,Calcs!$A$110:$B$122,2,TRUE),VLOOKUP($D$3-(IF((Character!$B$9+W1161)&gt;($D$3+Y1161),(Character!$B$9+W1161)-($D$3+Y1161),0)),Calcs!$A$110:$B$122,2,TRUE))))=Calcs!$B$120,IF(ISBLANK(AC1161)," ",CONCATENATE(AC1161+7," Years")),IF(AA1161=" "," ",IF(NOT(ISBLANK(X1161)),VLOOKUP($D$3+X1161,Calcs!$A$110:$B$122,2,TRUE),IF(AA1161="Failed",VLOOKUP($D$3,Calcs!$A$110:$B$122,2,TRUE),VLOOKUP($D$3-(IF((Character!$B$9+W1161)&gt;($D$3+Y1161),(Character!$B$9+W1161)-($D$3+Y1161),0)),Calcs!$A$110:$B$122,2,TRUE)))))</f>
        <v xml:space="preserve"> </v>
      </c>
      <c r="AE1161" s="490"/>
      <c r="AF1161" s="879"/>
      <c r="AG1161" s="491"/>
    </row>
    <row r="1162" spans="1:33" x14ac:dyDescent="0.2">
      <c r="A1162" s="415">
        <f t="shared" si="34"/>
        <v>1500</v>
      </c>
      <c r="B1162" s="419" t="str">
        <f t="shared" si="35"/>
        <v>Summer</v>
      </c>
      <c r="C1162" s="455"/>
      <c r="D1162" s="504"/>
      <c r="E1162" s="455"/>
      <c r="F1162" s="504"/>
      <c r="G1162" s="455"/>
      <c r="H1162" s="504"/>
      <c r="I1162" s="455"/>
      <c r="J1162" s="504"/>
      <c r="L1162" s="472"/>
      <c r="M1162" s="468"/>
      <c r="N1162" s="468"/>
      <c r="O1162" s="468"/>
      <c r="P1162" s="468"/>
      <c r="Q1162" s="473"/>
      <c r="R1162" s="477" t="str">
        <f>IF(AND(COUNTIF('Start Character'!$I$63:$M$77,"Twilight Prone")=1,NOT(ISERROR(FIND("Magical Botch",M1162)))),"Yes",IF(P1162&gt;1,"Yes","No"))</f>
        <v>No</v>
      </c>
      <c r="S1162" s="501"/>
      <c r="T1162" s="478"/>
      <c r="U1162" s="501"/>
      <c r="V1162" s="479" t="str">
        <f>IF(R1162="No","No Twilight",IF(T1162="Yes","Uncomprehended Twilight",IF((Character!$B$14+IF(Character!$B$53="Yes",0,Character!$B$53)+IF(Magic!$C$5="Yes",2,0)+ROUNDUP((Magic!$B$30+IF(Magic!$C$30="Yes",3,0))/5,0)+S1162)&gt;=($D$3+P1162+SUMIF(Character!$I$62:$I$66,"Enigmatic Wisdom",Character!$J$62:$J$66)+Q1162+U1162),"No Twilight","Twilight")))</f>
        <v>No Twilight</v>
      </c>
      <c r="W1162" s="483"/>
      <c r="X1162" s="478"/>
      <c r="Y1162" s="484"/>
      <c r="Z1162" s="478"/>
      <c r="AA1162" s="485" t="str">
        <f>IF(V1162="Uncomprehended Twilight","Failed",IF(OR(ISBLANK(W1162),ISBLANK(Y1162))," ",IF(NOT(ISBLANK(X1162)),"Failed",IF((W1162+Character!$B$9+SUMIF(Character!$I$62:$I$66,"Enigmatic Wisdom",Character!$J$62:$J$66))&gt;=IF(Z1162="Yes",0,(Y1162+D1157)),"Succeeded","Failed"))))</f>
        <v xml:space="preserve"> </v>
      </c>
      <c r="AB1162" s="477" t="str">
        <f>IF(AA1162=" "," ",IF(NOT(ISBLANK(X1162)),VLOOKUP($D$3+X1162,Calcs!$A$110:$C$122,3,TRUE),IF(AA1162="Failed",VLOOKUP($D$3,Calcs!$A$110:$C$122,3,TRUE),VLOOKUP($D$3-(IF((Character!$B$9+W1162)&gt;($D$3+Y1162),(Character!$B$9+W1162)-($D$3+Y1162),0)),Calcs!$A$110:$C$122,3,TRUE))))</f>
        <v xml:space="preserve"> </v>
      </c>
      <c r="AC1162" s="489"/>
      <c r="AD1162" s="489" t="str">
        <f>IF(IF(AA1162=" "," ",IF(NOT(ISBLANK(X1162)),VLOOKUP($D$3+X1162,Calcs!$A$110:$B$122,2,TRUE),IF(AA1162="Failed",VLOOKUP($D$3,Calcs!$A$110:$B$122,2,TRUE),VLOOKUP($D$3-(IF((Character!$B$9+W1162)&gt;($D$3+Y1162),(Character!$B$9+W1162)-($D$3+Y1162),0)),Calcs!$A$110:$B$122,2,TRUE))))=Calcs!$B$120,IF(ISBLANK(AC1162)," ",CONCATENATE(AC1162+7," Years")),IF(AA1162=" "," ",IF(NOT(ISBLANK(X1162)),VLOOKUP($D$3+X1162,Calcs!$A$110:$B$122,2,TRUE),IF(AA1162="Failed",VLOOKUP($D$3,Calcs!$A$110:$B$122,2,TRUE),VLOOKUP($D$3-(IF((Character!$B$9+W1162)&gt;($D$3+Y1162),(Character!$B$9+W1162)-($D$3+Y1162),0)),Calcs!$A$110:$B$122,2,TRUE)))))</f>
        <v xml:space="preserve"> </v>
      </c>
      <c r="AE1162" s="490"/>
      <c r="AF1162" s="879"/>
      <c r="AG1162" s="491"/>
    </row>
    <row r="1163" spans="1:33" x14ac:dyDescent="0.2">
      <c r="A1163" s="415">
        <f t="shared" si="34"/>
        <v>1500</v>
      </c>
      <c r="B1163" s="419" t="str">
        <f t="shared" si="35"/>
        <v>Autumn</v>
      </c>
      <c r="C1163" s="455"/>
      <c r="D1163" s="504"/>
      <c r="E1163" s="455"/>
      <c r="F1163" s="504"/>
      <c r="G1163" s="455"/>
      <c r="H1163" s="504"/>
      <c r="I1163" s="455"/>
      <c r="J1163" s="504"/>
      <c r="L1163" s="472"/>
      <c r="M1163" s="468"/>
      <c r="N1163" s="468"/>
      <c r="O1163" s="468"/>
      <c r="P1163" s="468"/>
      <c r="Q1163" s="473"/>
      <c r="R1163" s="477" t="str">
        <f>IF(AND(COUNTIF('Start Character'!$I$63:$M$77,"Twilight Prone")=1,NOT(ISERROR(FIND("Magical Botch",M1163)))),"Yes",IF(P1163&gt;1,"Yes","No"))</f>
        <v>No</v>
      </c>
      <c r="S1163" s="501"/>
      <c r="T1163" s="478"/>
      <c r="U1163" s="501"/>
      <c r="V1163" s="479" t="str">
        <f>IF(R1163="No","No Twilight",IF(T1163="Yes","Uncomprehended Twilight",IF((Character!$B$14+IF(Character!$B$53="Yes",0,Character!$B$53)+IF(Magic!$C$5="Yes",2,0)+ROUNDUP((Magic!$B$30+IF(Magic!$C$30="Yes",3,0))/5,0)+S1163)&gt;=($D$3+P1163+SUMIF(Character!$I$62:$I$66,"Enigmatic Wisdom",Character!$J$62:$J$66)+Q1163+U1163),"No Twilight","Twilight")))</f>
        <v>No Twilight</v>
      </c>
      <c r="W1163" s="483"/>
      <c r="X1163" s="478"/>
      <c r="Y1163" s="484"/>
      <c r="Z1163" s="478"/>
      <c r="AA1163" s="485" t="str">
        <f>IF(V1163="Uncomprehended Twilight","Failed",IF(OR(ISBLANK(W1163),ISBLANK(Y1163))," ",IF(NOT(ISBLANK(X1163)),"Failed",IF((W1163+Character!$B$9+SUMIF(Character!$I$62:$I$66,"Enigmatic Wisdom",Character!$J$62:$J$66))&gt;=IF(Z1163="Yes",0,(Y1163+D1158)),"Succeeded","Failed"))))</f>
        <v xml:space="preserve"> </v>
      </c>
      <c r="AB1163" s="477" t="str">
        <f>IF(AA1163=" "," ",IF(NOT(ISBLANK(X1163)),VLOOKUP($D$3+X1163,Calcs!$A$110:$C$122,3,TRUE),IF(AA1163="Failed",VLOOKUP($D$3,Calcs!$A$110:$C$122,3,TRUE),VLOOKUP($D$3-(IF((Character!$B$9+W1163)&gt;($D$3+Y1163),(Character!$B$9+W1163)-($D$3+Y1163),0)),Calcs!$A$110:$C$122,3,TRUE))))</f>
        <v xml:space="preserve"> </v>
      </c>
      <c r="AC1163" s="489"/>
      <c r="AD1163" s="489" t="str">
        <f>IF(IF(AA1163=" "," ",IF(NOT(ISBLANK(X1163)),VLOOKUP($D$3+X1163,Calcs!$A$110:$B$122,2,TRUE),IF(AA1163="Failed",VLOOKUP($D$3,Calcs!$A$110:$B$122,2,TRUE),VLOOKUP($D$3-(IF((Character!$B$9+W1163)&gt;($D$3+Y1163),(Character!$B$9+W1163)-($D$3+Y1163),0)),Calcs!$A$110:$B$122,2,TRUE))))=Calcs!$B$120,IF(ISBLANK(AC1163)," ",CONCATENATE(AC1163+7," Years")),IF(AA1163=" "," ",IF(NOT(ISBLANK(X1163)),VLOOKUP($D$3+X1163,Calcs!$A$110:$B$122,2,TRUE),IF(AA1163="Failed",VLOOKUP($D$3,Calcs!$A$110:$B$122,2,TRUE),VLOOKUP($D$3-(IF((Character!$B$9+W1163)&gt;($D$3+Y1163),(Character!$B$9+W1163)-($D$3+Y1163),0)),Calcs!$A$110:$B$122,2,TRUE)))))</f>
        <v xml:space="preserve"> </v>
      </c>
      <c r="AE1163" s="490"/>
      <c r="AF1163" s="879"/>
      <c r="AG1163" s="491"/>
    </row>
    <row r="1164" spans="1:33" x14ac:dyDescent="0.2">
      <c r="A1164" s="415">
        <f t="shared" si="34"/>
        <v>1501</v>
      </c>
      <c r="B1164" s="419" t="str">
        <f t="shared" si="35"/>
        <v>Winter</v>
      </c>
      <c r="C1164" s="455"/>
      <c r="D1164" s="504"/>
      <c r="E1164" s="455"/>
      <c r="F1164" s="504"/>
      <c r="G1164" s="455"/>
      <c r="H1164" s="504"/>
      <c r="I1164" s="455"/>
      <c r="J1164" s="504"/>
      <c r="L1164" s="472"/>
      <c r="M1164" s="468"/>
      <c r="N1164" s="468"/>
      <c r="O1164" s="468"/>
      <c r="P1164" s="468"/>
      <c r="Q1164" s="473"/>
      <c r="R1164" s="477" t="str">
        <f>IF(AND(COUNTIF('Start Character'!$I$63:$M$77,"Twilight Prone")=1,NOT(ISERROR(FIND("Magical Botch",M1164)))),"Yes",IF(P1164&gt;1,"Yes","No"))</f>
        <v>No</v>
      </c>
      <c r="S1164" s="501"/>
      <c r="T1164" s="478"/>
      <c r="U1164" s="501"/>
      <c r="V1164" s="479" t="str">
        <f>IF(R1164="No","No Twilight",IF(T1164="Yes","Uncomprehended Twilight",IF((Character!$B$14+IF(Character!$B$53="Yes",0,Character!$B$53)+IF(Magic!$C$5="Yes",2,0)+ROUNDUP((Magic!$B$30+IF(Magic!$C$30="Yes",3,0))/5,0)+S1164)&gt;=($D$3+P1164+SUMIF(Character!$I$62:$I$66,"Enigmatic Wisdom",Character!$J$62:$J$66)+Q1164+U1164),"No Twilight","Twilight")))</f>
        <v>No Twilight</v>
      </c>
      <c r="W1164" s="483"/>
      <c r="X1164" s="478"/>
      <c r="Y1164" s="484"/>
      <c r="Z1164" s="478"/>
      <c r="AA1164" s="485" t="str">
        <f>IF(V1164="Uncomprehended Twilight","Failed",IF(OR(ISBLANK(W1164),ISBLANK(Y1164))," ",IF(NOT(ISBLANK(X1164)),"Failed",IF((W1164+Character!$B$9+SUMIF(Character!$I$62:$I$66,"Enigmatic Wisdom",Character!$J$62:$J$66))&gt;=IF(Z1164="Yes",0,(Y1164+D1159)),"Succeeded","Failed"))))</f>
        <v xml:space="preserve"> </v>
      </c>
      <c r="AB1164" s="477" t="str">
        <f>IF(AA1164=" "," ",IF(NOT(ISBLANK(X1164)),VLOOKUP($D$3+X1164,Calcs!$A$110:$C$122,3,TRUE),IF(AA1164="Failed",VLOOKUP($D$3,Calcs!$A$110:$C$122,3,TRUE),VLOOKUP($D$3-(IF((Character!$B$9+W1164)&gt;($D$3+Y1164),(Character!$B$9+W1164)-($D$3+Y1164),0)),Calcs!$A$110:$C$122,3,TRUE))))</f>
        <v xml:space="preserve"> </v>
      </c>
      <c r="AC1164" s="489"/>
      <c r="AD1164" s="489" t="str">
        <f>IF(IF(AA1164=" "," ",IF(NOT(ISBLANK(X1164)),VLOOKUP($D$3+X1164,Calcs!$A$110:$B$122,2,TRUE),IF(AA1164="Failed",VLOOKUP($D$3,Calcs!$A$110:$B$122,2,TRUE),VLOOKUP($D$3-(IF((Character!$B$9+W1164)&gt;($D$3+Y1164),(Character!$B$9+W1164)-($D$3+Y1164),0)),Calcs!$A$110:$B$122,2,TRUE))))=Calcs!$B$120,IF(ISBLANK(AC1164)," ",CONCATENATE(AC1164+7," Years")),IF(AA1164=" "," ",IF(NOT(ISBLANK(X1164)),VLOOKUP($D$3+X1164,Calcs!$A$110:$B$122,2,TRUE),IF(AA1164="Failed",VLOOKUP($D$3,Calcs!$A$110:$B$122,2,TRUE),VLOOKUP($D$3-(IF((Character!$B$9+W1164)&gt;($D$3+Y1164),(Character!$B$9+W1164)-($D$3+Y1164),0)),Calcs!$A$110:$B$122,2,TRUE)))))</f>
        <v xml:space="preserve"> </v>
      </c>
      <c r="AE1164" s="490"/>
      <c r="AF1164" s="879"/>
      <c r="AG1164" s="491"/>
    </row>
    <row r="1165" spans="1:33" x14ac:dyDescent="0.2">
      <c r="A1165" s="415">
        <f t="shared" si="34"/>
        <v>1501</v>
      </c>
      <c r="B1165" s="419" t="str">
        <f t="shared" si="35"/>
        <v>Spring</v>
      </c>
      <c r="C1165" s="455"/>
      <c r="D1165" s="504"/>
      <c r="E1165" s="455"/>
      <c r="F1165" s="504"/>
      <c r="G1165" s="455"/>
      <c r="H1165" s="504"/>
      <c r="I1165" s="455"/>
      <c r="J1165" s="504"/>
      <c r="L1165" s="472"/>
      <c r="M1165" s="468"/>
      <c r="N1165" s="468"/>
      <c r="O1165" s="468"/>
      <c r="P1165" s="468"/>
      <c r="Q1165" s="473"/>
      <c r="R1165" s="477" t="str">
        <f>IF(AND(COUNTIF('Start Character'!$I$63:$M$77,"Twilight Prone")=1,NOT(ISERROR(FIND("Magical Botch",M1165)))),"Yes",IF(P1165&gt;1,"Yes","No"))</f>
        <v>No</v>
      </c>
      <c r="S1165" s="501"/>
      <c r="T1165" s="478"/>
      <c r="U1165" s="501"/>
      <c r="V1165" s="479" t="str">
        <f>IF(R1165="No","No Twilight",IF(T1165="Yes","Uncomprehended Twilight",IF((Character!$B$14+IF(Character!$B$53="Yes",0,Character!$B$53)+IF(Magic!$C$5="Yes",2,0)+ROUNDUP((Magic!$B$30+IF(Magic!$C$30="Yes",3,0))/5,0)+S1165)&gt;=($D$3+P1165+SUMIF(Character!$I$62:$I$66,"Enigmatic Wisdom",Character!$J$62:$J$66)+Q1165+U1165),"No Twilight","Twilight")))</f>
        <v>No Twilight</v>
      </c>
      <c r="W1165" s="483"/>
      <c r="X1165" s="478"/>
      <c r="Y1165" s="484"/>
      <c r="Z1165" s="478"/>
      <c r="AA1165" s="485" t="str">
        <f>IF(V1165="Uncomprehended Twilight","Failed",IF(OR(ISBLANK(W1165),ISBLANK(Y1165))," ",IF(NOT(ISBLANK(X1165)),"Failed",IF((W1165+Character!$B$9+SUMIF(Character!$I$62:$I$66,"Enigmatic Wisdom",Character!$J$62:$J$66))&gt;=IF(Z1165="Yes",0,(Y1165+D1160)),"Succeeded","Failed"))))</f>
        <v xml:space="preserve"> </v>
      </c>
      <c r="AB1165" s="477" t="str">
        <f>IF(AA1165=" "," ",IF(NOT(ISBLANK(X1165)),VLOOKUP($D$3+X1165,Calcs!$A$110:$C$122,3,TRUE),IF(AA1165="Failed",VLOOKUP($D$3,Calcs!$A$110:$C$122,3,TRUE),VLOOKUP($D$3-(IF((Character!$B$9+W1165)&gt;($D$3+Y1165),(Character!$B$9+W1165)-($D$3+Y1165),0)),Calcs!$A$110:$C$122,3,TRUE))))</f>
        <v xml:space="preserve"> </v>
      </c>
      <c r="AC1165" s="489"/>
      <c r="AD1165" s="489" t="str">
        <f>IF(IF(AA1165=" "," ",IF(NOT(ISBLANK(X1165)),VLOOKUP($D$3+X1165,Calcs!$A$110:$B$122,2,TRUE),IF(AA1165="Failed",VLOOKUP($D$3,Calcs!$A$110:$B$122,2,TRUE),VLOOKUP($D$3-(IF((Character!$B$9+W1165)&gt;($D$3+Y1165),(Character!$B$9+W1165)-($D$3+Y1165),0)),Calcs!$A$110:$B$122,2,TRUE))))=Calcs!$B$120,IF(ISBLANK(AC1165)," ",CONCATENATE(AC1165+7," Years")),IF(AA1165=" "," ",IF(NOT(ISBLANK(X1165)),VLOOKUP($D$3+X1165,Calcs!$A$110:$B$122,2,TRUE),IF(AA1165="Failed",VLOOKUP($D$3,Calcs!$A$110:$B$122,2,TRUE),VLOOKUP($D$3-(IF((Character!$B$9+W1165)&gt;($D$3+Y1165),(Character!$B$9+W1165)-($D$3+Y1165),0)),Calcs!$A$110:$B$122,2,TRUE)))))</f>
        <v xml:space="preserve"> </v>
      </c>
      <c r="AE1165" s="490"/>
      <c r="AF1165" s="879"/>
      <c r="AG1165" s="491"/>
    </row>
    <row r="1166" spans="1:33" x14ac:dyDescent="0.2">
      <c r="A1166" s="415">
        <f t="shared" si="34"/>
        <v>1501</v>
      </c>
      <c r="B1166" s="419" t="str">
        <f t="shared" si="35"/>
        <v>Summer</v>
      </c>
      <c r="C1166" s="455"/>
      <c r="D1166" s="504"/>
      <c r="E1166" s="455"/>
      <c r="F1166" s="504"/>
      <c r="G1166" s="455"/>
      <c r="H1166" s="504"/>
      <c r="I1166" s="455"/>
      <c r="J1166" s="504"/>
      <c r="L1166" s="472"/>
      <c r="M1166" s="468"/>
      <c r="N1166" s="468"/>
      <c r="O1166" s="468"/>
      <c r="P1166" s="468"/>
      <c r="Q1166" s="473"/>
      <c r="R1166" s="477" t="str">
        <f>IF(AND(COUNTIF('Start Character'!$I$63:$M$77,"Twilight Prone")=1,NOT(ISERROR(FIND("Magical Botch",M1166)))),"Yes",IF(P1166&gt;1,"Yes","No"))</f>
        <v>No</v>
      </c>
      <c r="S1166" s="501"/>
      <c r="T1166" s="478"/>
      <c r="U1166" s="501"/>
      <c r="V1166" s="479" t="str">
        <f>IF(R1166="No","No Twilight",IF(T1166="Yes","Uncomprehended Twilight",IF((Character!$B$14+IF(Character!$B$53="Yes",0,Character!$B$53)+IF(Magic!$C$5="Yes",2,0)+ROUNDUP((Magic!$B$30+IF(Magic!$C$30="Yes",3,0))/5,0)+S1166)&gt;=($D$3+P1166+SUMIF(Character!$I$62:$I$66,"Enigmatic Wisdom",Character!$J$62:$J$66)+Q1166+U1166),"No Twilight","Twilight")))</f>
        <v>No Twilight</v>
      </c>
      <c r="W1166" s="483"/>
      <c r="X1166" s="478"/>
      <c r="Y1166" s="484"/>
      <c r="Z1166" s="478"/>
      <c r="AA1166" s="485" t="str">
        <f>IF(V1166="Uncomprehended Twilight","Failed",IF(OR(ISBLANK(W1166),ISBLANK(Y1166))," ",IF(NOT(ISBLANK(X1166)),"Failed",IF((W1166+Character!$B$9+SUMIF(Character!$I$62:$I$66,"Enigmatic Wisdom",Character!$J$62:$J$66))&gt;=IF(Z1166="Yes",0,(Y1166+D1161)),"Succeeded","Failed"))))</f>
        <v xml:space="preserve"> </v>
      </c>
      <c r="AB1166" s="477" t="str">
        <f>IF(AA1166=" "," ",IF(NOT(ISBLANK(X1166)),VLOOKUP($D$3+X1166,Calcs!$A$110:$C$122,3,TRUE),IF(AA1166="Failed",VLOOKUP($D$3,Calcs!$A$110:$C$122,3,TRUE),VLOOKUP($D$3-(IF((Character!$B$9+W1166)&gt;($D$3+Y1166),(Character!$B$9+W1166)-($D$3+Y1166),0)),Calcs!$A$110:$C$122,3,TRUE))))</f>
        <v xml:space="preserve"> </v>
      </c>
      <c r="AC1166" s="489"/>
      <c r="AD1166" s="489" t="str">
        <f>IF(IF(AA1166=" "," ",IF(NOT(ISBLANK(X1166)),VLOOKUP($D$3+X1166,Calcs!$A$110:$B$122,2,TRUE),IF(AA1166="Failed",VLOOKUP($D$3,Calcs!$A$110:$B$122,2,TRUE),VLOOKUP($D$3-(IF((Character!$B$9+W1166)&gt;($D$3+Y1166),(Character!$B$9+W1166)-($D$3+Y1166),0)),Calcs!$A$110:$B$122,2,TRUE))))=Calcs!$B$120,IF(ISBLANK(AC1166)," ",CONCATENATE(AC1166+7," Years")),IF(AA1166=" "," ",IF(NOT(ISBLANK(X1166)),VLOOKUP($D$3+X1166,Calcs!$A$110:$B$122,2,TRUE),IF(AA1166="Failed",VLOOKUP($D$3,Calcs!$A$110:$B$122,2,TRUE),VLOOKUP($D$3-(IF((Character!$B$9+W1166)&gt;($D$3+Y1166),(Character!$B$9+W1166)-($D$3+Y1166),0)),Calcs!$A$110:$B$122,2,TRUE)))))</f>
        <v xml:space="preserve"> </v>
      </c>
      <c r="AE1166" s="490"/>
      <c r="AF1166" s="879"/>
      <c r="AG1166" s="491"/>
    </row>
    <row r="1167" spans="1:33" x14ac:dyDescent="0.2">
      <c r="A1167" s="415">
        <f t="shared" si="34"/>
        <v>1501</v>
      </c>
      <c r="B1167" s="419" t="str">
        <f t="shared" si="35"/>
        <v>Autumn</v>
      </c>
      <c r="C1167" s="455"/>
      <c r="D1167" s="504"/>
      <c r="E1167" s="455"/>
      <c r="F1167" s="504"/>
      <c r="G1167" s="455"/>
      <c r="H1167" s="504"/>
      <c r="I1167" s="455"/>
      <c r="J1167" s="504"/>
      <c r="L1167" s="472"/>
      <c r="M1167" s="468"/>
      <c r="N1167" s="468"/>
      <c r="O1167" s="468"/>
      <c r="P1167" s="468"/>
      <c r="Q1167" s="473"/>
      <c r="R1167" s="477" t="str">
        <f>IF(AND(COUNTIF('Start Character'!$I$63:$M$77,"Twilight Prone")=1,NOT(ISERROR(FIND("Magical Botch",M1167)))),"Yes",IF(P1167&gt;1,"Yes","No"))</f>
        <v>No</v>
      </c>
      <c r="S1167" s="501"/>
      <c r="T1167" s="478"/>
      <c r="U1167" s="501"/>
      <c r="V1167" s="479" t="str">
        <f>IF(R1167="No","No Twilight",IF(T1167="Yes","Uncomprehended Twilight",IF((Character!$B$14+IF(Character!$B$53="Yes",0,Character!$B$53)+IF(Magic!$C$5="Yes",2,0)+ROUNDUP((Magic!$B$30+IF(Magic!$C$30="Yes",3,0))/5,0)+S1167)&gt;=($D$3+P1167+SUMIF(Character!$I$62:$I$66,"Enigmatic Wisdom",Character!$J$62:$J$66)+Q1167+U1167),"No Twilight","Twilight")))</f>
        <v>No Twilight</v>
      </c>
      <c r="W1167" s="483"/>
      <c r="X1167" s="478"/>
      <c r="Y1167" s="484"/>
      <c r="Z1167" s="478"/>
      <c r="AA1167" s="485" t="str">
        <f>IF(V1167="Uncomprehended Twilight","Failed",IF(OR(ISBLANK(W1167),ISBLANK(Y1167))," ",IF(NOT(ISBLANK(X1167)),"Failed",IF((W1167+Character!$B$9+SUMIF(Character!$I$62:$I$66,"Enigmatic Wisdom",Character!$J$62:$J$66))&gt;=IF(Z1167="Yes",0,(Y1167+D1162)),"Succeeded","Failed"))))</f>
        <v xml:space="preserve"> </v>
      </c>
      <c r="AB1167" s="477" t="str">
        <f>IF(AA1167=" "," ",IF(NOT(ISBLANK(X1167)),VLOOKUP($D$3+X1167,Calcs!$A$110:$C$122,3,TRUE),IF(AA1167="Failed",VLOOKUP($D$3,Calcs!$A$110:$C$122,3,TRUE),VLOOKUP($D$3-(IF((Character!$B$9+W1167)&gt;($D$3+Y1167),(Character!$B$9+W1167)-($D$3+Y1167),0)),Calcs!$A$110:$C$122,3,TRUE))))</f>
        <v xml:space="preserve"> </v>
      </c>
      <c r="AC1167" s="489"/>
      <c r="AD1167" s="489" t="str">
        <f>IF(IF(AA1167=" "," ",IF(NOT(ISBLANK(X1167)),VLOOKUP($D$3+X1167,Calcs!$A$110:$B$122,2,TRUE),IF(AA1167="Failed",VLOOKUP($D$3,Calcs!$A$110:$B$122,2,TRUE),VLOOKUP($D$3-(IF((Character!$B$9+W1167)&gt;($D$3+Y1167),(Character!$B$9+W1167)-($D$3+Y1167),0)),Calcs!$A$110:$B$122,2,TRUE))))=Calcs!$B$120,IF(ISBLANK(AC1167)," ",CONCATENATE(AC1167+7," Years")),IF(AA1167=" "," ",IF(NOT(ISBLANK(X1167)),VLOOKUP($D$3+X1167,Calcs!$A$110:$B$122,2,TRUE),IF(AA1167="Failed",VLOOKUP($D$3,Calcs!$A$110:$B$122,2,TRUE),VLOOKUP($D$3-(IF((Character!$B$9+W1167)&gt;($D$3+Y1167),(Character!$B$9+W1167)-($D$3+Y1167),0)),Calcs!$A$110:$B$122,2,TRUE)))))</f>
        <v xml:space="preserve"> </v>
      </c>
      <c r="AE1167" s="490"/>
      <c r="AF1167" s="879"/>
      <c r="AG1167" s="491"/>
    </row>
    <row r="1168" spans="1:33" x14ac:dyDescent="0.2">
      <c r="A1168" s="415">
        <f t="shared" si="34"/>
        <v>1502</v>
      </c>
      <c r="B1168" s="419" t="str">
        <f t="shared" si="35"/>
        <v>Winter</v>
      </c>
      <c r="C1168" s="455"/>
      <c r="D1168" s="504"/>
      <c r="E1168" s="455"/>
      <c r="F1168" s="504"/>
      <c r="G1168" s="455"/>
      <c r="H1168" s="504"/>
      <c r="I1168" s="455"/>
      <c r="J1168" s="504"/>
      <c r="L1168" s="472"/>
      <c r="M1168" s="468"/>
      <c r="N1168" s="468"/>
      <c r="O1168" s="468"/>
      <c r="P1168" s="468"/>
      <c r="Q1168" s="473"/>
      <c r="R1168" s="477" t="str">
        <f>IF(AND(COUNTIF('Start Character'!$I$63:$M$77,"Twilight Prone")=1,NOT(ISERROR(FIND("Magical Botch",M1168)))),"Yes",IF(P1168&gt;1,"Yes","No"))</f>
        <v>No</v>
      </c>
      <c r="S1168" s="501"/>
      <c r="T1168" s="478"/>
      <c r="U1168" s="501"/>
      <c r="V1168" s="479" t="str">
        <f>IF(R1168="No","No Twilight",IF(T1168="Yes","Uncomprehended Twilight",IF((Character!$B$14+IF(Character!$B$53="Yes",0,Character!$B$53)+IF(Magic!$C$5="Yes",2,0)+ROUNDUP((Magic!$B$30+IF(Magic!$C$30="Yes",3,0))/5,0)+S1168)&gt;=($D$3+P1168+SUMIF(Character!$I$62:$I$66,"Enigmatic Wisdom",Character!$J$62:$J$66)+Q1168+U1168),"No Twilight","Twilight")))</f>
        <v>No Twilight</v>
      </c>
      <c r="W1168" s="483"/>
      <c r="X1168" s="478"/>
      <c r="Y1168" s="484"/>
      <c r="Z1168" s="478"/>
      <c r="AA1168" s="485" t="str">
        <f>IF(V1168="Uncomprehended Twilight","Failed",IF(OR(ISBLANK(W1168),ISBLANK(Y1168))," ",IF(NOT(ISBLANK(X1168)),"Failed",IF((W1168+Character!$B$9+SUMIF(Character!$I$62:$I$66,"Enigmatic Wisdom",Character!$J$62:$J$66))&gt;=IF(Z1168="Yes",0,(Y1168+D1163)),"Succeeded","Failed"))))</f>
        <v xml:space="preserve"> </v>
      </c>
      <c r="AB1168" s="477" t="str">
        <f>IF(AA1168=" "," ",IF(NOT(ISBLANK(X1168)),VLOOKUP($D$3+X1168,Calcs!$A$110:$C$122,3,TRUE),IF(AA1168="Failed",VLOOKUP($D$3,Calcs!$A$110:$C$122,3,TRUE),VLOOKUP($D$3-(IF((Character!$B$9+W1168)&gt;($D$3+Y1168),(Character!$B$9+W1168)-($D$3+Y1168),0)),Calcs!$A$110:$C$122,3,TRUE))))</f>
        <v xml:space="preserve"> </v>
      </c>
      <c r="AC1168" s="489"/>
      <c r="AD1168" s="489" t="str">
        <f>IF(IF(AA1168=" "," ",IF(NOT(ISBLANK(X1168)),VLOOKUP($D$3+X1168,Calcs!$A$110:$B$122,2,TRUE),IF(AA1168="Failed",VLOOKUP($D$3,Calcs!$A$110:$B$122,2,TRUE),VLOOKUP($D$3-(IF((Character!$B$9+W1168)&gt;($D$3+Y1168),(Character!$B$9+W1168)-($D$3+Y1168),0)),Calcs!$A$110:$B$122,2,TRUE))))=Calcs!$B$120,IF(ISBLANK(AC1168)," ",CONCATENATE(AC1168+7," Years")),IF(AA1168=" "," ",IF(NOT(ISBLANK(X1168)),VLOOKUP($D$3+X1168,Calcs!$A$110:$B$122,2,TRUE),IF(AA1168="Failed",VLOOKUP($D$3,Calcs!$A$110:$B$122,2,TRUE),VLOOKUP($D$3-(IF((Character!$B$9+W1168)&gt;($D$3+Y1168),(Character!$B$9+W1168)-($D$3+Y1168),0)),Calcs!$A$110:$B$122,2,TRUE)))))</f>
        <v xml:space="preserve"> </v>
      </c>
      <c r="AE1168" s="490"/>
      <c r="AF1168" s="879"/>
      <c r="AG1168" s="491"/>
    </row>
    <row r="1169" spans="1:33" x14ac:dyDescent="0.2">
      <c r="A1169" s="415">
        <f t="shared" si="34"/>
        <v>1502</v>
      </c>
      <c r="B1169" s="419" t="str">
        <f t="shared" si="35"/>
        <v>Spring</v>
      </c>
      <c r="C1169" s="455"/>
      <c r="D1169" s="504"/>
      <c r="E1169" s="455"/>
      <c r="F1169" s="504"/>
      <c r="G1169" s="455"/>
      <c r="H1169" s="504"/>
      <c r="I1169" s="455"/>
      <c r="J1169" s="504"/>
      <c r="L1169" s="472"/>
      <c r="M1169" s="468"/>
      <c r="N1169" s="468"/>
      <c r="O1169" s="468"/>
      <c r="P1169" s="468"/>
      <c r="Q1169" s="473"/>
      <c r="R1169" s="477" t="str">
        <f>IF(AND(COUNTIF('Start Character'!$I$63:$M$77,"Twilight Prone")=1,NOT(ISERROR(FIND("Magical Botch",M1169)))),"Yes",IF(P1169&gt;1,"Yes","No"))</f>
        <v>No</v>
      </c>
      <c r="S1169" s="501"/>
      <c r="T1169" s="478"/>
      <c r="U1169" s="501"/>
      <c r="V1169" s="479" t="str">
        <f>IF(R1169="No","No Twilight",IF(T1169="Yes","Uncomprehended Twilight",IF((Character!$B$14+IF(Character!$B$53="Yes",0,Character!$B$53)+IF(Magic!$C$5="Yes",2,0)+ROUNDUP((Magic!$B$30+IF(Magic!$C$30="Yes",3,0))/5,0)+S1169)&gt;=($D$3+P1169+SUMIF(Character!$I$62:$I$66,"Enigmatic Wisdom",Character!$J$62:$J$66)+Q1169+U1169),"No Twilight","Twilight")))</f>
        <v>No Twilight</v>
      </c>
      <c r="W1169" s="483"/>
      <c r="X1169" s="478"/>
      <c r="Y1169" s="484"/>
      <c r="Z1169" s="478"/>
      <c r="AA1169" s="485" t="str">
        <f>IF(V1169="Uncomprehended Twilight","Failed",IF(OR(ISBLANK(W1169),ISBLANK(Y1169))," ",IF(NOT(ISBLANK(X1169)),"Failed",IF((W1169+Character!$B$9+SUMIF(Character!$I$62:$I$66,"Enigmatic Wisdom",Character!$J$62:$J$66))&gt;=IF(Z1169="Yes",0,(Y1169+D1164)),"Succeeded","Failed"))))</f>
        <v xml:space="preserve"> </v>
      </c>
      <c r="AB1169" s="477" t="str">
        <f>IF(AA1169=" "," ",IF(NOT(ISBLANK(X1169)),VLOOKUP($D$3+X1169,Calcs!$A$110:$C$122,3,TRUE),IF(AA1169="Failed",VLOOKUP($D$3,Calcs!$A$110:$C$122,3,TRUE),VLOOKUP($D$3-(IF((Character!$B$9+W1169)&gt;($D$3+Y1169),(Character!$B$9+W1169)-($D$3+Y1169),0)),Calcs!$A$110:$C$122,3,TRUE))))</f>
        <v xml:space="preserve"> </v>
      </c>
      <c r="AC1169" s="489"/>
      <c r="AD1169" s="489" t="str">
        <f>IF(IF(AA1169=" "," ",IF(NOT(ISBLANK(X1169)),VLOOKUP($D$3+X1169,Calcs!$A$110:$B$122,2,TRUE),IF(AA1169="Failed",VLOOKUP($D$3,Calcs!$A$110:$B$122,2,TRUE),VLOOKUP($D$3-(IF((Character!$B$9+W1169)&gt;($D$3+Y1169),(Character!$B$9+W1169)-($D$3+Y1169),0)),Calcs!$A$110:$B$122,2,TRUE))))=Calcs!$B$120,IF(ISBLANK(AC1169)," ",CONCATENATE(AC1169+7," Years")),IF(AA1169=" "," ",IF(NOT(ISBLANK(X1169)),VLOOKUP($D$3+X1169,Calcs!$A$110:$B$122,2,TRUE),IF(AA1169="Failed",VLOOKUP($D$3,Calcs!$A$110:$B$122,2,TRUE),VLOOKUP($D$3-(IF((Character!$B$9+W1169)&gt;($D$3+Y1169),(Character!$B$9+W1169)-($D$3+Y1169),0)),Calcs!$A$110:$B$122,2,TRUE)))))</f>
        <v xml:space="preserve"> </v>
      </c>
      <c r="AE1169" s="490"/>
      <c r="AF1169" s="879"/>
      <c r="AG1169" s="491"/>
    </row>
    <row r="1170" spans="1:33" x14ac:dyDescent="0.2">
      <c r="A1170" s="415">
        <f t="shared" si="34"/>
        <v>1502</v>
      </c>
      <c r="B1170" s="419" t="str">
        <f t="shared" si="35"/>
        <v>Summer</v>
      </c>
      <c r="C1170" s="455"/>
      <c r="D1170" s="504"/>
      <c r="E1170" s="455"/>
      <c r="F1170" s="504"/>
      <c r="G1170" s="455"/>
      <c r="H1170" s="504"/>
      <c r="I1170" s="455"/>
      <c r="J1170" s="504"/>
      <c r="L1170" s="472"/>
      <c r="M1170" s="468"/>
      <c r="N1170" s="468"/>
      <c r="O1170" s="468"/>
      <c r="P1170" s="468"/>
      <c r="Q1170" s="473"/>
      <c r="R1170" s="477" t="str">
        <f>IF(AND(COUNTIF('Start Character'!$I$63:$M$77,"Twilight Prone")=1,NOT(ISERROR(FIND("Magical Botch",M1170)))),"Yes",IF(P1170&gt;1,"Yes","No"))</f>
        <v>No</v>
      </c>
      <c r="S1170" s="501"/>
      <c r="T1170" s="478"/>
      <c r="U1170" s="501"/>
      <c r="V1170" s="479" t="str">
        <f>IF(R1170="No","No Twilight",IF(T1170="Yes","Uncomprehended Twilight",IF((Character!$B$14+IF(Character!$B$53="Yes",0,Character!$B$53)+IF(Magic!$C$5="Yes",2,0)+ROUNDUP((Magic!$B$30+IF(Magic!$C$30="Yes",3,0))/5,0)+S1170)&gt;=($D$3+P1170+SUMIF(Character!$I$62:$I$66,"Enigmatic Wisdom",Character!$J$62:$J$66)+Q1170+U1170),"No Twilight","Twilight")))</f>
        <v>No Twilight</v>
      </c>
      <c r="W1170" s="483"/>
      <c r="X1170" s="478"/>
      <c r="Y1170" s="484"/>
      <c r="Z1170" s="478"/>
      <c r="AA1170" s="485" t="str">
        <f>IF(V1170="Uncomprehended Twilight","Failed",IF(OR(ISBLANK(W1170),ISBLANK(Y1170))," ",IF(NOT(ISBLANK(X1170)),"Failed",IF((W1170+Character!$B$9+SUMIF(Character!$I$62:$I$66,"Enigmatic Wisdom",Character!$J$62:$J$66))&gt;=IF(Z1170="Yes",0,(Y1170+D1165)),"Succeeded","Failed"))))</f>
        <v xml:space="preserve"> </v>
      </c>
      <c r="AB1170" s="477" t="str">
        <f>IF(AA1170=" "," ",IF(NOT(ISBLANK(X1170)),VLOOKUP($D$3+X1170,Calcs!$A$110:$C$122,3,TRUE),IF(AA1170="Failed",VLOOKUP($D$3,Calcs!$A$110:$C$122,3,TRUE),VLOOKUP($D$3-(IF((Character!$B$9+W1170)&gt;($D$3+Y1170),(Character!$B$9+W1170)-($D$3+Y1170),0)),Calcs!$A$110:$C$122,3,TRUE))))</f>
        <v xml:space="preserve"> </v>
      </c>
      <c r="AC1170" s="489"/>
      <c r="AD1170" s="489" t="str">
        <f>IF(IF(AA1170=" "," ",IF(NOT(ISBLANK(X1170)),VLOOKUP($D$3+X1170,Calcs!$A$110:$B$122,2,TRUE),IF(AA1170="Failed",VLOOKUP($D$3,Calcs!$A$110:$B$122,2,TRUE),VLOOKUP($D$3-(IF((Character!$B$9+W1170)&gt;($D$3+Y1170),(Character!$B$9+W1170)-($D$3+Y1170),0)),Calcs!$A$110:$B$122,2,TRUE))))=Calcs!$B$120,IF(ISBLANK(AC1170)," ",CONCATENATE(AC1170+7," Years")),IF(AA1170=" "," ",IF(NOT(ISBLANK(X1170)),VLOOKUP($D$3+X1170,Calcs!$A$110:$B$122,2,TRUE),IF(AA1170="Failed",VLOOKUP($D$3,Calcs!$A$110:$B$122,2,TRUE),VLOOKUP($D$3-(IF((Character!$B$9+W1170)&gt;($D$3+Y1170),(Character!$B$9+W1170)-($D$3+Y1170),0)),Calcs!$A$110:$B$122,2,TRUE)))))</f>
        <v xml:space="preserve"> </v>
      </c>
      <c r="AE1170" s="490"/>
      <c r="AF1170" s="879"/>
      <c r="AG1170" s="491"/>
    </row>
    <row r="1171" spans="1:33" x14ac:dyDescent="0.2">
      <c r="A1171" s="415">
        <f t="shared" si="34"/>
        <v>1502</v>
      </c>
      <c r="B1171" s="419" t="str">
        <f t="shared" si="35"/>
        <v>Autumn</v>
      </c>
      <c r="C1171" s="455"/>
      <c r="D1171" s="504"/>
      <c r="E1171" s="455"/>
      <c r="F1171" s="504"/>
      <c r="G1171" s="455"/>
      <c r="H1171" s="504"/>
      <c r="I1171" s="455"/>
      <c r="J1171" s="504"/>
      <c r="L1171" s="472"/>
      <c r="M1171" s="468"/>
      <c r="N1171" s="468"/>
      <c r="O1171" s="468"/>
      <c r="P1171" s="468"/>
      <c r="Q1171" s="473"/>
      <c r="R1171" s="477" t="str">
        <f>IF(AND(COUNTIF('Start Character'!$I$63:$M$77,"Twilight Prone")=1,NOT(ISERROR(FIND("Magical Botch",M1171)))),"Yes",IF(P1171&gt;1,"Yes","No"))</f>
        <v>No</v>
      </c>
      <c r="S1171" s="501"/>
      <c r="T1171" s="478"/>
      <c r="U1171" s="501"/>
      <c r="V1171" s="479" t="str">
        <f>IF(R1171="No","No Twilight",IF(T1171="Yes","Uncomprehended Twilight",IF((Character!$B$14+IF(Character!$B$53="Yes",0,Character!$B$53)+IF(Magic!$C$5="Yes",2,0)+ROUNDUP((Magic!$B$30+IF(Magic!$C$30="Yes",3,0))/5,0)+S1171)&gt;=($D$3+P1171+SUMIF(Character!$I$62:$I$66,"Enigmatic Wisdom",Character!$J$62:$J$66)+Q1171+U1171),"No Twilight","Twilight")))</f>
        <v>No Twilight</v>
      </c>
      <c r="W1171" s="483"/>
      <c r="X1171" s="478"/>
      <c r="Y1171" s="484"/>
      <c r="Z1171" s="478"/>
      <c r="AA1171" s="485" t="str">
        <f>IF(V1171="Uncomprehended Twilight","Failed",IF(OR(ISBLANK(W1171),ISBLANK(Y1171))," ",IF(NOT(ISBLANK(X1171)),"Failed",IF((W1171+Character!$B$9+SUMIF(Character!$I$62:$I$66,"Enigmatic Wisdom",Character!$J$62:$J$66))&gt;=IF(Z1171="Yes",0,(Y1171+D1166)),"Succeeded","Failed"))))</f>
        <v xml:space="preserve"> </v>
      </c>
      <c r="AB1171" s="477" t="str">
        <f>IF(AA1171=" "," ",IF(NOT(ISBLANK(X1171)),VLOOKUP($D$3+X1171,Calcs!$A$110:$C$122,3,TRUE),IF(AA1171="Failed",VLOOKUP($D$3,Calcs!$A$110:$C$122,3,TRUE),VLOOKUP($D$3-(IF((Character!$B$9+W1171)&gt;($D$3+Y1171),(Character!$B$9+W1171)-($D$3+Y1171),0)),Calcs!$A$110:$C$122,3,TRUE))))</f>
        <v xml:space="preserve"> </v>
      </c>
      <c r="AC1171" s="489"/>
      <c r="AD1171" s="489" t="str">
        <f>IF(IF(AA1171=" "," ",IF(NOT(ISBLANK(X1171)),VLOOKUP($D$3+X1171,Calcs!$A$110:$B$122,2,TRUE),IF(AA1171="Failed",VLOOKUP($D$3,Calcs!$A$110:$B$122,2,TRUE),VLOOKUP($D$3-(IF((Character!$B$9+W1171)&gt;($D$3+Y1171),(Character!$B$9+W1171)-($D$3+Y1171),0)),Calcs!$A$110:$B$122,2,TRUE))))=Calcs!$B$120,IF(ISBLANK(AC1171)," ",CONCATENATE(AC1171+7," Years")),IF(AA1171=" "," ",IF(NOT(ISBLANK(X1171)),VLOOKUP($D$3+X1171,Calcs!$A$110:$B$122,2,TRUE),IF(AA1171="Failed",VLOOKUP($D$3,Calcs!$A$110:$B$122,2,TRUE),VLOOKUP($D$3-(IF((Character!$B$9+W1171)&gt;($D$3+Y1171),(Character!$B$9+W1171)-($D$3+Y1171),0)),Calcs!$A$110:$B$122,2,TRUE)))))</f>
        <v xml:space="preserve"> </v>
      </c>
      <c r="AE1171" s="490"/>
      <c r="AF1171" s="879"/>
      <c r="AG1171" s="491"/>
    </row>
    <row r="1172" spans="1:33" x14ac:dyDescent="0.2">
      <c r="A1172" s="415">
        <f t="shared" si="34"/>
        <v>1503</v>
      </c>
      <c r="B1172" s="419" t="str">
        <f t="shared" si="35"/>
        <v>Winter</v>
      </c>
      <c r="C1172" s="455"/>
      <c r="D1172" s="504"/>
      <c r="E1172" s="455"/>
      <c r="F1172" s="504"/>
      <c r="G1172" s="455"/>
      <c r="H1172" s="504"/>
      <c r="I1172" s="455"/>
      <c r="J1172" s="504"/>
      <c r="L1172" s="472"/>
      <c r="M1172" s="468"/>
      <c r="N1172" s="468"/>
      <c r="O1172" s="468"/>
      <c r="P1172" s="468"/>
      <c r="Q1172" s="473"/>
      <c r="R1172" s="477" t="str">
        <f>IF(AND(COUNTIF('Start Character'!$I$63:$M$77,"Twilight Prone")=1,NOT(ISERROR(FIND("Magical Botch",M1172)))),"Yes",IF(P1172&gt;1,"Yes","No"))</f>
        <v>No</v>
      </c>
      <c r="S1172" s="501"/>
      <c r="T1172" s="478"/>
      <c r="U1172" s="501"/>
      <c r="V1172" s="479" t="str">
        <f>IF(R1172="No","No Twilight",IF(T1172="Yes","Uncomprehended Twilight",IF((Character!$B$14+IF(Character!$B$53="Yes",0,Character!$B$53)+IF(Magic!$C$5="Yes",2,0)+ROUNDUP((Magic!$B$30+IF(Magic!$C$30="Yes",3,0))/5,0)+S1172)&gt;=($D$3+P1172+SUMIF(Character!$I$62:$I$66,"Enigmatic Wisdom",Character!$J$62:$J$66)+Q1172+U1172),"No Twilight","Twilight")))</f>
        <v>No Twilight</v>
      </c>
      <c r="W1172" s="483"/>
      <c r="X1172" s="478"/>
      <c r="Y1172" s="484"/>
      <c r="Z1172" s="478"/>
      <c r="AA1172" s="485" t="str">
        <f>IF(V1172="Uncomprehended Twilight","Failed",IF(OR(ISBLANK(W1172),ISBLANK(Y1172))," ",IF(NOT(ISBLANK(X1172)),"Failed",IF((W1172+Character!$B$9+SUMIF(Character!$I$62:$I$66,"Enigmatic Wisdom",Character!$J$62:$J$66))&gt;=IF(Z1172="Yes",0,(Y1172+D1167)),"Succeeded","Failed"))))</f>
        <v xml:space="preserve"> </v>
      </c>
      <c r="AB1172" s="477" t="str">
        <f>IF(AA1172=" "," ",IF(NOT(ISBLANK(X1172)),VLOOKUP($D$3+X1172,Calcs!$A$110:$C$122,3,TRUE),IF(AA1172="Failed",VLOOKUP($D$3,Calcs!$A$110:$C$122,3,TRUE),VLOOKUP($D$3-(IF((Character!$B$9+W1172)&gt;($D$3+Y1172),(Character!$B$9+W1172)-($D$3+Y1172),0)),Calcs!$A$110:$C$122,3,TRUE))))</f>
        <v xml:space="preserve"> </v>
      </c>
      <c r="AC1172" s="489"/>
      <c r="AD1172" s="489" t="str">
        <f>IF(IF(AA1172=" "," ",IF(NOT(ISBLANK(X1172)),VLOOKUP($D$3+X1172,Calcs!$A$110:$B$122,2,TRUE),IF(AA1172="Failed",VLOOKUP($D$3,Calcs!$A$110:$B$122,2,TRUE),VLOOKUP($D$3-(IF((Character!$B$9+W1172)&gt;($D$3+Y1172),(Character!$B$9+W1172)-($D$3+Y1172),0)),Calcs!$A$110:$B$122,2,TRUE))))=Calcs!$B$120,IF(ISBLANK(AC1172)," ",CONCATENATE(AC1172+7," Years")),IF(AA1172=" "," ",IF(NOT(ISBLANK(X1172)),VLOOKUP($D$3+X1172,Calcs!$A$110:$B$122,2,TRUE),IF(AA1172="Failed",VLOOKUP($D$3,Calcs!$A$110:$B$122,2,TRUE),VLOOKUP($D$3-(IF((Character!$B$9+W1172)&gt;($D$3+Y1172),(Character!$B$9+W1172)-($D$3+Y1172),0)),Calcs!$A$110:$B$122,2,TRUE)))))</f>
        <v xml:space="preserve"> </v>
      </c>
      <c r="AE1172" s="490"/>
      <c r="AF1172" s="879"/>
      <c r="AG1172" s="491"/>
    </row>
    <row r="1173" spans="1:33" x14ac:dyDescent="0.2">
      <c r="A1173" s="415">
        <f t="shared" si="34"/>
        <v>1503</v>
      </c>
      <c r="B1173" s="419" t="str">
        <f t="shared" si="35"/>
        <v>Spring</v>
      </c>
      <c r="C1173" s="455"/>
      <c r="D1173" s="504"/>
      <c r="E1173" s="455"/>
      <c r="F1173" s="504"/>
      <c r="G1173" s="455"/>
      <c r="H1173" s="504"/>
      <c r="I1173" s="455"/>
      <c r="J1173" s="504"/>
      <c r="L1173" s="472"/>
      <c r="M1173" s="468"/>
      <c r="N1173" s="468"/>
      <c r="O1173" s="468"/>
      <c r="P1173" s="468"/>
      <c r="Q1173" s="473"/>
      <c r="R1173" s="477" t="str">
        <f>IF(AND(COUNTIF('Start Character'!$I$63:$M$77,"Twilight Prone")=1,NOT(ISERROR(FIND("Magical Botch",M1173)))),"Yes",IF(P1173&gt;1,"Yes","No"))</f>
        <v>No</v>
      </c>
      <c r="S1173" s="501"/>
      <c r="T1173" s="478"/>
      <c r="U1173" s="501"/>
      <c r="V1173" s="479" t="str">
        <f>IF(R1173="No","No Twilight",IF(T1173="Yes","Uncomprehended Twilight",IF((Character!$B$14+IF(Character!$B$53="Yes",0,Character!$B$53)+IF(Magic!$C$5="Yes",2,0)+ROUNDUP((Magic!$B$30+IF(Magic!$C$30="Yes",3,0))/5,0)+S1173)&gt;=($D$3+P1173+SUMIF(Character!$I$62:$I$66,"Enigmatic Wisdom",Character!$J$62:$J$66)+Q1173+U1173),"No Twilight","Twilight")))</f>
        <v>No Twilight</v>
      </c>
      <c r="W1173" s="483"/>
      <c r="X1173" s="478"/>
      <c r="Y1173" s="484"/>
      <c r="Z1173" s="478"/>
      <c r="AA1173" s="485" t="str">
        <f>IF(V1173="Uncomprehended Twilight","Failed",IF(OR(ISBLANK(W1173),ISBLANK(Y1173))," ",IF(NOT(ISBLANK(X1173)),"Failed",IF((W1173+Character!$B$9+SUMIF(Character!$I$62:$I$66,"Enigmatic Wisdom",Character!$J$62:$J$66))&gt;=IF(Z1173="Yes",0,(Y1173+D1168)),"Succeeded","Failed"))))</f>
        <v xml:space="preserve"> </v>
      </c>
      <c r="AB1173" s="477" t="str">
        <f>IF(AA1173=" "," ",IF(NOT(ISBLANK(X1173)),VLOOKUP($D$3+X1173,Calcs!$A$110:$C$122,3,TRUE),IF(AA1173="Failed",VLOOKUP($D$3,Calcs!$A$110:$C$122,3,TRUE),VLOOKUP($D$3-(IF((Character!$B$9+W1173)&gt;($D$3+Y1173),(Character!$B$9+W1173)-($D$3+Y1173),0)),Calcs!$A$110:$C$122,3,TRUE))))</f>
        <v xml:space="preserve"> </v>
      </c>
      <c r="AC1173" s="489"/>
      <c r="AD1173" s="489" t="str">
        <f>IF(IF(AA1173=" "," ",IF(NOT(ISBLANK(X1173)),VLOOKUP($D$3+X1173,Calcs!$A$110:$B$122,2,TRUE),IF(AA1173="Failed",VLOOKUP($D$3,Calcs!$A$110:$B$122,2,TRUE),VLOOKUP($D$3-(IF((Character!$B$9+W1173)&gt;($D$3+Y1173),(Character!$B$9+W1173)-($D$3+Y1173),0)),Calcs!$A$110:$B$122,2,TRUE))))=Calcs!$B$120,IF(ISBLANK(AC1173)," ",CONCATENATE(AC1173+7," Years")),IF(AA1173=" "," ",IF(NOT(ISBLANK(X1173)),VLOOKUP($D$3+X1173,Calcs!$A$110:$B$122,2,TRUE),IF(AA1173="Failed",VLOOKUP($D$3,Calcs!$A$110:$B$122,2,TRUE),VLOOKUP($D$3-(IF((Character!$B$9+W1173)&gt;($D$3+Y1173),(Character!$B$9+W1173)-($D$3+Y1173),0)),Calcs!$A$110:$B$122,2,TRUE)))))</f>
        <v xml:space="preserve"> </v>
      </c>
      <c r="AE1173" s="490"/>
      <c r="AF1173" s="879"/>
      <c r="AG1173" s="491"/>
    </row>
    <row r="1174" spans="1:33" x14ac:dyDescent="0.2">
      <c r="A1174" s="415">
        <f t="shared" si="34"/>
        <v>1503</v>
      </c>
      <c r="B1174" s="419" t="str">
        <f t="shared" si="35"/>
        <v>Summer</v>
      </c>
      <c r="C1174" s="455"/>
      <c r="D1174" s="504"/>
      <c r="E1174" s="455"/>
      <c r="F1174" s="504"/>
      <c r="G1174" s="455"/>
      <c r="H1174" s="504"/>
      <c r="I1174" s="455"/>
      <c r="J1174" s="504"/>
      <c r="L1174" s="472"/>
      <c r="M1174" s="468"/>
      <c r="N1174" s="468"/>
      <c r="O1174" s="468"/>
      <c r="P1174" s="468"/>
      <c r="Q1174" s="473"/>
      <c r="R1174" s="477" t="str">
        <f>IF(AND(COUNTIF('Start Character'!$I$63:$M$77,"Twilight Prone")=1,NOT(ISERROR(FIND("Magical Botch",M1174)))),"Yes",IF(P1174&gt;1,"Yes","No"))</f>
        <v>No</v>
      </c>
      <c r="S1174" s="501"/>
      <c r="T1174" s="478"/>
      <c r="U1174" s="501"/>
      <c r="V1174" s="479" t="str">
        <f>IF(R1174="No","No Twilight",IF(T1174="Yes","Uncomprehended Twilight",IF((Character!$B$14+IF(Character!$B$53="Yes",0,Character!$B$53)+IF(Magic!$C$5="Yes",2,0)+ROUNDUP((Magic!$B$30+IF(Magic!$C$30="Yes",3,0))/5,0)+S1174)&gt;=($D$3+P1174+SUMIF(Character!$I$62:$I$66,"Enigmatic Wisdom",Character!$J$62:$J$66)+Q1174+U1174),"No Twilight","Twilight")))</f>
        <v>No Twilight</v>
      </c>
      <c r="W1174" s="483"/>
      <c r="X1174" s="478"/>
      <c r="Y1174" s="484"/>
      <c r="Z1174" s="478"/>
      <c r="AA1174" s="485" t="str">
        <f>IF(V1174="Uncomprehended Twilight","Failed",IF(OR(ISBLANK(W1174),ISBLANK(Y1174))," ",IF(NOT(ISBLANK(X1174)),"Failed",IF((W1174+Character!$B$9+SUMIF(Character!$I$62:$I$66,"Enigmatic Wisdom",Character!$J$62:$J$66))&gt;=IF(Z1174="Yes",0,(Y1174+D1169)),"Succeeded","Failed"))))</f>
        <v xml:space="preserve"> </v>
      </c>
      <c r="AB1174" s="477" t="str">
        <f>IF(AA1174=" "," ",IF(NOT(ISBLANK(X1174)),VLOOKUP($D$3+X1174,Calcs!$A$110:$C$122,3,TRUE),IF(AA1174="Failed",VLOOKUP($D$3,Calcs!$A$110:$C$122,3,TRUE),VLOOKUP($D$3-(IF((Character!$B$9+W1174)&gt;($D$3+Y1174),(Character!$B$9+W1174)-($D$3+Y1174),0)),Calcs!$A$110:$C$122,3,TRUE))))</f>
        <v xml:space="preserve"> </v>
      </c>
      <c r="AC1174" s="489"/>
      <c r="AD1174" s="489" t="str">
        <f>IF(IF(AA1174=" "," ",IF(NOT(ISBLANK(X1174)),VLOOKUP($D$3+X1174,Calcs!$A$110:$B$122,2,TRUE),IF(AA1174="Failed",VLOOKUP($D$3,Calcs!$A$110:$B$122,2,TRUE),VLOOKUP($D$3-(IF((Character!$B$9+W1174)&gt;($D$3+Y1174),(Character!$B$9+W1174)-($D$3+Y1174),0)),Calcs!$A$110:$B$122,2,TRUE))))=Calcs!$B$120,IF(ISBLANK(AC1174)," ",CONCATENATE(AC1174+7," Years")),IF(AA1174=" "," ",IF(NOT(ISBLANK(X1174)),VLOOKUP($D$3+X1174,Calcs!$A$110:$B$122,2,TRUE),IF(AA1174="Failed",VLOOKUP($D$3,Calcs!$A$110:$B$122,2,TRUE),VLOOKUP($D$3-(IF((Character!$B$9+W1174)&gt;($D$3+Y1174),(Character!$B$9+W1174)-($D$3+Y1174),0)),Calcs!$A$110:$B$122,2,TRUE)))))</f>
        <v xml:space="preserve"> </v>
      </c>
      <c r="AE1174" s="490"/>
      <c r="AF1174" s="879"/>
      <c r="AG1174" s="491"/>
    </row>
    <row r="1175" spans="1:33" x14ac:dyDescent="0.2">
      <c r="A1175" s="415">
        <f t="shared" si="34"/>
        <v>1503</v>
      </c>
      <c r="B1175" s="419" t="str">
        <f t="shared" si="35"/>
        <v>Autumn</v>
      </c>
      <c r="C1175" s="455"/>
      <c r="D1175" s="504"/>
      <c r="E1175" s="455"/>
      <c r="F1175" s="504"/>
      <c r="G1175" s="455"/>
      <c r="H1175" s="504"/>
      <c r="I1175" s="455"/>
      <c r="J1175" s="504"/>
      <c r="L1175" s="472"/>
      <c r="M1175" s="468"/>
      <c r="N1175" s="468"/>
      <c r="O1175" s="468"/>
      <c r="P1175" s="468"/>
      <c r="Q1175" s="473"/>
      <c r="R1175" s="477" t="str">
        <f>IF(AND(COUNTIF('Start Character'!$I$63:$M$77,"Twilight Prone")=1,NOT(ISERROR(FIND("Magical Botch",M1175)))),"Yes",IF(P1175&gt;1,"Yes","No"))</f>
        <v>No</v>
      </c>
      <c r="S1175" s="501"/>
      <c r="T1175" s="478"/>
      <c r="U1175" s="501"/>
      <c r="V1175" s="479" t="str">
        <f>IF(R1175="No","No Twilight",IF(T1175="Yes","Uncomprehended Twilight",IF((Character!$B$14+IF(Character!$B$53="Yes",0,Character!$B$53)+IF(Magic!$C$5="Yes",2,0)+ROUNDUP((Magic!$B$30+IF(Magic!$C$30="Yes",3,0))/5,0)+S1175)&gt;=($D$3+P1175+SUMIF(Character!$I$62:$I$66,"Enigmatic Wisdom",Character!$J$62:$J$66)+Q1175+U1175),"No Twilight","Twilight")))</f>
        <v>No Twilight</v>
      </c>
      <c r="W1175" s="483"/>
      <c r="X1175" s="478"/>
      <c r="Y1175" s="484"/>
      <c r="Z1175" s="478"/>
      <c r="AA1175" s="485" t="str">
        <f>IF(V1175="Uncomprehended Twilight","Failed",IF(OR(ISBLANK(W1175),ISBLANK(Y1175))," ",IF(NOT(ISBLANK(X1175)),"Failed",IF((W1175+Character!$B$9+SUMIF(Character!$I$62:$I$66,"Enigmatic Wisdom",Character!$J$62:$J$66))&gt;=IF(Z1175="Yes",0,(Y1175+D1170)),"Succeeded","Failed"))))</f>
        <v xml:space="preserve"> </v>
      </c>
      <c r="AB1175" s="477" t="str">
        <f>IF(AA1175=" "," ",IF(NOT(ISBLANK(X1175)),VLOOKUP($D$3+X1175,Calcs!$A$110:$C$122,3,TRUE),IF(AA1175="Failed",VLOOKUP($D$3,Calcs!$A$110:$C$122,3,TRUE),VLOOKUP($D$3-(IF((Character!$B$9+W1175)&gt;($D$3+Y1175),(Character!$B$9+W1175)-($D$3+Y1175),0)),Calcs!$A$110:$C$122,3,TRUE))))</f>
        <v xml:space="preserve"> </v>
      </c>
      <c r="AC1175" s="489"/>
      <c r="AD1175" s="489" t="str">
        <f>IF(IF(AA1175=" "," ",IF(NOT(ISBLANK(X1175)),VLOOKUP($D$3+X1175,Calcs!$A$110:$B$122,2,TRUE),IF(AA1175="Failed",VLOOKUP($D$3,Calcs!$A$110:$B$122,2,TRUE),VLOOKUP($D$3-(IF((Character!$B$9+W1175)&gt;($D$3+Y1175),(Character!$B$9+W1175)-($D$3+Y1175),0)),Calcs!$A$110:$B$122,2,TRUE))))=Calcs!$B$120,IF(ISBLANK(AC1175)," ",CONCATENATE(AC1175+7," Years")),IF(AA1175=" "," ",IF(NOT(ISBLANK(X1175)),VLOOKUP($D$3+X1175,Calcs!$A$110:$B$122,2,TRUE),IF(AA1175="Failed",VLOOKUP($D$3,Calcs!$A$110:$B$122,2,TRUE),VLOOKUP($D$3-(IF((Character!$B$9+W1175)&gt;($D$3+Y1175),(Character!$B$9+W1175)-($D$3+Y1175),0)),Calcs!$A$110:$B$122,2,TRUE)))))</f>
        <v xml:space="preserve"> </v>
      </c>
      <c r="AE1175" s="490"/>
      <c r="AF1175" s="879"/>
      <c r="AG1175" s="491"/>
    </row>
    <row r="1176" spans="1:33" x14ac:dyDescent="0.2">
      <c r="A1176" s="415">
        <f t="shared" si="34"/>
        <v>1504</v>
      </c>
      <c r="B1176" s="419" t="str">
        <f t="shared" si="35"/>
        <v>Winter</v>
      </c>
      <c r="C1176" s="455"/>
      <c r="D1176" s="504"/>
      <c r="E1176" s="455"/>
      <c r="F1176" s="504"/>
      <c r="G1176" s="455"/>
      <c r="H1176" s="504"/>
      <c r="I1176" s="455"/>
      <c r="J1176" s="504"/>
      <c r="L1176" s="472"/>
      <c r="M1176" s="468"/>
      <c r="N1176" s="468"/>
      <c r="O1176" s="468"/>
      <c r="P1176" s="468"/>
      <c r="Q1176" s="473"/>
      <c r="R1176" s="477" t="str">
        <f>IF(AND(COUNTIF('Start Character'!$I$63:$M$77,"Twilight Prone")=1,NOT(ISERROR(FIND("Magical Botch",M1176)))),"Yes",IF(P1176&gt;1,"Yes","No"))</f>
        <v>No</v>
      </c>
      <c r="S1176" s="501"/>
      <c r="T1176" s="478"/>
      <c r="U1176" s="501"/>
      <c r="V1176" s="479" t="str">
        <f>IF(R1176="No","No Twilight",IF(T1176="Yes","Uncomprehended Twilight",IF((Character!$B$14+IF(Character!$B$53="Yes",0,Character!$B$53)+IF(Magic!$C$5="Yes",2,0)+ROUNDUP((Magic!$B$30+IF(Magic!$C$30="Yes",3,0))/5,0)+S1176)&gt;=($D$3+P1176+SUMIF(Character!$I$62:$I$66,"Enigmatic Wisdom",Character!$J$62:$J$66)+Q1176+U1176),"No Twilight","Twilight")))</f>
        <v>No Twilight</v>
      </c>
      <c r="W1176" s="483"/>
      <c r="X1176" s="478"/>
      <c r="Y1176" s="484"/>
      <c r="Z1176" s="478"/>
      <c r="AA1176" s="485" t="str">
        <f>IF(V1176="Uncomprehended Twilight","Failed",IF(OR(ISBLANK(W1176),ISBLANK(Y1176))," ",IF(NOT(ISBLANK(X1176)),"Failed",IF((W1176+Character!$B$9+SUMIF(Character!$I$62:$I$66,"Enigmatic Wisdom",Character!$J$62:$J$66))&gt;=IF(Z1176="Yes",0,(Y1176+D1171)),"Succeeded","Failed"))))</f>
        <v xml:space="preserve"> </v>
      </c>
      <c r="AB1176" s="477" t="str">
        <f>IF(AA1176=" "," ",IF(NOT(ISBLANK(X1176)),VLOOKUP($D$3+X1176,Calcs!$A$110:$C$122,3,TRUE),IF(AA1176="Failed",VLOOKUP($D$3,Calcs!$A$110:$C$122,3,TRUE),VLOOKUP($D$3-(IF((Character!$B$9+W1176)&gt;($D$3+Y1176),(Character!$B$9+W1176)-($D$3+Y1176),0)),Calcs!$A$110:$C$122,3,TRUE))))</f>
        <v xml:space="preserve"> </v>
      </c>
      <c r="AC1176" s="489"/>
      <c r="AD1176" s="489" t="str">
        <f>IF(IF(AA1176=" "," ",IF(NOT(ISBLANK(X1176)),VLOOKUP($D$3+X1176,Calcs!$A$110:$B$122,2,TRUE),IF(AA1176="Failed",VLOOKUP($D$3,Calcs!$A$110:$B$122,2,TRUE),VLOOKUP($D$3-(IF((Character!$B$9+W1176)&gt;($D$3+Y1176),(Character!$B$9+W1176)-($D$3+Y1176),0)),Calcs!$A$110:$B$122,2,TRUE))))=Calcs!$B$120,IF(ISBLANK(AC1176)," ",CONCATENATE(AC1176+7," Years")),IF(AA1176=" "," ",IF(NOT(ISBLANK(X1176)),VLOOKUP($D$3+X1176,Calcs!$A$110:$B$122,2,TRUE),IF(AA1176="Failed",VLOOKUP($D$3,Calcs!$A$110:$B$122,2,TRUE),VLOOKUP($D$3-(IF((Character!$B$9+W1176)&gt;($D$3+Y1176),(Character!$B$9+W1176)-($D$3+Y1176),0)),Calcs!$A$110:$B$122,2,TRUE)))))</f>
        <v xml:space="preserve"> </v>
      </c>
      <c r="AE1176" s="490"/>
      <c r="AF1176" s="879"/>
      <c r="AG1176" s="491"/>
    </row>
    <row r="1177" spans="1:33" x14ac:dyDescent="0.2">
      <c r="A1177" s="415">
        <f t="shared" si="34"/>
        <v>1504</v>
      </c>
      <c r="B1177" s="419" t="str">
        <f t="shared" si="35"/>
        <v>Spring</v>
      </c>
      <c r="C1177" s="455"/>
      <c r="D1177" s="504"/>
      <c r="E1177" s="455"/>
      <c r="F1177" s="504"/>
      <c r="G1177" s="455"/>
      <c r="H1177" s="504"/>
      <c r="I1177" s="455"/>
      <c r="J1177" s="504"/>
      <c r="L1177" s="472"/>
      <c r="M1177" s="468"/>
      <c r="N1177" s="468"/>
      <c r="O1177" s="468"/>
      <c r="P1177" s="468"/>
      <c r="Q1177" s="473"/>
      <c r="R1177" s="477" t="str">
        <f>IF(AND(COUNTIF('Start Character'!$I$63:$M$77,"Twilight Prone")=1,NOT(ISERROR(FIND("Magical Botch",M1177)))),"Yes",IF(P1177&gt;1,"Yes","No"))</f>
        <v>No</v>
      </c>
      <c r="S1177" s="501"/>
      <c r="T1177" s="478"/>
      <c r="U1177" s="501"/>
      <c r="V1177" s="479" t="str">
        <f>IF(R1177="No","No Twilight",IF(T1177="Yes","Uncomprehended Twilight",IF((Character!$B$14+IF(Character!$B$53="Yes",0,Character!$B$53)+IF(Magic!$C$5="Yes",2,0)+ROUNDUP((Magic!$B$30+IF(Magic!$C$30="Yes",3,0))/5,0)+S1177)&gt;=($D$3+P1177+SUMIF(Character!$I$62:$I$66,"Enigmatic Wisdom",Character!$J$62:$J$66)+Q1177+U1177),"No Twilight","Twilight")))</f>
        <v>No Twilight</v>
      </c>
      <c r="W1177" s="483"/>
      <c r="X1177" s="478"/>
      <c r="Y1177" s="484"/>
      <c r="Z1177" s="478"/>
      <c r="AA1177" s="485" t="str">
        <f>IF(V1177="Uncomprehended Twilight","Failed",IF(OR(ISBLANK(W1177),ISBLANK(Y1177))," ",IF(NOT(ISBLANK(X1177)),"Failed",IF((W1177+Character!$B$9+SUMIF(Character!$I$62:$I$66,"Enigmatic Wisdom",Character!$J$62:$J$66))&gt;=IF(Z1177="Yes",0,(Y1177+D1172)),"Succeeded","Failed"))))</f>
        <v xml:space="preserve"> </v>
      </c>
      <c r="AB1177" s="477" t="str">
        <f>IF(AA1177=" "," ",IF(NOT(ISBLANK(X1177)),VLOOKUP($D$3+X1177,Calcs!$A$110:$C$122,3,TRUE),IF(AA1177="Failed",VLOOKUP($D$3,Calcs!$A$110:$C$122,3,TRUE),VLOOKUP($D$3-(IF((Character!$B$9+W1177)&gt;($D$3+Y1177),(Character!$B$9+W1177)-($D$3+Y1177),0)),Calcs!$A$110:$C$122,3,TRUE))))</f>
        <v xml:space="preserve"> </v>
      </c>
      <c r="AC1177" s="489"/>
      <c r="AD1177" s="489" t="str">
        <f>IF(IF(AA1177=" "," ",IF(NOT(ISBLANK(X1177)),VLOOKUP($D$3+X1177,Calcs!$A$110:$B$122,2,TRUE),IF(AA1177="Failed",VLOOKUP($D$3,Calcs!$A$110:$B$122,2,TRUE),VLOOKUP($D$3-(IF((Character!$B$9+W1177)&gt;($D$3+Y1177),(Character!$B$9+W1177)-($D$3+Y1177),0)),Calcs!$A$110:$B$122,2,TRUE))))=Calcs!$B$120,IF(ISBLANK(AC1177)," ",CONCATENATE(AC1177+7," Years")),IF(AA1177=" "," ",IF(NOT(ISBLANK(X1177)),VLOOKUP($D$3+X1177,Calcs!$A$110:$B$122,2,TRUE),IF(AA1177="Failed",VLOOKUP($D$3,Calcs!$A$110:$B$122,2,TRUE),VLOOKUP($D$3-(IF((Character!$B$9+W1177)&gt;($D$3+Y1177),(Character!$B$9+W1177)-($D$3+Y1177),0)),Calcs!$A$110:$B$122,2,TRUE)))))</f>
        <v xml:space="preserve"> </v>
      </c>
      <c r="AE1177" s="490"/>
      <c r="AF1177" s="879"/>
      <c r="AG1177" s="491"/>
    </row>
    <row r="1178" spans="1:33" x14ac:dyDescent="0.2">
      <c r="A1178" s="415">
        <f t="shared" si="34"/>
        <v>1504</v>
      </c>
      <c r="B1178" s="419" t="str">
        <f t="shared" si="35"/>
        <v>Summer</v>
      </c>
      <c r="C1178" s="455"/>
      <c r="D1178" s="504"/>
      <c r="E1178" s="455"/>
      <c r="F1178" s="504"/>
      <c r="G1178" s="455"/>
      <c r="H1178" s="504"/>
      <c r="I1178" s="455"/>
      <c r="J1178" s="504"/>
      <c r="L1178" s="472"/>
      <c r="M1178" s="468"/>
      <c r="N1178" s="468"/>
      <c r="O1178" s="468"/>
      <c r="P1178" s="468"/>
      <c r="Q1178" s="473"/>
      <c r="R1178" s="477" t="str">
        <f>IF(AND(COUNTIF('Start Character'!$I$63:$M$77,"Twilight Prone")=1,NOT(ISERROR(FIND("Magical Botch",M1178)))),"Yes",IF(P1178&gt;1,"Yes","No"))</f>
        <v>No</v>
      </c>
      <c r="S1178" s="501"/>
      <c r="T1178" s="478"/>
      <c r="U1178" s="501"/>
      <c r="V1178" s="479" t="str">
        <f>IF(R1178="No","No Twilight",IF(T1178="Yes","Uncomprehended Twilight",IF((Character!$B$14+IF(Character!$B$53="Yes",0,Character!$B$53)+IF(Magic!$C$5="Yes",2,0)+ROUNDUP((Magic!$B$30+IF(Magic!$C$30="Yes",3,0))/5,0)+S1178)&gt;=($D$3+P1178+SUMIF(Character!$I$62:$I$66,"Enigmatic Wisdom",Character!$J$62:$J$66)+Q1178+U1178),"No Twilight","Twilight")))</f>
        <v>No Twilight</v>
      </c>
      <c r="W1178" s="483"/>
      <c r="X1178" s="478"/>
      <c r="Y1178" s="484"/>
      <c r="Z1178" s="478"/>
      <c r="AA1178" s="485" t="str">
        <f>IF(V1178="Uncomprehended Twilight","Failed",IF(OR(ISBLANK(W1178),ISBLANK(Y1178))," ",IF(NOT(ISBLANK(X1178)),"Failed",IF((W1178+Character!$B$9+SUMIF(Character!$I$62:$I$66,"Enigmatic Wisdom",Character!$J$62:$J$66))&gt;=IF(Z1178="Yes",0,(Y1178+D1173)),"Succeeded","Failed"))))</f>
        <v xml:space="preserve"> </v>
      </c>
      <c r="AB1178" s="477" t="str">
        <f>IF(AA1178=" "," ",IF(NOT(ISBLANK(X1178)),VLOOKUP($D$3+X1178,Calcs!$A$110:$C$122,3,TRUE),IF(AA1178="Failed",VLOOKUP($D$3,Calcs!$A$110:$C$122,3,TRUE),VLOOKUP($D$3-(IF((Character!$B$9+W1178)&gt;($D$3+Y1178),(Character!$B$9+W1178)-($D$3+Y1178),0)),Calcs!$A$110:$C$122,3,TRUE))))</f>
        <v xml:space="preserve"> </v>
      </c>
      <c r="AC1178" s="489"/>
      <c r="AD1178" s="489" t="str">
        <f>IF(IF(AA1178=" "," ",IF(NOT(ISBLANK(X1178)),VLOOKUP($D$3+X1178,Calcs!$A$110:$B$122,2,TRUE),IF(AA1178="Failed",VLOOKUP($D$3,Calcs!$A$110:$B$122,2,TRUE),VLOOKUP($D$3-(IF((Character!$B$9+W1178)&gt;($D$3+Y1178),(Character!$B$9+W1178)-($D$3+Y1178),0)),Calcs!$A$110:$B$122,2,TRUE))))=Calcs!$B$120,IF(ISBLANK(AC1178)," ",CONCATENATE(AC1178+7," Years")),IF(AA1178=" "," ",IF(NOT(ISBLANK(X1178)),VLOOKUP($D$3+X1178,Calcs!$A$110:$B$122,2,TRUE),IF(AA1178="Failed",VLOOKUP($D$3,Calcs!$A$110:$B$122,2,TRUE),VLOOKUP($D$3-(IF((Character!$B$9+W1178)&gt;($D$3+Y1178),(Character!$B$9+W1178)-($D$3+Y1178),0)),Calcs!$A$110:$B$122,2,TRUE)))))</f>
        <v xml:space="preserve"> </v>
      </c>
      <c r="AE1178" s="490"/>
      <c r="AF1178" s="879"/>
      <c r="AG1178" s="491"/>
    </row>
    <row r="1179" spans="1:33" x14ac:dyDescent="0.2">
      <c r="A1179" s="415">
        <f t="shared" si="34"/>
        <v>1504</v>
      </c>
      <c r="B1179" s="419" t="str">
        <f t="shared" si="35"/>
        <v>Autumn</v>
      </c>
      <c r="C1179" s="455"/>
      <c r="D1179" s="504"/>
      <c r="E1179" s="455"/>
      <c r="F1179" s="504"/>
      <c r="G1179" s="455"/>
      <c r="H1179" s="504"/>
      <c r="I1179" s="455"/>
      <c r="J1179" s="504"/>
      <c r="L1179" s="472"/>
      <c r="M1179" s="468"/>
      <c r="N1179" s="468"/>
      <c r="O1179" s="468"/>
      <c r="P1179" s="468"/>
      <c r="Q1179" s="473"/>
      <c r="R1179" s="477" t="str">
        <f>IF(AND(COUNTIF('Start Character'!$I$63:$M$77,"Twilight Prone")=1,NOT(ISERROR(FIND("Magical Botch",M1179)))),"Yes",IF(P1179&gt;1,"Yes","No"))</f>
        <v>No</v>
      </c>
      <c r="S1179" s="501"/>
      <c r="T1179" s="478"/>
      <c r="U1179" s="501"/>
      <c r="V1179" s="479" t="str">
        <f>IF(R1179="No","No Twilight",IF(T1179="Yes","Uncomprehended Twilight",IF((Character!$B$14+IF(Character!$B$53="Yes",0,Character!$B$53)+IF(Magic!$C$5="Yes",2,0)+ROUNDUP((Magic!$B$30+IF(Magic!$C$30="Yes",3,0))/5,0)+S1179)&gt;=($D$3+P1179+SUMIF(Character!$I$62:$I$66,"Enigmatic Wisdom",Character!$J$62:$J$66)+Q1179+U1179),"No Twilight","Twilight")))</f>
        <v>No Twilight</v>
      </c>
      <c r="W1179" s="483"/>
      <c r="X1179" s="478"/>
      <c r="Y1179" s="484"/>
      <c r="Z1179" s="478"/>
      <c r="AA1179" s="485" t="str">
        <f>IF(V1179="Uncomprehended Twilight","Failed",IF(OR(ISBLANK(W1179),ISBLANK(Y1179))," ",IF(NOT(ISBLANK(X1179)),"Failed",IF((W1179+Character!$B$9+SUMIF(Character!$I$62:$I$66,"Enigmatic Wisdom",Character!$J$62:$J$66))&gt;=IF(Z1179="Yes",0,(Y1179+D1174)),"Succeeded","Failed"))))</f>
        <v xml:space="preserve"> </v>
      </c>
      <c r="AB1179" s="477" t="str">
        <f>IF(AA1179=" "," ",IF(NOT(ISBLANK(X1179)),VLOOKUP($D$3+X1179,Calcs!$A$110:$C$122,3,TRUE),IF(AA1179="Failed",VLOOKUP($D$3,Calcs!$A$110:$C$122,3,TRUE),VLOOKUP($D$3-(IF((Character!$B$9+W1179)&gt;($D$3+Y1179),(Character!$B$9+W1179)-($D$3+Y1179),0)),Calcs!$A$110:$C$122,3,TRUE))))</f>
        <v xml:space="preserve"> </v>
      </c>
      <c r="AC1179" s="489"/>
      <c r="AD1179" s="489" t="str">
        <f>IF(IF(AA1179=" "," ",IF(NOT(ISBLANK(X1179)),VLOOKUP($D$3+X1179,Calcs!$A$110:$B$122,2,TRUE),IF(AA1179="Failed",VLOOKUP($D$3,Calcs!$A$110:$B$122,2,TRUE),VLOOKUP($D$3-(IF((Character!$B$9+W1179)&gt;($D$3+Y1179),(Character!$B$9+W1179)-($D$3+Y1179),0)),Calcs!$A$110:$B$122,2,TRUE))))=Calcs!$B$120,IF(ISBLANK(AC1179)," ",CONCATENATE(AC1179+7," Years")),IF(AA1179=" "," ",IF(NOT(ISBLANK(X1179)),VLOOKUP($D$3+X1179,Calcs!$A$110:$B$122,2,TRUE),IF(AA1179="Failed",VLOOKUP($D$3,Calcs!$A$110:$B$122,2,TRUE),VLOOKUP($D$3-(IF((Character!$B$9+W1179)&gt;($D$3+Y1179),(Character!$B$9+W1179)-($D$3+Y1179),0)),Calcs!$A$110:$B$122,2,TRUE)))))</f>
        <v xml:space="preserve"> </v>
      </c>
      <c r="AE1179" s="490"/>
      <c r="AF1179" s="879"/>
      <c r="AG1179" s="491"/>
    </row>
    <row r="1180" spans="1:33" x14ac:dyDescent="0.2">
      <c r="A1180" s="415">
        <f t="shared" si="34"/>
        <v>1505</v>
      </c>
      <c r="B1180" s="419" t="str">
        <f t="shared" si="35"/>
        <v>Winter</v>
      </c>
      <c r="C1180" s="455"/>
      <c r="D1180" s="504"/>
      <c r="E1180" s="455"/>
      <c r="F1180" s="504"/>
      <c r="G1180" s="455"/>
      <c r="H1180" s="504"/>
      <c r="I1180" s="455"/>
      <c r="J1180" s="504"/>
      <c r="L1180" s="472"/>
      <c r="M1180" s="468"/>
      <c r="N1180" s="468"/>
      <c r="O1180" s="468"/>
      <c r="P1180" s="468"/>
      <c r="Q1180" s="473"/>
      <c r="R1180" s="477" t="str">
        <f>IF(AND(COUNTIF('Start Character'!$I$63:$M$77,"Twilight Prone")=1,NOT(ISERROR(FIND("Magical Botch",M1180)))),"Yes",IF(P1180&gt;1,"Yes","No"))</f>
        <v>No</v>
      </c>
      <c r="S1180" s="501"/>
      <c r="T1180" s="478"/>
      <c r="U1180" s="501"/>
      <c r="V1180" s="479" t="str">
        <f>IF(R1180="No","No Twilight",IF(T1180="Yes","Uncomprehended Twilight",IF((Character!$B$14+IF(Character!$B$53="Yes",0,Character!$B$53)+IF(Magic!$C$5="Yes",2,0)+ROUNDUP((Magic!$B$30+IF(Magic!$C$30="Yes",3,0))/5,0)+S1180)&gt;=($D$3+P1180+SUMIF(Character!$I$62:$I$66,"Enigmatic Wisdom",Character!$J$62:$J$66)+Q1180+U1180),"No Twilight","Twilight")))</f>
        <v>No Twilight</v>
      </c>
      <c r="W1180" s="483"/>
      <c r="X1180" s="478"/>
      <c r="Y1180" s="484"/>
      <c r="Z1180" s="478"/>
      <c r="AA1180" s="485" t="str">
        <f>IF(V1180="Uncomprehended Twilight","Failed",IF(OR(ISBLANK(W1180),ISBLANK(Y1180))," ",IF(NOT(ISBLANK(X1180)),"Failed",IF((W1180+Character!$B$9+SUMIF(Character!$I$62:$I$66,"Enigmatic Wisdom",Character!$J$62:$J$66))&gt;=IF(Z1180="Yes",0,(Y1180+D1175)),"Succeeded","Failed"))))</f>
        <v xml:space="preserve"> </v>
      </c>
      <c r="AB1180" s="477" t="str">
        <f>IF(AA1180=" "," ",IF(NOT(ISBLANK(X1180)),VLOOKUP($D$3+X1180,Calcs!$A$110:$C$122,3,TRUE),IF(AA1180="Failed",VLOOKUP($D$3,Calcs!$A$110:$C$122,3,TRUE),VLOOKUP($D$3-(IF((Character!$B$9+W1180)&gt;($D$3+Y1180),(Character!$B$9+W1180)-($D$3+Y1180),0)),Calcs!$A$110:$C$122,3,TRUE))))</f>
        <v xml:space="preserve"> </v>
      </c>
      <c r="AC1180" s="489"/>
      <c r="AD1180" s="489" t="str">
        <f>IF(IF(AA1180=" "," ",IF(NOT(ISBLANK(X1180)),VLOOKUP($D$3+X1180,Calcs!$A$110:$B$122,2,TRUE),IF(AA1180="Failed",VLOOKUP($D$3,Calcs!$A$110:$B$122,2,TRUE),VLOOKUP($D$3-(IF((Character!$B$9+W1180)&gt;($D$3+Y1180),(Character!$B$9+W1180)-($D$3+Y1180),0)),Calcs!$A$110:$B$122,2,TRUE))))=Calcs!$B$120,IF(ISBLANK(AC1180)," ",CONCATENATE(AC1180+7," Years")),IF(AA1180=" "," ",IF(NOT(ISBLANK(X1180)),VLOOKUP($D$3+X1180,Calcs!$A$110:$B$122,2,TRUE),IF(AA1180="Failed",VLOOKUP($D$3,Calcs!$A$110:$B$122,2,TRUE),VLOOKUP($D$3-(IF((Character!$B$9+W1180)&gt;($D$3+Y1180),(Character!$B$9+W1180)-($D$3+Y1180),0)),Calcs!$A$110:$B$122,2,TRUE)))))</f>
        <v xml:space="preserve"> </v>
      </c>
      <c r="AE1180" s="490"/>
      <c r="AF1180" s="879"/>
      <c r="AG1180" s="491"/>
    </row>
    <row r="1181" spans="1:33" x14ac:dyDescent="0.2">
      <c r="A1181" s="415">
        <f t="shared" ref="A1181:A1244" si="36">IF(B1180="Autumn",A1180+1,A1180)</f>
        <v>1505</v>
      </c>
      <c r="B1181" s="419" t="str">
        <f t="shared" ref="B1181:B1244" si="37">IF(B1180="spring","Summer",IF(B1180="Summer","Autumn",IF(B1180="Autumn","Winter",IF(B1180="Winter","Spring"," "))))</f>
        <v>Spring</v>
      </c>
      <c r="C1181" s="455"/>
      <c r="D1181" s="504"/>
      <c r="E1181" s="455"/>
      <c r="F1181" s="504"/>
      <c r="G1181" s="455"/>
      <c r="H1181" s="504"/>
      <c r="I1181" s="455"/>
      <c r="J1181" s="504"/>
      <c r="L1181" s="472"/>
      <c r="M1181" s="468"/>
      <c r="N1181" s="468"/>
      <c r="O1181" s="468"/>
      <c r="P1181" s="468"/>
      <c r="Q1181" s="473"/>
      <c r="R1181" s="477" t="str">
        <f>IF(AND(COUNTIF('Start Character'!$I$63:$M$77,"Twilight Prone")=1,NOT(ISERROR(FIND("Magical Botch",M1181)))),"Yes",IF(P1181&gt;1,"Yes","No"))</f>
        <v>No</v>
      </c>
      <c r="S1181" s="501"/>
      <c r="T1181" s="478"/>
      <c r="U1181" s="501"/>
      <c r="V1181" s="479" t="str">
        <f>IF(R1181="No","No Twilight",IF(T1181="Yes","Uncomprehended Twilight",IF((Character!$B$14+IF(Character!$B$53="Yes",0,Character!$B$53)+IF(Magic!$C$5="Yes",2,0)+ROUNDUP((Magic!$B$30+IF(Magic!$C$30="Yes",3,0))/5,0)+S1181)&gt;=($D$3+P1181+SUMIF(Character!$I$62:$I$66,"Enigmatic Wisdom",Character!$J$62:$J$66)+Q1181+U1181),"No Twilight","Twilight")))</f>
        <v>No Twilight</v>
      </c>
      <c r="W1181" s="483"/>
      <c r="X1181" s="478"/>
      <c r="Y1181" s="484"/>
      <c r="Z1181" s="478"/>
      <c r="AA1181" s="485" t="str">
        <f>IF(V1181="Uncomprehended Twilight","Failed",IF(OR(ISBLANK(W1181),ISBLANK(Y1181))," ",IF(NOT(ISBLANK(X1181)),"Failed",IF((W1181+Character!$B$9+SUMIF(Character!$I$62:$I$66,"Enigmatic Wisdom",Character!$J$62:$J$66))&gt;=IF(Z1181="Yes",0,(Y1181+D1176)),"Succeeded","Failed"))))</f>
        <v xml:space="preserve"> </v>
      </c>
      <c r="AB1181" s="477" t="str">
        <f>IF(AA1181=" "," ",IF(NOT(ISBLANK(X1181)),VLOOKUP($D$3+X1181,Calcs!$A$110:$C$122,3,TRUE),IF(AA1181="Failed",VLOOKUP($D$3,Calcs!$A$110:$C$122,3,TRUE),VLOOKUP($D$3-(IF((Character!$B$9+W1181)&gt;($D$3+Y1181),(Character!$B$9+W1181)-($D$3+Y1181),0)),Calcs!$A$110:$C$122,3,TRUE))))</f>
        <v xml:space="preserve"> </v>
      </c>
      <c r="AC1181" s="489"/>
      <c r="AD1181" s="489" t="str">
        <f>IF(IF(AA1181=" "," ",IF(NOT(ISBLANK(X1181)),VLOOKUP($D$3+X1181,Calcs!$A$110:$B$122,2,TRUE),IF(AA1181="Failed",VLOOKUP($D$3,Calcs!$A$110:$B$122,2,TRUE),VLOOKUP($D$3-(IF((Character!$B$9+W1181)&gt;($D$3+Y1181),(Character!$B$9+W1181)-($D$3+Y1181),0)),Calcs!$A$110:$B$122,2,TRUE))))=Calcs!$B$120,IF(ISBLANK(AC1181)," ",CONCATENATE(AC1181+7," Years")),IF(AA1181=" "," ",IF(NOT(ISBLANK(X1181)),VLOOKUP($D$3+X1181,Calcs!$A$110:$B$122,2,TRUE),IF(AA1181="Failed",VLOOKUP($D$3,Calcs!$A$110:$B$122,2,TRUE),VLOOKUP($D$3-(IF((Character!$B$9+W1181)&gt;($D$3+Y1181),(Character!$B$9+W1181)-($D$3+Y1181),0)),Calcs!$A$110:$B$122,2,TRUE)))))</f>
        <v xml:space="preserve"> </v>
      </c>
      <c r="AE1181" s="490"/>
      <c r="AF1181" s="879"/>
      <c r="AG1181" s="491"/>
    </row>
    <row r="1182" spans="1:33" x14ac:dyDescent="0.2">
      <c r="A1182" s="415">
        <f t="shared" si="36"/>
        <v>1505</v>
      </c>
      <c r="B1182" s="419" t="str">
        <f t="shared" si="37"/>
        <v>Summer</v>
      </c>
      <c r="C1182" s="455"/>
      <c r="D1182" s="504"/>
      <c r="E1182" s="455"/>
      <c r="F1182" s="504"/>
      <c r="G1182" s="455"/>
      <c r="H1182" s="504"/>
      <c r="I1182" s="455"/>
      <c r="J1182" s="504"/>
      <c r="L1182" s="472"/>
      <c r="M1182" s="468"/>
      <c r="N1182" s="468"/>
      <c r="O1182" s="468"/>
      <c r="P1182" s="468"/>
      <c r="Q1182" s="473"/>
      <c r="R1182" s="477" t="str">
        <f>IF(AND(COUNTIF('Start Character'!$I$63:$M$77,"Twilight Prone")=1,NOT(ISERROR(FIND("Magical Botch",M1182)))),"Yes",IF(P1182&gt;1,"Yes","No"))</f>
        <v>No</v>
      </c>
      <c r="S1182" s="501"/>
      <c r="T1182" s="478"/>
      <c r="U1182" s="501"/>
      <c r="V1182" s="479" t="str">
        <f>IF(R1182="No","No Twilight",IF(T1182="Yes","Uncomprehended Twilight",IF((Character!$B$14+IF(Character!$B$53="Yes",0,Character!$B$53)+IF(Magic!$C$5="Yes",2,0)+ROUNDUP((Magic!$B$30+IF(Magic!$C$30="Yes",3,0))/5,0)+S1182)&gt;=($D$3+P1182+SUMIF(Character!$I$62:$I$66,"Enigmatic Wisdom",Character!$J$62:$J$66)+Q1182+U1182),"No Twilight","Twilight")))</f>
        <v>No Twilight</v>
      </c>
      <c r="W1182" s="483"/>
      <c r="X1182" s="478"/>
      <c r="Y1182" s="484"/>
      <c r="Z1182" s="478"/>
      <c r="AA1182" s="485" t="str">
        <f>IF(V1182="Uncomprehended Twilight","Failed",IF(OR(ISBLANK(W1182),ISBLANK(Y1182))," ",IF(NOT(ISBLANK(X1182)),"Failed",IF((W1182+Character!$B$9+SUMIF(Character!$I$62:$I$66,"Enigmatic Wisdom",Character!$J$62:$J$66))&gt;=IF(Z1182="Yes",0,(Y1182+D1177)),"Succeeded","Failed"))))</f>
        <v xml:space="preserve"> </v>
      </c>
      <c r="AB1182" s="477" t="str">
        <f>IF(AA1182=" "," ",IF(NOT(ISBLANK(X1182)),VLOOKUP($D$3+X1182,Calcs!$A$110:$C$122,3,TRUE),IF(AA1182="Failed",VLOOKUP($D$3,Calcs!$A$110:$C$122,3,TRUE),VLOOKUP($D$3-(IF((Character!$B$9+W1182)&gt;($D$3+Y1182),(Character!$B$9+W1182)-($D$3+Y1182),0)),Calcs!$A$110:$C$122,3,TRUE))))</f>
        <v xml:space="preserve"> </v>
      </c>
      <c r="AC1182" s="489"/>
      <c r="AD1182" s="489" t="str">
        <f>IF(IF(AA1182=" "," ",IF(NOT(ISBLANK(X1182)),VLOOKUP($D$3+X1182,Calcs!$A$110:$B$122,2,TRUE),IF(AA1182="Failed",VLOOKUP($D$3,Calcs!$A$110:$B$122,2,TRUE),VLOOKUP($D$3-(IF((Character!$B$9+W1182)&gt;($D$3+Y1182),(Character!$B$9+W1182)-($D$3+Y1182),0)),Calcs!$A$110:$B$122,2,TRUE))))=Calcs!$B$120,IF(ISBLANK(AC1182)," ",CONCATENATE(AC1182+7," Years")),IF(AA1182=" "," ",IF(NOT(ISBLANK(X1182)),VLOOKUP($D$3+X1182,Calcs!$A$110:$B$122,2,TRUE),IF(AA1182="Failed",VLOOKUP($D$3,Calcs!$A$110:$B$122,2,TRUE),VLOOKUP($D$3-(IF((Character!$B$9+W1182)&gt;($D$3+Y1182),(Character!$B$9+W1182)-($D$3+Y1182),0)),Calcs!$A$110:$B$122,2,TRUE)))))</f>
        <v xml:space="preserve"> </v>
      </c>
      <c r="AE1182" s="490"/>
      <c r="AF1182" s="879"/>
      <c r="AG1182" s="491"/>
    </row>
    <row r="1183" spans="1:33" x14ac:dyDescent="0.2">
      <c r="A1183" s="415">
        <f t="shared" si="36"/>
        <v>1505</v>
      </c>
      <c r="B1183" s="419" t="str">
        <f t="shared" si="37"/>
        <v>Autumn</v>
      </c>
      <c r="C1183" s="455"/>
      <c r="D1183" s="504"/>
      <c r="E1183" s="455"/>
      <c r="F1183" s="504"/>
      <c r="G1183" s="455"/>
      <c r="H1183" s="504"/>
      <c r="I1183" s="455"/>
      <c r="J1183" s="504"/>
      <c r="L1183" s="472"/>
      <c r="M1183" s="468"/>
      <c r="N1183" s="468"/>
      <c r="O1183" s="468"/>
      <c r="P1183" s="468"/>
      <c r="Q1183" s="473"/>
      <c r="R1183" s="477" t="str">
        <f>IF(AND(COUNTIF('Start Character'!$I$63:$M$77,"Twilight Prone")=1,NOT(ISERROR(FIND("Magical Botch",M1183)))),"Yes",IF(P1183&gt;1,"Yes","No"))</f>
        <v>No</v>
      </c>
      <c r="S1183" s="501"/>
      <c r="T1183" s="478"/>
      <c r="U1183" s="501"/>
      <c r="V1183" s="479" t="str">
        <f>IF(R1183="No","No Twilight",IF(T1183="Yes","Uncomprehended Twilight",IF((Character!$B$14+IF(Character!$B$53="Yes",0,Character!$B$53)+IF(Magic!$C$5="Yes",2,0)+ROUNDUP((Magic!$B$30+IF(Magic!$C$30="Yes",3,0))/5,0)+S1183)&gt;=($D$3+P1183+SUMIF(Character!$I$62:$I$66,"Enigmatic Wisdom",Character!$J$62:$J$66)+Q1183+U1183),"No Twilight","Twilight")))</f>
        <v>No Twilight</v>
      </c>
      <c r="W1183" s="483"/>
      <c r="X1183" s="478"/>
      <c r="Y1183" s="484"/>
      <c r="Z1183" s="478"/>
      <c r="AA1183" s="485" t="str">
        <f>IF(V1183="Uncomprehended Twilight","Failed",IF(OR(ISBLANK(W1183),ISBLANK(Y1183))," ",IF(NOT(ISBLANK(X1183)),"Failed",IF((W1183+Character!$B$9+SUMIF(Character!$I$62:$I$66,"Enigmatic Wisdom",Character!$J$62:$J$66))&gt;=IF(Z1183="Yes",0,(Y1183+D1178)),"Succeeded","Failed"))))</f>
        <v xml:space="preserve"> </v>
      </c>
      <c r="AB1183" s="477" t="str">
        <f>IF(AA1183=" "," ",IF(NOT(ISBLANK(X1183)),VLOOKUP($D$3+X1183,Calcs!$A$110:$C$122,3,TRUE),IF(AA1183="Failed",VLOOKUP($D$3,Calcs!$A$110:$C$122,3,TRUE),VLOOKUP($D$3-(IF((Character!$B$9+W1183)&gt;($D$3+Y1183),(Character!$B$9+W1183)-($D$3+Y1183),0)),Calcs!$A$110:$C$122,3,TRUE))))</f>
        <v xml:space="preserve"> </v>
      </c>
      <c r="AC1183" s="489"/>
      <c r="AD1183" s="489" t="str">
        <f>IF(IF(AA1183=" "," ",IF(NOT(ISBLANK(X1183)),VLOOKUP($D$3+X1183,Calcs!$A$110:$B$122,2,TRUE),IF(AA1183="Failed",VLOOKUP($D$3,Calcs!$A$110:$B$122,2,TRUE),VLOOKUP($D$3-(IF((Character!$B$9+W1183)&gt;($D$3+Y1183),(Character!$B$9+W1183)-($D$3+Y1183),0)),Calcs!$A$110:$B$122,2,TRUE))))=Calcs!$B$120,IF(ISBLANK(AC1183)," ",CONCATENATE(AC1183+7," Years")),IF(AA1183=" "," ",IF(NOT(ISBLANK(X1183)),VLOOKUP($D$3+X1183,Calcs!$A$110:$B$122,2,TRUE),IF(AA1183="Failed",VLOOKUP($D$3,Calcs!$A$110:$B$122,2,TRUE),VLOOKUP($D$3-(IF((Character!$B$9+W1183)&gt;($D$3+Y1183),(Character!$B$9+W1183)-($D$3+Y1183),0)),Calcs!$A$110:$B$122,2,TRUE)))))</f>
        <v xml:space="preserve"> </v>
      </c>
      <c r="AE1183" s="490"/>
      <c r="AF1183" s="879"/>
      <c r="AG1183" s="491"/>
    </row>
    <row r="1184" spans="1:33" x14ac:dyDescent="0.2">
      <c r="A1184" s="415">
        <f t="shared" si="36"/>
        <v>1506</v>
      </c>
      <c r="B1184" s="419" t="str">
        <f t="shared" si="37"/>
        <v>Winter</v>
      </c>
      <c r="C1184" s="455"/>
      <c r="D1184" s="504"/>
      <c r="E1184" s="455"/>
      <c r="F1184" s="504"/>
      <c r="G1184" s="455"/>
      <c r="H1184" s="504"/>
      <c r="I1184" s="455"/>
      <c r="J1184" s="504"/>
      <c r="L1184" s="472"/>
      <c r="M1184" s="468"/>
      <c r="N1184" s="468"/>
      <c r="O1184" s="468"/>
      <c r="P1184" s="468"/>
      <c r="Q1184" s="473"/>
      <c r="R1184" s="477" t="str">
        <f>IF(AND(COUNTIF('Start Character'!$I$63:$M$77,"Twilight Prone")=1,NOT(ISERROR(FIND("Magical Botch",M1184)))),"Yes",IF(P1184&gt;1,"Yes","No"))</f>
        <v>No</v>
      </c>
      <c r="S1184" s="501"/>
      <c r="T1184" s="478"/>
      <c r="U1184" s="501"/>
      <c r="V1184" s="479" t="str">
        <f>IF(R1184="No","No Twilight",IF(T1184="Yes","Uncomprehended Twilight",IF((Character!$B$14+IF(Character!$B$53="Yes",0,Character!$B$53)+IF(Magic!$C$5="Yes",2,0)+ROUNDUP((Magic!$B$30+IF(Magic!$C$30="Yes",3,0))/5,0)+S1184)&gt;=($D$3+P1184+SUMIF(Character!$I$62:$I$66,"Enigmatic Wisdom",Character!$J$62:$J$66)+Q1184+U1184),"No Twilight","Twilight")))</f>
        <v>No Twilight</v>
      </c>
      <c r="W1184" s="483"/>
      <c r="X1184" s="478"/>
      <c r="Y1184" s="484"/>
      <c r="Z1184" s="478"/>
      <c r="AA1184" s="485" t="str">
        <f>IF(V1184="Uncomprehended Twilight","Failed",IF(OR(ISBLANK(W1184),ISBLANK(Y1184))," ",IF(NOT(ISBLANK(X1184)),"Failed",IF((W1184+Character!$B$9+SUMIF(Character!$I$62:$I$66,"Enigmatic Wisdom",Character!$J$62:$J$66))&gt;=IF(Z1184="Yes",0,(Y1184+D1179)),"Succeeded","Failed"))))</f>
        <v xml:space="preserve"> </v>
      </c>
      <c r="AB1184" s="477" t="str">
        <f>IF(AA1184=" "," ",IF(NOT(ISBLANK(X1184)),VLOOKUP($D$3+X1184,Calcs!$A$110:$C$122,3,TRUE),IF(AA1184="Failed",VLOOKUP($D$3,Calcs!$A$110:$C$122,3,TRUE),VLOOKUP($D$3-(IF((Character!$B$9+W1184)&gt;($D$3+Y1184),(Character!$B$9+W1184)-($D$3+Y1184),0)),Calcs!$A$110:$C$122,3,TRUE))))</f>
        <v xml:space="preserve"> </v>
      </c>
      <c r="AC1184" s="489"/>
      <c r="AD1184" s="489" t="str">
        <f>IF(IF(AA1184=" "," ",IF(NOT(ISBLANK(X1184)),VLOOKUP($D$3+X1184,Calcs!$A$110:$B$122,2,TRUE),IF(AA1184="Failed",VLOOKUP($D$3,Calcs!$A$110:$B$122,2,TRUE),VLOOKUP($D$3-(IF((Character!$B$9+W1184)&gt;($D$3+Y1184),(Character!$B$9+W1184)-($D$3+Y1184),0)),Calcs!$A$110:$B$122,2,TRUE))))=Calcs!$B$120,IF(ISBLANK(AC1184)," ",CONCATENATE(AC1184+7," Years")),IF(AA1184=" "," ",IF(NOT(ISBLANK(X1184)),VLOOKUP($D$3+X1184,Calcs!$A$110:$B$122,2,TRUE),IF(AA1184="Failed",VLOOKUP($D$3,Calcs!$A$110:$B$122,2,TRUE),VLOOKUP($D$3-(IF((Character!$B$9+W1184)&gt;($D$3+Y1184),(Character!$B$9+W1184)-($D$3+Y1184),0)),Calcs!$A$110:$B$122,2,TRUE)))))</f>
        <v xml:space="preserve"> </v>
      </c>
      <c r="AE1184" s="490"/>
      <c r="AF1184" s="879"/>
      <c r="AG1184" s="491"/>
    </row>
    <row r="1185" spans="1:33" x14ac:dyDescent="0.2">
      <c r="A1185" s="415">
        <f t="shared" si="36"/>
        <v>1506</v>
      </c>
      <c r="B1185" s="419" t="str">
        <f t="shared" si="37"/>
        <v>Spring</v>
      </c>
      <c r="C1185" s="455"/>
      <c r="D1185" s="504"/>
      <c r="E1185" s="455"/>
      <c r="F1185" s="504"/>
      <c r="G1185" s="455"/>
      <c r="H1185" s="504"/>
      <c r="I1185" s="455"/>
      <c r="J1185" s="504"/>
      <c r="L1185" s="472"/>
      <c r="M1185" s="468"/>
      <c r="N1185" s="468"/>
      <c r="O1185" s="468"/>
      <c r="P1185" s="468"/>
      <c r="Q1185" s="473"/>
      <c r="R1185" s="477" t="str">
        <f>IF(AND(COUNTIF('Start Character'!$I$63:$M$77,"Twilight Prone")=1,NOT(ISERROR(FIND("Magical Botch",M1185)))),"Yes",IF(P1185&gt;1,"Yes","No"))</f>
        <v>No</v>
      </c>
      <c r="S1185" s="501"/>
      <c r="T1185" s="478"/>
      <c r="U1185" s="501"/>
      <c r="V1185" s="479" t="str">
        <f>IF(R1185="No","No Twilight",IF(T1185="Yes","Uncomprehended Twilight",IF((Character!$B$14+IF(Character!$B$53="Yes",0,Character!$B$53)+IF(Magic!$C$5="Yes",2,0)+ROUNDUP((Magic!$B$30+IF(Magic!$C$30="Yes",3,0))/5,0)+S1185)&gt;=($D$3+P1185+SUMIF(Character!$I$62:$I$66,"Enigmatic Wisdom",Character!$J$62:$J$66)+Q1185+U1185),"No Twilight","Twilight")))</f>
        <v>No Twilight</v>
      </c>
      <c r="W1185" s="483"/>
      <c r="X1185" s="478"/>
      <c r="Y1185" s="484"/>
      <c r="Z1185" s="478"/>
      <c r="AA1185" s="485" t="str">
        <f>IF(V1185="Uncomprehended Twilight","Failed",IF(OR(ISBLANK(W1185),ISBLANK(Y1185))," ",IF(NOT(ISBLANK(X1185)),"Failed",IF((W1185+Character!$B$9+SUMIF(Character!$I$62:$I$66,"Enigmatic Wisdom",Character!$J$62:$J$66))&gt;=IF(Z1185="Yes",0,(Y1185+D1180)),"Succeeded","Failed"))))</f>
        <v xml:space="preserve"> </v>
      </c>
      <c r="AB1185" s="477" t="str">
        <f>IF(AA1185=" "," ",IF(NOT(ISBLANK(X1185)),VLOOKUP($D$3+X1185,Calcs!$A$110:$C$122,3,TRUE),IF(AA1185="Failed",VLOOKUP($D$3,Calcs!$A$110:$C$122,3,TRUE),VLOOKUP($D$3-(IF((Character!$B$9+W1185)&gt;($D$3+Y1185),(Character!$B$9+W1185)-($D$3+Y1185),0)),Calcs!$A$110:$C$122,3,TRUE))))</f>
        <v xml:space="preserve"> </v>
      </c>
      <c r="AC1185" s="489"/>
      <c r="AD1185" s="489" t="str">
        <f>IF(IF(AA1185=" "," ",IF(NOT(ISBLANK(X1185)),VLOOKUP($D$3+X1185,Calcs!$A$110:$B$122,2,TRUE),IF(AA1185="Failed",VLOOKUP($D$3,Calcs!$A$110:$B$122,2,TRUE),VLOOKUP($D$3-(IF((Character!$B$9+W1185)&gt;($D$3+Y1185),(Character!$B$9+W1185)-($D$3+Y1185),0)),Calcs!$A$110:$B$122,2,TRUE))))=Calcs!$B$120,IF(ISBLANK(AC1185)," ",CONCATENATE(AC1185+7," Years")),IF(AA1185=" "," ",IF(NOT(ISBLANK(X1185)),VLOOKUP($D$3+X1185,Calcs!$A$110:$B$122,2,TRUE),IF(AA1185="Failed",VLOOKUP($D$3,Calcs!$A$110:$B$122,2,TRUE),VLOOKUP($D$3-(IF((Character!$B$9+W1185)&gt;($D$3+Y1185),(Character!$B$9+W1185)-($D$3+Y1185),0)),Calcs!$A$110:$B$122,2,TRUE)))))</f>
        <v xml:space="preserve"> </v>
      </c>
      <c r="AE1185" s="490"/>
      <c r="AF1185" s="879"/>
      <c r="AG1185" s="491"/>
    </row>
    <row r="1186" spans="1:33" x14ac:dyDescent="0.2">
      <c r="A1186" s="415">
        <f t="shared" si="36"/>
        <v>1506</v>
      </c>
      <c r="B1186" s="419" t="str">
        <f t="shared" si="37"/>
        <v>Summer</v>
      </c>
      <c r="C1186" s="455"/>
      <c r="D1186" s="504"/>
      <c r="E1186" s="455"/>
      <c r="F1186" s="504"/>
      <c r="G1186" s="455"/>
      <c r="H1186" s="504"/>
      <c r="I1186" s="455"/>
      <c r="J1186" s="504"/>
      <c r="L1186" s="472"/>
      <c r="M1186" s="468"/>
      <c r="N1186" s="468"/>
      <c r="O1186" s="468"/>
      <c r="P1186" s="468"/>
      <c r="Q1186" s="473"/>
      <c r="R1186" s="477" t="str">
        <f>IF(AND(COUNTIF('Start Character'!$I$63:$M$77,"Twilight Prone")=1,NOT(ISERROR(FIND("Magical Botch",M1186)))),"Yes",IF(P1186&gt;1,"Yes","No"))</f>
        <v>No</v>
      </c>
      <c r="S1186" s="501"/>
      <c r="T1186" s="478"/>
      <c r="U1186" s="501"/>
      <c r="V1186" s="479" t="str">
        <f>IF(R1186="No","No Twilight",IF(T1186="Yes","Uncomprehended Twilight",IF((Character!$B$14+IF(Character!$B$53="Yes",0,Character!$B$53)+IF(Magic!$C$5="Yes",2,0)+ROUNDUP((Magic!$B$30+IF(Magic!$C$30="Yes",3,0))/5,0)+S1186)&gt;=($D$3+P1186+SUMIF(Character!$I$62:$I$66,"Enigmatic Wisdom",Character!$J$62:$J$66)+Q1186+U1186),"No Twilight","Twilight")))</f>
        <v>No Twilight</v>
      </c>
      <c r="W1186" s="483"/>
      <c r="X1186" s="478"/>
      <c r="Y1186" s="484"/>
      <c r="Z1186" s="478"/>
      <c r="AA1186" s="485" t="str">
        <f>IF(V1186="Uncomprehended Twilight","Failed",IF(OR(ISBLANK(W1186),ISBLANK(Y1186))," ",IF(NOT(ISBLANK(X1186)),"Failed",IF((W1186+Character!$B$9+SUMIF(Character!$I$62:$I$66,"Enigmatic Wisdom",Character!$J$62:$J$66))&gt;=IF(Z1186="Yes",0,(Y1186+D1181)),"Succeeded","Failed"))))</f>
        <v xml:space="preserve"> </v>
      </c>
      <c r="AB1186" s="477" t="str">
        <f>IF(AA1186=" "," ",IF(NOT(ISBLANK(X1186)),VLOOKUP($D$3+X1186,Calcs!$A$110:$C$122,3,TRUE),IF(AA1186="Failed",VLOOKUP($D$3,Calcs!$A$110:$C$122,3,TRUE),VLOOKUP($D$3-(IF((Character!$B$9+W1186)&gt;($D$3+Y1186),(Character!$B$9+W1186)-($D$3+Y1186),0)),Calcs!$A$110:$C$122,3,TRUE))))</f>
        <v xml:space="preserve"> </v>
      </c>
      <c r="AC1186" s="489"/>
      <c r="AD1186" s="489" t="str">
        <f>IF(IF(AA1186=" "," ",IF(NOT(ISBLANK(X1186)),VLOOKUP($D$3+X1186,Calcs!$A$110:$B$122,2,TRUE),IF(AA1186="Failed",VLOOKUP($D$3,Calcs!$A$110:$B$122,2,TRUE),VLOOKUP($D$3-(IF((Character!$B$9+W1186)&gt;($D$3+Y1186),(Character!$B$9+W1186)-($D$3+Y1186),0)),Calcs!$A$110:$B$122,2,TRUE))))=Calcs!$B$120,IF(ISBLANK(AC1186)," ",CONCATENATE(AC1186+7," Years")),IF(AA1186=" "," ",IF(NOT(ISBLANK(X1186)),VLOOKUP($D$3+X1186,Calcs!$A$110:$B$122,2,TRUE),IF(AA1186="Failed",VLOOKUP($D$3,Calcs!$A$110:$B$122,2,TRUE),VLOOKUP($D$3-(IF((Character!$B$9+W1186)&gt;($D$3+Y1186),(Character!$B$9+W1186)-($D$3+Y1186),0)),Calcs!$A$110:$B$122,2,TRUE)))))</f>
        <v xml:space="preserve"> </v>
      </c>
      <c r="AE1186" s="490"/>
      <c r="AF1186" s="879"/>
      <c r="AG1186" s="491"/>
    </row>
    <row r="1187" spans="1:33" x14ac:dyDescent="0.2">
      <c r="A1187" s="415">
        <f t="shared" si="36"/>
        <v>1506</v>
      </c>
      <c r="B1187" s="419" t="str">
        <f t="shared" si="37"/>
        <v>Autumn</v>
      </c>
      <c r="C1187" s="455"/>
      <c r="D1187" s="504"/>
      <c r="E1187" s="455"/>
      <c r="F1187" s="504"/>
      <c r="G1187" s="455"/>
      <c r="H1187" s="504"/>
      <c r="I1187" s="455"/>
      <c r="J1187" s="504"/>
      <c r="L1187" s="472"/>
      <c r="M1187" s="468"/>
      <c r="N1187" s="468"/>
      <c r="O1187" s="468"/>
      <c r="P1187" s="468"/>
      <c r="Q1187" s="473"/>
      <c r="R1187" s="477" t="str">
        <f>IF(AND(COUNTIF('Start Character'!$I$63:$M$77,"Twilight Prone")=1,NOT(ISERROR(FIND("Magical Botch",M1187)))),"Yes",IF(P1187&gt;1,"Yes","No"))</f>
        <v>No</v>
      </c>
      <c r="S1187" s="501"/>
      <c r="T1187" s="478"/>
      <c r="U1187" s="501"/>
      <c r="V1187" s="479" t="str">
        <f>IF(R1187="No","No Twilight",IF(T1187="Yes","Uncomprehended Twilight",IF((Character!$B$14+IF(Character!$B$53="Yes",0,Character!$B$53)+IF(Magic!$C$5="Yes",2,0)+ROUNDUP((Magic!$B$30+IF(Magic!$C$30="Yes",3,0))/5,0)+S1187)&gt;=($D$3+P1187+SUMIF(Character!$I$62:$I$66,"Enigmatic Wisdom",Character!$J$62:$J$66)+Q1187+U1187),"No Twilight","Twilight")))</f>
        <v>No Twilight</v>
      </c>
      <c r="W1187" s="483"/>
      <c r="X1187" s="478"/>
      <c r="Y1187" s="484"/>
      <c r="Z1187" s="478"/>
      <c r="AA1187" s="485" t="str">
        <f>IF(V1187="Uncomprehended Twilight","Failed",IF(OR(ISBLANK(W1187),ISBLANK(Y1187))," ",IF(NOT(ISBLANK(X1187)),"Failed",IF((W1187+Character!$B$9+SUMIF(Character!$I$62:$I$66,"Enigmatic Wisdom",Character!$J$62:$J$66))&gt;=IF(Z1187="Yes",0,(Y1187+D1182)),"Succeeded","Failed"))))</f>
        <v xml:space="preserve"> </v>
      </c>
      <c r="AB1187" s="477" t="str">
        <f>IF(AA1187=" "," ",IF(NOT(ISBLANK(X1187)),VLOOKUP($D$3+X1187,Calcs!$A$110:$C$122,3,TRUE),IF(AA1187="Failed",VLOOKUP($D$3,Calcs!$A$110:$C$122,3,TRUE),VLOOKUP($D$3-(IF((Character!$B$9+W1187)&gt;($D$3+Y1187),(Character!$B$9+W1187)-($D$3+Y1187),0)),Calcs!$A$110:$C$122,3,TRUE))))</f>
        <v xml:space="preserve"> </v>
      </c>
      <c r="AC1187" s="489"/>
      <c r="AD1187" s="489" t="str">
        <f>IF(IF(AA1187=" "," ",IF(NOT(ISBLANK(X1187)),VLOOKUP($D$3+X1187,Calcs!$A$110:$B$122,2,TRUE),IF(AA1187="Failed",VLOOKUP($D$3,Calcs!$A$110:$B$122,2,TRUE),VLOOKUP($D$3-(IF((Character!$B$9+W1187)&gt;($D$3+Y1187),(Character!$B$9+W1187)-($D$3+Y1187),0)),Calcs!$A$110:$B$122,2,TRUE))))=Calcs!$B$120,IF(ISBLANK(AC1187)," ",CONCATENATE(AC1187+7," Years")),IF(AA1187=" "," ",IF(NOT(ISBLANK(X1187)),VLOOKUP($D$3+X1187,Calcs!$A$110:$B$122,2,TRUE),IF(AA1187="Failed",VLOOKUP($D$3,Calcs!$A$110:$B$122,2,TRUE),VLOOKUP($D$3-(IF((Character!$B$9+W1187)&gt;($D$3+Y1187),(Character!$B$9+W1187)-($D$3+Y1187),0)),Calcs!$A$110:$B$122,2,TRUE)))))</f>
        <v xml:space="preserve"> </v>
      </c>
      <c r="AE1187" s="490"/>
      <c r="AF1187" s="879"/>
      <c r="AG1187" s="491"/>
    </row>
    <row r="1188" spans="1:33" x14ac:dyDescent="0.2">
      <c r="A1188" s="415">
        <f t="shared" si="36"/>
        <v>1507</v>
      </c>
      <c r="B1188" s="419" t="str">
        <f t="shared" si="37"/>
        <v>Winter</v>
      </c>
      <c r="C1188" s="455"/>
      <c r="D1188" s="504"/>
      <c r="E1188" s="455"/>
      <c r="F1188" s="504"/>
      <c r="G1188" s="455"/>
      <c r="H1188" s="504"/>
      <c r="I1188" s="455"/>
      <c r="J1188" s="504"/>
      <c r="L1188" s="472"/>
      <c r="M1188" s="468"/>
      <c r="N1188" s="468"/>
      <c r="O1188" s="468"/>
      <c r="P1188" s="468"/>
      <c r="Q1188" s="473"/>
      <c r="R1188" s="477" t="str">
        <f>IF(AND(COUNTIF('Start Character'!$I$63:$M$77,"Twilight Prone")=1,NOT(ISERROR(FIND("Magical Botch",M1188)))),"Yes",IF(P1188&gt;1,"Yes","No"))</f>
        <v>No</v>
      </c>
      <c r="S1188" s="501"/>
      <c r="T1188" s="478"/>
      <c r="U1188" s="501"/>
      <c r="V1188" s="479" t="str">
        <f>IF(R1188="No","No Twilight",IF(T1188="Yes","Uncomprehended Twilight",IF((Character!$B$14+IF(Character!$B$53="Yes",0,Character!$B$53)+IF(Magic!$C$5="Yes",2,0)+ROUNDUP((Magic!$B$30+IF(Magic!$C$30="Yes",3,0))/5,0)+S1188)&gt;=($D$3+P1188+SUMIF(Character!$I$62:$I$66,"Enigmatic Wisdom",Character!$J$62:$J$66)+Q1188+U1188),"No Twilight","Twilight")))</f>
        <v>No Twilight</v>
      </c>
      <c r="W1188" s="483"/>
      <c r="X1188" s="478"/>
      <c r="Y1188" s="484"/>
      <c r="Z1188" s="478"/>
      <c r="AA1188" s="485" t="str">
        <f>IF(V1188="Uncomprehended Twilight","Failed",IF(OR(ISBLANK(W1188),ISBLANK(Y1188))," ",IF(NOT(ISBLANK(X1188)),"Failed",IF((W1188+Character!$B$9+SUMIF(Character!$I$62:$I$66,"Enigmatic Wisdom",Character!$J$62:$J$66))&gt;=IF(Z1188="Yes",0,(Y1188+D1183)),"Succeeded","Failed"))))</f>
        <v xml:space="preserve"> </v>
      </c>
      <c r="AB1188" s="477" t="str">
        <f>IF(AA1188=" "," ",IF(NOT(ISBLANK(X1188)),VLOOKUP($D$3+X1188,Calcs!$A$110:$C$122,3,TRUE),IF(AA1188="Failed",VLOOKUP($D$3,Calcs!$A$110:$C$122,3,TRUE),VLOOKUP($D$3-(IF((Character!$B$9+W1188)&gt;($D$3+Y1188),(Character!$B$9+W1188)-($D$3+Y1188),0)),Calcs!$A$110:$C$122,3,TRUE))))</f>
        <v xml:space="preserve"> </v>
      </c>
      <c r="AC1188" s="489"/>
      <c r="AD1188" s="489" t="str">
        <f>IF(IF(AA1188=" "," ",IF(NOT(ISBLANK(X1188)),VLOOKUP($D$3+X1188,Calcs!$A$110:$B$122,2,TRUE),IF(AA1188="Failed",VLOOKUP($D$3,Calcs!$A$110:$B$122,2,TRUE),VLOOKUP($D$3-(IF((Character!$B$9+W1188)&gt;($D$3+Y1188),(Character!$B$9+W1188)-($D$3+Y1188),0)),Calcs!$A$110:$B$122,2,TRUE))))=Calcs!$B$120,IF(ISBLANK(AC1188)," ",CONCATENATE(AC1188+7," Years")),IF(AA1188=" "," ",IF(NOT(ISBLANK(X1188)),VLOOKUP($D$3+X1188,Calcs!$A$110:$B$122,2,TRUE),IF(AA1188="Failed",VLOOKUP($D$3,Calcs!$A$110:$B$122,2,TRUE),VLOOKUP($D$3-(IF((Character!$B$9+W1188)&gt;($D$3+Y1188),(Character!$B$9+W1188)-($D$3+Y1188),0)),Calcs!$A$110:$B$122,2,TRUE)))))</f>
        <v xml:space="preserve"> </v>
      </c>
      <c r="AE1188" s="490"/>
      <c r="AF1188" s="879"/>
      <c r="AG1188" s="491"/>
    </row>
    <row r="1189" spans="1:33" x14ac:dyDescent="0.2">
      <c r="A1189" s="415">
        <f t="shared" si="36"/>
        <v>1507</v>
      </c>
      <c r="B1189" s="419" t="str">
        <f t="shared" si="37"/>
        <v>Spring</v>
      </c>
      <c r="C1189" s="455"/>
      <c r="D1189" s="504"/>
      <c r="E1189" s="455"/>
      <c r="F1189" s="504"/>
      <c r="G1189" s="455"/>
      <c r="H1189" s="504"/>
      <c r="I1189" s="455"/>
      <c r="J1189" s="504"/>
      <c r="L1189" s="472"/>
      <c r="M1189" s="468"/>
      <c r="N1189" s="468"/>
      <c r="O1189" s="468"/>
      <c r="P1189" s="468"/>
      <c r="Q1189" s="473"/>
      <c r="R1189" s="477" t="str">
        <f>IF(AND(COUNTIF('Start Character'!$I$63:$M$77,"Twilight Prone")=1,NOT(ISERROR(FIND("Magical Botch",M1189)))),"Yes",IF(P1189&gt;1,"Yes","No"))</f>
        <v>No</v>
      </c>
      <c r="S1189" s="501"/>
      <c r="T1189" s="478"/>
      <c r="U1189" s="501"/>
      <c r="V1189" s="479" t="str">
        <f>IF(R1189="No","No Twilight",IF(T1189="Yes","Uncomprehended Twilight",IF((Character!$B$14+IF(Character!$B$53="Yes",0,Character!$B$53)+IF(Magic!$C$5="Yes",2,0)+ROUNDUP((Magic!$B$30+IF(Magic!$C$30="Yes",3,0))/5,0)+S1189)&gt;=($D$3+P1189+SUMIF(Character!$I$62:$I$66,"Enigmatic Wisdom",Character!$J$62:$J$66)+Q1189+U1189),"No Twilight","Twilight")))</f>
        <v>No Twilight</v>
      </c>
      <c r="W1189" s="483"/>
      <c r="X1189" s="478"/>
      <c r="Y1189" s="484"/>
      <c r="Z1189" s="478"/>
      <c r="AA1189" s="485" t="str">
        <f>IF(V1189="Uncomprehended Twilight","Failed",IF(OR(ISBLANK(W1189),ISBLANK(Y1189))," ",IF(NOT(ISBLANK(X1189)),"Failed",IF((W1189+Character!$B$9+SUMIF(Character!$I$62:$I$66,"Enigmatic Wisdom",Character!$J$62:$J$66))&gt;=IF(Z1189="Yes",0,(Y1189+D1184)),"Succeeded","Failed"))))</f>
        <v xml:space="preserve"> </v>
      </c>
      <c r="AB1189" s="477" t="str">
        <f>IF(AA1189=" "," ",IF(NOT(ISBLANK(X1189)),VLOOKUP($D$3+X1189,Calcs!$A$110:$C$122,3,TRUE),IF(AA1189="Failed",VLOOKUP($D$3,Calcs!$A$110:$C$122,3,TRUE),VLOOKUP($D$3-(IF((Character!$B$9+W1189)&gt;($D$3+Y1189),(Character!$B$9+W1189)-($D$3+Y1189),0)),Calcs!$A$110:$C$122,3,TRUE))))</f>
        <v xml:space="preserve"> </v>
      </c>
      <c r="AC1189" s="489"/>
      <c r="AD1189" s="489" t="str">
        <f>IF(IF(AA1189=" "," ",IF(NOT(ISBLANK(X1189)),VLOOKUP($D$3+X1189,Calcs!$A$110:$B$122,2,TRUE),IF(AA1189="Failed",VLOOKUP($D$3,Calcs!$A$110:$B$122,2,TRUE),VLOOKUP($D$3-(IF((Character!$B$9+W1189)&gt;($D$3+Y1189),(Character!$B$9+W1189)-($D$3+Y1189),0)),Calcs!$A$110:$B$122,2,TRUE))))=Calcs!$B$120,IF(ISBLANK(AC1189)," ",CONCATENATE(AC1189+7," Years")),IF(AA1189=" "," ",IF(NOT(ISBLANK(X1189)),VLOOKUP($D$3+X1189,Calcs!$A$110:$B$122,2,TRUE),IF(AA1189="Failed",VLOOKUP($D$3,Calcs!$A$110:$B$122,2,TRUE),VLOOKUP($D$3-(IF((Character!$B$9+W1189)&gt;($D$3+Y1189),(Character!$B$9+W1189)-($D$3+Y1189),0)),Calcs!$A$110:$B$122,2,TRUE)))))</f>
        <v xml:space="preserve"> </v>
      </c>
      <c r="AE1189" s="490"/>
      <c r="AF1189" s="879"/>
      <c r="AG1189" s="491"/>
    </row>
    <row r="1190" spans="1:33" x14ac:dyDescent="0.2">
      <c r="A1190" s="415">
        <f t="shared" si="36"/>
        <v>1507</v>
      </c>
      <c r="B1190" s="419" t="str">
        <f t="shared" si="37"/>
        <v>Summer</v>
      </c>
      <c r="C1190" s="455"/>
      <c r="D1190" s="504"/>
      <c r="E1190" s="455"/>
      <c r="F1190" s="504"/>
      <c r="G1190" s="455"/>
      <c r="H1190" s="504"/>
      <c r="I1190" s="455"/>
      <c r="J1190" s="504"/>
      <c r="L1190" s="472"/>
      <c r="M1190" s="468"/>
      <c r="N1190" s="468"/>
      <c r="O1190" s="468"/>
      <c r="P1190" s="468"/>
      <c r="Q1190" s="473"/>
      <c r="R1190" s="477" t="str">
        <f>IF(AND(COUNTIF('Start Character'!$I$63:$M$77,"Twilight Prone")=1,NOT(ISERROR(FIND("Magical Botch",M1190)))),"Yes",IF(P1190&gt;1,"Yes","No"))</f>
        <v>No</v>
      </c>
      <c r="S1190" s="501"/>
      <c r="T1190" s="478"/>
      <c r="U1190" s="501"/>
      <c r="V1190" s="479" t="str">
        <f>IF(R1190="No","No Twilight",IF(T1190="Yes","Uncomprehended Twilight",IF((Character!$B$14+IF(Character!$B$53="Yes",0,Character!$B$53)+IF(Magic!$C$5="Yes",2,0)+ROUNDUP((Magic!$B$30+IF(Magic!$C$30="Yes",3,0))/5,0)+S1190)&gt;=($D$3+P1190+SUMIF(Character!$I$62:$I$66,"Enigmatic Wisdom",Character!$J$62:$J$66)+Q1190+U1190),"No Twilight","Twilight")))</f>
        <v>No Twilight</v>
      </c>
      <c r="W1190" s="483"/>
      <c r="X1190" s="478"/>
      <c r="Y1190" s="484"/>
      <c r="Z1190" s="478"/>
      <c r="AA1190" s="485" t="str">
        <f>IF(V1190="Uncomprehended Twilight","Failed",IF(OR(ISBLANK(W1190),ISBLANK(Y1190))," ",IF(NOT(ISBLANK(X1190)),"Failed",IF((W1190+Character!$B$9+SUMIF(Character!$I$62:$I$66,"Enigmatic Wisdom",Character!$J$62:$J$66))&gt;=IF(Z1190="Yes",0,(Y1190+D1185)),"Succeeded","Failed"))))</f>
        <v xml:space="preserve"> </v>
      </c>
      <c r="AB1190" s="477" t="str">
        <f>IF(AA1190=" "," ",IF(NOT(ISBLANK(X1190)),VLOOKUP($D$3+X1190,Calcs!$A$110:$C$122,3,TRUE),IF(AA1190="Failed",VLOOKUP($D$3,Calcs!$A$110:$C$122,3,TRUE),VLOOKUP($D$3-(IF((Character!$B$9+W1190)&gt;($D$3+Y1190),(Character!$B$9+W1190)-($D$3+Y1190),0)),Calcs!$A$110:$C$122,3,TRUE))))</f>
        <v xml:space="preserve"> </v>
      </c>
      <c r="AC1190" s="489"/>
      <c r="AD1190" s="489" t="str">
        <f>IF(IF(AA1190=" "," ",IF(NOT(ISBLANK(X1190)),VLOOKUP($D$3+X1190,Calcs!$A$110:$B$122,2,TRUE),IF(AA1190="Failed",VLOOKUP($D$3,Calcs!$A$110:$B$122,2,TRUE),VLOOKUP($D$3-(IF((Character!$B$9+W1190)&gt;($D$3+Y1190),(Character!$B$9+W1190)-($D$3+Y1190),0)),Calcs!$A$110:$B$122,2,TRUE))))=Calcs!$B$120,IF(ISBLANK(AC1190)," ",CONCATENATE(AC1190+7," Years")),IF(AA1190=" "," ",IF(NOT(ISBLANK(X1190)),VLOOKUP($D$3+X1190,Calcs!$A$110:$B$122,2,TRUE),IF(AA1190="Failed",VLOOKUP($D$3,Calcs!$A$110:$B$122,2,TRUE),VLOOKUP($D$3-(IF((Character!$B$9+W1190)&gt;($D$3+Y1190),(Character!$B$9+W1190)-($D$3+Y1190),0)),Calcs!$A$110:$B$122,2,TRUE)))))</f>
        <v xml:space="preserve"> </v>
      </c>
      <c r="AE1190" s="490"/>
      <c r="AF1190" s="879"/>
      <c r="AG1190" s="491"/>
    </row>
    <row r="1191" spans="1:33" x14ac:dyDescent="0.2">
      <c r="A1191" s="415">
        <f t="shared" si="36"/>
        <v>1507</v>
      </c>
      <c r="B1191" s="419" t="str">
        <f t="shared" si="37"/>
        <v>Autumn</v>
      </c>
      <c r="C1191" s="455"/>
      <c r="D1191" s="504"/>
      <c r="E1191" s="455"/>
      <c r="F1191" s="504"/>
      <c r="G1191" s="455"/>
      <c r="H1191" s="504"/>
      <c r="I1191" s="455"/>
      <c r="J1191" s="504"/>
      <c r="L1191" s="472"/>
      <c r="M1191" s="468"/>
      <c r="N1191" s="468"/>
      <c r="O1191" s="468"/>
      <c r="P1191" s="468"/>
      <c r="Q1191" s="473"/>
      <c r="R1191" s="477" t="str">
        <f>IF(AND(COUNTIF('Start Character'!$I$63:$M$77,"Twilight Prone")=1,NOT(ISERROR(FIND("Magical Botch",M1191)))),"Yes",IF(P1191&gt;1,"Yes","No"))</f>
        <v>No</v>
      </c>
      <c r="S1191" s="501"/>
      <c r="T1191" s="478"/>
      <c r="U1191" s="501"/>
      <c r="V1191" s="479" t="str">
        <f>IF(R1191="No","No Twilight",IF(T1191="Yes","Uncomprehended Twilight",IF((Character!$B$14+IF(Character!$B$53="Yes",0,Character!$B$53)+IF(Magic!$C$5="Yes",2,0)+ROUNDUP((Magic!$B$30+IF(Magic!$C$30="Yes",3,0))/5,0)+S1191)&gt;=($D$3+P1191+SUMIF(Character!$I$62:$I$66,"Enigmatic Wisdom",Character!$J$62:$J$66)+Q1191+U1191),"No Twilight","Twilight")))</f>
        <v>No Twilight</v>
      </c>
      <c r="W1191" s="483"/>
      <c r="X1191" s="478"/>
      <c r="Y1191" s="484"/>
      <c r="Z1191" s="478"/>
      <c r="AA1191" s="485" t="str">
        <f>IF(V1191="Uncomprehended Twilight","Failed",IF(OR(ISBLANK(W1191),ISBLANK(Y1191))," ",IF(NOT(ISBLANK(X1191)),"Failed",IF((W1191+Character!$B$9+SUMIF(Character!$I$62:$I$66,"Enigmatic Wisdom",Character!$J$62:$J$66))&gt;=IF(Z1191="Yes",0,(Y1191+D1186)),"Succeeded","Failed"))))</f>
        <v xml:space="preserve"> </v>
      </c>
      <c r="AB1191" s="477" t="str">
        <f>IF(AA1191=" "," ",IF(NOT(ISBLANK(X1191)),VLOOKUP($D$3+X1191,Calcs!$A$110:$C$122,3,TRUE),IF(AA1191="Failed",VLOOKUP($D$3,Calcs!$A$110:$C$122,3,TRUE),VLOOKUP($D$3-(IF((Character!$B$9+W1191)&gt;($D$3+Y1191),(Character!$B$9+W1191)-($D$3+Y1191),0)),Calcs!$A$110:$C$122,3,TRUE))))</f>
        <v xml:space="preserve"> </v>
      </c>
      <c r="AC1191" s="489"/>
      <c r="AD1191" s="489" t="str">
        <f>IF(IF(AA1191=" "," ",IF(NOT(ISBLANK(X1191)),VLOOKUP($D$3+X1191,Calcs!$A$110:$B$122,2,TRUE),IF(AA1191="Failed",VLOOKUP($D$3,Calcs!$A$110:$B$122,2,TRUE),VLOOKUP($D$3-(IF((Character!$B$9+W1191)&gt;($D$3+Y1191),(Character!$B$9+W1191)-($D$3+Y1191),0)),Calcs!$A$110:$B$122,2,TRUE))))=Calcs!$B$120,IF(ISBLANK(AC1191)," ",CONCATENATE(AC1191+7," Years")),IF(AA1191=" "," ",IF(NOT(ISBLANK(X1191)),VLOOKUP($D$3+X1191,Calcs!$A$110:$B$122,2,TRUE),IF(AA1191="Failed",VLOOKUP($D$3,Calcs!$A$110:$B$122,2,TRUE),VLOOKUP($D$3-(IF((Character!$B$9+W1191)&gt;($D$3+Y1191),(Character!$B$9+W1191)-($D$3+Y1191),0)),Calcs!$A$110:$B$122,2,TRUE)))))</f>
        <v xml:space="preserve"> </v>
      </c>
      <c r="AE1191" s="490"/>
      <c r="AF1191" s="879"/>
      <c r="AG1191" s="491"/>
    </row>
    <row r="1192" spans="1:33" x14ac:dyDescent="0.2">
      <c r="A1192" s="415">
        <f t="shared" si="36"/>
        <v>1508</v>
      </c>
      <c r="B1192" s="419" t="str">
        <f t="shared" si="37"/>
        <v>Winter</v>
      </c>
      <c r="C1192" s="455"/>
      <c r="D1192" s="504"/>
      <c r="E1192" s="455"/>
      <c r="F1192" s="504"/>
      <c r="G1192" s="455"/>
      <c r="H1192" s="504"/>
      <c r="I1192" s="455"/>
      <c r="J1192" s="504"/>
      <c r="L1192" s="472"/>
      <c r="M1192" s="468"/>
      <c r="N1192" s="468"/>
      <c r="O1192" s="468"/>
      <c r="P1192" s="468"/>
      <c r="Q1192" s="473"/>
      <c r="R1192" s="477" t="str">
        <f>IF(AND(COUNTIF('Start Character'!$I$63:$M$77,"Twilight Prone")=1,NOT(ISERROR(FIND("Magical Botch",M1192)))),"Yes",IF(P1192&gt;1,"Yes","No"))</f>
        <v>No</v>
      </c>
      <c r="S1192" s="501"/>
      <c r="T1192" s="478"/>
      <c r="U1192" s="501"/>
      <c r="V1192" s="479" t="str">
        <f>IF(R1192="No","No Twilight",IF(T1192="Yes","Uncomprehended Twilight",IF((Character!$B$14+IF(Character!$B$53="Yes",0,Character!$B$53)+IF(Magic!$C$5="Yes",2,0)+ROUNDUP((Magic!$B$30+IF(Magic!$C$30="Yes",3,0))/5,0)+S1192)&gt;=($D$3+P1192+SUMIF(Character!$I$62:$I$66,"Enigmatic Wisdom",Character!$J$62:$J$66)+Q1192+U1192),"No Twilight","Twilight")))</f>
        <v>No Twilight</v>
      </c>
      <c r="W1192" s="483"/>
      <c r="X1192" s="478"/>
      <c r="Y1192" s="484"/>
      <c r="Z1192" s="478"/>
      <c r="AA1192" s="485" t="str">
        <f>IF(V1192="Uncomprehended Twilight","Failed",IF(OR(ISBLANK(W1192),ISBLANK(Y1192))," ",IF(NOT(ISBLANK(X1192)),"Failed",IF((W1192+Character!$B$9+SUMIF(Character!$I$62:$I$66,"Enigmatic Wisdom",Character!$J$62:$J$66))&gt;=IF(Z1192="Yes",0,(Y1192+D1187)),"Succeeded","Failed"))))</f>
        <v xml:space="preserve"> </v>
      </c>
      <c r="AB1192" s="477" t="str">
        <f>IF(AA1192=" "," ",IF(NOT(ISBLANK(X1192)),VLOOKUP($D$3+X1192,Calcs!$A$110:$C$122,3,TRUE),IF(AA1192="Failed",VLOOKUP($D$3,Calcs!$A$110:$C$122,3,TRUE),VLOOKUP($D$3-(IF((Character!$B$9+W1192)&gt;($D$3+Y1192),(Character!$B$9+W1192)-($D$3+Y1192),0)),Calcs!$A$110:$C$122,3,TRUE))))</f>
        <v xml:space="preserve"> </v>
      </c>
      <c r="AC1192" s="489"/>
      <c r="AD1192" s="489" t="str">
        <f>IF(IF(AA1192=" "," ",IF(NOT(ISBLANK(X1192)),VLOOKUP($D$3+X1192,Calcs!$A$110:$B$122,2,TRUE),IF(AA1192="Failed",VLOOKUP($D$3,Calcs!$A$110:$B$122,2,TRUE),VLOOKUP($D$3-(IF((Character!$B$9+W1192)&gt;($D$3+Y1192),(Character!$B$9+W1192)-($D$3+Y1192),0)),Calcs!$A$110:$B$122,2,TRUE))))=Calcs!$B$120,IF(ISBLANK(AC1192)," ",CONCATENATE(AC1192+7," Years")),IF(AA1192=" "," ",IF(NOT(ISBLANK(X1192)),VLOOKUP($D$3+X1192,Calcs!$A$110:$B$122,2,TRUE),IF(AA1192="Failed",VLOOKUP($D$3,Calcs!$A$110:$B$122,2,TRUE),VLOOKUP($D$3-(IF((Character!$B$9+W1192)&gt;($D$3+Y1192),(Character!$B$9+W1192)-($D$3+Y1192),0)),Calcs!$A$110:$B$122,2,TRUE)))))</f>
        <v xml:space="preserve"> </v>
      </c>
      <c r="AE1192" s="490"/>
      <c r="AF1192" s="879"/>
      <c r="AG1192" s="491"/>
    </row>
    <row r="1193" spans="1:33" x14ac:dyDescent="0.2">
      <c r="A1193" s="415">
        <f t="shared" si="36"/>
        <v>1508</v>
      </c>
      <c r="B1193" s="419" t="str">
        <f t="shared" si="37"/>
        <v>Spring</v>
      </c>
      <c r="C1193" s="455"/>
      <c r="D1193" s="504"/>
      <c r="E1193" s="455"/>
      <c r="F1193" s="504"/>
      <c r="G1193" s="455"/>
      <c r="H1193" s="504"/>
      <c r="I1193" s="455"/>
      <c r="J1193" s="504"/>
      <c r="L1193" s="472"/>
      <c r="M1193" s="468"/>
      <c r="N1193" s="468"/>
      <c r="O1193" s="468"/>
      <c r="P1193" s="468"/>
      <c r="Q1193" s="473"/>
      <c r="R1193" s="477" t="str">
        <f>IF(AND(COUNTIF('Start Character'!$I$63:$M$77,"Twilight Prone")=1,NOT(ISERROR(FIND("Magical Botch",M1193)))),"Yes",IF(P1193&gt;1,"Yes","No"))</f>
        <v>No</v>
      </c>
      <c r="S1193" s="501"/>
      <c r="T1193" s="478"/>
      <c r="U1193" s="501"/>
      <c r="V1193" s="479" t="str">
        <f>IF(R1193="No","No Twilight",IF(T1193="Yes","Uncomprehended Twilight",IF((Character!$B$14+IF(Character!$B$53="Yes",0,Character!$B$53)+IF(Magic!$C$5="Yes",2,0)+ROUNDUP((Magic!$B$30+IF(Magic!$C$30="Yes",3,0))/5,0)+S1193)&gt;=($D$3+P1193+SUMIF(Character!$I$62:$I$66,"Enigmatic Wisdom",Character!$J$62:$J$66)+Q1193+U1193),"No Twilight","Twilight")))</f>
        <v>No Twilight</v>
      </c>
      <c r="W1193" s="483"/>
      <c r="X1193" s="478"/>
      <c r="Y1193" s="484"/>
      <c r="Z1193" s="478"/>
      <c r="AA1193" s="485" t="str">
        <f>IF(V1193="Uncomprehended Twilight","Failed",IF(OR(ISBLANK(W1193),ISBLANK(Y1193))," ",IF(NOT(ISBLANK(X1193)),"Failed",IF((W1193+Character!$B$9+SUMIF(Character!$I$62:$I$66,"Enigmatic Wisdom",Character!$J$62:$J$66))&gt;=IF(Z1193="Yes",0,(Y1193+D1188)),"Succeeded","Failed"))))</f>
        <v xml:space="preserve"> </v>
      </c>
      <c r="AB1193" s="477" t="str">
        <f>IF(AA1193=" "," ",IF(NOT(ISBLANK(X1193)),VLOOKUP($D$3+X1193,Calcs!$A$110:$C$122,3,TRUE),IF(AA1193="Failed",VLOOKUP($D$3,Calcs!$A$110:$C$122,3,TRUE),VLOOKUP($D$3-(IF((Character!$B$9+W1193)&gt;($D$3+Y1193),(Character!$B$9+W1193)-($D$3+Y1193),0)),Calcs!$A$110:$C$122,3,TRUE))))</f>
        <v xml:space="preserve"> </v>
      </c>
      <c r="AC1193" s="489"/>
      <c r="AD1193" s="489" t="str">
        <f>IF(IF(AA1193=" "," ",IF(NOT(ISBLANK(X1193)),VLOOKUP($D$3+X1193,Calcs!$A$110:$B$122,2,TRUE),IF(AA1193="Failed",VLOOKUP($D$3,Calcs!$A$110:$B$122,2,TRUE),VLOOKUP($D$3-(IF((Character!$B$9+W1193)&gt;($D$3+Y1193),(Character!$B$9+W1193)-($D$3+Y1193),0)),Calcs!$A$110:$B$122,2,TRUE))))=Calcs!$B$120,IF(ISBLANK(AC1193)," ",CONCATENATE(AC1193+7," Years")),IF(AA1193=" "," ",IF(NOT(ISBLANK(X1193)),VLOOKUP($D$3+X1193,Calcs!$A$110:$B$122,2,TRUE),IF(AA1193="Failed",VLOOKUP($D$3,Calcs!$A$110:$B$122,2,TRUE),VLOOKUP($D$3-(IF((Character!$B$9+W1193)&gt;($D$3+Y1193),(Character!$B$9+W1193)-($D$3+Y1193),0)),Calcs!$A$110:$B$122,2,TRUE)))))</f>
        <v xml:space="preserve"> </v>
      </c>
      <c r="AE1193" s="490"/>
      <c r="AF1193" s="879"/>
      <c r="AG1193" s="491"/>
    </row>
    <row r="1194" spans="1:33" x14ac:dyDescent="0.2">
      <c r="A1194" s="415">
        <f t="shared" si="36"/>
        <v>1508</v>
      </c>
      <c r="B1194" s="419" t="str">
        <f t="shared" si="37"/>
        <v>Summer</v>
      </c>
      <c r="C1194" s="455"/>
      <c r="D1194" s="504"/>
      <c r="E1194" s="455"/>
      <c r="F1194" s="504"/>
      <c r="G1194" s="455"/>
      <c r="H1194" s="504"/>
      <c r="I1194" s="455"/>
      <c r="J1194" s="504"/>
      <c r="L1194" s="472"/>
      <c r="M1194" s="468"/>
      <c r="N1194" s="468"/>
      <c r="O1194" s="468"/>
      <c r="P1194" s="468"/>
      <c r="Q1194" s="473"/>
      <c r="R1194" s="477" t="str">
        <f>IF(AND(COUNTIF('Start Character'!$I$63:$M$77,"Twilight Prone")=1,NOT(ISERROR(FIND("Magical Botch",M1194)))),"Yes",IF(P1194&gt;1,"Yes","No"))</f>
        <v>No</v>
      </c>
      <c r="S1194" s="501"/>
      <c r="T1194" s="478"/>
      <c r="U1194" s="501"/>
      <c r="V1194" s="479" t="str">
        <f>IF(R1194="No","No Twilight",IF(T1194="Yes","Uncomprehended Twilight",IF((Character!$B$14+IF(Character!$B$53="Yes",0,Character!$B$53)+IF(Magic!$C$5="Yes",2,0)+ROUNDUP((Magic!$B$30+IF(Magic!$C$30="Yes",3,0))/5,0)+S1194)&gt;=($D$3+P1194+SUMIF(Character!$I$62:$I$66,"Enigmatic Wisdom",Character!$J$62:$J$66)+Q1194+U1194),"No Twilight","Twilight")))</f>
        <v>No Twilight</v>
      </c>
      <c r="W1194" s="483"/>
      <c r="X1194" s="478"/>
      <c r="Y1194" s="484"/>
      <c r="Z1194" s="478"/>
      <c r="AA1194" s="485" t="str">
        <f>IF(V1194="Uncomprehended Twilight","Failed",IF(OR(ISBLANK(W1194),ISBLANK(Y1194))," ",IF(NOT(ISBLANK(X1194)),"Failed",IF((W1194+Character!$B$9+SUMIF(Character!$I$62:$I$66,"Enigmatic Wisdom",Character!$J$62:$J$66))&gt;=IF(Z1194="Yes",0,(Y1194+D1189)),"Succeeded","Failed"))))</f>
        <v xml:space="preserve"> </v>
      </c>
      <c r="AB1194" s="477" t="str">
        <f>IF(AA1194=" "," ",IF(NOT(ISBLANK(X1194)),VLOOKUP($D$3+X1194,Calcs!$A$110:$C$122,3,TRUE),IF(AA1194="Failed",VLOOKUP($D$3,Calcs!$A$110:$C$122,3,TRUE),VLOOKUP($D$3-(IF((Character!$B$9+W1194)&gt;($D$3+Y1194),(Character!$B$9+W1194)-($D$3+Y1194),0)),Calcs!$A$110:$C$122,3,TRUE))))</f>
        <v xml:space="preserve"> </v>
      </c>
      <c r="AC1194" s="489"/>
      <c r="AD1194" s="489" t="str">
        <f>IF(IF(AA1194=" "," ",IF(NOT(ISBLANK(X1194)),VLOOKUP($D$3+X1194,Calcs!$A$110:$B$122,2,TRUE),IF(AA1194="Failed",VLOOKUP($D$3,Calcs!$A$110:$B$122,2,TRUE),VLOOKUP($D$3-(IF((Character!$B$9+W1194)&gt;($D$3+Y1194),(Character!$B$9+W1194)-($D$3+Y1194),0)),Calcs!$A$110:$B$122,2,TRUE))))=Calcs!$B$120,IF(ISBLANK(AC1194)," ",CONCATENATE(AC1194+7," Years")),IF(AA1194=" "," ",IF(NOT(ISBLANK(X1194)),VLOOKUP($D$3+X1194,Calcs!$A$110:$B$122,2,TRUE),IF(AA1194="Failed",VLOOKUP($D$3,Calcs!$A$110:$B$122,2,TRUE),VLOOKUP($D$3-(IF((Character!$B$9+W1194)&gt;($D$3+Y1194),(Character!$B$9+W1194)-($D$3+Y1194),0)),Calcs!$A$110:$B$122,2,TRUE)))))</f>
        <v xml:space="preserve"> </v>
      </c>
      <c r="AE1194" s="490"/>
      <c r="AF1194" s="879"/>
      <c r="AG1194" s="491"/>
    </row>
    <row r="1195" spans="1:33" x14ac:dyDescent="0.2">
      <c r="A1195" s="415">
        <f t="shared" si="36"/>
        <v>1508</v>
      </c>
      <c r="B1195" s="419" t="str">
        <f t="shared" si="37"/>
        <v>Autumn</v>
      </c>
      <c r="C1195" s="455"/>
      <c r="D1195" s="504"/>
      <c r="E1195" s="455"/>
      <c r="F1195" s="504"/>
      <c r="G1195" s="455"/>
      <c r="H1195" s="504"/>
      <c r="I1195" s="455"/>
      <c r="J1195" s="504"/>
      <c r="L1195" s="472"/>
      <c r="M1195" s="468"/>
      <c r="N1195" s="468"/>
      <c r="O1195" s="468"/>
      <c r="P1195" s="468"/>
      <c r="Q1195" s="473"/>
      <c r="R1195" s="477" t="str">
        <f>IF(AND(COUNTIF('Start Character'!$I$63:$M$77,"Twilight Prone")=1,NOT(ISERROR(FIND("Magical Botch",M1195)))),"Yes",IF(P1195&gt;1,"Yes","No"))</f>
        <v>No</v>
      </c>
      <c r="S1195" s="501"/>
      <c r="T1195" s="478"/>
      <c r="U1195" s="501"/>
      <c r="V1195" s="479" t="str">
        <f>IF(R1195="No","No Twilight",IF(T1195="Yes","Uncomprehended Twilight",IF((Character!$B$14+IF(Character!$B$53="Yes",0,Character!$B$53)+IF(Magic!$C$5="Yes",2,0)+ROUNDUP((Magic!$B$30+IF(Magic!$C$30="Yes",3,0))/5,0)+S1195)&gt;=($D$3+P1195+SUMIF(Character!$I$62:$I$66,"Enigmatic Wisdom",Character!$J$62:$J$66)+Q1195+U1195),"No Twilight","Twilight")))</f>
        <v>No Twilight</v>
      </c>
      <c r="W1195" s="483"/>
      <c r="X1195" s="478"/>
      <c r="Y1195" s="484"/>
      <c r="Z1195" s="478"/>
      <c r="AA1195" s="485" t="str">
        <f>IF(V1195="Uncomprehended Twilight","Failed",IF(OR(ISBLANK(W1195),ISBLANK(Y1195))," ",IF(NOT(ISBLANK(X1195)),"Failed",IF((W1195+Character!$B$9+SUMIF(Character!$I$62:$I$66,"Enigmatic Wisdom",Character!$J$62:$J$66))&gt;=IF(Z1195="Yes",0,(Y1195+D1190)),"Succeeded","Failed"))))</f>
        <v xml:space="preserve"> </v>
      </c>
      <c r="AB1195" s="477" t="str">
        <f>IF(AA1195=" "," ",IF(NOT(ISBLANK(X1195)),VLOOKUP($D$3+X1195,Calcs!$A$110:$C$122,3,TRUE),IF(AA1195="Failed",VLOOKUP($D$3,Calcs!$A$110:$C$122,3,TRUE),VLOOKUP($D$3-(IF((Character!$B$9+W1195)&gt;($D$3+Y1195),(Character!$B$9+W1195)-($D$3+Y1195),0)),Calcs!$A$110:$C$122,3,TRUE))))</f>
        <v xml:space="preserve"> </v>
      </c>
      <c r="AC1195" s="489"/>
      <c r="AD1195" s="489" t="str">
        <f>IF(IF(AA1195=" "," ",IF(NOT(ISBLANK(X1195)),VLOOKUP($D$3+X1195,Calcs!$A$110:$B$122,2,TRUE),IF(AA1195="Failed",VLOOKUP($D$3,Calcs!$A$110:$B$122,2,TRUE),VLOOKUP($D$3-(IF((Character!$B$9+W1195)&gt;($D$3+Y1195),(Character!$B$9+W1195)-($D$3+Y1195),0)),Calcs!$A$110:$B$122,2,TRUE))))=Calcs!$B$120,IF(ISBLANK(AC1195)," ",CONCATENATE(AC1195+7," Years")),IF(AA1195=" "," ",IF(NOT(ISBLANK(X1195)),VLOOKUP($D$3+X1195,Calcs!$A$110:$B$122,2,TRUE),IF(AA1195="Failed",VLOOKUP($D$3,Calcs!$A$110:$B$122,2,TRUE),VLOOKUP($D$3-(IF((Character!$B$9+W1195)&gt;($D$3+Y1195),(Character!$B$9+W1195)-($D$3+Y1195),0)),Calcs!$A$110:$B$122,2,TRUE)))))</f>
        <v xml:space="preserve"> </v>
      </c>
      <c r="AE1195" s="490"/>
      <c r="AF1195" s="879"/>
      <c r="AG1195" s="491"/>
    </row>
    <row r="1196" spans="1:33" x14ac:dyDescent="0.2">
      <c r="A1196" s="415">
        <f t="shared" si="36"/>
        <v>1509</v>
      </c>
      <c r="B1196" s="419" t="str">
        <f t="shared" si="37"/>
        <v>Winter</v>
      </c>
      <c r="C1196" s="455"/>
      <c r="D1196" s="504"/>
      <c r="E1196" s="455"/>
      <c r="F1196" s="504"/>
      <c r="G1196" s="455"/>
      <c r="H1196" s="504"/>
      <c r="I1196" s="455"/>
      <c r="J1196" s="504"/>
      <c r="L1196" s="472"/>
      <c r="M1196" s="468"/>
      <c r="N1196" s="468"/>
      <c r="O1196" s="468"/>
      <c r="P1196" s="468"/>
      <c r="Q1196" s="473"/>
      <c r="R1196" s="477" t="str">
        <f>IF(AND(COUNTIF('Start Character'!$I$63:$M$77,"Twilight Prone")=1,NOT(ISERROR(FIND("Magical Botch",M1196)))),"Yes",IF(P1196&gt;1,"Yes","No"))</f>
        <v>No</v>
      </c>
      <c r="S1196" s="501"/>
      <c r="T1196" s="478"/>
      <c r="U1196" s="501"/>
      <c r="V1196" s="479" t="str">
        <f>IF(R1196="No","No Twilight",IF(T1196="Yes","Uncomprehended Twilight",IF((Character!$B$14+IF(Character!$B$53="Yes",0,Character!$B$53)+IF(Magic!$C$5="Yes",2,0)+ROUNDUP((Magic!$B$30+IF(Magic!$C$30="Yes",3,0))/5,0)+S1196)&gt;=($D$3+P1196+SUMIF(Character!$I$62:$I$66,"Enigmatic Wisdom",Character!$J$62:$J$66)+Q1196+U1196),"No Twilight","Twilight")))</f>
        <v>No Twilight</v>
      </c>
      <c r="W1196" s="483"/>
      <c r="X1196" s="478"/>
      <c r="Y1196" s="484"/>
      <c r="Z1196" s="478"/>
      <c r="AA1196" s="485" t="str">
        <f>IF(V1196="Uncomprehended Twilight","Failed",IF(OR(ISBLANK(W1196),ISBLANK(Y1196))," ",IF(NOT(ISBLANK(X1196)),"Failed",IF((W1196+Character!$B$9+SUMIF(Character!$I$62:$I$66,"Enigmatic Wisdom",Character!$J$62:$J$66))&gt;=IF(Z1196="Yes",0,(Y1196+D1191)),"Succeeded","Failed"))))</f>
        <v xml:space="preserve"> </v>
      </c>
      <c r="AB1196" s="477" t="str">
        <f>IF(AA1196=" "," ",IF(NOT(ISBLANK(X1196)),VLOOKUP($D$3+X1196,Calcs!$A$110:$C$122,3,TRUE),IF(AA1196="Failed",VLOOKUP($D$3,Calcs!$A$110:$C$122,3,TRUE),VLOOKUP($D$3-(IF((Character!$B$9+W1196)&gt;($D$3+Y1196),(Character!$B$9+W1196)-($D$3+Y1196),0)),Calcs!$A$110:$C$122,3,TRUE))))</f>
        <v xml:space="preserve"> </v>
      </c>
      <c r="AC1196" s="489"/>
      <c r="AD1196" s="489" t="str">
        <f>IF(IF(AA1196=" "," ",IF(NOT(ISBLANK(X1196)),VLOOKUP($D$3+X1196,Calcs!$A$110:$B$122,2,TRUE),IF(AA1196="Failed",VLOOKUP($D$3,Calcs!$A$110:$B$122,2,TRUE),VLOOKUP($D$3-(IF((Character!$B$9+W1196)&gt;($D$3+Y1196),(Character!$B$9+W1196)-($D$3+Y1196),0)),Calcs!$A$110:$B$122,2,TRUE))))=Calcs!$B$120,IF(ISBLANK(AC1196)," ",CONCATENATE(AC1196+7," Years")),IF(AA1196=" "," ",IF(NOT(ISBLANK(X1196)),VLOOKUP($D$3+X1196,Calcs!$A$110:$B$122,2,TRUE),IF(AA1196="Failed",VLOOKUP($D$3,Calcs!$A$110:$B$122,2,TRUE),VLOOKUP($D$3-(IF((Character!$B$9+W1196)&gt;($D$3+Y1196),(Character!$B$9+W1196)-($D$3+Y1196),0)),Calcs!$A$110:$B$122,2,TRUE)))))</f>
        <v xml:space="preserve"> </v>
      </c>
      <c r="AE1196" s="490"/>
      <c r="AF1196" s="879"/>
      <c r="AG1196" s="491"/>
    </row>
    <row r="1197" spans="1:33" x14ac:dyDescent="0.2">
      <c r="A1197" s="415">
        <f t="shared" si="36"/>
        <v>1509</v>
      </c>
      <c r="B1197" s="419" t="str">
        <f t="shared" si="37"/>
        <v>Spring</v>
      </c>
      <c r="C1197" s="455"/>
      <c r="D1197" s="504"/>
      <c r="E1197" s="455"/>
      <c r="F1197" s="504"/>
      <c r="G1197" s="455"/>
      <c r="H1197" s="504"/>
      <c r="I1197" s="455"/>
      <c r="J1197" s="504"/>
      <c r="L1197" s="472"/>
      <c r="M1197" s="468"/>
      <c r="N1197" s="468"/>
      <c r="O1197" s="468"/>
      <c r="P1197" s="468"/>
      <c r="Q1197" s="473"/>
      <c r="R1197" s="477" t="str">
        <f>IF(AND(COUNTIF('Start Character'!$I$63:$M$77,"Twilight Prone")=1,NOT(ISERROR(FIND("Magical Botch",M1197)))),"Yes",IF(P1197&gt;1,"Yes","No"))</f>
        <v>No</v>
      </c>
      <c r="S1197" s="501"/>
      <c r="T1197" s="478"/>
      <c r="U1197" s="501"/>
      <c r="V1197" s="479" t="str">
        <f>IF(R1197="No","No Twilight",IF(T1197="Yes","Uncomprehended Twilight",IF((Character!$B$14+IF(Character!$B$53="Yes",0,Character!$B$53)+IF(Magic!$C$5="Yes",2,0)+ROUNDUP((Magic!$B$30+IF(Magic!$C$30="Yes",3,0))/5,0)+S1197)&gt;=($D$3+P1197+SUMIF(Character!$I$62:$I$66,"Enigmatic Wisdom",Character!$J$62:$J$66)+Q1197+U1197),"No Twilight","Twilight")))</f>
        <v>No Twilight</v>
      </c>
      <c r="W1197" s="483"/>
      <c r="X1197" s="478"/>
      <c r="Y1197" s="484"/>
      <c r="Z1197" s="478"/>
      <c r="AA1197" s="485" t="str">
        <f>IF(V1197="Uncomprehended Twilight","Failed",IF(OR(ISBLANK(W1197),ISBLANK(Y1197))," ",IF(NOT(ISBLANK(X1197)),"Failed",IF((W1197+Character!$B$9+SUMIF(Character!$I$62:$I$66,"Enigmatic Wisdom",Character!$J$62:$J$66))&gt;=IF(Z1197="Yes",0,(Y1197+D1192)),"Succeeded","Failed"))))</f>
        <v xml:space="preserve"> </v>
      </c>
      <c r="AB1197" s="477" t="str">
        <f>IF(AA1197=" "," ",IF(NOT(ISBLANK(X1197)),VLOOKUP($D$3+X1197,Calcs!$A$110:$C$122,3,TRUE),IF(AA1197="Failed",VLOOKUP($D$3,Calcs!$A$110:$C$122,3,TRUE),VLOOKUP($D$3-(IF((Character!$B$9+W1197)&gt;($D$3+Y1197),(Character!$B$9+W1197)-($D$3+Y1197),0)),Calcs!$A$110:$C$122,3,TRUE))))</f>
        <v xml:space="preserve"> </v>
      </c>
      <c r="AC1197" s="489"/>
      <c r="AD1197" s="489" t="str">
        <f>IF(IF(AA1197=" "," ",IF(NOT(ISBLANK(X1197)),VLOOKUP($D$3+X1197,Calcs!$A$110:$B$122,2,TRUE),IF(AA1197="Failed",VLOOKUP($D$3,Calcs!$A$110:$B$122,2,TRUE),VLOOKUP($D$3-(IF((Character!$B$9+W1197)&gt;($D$3+Y1197),(Character!$B$9+W1197)-($D$3+Y1197),0)),Calcs!$A$110:$B$122,2,TRUE))))=Calcs!$B$120,IF(ISBLANK(AC1197)," ",CONCATENATE(AC1197+7," Years")),IF(AA1197=" "," ",IF(NOT(ISBLANK(X1197)),VLOOKUP($D$3+X1197,Calcs!$A$110:$B$122,2,TRUE),IF(AA1197="Failed",VLOOKUP($D$3,Calcs!$A$110:$B$122,2,TRUE),VLOOKUP($D$3-(IF((Character!$B$9+W1197)&gt;($D$3+Y1197),(Character!$B$9+W1197)-($D$3+Y1197),0)),Calcs!$A$110:$B$122,2,TRUE)))))</f>
        <v xml:space="preserve"> </v>
      </c>
      <c r="AE1197" s="490"/>
      <c r="AF1197" s="879"/>
      <c r="AG1197" s="491"/>
    </row>
    <row r="1198" spans="1:33" x14ac:dyDescent="0.2">
      <c r="A1198" s="415">
        <f t="shared" si="36"/>
        <v>1509</v>
      </c>
      <c r="B1198" s="419" t="str">
        <f t="shared" si="37"/>
        <v>Summer</v>
      </c>
      <c r="C1198" s="455"/>
      <c r="D1198" s="504"/>
      <c r="E1198" s="455"/>
      <c r="F1198" s="504"/>
      <c r="G1198" s="455"/>
      <c r="H1198" s="504"/>
      <c r="I1198" s="455"/>
      <c r="J1198" s="504"/>
      <c r="L1198" s="472"/>
      <c r="M1198" s="468"/>
      <c r="N1198" s="468"/>
      <c r="O1198" s="468"/>
      <c r="P1198" s="468"/>
      <c r="Q1198" s="473"/>
      <c r="R1198" s="477" t="str">
        <f>IF(AND(COUNTIF('Start Character'!$I$63:$M$77,"Twilight Prone")=1,NOT(ISERROR(FIND("Magical Botch",M1198)))),"Yes",IF(P1198&gt;1,"Yes","No"))</f>
        <v>No</v>
      </c>
      <c r="S1198" s="501"/>
      <c r="T1198" s="478"/>
      <c r="U1198" s="501"/>
      <c r="V1198" s="479" t="str">
        <f>IF(R1198="No","No Twilight",IF(T1198="Yes","Uncomprehended Twilight",IF((Character!$B$14+IF(Character!$B$53="Yes",0,Character!$B$53)+IF(Magic!$C$5="Yes",2,0)+ROUNDUP((Magic!$B$30+IF(Magic!$C$30="Yes",3,0))/5,0)+S1198)&gt;=($D$3+P1198+SUMIF(Character!$I$62:$I$66,"Enigmatic Wisdom",Character!$J$62:$J$66)+Q1198+U1198),"No Twilight","Twilight")))</f>
        <v>No Twilight</v>
      </c>
      <c r="W1198" s="483"/>
      <c r="X1198" s="478"/>
      <c r="Y1198" s="484"/>
      <c r="Z1198" s="478"/>
      <c r="AA1198" s="485" t="str">
        <f>IF(V1198="Uncomprehended Twilight","Failed",IF(OR(ISBLANK(W1198),ISBLANK(Y1198))," ",IF(NOT(ISBLANK(X1198)),"Failed",IF((W1198+Character!$B$9+SUMIF(Character!$I$62:$I$66,"Enigmatic Wisdom",Character!$J$62:$J$66))&gt;=IF(Z1198="Yes",0,(Y1198+D1193)),"Succeeded","Failed"))))</f>
        <v xml:space="preserve"> </v>
      </c>
      <c r="AB1198" s="477" t="str">
        <f>IF(AA1198=" "," ",IF(NOT(ISBLANK(X1198)),VLOOKUP($D$3+X1198,Calcs!$A$110:$C$122,3,TRUE),IF(AA1198="Failed",VLOOKUP($D$3,Calcs!$A$110:$C$122,3,TRUE),VLOOKUP($D$3-(IF((Character!$B$9+W1198)&gt;($D$3+Y1198),(Character!$B$9+W1198)-($D$3+Y1198),0)),Calcs!$A$110:$C$122,3,TRUE))))</f>
        <v xml:space="preserve"> </v>
      </c>
      <c r="AC1198" s="489"/>
      <c r="AD1198" s="489" t="str">
        <f>IF(IF(AA1198=" "," ",IF(NOT(ISBLANK(X1198)),VLOOKUP($D$3+X1198,Calcs!$A$110:$B$122,2,TRUE),IF(AA1198="Failed",VLOOKUP($D$3,Calcs!$A$110:$B$122,2,TRUE),VLOOKUP($D$3-(IF((Character!$B$9+W1198)&gt;($D$3+Y1198),(Character!$B$9+W1198)-($D$3+Y1198),0)),Calcs!$A$110:$B$122,2,TRUE))))=Calcs!$B$120,IF(ISBLANK(AC1198)," ",CONCATENATE(AC1198+7," Years")),IF(AA1198=" "," ",IF(NOT(ISBLANK(X1198)),VLOOKUP($D$3+X1198,Calcs!$A$110:$B$122,2,TRUE),IF(AA1198="Failed",VLOOKUP($D$3,Calcs!$A$110:$B$122,2,TRUE),VLOOKUP($D$3-(IF((Character!$B$9+W1198)&gt;($D$3+Y1198),(Character!$B$9+W1198)-($D$3+Y1198),0)),Calcs!$A$110:$B$122,2,TRUE)))))</f>
        <v xml:space="preserve"> </v>
      </c>
      <c r="AE1198" s="490"/>
      <c r="AF1198" s="879"/>
      <c r="AG1198" s="491"/>
    </row>
    <row r="1199" spans="1:33" x14ac:dyDescent="0.2">
      <c r="A1199" s="415">
        <f t="shared" si="36"/>
        <v>1509</v>
      </c>
      <c r="B1199" s="419" t="str">
        <f t="shared" si="37"/>
        <v>Autumn</v>
      </c>
      <c r="C1199" s="455"/>
      <c r="D1199" s="504"/>
      <c r="E1199" s="455"/>
      <c r="F1199" s="504"/>
      <c r="G1199" s="455"/>
      <c r="H1199" s="504"/>
      <c r="I1199" s="455"/>
      <c r="J1199" s="504"/>
      <c r="L1199" s="472"/>
      <c r="M1199" s="468"/>
      <c r="N1199" s="468"/>
      <c r="O1199" s="468"/>
      <c r="P1199" s="468"/>
      <c r="Q1199" s="473"/>
      <c r="R1199" s="477" t="str">
        <f>IF(AND(COUNTIF('Start Character'!$I$63:$M$77,"Twilight Prone")=1,NOT(ISERROR(FIND("Magical Botch",M1199)))),"Yes",IF(P1199&gt;1,"Yes","No"))</f>
        <v>No</v>
      </c>
      <c r="S1199" s="501"/>
      <c r="T1199" s="478"/>
      <c r="U1199" s="501"/>
      <c r="V1199" s="479" t="str">
        <f>IF(R1199="No","No Twilight",IF(T1199="Yes","Uncomprehended Twilight",IF((Character!$B$14+IF(Character!$B$53="Yes",0,Character!$B$53)+IF(Magic!$C$5="Yes",2,0)+ROUNDUP((Magic!$B$30+IF(Magic!$C$30="Yes",3,0))/5,0)+S1199)&gt;=($D$3+P1199+SUMIF(Character!$I$62:$I$66,"Enigmatic Wisdom",Character!$J$62:$J$66)+Q1199+U1199),"No Twilight","Twilight")))</f>
        <v>No Twilight</v>
      </c>
      <c r="W1199" s="483"/>
      <c r="X1199" s="478"/>
      <c r="Y1199" s="484"/>
      <c r="Z1199" s="478"/>
      <c r="AA1199" s="485" t="str">
        <f>IF(V1199="Uncomprehended Twilight","Failed",IF(OR(ISBLANK(W1199),ISBLANK(Y1199))," ",IF(NOT(ISBLANK(X1199)),"Failed",IF((W1199+Character!$B$9+SUMIF(Character!$I$62:$I$66,"Enigmatic Wisdom",Character!$J$62:$J$66))&gt;=IF(Z1199="Yes",0,(Y1199+D1194)),"Succeeded","Failed"))))</f>
        <v xml:space="preserve"> </v>
      </c>
      <c r="AB1199" s="477" t="str">
        <f>IF(AA1199=" "," ",IF(NOT(ISBLANK(X1199)),VLOOKUP($D$3+X1199,Calcs!$A$110:$C$122,3,TRUE),IF(AA1199="Failed",VLOOKUP($D$3,Calcs!$A$110:$C$122,3,TRUE),VLOOKUP($D$3-(IF((Character!$B$9+W1199)&gt;($D$3+Y1199),(Character!$B$9+W1199)-($D$3+Y1199),0)),Calcs!$A$110:$C$122,3,TRUE))))</f>
        <v xml:space="preserve"> </v>
      </c>
      <c r="AC1199" s="489"/>
      <c r="AD1199" s="489" t="str">
        <f>IF(IF(AA1199=" "," ",IF(NOT(ISBLANK(X1199)),VLOOKUP($D$3+X1199,Calcs!$A$110:$B$122,2,TRUE),IF(AA1199="Failed",VLOOKUP($D$3,Calcs!$A$110:$B$122,2,TRUE),VLOOKUP($D$3-(IF((Character!$B$9+W1199)&gt;($D$3+Y1199),(Character!$B$9+W1199)-($D$3+Y1199),0)),Calcs!$A$110:$B$122,2,TRUE))))=Calcs!$B$120,IF(ISBLANK(AC1199)," ",CONCATENATE(AC1199+7," Years")),IF(AA1199=" "," ",IF(NOT(ISBLANK(X1199)),VLOOKUP($D$3+X1199,Calcs!$A$110:$B$122,2,TRUE),IF(AA1199="Failed",VLOOKUP($D$3,Calcs!$A$110:$B$122,2,TRUE),VLOOKUP($D$3-(IF((Character!$B$9+W1199)&gt;($D$3+Y1199),(Character!$B$9+W1199)-($D$3+Y1199),0)),Calcs!$A$110:$B$122,2,TRUE)))))</f>
        <v xml:space="preserve"> </v>
      </c>
      <c r="AE1199" s="490"/>
      <c r="AF1199" s="879"/>
      <c r="AG1199" s="491"/>
    </row>
    <row r="1200" spans="1:33" x14ac:dyDescent="0.2">
      <c r="A1200" s="415">
        <f t="shared" si="36"/>
        <v>1510</v>
      </c>
      <c r="B1200" s="419" t="str">
        <f t="shared" si="37"/>
        <v>Winter</v>
      </c>
      <c r="C1200" s="455"/>
      <c r="D1200" s="504"/>
      <c r="E1200" s="455"/>
      <c r="F1200" s="504"/>
      <c r="G1200" s="455"/>
      <c r="H1200" s="504"/>
      <c r="I1200" s="455"/>
      <c r="J1200" s="504"/>
      <c r="L1200" s="472"/>
      <c r="M1200" s="468"/>
      <c r="N1200" s="468"/>
      <c r="O1200" s="468"/>
      <c r="P1200" s="468"/>
      <c r="Q1200" s="473"/>
      <c r="R1200" s="477" t="str">
        <f>IF(AND(COUNTIF('Start Character'!$I$63:$M$77,"Twilight Prone")=1,NOT(ISERROR(FIND("Magical Botch",M1200)))),"Yes",IF(P1200&gt;1,"Yes","No"))</f>
        <v>No</v>
      </c>
      <c r="S1200" s="501"/>
      <c r="T1200" s="478"/>
      <c r="U1200" s="501"/>
      <c r="V1200" s="479" t="str">
        <f>IF(R1200="No","No Twilight",IF(T1200="Yes","Uncomprehended Twilight",IF((Character!$B$14+IF(Character!$B$53="Yes",0,Character!$B$53)+IF(Magic!$C$5="Yes",2,0)+ROUNDUP((Magic!$B$30+IF(Magic!$C$30="Yes",3,0))/5,0)+S1200)&gt;=($D$3+P1200+SUMIF(Character!$I$62:$I$66,"Enigmatic Wisdom",Character!$J$62:$J$66)+Q1200+U1200),"No Twilight","Twilight")))</f>
        <v>No Twilight</v>
      </c>
      <c r="W1200" s="483"/>
      <c r="X1200" s="478"/>
      <c r="Y1200" s="484"/>
      <c r="Z1200" s="478"/>
      <c r="AA1200" s="485" t="str">
        <f>IF(V1200="Uncomprehended Twilight","Failed",IF(OR(ISBLANK(W1200),ISBLANK(Y1200))," ",IF(NOT(ISBLANK(X1200)),"Failed",IF((W1200+Character!$B$9+SUMIF(Character!$I$62:$I$66,"Enigmatic Wisdom",Character!$J$62:$J$66))&gt;=IF(Z1200="Yes",0,(Y1200+D1195)),"Succeeded","Failed"))))</f>
        <v xml:space="preserve"> </v>
      </c>
      <c r="AB1200" s="477" t="str">
        <f>IF(AA1200=" "," ",IF(NOT(ISBLANK(X1200)),VLOOKUP($D$3+X1200,Calcs!$A$110:$C$122,3,TRUE),IF(AA1200="Failed",VLOOKUP($D$3,Calcs!$A$110:$C$122,3,TRUE),VLOOKUP($D$3-(IF((Character!$B$9+W1200)&gt;($D$3+Y1200),(Character!$B$9+W1200)-($D$3+Y1200),0)),Calcs!$A$110:$C$122,3,TRUE))))</f>
        <v xml:space="preserve"> </v>
      </c>
      <c r="AC1200" s="489"/>
      <c r="AD1200" s="489" t="str">
        <f>IF(IF(AA1200=" "," ",IF(NOT(ISBLANK(X1200)),VLOOKUP($D$3+X1200,Calcs!$A$110:$B$122,2,TRUE),IF(AA1200="Failed",VLOOKUP($D$3,Calcs!$A$110:$B$122,2,TRUE),VLOOKUP($D$3-(IF((Character!$B$9+W1200)&gt;($D$3+Y1200),(Character!$B$9+W1200)-($D$3+Y1200),0)),Calcs!$A$110:$B$122,2,TRUE))))=Calcs!$B$120,IF(ISBLANK(AC1200)," ",CONCATENATE(AC1200+7," Years")),IF(AA1200=" "," ",IF(NOT(ISBLANK(X1200)),VLOOKUP($D$3+X1200,Calcs!$A$110:$B$122,2,TRUE),IF(AA1200="Failed",VLOOKUP($D$3,Calcs!$A$110:$B$122,2,TRUE),VLOOKUP($D$3-(IF((Character!$B$9+W1200)&gt;($D$3+Y1200),(Character!$B$9+W1200)-($D$3+Y1200),0)),Calcs!$A$110:$B$122,2,TRUE)))))</f>
        <v xml:space="preserve"> </v>
      </c>
      <c r="AE1200" s="490"/>
      <c r="AF1200" s="879"/>
      <c r="AG1200" s="491"/>
    </row>
    <row r="1201" spans="1:33" x14ac:dyDescent="0.2">
      <c r="A1201" s="415">
        <f t="shared" si="36"/>
        <v>1510</v>
      </c>
      <c r="B1201" s="419" t="str">
        <f t="shared" si="37"/>
        <v>Spring</v>
      </c>
      <c r="C1201" s="455"/>
      <c r="D1201" s="504"/>
      <c r="E1201" s="455"/>
      <c r="F1201" s="504"/>
      <c r="G1201" s="455"/>
      <c r="H1201" s="504"/>
      <c r="I1201" s="455"/>
      <c r="J1201" s="504"/>
      <c r="L1201" s="472"/>
      <c r="M1201" s="468"/>
      <c r="N1201" s="468"/>
      <c r="O1201" s="468"/>
      <c r="P1201" s="468"/>
      <c r="Q1201" s="473"/>
      <c r="R1201" s="477" t="str">
        <f>IF(AND(COUNTIF('Start Character'!$I$63:$M$77,"Twilight Prone")=1,NOT(ISERROR(FIND("Magical Botch",M1201)))),"Yes",IF(P1201&gt;1,"Yes","No"))</f>
        <v>No</v>
      </c>
      <c r="S1201" s="501"/>
      <c r="T1201" s="478"/>
      <c r="U1201" s="501"/>
      <c r="V1201" s="479" t="str">
        <f>IF(R1201="No","No Twilight",IF(T1201="Yes","Uncomprehended Twilight",IF((Character!$B$14+IF(Character!$B$53="Yes",0,Character!$B$53)+IF(Magic!$C$5="Yes",2,0)+ROUNDUP((Magic!$B$30+IF(Magic!$C$30="Yes",3,0))/5,0)+S1201)&gt;=($D$3+P1201+SUMIF(Character!$I$62:$I$66,"Enigmatic Wisdom",Character!$J$62:$J$66)+Q1201+U1201),"No Twilight","Twilight")))</f>
        <v>No Twilight</v>
      </c>
      <c r="W1201" s="483"/>
      <c r="X1201" s="478"/>
      <c r="Y1201" s="484"/>
      <c r="Z1201" s="478"/>
      <c r="AA1201" s="485" t="str">
        <f>IF(V1201="Uncomprehended Twilight","Failed",IF(OR(ISBLANK(W1201),ISBLANK(Y1201))," ",IF(NOT(ISBLANK(X1201)),"Failed",IF((W1201+Character!$B$9+SUMIF(Character!$I$62:$I$66,"Enigmatic Wisdom",Character!$J$62:$J$66))&gt;=IF(Z1201="Yes",0,(Y1201+D1196)),"Succeeded","Failed"))))</f>
        <v xml:space="preserve"> </v>
      </c>
      <c r="AB1201" s="477" t="str">
        <f>IF(AA1201=" "," ",IF(NOT(ISBLANK(X1201)),VLOOKUP($D$3+X1201,Calcs!$A$110:$C$122,3,TRUE),IF(AA1201="Failed",VLOOKUP($D$3,Calcs!$A$110:$C$122,3,TRUE),VLOOKUP($D$3-(IF((Character!$B$9+W1201)&gt;($D$3+Y1201),(Character!$B$9+W1201)-($D$3+Y1201),0)),Calcs!$A$110:$C$122,3,TRUE))))</f>
        <v xml:space="preserve"> </v>
      </c>
      <c r="AC1201" s="489"/>
      <c r="AD1201" s="489" t="str">
        <f>IF(IF(AA1201=" "," ",IF(NOT(ISBLANK(X1201)),VLOOKUP($D$3+X1201,Calcs!$A$110:$B$122,2,TRUE),IF(AA1201="Failed",VLOOKUP($D$3,Calcs!$A$110:$B$122,2,TRUE),VLOOKUP($D$3-(IF((Character!$B$9+W1201)&gt;($D$3+Y1201),(Character!$B$9+W1201)-($D$3+Y1201),0)),Calcs!$A$110:$B$122,2,TRUE))))=Calcs!$B$120,IF(ISBLANK(AC1201)," ",CONCATENATE(AC1201+7," Years")),IF(AA1201=" "," ",IF(NOT(ISBLANK(X1201)),VLOOKUP($D$3+X1201,Calcs!$A$110:$B$122,2,TRUE),IF(AA1201="Failed",VLOOKUP($D$3,Calcs!$A$110:$B$122,2,TRUE),VLOOKUP($D$3-(IF((Character!$B$9+W1201)&gt;($D$3+Y1201),(Character!$B$9+W1201)-($D$3+Y1201),0)),Calcs!$A$110:$B$122,2,TRUE)))))</f>
        <v xml:space="preserve"> </v>
      </c>
      <c r="AE1201" s="490"/>
      <c r="AF1201" s="879"/>
      <c r="AG1201" s="491"/>
    </row>
    <row r="1202" spans="1:33" x14ac:dyDescent="0.2">
      <c r="A1202" s="415">
        <f t="shared" si="36"/>
        <v>1510</v>
      </c>
      <c r="B1202" s="419" t="str">
        <f t="shared" si="37"/>
        <v>Summer</v>
      </c>
      <c r="C1202" s="455"/>
      <c r="D1202" s="504"/>
      <c r="E1202" s="455"/>
      <c r="F1202" s="504"/>
      <c r="G1202" s="455"/>
      <c r="H1202" s="504"/>
      <c r="I1202" s="455"/>
      <c r="J1202" s="504"/>
      <c r="L1202" s="472"/>
      <c r="M1202" s="468"/>
      <c r="N1202" s="468"/>
      <c r="O1202" s="468"/>
      <c r="P1202" s="468"/>
      <c r="Q1202" s="473"/>
      <c r="R1202" s="477" t="str">
        <f>IF(AND(COUNTIF('Start Character'!$I$63:$M$77,"Twilight Prone")=1,NOT(ISERROR(FIND("Magical Botch",M1202)))),"Yes",IF(P1202&gt;1,"Yes","No"))</f>
        <v>No</v>
      </c>
      <c r="S1202" s="501"/>
      <c r="T1202" s="478"/>
      <c r="U1202" s="501"/>
      <c r="V1202" s="479" t="str">
        <f>IF(R1202="No","No Twilight",IF(T1202="Yes","Uncomprehended Twilight",IF((Character!$B$14+IF(Character!$B$53="Yes",0,Character!$B$53)+IF(Magic!$C$5="Yes",2,0)+ROUNDUP((Magic!$B$30+IF(Magic!$C$30="Yes",3,0))/5,0)+S1202)&gt;=($D$3+P1202+SUMIF(Character!$I$62:$I$66,"Enigmatic Wisdom",Character!$J$62:$J$66)+Q1202+U1202),"No Twilight","Twilight")))</f>
        <v>No Twilight</v>
      </c>
      <c r="W1202" s="483"/>
      <c r="X1202" s="478"/>
      <c r="Y1202" s="484"/>
      <c r="Z1202" s="478"/>
      <c r="AA1202" s="485" t="str">
        <f>IF(V1202="Uncomprehended Twilight","Failed",IF(OR(ISBLANK(W1202),ISBLANK(Y1202))," ",IF(NOT(ISBLANK(X1202)),"Failed",IF((W1202+Character!$B$9+SUMIF(Character!$I$62:$I$66,"Enigmatic Wisdom",Character!$J$62:$J$66))&gt;=IF(Z1202="Yes",0,(Y1202+D1197)),"Succeeded","Failed"))))</f>
        <v xml:space="preserve"> </v>
      </c>
      <c r="AB1202" s="477" t="str">
        <f>IF(AA1202=" "," ",IF(NOT(ISBLANK(X1202)),VLOOKUP($D$3+X1202,Calcs!$A$110:$C$122,3,TRUE),IF(AA1202="Failed",VLOOKUP($D$3,Calcs!$A$110:$C$122,3,TRUE),VLOOKUP($D$3-(IF((Character!$B$9+W1202)&gt;($D$3+Y1202),(Character!$B$9+W1202)-($D$3+Y1202),0)),Calcs!$A$110:$C$122,3,TRUE))))</f>
        <v xml:space="preserve"> </v>
      </c>
      <c r="AC1202" s="489"/>
      <c r="AD1202" s="489" t="str">
        <f>IF(IF(AA1202=" "," ",IF(NOT(ISBLANK(X1202)),VLOOKUP($D$3+X1202,Calcs!$A$110:$B$122,2,TRUE),IF(AA1202="Failed",VLOOKUP($D$3,Calcs!$A$110:$B$122,2,TRUE),VLOOKUP($D$3-(IF((Character!$B$9+W1202)&gt;($D$3+Y1202),(Character!$B$9+W1202)-($D$3+Y1202),0)),Calcs!$A$110:$B$122,2,TRUE))))=Calcs!$B$120,IF(ISBLANK(AC1202)," ",CONCATENATE(AC1202+7," Years")),IF(AA1202=" "," ",IF(NOT(ISBLANK(X1202)),VLOOKUP($D$3+X1202,Calcs!$A$110:$B$122,2,TRUE),IF(AA1202="Failed",VLOOKUP($D$3,Calcs!$A$110:$B$122,2,TRUE),VLOOKUP($D$3-(IF((Character!$B$9+W1202)&gt;($D$3+Y1202),(Character!$B$9+W1202)-($D$3+Y1202),0)),Calcs!$A$110:$B$122,2,TRUE)))))</f>
        <v xml:space="preserve"> </v>
      </c>
      <c r="AE1202" s="490"/>
      <c r="AF1202" s="879"/>
      <c r="AG1202" s="491"/>
    </row>
    <row r="1203" spans="1:33" x14ac:dyDescent="0.2">
      <c r="A1203" s="415">
        <f t="shared" si="36"/>
        <v>1510</v>
      </c>
      <c r="B1203" s="419" t="str">
        <f t="shared" si="37"/>
        <v>Autumn</v>
      </c>
      <c r="C1203" s="455"/>
      <c r="D1203" s="504"/>
      <c r="E1203" s="455"/>
      <c r="F1203" s="504"/>
      <c r="G1203" s="455"/>
      <c r="H1203" s="504"/>
      <c r="I1203" s="455"/>
      <c r="J1203" s="504"/>
      <c r="L1203" s="472"/>
      <c r="M1203" s="468"/>
      <c r="N1203" s="468"/>
      <c r="O1203" s="468"/>
      <c r="P1203" s="468"/>
      <c r="Q1203" s="473"/>
      <c r="R1203" s="477" t="str">
        <f>IF(AND(COUNTIF('Start Character'!$I$63:$M$77,"Twilight Prone")=1,NOT(ISERROR(FIND("Magical Botch",M1203)))),"Yes",IF(P1203&gt;1,"Yes","No"))</f>
        <v>No</v>
      </c>
      <c r="S1203" s="501"/>
      <c r="T1203" s="478"/>
      <c r="U1203" s="501"/>
      <c r="V1203" s="479" t="str">
        <f>IF(R1203="No","No Twilight",IF(T1203="Yes","Uncomprehended Twilight",IF((Character!$B$14+IF(Character!$B$53="Yes",0,Character!$B$53)+IF(Magic!$C$5="Yes",2,0)+ROUNDUP((Magic!$B$30+IF(Magic!$C$30="Yes",3,0))/5,0)+S1203)&gt;=($D$3+P1203+SUMIF(Character!$I$62:$I$66,"Enigmatic Wisdom",Character!$J$62:$J$66)+Q1203+U1203),"No Twilight","Twilight")))</f>
        <v>No Twilight</v>
      </c>
      <c r="W1203" s="483"/>
      <c r="X1203" s="478"/>
      <c r="Y1203" s="484"/>
      <c r="Z1203" s="478"/>
      <c r="AA1203" s="485" t="str">
        <f>IF(V1203="Uncomprehended Twilight","Failed",IF(OR(ISBLANK(W1203),ISBLANK(Y1203))," ",IF(NOT(ISBLANK(X1203)),"Failed",IF((W1203+Character!$B$9+SUMIF(Character!$I$62:$I$66,"Enigmatic Wisdom",Character!$J$62:$J$66))&gt;=IF(Z1203="Yes",0,(Y1203+D1198)),"Succeeded","Failed"))))</f>
        <v xml:space="preserve"> </v>
      </c>
      <c r="AB1203" s="477" t="str">
        <f>IF(AA1203=" "," ",IF(NOT(ISBLANK(X1203)),VLOOKUP($D$3+X1203,Calcs!$A$110:$C$122,3,TRUE),IF(AA1203="Failed",VLOOKUP($D$3,Calcs!$A$110:$C$122,3,TRUE),VLOOKUP($D$3-(IF((Character!$B$9+W1203)&gt;($D$3+Y1203),(Character!$B$9+W1203)-($D$3+Y1203),0)),Calcs!$A$110:$C$122,3,TRUE))))</f>
        <v xml:space="preserve"> </v>
      </c>
      <c r="AC1203" s="489"/>
      <c r="AD1203" s="489" t="str">
        <f>IF(IF(AA1203=" "," ",IF(NOT(ISBLANK(X1203)),VLOOKUP($D$3+X1203,Calcs!$A$110:$B$122,2,TRUE),IF(AA1203="Failed",VLOOKUP($D$3,Calcs!$A$110:$B$122,2,TRUE),VLOOKUP($D$3-(IF((Character!$B$9+W1203)&gt;($D$3+Y1203),(Character!$B$9+W1203)-($D$3+Y1203),0)),Calcs!$A$110:$B$122,2,TRUE))))=Calcs!$B$120,IF(ISBLANK(AC1203)," ",CONCATENATE(AC1203+7," Years")),IF(AA1203=" "," ",IF(NOT(ISBLANK(X1203)),VLOOKUP($D$3+X1203,Calcs!$A$110:$B$122,2,TRUE),IF(AA1203="Failed",VLOOKUP($D$3,Calcs!$A$110:$B$122,2,TRUE),VLOOKUP($D$3-(IF((Character!$B$9+W1203)&gt;($D$3+Y1203),(Character!$B$9+W1203)-($D$3+Y1203),0)),Calcs!$A$110:$B$122,2,TRUE)))))</f>
        <v xml:space="preserve"> </v>
      </c>
      <c r="AE1203" s="490"/>
      <c r="AF1203" s="879"/>
      <c r="AG1203" s="491"/>
    </row>
    <row r="1204" spans="1:33" x14ac:dyDescent="0.2">
      <c r="A1204" s="415">
        <f t="shared" si="36"/>
        <v>1511</v>
      </c>
      <c r="B1204" s="419" t="str">
        <f t="shared" si="37"/>
        <v>Winter</v>
      </c>
      <c r="C1204" s="455"/>
      <c r="D1204" s="504"/>
      <c r="E1204" s="455"/>
      <c r="F1204" s="504"/>
      <c r="G1204" s="455"/>
      <c r="H1204" s="504"/>
      <c r="I1204" s="455"/>
      <c r="J1204" s="504"/>
      <c r="L1204" s="472"/>
      <c r="M1204" s="468"/>
      <c r="N1204" s="468"/>
      <c r="O1204" s="468"/>
      <c r="P1204" s="468"/>
      <c r="Q1204" s="473"/>
      <c r="R1204" s="477" t="str">
        <f>IF(AND(COUNTIF('Start Character'!$I$63:$M$77,"Twilight Prone")=1,NOT(ISERROR(FIND("Magical Botch",M1204)))),"Yes",IF(P1204&gt;1,"Yes","No"))</f>
        <v>No</v>
      </c>
      <c r="S1204" s="501"/>
      <c r="T1204" s="478"/>
      <c r="U1204" s="501"/>
      <c r="V1204" s="479" t="str">
        <f>IF(R1204="No","No Twilight",IF(T1204="Yes","Uncomprehended Twilight",IF((Character!$B$14+IF(Character!$B$53="Yes",0,Character!$B$53)+IF(Magic!$C$5="Yes",2,0)+ROUNDUP((Magic!$B$30+IF(Magic!$C$30="Yes",3,0))/5,0)+S1204)&gt;=($D$3+P1204+SUMIF(Character!$I$62:$I$66,"Enigmatic Wisdom",Character!$J$62:$J$66)+Q1204+U1204),"No Twilight","Twilight")))</f>
        <v>No Twilight</v>
      </c>
      <c r="W1204" s="483"/>
      <c r="X1204" s="478"/>
      <c r="Y1204" s="484"/>
      <c r="Z1204" s="478"/>
      <c r="AA1204" s="485" t="str">
        <f>IF(V1204="Uncomprehended Twilight","Failed",IF(OR(ISBLANK(W1204),ISBLANK(Y1204))," ",IF(NOT(ISBLANK(X1204)),"Failed",IF((W1204+Character!$B$9+SUMIF(Character!$I$62:$I$66,"Enigmatic Wisdom",Character!$J$62:$J$66))&gt;=IF(Z1204="Yes",0,(Y1204+D1199)),"Succeeded","Failed"))))</f>
        <v xml:space="preserve"> </v>
      </c>
      <c r="AB1204" s="477" t="str">
        <f>IF(AA1204=" "," ",IF(NOT(ISBLANK(X1204)),VLOOKUP($D$3+X1204,Calcs!$A$110:$C$122,3,TRUE),IF(AA1204="Failed",VLOOKUP($D$3,Calcs!$A$110:$C$122,3,TRUE),VLOOKUP($D$3-(IF((Character!$B$9+W1204)&gt;($D$3+Y1204),(Character!$B$9+W1204)-($D$3+Y1204),0)),Calcs!$A$110:$C$122,3,TRUE))))</f>
        <v xml:space="preserve"> </v>
      </c>
      <c r="AC1204" s="489"/>
      <c r="AD1204" s="489" t="str">
        <f>IF(IF(AA1204=" "," ",IF(NOT(ISBLANK(X1204)),VLOOKUP($D$3+X1204,Calcs!$A$110:$B$122,2,TRUE),IF(AA1204="Failed",VLOOKUP($D$3,Calcs!$A$110:$B$122,2,TRUE),VLOOKUP($D$3-(IF((Character!$B$9+W1204)&gt;($D$3+Y1204),(Character!$B$9+W1204)-($D$3+Y1204),0)),Calcs!$A$110:$B$122,2,TRUE))))=Calcs!$B$120,IF(ISBLANK(AC1204)," ",CONCATENATE(AC1204+7," Years")),IF(AA1204=" "," ",IF(NOT(ISBLANK(X1204)),VLOOKUP($D$3+X1204,Calcs!$A$110:$B$122,2,TRUE),IF(AA1204="Failed",VLOOKUP($D$3,Calcs!$A$110:$B$122,2,TRUE),VLOOKUP($D$3-(IF((Character!$B$9+W1204)&gt;($D$3+Y1204),(Character!$B$9+W1204)-($D$3+Y1204),0)),Calcs!$A$110:$B$122,2,TRUE)))))</f>
        <v xml:space="preserve"> </v>
      </c>
      <c r="AE1204" s="490"/>
      <c r="AF1204" s="879"/>
      <c r="AG1204" s="491"/>
    </row>
    <row r="1205" spans="1:33" x14ac:dyDescent="0.2">
      <c r="A1205" s="415">
        <f t="shared" si="36"/>
        <v>1511</v>
      </c>
      <c r="B1205" s="419" t="str">
        <f t="shared" si="37"/>
        <v>Spring</v>
      </c>
      <c r="C1205" s="455"/>
      <c r="D1205" s="504"/>
      <c r="E1205" s="455"/>
      <c r="F1205" s="504"/>
      <c r="G1205" s="455"/>
      <c r="H1205" s="504"/>
      <c r="I1205" s="455"/>
      <c r="J1205" s="504"/>
      <c r="L1205" s="472"/>
      <c r="M1205" s="468"/>
      <c r="N1205" s="468"/>
      <c r="O1205" s="468"/>
      <c r="P1205" s="468"/>
      <c r="Q1205" s="473"/>
      <c r="R1205" s="477" t="str">
        <f>IF(AND(COUNTIF('Start Character'!$I$63:$M$77,"Twilight Prone")=1,NOT(ISERROR(FIND("Magical Botch",M1205)))),"Yes",IF(P1205&gt;1,"Yes","No"))</f>
        <v>No</v>
      </c>
      <c r="S1205" s="501"/>
      <c r="T1205" s="478"/>
      <c r="U1205" s="501"/>
      <c r="V1205" s="479" t="str">
        <f>IF(R1205="No","No Twilight",IF(T1205="Yes","Uncomprehended Twilight",IF((Character!$B$14+IF(Character!$B$53="Yes",0,Character!$B$53)+IF(Magic!$C$5="Yes",2,0)+ROUNDUP((Magic!$B$30+IF(Magic!$C$30="Yes",3,0))/5,0)+S1205)&gt;=($D$3+P1205+SUMIF(Character!$I$62:$I$66,"Enigmatic Wisdom",Character!$J$62:$J$66)+Q1205+U1205),"No Twilight","Twilight")))</f>
        <v>No Twilight</v>
      </c>
      <c r="W1205" s="483"/>
      <c r="X1205" s="478"/>
      <c r="Y1205" s="484"/>
      <c r="Z1205" s="478"/>
      <c r="AA1205" s="485" t="str">
        <f>IF(V1205="Uncomprehended Twilight","Failed",IF(OR(ISBLANK(W1205),ISBLANK(Y1205))," ",IF(NOT(ISBLANK(X1205)),"Failed",IF((W1205+Character!$B$9+SUMIF(Character!$I$62:$I$66,"Enigmatic Wisdom",Character!$J$62:$J$66))&gt;=IF(Z1205="Yes",0,(Y1205+D1200)),"Succeeded","Failed"))))</f>
        <v xml:space="preserve"> </v>
      </c>
      <c r="AB1205" s="477" t="str">
        <f>IF(AA1205=" "," ",IF(NOT(ISBLANK(X1205)),VLOOKUP($D$3+X1205,Calcs!$A$110:$C$122,3,TRUE),IF(AA1205="Failed",VLOOKUP($D$3,Calcs!$A$110:$C$122,3,TRUE),VLOOKUP($D$3-(IF((Character!$B$9+W1205)&gt;($D$3+Y1205),(Character!$B$9+W1205)-($D$3+Y1205),0)),Calcs!$A$110:$C$122,3,TRUE))))</f>
        <v xml:space="preserve"> </v>
      </c>
      <c r="AC1205" s="489"/>
      <c r="AD1205" s="489" t="str">
        <f>IF(IF(AA1205=" "," ",IF(NOT(ISBLANK(X1205)),VLOOKUP($D$3+X1205,Calcs!$A$110:$B$122,2,TRUE),IF(AA1205="Failed",VLOOKUP($D$3,Calcs!$A$110:$B$122,2,TRUE),VLOOKUP($D$3-(IF((Character!$B$9+W1205)&gt;($D$3+Y1205),(Character!$B$9+W1205)-($D$3+Y1205),0)),Calcs!$A$110:$B$122,2,TRUE))))=Calcs!$B$120,IF(ISBLANK(AC1205)," ",CONCATENATE(AC1205+7," Years")),IF(AA1205=" "," ",IF(NOT(ISBLANK(X1205)),VLOOKUP($D$3+X1205,Calcs!$A$110:$B$122,2,TRUE),IF(AA1205="Failed",VLOOKUP($D$3,Calcs!$A$110:$B$122,2,TRUE),VLOOKUP($D$3-(IF((Character!$B$9+W1205)&gt;($D$3+Y1205),(Character!$B$9+W1205)-($D$3+Y1205),0)),Calcs!$A$110:$B$122,2,TRUE)))))</f>
        <v xml:space="preserve"> </v>
      </c>
      <c r="AE1205" s="490"/>
      <c r="AF1205" s="879"/>
      <c r="AG1205" s="491"/>
    </row>
    <row r="1206" spans="1:33" x14ac:dyDescent="0.2">
      <c r="A1206" s="415">
        <f t="shared" si="36"/>
        <v>1511</v>
      </c>
      <c r="B1206" s="419" t="str">
        <f t="shared" si="37"/>
        <v>Summer</v>
      </c>
      <c r="C1206" s="455"/>
      <c r="D1206" s="504"/>
      <c r="E1206" s="455"/>
      <c r="F1206" s="504"/>
      <c r="G1206" s="455"/>
      <c r="H1206" s="504"/>
      <c r="I1206" s="455"/>
      <c r="J1206" s="504"/>
      <c r="L1206" s="472"/>
      <c r="M1206" s="468"/>
      <c r="N1206" s="468"/>
      <c r="O1206" s="468"/>
      <c r="P1206" s="468"/>
      <c r="Q1206" s="473"/>
      <c r="R1206" s="477" t="str">
        <f>IF(AND(COUNTIF('Start Character'!$I$63:$M$77,"Twilight Prone")=1,NOT(ISERROR(FIND("Magical Botch",M1206)))),"Yes",IF(P1206&gt;1,"Yes","No"))</f>
        <v>No</v>
      </c>
      <c r="S1206" s="501"/>
      <c r="T1206" s="478"/>
      <c r="U1206" s="501"/>
      <c r="V1206" s="479" t="str">
        <f>IF(R1206="No","No Twilight",IF(T1206="Yes","Uncomprehended Twilight",IF((Character!$B$14+IF(Character!$B$53="Yes",0,Character!$B$53)+IF(Magic!$C$5="Yes",2,0)+ROUNDUP((Magic!$B$30+IF(Magic!$C$30="Yes",3,0))/5,0)+S1206)&gt;=($D$3+P1206+SUMIF(Character!$I$62:$I$66,"Enigmatic Wisdom",Character!$J$62:$J$66)+Q1206+U1206),"No Twilight","Twilight")))</f>
        <v>No Twilight</v>
      </c>
      <c r="W1206" s="483"/>
      <c r="X1206" s="478"/>
      <c r="Y1206" s="484"/>
      <c r="Z1206" s="478"/>
      <c r="AA1206" s="485" t="str">
        <f>IF(V1206="Uncomprehended Twilight","Failed",IF(OR(ISBLANK(W1206),ISBLANK(Y1206))," ",IF(NOT(ISBLANK(X1206)),"Failed",IF((W1206+Character!$B$9+SUMIF(Character!$I$62:$I$66,"Enigmatic Wisdom",Character!$J$62:$J$66))&gt;=IF(Z1206="Yes",0,(Y1206+D1201)),"Succeeded","Failed"))))</f>
        <v xml:space="preserve"> </v>
      </c>
      <c r="AB1206" s="477" t="str">
        <f>IF(AA1206=" "," ",IF(NOT(ISBLANK(X1206)),VLOOKUP($D$3+X1206,Calcs!$A$110:$C$122,3,TRUE),IF(AA1206="Failed",VLOOKUP($D$3,Calcs!$A$110:$C$122,3,TRUE),VLOOKUP($D$3-(IF((Character!$B$9+W1206)&gt;($D$3+Y1206),(Character!$B$9+W1206)-($D$3+Y1206),0)),Calcs!$A$110:$C$122,3,TRUE))))</f>
        <v xml:space="preserve"> </v>
      </c>
      <c r="AC1206" s="489"/>
      <c r="AD1206" s="489" t="str">
        <f>IF(IF(AA1206=" "," ",IF(NOT(ISBLANK(X1206)),VLOOKUP($D$3+X1206,Calcs!$A$110:$B$122,2,TRUE),IF(AA1206="Failed",VLOOKUP($D$3,Calcs!$A$110:$B$122,2,TRUE),VLOOKUP($D$3-(IF((Character!$B$9+W1206)&gt;($D$3+Y1206),(Character!$B$9+W1206)-($D$3+Y1206),0)),Calcs!$A$110:$B$122,2,TRUE))))=Calcs!$B$120,IF(ISBLANK(AC1206)," ",CONCATENATE(AC1206+7," Years")),IF(AA1206=" "," ",IF(NOT(ISBLANK(X1206)),VLOOKUP($D$3+X1206,Calcs!$A$110:$B$122,2,TRUE),IF(AA1206="Failed",VLOOKUP($D$3,Calcs!$A$110:$B$122,2,TRUE),VLOOKUP($D$3-(IF((Character!$B$9+W1206)&gt;($D$3+Y1206),(Character!$B$9+W1206)-($D$3+Y1206),0)),Calcs!$A$110:$B$122,2,TRUE)))))</f>
        <v xml:space="preserve"> </v>
      </c>
      <c r="AE1206" s="490"/>
      <c r="AF1206" s="879"/>
      <c r="AG1206" s="491"/>
    </row>
    <row r="1207" spans="1:33" x14ac:dyDescent="0.2">
      <c r="A1207" s="415">
        <f t="shared" si="36"/>
        <v>1511</v>
      </c>
      <c r="B1207" s="419" t="str">
        <f t="shared" si="37"/>
        <v>Autumn</v>
      </c>
      <c r="C1207" s="455"/>
      <c r="D1207" s="504"/>
      <c r="E1207" s="455"/>
      <c r="F1207" s="504"/>
      <c r="G1207" s="455"/>
      <c r="H1207" s="504"/>
      <c r="I1207" s="455"/>
      <c r="J1207" s="504"/>
      <c r="L1207" s="472"/>
      <c r="M1207" s="468"/>
      <c r="N1207" s="468"/>
      <c r="O1207" s="468"/>
      <c r="P1207" s="468"/>
      <c r="Q1207" s="473"/>
      <c r="R1207" s="477" t="str">
        <f>IF(AND(COUNTIF('Start Character'!$I$63:$M$77,"Twilight Prone")=1,NOT(ISERROR(FIND("Magical Botch",M1207)))),"Yes",IF(P1207&gt;1,"Yes","No"))</f>
        <v>No</v>
      </c>
      <c r="S1207" s="501"/>
      <c r="T1207" s="478"/>
      <c r="U1207" s="501"/>
      <c r="V1207" s="479" t="str">
        <f>IF(R1207="No","No Twilight",IF(T1207="Yes","Uncomprehended Twilight",IF((Character!$B$14+IF(Character!$B$53="Yes",0,Character!$B$53)+IF(Magic!$C$5="Yes",2,0)+ROUNDUP((Magic!$B$30+IF(Magic!$C$30="Yes",3,0))/5,0)+S1207)&gt;=($D$3+P1207+SUMIF(Character!$I$62:$I$66,"Enigmatic Wisdom",Character!$J$62:$J$66)+Q1207+U1207),"No Twilight","Twilight")))</f>
        <v>No Twilight</v>
      </c>
      <c r="W1207" s="483"/>
      <c r="X1207" s="478"/>
      <c r="Y1207" s="484"/>
      <c r="Z1207" s="478"/>
      <c r="AA1207" s="485" t="str">
        <f>IF(V1207="Uncomprehended Twilight","Failed",IF(OR(ISBLANK(W1207),ISBLANK(Y1207))," ",IF(NOT(ISBLANK(X1207)),"Failed",IF((W1207+Character!$B$9+SUMIF(Character!$I$62:$I$66,"Enigmatic Wisdom",Character!$J$62:$J$66))&gt;=IF(Z1207="Yes",0,(Y1207+D1202)),"Succeeded","Failed"))))</f>
        <v xml:space="preserve"> </v>
      </c>
      <c r="AB1207" s="477" t="str">
        <f>IF(AA1207=" "," ",IF(NOT(ISBLANK(X1207)),VLOOKUP($D$3+X1207,Calcs!$A$110:$C$122,3,TRUE),IF(AA1207="Failed",VLOOKUP($D$3,Calcs!$A$110:$C$122,3,TRUE),VLOOKUP($D$3-(IF((Character!$B$9+W1207)&gt;($D$3+Y1207),(Character!$B$9+W1207)-($D$3+Y1207),0)),Calcs!$A$110:$C$122,3,TRUE))))</f>
        <v xml:space="preserve"> </v>
      </c>
      <c r="AC1207" s="489"/>
      <c r="AD1207" s="489" t="str">
        <f>IF(IF(AA1207=" "," ",IF(NOT(ISBLANK(X1207)),VLOOKUP($D$3+X1207,Calcs!$A$110:$B$122,2,TRUE),IF(AA1207="Failed",VLOOKUP($D$3,Calcs!$A$110:$B$122,2,TRUE),VLOOKUP($D$3-(IF((Character!$B$9+W1207)&gt;($D$3+Y1207),(Character!$B$9+W1207)-($D$3+Y1207),0)),Calcs!$A$110:$B$122,2,TRUE))))=Calcs!$B$120,IF(ISBLANK(AC1207)," ",CONCATENATE(AC1207+7," Years")),IF(AA1207=" "," ",IF(NOT(ISBLANK(X1207)),VLOOKUP($D$3+X1207,Calcs!$A$110:$B$122,2,TRUE),IF(AA1207="Failed",VLOOKUP($D$3,Calcs!$A$110:$B$122,2,TRUE),VLOOKUP($D$3-(IF((Character!$B$9+W1207)&gt;($D$3+Y1207),(Character!$B$9+W1207)-($D$3+Y1207),0)),Calcs!$A$110:$B$122,2,TRUE)))))</f>
        <v xml:space="preserve"> </v>
      </c>
      <c r="AE1207" s="490"/>
      <c r="AF1207" s="879"/>
      <c r="AG1207" s="491"/>
    </row>
    <row r="1208" spans="1:33" x14ac:dyDescent="0.2">
      <c r="A1208" s="415">
        <f t="shared" si="36"/>
        <v>1512</v>
      </c>
      <c r="B1208" s="419" t="str">
        <f t="shared" si="37"/>
        <v>Winter</v>
      </c>
      <c r="C1208" s="455"/>
      <c r="D1208" s="504"/>
      <c r="E1208" s="455"/>
      <c r="F1208" s="504"/>
      <c r="G1208" s="455"/>
      <c r="H1208" s="504"/>
      <c r="I1208" s="455"/>
      <c r="J1208" s="504"/>
      <c r="L1208" s="472"/>
      <c r="M1208" s="468"/>
      <c r="N1208" s="468"/>
      <c r="O1208" s="468"/>
      <c r="P1208" s="468"/>
      <c r="Q1208" s="473"/>
      <c r="R1208" s="477" t="str">
        <f>IF(AND(COUNTIF('Start Character'!$I$63:$M$77,"Twilight Prone")=1,NOT(ISERROR(FIND("Magical Botch",M1208)))),"Yes",IF(P1208&gt;1,"Yes","No"))</f>
        <v>No</v>
      </c>
      <c r="S1208" s="501"/>
      <c r="T1208" s="478"/>
      <c r="U1208" s="501"/>
      <c r="V1208" s="479" t="str">
        <f>IF(R1208="No","No Twilight",IF(T1208="Yes","Uncomprehended Twilight",IF((Character!$B$14+IF(Character!$B$53="Yes",0,Character!$B$53)+IF(Magic!$C$5="Yes",2,0)+ROUNDUP((Magic!$B$30+IF(Magic!$C$30="Yes",3,0))/5,0)+S1208)&gt;=($D$3+P1208+SUMIF(Character!$I$62:$I$66,"Enigmatic Wisdom",Character!$J$62:$J$66)+Q1208+U1208),"No Twilight","Twilight")))</f>
        <v>No Twilight</v>
      </c>
      <c r="W1208" s="483"/>
      <c r="X1208" s="478"/>
      <c r="Y1208" s="484"/>
      <c r="Z1208" s="478"/>
      <c r="AA1208" s="485" t="str">
        <f>IF(V1208="Uncomprehended Twilight","Failed",IF(OR(ISBLANK(W1208),ISBLANK(Y1208))," ",IF(NOT(ISBLANK(X1208)),"Failed",IF((W1208+Character!$B$9+SUMIF(Character!$I$62:$I$66,"Enigmatic Wisdom",Character!$J$62:$J$66))&gt;=IF(Z1208="Yes",0,(Y1208+D1203)),"Succeeded","Failed"))))</f>
        <v xml:space="preserve"> </v>
      </c>
      <c r="AB1208" s="477" t="str">
        <f>IF(AA1208=" "," ",IF(NOT(ISBLANK(X1208)),VLOOKUP($D$3+X1208,Calcs!$A$110:$C$122,3,TRUE),IF(AA1208="Failed",VLOOKUP($D$3,Calcs!$A$110:$C$122,3,TRUE),VLOOKUP($D$3-(IF((Character!$B$9+W1208)&gt;($D$3+Y1208),(Character!$B$9+W1208)-($D$3+Y1208),0)),Calcs!$A$110:$C$122,3,TRUE))))</f>
        <v xml:space="preserve"> </v>
      </c>
      <c r="AC1208" s="489"/>
      <c r="AD1208" s="489" t="str">
        <f>IF(IF(AA1208=" "," ",IF(NOT(ISBLANK(X1208)),VLOOKUP($D$3+X1208,Calcs!$A$110:$B$122,2,TRUE),IF(AA1208="Failed",VLOOKUP($D$3,Calcs!$A$110:$B$122,2,TRUE),VLOOKUP($D$3-(IF((Character!$B$9+W1208)&gt;($D$3+Y1208),(Character!$B$9+W1208)-($D$3+Y1208),0)),Calcs!$A$110:$B$122,2,TRUE))))=Calcs!$B$120,IF(ISBLANK(AC1208)," ",CONCATENATE(AC1208+7," Years")),IF(AA1208=" "," ",IF(NOT(ISBLANK(X1208)),VLOOKUP($D$3+X1208,Calcs!$A$110:$B$122,2,TRUE),IF(AA1208="Failed",VLOOKUP($D$3,Calcs!$A$110:$B$122,2,TRUE),VLOOKUP($D$3-(IF((Character!$B$9+W1208)&gt;($D$3+Y1208),(Character!$B$9+W1208)-($D$3+Y1208),0)),Calcs!$A$110:$B$122,2,TRUE)))))</f>
        <v xml:space="preserve"> </v>
      </c>
      <c r="AE1208" s="490"/>
      <c r="AF1208" s="879"/>
      <c r="AG1208" s="491"/>
    </row>
    <row r="1209" spans="1:33" x14ac:dyDescent="0.2">
      <c r="A1209" s="415">
        <f t="shared" si="36"/>
        <v>1512</v>
      </c>
      <c r="B1209" s="419" t="str">
        <f t="shared" si="37"/>
        <v>Spring</v>
      </c>
      <c r="C1209" s="455"/>
      <c r="D1209" s="504"/>
      <c r="E1209" s="455"/>
      <c r="F1209" s="504"/>
      <c r="G1209" s="455"/>
      <c r="H1209" s="504"/>
      <c r="I1209" s="455"/>
      <c r="J1209" s="504"/>
      <c r="L1209" s="472"/>
      <c r="M1209" s="468"/>
      <c r="N1209" s="468"/>
      <c r="O1209" s="468"/>
      <c r="P1209" s="468"/>
      <c r="Q1209" s="473"/>
      <c r="R1209" s="477" t="str">
        <f>IF(AND(COUNTIF('Start Character'!$I$63:$M$77,"Twilight Prone")=1,NOT(ISERROR(FIND("Magical Botch",M1209)))),"Yes",IF(P1209&gt;1,"Yes","No"))</f>
        <v>No</v>
      </c>
      <c r="S1209" s="501"/>
      <c r="T1209" s="478"/>
      <c r="U1209" s="501"/>
      <c r="V1209" s="479" t="str">
        <f>IF(R1209="No","No Twilight",IF(T1209="Yes","Uncomprehended Twilight",IF((Character!$B$14+IF(Character!$B$53="Yes",0,Character!$B$53)+IF(Magic!$C$5="Yes",2,0)+ROUNDUP((Magic!$B$30+IF(Magic!$C$30="Yes",3,0))/5,0)+S1209)&gt;=($D$3+P1209+SUMIF(Character!$I$62:$I$66,"Enigmatic Wisdom",Character!$J$62:$J$66)+Q1209+U1209),"No Twilight","Twilight")))</f>
        <v>No Twilight</v>
      </c>
      <c r="W1209" s="483"/>
      <c r="X1209" s="478"/>
      <c r="Y1209" s="484"/>
      <c r="Z1209" s="478"/>
      <c r="AA1209" s="485" t="str">
        <f>IF(V1209="Uncomprehended Twilight","Failed",IF(OR(ISBLANK(W1209),ISBLANK(Y1209))," ",IF(NOT(ISBLANK(X1209)),"Failed",IF((W1209+Character!$B$9+SUMIF(Character!$I$62:$I$66,"Enigmatic Wisdom",Character!$J$62:$J$66))&gt;=IF(Z1209="Yes",0,(Y1209+D1204)),"Succeeded","Failed"))))</f>
        <v xml:space="preserve"> </v>
      </c>
      <c r="AB1209" s="477" t="str">
        <f>IF(AA1209=" "," ",IF(NOT(ISBLANK(X1209)),VLOOKUP($D$3+X1209,Calcs!$A$110:$C$122,3,TRUE),IF(AA1209="Failed",VLOOKUP($D$3,Calcs!$A$110:$C$122,3,TRUE),VLOOKUP($D$3-(IF((Character!$B$9+W1209)&gt;($D$3+Y1209),(Character!$B$9+W1209)-($D$3+Y1209),0)),Calcs!$A$110:$C$122,3,TRUE))))</f>
        <v xml:space="preserve"> </v>
      </c>
      <c r="AC1209" s="489"/>
      <c r="AD1209" s="489" t="str">
        <f>IF(IF(AA1209=" "," ",IF(NOT(ISBLANK(X1209)),VLOOKUP($D$3+X1209,Calcs!$A$110:$B$122,2,TRUE),IF(AA1209="Failed",VLOOKUP($D$3,Calcs!$A$110:$B$122,2,TRUE),VLOOKUP($D$3-(IF((Character!$B$9+W1209)&gt;($D$3+Y1209),(Character!$B$9+W1209)-($D$3+Y1209),0)),Calcs!$A$110:$B$122,2,TRUE))))=Calcs!$B$120,IF(ISBLANK(AC1209)," ",CONCATENATE(AC1209+7," Years")),IF(AA1209=" "," ",IF(NOT(ISBLANK(X1209)),VLOOKUP($D$3+X1209,Calcs!$A$110:$B$122,2,TRUE),IF(AA1209="Failed",VLOOKUP($D$3,Calcs!$A$110:$B$122,2,TRUE),VLOOKUP($D$3-(IF((Character!$B$9+W1209)&gt;($D$3+Y1209),(Character!$B$9+W1209)-($D$3+Y1209),0)),Calcs!$A$110:$B$122,2,TRUE)))))</f>
        <v xml:space="preserve"> </v>
      </c>
      <c r="AE1209" s="490"/>
      <c r="AF1209" s="879"/>
      <c r="AG1209" s="491"/>
    </row>
    <row r="1210" spans="1:33" x14ac:dyDescent="0.2">
      <c r="A1210" s="415">
        <f t="shared" si="36"/>
        <v>1512</v>
      </c>
      <c r="B1210" s="419" t="str">
        <f t="shared" si="37"/>
        <v>Summer</v>
      </c>
      <c r="C1210" s="455"/>
      <c r="D1210" s="504"/>
      <c r="E1210" s="455"/>
      <c r="F1210" s="504"/>
      <c r="G1210" s="455"/>
      <c r="H1210" s="504"/>
      <c r="I1210" s="455"/>
      <c r="J1210" s="504"/>
      <c r="L1210" s="472"/>
      <c r="M1210" s="468"/>
      <c r="N1210" s="468"/>
      <c r="O1210" s="468"/>
      <c r="P1210" s="468"/>
      <c r="Q1210" s="473"/>
      <c r="R1210" s="477" t="str">
        <f>IF(AND(COUNTIF('Start Character'!$I$63:$M$77,"Twilight Prone")=1,NOT(ISERROR(FIND("Magical Botch",M1210)))),"Yes",IF(P1210&gt;1,"Yes","No"))</f>
        <v>No</v>
      </c>
      <c r="S1210" s="501"/>
      <c r="T1210" s="478"/>
      <c r="U1210" s="501"/>
      <c r="V1210" s="479" t="str">
        <f>IF(R1210="No","No Twilight",IF(T1210="Yes","Uncomprehended Twilight",IF((Character!$B$14+IF(Character!$B$53="Yes",0,Character!$B$53)+IF(Magic!$C$5="Yes",2,0)+ROUNDUP((Magic!$B$30+IF(Magic!$C$30="Yes",3,0))/5,0)+S1210)&gt;=($D$3+P1210+SUMIF(Character!$I$62:$I$66,"Enigmatic Wisdom",Character!$J$62:$J$66)+Q1210+U1210),"No Twilight","Twilight")))</f>
        <v>No Twilight</v>
      </c>
      <c r="W1210" s="483"/>
      <c r="X1210" s="478"/>
      <c r="Y1210" s="484"/>
      <c r="Z1210" s="478"/>
      <c r="AA1210" s="485" t="str">
        <f>IF(V1210="Uncomprehended Twilight","Failed",IF(OR(ISBLANK(W1210),ISBLANK(Y1210))," ",IF(NOT(ISBLANK(X1210)),"Failed",IF((W1210+Character!$B$9+SUMIF(Character!$I$62:$I$66,"Enigmatic Wisdom",Character!$J$62:$J$66))&gt;=IF(Z1210="Yes",0,(Y1210+D1205)),"Succeeded","Failed"))))</f>
        <v xml:space="preserve"> </v>
      </c>
      <c r="AB1210" s="477" t="str">
        <f>IF(AA1210=" "," ",IF(NOT(ISBLANK(X1210)),VLOOKUP($D$3+X1210,Calcs!$A$110:$C$122,3,TRUE),IF(AA1210="Failed",VLOOKUP($D$3,Calcs!$A$110:$C$122,3,TRUE),VLOOKUP($D$3-(IF((Character!$B$9+W1210)&gt;($D$3+Y1210),(Character!$B$9+W1210)-($D$3+Y1210),0)),Calcs!$A$110:$C$122,3,TRUE))))</f>
        <v xml:space="preserve"> </v>
      </c>
      <c r="AC1210" s="489"/>
      <c r="AD1210" s="489" t="str">
        <f>IF(IF(AA1210=" "," ",IF(NOT(ISBLANK(X1210)),VLOOKUP($D$3+X1210,Calcs!$A$110:$B$122,2,TRUE),IF(AA1210="Failed",VLOOKUP($D$3,Calcs!$A$110:$B$122,2,TRUE),VLOOKUP($D$3-(IF((Character!$B$9+W1210)&gt;($D$3+Y1210),(Character!$B$9+W1210)-($D$3+Y1210),0)),Calcs!$A$110:$B$122,2,TRUE))))=Calcs!$B$120,IF(ISBLANK(AC1210)," ",CONCATENATE(AC1210+7," Years")),IF(AA1210=" "," ",IF(NOT(ISBLANK(X1210)),VLOOKUP($D$3+X1210,Calcs!$A$110:$B$122,2,TRUE),IF(AA1210="Failed",VLOOKUP($D$3,Calcs!$A$110:$B$122,2,TRUE),VLOOKUP($D$3-(IF((Character!$B$9+W1210)&gt;($D$3+Y1210),(Character!$B$9+W1210)-($D$3+Y1210),0)),Calcs!$A$110:$B$122,2,TRUE)))))</f>
        <v xml:space="preserve"> </v>
      </c>
      <c r="AE1210" s="490"/>
      <c r="AF1210" s="879"/>
      <c r="AG1210" s="491"/>
    </row>
    <row r="1211" spans="1:33" x14ac:dyDescent="0.2">
      <c r="A1211" s="415">
        <f t="shared" si="36"/>
        <v>1512</v>
      </c>
      <c r="B1211" s="419" t="str">
        <f t="shared" si="37"/>
        <v>Autumn</v>
      </c>
      <c r="C1211" s="455"/>
      <c r="D1211" s="504"/>
      <c r="E1211" s="455"/>
      <c r="F1211" s="504"/>
      <c r="G1211" s="455"/>
      <c r="H1211" s="504"/>
      <c r="I1211" s="455"/>
      <c r="J1211" s="504"/>
      <c r="L1211" s="472"/>
      <c r="M1211" s="468"/>
      <c r="N1211" s="468"/>
      <c r="O1211" s="468"/>
      <c r="P1211" s="468"/>
      <c r="Q1211" s="473"/>
      <c r="R1211" s="477" t="str">
        <f>IF(AND(COUNTIF('Start Character'!$I$63:$M$77,"Twilight Prone")=1,NOT(ISERROR(FIND("Magical Botch",M1211)))),"Yes",IF(P1211&gt;1,"Yes","No"))</f>
        <v>No</v>
      </c>
      <c r="S1211" s="501"/>
      <c r="T1211" s="478"/>
      <c r="U1211" s="501"/>
      <c r="V1211" s="479" t="str">
        <f>IF(R1211="No","No Twilight",IF(T1211="Yes","Uncomprehended Twilight",IF((Character!$B$14+IF(Character!$B$53="Yes",0,Character!$B$53)+IF(Magic!$C$5="Yes",2,0)+ROUNDUP((Magic!$B$30+IF(Magic!$C$30="Yes",3,0))/5,0)+S1211)&gt;=($D$3+P1211+SUMIF(Character!$I$62:$I$66,"Enigmatic Wisdom",Character!$J$62:$J$66)+Q1211+U1211),"No Twilight","Twilight")))</f>
        <v>No Twilight</v>
      </c>
      <c r="W1211" s="483"/>
      <c r="X1211" s="478"/>
      <c r="Y1211" s="484"/>
      <c r="Z1211" s="478"/>
      <c r="AA1211" s="485" t="str">
        <f>IF(V1211="Uncomprehended Twilight","Failed",IF(OR(ISBLANK(W1211),ISBLANK(Y1211))," ",IF(NOT(ISBLANK(X1211)),"Failed",IF((W1211+Character!$B$9+SUMIF(Character!$I$62:$I$66,"Enigmatic Wisdom",Character!$J$62:$J$66))&gt;=IF(Z1211="Yes",0,(Y1211+D1206)),"Succeeded","Failed"))))</f>
        <v xml:space="preserve"> </v>
      </c>
      <c r="AB1211" s="477" t="str">
        <f>IF(AA1211=" "," ",IF(NOT(ISBLANK(X1211)),VLOOKUP($D$3+X1211,Calcs!$A$110:$C$122,3,TRUE),IF(AA1211="Failed",VLOOKUP($D$3,Calcs!$A$110:$C$122,3,TRUE),VLOOKUP($D$3-(IF((Character!$B$9+W1211)&gt;($D$3+Y1211),(Character!$B$9+W1211)-($D$3+Y1211),0)),Calcs!$A$110:$C$122,3,TRUE))))</f>
        <v xml:space="preserve"> </v>
      </c>
      <c r="AC1211" s="489"/>
      <c r="AD1211" s="489" t="str">
        <f>IF(IF(AA1211=" "," ",IF(NOT(ISBLANK(X1211)),VLOOKUP($D$3+X1211,Calcs!$A$110:$B$122,2,TRUE),IF(AA1211="Failed",VLOOKUP($D$3,Calcs!$A$110:$B$122,2,TRUE),VLOOKUP($D$3-(IF((Character!$B$9+W1211)&gt;($D$3+Y1211),(Character!$B$9+W1211)-($D$3+Y1211),0)),Calcs!$A$110:$B$122,2,TRUE))))=Calcs!$B$120,IF(ISBLANK(AC1211)," ",CONCATENATE(AC1211+7," Years")),IF(AA1211=" "," ",IF(NOT(ISBLANK(X1211)),VLOOKUP($D$3+X1211,Calcs!$A$110:$B$122,2,TRUE),IF(AA1211="Failed",VLOOKUP($D$3,Calcs!$A$110:$B$122,2,TRUE),VLOOKUP($D$3-(IF((Character!$B$9+W1211)&gt;($D$3+Y1211),(Character!$B$9+W1211)-($D$3+Y1211),0)),Calcs!$A$110:$B$122,2,TRUE)))))</f>
        <v xml:space="preserve"> </v>
      </c>
      <c r="AE1211" s="490"/>
      <c r="AF1211" s="879"/>
      <c r="AG1211" s="491"/>
    </row>
    <row r="1212" spans="1:33" x14ac:dyDescent="0.2">
      <c r="A1212" s="415">
        <f t="shared" si="36"/>
        <v>1513</v>
      </c>
      <c r="B1212" s="419" t="str">
        <f t="shared" si="37"/>
        <v>Winter</v>
      </c>
      <c r="C1212" s="455"/>
      <c r="D1212" s="504"/>
      <c r="E1212" s="455"/>
      <c r="F1212" s="504"/>
      <c r="G1212" s="455"/>
      <c r="H1212" s="504"/>
      <c r="I1212" s="455"/>
      <c r="J1212" s="504"/>
      <c r="L1212" s="472"/>
      <c r="M1212" s="468"/>
      <c r="N1212" s="468"/>
      <c r="O1212" s="468"/>
      <c r="P1212" s="468"/>
      <c r="Q1212" s="473"/>
      <c r="R1212" s="477" t="str">
        <f>IF(AND(COUNTIF('Start Character'!$I$63:$M$77,"Twilight Prone")=1,NOT(ISERROR(FIND("Magical Botch",M1212)))),"Yes",IF(P1212&gt;1,"Yes","No"))</f>
        <v>No</v>
      </c>
      <c r="S1212" s="501"/>
      <c r="T1212" s="478"/>
      <c r="U1212" s="501"/>
      <c r="V1212" s="479" t="str">
        <f>IF(R1212="No","No Twilight",IF(T1212="Yes","Uncomprehended Twilight",IF((Character!$B$14+IF(Character!$B$53="Yes",0,Character!$B$53)+IF(Magic!$C$5="Yes",2,0)+ROUNDUP((Magic!$B$30+IF(Magic!$C$30="Yes",3,0))/5,0)+S1212)&gt;=($D$3+P1212+SUMIF(Character!$I$62:$I$66,"Enigmatic Wisdom",Character!$J$62:$J$66)+Q1212+U1212),"No Twilight","Twilight")))</f>
        <v>No Twilight</v>
      </c>
      <c r="W1212" s="483"/>
      <c r="X1212" s="478"/>
      <c r="Y1212" s="484"/>
      <c r="Z1212" s="478"/>
      <c r="AA1212" s="485" t="str">
        <f>IF(V1212="Uncomprehended Twilight","Failed",IF(OR(ISBLANK(W1212),ISBLANK(Y1212))," ",IF(NOT(ISBLANK(X1212)),"Failed",IF((W1212+Character!$B$9+SUMIF(Character!$I$62:$I$66,"Enigmatic Wisdom",Character!$J$62:$J$66))&gt;=IF(Z1212="Yes",0,(Y1212+D1207)),"Succeeded","Failed"))))</f>
        <v xml:space="preserve"> </v>
      </c>
      <c r="AB1212" s="477" t="str">
        <f>IF(AA1212=" "," ",IF(NOT(ISBLANK(X1212)),VLOOKUP($D$3+X1212,Calcs!$A$110:$C$122,3,TRUE),IF(AA1212="Failed",VLOOKUP($D$3,Calcs!$A$110:$C$122,3,TRUE),VLOOKUP($D$3-(IF((Character!$B$9+W1212)&gt;($D$3+Y1212),(Character!$B$9+W1212)-($D$3+Y1212),0)),Calcs!$A$110:$C$122,3,TRUE))))</f>
        <v xml:space="preserve"> </v>
      </c>
      <c r="AC1212" s="489"/>
      <c r="AD1212" s="489" t="str">
        <f>IF(IF(AA1212=" "," ",IF(NOT(ISBLANK(X1212)),VLOOKUP($D$3+X1212,Calcs!$A$110:$B$122,2,TRUE),IF(AA1212="Failed",VLOOKUP($D$3,Calcs!$A$110:$B$122,2,TRUE),VLOOKUP($D$3-(IF((Character!$B$9+W1212)&gt;($D$3+Y1212),(Character!$B$9+W1212)-($D$3+Y1212),0)),Calcs!$A$110:$B$122,2,TRUE))))=Calcs!$B$120,IF(ISBLANK(AC1212)," ",CONCATENATE(AC1212+7," Years")),IF(AA1212=" "," ",IF(NOT(ISBLANK(X1212)),VLOOKUP($D$3+X1212,Calcs!$A$110:$B$122,2,TRUE),IF(AA1212="Failed",VLOOKUP($D$3,Calcs!$A$110:$B$122,2,TRUE),VLOOKUP($D$3-(IF((Character!$B$9+W1212)&gt;($D$3+Y1212),(Character!$B$9+W1212)-($D$3+Y1212),0)),Calcs!$A$110:$B$122,2,TRUE)))))</f>
        <v xml:space="preserve"> </v>
      </c>
      <c r="AE1212" s="490"/>
      <c r="AF1212" s="879"/>
      <c r="AG1212" s="491"/>
    </row>
    <row r="1213" spans="1:33" x14ac:dyDescent="0.2">
      <c r="A1213" s="415">
        <f t="shared" si="36"/>
        <v>1513</v>
      </c>
      <c r="B1213" s="419" t="str">
        <f t="shared" si="37"/>
        <v>Spring</v>
      </c>
      <c r="C1213" s="455"/>
      <c r="D1213" s="504"/>
      <c r="E1213" s="455"/>
      <c r="F1213" s="504"/>
      <c r="G1213" s="455"/>
      <c r="H1213" s="504"/>
      <c r="I1213" s="455"/>
      <c r="J1213" s="504"/>
      <c r="L1213" s="472"/>
      <c r="M1213" s="468"/>
      <c r="N1213" s="468"/>
      <c r="O1213" s="468"/>
      <c r="P1213" s="468"/>
      <c r="Q1213" s="473"/>
      <c r="R1213" s="477" t="str">
        <f>IF(AND(COUNTIF('Start Character'!$I$63:$M$77,"Twilight Prone")=1,NOT(ISERROR(FIND("Magical Botch",M1213)))),"Yes",IF(P1213&gt;1,"Yes","No"))</f>
        <v>No</v>
      </c>
      <c r="S1213" s="501"/>
      <c r="T1213" s="478"/>
      <c r="U1213" s="501"/>
      <c r="V1213" s="479" t="str">
        <f>IF(R1213="No","No Twilight",IF(T1213="Yes","Uncomprehended Twilight",IF((Character!$B$14+IF(Character!$B$53="Yes",0,Character!$B$53)+IF(Magic!$C$5="Yes",2,0)+ROUNDUP((Magic!$B$30+IF(Magic!$C$30="Yes",3,0))/5,0)+S1213)&gt;=($D$3+P1213+SUMIF(Character!$I$62:$I$66,"Enigmatic Wisdom",Character!$J$62:$J$66)+Q1213+U1213),"No Twilight","Twilight")))</f>
        <v>No Twilight</v>
      </c>
      <c r="W1213" s="483"/>
      <c r="X1213" s="478"/>
      <c r="Y1213" s="484"/>
      <c r="Z1213" s="478"/>
      <c r="AA1213" s="485" t="str">
        <f>IF(V1213="Uncomprehended Twilight","Failed",IF(OR(ISBLANK(W1213),ISBLANK(Y1213))," ",IF(NOT(ISBLANK(X1213)),"Failed",IF((W1213+Character!$B$9+SUMIF(Character!$I$62:$I$66,"Enigmatic Wisdom",Character!$J$62:$J$66))&gt;=IF(Z1213="Yes",0,(Y1213+D1208)),"Succeeded","Failed"))))</f>
        <v xml:space="preserve"> </v>
      </c>
      <c r="AB1213" s="477" t="str">
        <f>IF(AA1213=" "," ",IF(NOT(ISBLANK(X1213)),VLOOKUP($D$3+X1213,Calcs!$A$110:$C$122,3,TRUE),IF(AA1213="Failed",VLOOKUP($D$3,Calcs!$A$110:$C$122,3,TRUE),VLOOKUP($D$3-(IF((Character!$B$9+W1213)&gt;($D$3+Y1213),(Character!$B$9+W1213)-($D$3+Y1213),0)),Calcs!$A$110:$C$122,3,TRUE))))</f>
        <v xml:space="preserve"> </v>
      </c>
      <c r="AC1213" s="489"/>
      <c r="AD1213" s="489" t="str">
        <f>IF(IF(AA1213=" "," ",IF(NOT(ISBLANK(X1213)),VLOOKUP($D$3+X1213,Calcs!$A$110:$B$122,2,TRUE),IF(AA1213="Failed",VLOOKUP($D$3,Calcs!$A$110:$B$122,2,TRUE),VLOOKUP($D$3-(IF((Character!$B$9+W1213)&gt;($D$3+Y1213),(Character!$B$9+W1213)-($D$3+Y1213),0)),Calcs!$A$110:$B$122,2,TRUE))))=Calcs!$B$120,IF(ISBLANK(AC1213)," ",CONCATENATE(AC1213+7," Years")),IF(AA1213=" "," ",IF(NOT(ISBLANK(X1213)),VLOOKUP($D$3+X1213,Calcs!$A$110:$B$122,2,TRUE),IF(AA1213="Failed",VLOOKUP($D$3,Calcs!$A$110:$B$122,2,TRUE),VLOOKUP($D$3-(IF((Character!$B$9+W1213)&gt;($D$3+Y1213),(Character!$B$9+W1213)-($D$3+Y1213),0)),Calcs!$A$110:$B$122,2,TRUE)))))</f>
        <v xml:space="preserve"> </v>
      </c>
      <c r="AE1213" s="490"/>
      <c r="AF1213" s="879"/>
      <c r="AG1213" s="491"/>
    </row>
    <row r="1214" spans="1:33" x14ac:dyDescent="0.2">
      <c r="A1214" s="415">
        <f t="shared" si="36"/>
        <v>1513</v>
      </c>
      <c r="B1214" s="419" t="str">
        <f t="shared" si="37"/>
        <v>Summer</v>
      </c>
      <c r="C1214" s="455"/>
      <c r="D1214" s="504"/>
      <c r="E1214" s="455"/>
      <c r="F1214" s="504"/>
      <c r="G1214" s="455"/>
      <c r="H1214" s="504"/>
      <c r="I1214" s="455"/>
      <c r="J1214" s="504"/>
      <c r="L1214" s="472"/>
      <c r="M1214" s="468"/>
      <c r="N1214" s="468"/>
      <c r="O1214" s="468"/>
      <c r="P1214" s="468"/>
      <c r="Q1214" s="473"/>
      <c r="R1214" s="477" t="str">
        <f>IF(AND(COUNTIF('Start Character'!$I$63:$M$77,"Twilight Prone")=1,NOT(ISERROR(FIND("Magical Botch",M1214)))),"Yes",IF(P1214&gt;1,"Yes","No"))</f>
        <v>No</v>
      </c>
      <c r="S1214" s="501"/>
      <c r="T1214" s="478"/>
      <c r="U1214" s="501"/>
      <c r="V1214" s="479" t="str">
        <f>IF(R1214="No","No Twilight",IF(T1214="Yes","Uncomprehended Twilight",IF((Character!$B$14+IF(Character!$B$53="Yes",0,Character!$B$53)+IF(Magic!$C$5="Yes",2,0)+ROUNDUP((Magic!$B$30+IF(Magic!$C$30="Yes",3,0))/5,0)+S1214)&gt;=($D$3+P1214+SUMIF(Character!$I$62:$I$66,"Enigmatic Wisdom",Character!$J$62:$J$66)+Q1214+U1214),"No Twilight","Twilight")))</f>
        <v>No Twilight</v>
      </c>
      <c r="W1214" s="483"/>
      <c r="X1214" s="478"/>
      <c r="Y1214" s="484"/>
      <c r="Z1214" s="478"/>
      <c r="AA1214" s="485" t="str">
        <f>IF(V1214="Uncomprehended Twilight","Failed",IF(OR(ISBLANK(W1214),ISBLANK(Y1214))," ",IF(NOT(ISBLANK(X1214)),"Failed",IF((W1214+Character!$B$9+SUMIF(Character!$I$62:$I$66,"Enigmatic Wisdom",Character!$J$62:$J$66))&gt;=IF(Z1214="Yes",0,(Y1214+D1209)),"Succeeded","Failed"))))</f>
        <v xml:space="preserve"> </v>
      </c>
      <c r="AB1214" s="477" t="str">
        <f>IF(AA1214=" "," ",IF(NOT(ISBLANK(X1214)),VLOOKUP($D$3+X1214,Calcs!$A$110:$C$122,3,TRUE),IF(AA1214="Failed",VLOOKUP($D$3,Calcs!$A$110:$C$122,3,TRUE),VLOOKUP($D$3-(IF((Character!$B$9+W1214)&gt;($D$3+Y1214),(Character!$B$9+W1214)-($D$3+Y1214),0)),Calcs!$A$110:$C$122,3,TRUE))))</f>
        <v xml:space="preserve"> </v>
      </c>
      <c r="AC1214" s="489"/>
      <c r="AD1214" s="489" t="str">
        <f>IF(IF(AA1214=" "," ",IF(NOT(ISBLANK(X1214)),VLOOKUP($D$3+X1214,Calcs!$A$110:$B$122,2,TRUE),IF(AA1214="Failed",VLOOKUP($D$3,Calcs!$A$110:$B$122,2,TRUE),VLOOKUP($D$3-(IF((Character!$B$9+W1214)&gt;($D$3+Y1214),(Character!$B$9+W1214)-($D$3+Y1214),0)),Calcs!$A$110:$B$122,2,TRUE))))=Calcs!$B$120,IF(ISBLANK(AC1214)," ",CONCATENATE(AC1214+7," Years")),IF(AA1214=" "," ",IF(NOT(ISBLANK(X1214)),VLOOKUP($D$3+X1214,Calcs!$A$110:$B$122,2,TRUE),IF(AA1214="Failed",VLOOKUP($D$3,Calcs!$A$110:$B$122,2,TRUE),VLOOKUP($D$3-(IF((Character!$B$9+W1214)&gt;($D$3+Y1214),(Character!$B$9+W1214)-($D$3+Y1214),0)),Calcs!$A$110:$B$122,2,TRUE)))))</f>
        <v xml:space="preserve"> </v>
      </c>
      <c r="AE1214" s="490"/>
      <c r="AF1214" s="879"/>
      <c r="AG1214" s="491"/>
    </row>
    <row r="1215" spans="1:33" x14ac:dyDescent="0.2">
      <c r="A1215" s="415">
        <f t="shared" si="36"/>
        <v>1513</v>
      </c>
      <c r="B1215" s="419" t="str">
        <f t="shared" si="37"/>
        <v>Autumn</v>
      </c>
      <c r="C1215" s="455"/>
      <c r="D1215" s="504"/>
      <c r="E1215" s="455"/>
      <c r="F1215" s="504"/>
      <c r="G1215" s="455"/>
      <c r="H1215" s="504"/>
      <c r="I1215" s="455"/>
      <c r="J1215" s="504"/>
      <c r="L1215" s="472"/>
      <c r="M1215" s="468"/>
      <c r="N1215" s="468"/>
      <c r="O1215" s="468"/>
      <c r="P1215" s="468"/>
      <c r="Q1215" s="473"/>
      <c r="R1215" s="477" t="str">
        <f>IF(AND(COUNTIF('Start Character'!$I$63:$M$77,"Twilight Prone")=1,NOT(ISERROR(FIND("Magical Botch",M1215)))),"Yes",IF(P1215&gt;1,"Yes","No"))</f>
        <v>No</v>
      </c>
      <c r="S1215" s="501"/>
      <c r="T1215" s="478"/>
      <c r="U1215" s="501"/>
      <c r="V1215" s="479" t="str">
        <f>IF(R1215="No","No Twilight",IF(T1215="Yes","Uncomprehended Twilight",IF((Character!$B$14+IF(Character!$B$53="Yes",0,Character!$B$53)+IF(Magic!$C$5="Yes",2,0)+ROUNDUP((Magic!$B$30+IF(Magic!$C$30="Yes",3,0))/5,0)+S1215)&gt;=($D$3+P1215+SUMIF(Character!$I$62:$I$66,"Enigmatic Wisdom",Character!$J$62:$J$66)+Q1215+U1215),"No Twilight","Twilight")))</f>
        <v>No Twilight</v>
      </c>
      <c r="W1215" s="483"/>
      <c r="X1215" s="478"/>
      <c r="Y1215" s="484"/>
      <c r="Z1215" s="478"/>
      <c r="AA1215" s="485" t="str">
        <f>IF(V1215="Uncomprehended Twilight","Failed",IF(OR(ISBLANK(W1215),ISBLANK(Y1215))," ",IF(NOT(ISBLANK(X1215)),"Failed",IF((W1215+Character!$B$9+SUMIF(Character!$I$62:$I$66,"Enigmatic Wisdom",Character!$J$62:$J$66))&gt;=IF(Z1215="Yes",0,(Y1215+D1210)),"Succeeded","Failed"))))</f>
        <v xml:space="preserve"> </v>
      </c>
      <c r="AB1215" s="477" t="str">
        <f>IF(AA1215=" "," ",IF(NOT(ISBLANK(X1215)),VLOOKUP($D$3+X1215,Calcs!$A$110:$C$122,3,TRUE),IF(AA1215="Failed",VLOOKUP($D$3,Calcs!$A$110:$C$122,3,TRUE),VLOOKUP($D$3-(IF((Character!$B$9+W1215)&gt;($D$3+Y1215),(Character!$B$9+W1215)-($D$3+Y1215),0)),Calcs!$A$110:$C$122,3,TRUE))))</f>
        <v xml:space="preserve"> </v>
      </c>
      <c r="AC1215" s="489"/>
      <c r="AD1215" s="489" t="str">
        <f>IF(IF(AA1215=" "," ",IF(NOT(ISBLANK(X1215)),VLOOKUP($D$3+X1215,Calcs!$A$110:$B$122,2,TRUE),IF(AA1215="Failed",VLOOKUP($D$3,Calcs!$A$110:$B$122,2,TRUE),VLOOKUP($D$3-(IF((Character!$B$9+W1215)&gt;($D$3+Y1215),(Character!$B$9+W1215)-($D$3+Y1215),0)),Calcs!$A$110:$B$122,2,TRUE))))=Calcs!$B$120,IF(ISBLANK(AC1215)," ",CONCATENATE(AC1215+7," Years")),IF(AA1215=" "," ",IF(NOT(ISBLANK(X1215)),VLOOKUP($D$3+X1215,Calcs!$A$110:$B$122,2,TRUE),IF(AA1215="Failed",VLOOKUP($D$3,Calcs!$A$110:$B$122,2,TRUE),VLOOKUP($D$3-(IF((Character!$B$9+W1215)&gt;($D$3+Y1215),(Character!$B$9+W1215)-($D$3+Y1215),0)),Calcs!$A$110:$B$122,2,TRUE)))))</f>
        <v xml:space="preserve"> </v>
      </c>
      <c r="AE1215" s="490"/>
      <c r="AF1215" s="879"/>
      <c r="AG1215" s="491"/>
    </row>
    <row r="1216" spans="1:33" x14ac:dyDescent="0.2">
      <c r="A1216" s="415">
        <f t="shared" si="36"/>
        <v>1514</v>
      </c>
      <c r="B1216" s="419" t="str">
        <f t="shared" si="37"/>
        <v>Winter</v>
      </c>
      <c r="C1216" s="455"/>
      <c r="D1216" s="504"/>
      <c r="E1216" s="455"/>
      <c r="F1216" s="504"/>
      <c r="G1216" s="455"/>
      <c r="H1216" s="504"/>
      <c r="I1216" s="455"/>
      <c r="J1216" s="504"/>
      <c r="L1216" s="472"/>
      <c r="M1216" s="468"/>
      <c r="N1216" s="468"/>
      <c r="O1216" s="468"/>
      <c r="P1216" s="468"/>
      <c r="Q1216" s="473"/>
      <c r="R1216" s="477" t="str">
        <f>IF(AND(COUNTIF('Start Character'!$I$63:$M$77,"Twilight Prone")=1,NOT(ISERROR(FIND("Magical Botch",M1216)))),"Yes",IF(P1216&gt;1,"Yes","No"))</f>
        <v>No</v>
      </c>
      <c r="S1216" s="501"/>
      <c r="T1216" s="478"/>
      <c r="U1216" s="501"/>
      <c r="V1216" s="479" t="str">
        <f>IF(R1216="No","No Twilight",IF(T1216="Yes","Uncomprehended Twilight",IF((Character!$B$14+IF(Character!$B$53="Yes",0,Character!$B$53)+IF(Magic!$C$5="Yes",2,0)+ROUNDUP((Magic!$B$30+IF(Magic!$C$30="Yes",3,0))/5,0)+S1216)&gt;=($D$3+P1216+SUMIF(Character!$I$62:$I$66,"Enigmatic Wisdom",Character!$J$62:$J$66)+Q1216+U1216),"No Twilight","Twilight")))</f>
        <v>No Twilight</v>
      </c>
      <c r="W1216" s="483"/>
      <c r="X1216" s="478"/>
      <c r="Y1216" s="484"/>
      <c r="Z1216" s="478"/>
      <c r="AA1216" s="485" t="str">
        <f>IF(V1216="Uncomprehended Twilight","Failed",IF(OR(ISBLANK(W1216),ISBLANK(Y1216))," ",IF(NOT(ISBLANK(X1216)),"Failed",IF((W1216+Character!$B$9+SUMIF(Character!$I$62:$I$66,"Enigmatic Wisdom",Character!$J$62:$J$66))&gt;=IF(Z1216="Yes",0,(Y1216+D1211)),"Succeeded","Failed"))))</f>
        <v xml:space="preserve"> </v>
      </c>
      <c r="AB1216" s="477" t="str">
        <f>IF(AA1216=" "," ",IF(NOT(ISBLANK(X1216)),VLOOKUP($D$3+X1216,Calcs!$A$110:$C$122,3,TRUE),IF(AA1216="Failed",VLOOKUP($D$3,Calcs!$A$110:$C$122,3,TRUE),VLOOKUP($D$3-(IF((Character!$B$9+W1216)&gt;($D$3+Y1216),(Character!$B$9+W1216)-($D$3+Y1216),0)),Calcs!$A$110:$C$122,3,TRUE))))</f>
        <v xml:space="preserve"> </v>
      </c>
      <c r="AC1216" s="489"/>
      <c r="AD1216" s="489" t="str">
        <f>IF(IF(AA1216=" "," ",IF(NOT(ISBLANK(X1216)),VLOOKUP($D$3+X1216,Calcs!$A$110:$B$122,2,TRUE),IF(AA1216="Failed",VLOOKUP($D$3,Calcs!$A$110:$B$122,2,TRUE),VLOOKUP($D$3-(IF((Character!$B$9+W1216)&gt;($D$3+Y1216),(Character!$B$9+W1216)-($D$3+Y1216),0)),Calcs!$A$110:$B$122,2,TRUE))))=Calcs!$B$120,IF(ISBLANK(AC1216)," ",CONCATENATE(AC1216+7," Years")),IF(AA1216=" "," ",IF(NOT(ISBLANK(X1216)),VLOOKUP($D$3+X1216,Calcs!$A$110:$B$122,2,TRUE),IF(AA1216="Failed",VLOOKUP($D$3,Calcs!$A$110:$B$122,2,TRUE),VLOOKUP($D$3-(IF((Character!$B$9+W1216)&gt;($D$3+Y1216),(Character!$B$9+W1216)-($D$3+Y1216),0)),Calcs!$A$110:$B$122,2,TRUE)))))</f>
        <v xml:space="preserve"> </v>
      </c>
      <c r="AE1216" s="490"/>
      <c r="AF1216" s="879"/>
      <c r="AG1216" s="491"/>
    </row>
    <row r="1217" spans="1:33" x14ac:dyDescent="0.2">
      <c r="A1217" s="415">
        <f t="shared" si="36"/>
        <v>1514</v>
      </c>
      <c r="B1217" s="419" t="str">
        <f t="shared" si="37"/>
        <v>Spring</v>
      </c>
      <c r="C1217" s="455"/>
      <c r="D1217" s="504"/>
      <c r="E1217" s="455"/>
      <c r="F1217" s="504"/>
      <c r="G1217" s="455"/>
      <c r="H1217" s="504"/>
      <c r="I1217" s="455"/>
      <c r="J1217" s="504"/>
      <c r="L1217" s="472"/>
      <c r="M1217" s="468"/>
      <c r="N1217" s="468"/>
      <c r="O1217" s="468"/>
      <c r="P1217" s="468"/>
      <c r="Q1217" s="473"/>
      <c r="R1217" s="477" t="str">
        <f>IF(AND(COUNTIF('Start Character'!$I$63:$M$77,"Twilight Prone")=1,NOT(ISERROR(FIND("Magical Botch",M1217)))),"Yes",IF(P1217&gt;1,"Yes","No"))</f>
        <v>No</v>
      </c>
      <c r="S1217" s="501"/>
      <c r="T1217" s="478"/>
      <c r="U1217" s="501"/>
      <c r="V1217" s="479" t="str">
        <f>IF(R1217="No","No Twilight",IF(T1217="Yes","Uncomprehended Twilight",IF((Character!$B$14+IF(Character!$B$53="Yes",0,Character!$B$53)+IF(Magic!$C$5="Yes",2,0)+ROUNDUP((Magic!$B$30+IF(Magic!$C$30="Yes",3,0))/5,0)+S1217)&gt;=($D$3+P1217+SUMIF(Character!$I$62:$I$66,"Enigmatic Wisdom",Character!$J$62:$J$66)+Q1217+U1217),"No Twilight","Twilight")))</f>
        <v>No Twilight</v>
      </c>
      <c r="W1217" s="483"/>
      <c r="X1217" s="478"/>
      <c r="Y1217" s="484"/>
      <c r="Z1217" s="478"/>
      <c r="AA1217" s="485" t="str">
        <f>IF(V1217="Uncomprehended Twilight","Failed",IF(OR(ISBLANK(W1217),ISBLANK(Y1217))," ",IF(NOT(ISBLANK(X1217)),"Failed",IF((W1217+Character!$B$9+SUMIF(Character!$I$62:$I$66,"Enigmatic Wisdom",Character!$J$62:$J$66))&gt;=IF(Z1217="Yes",0,(Y1217+D1212)),"Succeeded","Failed"))))</f>
        <v xml:space="preserve"> </v>
      </c>
      <c r="AB1217" s="477" t="str">
        <f>IF(AA1217=" "," ",IF(NOT(ISBLANK(X1217)),VLOOKUP($D$3+X1217,Calcs!$A$110:$C$122,3,TRUE),IF(AA1217="Failed",VLOOKUP($D$3,Calcs!$A$110:$C$122,3,TRUE),VLOOKUP($D$3-(IF((Character!$B$9+W1217)&gt;($D$3+Y1217),(Character!$B$9+W1217)-($D$3+Y1217),0)),Calcs!$A$110:$C$122,3,TRUE))))</f>
        <v xml:space="preserve"> </v>
      </c>
      <c r="AC1217" s="489"/>
      <c r="AD1217" s="489" t="str">
        <f>IF(IF(AA1217=" "," ",IF(NOT(ISBLANK(X1217)),VLOOKUP($D$3+X1217,Calcs!$A$110:$B$122,2,TRUE),IF(AA1217="Failed",VLOOKUP($D$3,Calcs!$A$110:$B$122,2,TRUE),VLOOKUP($D$3-(IF((Character!$B$9+W1217)&gt;($D$3+Y1217),(Character!$B$9+W1217)-($D$3+Y1217),0)),Calcs!$A$110:$B$122,2,TRUE))))=Calcs!$B$120,IF(ISBLANK(AC1217)," ",CONCATENATE(AC1217+7," Years")),IF(AA1217=" "," ",IF(NOT(ISBLANK(X1217)),VLOOKUP($D$3+X1217,Calcs!$A$110:$B$122,2,TRUE),IF(AA1217="Failed",VLOOKUP($D$3,Calcs!$A$110:$B$122,2,TRUE),VLOOKUP($D$3-(IF((Character!$B$9+W1217)&gt;($D$3+Y1217),(Character!$B$9+W1217)-($D$3+Y1217),0)),Calcs!$A$110:$B$122,2,TRUE)))))</f>
        <v xml:space="preserve"> </v>
      </c>
      <c r="AE1217" s="490"/>
      <c r="AF1217" s="879"/>
      <c r="AG1217" s="491"/>
    </row>
    <row r="1218" spans="1:33" x14ac:dyDescent="0.2">
      <c r="A1218" s="415">
        <f t="shared" si="36"/>
        <v>1514</v>
      </c>
      <c r="B1218" s="419" t="str">
        <f t="shared" si="37"/>
        <v>Summer</v>
      </c>
      <c r="C1218" s="455"/>
      <c r="D1218" s="504"/>
      <c r="E1218" s="455"/>
      <c r="F1218" s="504"/>
      <c r="G1218" s="455"/>
      <c r="H1218" s="504"/>
      <c r="I1218" s="455"/>
      <c r="J1218" s="504"/>
      <c r="L1218" s="472"/>
      <c r="M1218" s="468"/>
      <c r="N1218" s="468"/>
      <c r="O1218" s="468"/>
      <c r="P1218" s="468"/>
      <c r="Q1218" s="473"/>
      <c r="R1218" s="477" t="str">
        <f>IF(AND(COUNTIF('Start Character'!$I$63:$M$77,"Twilight Prone")=1,NOT(ISERROR(FIND("Magical Botch",M1218)))),"Yes",IF(P1218&gt;1,"Yes","No"))</f>
        <v>No</v>
      </c>
      <c r="S1218" s="501"/>
      <c r="T1218" s="478"/>
      <c r="U1218" s="501"/>
      <c r="V1218" s="479" t="str">
        <f>IF(R1218="No","No Twilight",IF(T1218="Yes","Uncomprehended Twilight",IF((Character!$B$14+IF(Character!$B$53="Yes",0,Character!$B$53)+IF(Magic!$C$5="Yes",2,0)+ROUNDUP((Magic!$B$30+IF(Magic!$C$30="Yes",3,0))/5,0)+S1218)&gt;=($D$3+P1218+SUMIF(Character!$I$62:$I$66,"Enigmatic Wisdom",Character!$J$62:$J$66)+Q1218+U1218),"No Twilight","Twilight")))</f>
        <v>No Twilight</v>
      </c>
      <c r="W1218" s="483"/>
      <c r="X1218" s="478"/>
      <c r="Y1218" s="484"/>
      <c r="Z1218" s="478"/>
      <c r="AA1218" s="485" t="str">
        <f>IF(V1218="Uncomprehended Twilight","Failed",IF(OR(ISBLANK(W1218),ISBLANK(Y1218))," ",IF(NOT(ISBLANK(X1218)),"Failed",IF((W1218+Character!$B$9+SUMIF(Character!$I$62:$I$66,"Enigmatic Wisdom",Character!$J$62:$J$66))&gt;=IF(Z1218="Yes",0,(Y1218+D1213)),"Succeeded","Failed"))))</f>
        <v xml:space="preserve"> </v>
      </c>
      <c r="AB1218" s="477" t="str">
        <f>IF(AA1218=" "," ",IF(NOT(ISBLANK(X1218)),VLOOKUP($D$3+X1218,Calcs!$A$110:$C$122,3,TRUE),IF(AA1218="Failed",VLOOKUP($D$3,Calcs!$A$110:$C$122,3,TRUE),VLOOKUP($D$3-(IF((Character!$B$9+W1218)&gt;($D$3+Y1218),(Character!$B$9+W1218)-($D$3+Y1218),0)),Calcs!$A$110:$C$122,3,TRUE))))</f>
        <v xml:space="preserve"> </v>
      </c>
      <c r="AC1218" s="489"/>
      <c r="AD1218" s="489" t="str">
        <f>IF(IF(AA1218=" "," ",IF(NOT(ISBLANK(X1218)),VLOOKUP($D$3+X1218,Calcs!$A$110:$B$122,2,TRUE),IF(AA1218="Failed",VLOOKUP($D$3,Calcs!$A$110:$B$122,2,TRUE),VLOOKUP($D$3-(IF((Character!$B$9+W1218)&gt;($D$3+Y1218),(Character!$B$9+W1218)-($D$3+Y1218),0)),Calcs!$A$110:$B$122,2,TRUE))))=Calcs!$B$120,IF(ISBLANK(AC1218)," ",CONCATENATE(AC1218+7," Years")),IF(AA1218=" "," ",IF(NOT(ISBLANK(X1218)),VLOOKUP($D$3+X1218,Calcs!$A$110:$B$122,2,TRUE),IF(AA1218="Failed",VLOOKUP($D$3,Calcs!$A$110:$B$122,2,TRUE),VLOOKUP($D$3-(IF((Character!$B$9+W1218)&gt;($D$3+Y1218),(Character!$B$9+W1218)-($D$3+Y1218),0)),Calcs!$A$110:$B$122,2,TRUE)))))</f>
        <v xml:space="preserve"> </v>
      </c>
      <c r="AE1218" s="490"/>
      <c r="AF1218" s="879"/>
      <c r="AG1218" s="491"/>
    </row>
    <row r="1219" spans="1:33" x14ac:dyDescent="0.2">
      <c r="A1219" s="415">
        <f t="shared" si="36"/>
        <v>1514</v>
      </c>
      <c r="B1219" s="419" t="str">
        <f t="shared" si="37"/>
        <v>Autumn</v>
      </c>
      <c r="C1219" s="455"/>
      <c r="D1219" s="504"/>
      <c r="E1219" s="455"/>
      <c r="F1219" s="504"/>
      <c r="G1219" s="455"/>
      <c r="H1219" s="504"/>
      <c r="I1219" s="455"/>
      <c r="J1219" s="504"/>
      <c r="L1219" s="472"/>
      <c r="M1219" s="468"/>
      <c r="N1219" s="468"/>
      <c r="O1219" s="468"/>
      <c r="P1219" s="468"/>
      <c r="Q1219" s="473"/>
      <c r="R1219" s="477" t="str">
        <f>IF(AND(COUNTIF('Start Character'!$I$63:$M$77,"Twilight Prone")=1,NOT(ISERROR(FIND("Magical Botch",M1219)))),"Yes",IF(P1219&gt;1,"Yes","No"))</f>
        <v>No</v>
      </c>
      <c r="S1219" s="501"/>
      <c r="T1219" s="478"/>
      <c r="U1219" s="501"/>
      <c r="V1219" s="479" t="str">
        <f>IF(R1219="No","No Twilight",IF(T1219="Yes","Uncomprehended Twilight",IF((Character!$B$14+IF(Character!$B$53="Yes",0,Character!$B$53)+IF(Magic!$C$5="Yes",2,0)+ROUNDUP((Magic!$B$30+IF(Magic!$C$30="Yes",3,0))/5,0)+S1219)&gt;=($D$3+P1219+SUMIF(Character!$I$62:$I$66,"Enigmatic Wisdom",Character!$J$62:$J$66)+Q1219+U1219),"No Twilight","Twilight")))</f>
        <v>No Twilight</v>
      </c>
      <c r="W1219" s="483"/>
      <c r="X1219" s="478"/>
      <c r="Y1219" s="484"/>
      <c r="Z1219" s="478"/>
      <c r="AA1219" s="485" t="str">
        <f>IF(V1219="Uncomprehended Twilight","Failed",IF(OR(ISBLANK(W1219),ISBLANK(Y1219))," ",IF(NOT(ISBLANK(X1219)),"Failed",IF((W1219+Character!$B$9+SUMIF(Character!$I$62:$I$66,"Enigmatic Wisdom",Character!$J$62:$J$66))&gt;=IF(Z1219="Yes",0,(Y1219+D1214)),"Succeeded","Failed"))))</f>
        <v xml:space="preserve"> </v>
      </c>
      <c r="AB1219" s="477" t="str">
        <f>IF(AA1219=" "," ",IF(NOT(ISBLANK(X1219)),VLOOKUP($D$3+X1219,Calcs!$A$110:$C$122,3,TRUE),IF(AA1219="Failed",VLOOKUP($D$3,Calcs!$A$110:$C$122,3,TRUE),VLOOKUP($D$3-(IF((Character!$B$9+W1219)&gt;($D$3+Y1219),(Character!$B$9+W1219)-($D$3+Y1219),0)),Calcs!$A$110:$C$122,3,TRUE))))</f>
        <v xml:space="preserve"> </v>
      </c>
      <c r="AC1219" s="489"/>
      <c r="AD1219" s="489" t="str">
        <f>IF(IF(AA1219=" "," ",IF(NOT(ISBLANK(X1219)),VLOOKUP($D$3+X1219,Calcs!$A$110:$B$122,2,TRUE),IF(AA1219="Failed",VLOOKUP($D$3,Calcs!$A$110:$B$122,2,TRUE),VLOOKUP($D$3-(IF((Character!$B$9+W1219)&gt;($D$3+Y1219),(Character!$B$9+W1219)-($D$3+Y1219),0)),Calcs!$A$110:$B$122,2,TRUE))))=Calcs!$B$120,IF(ISBLANK(AC1219)," ",CONCATENATE(AC1219+7," Years")),IF(AA1219=" "," ",IF(NOT(ISBLANK(X1219)),VLOOKUP($D$3+X1219,Calcs!$A$110:$B$122,2,TRUE),IF(AA1219="Failed",VLOOKUP($D$3,Calcs!$A$110:$B$122,2,TRUE),VLOOKUP($D$3-(IF((Character!$B$9+W1219)&gt;($D$3+Y1219),(Character!$B$9+W1219)-($D$3+Y1219),0)),Calcs!$A$110:$B$122,2,TRUE)))))</f>
        <v xml:space="preserve"> </v>
      </c>
      <c r="AE1219" s="490"/>
      <c r="AF1219" s="879"/>
      <c r="AG1219" s="491"/>
    </row>
    <row r="1220" spans="1:33" x14ac:dyDescent="0.2">
      <c r="A1220" s="415">
        <f t="shared" si="36"/>
        <v>1515</v>
      </c>
      <c r="B1220" s="419" t="str">
        <f t="shared" si="37"/>
        <v>Winter</v>
      </c>
      <c r="C1220" s="455"/>
      <c r="D1220" s="504"/>
      <c r="E1220" s="455"/>
      <c r="F1220" s="504"/>
      <c r="G1220" s="455"/>
      <c r="H1220" s="504"/>
      <c r="I1220" s="455"/>
      <c r="J1220" s="504"/>
      <c r="L1220" s="472"/>
      <c r="M1220" s="468"/>
      <c r="N1220" s="468"/>
      <c r="O1220" s="468"/>
      <c r="P1220" s="468"/>
      <c r="Q1220" s="473"/>
      <c r="R1220" s="477" t="str">
        <f>IF(AND(COUNTIF('Start Character'!$I$63:$M$77,"Twilight Prone")=1,NOT(ISERROR(FIND("Magical Botch",M1220)))),"Yes",IF(P1220&gt;1,"Yes","No"))</f>
        <v>No</v>
      </c>
      <c r="S1220" s="501"/>
      <c r="T1220" s="478"/>
      <c r="U1220" s="501"/>
      <c r="V1220" s="479" t="str">
        <f>IF(R1220="No","No Twilight",IF(T1220="Yes","Uncomprehended Twilight",IF((Character!$B$14+IF(Character!$B$53="Yes",0,Character!$B$53)+IF(Magic!$C$5="Yes",2,0)+ROUNDUP((Magic!$B$30+IF(Magic!$C$30="Yes",3,0))/5,0)+S1220)&gt;=($D$3+P1220+SUMIF(Character!$I$62:$I$66,"Enigmatic Wisdom",Character!$J$62:$J$66)+Q1220+U1220),"No Twilight","Twilight")))</f>
        <v>No Twilight</v>
      </c>
      <c r="W1220" s="483"/>
      <c r="X1220" s="478"/>
      <c r="Y1220" s="484"/>
      <c r="Z1220" s="478"/>
      <c r="AA1220" s="485" t="str">
        <f>IF(V1220="Uncomprehended Twilight","Failed",IF(OR(ISBLANK(W1220),ISBLANK(Y1220))," ",IF(NOT(ISBLANK(X1220)),"Failed",IF((W1220+Character!$B$9+SUMIF(Character!$I$62:$I$66,"Enigmatic Wisdom",Character!$J$62:$J$66))&gt;=IF(Z1220="Yes",0,(Y1220+D1215)),"Succeeded","Failed"))))</f>
        <v xml:space="preserve"> </v>
      </c>
      <c r="AB1220" s="477" t="str">
        <f>IF(AA1220=" "," ",IF(NOT(ISBLANK(X1220)),VLOOKUP($D$3+X1220,Calcs!$A$110:$C$122,3,TRUE),IF(AA1220="Failed",VLOOKUP($D$3,Calcs!$A$110:$C$122,3,TRUE),VLOOKUP($D$3-(IF((Character!$B$9+W1220)&gt;($D$3+Y1220),(Character!$B$9+W1220)-($D$3+Y1220),0)),Calcs!$A$110:$C$122,3,TRUE))))</f>
        <v xml:space="preserve"> </v>
      </c>
      <c r="AC1220" s="489"/>
      <c r="AD1220" s="489" t="str">
        <f>IF(IF(AA1220=" "," ",IF(NOT(ISBLANK(X1220)),VLOOKUP($D$3+X1220,Calcs!$A$110:$B$122,2,TRUE),IF(AA1220="Failed",VLOOKUP($D$3,Calcs!$A$110:$B$122,2,TRUE),VLOOKUP($D$3-(IF((Character!$B$9+W1220)&gt;($D$3+Y1220),(Character!$B$9+W1220)-($D$3+Y1220),0)),Calcs!$A$110:$B$122,2,TRUE))))=Calcs!$B$120,IF(ISBLANK(AC1220)," ",CONCATENATE(AC1220+7," Years")),IF(AA1220=" "," ",IF(NOT(ISBLANK(X1220)),VLOOKUP($D$3+X1220,Calcs!$A$110:$B$122,2,TRUE),IF(AA1220="Failed",VLOOKUP($D$3,Calcs!$A$110:$B$122,2,TRUE),VLOOKUP($D$3-(IF((Character!$B$9+W1220)&gt;($D$3+Y1220),(Character!$B$9+W1220)-($D$3+Y1220),0)),Calcs!$A$110:$B$122,2,TRUE)))))</f>
        <v xml:space="preserve"> </v>
      </c>
      <c r="AE1220" s="490"/>
      <c r="AF1220" s="879"/>
      <c r="AG1220" s="491"/>
    </row>
    <row r="1221" spans="1:33" x14ac:dyDescent="0.2">
      <c r="A1221" s="415">
        <f t="shared" si="36"/>
        <v>1515</v>
      </c>
      <c r="B1221" s="419" t="str">
        <f t="shared" si="37"/>
        <v>Spring</v>
      </c>
      <c r="C1221" s="455"/>
      <c r="D1221" s="504"/>
      <c r="E1221" s="455"/>
      <c r="F1221" s="504"/>
      <c r="G1221" s="455"/>
      <c r="H1221" s="504"/>
      <c r="I1221" s="455"/>
      <c r="J1221" s="504"/>
      <c r="L1221" s="472"/>
      <c r="M1221" s="468"/>
      <c r="N1221" s="468"/>
      <c r="O1221" s="468"/>
      <c r="P1221" s="468"/>
      <c r="Q1221" s="473"/>
      <c r="R1221" s="477" t="str">
        <f>IF(AND(COUNTIF('Start Character'!$I$63:$M$77,"Twilight Prone")=1,NOT(ISERROR(FIND("Magical Botch",M1221)))),"Yes",IF(P1221&gt;1,"Yes","No"))</f>
        <v>No</v>
      </c>
      <c r="S1221" s="501"/>
      <c r="T1221" s="478"/>
      <c r="U1221" s="501"/>
      <c r="V1221" s="479" t="str">
        <f>IF(R1221="No","No Twilight",IF(T1221="Yes","Uncomprehended Twilight",IF((Character!$B$14+IF(Character!$B$53="Yes",0,Character!$B$53)+IF(Magic!$C$5="Yes",2,0)+ROUNDUP((Magic!$B$30+IF(Magic!$C$30="Yes",3,0))/5,0)+S1221)&gt;=($D$3+P1221+SUMIF(Character!$I$62:$I$66,"Enigmatic Wisdom",Character!$J$62:$J$66)+Q1221+U1221),"No Twilight","Twilight")))</f>
        <v>No Twilight</v>
      </c>
      <c r="W1221" s="483"/>
      <c r="X1221" s="478"/>
      <c r="Y1221" s="484"/>
      <c r="Z1221" s="478"/>
      <c r="AA1221" s="485" t="str">
        <f>IF(V1221="Uncomprehended Twilight","Failed",IF(OR(ISBLANK(W1221),ISBLANK(Y1221))," ",IF(NOT(ISBLANK(X1221)),"Failed",IF((W1221+Character!$B$9+SUMIF(Character!$I$62:$I$66,"Enigmatic Wisdom",Character!$J$62:$J$66))&gt;=IF(Z1221="Yes",0,(Y1221+D1216)),"Succeeded","Failed"))))</f>
        <v xml:space="preserve"> </v>
      </c>
      <c r="AB1221" s="477" t="str">
        <f>IF(AA1221=" "," ",IF(NOT(ISBLANK(X1221)),VLOOKUP($D$3+X1221,Calcs!$A$110:$C$122,3,TRUE),IF(AA1221="Failed",VLOOKUP($D$3,Calcs!$A$110:$C$122,3,TRUE),VLOOKUP($D$3-(IF((Character!$B$9+W1221)&gt;($D$3+Y1221),(Character!$B$9+W1221)-($D$3+Y1221),0)),Calcs!$A$110:$C$122,3,TRUE))))</f>
        <v xml:space="preserve"> </v>
      </c>
      <c r="AC1221" s="489"/>
      <c r="AD1221" s="489" t="str">
        <f>IF(IF(AA1221=" "," ",IF(NOT(ISBLANK(X1221)),VLOOKUP($D$3+X1221,Calcs!$A$110:$B$122,2,TRUE),IF(AA1221="Failed",VLOOKUP($D$3,Calcs!$A$110:$B$122,2,TRUE),VLOOKUP($D$3-(IF((Character!$B$9+W1221)&gt;($D$3+Y1221),(Character!$B$9+W1221)-($D$3+Y1221),0)),Calcs!$A$110:$B$122,2,TRUE))))=Calcs!$B$120,IF(ISBLANK(AC1221)," ",CONCATENATE(AC1221+7," Years")),IF(AA1221=" "," ",IF(NOT(ISBLANK(X1221)),VLOOKUP($D$3+X1221,Calcs!$A$110:$B$122,2,TRUE),IF(AA1221="Failed",VLOOKUP($D$3,Calcs!$A$110:$B$122,2,TRUE),VLOOKUP($D$3-(IF((Character!$B$9+W1221)&gt;($D$3+Y1221),(Character!$B$9+W1221)-($D$3+Y1221),0)),Calcs!$A$110:$B$122,2,TRUE)))))</f>
        <v xml:space="preserve"> </v>
      </c>
      <c r="AE1221" s="490"/>
      <c r="AF1221" s="879"/>
      <c r="AG1221" s="491"/>
    </row>
    <row r="1222" spans="1:33" x14ac:dyDescent="0.2">
      <c r="A1222" s="415">
        <f t="shared" si="36"/>
        <v>1515</v>
      </c>
      <c r="B1222" s="419" t="str">
        <f t="shared" si="37"/>
        <v>Summer</v>
      </c>
      <c r="C1222" s="455"/>
      <c r="D1222" s="504"/>
      <c r="E1222" s="455"/>
      <c r="F1222" s="504"/>
      <c r="G1222" s="455"/>
      <c r="H1222" s="504"/>
      <c r="I1222" s="455"/>
      <c r="J1222" s="504"/>
      <c r="L1222" s="472"/>
      <c r="M1222" s="468"/>
      <c r="N1222" s="468"/>
      <c r="O1222" s="468"/>
      <c r="P1222" s="468"/>
      <c r="Q1222" s="473"/>
      <c r="R1222" s="477" t="str">
        <f>IF(AND(COUNTIF('Start Character'!$I$63:$M$77,"Twilight Prone")=1,NOT(ISERROR(FIND("Magical Botch",M1222)))),"Yes",IF(P1222&gt;1,"Yes","No"))</f>
        <v>No</v>
      </c>
      <c r="S1222" s="501"/>
      <c r="T1222" s="478"/>
      <c r="U1222" s="501"/>
      <c r="V1222" s="479" t="str">
        <f>IF(R1222="No","No Twilight",IF(T1222="Yes","Uncomprehended Twilight",IF((Character!$B$14+IF(Character!$B$53="Yes",0,Character!$B$53)+IF(Magic!$C$5="Yes",2,0)+ROUNDUP((Magic!$B$30+IF(Magic!$C$30="Yes",3,0))/5,0)+S1222)&gt;=($D$3+P1222+SUMIF(Character!$I$62:$I$66,"Enigmatic Wisdom",Character!$J$62:$J$66)+Q1222+U1222),"No Twilight","Twilight")))</f>
        <v>No Twilight</v>
      </c>
      <c r="W1222" s="483"/>
      <c r="X1222" s="478"/>
      <c r="Y1222" s="484"/>
      <c r="Z1222" s="478"/>
      <c r="AA1222" s="485" t="str">
        <f>IF(V1222="Uncomprehended Twilight","Failed",IF(OR(ISBLANK(W1222),ISBLANK(Y1222))," ",IF(NOT(ISBLANK(X1222)),"Failed",IF((W1222+Character!$B$9+SUMIF(Character!$I$62:$I$66,"Enigmatic Wisdom",Character!$J$62:$J$66))&gt;=IF(Z1222="Yes",0,(Y1222+D1217)),"Succeeded","Failed"))))</f>
        <v xml:space="preserve"> </v>
      </c>
      <c r="AB1222" s="477" t="str">
        <f>IF(AA1222=" "," ",IF(NOT(ISBLANK(X1222)),VLOOKUP($D$3+X1222,Calcs!$A$110:$C$122,3,TRUE),IF(AA1222="Failed",VLOOKUP($D$3,Calcs!$A$110:$C$122,3,TRUE),VLOOKUP($D$3-(IF((Character!$B$9+W1222)&gt;($D$3+Y1222),(Character!$B$9+W1222)-($D$3+Y1222),0)),Calcs!$A$110:$C$122,3,TRUE))))</f>
        <v xml:space="preserve"> </v>
      </c>
      <c r="AC1222" s="489"/>
      <c r="AD1222" s="489" t="str">
        <f>IF(IF(AA1222=" "," ",IF(NOT(ISBLANK(X1222)),VLOOKUP($D$3+X1222,Calcs!$A$110:$B$122,2,TRUE),IF(AA1222="Failed",VLOOKUP($D$3,Calcs!$A$110:$B$122,2,TRUE),VLOOKUP($D$3-(IF((Character!$B$9+W1222)&gt;($D$3+Y1222),(Character!$B$9+W1222)-($D$3+Y1222),0)),Calcs!$A$110:$B$122,2,TRUE))))=Calcs!$B$120,IF(ISBLANK(AC1222)," ",CONCATENATE(AC1222+7," Years")),IF(AA1222=" "," ",IF(NOT(ISBLANK(X1222)),VLOOKUP($D$3+X1222,Calcs!$A$110:$B$122,2,TRUE),IF(AA1222="Failed",VLOOKUP($D$3,Calcs!$A$110:$B$122,2,TRUE),VLOOKUP($D$3-(IF((Character!$B$9+W1222)&gt;($D$3+Y1222),(Character!$B$9+W1222)-($D$3+Y1222),0)),Calcs!$A$110:$B$122,2,TRUE)))))</f>
        <v xml:space="preserve"> </v>
      </c>
      <c r="AE1222" s="490"/>
      <c r="AF1222" s="879"/>
      <c r="AG1222" s="491"/>
    </row>
    <row r="1223" spans="1:33" x14ac:dyDescent="0.2">
      <c r="A1223" s="415">
        <f t="shared" si="36"/>
        <v>1515</v>
      </c>
      <c r="B1223" s="419" t="str">
        <f t="shared" si="37"/>
        <v>Autumn</v>
      </c>
      <c r="C1223" s="455"/>
      <c r="D1223" s="504"/>
      <c r="E1223" s="455"/>
      <c r="F1223" s="504"/>
      <c r="G1223" s="455"/>
      <c r="H1223" s="504"/>
      <c r="I1223" s="455"/>
      <c r="J1223" s="504"/>
      <c r="L1223" s="472"/>
      <c r="M1223" s="468"/>
      <c r="N1223" s="468"/>
      <c r="O1223" s="468"/>
      <c r="P1223" s="468"/>
      <c r="Q1223" s="473"/>
      <c r="R1223" s="477" t="str">
        <f>IF(AND(COUNTIF('Start Character'!$I$63:$M$77,"Twilight Prone")=1,NOT(ISERROR(FIND("Magical Botch",M1223)))),"Yes",IF(P1223&gt;1,"Yes","No"))</f>
        <v>No</v>
      </c>
      <c r="S1223" s="501"/>
      <c r="T1223" s="478"/>
      <c r="U1223" s="501"/>
      <c r="V1223" s="479" t="str">
        <f>IF(R1223="No","No Twilight",IF(T1223="Yes","Uncomprehended Twilight",IF((Character!$B$14+IF(Character!$B$53="Yes",0,Character!$B$53)+IF(Magic!$C$5="Yes",2,0)+ROUNDUP((Magic!$B$30+IF(Magic!$C$30="Yes",3,0))/5,0)+S1223)&gt;=($D$3+P1223+SUMIF(Character!$I$62:$I$66,"Enigmatic Wisdom",Character!$J$62:$J$66)+Q1223+U1223),"No Twilight","Twilight")))</f>
        <v>No Twilight</v>
      </c>
      <c r="W1223" s="483"/>
      <c r="X1223" s="478"/>
      <c r="Y1223" s="484"/>
      <c r="Z1223" s="478"/>
      <c r="AA1223" s="485" t="str">
        <f>IF(V1223="Uncomprehended Twilight","Failed",IF(OR(ISBLANK(W1223),ISBLANK(Y1223))," ",IF(NOT(ISBLANK(X1223)),"Failed",IF((W1223+Character!$B$9+SUMIF(Character!$I$62:$I$66,"Enigmatic Wisdom",Character!$J$62:$J$66))&gt;=IF(Z1223="Yes",0,(Y1223+D1218)),"Succeeded","Failed"))))</f>
        <v xml:space="preserve"> </v>
      </c>
      <c r="AB1223" s="477" t="str">
        <f>IF(AA1223=" "," ",IF(NOT(ISBLANK(X1223)),VLOOKUP($D$3+X1223,Calcs!$A$110:$C$122,3,TRUE),IF(AA1223="Failed",VLOOKUP($D$3,Calcs!$A$110:$C$122,3,TRUE),VLOOKUP($D$3-(IF((Character!$B$9+W1223)&gt;($D$3+Y1223),(Character!$B$9+W1223)-($D$3+Y1223),0)),Calcs!$A$110:$C$122,3,TRUE))))</f>
        <v xml:space="preserve"> </v>
      </c>
      <c r="AC1223" s="489"/>
      <c r="AD1223" s="489" t="str">
        <f>IF(IF(AA1223=" "," ",IF(NOT(ISBLANK(X1223)),VLOOKUP($D$3+X1223,Calcs!$A$110:$B$122,2,TRUE),IF(AA1223="Failed",VLOOKUP($D$3,Calcs!$A$110:$B$122,2,TRUE),VLOOKUP($D$3-(IF((Character!$B$9+W1223)&gt;($D$3+Y1223),(Character!$B$9+W1223)-($D$3+Y1223),0)),Calcs!$A$110:$B$122,2,TRUE))))=Calcs!$B$120,IF(ISBLANK(AC1223)," ",CONCATENATE(AC1223+7," Years")),IF(AA1223=" "," ",IF(NOT(ISBLANK(X1223)),VLOOKUP($D$3+X1223,Calcs!$A$110:$B$122,2,TRUE),IF(AA1223="Failed",VLOOKUP($D$3,Calcs!$A$110:$B$122,2,TRUE),VLOOKUP($D$3-(IF((Character!$B$9+W1223)&gt;($D$3+Y1223),(Character!$B$9+W1223)-($D$3+Y1223),0)),Calcs!$A$110:$B$122,2,TRUE)))))</f>
        <v xml:space="preserve"> </v>
      </c>
      <c r="AE1223" s="490"/>
      <c r="AF1223" s="879"/>
      <c r="AG1223" s="491"/>
    </row>
    <row r="1224" spans="1:33" x14ac:dyDescent="0.2">
      <c r="A1224" s="415">
        <f t="shared" si="36"/>
        <v>1516</v>
      </c>
      <c r="B1224" s="419" t="str">
        <f t="shared" si="37"/>
        <v>Winter</v>
      </c>
      <c r="C1224" s="455"/>
      <c r="D1224" s="504"/>
      <c r="E1224" s="455"/>
      <c r="F1224" s="504"/>
      <c r="G1224" s="455"/>
      <c r="H1224" s="504"/>
      <c r="I1224" s="455"/>
      <c r="J1224" s="504"/>
      <c r="L1224" s="472"/>
      <c r="M1224" s="468"/>
      <c r="N1224" s="468"/>
      <c r="O1224" s="468"/>
      <c r="P1224" s="468"/>
      <c r="Q1224" s="473"/>
      <c r="R1224" s="477" t="str">
        <f>IF(AND(COUNTIF('Start Character'!$I$63:$M$77,"Twilight Prone")=1,NOT(ISERROR(FIND("Magical Botch",M1224)))),"Yes",IF(P1224&gt;1,"Yes","No"))</f>
        <v>No</v>
      </c>
      <c r="S1224" s="501"/>
      <c r="T1224" s="478"/>
      <c r="U1224" s="501"/>
      <c r="V1224" s="479" t="str">
        <f>IF(R1224="No","No Twilight",IF(T1224="Yes","Uncomprehended Twilight",IF((Character!$B$14+IF(Character!$B$53="Yes",0,Character!$B$53)+IF(Magic!$C$5="Yes",2,0)+ROUNDUP((Magic!$B$30+IF(Magic!$C$30="Yes",3,0))/5,0)+S1224)&gt;=($D$3+P1224+SUMIF(Character!$I$62:$I$66,"Enigmatic Wisdom",Character!$J$62:$J$66)+Q1224+U1224),"No Twilight","Twilight")))</f>
        <v>No Twilight</v>
      </c>
      <c r="W1224" s="483"/>
      <c r="X1224" s="478"/>
      <c r="Y1224" s="484"/>
      <c r="Z1224" s="478"/>
      <c r="AA1224" s="485" t="str">
        <f>IF(V1224="Uncomprehended Twilight","Failed",IF(OR(ISBLANK(W1224),ISBLANK(Y1224))," ",IF(NOT(ISBLANK(X1224)),"Failed",IF((W1224+Character!$B$9+SUMIF(Character!$I$62:$I$66,"Enigmatic Wisdom",Character!$J$62:$J$66))&gt;=IF(Z1224="Yes",0,(Y1224+D1219)),"Succeeded","Failed"))))</f>
        <v xml:space="preserve"> </v>
      </c>
      <c r="AB1224" s="477" t="str">
        <f>IF(AA1224=" "," ",IF(NOT(ISBLANK(X1224)),VLOOKUP($D$3+X1224,Calcs!$A$110:$C$122,3,TRUE),IF(AA1224="Failed",VLOOKUP($D$3,Calcs!$A$110:$C$122,3,TRUE),VLOOKUP($D$3-(IF((Character!$B$9+W1224)&gt;($D$3+Y1224),(Character!$B$9+W1224)-($D$3+Y1224),0)),Calcs!$A$110:$C$122,3,TRUE))))</f>
        <v xml:space="preserve"> </v>
      </c>
      <c r="AC1224" s="489"/>
      <c r="AD1224" s="489" t="str">
        <f>IF(IF(AA1224=" "," ",IF(NOT(ISBLANK(X1224)),VLOOKUP($D$3+X1224,Calcs!$A$110:$B$122,2,TRUE),IF(AA1224="Failed",VLOOKUP($D$3,Calcs!$A$110:$B$122,2,TRUE),VLOOKUP($D$3-(IF((Character!$B$9+W1224)&gt;($D$3+Y1224),(Character!$B$9+W1224)-($D$3+Y1224),0)),Calcs!$A$110:$B$122,2,TRUE))))=Calcs!$B$120,IF(ISBLANK(AC1224)," ",CONCATENATE(AC1224+7," Years")),IF(AA1224=" "," ",IF(NOT(ISBLANK(X1224)),VLOOKUP($D$3+X1224,Calcs!$A$110:$B$122,2,TRUE),IF(AA1224="Failed",VLOOKUP($D$3,Calcs!$A$110:$B$122,2,TRUE),VLOOKUP($D$3-(IF((Character!$B$9+W1224)&gt;($D$3+Y1224),(Character!$B$9+W1224)-($D$3+Y1224),0)),Calcs!$A$110:$B$122,2,TRUE)))))</f>
        <v xml:space="preserve"> </v>
      </c>
      <c r="AE1224" s="490"/>
      <c r="AF1224" s="879"/>
      <c r="AG1224" s="491"/>
    </row>
    <row r="1225" spans="1:33" x14ac:dyDescent="0.2">
      <c r="A1225" s="415">
        <f t="shared" si="36"/>
        <v>1516</v>
      </c>
      <c r="B1225" s="419" t="str">
        <f t="shared" si="37"/>
        <v>Spring</v>
      </c>
      <c r="C1225" s="455"/>
      <c r="D1225" s="504"/>
      <c r="E1225" s="455"/>
      <c r="F1225" s="504"/>
      <c r="G1225" s="455"/>
      <c r="H1225" s="504"/>
      <c r="I1225" s="455"/>
      <c r="J1225" s="504"/>
      <c r="L1225" s="472"/>
      <c r="M1225" s="468"/>
      <c r="N1225" s="468"/>
      <c r="O1225" s="468"/>
      <c r="P1225" s="468"/>
      <c r="Q1225" s="473"/>
      <c r="R1225" s="477" t="str">
        <f>IF(AND(COUNTIF('Start Character'!$I$63:$M$77,"Twilight Prone")=1,NOT(ISERROR(FIND("Magical Botch",M1225)))),"Yes",IF(P1225&gt;1,"Yes","No"))</f>
        <v>No</v>
      </c>
      <c r="S1225" s="501"/>
      <c r="T1225" s="478"/>
      <c r="U1225" s="501"/>
      <c r="V1225" s="479" t="str">
        <f>IF(R1225="No","No Twilight",IF(T1225="Yes","Uncomprehended Twilight",IF((Character!$B$14+IF(Character!$B$53="Yes",0,Character!$B$53)+IF(Magic!$C$5="Yes",2,0)+ROUNDUP((Magic!$B$30+IF(Magic!$C$30="Yes",3,0))/5,0)+S1225)&gt;=($D$3+P1225+SUMIF(Character!$I$62:$I$66,"Enigmatic Wisdom",Character!$J$62:$J$66)+Q1225+U1225),"No Twilight","Twilight")))</f>
        <v>No Twilight</v>
      </c>
      <c r="W1225" s="483"/>
      <c r="X1225" s="478"/>
      <c r="Y1225" s="484"/>
      <c r="Z1225" s="478"/>
      <c r="AA1225" s="485" t="str">
        <f>IF(V1225="Uncomprehended Twilight","Failed",IF(OR(ISBLANK(W1225),ISBLANK(Y1225))," ",IF(NOT(ISBLANK(X1225)),"Failed",IF((W1225+Character!$B$9+SUMIF(Character!$I$62:$I$66,"Enigmatic Wisdom",Character!$J$62:$J$66))&gt;=IF(Z1225="Yes",0,(Y1225+D1220)),"Succeeded","Failed"))))</f>
        <v xml:space="preserve"> </v>
      </c>
      <c r="AB1225" s="477" t="str">
        <f>IF(AA1225=" "," ",IF(NOT(ISBLANK(X1225)),VLOOKUP($D$3+X1225,Calcs!$A$110:$C$122,3,TRUE),IF(AA1225="Failed",VLOOKUP($D$3,Calcs!$A$110:$C$122,3,TRUE),VLOOKUP($D$3-(IF((Character!$B$9+W1225)&gt;($D$3+Y1225),(Character!$B$9+W1225)-($D$3+Y1225),0)),Calcs!$A$110:$C$122,3,TRUE))))</f>
        <v xml:space="preserve"> </v>
      </c>
      <c r="AC1225" s="489"/>
      <c r="AD1225" s="489" t="str">
        <f>IF(IF(AA1225=" "," ",IF(NOT(ISBLANK(X1225)),VLOOKUP($D$3+X1225,Calcs!$A$110:$B$122,2,TRUE),IF(AA1225="Failed",VLOOKUP($D$3,Calcs!$A$110:$B$122,2,TRUE),VLOOKUP($D$3-(IF((Character!$B$9+W1225)&gt;($D$3+Y1225),(Character!$B$9+W1225)-($D$3+Y1225),0)),Calcs!$A$110:$B$122,2,TRUE))))=Calcs!$B$120,IF(ISBLANK(AC1225)," ",CONCATENATE(AC1225+7," Years")),IF(AA1225=" "," ",IF(NOT(ISBLANK(X1225)),VLOOKUP($D$3+X1225,Calcs!$A$110:$B$122,2,TRUE),IF(AA1225="Failed",VLOOKUP($D$3,Calcs!$A$110:$B$122,2,TRUE),VLOOKUP($D$3-(IF((Character!$B$9+W1225)&gt;($D$3+Y1225),(Character!$B$9+W1225)-($D$3+Y1225),0)),Calcs!$A$110:$B$122,2,TRUE)))))</f>
        <v xml:space="preserve"> </v>
      </c>
      <c r="AE1225" s="490"/>
      <c r="AF1225" s="879"/>
      <c r="AG1225" s="491"/>
    </row>
    <row r="1226" spans="1:33" x14ac:dyDescent="0.2">
      <c r="A1226" s="415">
        <f t="shared" si="36"/>
        <v>1516</v>
      </c>
      <c r="B1226" s="419" t="str">
        <f t="shared" si="37"/>
        <v>Summer</v>
      </c>
      <c r="C1226" s="455"/>
      <c r="D1226" s="504"/>
      <c r="E1226" s="455"/>
      <c r="F1226" s="504"/>
      <c r="G1226" s="455"/>
      <c r="H1226" s="504"/>
      <c r="I1226" s="455"/>
      <c r="J1226" s="504"/>
      <c r="L1226" s="472"/>
      <c r="M1226" s="468"/>
      <c r="N1226" s="468"/>
      <c r="O1226" s="468"/>
      <c r="P1226" s="468"/>
      <c r="Q1226" s="473"/>
      <c r="R1226" s="477" t="str">
        <f>IF(AND(COUNTIF('Start Character'!$I$63:$M$77,"Twilight Prone")=1,NOT(ISERROR(FIND("Magical Botch",M1226)))),"Yes",IF(P1226&gt;1,"Yes","No"))</f>
        <v>No</v>
      </c>
      <c r="S1226" s="501"/>
      <c r="T1226" s="478"/>
      <c r="U1226" s="501"/>
      <c r="V1226" s="479" t="str">
        <f>IF(R1226="No","No Twilight",IF(T1226="Yes","Uncomprehended Twilight",IF((Character!$B$14+IF(Character!$B$53="Yes",0,Character!$B$53)+IF(Magic!$C$5="Yes",2,0)+ROUNDUP((Magic!$B$30+IF(Magic!$C$30="Yes",3,0))/5,0)+S1226)&gt;=($D$3+P1226+SUMIF(Character!$I$62:$I$66,"Enigmatic Wisdom",Character!$J$62:$J$66)+Q1226+U1226),"No Twilight","Twilight")))</f>
        <v>No Twilight</v>
      </c>
      <c r="W1226" s="483"/>
      <c r="X1226" s="478"/>
      <c r="Y1226" s="484"/>
      <c r="Z1226" s="478"/>
      <c r="AA1226" s="485" t="str">
        <f>IF(V1226="Uncomprehended Twilight","Failed",IF(OR(ISBLANK(W1226),ISBLANK(Y1226))," ",IF(NOT(ISBLANK(X1226)),"Failed",IF((W1226+Character!$B$9+SUMIF(Character!$I$62:$I$66,"Enigmatic Wisdom",Character!$J$62:$J$66))&gt;=IF(Z1226="Yes",0,(Y1226+D1221)),"Succeeded","Failed"))))</f>
        <v xml:space="preserve"> </v>
      </c>
      <c r="AB1226" s="477" t="str">
        <f>IF(AA1226=" "," ",IF(NOT(ISBLANK(X1226)),VLOOKUP($D$3+X1226,Calcs!$A$110:$C$122,3,TRUE),IF(AA1226="Failed",VLOOKUP($D$3,Calcs!$A$110:$C$122,3,TRUE),VLOOKUP($D$3-(IF((Character!$B$9+W1226)&gt;($D$3+Y1226),(Character!$B$9+W1226)-($D$3+Y1226),0)),Calcs!$A$110:$C$122,3,TRUE))))</f>
        <v xml:space="preserve"> </v>
      </c>
      <c r="AC1226" s="489"/>
      <c r="AD1226" s="489" t="str">
        <f>IF(IF(AA1226=" "," ",IF(NOT(ISBLANK(X1226)),VLOOKUP($D$3+X1226,Calcs!$A$110:$B$122,2,TRUE),IF(AA1226="Failed",VLOOKUP($D$3,Calcs!$A$110:$B$122,2,TRUE),VLOOKUP($D$3-(IF((Character!$B$9+W1226)&gt;($D$3+Y1226),(Character!$B$9+W1226)-($D$3+Y1226),0)),Calcs!$A$110:$B$122,2,TRUE))))=Calcs!$B$120,IF(ISBLANK(AC1226)," ",CONCATENATE(AC1226+7," Years")),IF(AA1226=" "," ",IF(NOT(ISBLANK(X1226)),VLOOKUP($D$3+X1226,Calcs!$A$110:$B$122,2,TRUE),IF(AA1226="Failed",VLOOKUP($D$3,Calcs!$A$110:$B$122,2,TRUE),VLOOKUP($D$3-(IF((Character!$B$9+W1226)&gt;($D$3+Y1226),(Character!$B$9+W1226)-($D$3+Y1226),0)),Calcs!$A$110:$B$122,2,TRUE)))))</f>
        <v xml:space="preserve"> </v>
      </c>
      <c r="AE1226" s="490"/>
      <c r="AF1226" s="879"/>
      <c r="AG1226" s="491"/>
    </row>
    <row r="1227" spans="1:33" x14ac:dyDescent="0.2">
      <c r="A1227" s="415">
        <f t="shared" si="36"/>
        <v>1516</v>
      </c>
      <c r="B1227" s="419" t="str">
        <f t="shared" si="37"/>
        <v>Autumn</v>
      </c>
      <c r="C1227" s="455"/>
      <c r="D1227" s="504"/>
      <c r="E1227" s="455"/>
      <c r="F1227" s="504"/>
      <c r="G1227" s="455"/>
      <c r="H1227" s="504"/>
      <c r="I1227" s="455"/>
      <c r="J1227" s="504"/>
      <c r="L1227" s="472"/>
      <c r="M1227" s="468"/>
      <c r="N1227" s="468"/>
      <c r="O1227" s="468"/>
      <c r="P1227" s="468"/>
      <c r="Q1227" s="473"/>
      <c r="R1227" s="477" t="str">
        <f>IF(AND(COUNTIF('Start Character'!$I$63:$M$77,"Twilight Prone")=1,NOT(ISERROR(FIND("Magical Botch",M1227)))),"Yes",IF(P1227&gt;1,"Yes","No"))</f>
        <v>No</v>
      </c>
      <c r="S1227" s="501"/>
      <c r="T1227" s="478"/>
      <c r="U1227" s="501"/>
      <c r="V1227" s="479" t="str">
        <f>IF(R1227="No","No Twilight",IF(T1227="Yes","Uncomprehended Twilight",IF((Character!$B$14+IF(Character!$B$53="Yes",0,Character!$B$53)+IF(Magic!$C$5="Yes",2,0)+ROUNDUP((Magic!$B$30+IF(Magic!$C$30="Yes",3,0))/5,0)+S1227)&gt;=($D$3+P1227+SUMIF(Character!$I$62:$I$66,"Enigmatic Wisdom",Character!$J$62:$J$66)+Q1227+U1227),"No Twilight","Twilight")))</f>
        <v>No Twilight</v>
      </c>
      <c r="W1227" s="483"/>
      <c r="X1227" s="478"/>
      <c r="Y1227" s="484"/>
      <c r="Z1227" s="478"/>
      <c r="AA1227" s="485" t="str">
        <f>IF(V1227="Uncomprehended Twilight","Failed",IF(OR(ISBLANK(W1227),ISBLANK(Y1227))," ",IF(NOT(ISBLANK(X1227)),"Failed",IF((W1227+Character!$B$9+SUMIF(Character!$I$62:$I$66,"Enigmatic Wisdom",Character!$J$62:$J$66))&gt;=IF(Z1227="Yes",0,(Y1227+D1222)),"Succeeded","Failed"))))</f>
        <v xml:space="preserve"> </v>
      </c>
      <c r="AB1227" s="477" t="str">
        <f>IF(AA1227=" "," ",IF(NOT(ISBLANK(X1227)),VLOOKUP($D$3+X1227,Calcs!$A$110:$C$122,3,TRUE),IF(AA1227="Failed",VLOOKUP($D$3,Calcs!$A$110:$C$122,3,TRUE),VLOOKUP($D$3-(IF((Character!$B$9+W1227)&gt;($D$3+Y1227),(Character!$B$9+W1227)-($D$3+Y1227),0)),Calcs!$A$110:$C$122,3,TRUE))))</f>
        <v xml:space="preserve"> </v>
      </c>
      <c r="AC1227" s="489"/>
      <c r="AD1227" s="489" t="str">
        <f>IF(IF(AA1227=" "," ",IF(NOT(ISBLANK(X1227)),VLOOKUP($D$3+X1227,Calcs!$A$110:$B$122,2,TRUE),IF(AA1227="Failed",VLOOKUP($D$3,Calcs!$A$110:$B$122,2,TRUE),VLOOKUP($D$3-(IF((Character!$B$9+W1227)&gt;($D$3+Y1227),(Character!$B$9+W1227)-($D$3+Y1227),0)),Calcs!$A$110:$B$122,2,TRUE))))=Calcs!$B$120,IF(ISBLANK(AC1227)," ",CONCATENATE(AC1227+7," Years")),IF(AA1227=" "," ",IF(NOT(ISBLANK(X1227)),VLOOKUP($D$3+X1227,Calcs!$A$110:$B$122,2,TRUE),IF(AA1227="Failed",VLOOKUP($D$3,Calcs!$A$110:$B$122,2,TRUE),VLOOKUP($D$3-(IF((Character!$B$9+W1227)&gt;($D$3+Y1227),(Character!$B$9+W1227)-($D$3+Y1227),0)),Calcs!$A$110:$B$122,2,TRUE)))))</f>
        <v xml:space="preserve"> </v>
      </c>
      <c r="AE1227" s="490"/>
      <c r="AF1227" s="879"/>
      <c r="AG1227" s="491"/>
    </row>
    <row r="1228" spans="1:33" x14ac:dyDescent="0.2">
      <c r="A1228" s="415">
        <f t="shared" si="36"/>
        <v>1517</v>
      </c>
      <c r="B1228" s="419" t="str">
        <f t="shared" si="37"/>
        <v>Winter</v>
      </c>
      <c r="C1228" s="455"/>
      <c r="D1228" s="504"/>
      <c r="E1228" s="455"/>
      <c r="F1228" s="504"/>
      <c r="G1228" s="455"/>
      <c r="H1228" s="504"/>
      <c r="I1228" s="455"/>
      <c r="J1228" s="504"/>
      <c r="L1228" s="472"/>
      <c r="M1228" s="468"/>
      <c r="N1228" s="468"/>
      <c r="O1228" s="468"/>
      <c r="P1228" s="468"/>
      <c r="Q1228" s="473"/>
      <c r="R1228" s="477" t="str">
        <f>IF(AND(COUNTIF('Start Character'!$I$63:$M$77,"Twilight Prone")=1,NOT(ISERROR(FIND("Magical Botch",M1228)))),"Yes",IF(P1228&gt;1,"Yes","No"))</f>
        <v>No</v>
      </c>
      <c r="S1228" s="501"/>
      <c r="T1228" s="478"/>
      <c r="U1228" s="501"/>
      <c r="V1228" s="479" t="str">
        <f>IF(R1228="No","No Twilight",IF(T1228="Yes","Uncomprehended Twilight",IF((Character!$B$14+IF(Character!$B$53="Yes",0,Character!$B$53)+IF(Magic!$C$5="Yes",2,0)+ROUNDUP((Magic!$B$30+IF(Magic!$C$30="Yes",3,0))/5,0)+S1228)&gt;=($D$3+P1228+SUMIF(Character!$I$62:$I$66,"Enigmatic Wisdom",Character!$J$62:$J$66)+Q1228+U1228),"No Twilight","Twilight")))</f>
        <v>No Twilight</v>
      </c>
      <c r="W1228" s="483"/>
      <c r="X1228" s="478"/>
      <c r="Y1228" s="484"/>
      <c r="Z1228" s="478"/>
      <c r="AA1228" s="485" t="str">
        <f>IF(V1228="Uncomprehended Twilight","Failed",IF(OR(ISBLANK(W1228),ISBLANK(Y1228))," ",IF(NOT(ISBLANK(X1228)),"Failed",IF((W1228+Character!$B$9+SUMIF(Character!$I$62:$I$66,"Enigmatic Wisdom",Character!$J$62:$J$66))&gt;=IF(Z1228="Yes",0,(Y1228+D1223)),"Succeeded","Failed"))))</f>
        <v xml:space="preserve"> </v>
      </c>
      <c r="AB1228" s="477" t="str">
        <f>IF(AA1228=" "," ",IF(NOT(ISBLANK(X1228)),VLOOKUP($D$3+X1228,Calcs!$A$110:$C$122,3,TRUE),IF(AA1228="Failed",VLOOKUP($D$3,Calcs!$A$110:$C$122,3,TRUE),VLOOKUP($D$3-(IF((Character!$B$9+W1228)&gt;($D$3+Y1228),(Character!$B$9+W1228)-($D$3+Y1228),0)),Calcs!$A$110:$C$122,3,TRUE))))</f>
        <v xml:space="preserve"> </v>
      </c>
      <c r="AC1228" s="489"/>
      <c r="AD1228" s="489" t="str">
        <f>IF(IF(AA1228=" "," ",IF(NOT(ISBLANK(X1228)),VLOOKUP($D$3+X1228,Calcs!$A$110:$B$122,2,TRUE),IF(AA1228="Failed",VLOOKUP($D$3,Calcs!$A$110:$B$122,2,TRUE),VLOOKUP($D$3-(IF((Character!$B$9+W1228)&gt;($D$3+Y1228),(Character!$B$9+W1228)-($D$3+Y1228),0)),Calcs!$A$110:$B$122,2,TRUE))))=Calcs!$B$120,IF(ISBLANK(AC1228)," ",CONCATENATE(AC1228+7," Years")),IF(AA1228=" "," ",IF(NOT(ISBLANK(X1228)),VLOOKUP($D$3+X1228,Calcs!$A$110:$B$122,2,TRUE),IF(AA1228="Failed",VLOOKUP($D$3,Calcs!$A$110:$B$122,2,TRUE),VLOOKUP($D$3-(IF((Character!$B$9+W1228)&gt;($D$3+Y1228),(Character!$B$9+W1228)-($D$3+Y1228),0)),Calcs!$A$110:$B$122,2,TRUE)))))</f>
        <v xml:space="preserve"> </v>
      </c>
      <c r="AE1228" s="490"/>
      <c r="AF1228" s="879"/>
      <c r="AG1228" s="491"/>
    </row>
    <row r="1229" spans="1:33" x14ac:dyDescent="0.2">
      <c r="A1229" s="415">
        <f t="shared" si="36"/>
        <v>1517</v>
      </c>
      <c r="B1229" s="419" t="str">
        <f t="shared" si="37"/>
        <v>Spring</v>
      </c>
      <c r="C1229" s="455"/>
      <c r="D1229" s="504"/>
      <c r="E1229" s="455"/>
      <c r="F1229" s="504"/>
      <c r="G1229" s="455"/>
      <c r="H1229" s="504"/>
      <c r="I1229" s="455"/>
      <c r="J1229" s="504"/>
      <c r="L1229" s="472"/>
      <c r="M1229" s="468"/>
      <c r="N1229" s="468"/>
      <c r="O1229" s="468"/>
      <c r="P1229" s="468"/>
      <c r="Q1229" s="473"/>
      <c r="R1229" s="477" t="str">
        <f>IF(AND(COUNTIF('Start Character'!$I$63:$M$77,"Twilight Prone")=1,NOT(ISERROR(FIND("Magical Botch",M1229)))),"Yes",IF(P1229&gt;1,"Yes","No"))</f>
        <v>No</v>
      </c>
      <c r="S1229" s="501"/>
      <c r="T1229" s="478"/>
      <c r="U1229" s="501"/>
      <c r="V1229" s="479" t="str">
        <f>IF(R1229="No","No Twilight",IF(T1229="Yes","Uncomprehended Twilight",IF((Character!$B$14+IF(Character!$B$53="Yes",0,Character!$B$53)+IF(Magic!$C$5="Yes",2,0)+ROUNDUP((Magic!$B$30+IF(Magic!$C$30="Yes",3,0))/5,0)+S1229)&gt;=($D$3+P1229+SUMIF(Character!$I$62:$I$66,"Enigmatic Wisdom",Character!$J$62:$J$66)+Q1229+U1229),"No Twilight","Twilight")))</f>
        <v>No Twilight</v>
      </c>
      <c r="W1229" s="483"/>
      <c r="X1229" s="478"/>
      <c r="Y1229" s="484"/>
      <c r="Z1229" s="478"/>
      <c r="AA1229" s="485" t="str">
        <f>IF(V1229="Uncomprehended Twilight","Failed",IF(OR(ISBLANK(W1229),ISBLANK(Y1229))," ",IF(NOT(ISBLANK(X1229)),"Failed",IF((W1229+Character!$B$9+SUMIF(Character!$I$62:$I$66,"Enigmatic Wisdom",Character!$J$62:$J$66))&gt;=IF(Z1229="Yes",0,(Y1229+D1224)),"Succeeded","Failed"))))</f>
        <v xml:space="preserve"> </v>
      </c>
      <c r="AB1229" s="477" t="str">
        <f>IF(AA1229=" "," ",IF(NOT(ISBLANK(X1229)),VLOOKUP($D$3+X1229,Calcs!$A$110:$C$122,3,TRUE),IF(AA1229="Failed",VLOOKUP($D$3,Calcs!$A$110:$C$122,3,TRUE),VLOOKUP($D$3-(IF((Character!$B$9+W1229)&gt;($D$3+Y1229),(Character!$B$9+W1229)-($D$3+Y1229),0)),Calcs!$A$110:$C$122,3,TRUE))))</f>
        <v xml:space="preserve"> </v>
      </c>
      <c r="AC1229" s="489"/>
      <c r="AD1229" s="489" t="str">
        <f>IF(IF(AA1229=" "," ",IF(NOT(ISBLANK(X1229)),VLOOKUP($D$3+X1229,Calcs!$A$110:$B$122,2,TRUE),IF(AA1229="Failed",VLOOKUP($D$3,Calcs!$A$110:$B$122,2,TRUE),VLOOKUP($D$3-(IF((Character!$B$9+W1229)&gt;($D$3+Y1229),(Character!$B$9+W1229)-($D$3+Y1229),0)),Calcs!$A$110:$B$122,2,TRUE))))=Calcs!$B$120,IF(ISBLANK(AC1229)," ",CONCATENATE(AC1229+7," Years")),IF(AA1229=" "," ",IF(NOT(ISBLANK(X1229)),VLOOKUP($D$3+X1229,Calcs!$A$110:$B$122,2,TRUE),IF(AA1229="Failed",VLOOKUP($D$3,Calcs!$A$110:$B$122,2,TRUE),VLOOKUP($D$3-(IF((Character!$B$9+W1229)&gt;($D$3+Y1229),(Character!$B$9+W1229)-($D$3+Y1229),0)),Calcs!$A$110:$B$122,2,TRUE)))))</f>
        <v xml:space="preserve"> </v>
      </c>
      <c r="AE1229" s="490"/>
      <c r="AF1229" s="879"/>
      <c r="AG1229" s="491"/>
    </row>
    <row r="1230" spans="1:33" x14ac:dyDescent="0.2">
      <c r="A1230" s="415">
        <f t="shared" si="36"/>
        <v>1517</v>
      </c>
      <c r="B1230" s="419" t="str">
        <f t="shared" si="37"/>
        <v>Summer</v>
      </c>
      <c r="C1230" s="455"/>
      <c r="D1230" s="504"/>
      <c r="E1230" s="455"/>
      <c r="F1230" s="504"/>
      <c r="G1230" s="455"/>
      <c r="H1230" s="504"/>
      <c r="I1230" s="455"/>
      <c r="J1230" s="504"/>
      <c r="L1230" s="472"/>
      <c r="M1230" s="468"/>
      <c r="N1230" s="468"/>
      <c r="O1230" s="468"/>
      <c r="P1230" s="468"/>
      <c r="Q1230" s="473"/>
      <c r="R1230" s="477" t="str">
        <f>IF(AND(COUNTIF('Start Character'!$I$63:$M$77,"Twilight Prone")=1,NOT(ISERROR(FIND("Magical Botch",M1230)))),"Yes",IF(P1230&gt;1,"Yes","No"))</f>
        <v>No</v>
      </c>
      <c r="S1230" s="501"/>
      <c r="T1230" s="478"/>
      <c r="U1230" s="501"/>
      <c r="V1230" s="479" t="str">
        <f>IF(R1230="No","No Twilight",IF(T1230="Yes","Uncomprehended Twilight",IF((Character!$B$14+IF(Character!$B$53="Yes",0,Character!$B$53)+IF(Magic!$C$5="Yes",2,0)+ROUNDUP((Magic!$B$30+IF(Magic!$C$30="Yes",3,0))/5,0)+S1230)&gt;=($D$3+P1230+SUMIF(Character!$I$62:$I$66,"Enigmatic Wisdom",Character!$J$62:$J$66)+Q1230+U1230),"No Twilight","Twilight")))</f>
        <v>No Twilight</v>
      </c>
      <c r="W1230" s="483"/>
      <c r="X1230" s="478"/>
      <c r="Y1230" s="484"/>
      <c r="Z1230" s="478"/>
      <c r="AA1230" s="485" t="str">
        <f>IF(V1230="Uncomprehended Twilight","Failed",IF(OR(ISBLANK(W1230),ISBLANK(Y1230))," ",IF(NOT(ISBLANK(X1230)),"Failed",IF((W1230+Character!$B$9+SUMIF(Character!$I$62:$I$66,"Enigmatic Wisdom",Character!$J$62:$J$66))&gt;=IF(Z1230="Yes",0,(Y1230+D1225)),"Succeeded","Failed"))))</f>
        <v xml:space="preserve"> </v>
      </c>
      <c r="AB1230" s="477" t="str">
        <f>IF(AA1230=" "," ",IF(NOT(ISBLANK(X1230)),VLOOKUP($D$3+X1230,Calcs!$A$110:$C$122,3,TRUE),IF(AA1230="Failed",VLOOKUP($D$3,Calcs!$A$110:$C$122,3,TRUE),VLOOKUP($D$3-(IF((Character!$B$9+W1230)&gt;($D$3+Y1230),(Character!$B$9+W1230)-($D$3+Y1230),0)),Calcs!$A$110:$C$122,3,TRUE))))</f>
        <v xml:space="preserve"> </v>
      </c>
      <c r="AC1230" s="489"/>
      <c r="AD1230" s="489" t="str">
        <f>IF(IF(AA1230=" "," ",IF(NOT(ISBLANK(X1230)),VLOOKUP($D$3+X1230,Calcs!$A$110:$B$122,2,TRUE),IF(AA1230="Failed",VLOOKUP($D$3,Calcs!$A$110:$B$122,2,TRUE),VLOOKUP($D$3-(IF((Character!$B$9+W1230)&gt;($D$3+Y1230),(Character!$B$9+W1230)-($D$3+Y1230),0)),Calcs!$A$110:$B$122,2,TRUE))))=Calcs!$B$120,IF(ISBLANK(AC1230)," ",CONCATENATE(AC1230+7," Years")),IF(AA1230=" "," ",IF(NOT(ISBLANK(X1230)),VLOOKUP($D$3+X1230,Calcs!$A$110:$B$122,2,TRUE),IF(AA1230="Failed",VLOOKUP($D$3,Calcs!$A$110:$B$122,2,TRUE),VLOOKUP($D$3-(IF((Character!$B$9+W1230)&gt;($D$3+Y1230),(Character!$B$9+W1230)-($D$3+Y1230),0)),Calcs!$A$110:$B$122,2,TRUE)))))</f>
        <v xml:space="preserve"> </v>
      </c>
      <c r="AE1230" s="490"/>
      <c r="AF1230" s="879"/>
      <c r="AG1230" s="491"/>
    </row>
    <row r="1231" spans="1:33" x14ac:dyDescent="0.2">
      <c r="A1231" s="415">
        <f t="shared" si="36"/>
        <v>1517</v>
      </c>
      <c r="B1231" s="419" t="str">
        <f t="shared" si="37"/>
        <v>Autumn</v>
      </c>
      <c r="C1231" s="455"/>
      <c r="D1231" s="504"/>
      <c r="E1231" s="455"/>
      <c r="F1231" s="504"/>
      <c r="G1231" s="455"/>
      <c r="H1231" s="504"/>
      <c r="I1231" s="455"/>
      <c r="J1231" s="504"/>
      <c r="L1231" s="472"/>
      <c r="M1231" s="468"/>
      <c r="N1231" s="468"/>
      <c r="O1231" s="468"/>
      <c r="P1231" s="468"/>
      <c r="Q1231" s="473"/>
      <c r="R1231" s="477" t="str">
        <f>IF(AND(COUNTIF('Start Character'!$I$63:$M$77,"Twilight Prone")=1,NOT(ISERROR(FIND("Magical Botch",M1231)))),"Yes",IF(P1231&gt;1,"Yes","No"))</f>
        <v>No</v>
      </c>
      <c r="S1231" s="501"/>
      <c r="T1231" s="478"/>
      <c r="U1231" s="501"/>
      <c r="V1231" s="479" t="str">
        <f>IF(R1231="No","No Twilight",IF(T1231="Yes","Uncomprehended Twilight",IF((Character!$B$14+IF(Character!$B$53="Yes",0,Character!$B$53)+IF(Magic!$C$5="Yes",2,0)+ROUNDUP((Magic!$B$30+IF(Magic!$C$30="Yes",3,0))/5,0)+S1231)&gt;=($D$3+P1231+SUMIF(Character!$I$62:$I$66,"Enigmatic Wisdom",Character!$J$62:$J$66)+Q1231+U1231),"No Twilight","Twilight")))</f>
        <v>No Twilight</v>
      </c>
      <c r="W1231" s="483"/>
      <c r="X1231" s="478"/>
      <c r="Y1231" s="484"/>
      <c r="Z1231" s="478"/>
      <c r="AA1231" s="485" t="str">
        <f>IF(V1231="Uncomprehended Twilight","Failed",IF(OR(ISBLANK(W1231),ISBLANK(Y1231))," ",IF(NOT(ISBLANK(X1231)),"Failed",IF((W1231+Character!$B$9+SUMIF(Character!$I$62:$I$66,"Enigmatic Wisdom",Character!$J$62:$J$66))&gt;=IF(Z1231="Yes",0,(Y1231+D1226)),"Succeeded","Failed"))))</f>
        <v xml:space="preserve"> </v>
      </c>
      <c r="AB1231" s="477" t="str">
        <f>IF(AA1231=" "," ",IF(NOT(ISBLANK(X1231)),VLOOKUP($D$3+X1231,Calcs!$A$110:$C$122,3,TRUE),IF(AA1231="Failed",VLOOKUP($D$3,Calcs!$A$110:$C$122,3,TRUE),VLOOKUP($D$3-(IF((Character!$B$9+W1231)&gt;($D$3+Y1231),(Character!$B$9+W1231)-($D$3+Y1231),0)),Calcs!$A$110:$C$122,3,TRUE))))</f>
        <v xml:space="preserve"> </v>
      </c>
      <c r="AC1231" s="489"/>
      <c r="AD1231" s="489" t="str">
        <f>IF(IF(AA1231=" "," ",IF(NOT(ISBLANK(X1231)),VLOOKUP($D$3+X1231,Calcs!$A$110:$B$122,2,TRUE),IF(AA1231="Failed",VLOOKUP($D$3,Calcs!$A$110:$B$122,2,TRUE),VLOOKUP($D$3-(IF((Character!$B$9+W1231)&gt;($D$3+Y1231),(Character!$B$9+W1231)-($D$3+Y1231),0)),Calcs!$A$110:$B$122,2,TRUE))))=Calcs!$B$120,IF(ISBLANK(AC1231)," ",CONCATENATE(AC1231+7," Years")),IF(AA1231=" "," ",IF(NOT(ISBLANK(X1231)),VLOOKUP($D$3+X1231,Calcs!$A$110:$B$122,2,TRUE),IF(AA1231="Failed",VLOOKUP($D$3,Calcs!$A$110:$B$122,2,TRUE),VLOOKUP($D$3-(IF((Character!$B$9+W1231)&gt;($D$3+Y1231),(Character!$B$9+W1231)-($D$3+Y1231),0)),Calcs!$A$110:$B$122,2,TRUE)))))</f>
        <v xml:space="preserve"> </v>
      </c>
      <c r="AE1231" s="490"/>
      <c r="AF1231" s="879"/>
      <c r="AG1231" s="491"/>
    </row>
    <row r="1232" spans="1:33" x14ac:dyDescent="0.2">
      <c r="A1232" s="415">
        <f t="shared" si="36"/>
        <v>1518</v>
      </c>
      <c r="B1232" s="419" t="str">
        <f t="shared" si="37"/>
        <v>Winter</v>
      </c>
      <c r="C1232" s="455"/>
      <c r="D1232" s="504"/>
      <c r="E1232" s="455"/>
      <c r="F1232" s="504"/>
      <c r="G1232" s="455"/>
      <c r="H1232" s="504"/>
      <c r="I1232" s="455"/>
      <c r="J1232" s="504"/>
      <c r="L1232" s="472"/>
      <c r="M1232" s="468"/>
      <c r="N1232" s="468"/>
      <c r="O1232" s="468"/>
      <c r="P1232" s="468"/>
      <c r="Q1232" s="473"/>
      <c r="R1232" s="477" t="str">
        <f>IF(AND(COUNTIF('Start Character'!$I$63:$M$77,"Twilight Prone")=1,NOT(ISERROR(FIND("Magical Botch",M1232)))),"Yes",IF(P1232&gt;1,"Yes","No"))</f>
        <v>No</v>
      </c>
      <c r="S1232" s="501"/>
      <c r="T1232" s="478"/>
      <c r="U1232" s="501"/>
      <c r="V1232" s="479" t="str">
        <f>IF(R1232="No","No Twilight",IF(T1232="Yes","Uncomprehended Twilight",IF((Character!$B$14+IF(Character!$B$53="Yes",0,Character!$B$53)+IF(Magic!$C$5="Yes",2,0)+ROUNDUP((Magic!$B$30+IF(Magic!$C$30="Yes",3,0))/5,0)+S1232)&gt;=($D$3+P1232+SUMIF(Character!$I$62:$I$66,"Enigmatic Wisdom",Character!$J$62:$J$66)+Q1232+U1232),"No Twilight","Twilight")))</f>
        <v>No Twilight</v>
      </c>
      <c r="W1232" s="483"/>
      <c r="X1232" s="478"/>
      <c r="Y1232" s="484"/>
      <c r="Z1232" s="478"/>
      <c r="AA1232" s="485" t="str">
        <f>IF(V1232="Uncomprehended Twilight","Failed",IF(OR(ISBLANK(W1232),ISBLANK(Y1232))," ",IF(NOT(ISBLANK(X1232)),"Failed",IF((W1232+Character!$B$9+SUMIF(Character!$I$62:$I$66,"Enigmatic Wisdom",Character!$J$62:$J$66))&gt;=IF(Z1232="Yes",0,(Y1232+D1227)),"Succeeded","Failed"))))</f>
        <v xml:space="preserve"> </v>
      </c>
      <c r="AB1232" s="477" t="str">
        <f>IF(AA1232=" "," ",IF(NOT(ISBLANK(X1232)),VLOOKUP($D$3+X1232,Calcs!$A$110:$C$122,3,TRUE),IF(AA1232="Failed",VLOOKUP($D$3,Calcs!$A$110:$C$122,3,TRUE),VLOOKUP($D$3-(IF((Character!$B$9+W1232)&gt;($D$3+Y1232),(Character!$B$9+W1232)-($D$3+Y1232),0)),Calcs!$A$110:$C$122,3,TRUE))))</f>
        <v xml:space="preserve"> </v>
      </c>
      <c r="AC1232" s="489"/>
      <c r="AD1232" s="489" t="str">
        <f>IF(IF(AA1232=" "," ",IF(NOT(ISBLANK(X1232)),VLOOKUP($D$3+X1232,Calcs!$A$110:$B$122,2,TRUE),IF(AA1232="Failed",VLOOKUP($D$3,Calcs!$A$110:$B$122,2,TRUE),VLOOKUP($D$3-(IF((Character!$B$9+W1232)&gt;($D$3+Y1232),(Character!$B$9+W1232)-($D$3+Y1232),0)),Calcs!$A$110:$B$122,2,TRUE))))=Calcs!$B$120,IF(ISBLANK(AC1232)," ",CONCATENATE(AC1232+7," Years")),IF(AA1232=" "," ",IF(NOT(ISBLANK(X1232)),VLOOKUP($D$3+X1232,Calcs!$A$110:$B$122,2,TRUE),IF(AA1232="Failed",VLOOKUP($D$3,Calcs!$A$110:$B$122,2,TRUE),VLOOKUP($D$3-(IF((Character!$B$9+W1232)&gt;($D$3+Y1232),(Character!$B$9+W1232)-($D$3+Y1232),0)),Calcs!$A$110:$B$122,2,TRUE)))))</f>
        <v xml:space="preserve"> </v>
      </c>
      <c r="AE1232" s="490"/>
      <c r="AF1232" s="879"/>
      <c r="AG1232" s="491"/>
    </row>
    <row r="1233" spans="1:33" x14ac:dyDescent="0.2">
      <c r="A1233" s="415">
        <f t="shared" si="36"/>
        <v>1518</v>
      </c>
      <c r="B1233" s="419" t="str">
        <f t="shared" si="37"/>
        <v>Spring</v>
      </c>
      <c r="C1233" s="455"/>
      <c r="D1233" s="504"/>
      <c r="E1233" s="455"/>
      <c r="F1233" s="504"/>
      <c r="G1233" s="455"/>
      <c r="H1233" s="504"/>
      <c r="I1233" s="455"/>
      <c r="J1233" s="504"/>
      <c r="L1233" s="472"/>
      <c r="M1233" s="468"/>
      <c r="N1233" s="468"/>
      <c r="O1233" s="468"/>
      <c r="P1233" s="468"/>
      <c r="Q1233" s="473"/>
      <c r="R1233" s="477" t="str">
        <f>IF(AND(COUNTIF('Start Character'!$I$63:$M$77,"Twilight Prone")=1,NOT(ISERROR(FIND("Magical Botch",M1233)))),"Yes",IF(P1233&gt;1,"Yes","No"))</f>
        <v>No</v>
      </c>
      <c r="S1233" s="501"/>
      <c r="T1233" s="478"/>
      <c r="U1233" s="501"/>
      <c r="V1233" s="479" t="str">
        <f>IF(R1233="No","No Twilight",IF(T1233="Yes","Uncomprehended Twilight",IF((Character!$B$14+IF(Character!$B$53="Yes",0,Character!$B$53)+IF(Magic!$C$5="Yes",2,0)+ROUNDUP((Magic!$B$30+IF(Magic!$C$30="Yes",3,0))/5,0)+S1233)&gt;=($D$3+P1233+SUMIF(Character!$I$62:$I$66,"Enigmatic Wisdom",Character!$J$62:$J$66)+Q1233+U1233),"No Twilight","Twilight")))</f>
        <v>No Twilight</v>
      </c>
      <c r="W1233" s="483"/>
      <c r="X1233" s="478"/>
      <c r="Y1233" s="484"/>
      <c r="Z1233" s="478"/>
      <c r="AA1233" s="485" t="str">
        <f>IF(V1233="Uncomprehended Twilight","Failed",IF(OR(ISBLANK(W1233),ISBLANK(Y1233))," ",IF(NOT(ISBLANK(X1233)),"Failed",IF((W1233+Character!$B$9+SUMIF(Character!$I$62:$I$66,"Enigmatic Wisdom",Character!$J$62:$J$66))&gt;=IF(Z1233="Yes",0,(Y1233+D1228)),"Succeeded","Failed"))))</f>
        <v xml:space="preserve"> </v>
      </c>
      <c r="AB1233" s="477" t="str">
        <f>IF(AA1233=" "," ",IF(NOT(ISBLANK(X1233)),VLOOKUP($D$3+X1233,Calcs!$A$110:$C$122,3,TRUE),IF(AA1233="Failed",VLOOKUP($D$3,Calcs!$A$110:$C$122,3,TRUE),VLOOKUP($D$3-(IF((Character!$B$9+W1233)&gt;($D$3+Y1233),(Character!$B$9+W1233)-($D$3+Y1233),0)),Calcs!$A$110:$C$122,3,TRUE))))</f>
        <v xml:space="preserve"> </v>
      </c>
      <c r="AC1233" s="489"/>
      <c r="AD1233" s="489" t="str">
        <f>IF(IF(AA1233=" "," ",IF(NOT(ISBLANK(X1233)),VLOOKUP($D$3+X1233,Calcs!$A$110:$B$122,2,TRUE),IF(AA1233="Failed",VLOOKUP($D$3,Calcs!$A$110:$B$122,2,TRUE),VLOOKUP($D$3-(IF((Character!$B$9+W1233)&gt;($D$3+Y1233),(Character!$B$9+W1233)-($D$3+Y1233),0)),Calcs!$A$110:$B$122,2,TRUE))))=Calcs!$B$120,IF(ISBLANK(AC1233)," ",CONCATENATE(AC1233+7," Years")),IF(AA1233=" "," ",IF(NOT(ISBLANK(X1233)),VLOOKUP($D$3+X1233,Calcs!$A$110:$B$122,2,TRUE),IF(AA1233="Failed",VLOOKUP($D$3,Calcs!$A$110:$B$122,2,TRUE),VLOOKUP($D$3-(IF((Character!$B$9+W1233)&gt;($D$3+Y1233),(Character!$B$9+W1233)-($D$3+Y1233),0)),Calcs!$A$110:$B$122,2,TRUE)))))</f>
        <v xml:space="preserve"> </v>
      </c>
      <c r="AE1233" s="490"/>
      <c r="AF1233" s="879"/>
      <c r="AG1233" s="491"/>
    </row>
    <row r="1234" spans="1:33" x14ac:dyDescent="0.2">
      <c r="A1234" s="415">
        <f t="shared" si="36"/>
        <v>1518</v>
      </c>
      <c r="B1234" s="419" t="str">
        <f t="shared" si="37"/>
        <v>Summer</v>
      </c>
      <c r="C1234" s="455"/>
      <c r="D1234" s="504"/>
      <c r="E1234" s="455"/>
      <c r="F1234" s="504"/>
      <c r="G1234" s="455"/>
      <c r="H1234" s="504"/>
      <c r="I1234" s="455"/>
      <c r="J1234" s="504"/>
      <c r="L1234" s="472"/>
      <c r="M1234" s="468"/>
      <c r="N1234" s="468"/>
      <c r="O1234" s="468"/>
      <c r="P1234" s="468"/>
      <c r="Q1234" s="473"/>
      <c r="R1234" s="477" t="str">
        <f>IF(AND(COUNTIF('Start Character'!$I$63:$M$77,"Twilight Prone")=1,NOT(ISERROR(FIND("Magical Botch",M1234)))),"Yes",IF(P1234&gt;1,"Yes","No"))</f>
        <v>No</v>
      </c>
      <c r="S1234" s="501"/>
      <c r="T1234" s="478"/>
      <c r="U1234" s="501"/>
      <c r="V1234" s="479" t="str">
        <f>IF(R1234="No","No Twilight",IF(T1234="Yes","Uncomprehended Twilight",IF((Character!$B$14+IF(Character!$B$53="Yes",0,Character!$B$53)+IF(Magic!$C$5="Yes",2,0)+ROUNDUP((Magic!$B$30+IF(Magic!$C$30="Yes",3,0))/5,0)+S1234)&gt;=($D$3+P1234+SUMIF(Character!$I$62:$I$66,"Enigmatic Wisdom",Character!$J$62:$J$66)+Q1234+U1234),"No Twilight","Twilight")))</f>
        <v>No Twilight</v>
      </c>
      <c r="W1234" s="483"/>
      <c r="X1234" s="478"/>
      <c r="Y1234" s="484"/>
      <c r="Z1234" s="478"/>
      <c r="AA1234" s="485" t="str">
        <f>IF(V1234="Uncomprehended Twilight","Failed",IF(OR(ISBLANK(W1234),ISBLANK(Y1234))," ",IF(NOT(ISBLANK(X1234)),"Failed",IF((W1234+Character!$B$9+SUMIF(Character!$I$62:$I$66,"Enigmatic Wisdom",Character!$J$62:$J$66))&gt;=IF(Z1234="Yes",0,(Y1234+D1229)),"Succeeded","Failed"))))</f>
        <v xml:space="preserve"> </v>
      </c>
      <c r="AB1234" s="477" t="str">
        <f>IF(AA1234=" "," ",IF(NOT(ISBLANK(X1234)),VLOOKUP($D$3+X1234,Calcs!$A$110:$C$122,3,TRUE),IF(AA1234="Failed",VLOOKUP($D$3,Calcs!$A$110:$C$122,3,TRUE),VLOOKUP($D$3-(IF((Character!$B$9+W1234)&gt;($D$3+Y1234),(Character!$B$9+W1234)-($D$3+Y1234),0)),Calcs!$A$110:$C$122,3,TRUE))))</f>
        <v xml:space="preserve"> </v>
      </c>
      <c r="AC1234" s="489"/>
      <c r="AD1234" s="489" t="str">
        <f>IF(IF(AA1234=" "," ",IF(NOT(ISBLANK(X1234)),VLOOKUP($D$3+X1234,Calcs!$A$110:$B$122,2,TRUE),IF(AA1234="Failed",VLOOKUP($D$3,Calcs!$A$110:$B$122,2,TRUE),VLOOKUP($D$3-(IF((Character!$B$9+W1234)&gt;($D$3+Y1234),(Character!$B$9+W1234)-($D$3+Y1234),0)),Calcs!$A$110:$B$122,2,TRUE))))=Calcs!$B$120,IF(ISBLANK(AC1234)," ",CONCATENATE(AC1234+7," Years")),IF(AA1234=" "," ",IF(NOT(ISBLANK(X1234)),VLOOKUP($D$3+X1234,Calcs!$A$110:$B$122,2,TRUE),IF(AA1234="Failed",VLOOKUP($D$3,Calcs!$A$110:$B$122,2,TRUE),VLOOKUP($D$3-(IF((Character!$B$9+W1234)&gt;($D$3+Y1234),(Character!$B$9+W1234)-($D$3+Y1234),0)),Calcs!$A$110:$B$122,2,TRUE)))))</f>
        <v xml:space="preserve"> </v>
      </c>
      <c r="AE1234" s="490"/>
      <c r="AF1234" s="879"/>
      <c r="AG1234" s="491"/>
    </row>
    <row r="1235" spans="1:33" x14ac:dyDescent="0.2">
      <c r="A1235" s="415">
        <f t="shared" si="36"/>
        <v>1518</v>
      </c>
      <c r="B1235" s="419" t="str">
        <f t="shared" si="37"/>
        <v>Autumn</v>
      </c>
      <c r="C1235" s="455"/>
      <c r="D1235" s="504"/>
      <c r="E1235" s="455"/>
      <c r="F1235" s="504"/>
      <c r="G1235" s="455"/>
      <c r="H1235" s="504"/>
      <c r="I1235" s="455"/>
      <c r="J1235" s="504"/>
      <c r="L1235" s="472"/>
      <c r="M1235" s="468"/>
      <c r="N1235" s="468"/>
      <c r="O1235" s="468"/>
      <c r="P1235" s="468"/>
      <c r="Q1235" s="473"/>
      <c r="R1235" s="477" t="str">
        <f>IF(AND(COUNTIF('Start Character'!$I$63:$M$77,"Twilight Prone")=1,NOT(ISERROR(FIND("Magical Botch",M1235)))),"Yes",IF(P1235&gt;1,"Yes","No"))</f>
        <v>No</v>
      </c>
      <c r="S1235" s="501"/>
      <c r="T1235" s="478"/>
      <c r="U1235" s="501"/>
      <c r="V1235" s="479" t="str">
        <f>IF(R1235="No","No Twilight",IF(T1235="Yes","Uncomprehended Twilight",IF((Character!$B$14+IF(Character!$B$53="Yes",0,Character!$B$53)+IF(Magic!$C$5="Yes",2,0)+ROUNDUP((Magic!$B$30+IF(Magic!$C$30="Yes",3,0))/5,0)+S1235)&gt;=($D$3+P1235+SUMIF(Character!$I$62:$I$66,"Enigmatic Wisdom",Character!$J$62:$J$66)+Q1235+U1235),"No Twilight","Twilight")))</f>
        <v>No Twilight</v>
      </c>
      <c r="W1235" s="483"/>
      <c r="X1235" s="478"/>
      <c r="Y1235" s="484"/>
      <c r="Z1235" s="478"/>
      <c r="AA1235" s="485" t="str">
        <f>IF(V1235="Uncomprehended Twilight","Failed",IF(OR(ISBLANK(W1235),ISBLANK(Y1235))," ",IF(NOT(ISBLANK(X1235)),"Failed",IF((W1235+Character!$B$9+SUMIF(Character!$I$62:$I$66,"Enigmatic Wisdom",Character!$J$62:$J$66))&gt;=IF(Z1235="Yes",0,(Y1235+D1230)),"Succeeded","Failed"))))</f>
        <v xml:space="preserve"> </v>
      </c>
      <c r="AB1235" s="477" t="str">
        <f>IF(AA1235=" "," ",IF(NOT(ISBLANK(X1235)),VLOOKUP($D$3+X1235,Calcs!$A$110:$C$122,3,TRUE),IF(AA1235="Failed",VLOOKUP($D$3,Calcs!$A$110:$C$122,3,TRUE),VLOOKUP($D$3-(IF((Character!$B$9+W1235)&gt;($D$3+Y1235),(Character!$B$9+W1235)-($D$3+Y1235),0)),Calcs!$A$110:$C$122,3,TRUE))))</f>
        <v xml:space="preserve"> </v>
      </c>
      <c r="AC1235" s="489"/>
      <c r="AD1235" s="489" t="str">
        <f>IF(IF(AA1235=" "," ",IF(NOT(ISBLANK(X1235)),VLOOKUP($D$3+X1235,Calcs!$A$110:$B$122,2,TRUE),IF(AA1235="Failed",VLOOKUP($D$3,Calcs!$A$110:$B$122,2,TRUE),VLOOKUP($D$3-(IF((Character!$B$9+W1235)&gt;($D$3+Y1235),(Character!$B$9+W1235)-($D$3+Y1235),0)),Calcs!$A$110:$B$122,2,TRUE))))=Calcs!$B$120,IF(ISBLANK(AC1235)," ",CONCATENATE(AC1235+7," Years")),IF(AA1235=" "," ",IF(NOT(ISBLANK(X1235)),VLOOKUP($D$3+X1235,Calcs!$A$110:$B$122,2,TRUE),IF(AA1235="Failed",VLOOKUP($D$3,Calcs!$A$110:$B$122,2,TRUE),VLOOKUP($D$3-(IF((Character!$B$9+W1235)&gt;($D$3+Y1235),(Character!$B$9+W1235)-($D$3+Y1235),0)),Calcs!$A$110:$B$122,2,TRUE)))))</f>
        <v xml:space="preserve"> </v>
      </c>
      <c r="AE1235" s="490"/>
      <c r="AF1235" s="879"/>
      <c r="AG1235" s="491"/>
    </row>
    <row r="1236" spans="1:33" x14ac:dyDescent="0.2">
      <c r="A1236" s="415">
        <f t="shared" si="36"/>
        <v>1519</v>
      </c>
      <c r="B1236" s="419" t="str">
        <f t="shared" si="37"/>
        <v>Winter</v>
      </c>
      <c r="C1236" s="455"/>
      <c r="D1236" s="504"/>
      <c r="E1236" s="455"/>
      <c r="F1236" s="504"/>
      <c r="G1236" s="455"/>
      <c r="H1236" s="504"/>
      <c r="I1236" s="455"/>
      <c r="J1236" s="504"/>
      <c r="L1236" s="472"/>
      <c r="M1236" s="468"/>
      <c r="N1236" s="468"/>
      <c r="O1236" s="468"/>
      <c r="P1236" s="468"/>
      <c r="Q1236" s="473"/>
      <c r="R1236" s="477" t="str">
        <f>IF(AND(COUNTIF('Start Character'!$I$63:$M$77,"Twilight Prone")=1,NOT(ISERROR(FIND("Magical Botch",M1236)))),"Yes",IF(P1236&gt;1,"Yes","No"))</f>
        <v>No</v>
      </c>
      <c r="S1236" s="501"/>
      <c r="T1236" s="478"/>
      <c r="U1236" s="501"/>
      <c r="V1236" s="479" t="str">
        <f>IF(R1236="No","No Twilight",IF(T1236="Yes","Uncomprehended Twilight",IF((Character!$B$14+IF(Character!$B$53="Yes",0,Character!$B$53)+IF(Magic!$C$5="Yes",2,0)+ROUNDUP((Magic!$B$30+IF(Magic!$C$30="Yes",3,0))/5,0)+S1236)&gt;=($D$3+P1236+SUMIF(Character!$I$62:$I$66,"Enigmatic Wisdom",Character!$J$62:$J$66)+Q1236+U1236),"No Twilight","Twilight")))</f>
        <v>No Twilight</v>
      </c>
      <c r="W1236" s="483"/>
      <c r="X1236" s="478"/>
      <c r="Y1236" s="484"/>
      <c r="Z1236" s="478"/>
      <c r="AA1236" s="485" t="str">
        <f>IF(V1236="Uncomprehended Twilight","Failed",IF(OR(ISBLANK(W1236),ISBLANK(Y1236))," ",IF(NOT(ISBLANK(X1236)),"Failed",IF((W1236+Character!$B$9+SUMIF(Character!$I$62:$I$66,"Enigmatic Wisdom",Character!$J$62:$J$66))&gt;=IF(Z1236="Yes",0,(Y1236+D1231)),"Succeeded","Failed"))))</f>
        <v xml:space="preserve"> </v>
      </c>
      <c r="AB1236" s="477" t="str">
        <f>IF(AA1236=" "," ",IF(NOT(ISBLANK(X1236)),VLOOKUP($D$3+X1236,Calcs!$A$110:$C$122,3,TRUE),IF(AA1236="Failed",VLOOKUP($D$3,Calcs!$A$110:$C$122,3,TRUE),VLOOKUP($D$3-(IF((Character!$B$9+W1236)&gt;($D$3+Y1236),(Character!$B$9+W1236)-($D$3+Y1236),0)),Calcs!$A$110:$C$122,3,TRUE))))</f>
        <v xml:space="preserve"> </v>
      </c>
      <c r="AC1236" s="489"/>
      <c r="AD1236" s="489" t="str">
        <f>IF(IF(AA1236=" "," ",IF(NOT(ISBLANK(X1236)),VLOOKUP($D$3+X1236,Calcs!$A$110:$B$122,2,TRUE),IF(AA1236="Failed",VLOOKUP($D$3,Calcs!$A$110:$B$122,2,TRUE),VLOOKUP($D$3-(IF((Character!$B$9+W1236)&gt;($D$3+Y1236),(Character!$B$9+W1236)-($D$3+Y1236),0)),Calcs!$A$110:$B$122,2,TRUE))))=Calcs!$B$120,IF(ISBLANK(AC1236)," ",CONCATENATE(AC1236+7," Years")),IF(AA1236=" "," ",IF(NOT(ISBLANK(X1236)),VLOOKUP($D$3+X1236,Calcs!$A$110:$B$122,2,TRUE),IF(AA1236="Failed",VLOOKUP($D$3,Calcs!$A$110:$B$122,2,TRUE),VLOOKUP($D$3-(IF((Character!$B$9+W1236)&gt;($D$3+Y1236),(Character!$B$9+W1236)-($D$3+Y1236),0)),Calcs!$A$110:$B$122,2,TRUE)))))</f>
        <v xml:space="preserve"> </v>
      </c>
      <c r="AE1236" s="490"/>
      <c r="AF1236" s="879"/>
      <c r="AG1236" s="491"/>
    </row>
    <row r="1237" spans="1:33" x14ac:dyDescent="0.2">
      <c r="A1237" s="415">
        <f t="shared" si="36"/>
        <v>1519</v>
      </c>
      <c r="B1237" s="419" t="str">
        <f t="shared" si="37"/>
        <v>Spring</v>
      </c>
      <c r="C1237" s="455"/>
      <c r="D1237" s="504"/>
      <c r="E1237" s="455"/>
      <c r="F1237" s="504"/>
      <c r="G1237" s="455"/>
      <c r="H1237" s="504"/>
      <c r="I1237" s="455"/>
      <c r="J1237" s="504"/>
      <c r="L1237" s="472"/>
      <c r="M1237" s="468"/>
      <c r="N1237" s="468"/>
      <c r="O1237" s="468"/>
      <c r="P1237" s="468"/>
      <c r="Q1237" s="473"/>
      <c r="R1237" s="477" t="str">
        <f>IF(AND(COUNTIF('Start Character'!$I$63:$M$77,"Twilight Prone")=1,NOT(ISERROR(FIND("Magical Botch",M1237)))),"Yes",IF(P1237&gt;1,"Yes","No"))</f>
        <v>No</v>
      </c>
      <c r="S1237" s="501"/>
      <c r="T1237" s="478"/>
      <c r="U1237" s="501"/>
      <c r="V1237" s="479" t="str">
        <f>IF(R1237="No","No Twilight",IF(T1237="Yes","Uncomprehended Twilight",IF((Character!$B$14+IF(Character!$B$53="Yes",0,Character!$B$53)+IF(Magic!$C$5="Yes",2,0)+ROUNDUP((Magic!$B$30+IF(Magic!$C$30="Yes",3,0))/5,0)+S1237)&gt;=($D$3+P1237+SUMIF(Character!$I$62:$I$66,"Enigmatic Wisdom",Character!$J$62:$J$66)+Q1237+U1237),"No Twilight","Twilight")))</f>
        <v>No Twilight</v>
      </c>
      <c r="W1237" s="483"/>
      <c r="X1237" s="478"/>
      <c r="Y1237" s="484"/>
      <c r="Z1237" s="478"/>
      <c r="AA1237" s="485" t="str">
        <f>IF(V1237="Uncomprehended Twilight","Failed",IF(OR(ISBLANK(W1237),ISBLANK(Y1237))," ",IF(NOT(ISBLANK(X1237)),"Failed",IF((W1237+Character!$B$9+SUMIF(Character!$I$62:$I$66,"Enigmatic Wisdom",Character!$J$62:$J$66))&gt;=IF(Z1237="Yes",0,(Y1237+D1232)),"Succeeded","Failed"))))</f>
        <v xml:space="preserve"> </v>
      </c>
      <c r="AB1237" s="477" t="str">
        <f>IF(AA1237=" "," ",IF(NOT(ISBLANK(X1237)),VLOOKUP($D$3+X1237,Calcs!$A$110:$C$122,3,TRUE),IF(AA1237="Failed",VLOOKUP($D$3,Calcs!$A$110:$C$122,3,TRUE),VLOOKUP($D$3-(IF((Character!$B$9+W1237)&gt;($D$3+Y1237),(Character!$B$9+W1237)-($D$3+Y1237),0)),Calcs!$A$110:$C$122,3,TRUE))))</f>
        <v xml:space="preserve"> </v>
      </c>
      <c r="AC1237" s="489"/>
      <c r="AD1237" s="489" t="str">
        <f>IF(IF(AA1237=" "," ",IF(NOT(ISBLANK(X1237)),VLOOKUP($D$3+X1237,Calcs!$A$110:$B$122,2,TRUE),IF(AA1237="Failed",VLOOKUP($D$3,Calcs!$A$110:$B$122,2,TRUE),VLOOKUP($D$3-(IF((Character!$B$9+W1237)&gt;($D$3+Y1237),(Character!$B$9+W1237)-($D$3+Y1237),0)),Calcs!$A$110:$B$122,2,TRUE))))=Calcs!$B$120,IF(ISBLANK(AC1237)," ",CONCATENATE(AC1237+7," Years")),IF(AA1237=" "," ",IF(NOT(ISBLANK(X1237)),VLOOKUP($D$3+X1237,Calcs!$A$110:$B$122,2,TRUE),IF(AA1237="Failed",VLOOKUP($D$3,Calcs!$A$110:$B$122,2,TRUE),VLOOKUP($D$3-(IF((Character!$B$9+W1237)&gt;($D$3+Y1237),(Character!$B$9+W1237)-($D$3+Y1237),0)),Calcs!$A$110:$B$122,2,TRUE)))))</f>
        <v xml:space="preserve"> </v>
      </c>
      <c r="AE1237" s="490"/>
      <c r="AF1237" s="879"/>
      <c r="AG1237" s="491"/>
    </row>
    <row r="1238" spans="1:33" x14ac:dyDescent="0.2">
      <c r="A1238" s="415">
        <f t="shared" si="36"/>
        <v>1519</v>
      </c>
      <c r="B1238" s="419" t="str">
        <f t="shared" si="37"/>
        <v>Summer</v>
      </c>
      <c r="C1238" s="455"/>
      <c r="D1238" s="504"/>
      <c r="E1238" s="455"/>
      <c r="F1238" s="504"/>
      <c r="G1238" s="455"/>
      <c r="H1238" s="504"/>
      <c r="I1238" s="455"/>
      <c r="J1238" s="504"/>
      <c r="L1238" s="472"/>
      <c r="M1238" s="468"/>
      <c r="N1238" s="468"/>
      <c r="O1238" s="468"/>
      <c r="P1238" s="468"/>
      <c r="Q1238" s="473"/>
      <c r="R1238" s="477" t="str">
        <f>IF(AND(COUNTIF('Start Character'!$I$63:$M$77,"Twilight Prone")=1,NOT(ISERROR(FIND("Magical Botch",M1238)))),"Yes",IF(P1238&gt;1,"Yes","No"))</f>
        <v>No</v>
      </c>
      <c r="S1238" s="501"/>
      <c r="T1238" s="478"/>
      <c r="U1238" s="501"/>
      <c r="V1238" s="479" t="str">
        <f>IF(R1238="No","No Twilight",IF(T1238="Yes","Uncomprehended Twilight",IF((Character!$B$14+IF(Character!$B$53="Yes",0,Character!$B$53)+IF(Magic!$C$5="Yes",2,0)+ROUNDUP((Magic!$B$30+IF(Magic!$C$30="Yes",3,0))/5,0)+S1238)&gt;=($D$3+P1238+SUMIF(Character!$I$62:$I$66,"Enigmatic Wisdom",Character!$J$62:$J$66)+Q1238+U1238),"No Twilight","Twilight")))</f>
        <v>No Twilight</v>
      </c>
      <c r="W1238" s="483"/>
      <c r="X1238" s="478"/>
      <c r="Y1238" s="484"/>
      <c r="Z1238" s="478"/>
      <c r="AA1238" s="485" t="str">
        <f>IF(V1238="Uncomprehended Twilight","Failed",IF(OR(ISBLANK(W1238),ISBLANK(Y1238))," ",IF(NOT(ISBLANK(X1238)),"Failed",IF((W1238+Character!$B$9+SUMIF(Character!$I$62:$I$66,"Enigmatic Wisdom",Character!$J$62:$J$66))&gt;=IF(Z1238="Yes",0,(Y1238+D1233)),"Succeeded","Failed"))))</f>
        <v xml:space="preserve"> </v>
      </c>
      <c r="AB1238" s="477" t="str">
        <f>IF(AA1238=" "," ",IF(NOT(ISBLANK(X1238)),VLOOKUP($D$3+X1238,Calcs!$A$110:$C$122,3,TRUE),IF(AA1238="Failed",VLOOKUP($D$3,Calcs!$A$110:$C$122,3,TRUE),VLOOKUP($D$3-(IF((Character!$B$9+W1238)&gt;($D$3+Y1238),(Character!$B$9+W1238)-($D$3+Y1238),0)),Calcs!$A$110:$C$122,3,TRUE))))</f>
        <v xml:space="preserve"> </v>
      </c>
      <c r="AC1238" s="489"/>
      <c r="AD1238" s="489" t="str">
        <f>IF(IF(AA1238=" "," ",IF(NOT(ISBLANK(X1238)),VLOOKUP($D$3+X1238,Calcs!$A$110:$B$122,2,TRUE),IF(AA1238="Failed",VLOOKUP($D$3,Calcs!$A$110:$B$122,2,TRUE),VLOOKUP($D$3-(IF((Character!$B$9+W1238)&gt;($D$3+Y1238),(Character!$B$9+W1238)-($D$3+Y1238),0)),Calcs!$A$110:$B$122,2,TRUE))))=Calcs!$B$120,IF(ISBLANK(AC1238)," ",CONCATENATE(AC1238+7," Years")),IF(AA1238=" "," ",IF(NOT(ISBLANK(X1238)),VLOOKUP($D$3+X1238,Calcs!$A$110:$B$122,2,TRUE),IF(AA1238="Failed",VLOOKUP($D$3,Calcs!$A$110:$B$122,2,TRUE),VLOOKUP($D$3-(IF((Character!$B$9+W1238)&gt;($D$3+Y1238),(Character!$B$9+W1238)-($D$3+Y1238),0)),Calcs!$A$110:$B$122,2,TRUE)))))</f>
        <v xml:space="preserve"> </v>
      </c>
      <c r="AE1238" s="490"/>
      <c r="AF1238" s="879"/>
      <c r="AG1238" s="491"/>
    </row>
    <row r="1239" spans="1:33" x14ac:dyDescent="0.2">
      <c r="A1239" s="415">
        <f t="shared" si="36"/>
        <v>1519</v>
      </c>
      <c r="B1239" s="419" t="str">
        <f t="shared" si="37"/>
        <v>Autumn</v>
      </c>
      <c r="C1239" s="455"/>
      <c r="D1239" s="504"/>
      <c r="E1239" s="455"/>
      <c r="F1239" s="504"/>
      <c r="G1239" s="455"/>
      <c r="H1239" s="504"/>
      <c r="I1239" s="455"/>
      <c r="J1239" s="504"/>
      <c r="L1239" s="472"/>
      <c r="M1239" s="468"/>
      <c r="N1239" s="468"/>
      <c r="O1239" s="468"/>
      <c r="P1239" s="468"/>
      <c r="Q1239" s="473"/>
      <c r="R1239" s="477" t="str">
        <f>IF(AND(COUNTIF('Start Character'!$I$63:$M$77,"Twilight Prone")=1,NOT(ISERROR(FIND("Magical Botch",M1239)))),"Yes",IF(P1239&gt;1,"Yes","No"))</f>
        <v>No</v>
      </c>
      <c r="S1239" s="501"/>
      <c r="T1239" s="478"/>
      <c r="U1239" s="501"/>
      <c r="V1239" s="479" t="str">
        <f>IF(R1239="No","No Twilight",IF(T1239="Yes","Uncomprehended Twilight",IF((Character!$B$14+IF(Character!$B$53="Yes",0,Character!$B$53)+IF(Magic!$C$5="Yes",2,0)+ROUNDUP((Magic!$B$30+IF(Magic!$C$30="Yes",3,0))/5,0)+S1239)&gt;=($D$3+P1239+SUMIF(Character!$I$62:$I$66,"Enigmatic Wisdom",Character!$J$62:$J$66)+Q1239+U1239),"No Twilight","Twilight")))</f>
        <v>No Twilight</v>
      </c>
      <c r="W1239" s="483"/>
      <c r="X1239" s="478"/>
      <c r="Y1239" s="484"/>
      <c r="Z1239" s="478"/>
      <c r="AA1239" s="485" t="str">
        <f>IF(V1239="Uncomprehended Twilight","Failed",IF(OR(ISBLANK(W1239),ISBLANK(Y1239))," ",IF(NOT(ISBLANK(X1239)),"Failed",IF((W1239+Character!$B$9+SUMIF(Character!$I$62:$I$66,"Enigmatic Wisdom",Character!$J$62:$J$66))&gt;=IF(Z1239="Yes",0,(Y1239+D1234)),"Succeeded","Failed"))))</f>
        <v xml:space="preserve"> </v>
      </c>
      <c r="AB1239" s="477" t="str">
        <f>IF(AA1239=" "," ",IF(NOT(ISBLANK(X1239)),VLOOKUP($D$3+X1239,Calcs!$A$110:$C$122,3,TRUE),IF(AA1239="Failed",VLOOKUP($D$3,Calcs!$A$110:$C$122,3,TRUE),VLOOKUP($D$3-(IF((Character!$B$9+W1239)&gt;($D$3+Y1239),(Character!$B$9+W1239)-($D$3+Y1239),0)),Calcs!$A$110:$C$122,3,TRUE))))</f>
        <v xml:space="preserve"> </v>
      </c>
      <c r="AC1239" s="489"/>
      <c r="AD1239" s="489" t="str">
        <f>IF(IF(AA1239=" "," ",IF(NOT(ISBLANK(X1239)),VLOOKUP($D$3+X1239,Calcs!$A$110:$B$122,2,TRUE),IF(AA1239="Failed",VLOOKUP($D$3,Calcs!$A$110:$B$122,2,TRUE),VLOOKUP($D$3-(IF((Character!$B$9+W1239)&gt;($D$3+Y1239),(Character!$B$9+W1239)-($D$3+Y1239),0)),Calcs!$A$110:$B$122,2,TRUE))))=Calcs!$B$120,IF(ISBLANK(AC1239)," ",CONCATENATE(AC1239+7," Years")),IF(AA1239=" "," ",IF(NOT(ISBLANK(X1239)),VLOOKUP($D$3+X1239,Calcs!$A$110:$B$122,2,TRUE),IF(AA1239="Failed",VLOOKUP($D$3,Calcs!$A$110:$B$122,2,TRUE),VLOOKUP($D$3-(IF((Character!$B$9+W1239)&gt;($D$3+Y1239),(Character!$B$9+W1239)-($D$3+Y1239),0)),Calcs!$A$110:$B$122,2,TRUE)))))</f>
        <v xml:space="preserve"> </v>
      </c>
      <c r="AE1239" s="490"/>
      <c r="AF1239" s="879"/>
      <c r="AG1239" s="491"/>
    </row>
    <row r="1240" spans="1:33" x14ac:dyDescent="0.2">
      <c r="A1240" s="415">
        <f t="shared" si="36"/>
        <v>1520</v>
      </c>
      <c r="B1240" s="419" t="str">
        <f t="shared" si="37"/>
        <v>Winter</v>
      </c>
      <c r="C1240" s="455"/>
      <c r="D1240" s="504"/>
      <c r="E1240" s="455"/>
      <c r="F1240" s="504"/>
      <c r="G1240" s="455"/>
      <c r="H1240" s="504"/>
      <c r="I1240" s="455"/>
      <c r="J1240" s="504"/>
      <c r="L1240" s="472"/>
      <c r="M1240" s="468"/>
      <c r="N1240" s="468"/>
      <c r="O1240" s="468"/>
      <c r="P1240" s="468"/>
      <c r="Q1240" s="473"/>
      <c r="R1240" s="477" t="str">
        <f>IF(AND(COUNTIF('Start Character'!$I$63:$M$77,"Twilight Prone")=1,NOT(ISERROR(FIND("Magical Botch",M1240)))),"Yes",IF(P1240&gt;1,"Yes","No"))</f>
        <v>No</v>
      </c>
      <c r="S1240" s="501"/>
      <c r="T1240" s="478"/>
      <c r="U1240" s="501"/>
      <c r="V1240" s="479" t="str">
        <f>IF(R1240="No","No Twilight",IF(T1240="Yes","Uncomprehended Twilight",IF((Character!$B$14+IF(Character!$B$53="Yes",0,Character!$B$53)+IF(Magic!$C$5="Yes",2,0)+ROUNDUP((Magic!$B$30+IF(Magic!$C$30="Yes",3,0))/5,0)+S1240)&gt;=($D$3+P1240+SUMIF(Character!$I$62:$I$66,"Enigmatic Wisdom",Character!$J$62:$J$66)+Q1240+U1240),"No Twilight","Twilight")))</f>
        <v>No Twilight</v>
      </c>
      <c r="W1240" s="483"/>
      <c r="X1240" s="478"/>
      <c r="Y1240" s="484"/>
      <c r="Z1240" s="478"/>
      <c r="AA1240" s="485" t="str">
        <f>IF(V1240="Uncomprehended Twilight","Failed",IF(OR(ISBLANK(W1240),ISBLANK(Y1240))," ",IF(NOT(ISBLANK(X1240)),"Failed",IF((W1240+Character!$B$9+SUMIF(Character!$I$62:$I$66,"Enigmatic Wisdom",Character!$J$62:$J$66))&gt;=IF(Z1240="Yes",0,(Y1240+D1235)),"Succeeded","Failed"))))</f>
        <v xml:space="preserve"> </v>
      </c>
      <c r="AB1240" s="477" t="str">
        <f>IF(AA1240=" "," ",IF(NOT(ISBLANK(X1240)),VLOOKUP($D$3+X1240,Calcs!$A$110:$C$122,3,TRUE),IF(AA1240="Failed",VLOOKUP($D$3,Calcs!$A$110:$C$122,3,TRUE),VLOOKUP($D$3-(IF((Character!$B$9+W1240)&gt;($D$3+Y1240),(Character!$B$9+W1240)-($D$3+Y1240),0)),Calcs!$A$110:$C$122,3,TRUE))))</f>
        <v xml:space="preserve"> </v>
      </c>
      <c r="AC1240" s="489"/>
      <c r="AD1240" s="489" t="str">
        <f>IF(IF(AA1240=" "," ",IF(NOT(ISBLANK(X1240)),VLOOKUP($D$3+X1240,Calcs!$A$110:$B$122,2,TRUE),IF(AA1240="Failed",VLOOKUP($D$3,Calcs!$A$110:$B$122,2,TRUE),VLOOKUP($D$3-(IF((Character!$B$9+W1240)&gt;($D$3+Y1240),(Character!$B$9+W1240)-($D$3+Y1240),0)),Calcs!$A$110:$B$122,2,TRUE))))=Calcs!$B$120,IF(ISBLANK(AC1240)," ",CONCATENATE(AC1240+7," Years")),IF(AA1240=" "," ",IF(NOT(ISBLANK(X1240)),VLOOKUP($D$3+X1240,Calcs!$A$110:$B$122,2,TRUE),IF(AA1240="Failed",VLOOKUP($D$3,Calcs!$A$110:$B$122,2,TRUE),VLOOKUP($D$3-(IF((Character!$B$9+W1240)&gt;($D$3+Y1240),(Character!$B$9+W1240)-($D$3+Y1240),0)),Calcs!$A$110:$B$122,2,TRUE)))))</f>
        <v xml:space="preserve"> </v>
      </c>
      <c r="AE1240" s="490"/>
      <c r="AF1240" s="879"/>
      <c r="AG1240" s="491"/>
    </row>
    <row r="1241" spans="1:33" x14ac:dyDescent="0.2">
      <c r="A1241" s="415">
        <f t="shared" si="36"/>
        <v>1520</v>
      </c>
      <c r="B1241" s="419" t="str">
        <f t="shared" si="37"/>
        <v>Spring</v>
      </c>
      <c r="C1241" s="455"/>
      <c r="D1241" s="504"/>
      <c r="E1241" s="455"/>
      <c r="F1241" s="504"/>
      <c r="G1241" s="455"/>
      <c r="H1241" s="504"/>
      <c r="I1241" s="455"/>
      <c r="J1241" s="504"/>
      <c r="L1241" s="472"/>
      <c r="M1241" s="468"/>
      <c r="N1241" s="468"/>
      <c r="O1241" s="468"/>
      <c r="P1241" s="468"/>
      <c r="Q1241" s="473"/>
      <c r="R1241" s="477" t="str">
        <f>IF(AND(COUNTIF('Start Character'!$I$63:$M$77,"Twilight Prone")=1,NOT(ISERROR(FIND("Magical Botch",M1241)))),"Yes",IF(P1241&gt;1,"Yes","No"))</f>
        <v>No</v>
      </c>
      <c r="S1241" s="501"/>
      <c r="T1241" s="478"/>
      <c r="U1241" s="501"/>
      <c r="V1241" s="479" t="str">
        <f>IF(R1241="No","No Twilight",IF(T1241="Yes","Uncomprehended Twilight",IF((Character!$B$14+IF(Character!$B$53="Yes",0,Character!$B$53)+IF(Magic!$C$5="Yes",2,0)+ROUNDUP((Magic!$B$30+IF(Magic!$C$30="Yes",3,0))/5,0)+S1241)&gt;=($D$3+P1241+SUMIF(Character!$I$62:$I$66,"Enigmatic Wisdom",Character!$J$62:$J$66)+Q1241+U1241),"No Twilight","Twilight")))</f>
        <v>No Twilight</v>
      </c>
      <c r="W1241" s="483"/>
      <c r="X1241" s="478"/>
      <c r="Y1241" s="484"/>
      <c r="Z1241" s="478"/>
      <c r="AA1241" s="485" t="str">
        <f>IF(V1241="Uncomprehended Twilight","Failed",IF(OR(ISBLANK(W1241),ISBLANK(Y1241))," ",IF(NOT(ISBLANK(X1241)),"Failed",IF((W1241+Character!$B$9+SUMIF(Character!$I$62:$I$66,"Enigmatic Wisdom",Character!$J$62:$J$66))&gt;=IF(Z1241="Yes",0,(Y1241+D1236)),"Succeeded","Failed"))))</f>
        <v xml:space="preserve"> </v>
      </c>
      <c r="AB1241" s="477" t="str">
        <f>IF(AA1241=" "," ",IF(NOT(ISBLANK(X1241)),VLOOKUP($D$3+X1241,Calcs!$A$110:$C$122,3,TRUE),IF(AA1241="Failed",VLOOKUP($D$3,Calcs!$A$110:$C$122,3,TRUE),VLOOKUP($D$3-(IF((Character!$B$9+W1241)&gt;($D$3+Y1241),(Character!$B$9+W1241)-($D$3+Y1241),0)),Calcs!$A$110:$C$122,3,TRUE))))</f>
        <v xml:space="preserve"> </v>
      </c>
      <c r="AC1241" s="489"/>
      <c r="AD1241" s="489" t="str">
        <f>IF(IF(AA1241=" "," ",IF(NOT(ISBLANK(X1241)),VLOOKUP($D$3+X1241,Calcs!$A$110:$B$122,2,TRUE),IF(AA1241="Failed",VLOOKUP($D$3,Calcs!$A$110:$B$122,2,TRUE),VLOOKUP($D$3-(IF((Character!$B$9+W1241)&gt;($D$3+Y1241),(Character!$B$9+W1241)-($D$3+Y1241),0)),Calcs!$A$110:$B$122,2,TRUE))))=Calcs!$B$120,IF(ISBLANK(AC1241)," ",CONCATENATE(AC1241+7," Years")),IF(AA1241=" "," ",IF(NOT(ISBLANK(X1241)),VLOOKUP($D$3+X1241,Calcs!$A$110:$B$122,2,TRUE),IF(AA1241="Failed",VLOOKUP($D$3,Calcs!$A$110:$B$122,2,TRUE),VLOOKUP($D$3-(IF((Character!$B$9+W1241)&gt;($D$3+Y1241),(Character!$B$9+W1241)-($D$3+Y1241),0)),Calcs!$A$110:$B$122,2,TRUE)))))</f>
        <v xml:space="preserve"> </v>
      </c>
      <c r="AE1241" s="490"/>
      <c r="AF1241" s="879"/>
      <c r="AG1241" s="491"/>
    </row>
    <row r="1242" spans="1:33" x14ac:dyDescent="0.2">
      <c r="A1242" s="415">
        <f t="shared" si="36"/>
        <v>1520</v>
      </c>
      <c r="B1242" s="419" t="str">
        <f t="shared" si="37"/>
        <v>Summer</v>
      </c>
      <c r="C1242" s="455"/>
      <c r="D1242" s="504"/>
      <c r="E1242" s="455"/>
      <c r="F1242" s="504"/>
      <c r="G1242" s="455"/>
      <c r="H1242" s="504"/>
      <c r="I1242" s="455"/>
      <c r="J1242" s="504"/>
      <c r="L1242" s="472"/>
      <c r="M1242" s="468"/>
      <c r="N1242" s="468"/>
      <c r="O1242" s="468"/>
      <c r="P1242" s="468"/>
      <c r="Q1242" s="473"/>
      <c r="R1242" s="477" t="str">
        <f>IF(AND(COUNTIF('Start Character'!$I$63:$M$77,"Twilight Prone")=1,NOT(ISERROR(FIND("Magical Botch",M1242)))),"Yes",IF(P1242&gt;1,"Yes","No"))</f>
        <v>No</v>
      </c>
      <c r="S1242" s="501"/>
      <c r="T1242" s="478"/>
      <c r="U1242" s="501"/>
      <c r="V1242" s="479" t="str">
        <f>IF(R1242="No","No Twilight",IF(T1242="Yes","Uncomprehended Twilight",IF((Character!$B$14+IF(Character!$B$53="Yes",0,Character!$B$53)+IF(Magic!$C$5="Yes",2,0)+ROUNDUP((Magic!$B$30+IF(Magic!$C$30="Yes",3,0))/5,0)+S1242)&gt;=($D$3+P1242+SUMIF(Character!$I$62:$I$66,"Enigmatic Wisdom",Character!$J$62:$J$66)+Q1242+U1242),"No Twilight","Twilight")))</f>
        <v>No Twilight</v>
      </c>
      <c r="W1242" s="483"/>
      <c r="X1242" s="478"/>
      <c r="Y1242" s="484"/>
      <c r="Z1242" s="478"/>
      <c r="AA1242" s="485" t="str">
        <f>IF(V1242="Uncomprehended Twilight","Failed",IF(OR(ISBLANK(W1242),ISBLANK(Y1242))," ",IF(NOT(ISBLANK(X1242)),"Failed",IF((W1242+Character!$B$9+SUMIF(Character!$I$62:$I$66,"Enigmatic Wisdom",Character!$J$62:$J$66))&gt;=IF(Z1242="Yes",0,(Y1242+D1237)),"Succeeded","Failed"))))</f>
        <v xml:space="preserve"> </v>
      </c>
      <c r="AB1242" s="477" t="str">
        <f>IF(AA1242=" "," ",IF(NOT(ISBLANK(X1242)),VLOOKUP($D$3+X1242,Calcs!$A$110:$C$122,3,TRUE),IF(AA1242="Failed",VLOOKUP($D$3,Calcs!$A$110:$C$122,3,TRUE),VLOOKUP($D$3-(IF((Character!$B$9+W1242)&gt;($D$3+Y1242),(Character!$B$9+W1242)-($D$3+Y1242),0)),Calcs!$A$110:$C$122,3,TRUE))))</f>
        <v xml:space="preserve"> </v>
      </c>
      <c r="AC1242" s="489"/>
      <c r="AD1242" s="489" t="str">
        <f>IF(IF(AA1242=" "," ",IF(NOT(ISBLANK(X1242)),VLOOKUP($D$3+X1242,Calcs!$A$110:$B$122,2,TRUE),IF(AA1242="Failed",VLOOKUP($D$3,Calcs!$A$110:$B$122,2,TRUE),VLOOKUP($D$3-(IF((Character!$B$9+W1242)&gt;($D$3+Y1242),(Character!$B$9+W1242)-($D$3+Y1242),0)),Calcs!$A$110:$B$122,2,TRUE))))=Calcs!$B$120,IF(ISBLANK(AC1242)," ",CONCATENATE(AC1242+7," Years")),IF(AA1242=" "," ",IF(NOT(ISBLANK(X1242)),VLOOKUP($D$3+X1242,Calcs!$A$110:$B$122,2,TRUE),IF(AA1242="Failed",VLOOKUP($D$3,Calcs!$A$110:$B$122,2,TRUE),VLOOKUP($D$3-(IF((Character!$B$9+W1242)&gt;($D$3+Y1242),(Character!$B$9+W1242)-($D$3+Y1242),0)),Calcs!$A$110:$B$122,2,TRUE)))))</f>
        <v xml:space="preserve"> </v>
      </c>
      <c r="AE1242" s="490"/>
      <c r="AF1242" s="879"/>
      <c r="AG1242" s="491"/>
    </row>
    <row r="1243" spans="1:33" x14ac:dyDescent="0.2">
      <c r="A1243" s="415">
        <f t="shared" si="36"/>
        <v>1520</v>
      </c>
      <c r="B1243" s="419" t="str">
        <f t="shared" si="37"/>
        <v>Autumn</v>
      </c>
      <c r="C1243" s="455"/>
      <c r="D1243" s="504"/>
      <c r="E1243" s="455"/>
      <c r="F1243" s="504"/>
      <c r="G1243" s="455"/>
      <c r="H1243" s="504"/>
      <c r="I1243" s="455"/>
      <c r="J1243" s="504"/>
      <c r="L1243" s="472"/>
      <c r="M1243" s="468"/>
      <c r="N1243" s="468"/>
      <c r="O1243" s="468"/>
      <c r="P1243" s="468"/>
      <c r="Q1243" s="473"/>
      <c r="R1243" s="477" t="str">
        <f>IF(AND(COUNTIF('Start Character'!$I$63:$M$77,"Twilight Prone")=1,NOT(ISERROR(FIND("Magical Botch",M1243)))),"Yes",IF(P1243&gt;1,"Yes","No"))</f>
        <v>No</v>
      </c>
      <c r="S1243" s="501"/>
      <c r="T1243" s="478"/>
      <c r="U1243" s="501"/>
      <c r="V1243" s="479" t="str">
        <f>IF(R1243="No","No Twilight",IF(T1243="Yes","Uncomprehended Twilight",IF((Character!$B$14+IF(Character!$B$53="Yes",0,Character!$B$53)+IF(Magic!$C$5="Yes",2,0)+ROUNDUP((Magic!$B$30+IF(Magic!$C$30="Yes",3,0))/5,0)+S1243)&gt;=($D$3+P1243+SUMIF(Character!$I$62:$I$66,"Enigmatic Wisdom",Character!$J$62:$J$66)+Q1243+U1243),"No Twilight","Twilight")))</f>
        <v>No Twilight</v>
      </c>
      <c r="W1243" s="483"/>
      <c r="X1243" s="478"/>
      <c r="Y1243" s="484"/>
      <c r="Z1243" s="478"/>
      <c r="AA1243" s="485" t="str">
        <f>IF(V1243="Uncomprehended Twilight","Failed",IF(OR(ISBLANK(W1243),ISBLANK(Y1243))," ",IF(NOT(ISBLANK(X1243)),"Failed",IF((W1243+Character!$B$9+SUMIF(Character!$I$62:$I$66,"Enigmatic Wisdom",Character!$J$62:$J$66))&gt;=IF(Z1243="Yes",0,(Y1243+D1238)),"Succeeded","Failed"))))</f>
        <v xml:space="preserve"> </v>
      </c>
      <c r="AB1243" s="477" t="str">
        <f>IF(AA1243=" "," ",IF(NOT(ISBLANK(X1243)),VLOOKUP($D$3+X1243,Calcs!$A$110:$C$122,3,TRUE),IF(AA1243="Failed",VLOOKUP($D$3,Calcs!$A$110:$C$122,3,TRUE),VLOOKUP($D$3-(IF((Character!$B$9+W1243)&gt;($D$3+Y1243),(Character!$B$9+W1243)-($D$3+Y1243),0)),Calcs!$A$110:$C$122,3,TRUE))))</f>
        <v xml:space="preserve"> </v>
      </c>
      <c r="AC1243" s="489"/>
      <c r="AD1243" s="489" t="str">
        <f>IF(IF(AA1243=" "," ",IF(NOT(ISBLANK(X1243)),VLOOKUP($D$3+X1243,Calcs!$A$110:$B$122,2,TRUE),IF(AA1243="Failed",VLOOKUP($D$3,Calcs!$A$110:$B$122,2,TRUE),VLOOKUP($D$3-(IF((Character!$B$9+W1243)&gt;($D$3+Y1243),(Character!$B$9+W1243)-($D$3+Y1243),0)),Calcs!$A$110:$B$122,2,TRUE))))=Calcs!$B$120,IF(ISBLANK(AC1243)," ",CONCATENATE(AC1243+7," Years")),IF(AA1243=" "," ",IF(NOT(ISBLANK(X1243)),VLOOKUP($D$3+X1243,Calcs!$A$110:$B$122,2,TRUE),IF(AA1243="Failed",VLOOKUP($D$3,Calcs!$A$110:$B$122,2,TRUE),VLOOKUP($D$3-(IF((Character!$B$9+W1243)&gt;($D$3+Y1243),(Character!$B$9+W1243)-($D$3+Y1243),0)),Calcs!$A$110:$B$122,2,TRUE)))))</f>
        <v xml:space="preserve"> </v>
      </c>
      <c r="AE1243" s="490"/>
      <c r="AF1243" s="879"/>
      <c r="AG1243" s="491"/>
    </row>
    <row r="1244" spans="1:33" x14ac:dyDescent="0.2">
      <c r="A1244" s="415">
        <f t="shared" si="36"/>
        <v>1521</v>
      </c>
      <c r="B1244" s="419" t="str">
        <f t="shared" si="37"/>
        <v>Winter</v>
      </c>
      <c r="C1244" s="455"/>
      <c r="D1244" s="504"/>
      <c r="E1244" s="455"/>
      <c r="F1244" s="504"/>
      <c r="G1244" s="455"/>
      <c r="H1244" s="504"/>
      <c r="I1244" s="455"/>
      <c r="J1244" s="504"/>
      <c r="L1244" s="472"/>
      <c r="M1244" s="468"/>
      <c r="N1244" s="468"/>
      <c r="O1244" s="468"/>
      <c r="P1244" s="468"/>
      <c r="Q1244" s="473"/>
      <c r="R1244" s="477" t="str">
        <f>IF(AND(COUNTIF('Start Character'!$I$63:$M$77,"Twilight Prone")=1,NOT(ISERROR(FIND("Magical Botch",M1244)))),"Yes",IF(P1244&gt;1,"Yes","No"))</f>
        <v>No</v>
      </c>
      <c r="S1244" s="501"/>
      <c r="T1244" s="478"/>
      <c r="U1244" s="501"/>
      <c r="V1244" s="479" t="str">
        <f>IF(R1244="No","No Twilight",IF(T1244="Yes","Uncomprehended Twilight",IF((Character!$B$14+IF(Character!$B$53="Yes",0,Character!$B$53)+IF(Magic!$C$5="Yes",2,0)+ROUNDUP((Magic!$B$30+IF(Magic!$C$30="Yes",3,0))/5,0)+S1244)&gt;=($D$3+P1244+SUMIF(Character!$I$62:$I$66,"Enigmatic Wisdom",Character!$J$62:$J$66)+Q1244+U1244),"No Twilight","Twilight")))</f>
        <v>No Twilight</v>
      </c>
      <c r="W1244" s="483"/>
      <c r="X1244" s="478"/>
      <c r="Y1244" s="484"/>
      <c r="Z1244" s="478"/>
      <c r="AA1244" s="485" t="str">
        <f>IF(V1244="Uncomprehended Twilight","Failed",IF(OR(ISBLANK(W1244),ISBLANK(Y1244))," ",IF(NOT(ISBLANK(X1244)),"Failed",IF((W1244+Character!$B$9+SUMIF(Character!$I$62:$I$66,"Enigmatic Wisdom",Character!$J$62:$J$66))&gt;=IF(Z1244="Yes",0,(Y1244+D1239)),"Succeeded","Failed"))))</f>
        <v xml:space="preserve"> </v>
      </c>
      <c r="AB1244" s="477" t="str">
        <f>IF(AA1244=" "," ",IF(NOT(ISBLANK(X1244)),VLOOKUP($D$3+X1244,Calcs!$A$110:$C$122,3,TRUE),IF(AA1244="Failed",VLOOKUP($D$3,Calcs!$A$110:$C$122,3,TRUE),VLOOKUP($D$3-(IF((Character!$B$9+W1244)&gt;($D$3+Y1244),(Character!$B$9+W1244)-($D$3+Y1244),0)),Calcs!$A$110:$C$122,3,TRUE))))</f>
        <v xml:space="preserve"> </v>
      </c>
      <c r="AC1244" s="489"/>
      <c r="AD1244" s="489" t="str">
        <f>IF(IF(AA1244=" "," ",IF(NOT(ISBLANK(X1244)),VLOOKUP($D$3+X1244,Calcs!$A$110:$B$122,2,TRUE),IF(AA1244="Failed",VLOOKUP($D$3,Calcs!$A$110:$B$122,2,TRUE),VLOOKUP($D$3-(IF((Character!$B$9+W1244)&gt;($D$3+Y1244),(Character!$B$9+W1244)-($D$3+Y1244),0)),Calcs!$A$110:$B$122,2,TRUE))))=Calcs!$B$120,IF(ISBLANK(AC1244)," ",CONCATENATE(AC1244+7," Years")),IF(AA1244=" "," ",IF(NOT(ISBLANK(X1244)),VLOOKUP($D$3+X1244,Calcs!$A$110:$B$122,2,TRUE),IF(AA1244="Failed",VLOOKUP($D$3,Calcs!$A$110:$B$122,2,TRUE),VLOOKUP($D$3-(IF((Character!$B$9+W1244)&gt;($D$3+Y1244),(Character!$B$9+W1244)-($D$3+Y1244),0)),Calcs!$A$110:$B$122,2,TRUE)))))</f>
        <v xml:space="preserve"> </v>
      </c>
      <c r="AE1244" s="490"/>
      <c r="AF1244" s="879"/>
      <c r="AG1244" s="491"/>
    </row>
    <row r="1245" spans="1:33" x14ac:dyDescent="0.2">
      <c r="A1245" s="415">
        <f t="shared" ref="A1245:A1308" si="38">IF(B1244="Autumn",A1244+1,A1244)</f>
        <v>1521</v>
      </c>
      <c r="B1245" s="419" t="str">
        <f t="shared" ref="B1245:B1308" si="39">IF(B1244="spring","Summer",IF(B1244="Summer","Autumn",IF(B1244="Autumn","Winter",IF(B1244="Winter","Spring"," "))))</f>
        <v>Spring</v>
      </c>
      <c r="C1245" s="455"/>
      <c r="D1245" s="504"/>
      <c r="E1245" s="455"/>
      <c r="F1245" s="504"/>
      <c r="G1245" s="455"/>
      <c r="H1245" s="504"/>
      <c r="I1245" s="455"/>
      <c r="J1245" s="504"/>
      <c r="L1245" s="472"/>
      <c r="M1245" s="468"/>
      <c r="N1245" s="468"/>
      <c r="O1245" s="468"/>
      <c r="P1245" s="468"/>
      <c r="Q1245" s="473"/>
      <c r="R1245" s="477" t="str">
        <f>IF(AND(COUNTIF('Start Character'!$I$63:$M$77,"Twilight Prone")=1,NOT(ISERROR(FIND("Magical Botch",M1245)))),"Yes",IF(P1245&gt;1,"Yes","No"))</f>
        <v>No</v>
      </c>
      <c r="S1245" s="501"/>
      <c r="T1245" s="478"/>
      <c r="U1245" s="501"/>
      <c r="V1245" s="479" t="str">
        <f>IF(R1245="No","No Twilight",IF(T1245="Yes","Uncomprehended Twilight",IF((Character!$B$14+IF(Character!$B$53="Yes",0,Character!$B$53)+IF(Magic!$C$5="Yes",2,0)+ROUNDUP((Magic!$B$30+IF(Magic!$C$30="Yes",3,0))/5,0)+S1245)&gt;=($D$3+P1245+SUMIF(Character!$I$62:$I$66,"Enigmatic Wisdom",Character!$J$62:$J$66)+Q1245+U1245),"No Twilight","Twilight")))</f>
        <v>No Twilight</v>
      </c>
      <c r="W1245" s="483"/>
      <c r="X1245" s="478"/>
      <c r="Y1245" s="484"/>
      <c r="Z1245" s="478"/>
      <c r="AA1245" s="485" t="str">
        <f>IF(V1245="Uncomprehended Twilight","Failed",IF(OR(ISBLANK(W1245),ISBLANK(Y1245))," ",IF(NOT(ISBLANK(X1245)),"Failed",IF((W1245+Character!$B$9+SUMIF(Character!$I$62:$I$66,"Enigmatic Wisdom",Character!$J$62:$J$66))&gt;=IF(Z1245="Yes",0,(Y1245+D1240)),"Succeeded","Failed"))))</f>
        <v xml:space="preserve"> </v>
      </c>
      <c r="AB1245" s="477" t="str">
        <f>IF(AA1245=" "," ",IF(NOT(ISBLANK(X1245)),VLOOKUP($D$3+X1245,Calcs!$A$110:$C$122,3,TRUE),IF(AA1245="Failed",VLOOKUP($D$3,Calcs!$A$110:$C$122,3,TRUE),VLOOKUP($D$3-(IF((Character!$B$9+W1245)&gt;($D$3+Y1245),(Character!$B$9+W1245)-($D$3+Y1245),0)),Calcs!$A$110:$C$122,3,TRUE))))</f>
        <v xml:space="preserve"> </v>
      </c>
      <c r="AC1245" s="489"/>
      <c r="AD1245" s="489" t="str">
        <f>IF(IF(AA1245=" "," ",IF(NOT(ISBLANK(X1245)),VLOOKUP($D$3+X1245,Calcs!$A$110:$B$122,2,TRUE),IF(AA1245="Failed",VLOOKUP($D$3,Calcs!$A$110:$B$122,2,TRUE),VLOOKUP($D$3-(IF((Character!$B$9+W1245)&gt;($D$3+Y1245),(Character!$B$9+W1245)-($D$3+Y1245),0)),Calcs!$A$110:$B$122,2,TRUE))))=Calcs!$B$120,IF(ISBLANK(AC1245)," ",CONCATENATE(AC1245+7," Years")),IF(AA1245=" "," ",IF(NOT(ISBLANK(X1245)),VLOOKUP($D$3+X1245,Calcs!$A$110:$B$122,2,TRUE),IF(AA1245="Failed",VLOOKUP($D$3,Calcs!$A$110:$B$122,2,TRUE),VLOOKUP($D$3-(IF((Character!$B$9+W1245)&gt;($D$3+Y1245),(Character!$B$9+W1245)-($D$3+Y1245),0)),Calcs!$A$110:$B$122,2,TRUE)))))</f>
        <v xml:space="preserve"> </v>
      </c>
      <c r="AE1245" s="490"/>
      <c r="AF1245" s="879"/>
      <c r="AG1245" s="491"/>
    </row>
    <row r="1246" spans="1:33" x14ac:dyDescent="0.2">
      <c r="A1246" s="415">
        <f t="shared" si="38"/>
        <v>1521</v>
      </c>
      <c r="B1246" s="419" t="str">
        <f t="shared" si="39"/>
        <v>Summer</v>
      </c>
      <c r="C1246" s="455"/>
      <c r="D1246" s="504"/>
      <c r="E1246" s="455"/>
      <c r="F1246" s="504"/>
      <c r="G1246" s="455"/>
      <c r="H1246" s="504"/>
      <c r="I1246" s="455"/>
      <c r="J1246" s="504"/>
      <c r="L1246" s="472"/>
      <c r="M1246" s="468"/>
      <c r="N1246" s="468"/>
      <c r="O1246" s="468"/>
      <c r="P1246" s="468"/>
      <c r="Q1246" s="473"/>
      <c r="R1246" s="477" t="str">
        <f>IF(AND(COUNTIF('Start Character'!$I$63:$M$77,"Twilight Prone")=1,NOT(ISERROR(FIND("Magical Botch",M1246)))),"Yes",IF(P1246&gt;1,"Yes","No"))</f>
        <v>No</v>
      </c>
      <c r="S1246" s="501"/>
      <c r="T1246" s="478"/>
      <c r="U1246" s="501"/>
      <c r="V1246" s="479" t="str">
        <f>IF(R1246="No","No Twilight",IF(T1246="Yes","Uncomprehended Twilight",IF((Character!$B$14+IF(Character!$B$53="Yes",0,Character!$B$53)+IF(Magic!$C$5="Yes",2,0)+ROUNDUP((Magic!$B$30+IF(Magic!$C$30="Yes",3,0))/5,0)+S1246)&gt;=($D$3+P1246+SUMIF(Character!$I$62:$I$66,"Enigmatic Wisdom",Character!$J$62:$J$66)+Q1246+U1246),"No Twilight","Twilight")))</f>
        <v>No Twilight</v>
      </c>
      <c r="W1246" s="483"/>
      <c r="X1246" s="478"/>
      <c r="Y1246" s="484"/>
      <c r="Z1246" s="478"/>
      <c r="AA1246" s="485" t="str">
        <f>IF(V1246="Uncomprehended Twilight","Failed",IF(OR(ISBLANK(W1246),ISBLANK(Y1246))," ",IF(NOT(ISBLANK(X1246)),"Failed",IF((W1246+Character!$B$9+SUMIF(Character!$I$62:$I$66,"Enigmatic Wisdom",Character!$J$62:$J$66))&gt;=IF(Z1246="Yes",0,(Y1246+D1241)),"Succeeded","Failed"))))</f>
        <v xml:space="preserve"> </v>
      </c>
      <c r="AB1246" s="477" t="str">
        <f>IF(AA1246=" "," ",IF(NOT(ISBLANK(X1246)),VLOOKUP($D$3+X1246,Calcs!$A$110:$C$122,3,TRUE),IF(AA1246="Failed",VLOOKUP($D$3,Calcs!$A$110:$C$122,3,TRUE),VLOOKUP($D$3-(IF((Character!$B$9+W1246)&gt;($D$3+Y1246),(Character!$B$9+W1246)-($D$3+Y1246),0)),Calcs!$A$110:$C$122,3,TRUE))))</f>
        <v xml:space="preserve"> </v>
      </c>
      <c r="AC1246" s="489"/>
      <c r="AD1246" s="489" t="str">
        <f>IF(IF(AA1246=" "," ",IF(NOT(ISBLANK(X1246)),VLOOKUP($D$3+X1246,Calcs!$A$110:$B$122,2,TRUE),IF(AA1246="Failed",VLOOKUP($D$3,Calcs!$A$110:$B$122,2,TRUE),VLOOKUP($D$3-(IF((Character!$B$9+W1246)&gt;($D$3+Y1246),(Character!$B$9+W1246)-($D$3+Y1246),0)),Calcs!$A$110:$B$122,2,TRUE))))=Calcs!$B$120,IF(ISBLANK(AC1246)," ",CONCATENATE(AC1246+7," Years")),IF(AA1246=" "," ",IF(NOT(ISBLANK(X1246)),VLOOKUP($D$3+X1246,Calcs!$A$110:$B$122,2,TRUE),IF(AA1246="Failed",VLOOKUP($D$3,Calcs!$A$110:$B$122,2,TRUE),VLOOKUP($D$3-(IF((Character!$B$9+W1246)&gt;($D$3+Y1246),(Character!$B$9+W1246)-($D$3+Y1246),0)),Calcs!$A$110:$B$122,2,TRUE)))))</f>
        <v xml:space="preserve"> </v>
      </c>
      <c r="AE1246" s="490"/>
      <c r="AF1246" s="879"/>
      <c r="AG1246" s="491"/>
    </row>
    <row r="1247" spans="1:33" x14ac:dyDescent="0.2">
      <c r="A1247" s="415">
        <f t="shared" si="38"/>
        <v>1521</v>
      </c>
      <c r="B1247" s="419" t="str">
        <f t="shared" si="39"/>
        <v>Autumn</v>
      </c>
      <c r="C1247" s="455"/>
      <c r="D1247" s="504"/>
      <c r="E1247" s="455"/>
      <c r="F1247" s="504"/>
      <c r="G1247" s="455"/>
      <c r="H1247" s="504"/>
      <c r="I1247" s="455"/>
      <c r="J1247" s="504"/>
      <c r="L1247" s="472"/>
      <c r="M1247" s="468"/>
      <c r="N1247" s="468"/>
      <c r="O1247" s="468"/>
      <c r="P1247" s="468"/>
      <c r="Q1247" s="473"/>
      <c r="R1247" s="477" t="str">
        <f>IF(AND(COUNTIF('Start Character'!$I$63:$M$77,"Twilight Prone")=1,NOT(ISERROR(FIND("Magical Botch",M1247)))),"Yes",IF(P1247&gt;1,"Yes","No"))</f>
        <v>No</v>
      </c>
      <c r="S1247" s="501"/>
      <c r="T1247" s="478"/>
      <c r="U1247" s="501"/>
      <c r="V1247" s="479" t="str">
        <f>IF(R1247="No","No Twilight",IF(T1247="Yes","Uncomprehended Twilight",IF((Character!$B$14+IF(Character!$B$53="Yes",0,Character!$B$53)+IF(Magic!$C$5="Yes",2,0)+ROUNDUP((Magic!$B$30+IF(Magic!$C$30="Yes",3,0))/5,0)+S1247)&gt;=($D$3+P1247+SUMIF(Character!$I$62:$I$66,"Enigmatic Wisdom",Character!$J$62:$J$66)+Q1247+U1247),"No Twilight","Twilight")))</f>
        <v>No Twilight</v>
      </c>
      <c r="W1247" s="483"/>
      <c r="X1247" s="478"/>
      <c r="Y1247" s="484"/>
      <c r="Z1247" s="478"/>
      <c r="AA1247" s="485" t="str">
        <f>IF(V1247="Uncomprehended Twilight","Failed",IF(OR(ISBLANK(W1247),ISBLANK(Y1247))," ",IF(NOT(ISBLANK(X1247)),"Failed",IF((W1247+Character!$B$9+SUMIF(Character!$I$62:$I$66,"Enigmatic Wisdom",Character!$J$62:$J$66))&gt;=IF(Z1247="Yes",0,(Y1247+D1242)),"Succeeded","Failed"))))</f>
        <v xml:space="preserve"> </v>
      </c>
      <c r="AB1247" s="477" t="str">
        <f>IF(AA1247=" "," ",IF(NOT(ISBLANK(X1247)),VLOOKUP($D$3+X1247,Calcs!$A$110:$C$122,3,TRUE),IF(AA1247="Failed",VLOOKUP($D$3,Calcs!$A$110:$C$122,3,TRUE),VLOOKUP($D$3-(IF((Character!$B$9+W1247)&gt;($D$3+Y1247),(Character!$B$9+W1247)-($D$3+Y1247),0)),Calcs!$A$110:$C$122,3,TRUE))))</f>
        <v xml:space="preserve"> </v>
      </c>
      <c r="AC1247" s="489"/>
      <c r="AD1247" s="489" t="str">
        <f>IF(IF(AA1247=" "," ",IF(NOT(ISBLANK(X1247)),VLOOKUP($D$3+X1247,Calcs!$A$110:$B$122,2,TRUE),IF(AA1247="Failed",VLOOKUP($D$3,Calcs!$A$110:$B$122,2,TRUE),VLOOKUP($D$3-(IF((Character!$B$9+W1247)&gt;($D$3+Y1247),(Character!$B$9+W1247)-($D$3+Y1247),0)),Calcs!$A$110:$B$122,2,TRUE))))=Calcs!$B$120,IF(ISBLANK(AC1247)," ",CONCATENATE(AC1247+7," Years")),IF(AA1247=" "," ",IF(NOT(ISBLANK(X1247)),VLOOKUP($D$3+X1247,Calcs!$A$110:$B$122,2,TRUE),IF(AA1247="Failed",VLOOKUP($D$3,Calcs!$A$110:$B$122,2,TRUE),VLOOKUP($D$3-(IF((Character!$B$9+W1247)&gt;($D$3+Y1247),(Character!$B$9+W1247)-($D$3+Y1247),0)),Calcs!$A$110:$B$122,2,TRUE)))))</f>
        <v xml:space="preserve"> </v>
      </c>
      <c r="AE1247" s="490"/>
      <c r="AF1247" s="879"/>
      <c r="AG1247" s="491"/>
    </row>
    <row r="1248" spans="1:33" x14ac:dyDescent="0.2">
      <c r="A1248" s="415">
        <f t="shared" si="38"/>
        <v>1522</v>
      </c>
      <c r="B1248" s="419" t="str">
        <f t="shared" si="39"/>
        <v>Winter</v>
      </c>
      <c r="C1248" s="455"/>
      <c r="D1248" s="504"/>
      <c r="E1248" s="455"/>
      <c r="F1248" s="504"/>
      <c r="G1248" s="455"/>
      <c r="H1248" s="504"/>
      <c r="I1248" s="455"/>
      <c r="J1248" s="504"/>
      <c r="L1248" s="472"/>
      <c r="M1248" s="468"/>
      <c r="N1248" s="468"/>
      <c r="O1248" s="468"/>
      <c r="P1248" s="468"/>
      <c r="Q1248" s="473"/>
      <c r="R1248" s="477" t="str">
        <f>IF(AND(COUNTIF('Start Character'!$I$63:$M$77,"Twilight Prone")=1,NOT(ISERROR(FIND("Magical Botch",M1248)))),"Yes",IF(P1248&gt;1,"Yes","No"))</f>
        <v>No</v>
      </c>
      <c r="S1248" s="501"/>
      <c r="T1248" s="478"/>
      <c r="U1248" s="501"/>
      <c r="V1248" s="479" t="str">
        <f>IF(R1248="No","No Twilight",IF(T1248="Yes","Uncomprehended Twilight",IF((Character!$B$14+IF(Character!$B$53="Yes",0,Character!$B$53)+IF(Magic!$C$5="Yes",2,0)+ROUNDUP((Magic!$B$30+IF(Magic!$C$30="Yes",3,0))/5,0)+S1248)&gt;=($D$3+P1248+SUMIF(Character!$I$62:$I$66,"Enigmatic Wisdom",Character!$J$62:$J$66)+Q1248+U1248),"No Twilight","Twilight")))</f>
        <v>No Twilight</v>
      </c>
      <c r="W1248" s="483"/>
      <c r="X1248" s="478"/>
      <c r="Y1248" s="484"/>
      <c r="Z1248" s="478"/>
      <c r="AA1248" s="485" t="str">
        <f>IF(V1248="Uncomprehended Twilight","Failed",IF(OR(ISBLANK(W1248),ISBLANK(Y1248))," ",IF(NOT(ISBLANK(X1248)),"Failed",IF((W1248+Character!$B$9+SUMIF(Character!$I$62:$I$66,"Enigmatic Wisdom",Character!$J$62:$J$66))&gt;=IF(Z1248="Yes",0,(Y1248+D1243)),"Succeeded","Failed"))))</f>
        <v xml:space="preserve"> </v>
      </c>
      <c r="AB1248" s="477" t="str">
        <f>IF(AA1248=" "," ",IF(NOT(ISBLANK(X1248)),VLOOKUP($D$3+X1248,Calcs!$A$110:$C$122,3,TRUE),IF(AA1248="Failed",VLOOKUP($D$3,Calcs!$A$110:$C$122,3,TRUE),VLOOKUP($D$3-(IF((Character!$B$9+W1248)&gt;($D$3+Y1248),(Character!$B$9+W1248)-($D$3+Y1248),0)),Calcs!$A$110:$C$122,3,TRUE))))</f>
        <v xml:space="preserve"> </v>
      </c>
      <c r="AC1248" s="489"/>
      <c r="AD1248" s="489" t="str">
        <f>IF(IF(AA1248=" "," ",IF(NOT(ISBLANK(X1248)),VLOOKUP($D$3+X1248,Calcs!$A$110:$B$122,2,TRUE),IF(AA1248="Failed",VLOOKUP($D$3,Calcs!$A$110:$B$122,2,TRUE),VLOOKUP($D$3-(IF((Character!$B$9+W1248)&gt;($D$3+Y1248),(Character!$B$9+W1248)-($D$3+Y1248),0)),Calcs!$A$110:$B$122,2,TRUE))))=Calcs!$B$120,IF(ISBLANK(AC1248)," ",CONCATENATE(AC1248+7," Years")),IF(AA1248=" "," ",IF(NOT(ISBLANK(X1248)),VLOOKUP($D$3+X1248,Calcs!$A$110:$B$122,2,TRUE),IF(AA1248="Failed",VLOOKUP($D$3,Calcs!$A$110:$B$122,2,TRUE),VLOOKUP($D$3-(IF((Character!$B$9+W1248)&gt;($D$3+Y1248),(Character!$B$9+W1248)-($D$3+Y1248),0)),Calcs!$A$110:$B$122,2,TRUE)))))</f>
        <v xml:space="preserve"> </v>
      </c>
      <c r="AE1248" s="490"/>
      <c r="AF1248" s="879"/>
      <c r="AG1248" s="491"/>
    </row>
    <row r="1249" spans="1:33" x14ac:dyDescent="0.2">
      <c r="A1249" s="415">
        <f t="shared" si="38"/>
        <v>1522</v>
      </c>
      <c r="B1249" s="419" t="str">
        <f t="shared" si="39"/>
        <v>Spring</v>
      </c>
      <c r="C1249" s="455"/>
      <c r="D1249" s="504"/>
      <c r="E1249" s="455"/>
      <c r="F1249" s="504"/>
      <c r="G1249" s="455"/>
      <c r="H1249" s="504"/>
      <c r="I1249" s="455"/>
      <c r="J1249" s="504"/>
      <c r="L1249" s="472"/>
      <c r="M1249" s="468"/>
      <c r="N1249" s="468"/>
      <c r="O1249" s="468"/>
      <c r="P1249" s="468"/>
      <c r="Q1249" s="473"/>
      <c r="R1249" s="477" t="str">
        <f>IF(AND(COUNTIF('Start Character'!$I$63:$M$77,"Twilight Prone")=1,NOT(ISERROR(FIND("Magical Botch",M1249)))),"Yes",IF(P1249&gt;1,"Yes","No"))</f>
        <v>No</v>
      </c>
      <c r="S1249" s="501"/>
      <c r="T1249" s="478"/>
      <c r="U1249" s="501"/>
      <c r="V1249" s="479" t="str">
        <f>IF(R1249="No","No Twilight",IF(T1249="Yes","Uncomprehended Twilight",IF((Character!$B$14+IF(Character!$B$53="Yes",0,Character!$B$53)+IF(Magic!$C$5="Yes",2,0)+ROUNDUP((Magic!$B$30+IF(Magic!$C$30="Yes",3,0))/5,0)+S1249)&gt;=($D$3+P1249+SUMIF(Character!$I$62:$I$66,"Enigmatic Wisdom",Character!$J$62:$J$66)+Q1249+U1249),"No Twilight","Twilight")))</f>
        <v>No Twilight</v>
      </c>
      <c r="W1249" s="483"/>
      <c r="X1249" s="478"/>
      <c r="Y1249" s="484"/>
      <c r="Z1249" s="478"/>
      <c r="AA1249" s="485" t="str">
        <f>IF(V1249="Uncomprehended Twilight","Failed",IF(OR(ISBLANK(W1249),ISBLANK(Y1249))," ",IF(NOT(ISBLANK(X1249)),"Failed",IF((W1249+Character!$B$9+SUMIF(Character!$I$62:$I$66,"Enigmatic Wisdom",Character!$J$62:$J$66))&gt;=IF(Z1249="Yes",0,(Y1249+D1244)),"Succeeded","Failed"))))</f>
        <v xml:space="preserve"> </v>
      </c>
      <c r="AB1249" s="477" t="str">
        <f>IF(AA1249=" "," ",IF(NOT(ISBLANK(X1249)),VLOOKUP($D$3+X1249,Calcs!$A$110:$C$122,3,TRUE),IF(AA1249="Failed",VLOOKUP($D$3,Calcs!$A$110:$C$122,3,TRUE),VLOOKUP($D$3-(IF((Character!$B$9+W1249)&gt;($D$3+Y1249),(Character!$B$9+W1249)-($D$3+Y1249),0)),Calcs!$A$110:$C$122,3,TRUE))))</f>
        <v xml:space="preserve"> </v>
      </c>
      <c r="AC1249" s="489"/>
      <c r="AD1249" s="489" t="str">
        <f>IF(IF(AA1249=" "," ",IF(NOT(ISBLANK(X1249)),VLOOKUP($D$3+X1249,Calcs!$A$110:$B$122,2,TRUE),IF(AA1249="Failed",VLOOKUP($D$3,Calcs!$A$110:$B$122,2,TRUE),VLOOKUP($D$3-(IF((Character!$B$9+W1249)&gt;($D$3+Y1249),(Character!$B$9+W1249)-($D$3+Y1249),0)),Calcs!$A$110:$B$122,2,TRUE))))=Calcs!$B$120,IF(ISBLANK(AC1249)," ",CONCATENATE(AC1249+7," Years")),IF(AA1249=" "," ",IF(NOT(ISBLANK(X1249)),VLOOKUP($D$3+X1249,Calcs!$A$110:$B$122,2,TRUE),IF(AA1249="Failed",VLOOKUP($D$3,Calcs!$A$110:$B$122,2,TRUE),VLOOKUP($D$3-(IF((Character!$B$9+W1249)&gt;($D$3+Y1249),(Character!$B$9+W1249)-($D$3+Y1249),0)),Calcs!$A$110:$B$122,2,TRUE)))))</f>
        <v xml:space="preserve"> </v>
      </c>
      <c r="AE1249" s="490"/>
      <c r="AF1249" s="879"/>
      <c r="AG1249" s="491"/>
    </row>
    <row r="1250" spans="1:33" x14ac:dyDescent="0.2">
      <c r="A1250" s="415">
        <f t="shared" si="38"/>
        <v>1522</v>
      </c>
      <c r="B1250" s="419" t="str">
        <f t="shared" si="39"/>
        <v>Summer</v>
      </c>
      <c r="C1250" s="455"/>
      <c r="D1250" s="504"/>
      <c r="E1250" s="455"/>
      <c r="F1250" s="504"/>
      <c r="G1250" s="455"/>
      <c r="H1250" s="504"/>
      <c r="I1250" s="455"/>
      <c r="J1250" s="504"/>
      <c r="L1250" s="472"/>
      <c r="M1250" s="468"/>
      <c r="N1250" s="468"/>
      <c r="O1250" s="468"/>
      <c r="P1250" s="468"/>
      <c r="Q1250" s="473"/>
      <c r="R1250" s="477" t="str">
        <f>IF(AND(COUNTIF('Start Character'!$I$63:$M$77,"Twilight Prone")=1,NOT(ISERROR(FIND("Magical Botch",M1250)))),"Yes",IF(P1250&gt;1,"Yes","No"))</f>
        <v>No</v>
      </c>
      <c r="S1250" s="501"/>
      <c r="T1250" s="478"/>
      <c r="U1250" s="501"/>
      <c r="V1250" s="479" t="str">
        <f>IF(R1250="No","No Twilight",IF(T1250="Yes","Uncomprehended Twilight",IF((Character!$B$14+IF(Character!$B$53="Yes",0,Character!$B$53)+IF(Magic!$C$5="Yes",2,0)+ROUNDUP((Magic!$B$30+IF(Magic!$C$30="Yes",3,0))/5,0)+S1250)&gt;=($D$3+P1250+SUMIF(Character!$I$62:$I$66,"Enigmatic Wisdom",Character!$J$62:$J$66)+Q1250+U1250),"No Twilight","Twilight")))</f>
        <v>No Twilight</v>
      </c>
      <c r="W1250" s="483"/>
      <c r="X1250" s="478"/>
      <c r="Y1250" s="484"/>
      <c r="Z1250" s="478"/>
      <c r="AA1250" s="485" t="str">
        <f>IF(V1250="Uncomprehended Twilight","Failed",IF(OR(ISBLANK(W1250),ISBLANK(Y1250))," ",IF(NOT(ISBLANK(X1250)),"Failed",IF((W1250+Character!$B$9+SUMIF(Character!$I$62:$I$66,"Enigmatic Wisdom",Character!$J$62:$J$66))&gt;=IF(Z1250="Yes",0,(Y1250+D1245)),"Succeeded","Failed"))))</f>
        <v xml:space="preserve"> </v>
      </c>
      <c r="AB1250" s="477" t="str">
        <f>IF(AA1250=" "," ",IF(NOT(ISBLANK(X1250)),VLOOKUP($D$3+X1250,Calcs!$A$110:$C$122,3,TRUE),IF(AA1250="Failed",VLOOKUP($D$3,Calcs!$A$110:$C$122,3,TRUE),VLOOKUP($D$3-(IF((Character!$B$9+W1250)&gt;($D$3+Y1250),(Character!$B$9+W1250)-($D$3+Y1250),0)),Calcs!$A$110:$C$122,3,TRUE))))</f>
        <v xml:space="preserve"> </v>
      </c>
      <c r="AC1250" s="489"/>
      <c r="AD1250" s="489" t="str">
        <f>IF(IF(AA1250=" "," ",IF(NOT(ISBLANK(X1250)),VLOOKUP($D$3+X1250,Calcs!$A$110:$B$122,2,TRUE),IF(AA1250="Failed",VLOOKUP($D$3,Calcs!$A$110:$B$122,2,TRUE),VLOOKUP($D$3-(IF((Character!$B$9+W1250)&gt;($D$3+Y1250),(Character!$B$9+W1250)-($D$3+Y1250),0)),Calcs!$A$110:$B$122,2,TRUE))))=Calcs!$B$120,IF(ISBLANK(AC1250)," ",CONCATENATE(AC1250+7," Years")),IF(AA1250=" "," ",IF(NOT(ISBLANK(X1250)),VLOOKUP($D$3+X1250,Calcs!$A$110:$B$122,2,TRUE),IF(AA1250="Failed",VLOOKUP($D$3,Calcs!$A$110:$B$122,2,TRUE),VLOOKUP($D$3-(IF((Character!$B$9+W1250)&gt;($D$3+Y1250),(Character!$B$9+W1250)-($D$3+Y1250),0)),Calcs!$A$110:$B$122,2,TRUE)))))</f>
        <v xml:space="preserve"> </v>
      </c>
      <c r="AE1250" s="490"/>
      <c r="AF1250" s="879"/>
      <c r="AG1250" s="491"/>
    </row>
    <row r="1251" spans="1:33" x14ac:dyDescent="0.2">
      <c r="A1251" s="415">
        <f t="shared" si="38"/>
        <v>1522</v>
      </c>
      <c r="B1251" s="419" t="str">
        <f t="shared" si="39"/>
        <v>Autumn</v>
      </c>
      <c r="C1251" s="455"/>
      <c r="D1251" s="504"/>
      <c r="E1251" s="455"/>
      <c r="F1251" s="504"/>
      <c r="G1251" s="455"/>
      <c r="H1251" s="504"/>
      <c r="I1251" s="455"/>
      <c r="J1251" s="504"/>
      <c r="L1251" s="472"/>
      <c r="M1251" s="468"/>
      <c r="N1251" s="468"/>
      <c r="O1251" s="468"/>
      <c r="P1251" s="468"/>
      <c r="Q1251" s="473"/>
      <c r="R1251" s="477" t="str">
        <f>IF(AND(COUNTIF('Start Character'!$I$63:$M$77,"Twilight Prone")=1,NOT(ISERROR(FIND("Magical Botch",M1251)))),"Yes",IF(P1251&gt;1,"Yes","No"))</f>
        <v>No</v>
      </c>
      <c r="S1251" s="501"/>
      <c r="T1251" s="478"/>
      <c r="U1251" s="501"/>
      <c r="V1251" s="479" t="str">
        <f>IF(R1251="No","No Twilight",IF(T1251="Yes","Uncomprehended Twilight",IF((Character!$B$14+IF(Character!$B$53="Yes",0,Character!$B$53)+IF(Magic!$C$5="Yes",2,0)+ROUNDUP((Magic!$B$30+IF(Magic!$C$30="Yes",3,0))/5,0)+S1251)&gt;=($D$3+P1251+SUMIF(Character!$I$62:$I$66,"Enigmatic Wisdom",Character!$J$62:$J$66)+Q1251+U1251),"No Twilight","Twilight")))</f>
        <v>No Twilight</v>
      </c>
      <c r="W1251" s="483"/>
      <c r="X1251" s="478"/>
      <c r="Y1251" s="484"/>
      <c r="Z1251" s="478"/>
      <c r="AA1251" s="485" t="str">
        <f>IF(V1251="Uncomprehended Twilight","Failed",IF(OR(ISBLANK(W1251),ISBLANK(Y1251))," ",IF(NOT(ISBLANK(X1251)),"Failed",IF((W1251+Character!$B$9+SUMIF(Character!$I$62:$I$66,"Enigmatic Wisdom",Character!$J$62:$J$66))&gt;=IF(Z1251="Yes",0,(Y1251+D1246)),"Succeeded","Failed"))))</f>
        <v xml:space="preserve"> </v>
      </c>
      <c r="AB1251" s="477" t="str">
        <f>IF(AA1251=" "," ",IF(NOT(ISBLANK(X1251)),VLOOKUP($D$3+X1251,Calcs!$A$110:$C$122,3,TRUE),IF(AA1251="Failed",VLOOKUP($D$3,Calcs!$A$110:$C$122,3,TRUE),VLOOKUP($D$3-(IF((Character!$B$9+W1251)&gt;($D$3+Y1251),(Character!$B$9+W1251)-($D$3+Y1251),0)),Calcs!$A$110:$C$122,3,TRUE))))</f>
        <v xml:space="preserve"> </v>
      </c>
      <c r="AC1251" s="489"/>
      <c r="AD1251" s="489" t="str">
        <f>IF(IF(AA1251=" "," ",IF(NOT(ISBLANK(X1251)),VLOOKUP($D$3+X1251,Calcs!$A$110:$B$122,2,TRUE),IF(AA1251="Failed",VLOOKUP($D$3,Calcs!$A$110:$B$122,2,TRUE),VLOOKUP($D$3-(IF((Character!$B$9+W1251)&gt;($D$3+Y1251),(Character!$B$9+W1251)-($D$3+Y1251),0)),Calcs!$A$110:$B$122,2,TRUE))))=Calcs!$B$120,IF(ISBLANK(AC1251)," ",CONCATENATE(AC1251+7," Years")),IF(AA1251=" "," ",IF(NOT(ISBLANK(X1251)),VLOOKUP($D$3+X1251,Calcs!$A$110:$B$122,2,TRUE),IF(AA1251="Failed",VLOOKUP($D$3,Calcs!$A$110:$B$122,2,TRUE),VLOOKUP($D$3-(IF((Character!$B$9+W1251)&gt;($D$3+Y1251),(Character!$B$9+W1251)-($D$3+Y1251),0)),Calcs!$A$110:$B$122,2,TRUE)))))</f>
        <v xml:space="preserve"> </v>
      </c>
      <c r="AE1251" s="490"/>
      <c r="AF1251" s="879"/>
      <c r="AG1251" s="491"/>
    </row>
    <row r="1252" spans="1:33" x14ac:dyDescent="0.2">
      <c r="A1252" s="415">
        <f t="shared" si="38"/>
        <v>1523</v>
      </c>
      <c r="B1252" s="419" t="str">
        <f t="shared" si="39"/>
        <v>Winter</v>
      </c>
      <c r="C1252" s="455"/>
      <c r="D1252" s="504"/>
      <c r="E1252" s="455"/>
      <c r="F1252" s="504"/>
      <c r="G1252" s="455"/>
      <c r="H1252" s="504"/>
      <c r="I1252" s="455"/>
      <c r="J1252" s="504"/>
      <c r="L1252" s="472"/>
      <c r="M1252" s="468"/>
      <c r="N1252" s="468"/>
      <c r="O1252" s="468"/>
      <c r="P1252" s="468"/>
      <c r="Q1252" s="473"/>
      <c r="R1252" s="477" t="str">
        <f>IF(AND(COUNTIF('Start Character'!$I$63:$M$77,"Twilight Prone")=1,NOT(ISERROR(FIND("Magical Botch",M1252)))),"Yes",IF(P1252&gt;1,"Yes","No"))</f>
        <v>No</v>
      </c>
      <c r="S1252" s="501"/>
      <c r="T1252" s="478"/>
      <c r="U1252" s="501"/>
      <c r="V1252" s="479" t="str">
        <f>IF(R1252="No","No Twilight",IF(T1252="Yes","Uncomprehended Twilight",IF((Character!$B$14+IF(Character!$B$53="Yes",0,Character!$B$53)+IF(Magic!$C$5="Yes",2,0)+ROUNDUP((Magic!$B$30+IF(Magic!$C$30="Yes",3,0))/5,0)+S1252)&gt;=($D$3+P1252+SUMIF(Character!$I$62:$I$66,"Enigmatic Wisdom",Character!$J$62:$J$66)+Q1252+U1252),"No Twilight","Twilight")))</f>
        <v>No Twilight</v>
      </c>
      <c r="W1252" s="483"/>
      <c r="X1252" s="478"/>
      <c r="Y1252" s="484"/>
      <c r="Z1252" s="478"/>
      <c r="AA1252" s="485" t="str">
        <f>IF(V1252="Uncomprehended Twilight","Failed",IF(OR(ISBLANK(W1252),ISBLANK(Y1252))," ",IF(NOT(ISBLANK(X1252)),"Failed",IF((W1252+Character!$B$9+SUMIF(Character!$I$62:$I$66,"Enigmatic Wisdom",Character!$J$62:$J$66))&gt;=IF(Z1252="Yes",0,(Y1252+D1247)),"Succeeded","Failed"))))</f>
        <v xml:space="preserve"> </v>
      </c>
      <c r="AB1252" s="477" t="str">
        <f>IF(AA1252=" "," ",IF(NOT(ISBLANK(X1252)),VLOOKUP($D$3+X1252,Calcs!$A$110:$C$122,3,TRUE),IF(AA1252="Failed",VLOOKUP($D$3,Calcs!$A$110:$C$122,3,TRUE),VLOOKUP($D$3-(IF((Character!$B$9+W1252)&gt;($D$3+Y1252),(Character!$B$9+W1252)-($D$3+Y1252),0)),Calcs!$A$110:$C$122,3,TRUE))))</f>
        <v xml:space="preserve"> </v>
      </c>
      <c r="AC1252" s="489"/>
      <c r="AD1252" s="489" t="str">
        <f>IF(IF(AA1252=" "," ",IF(NOT(ISBLANK(X1252)),VLOOKUP($D$3+X1252,Calcs!$A$110:$B$122,2,TRUE),IF(AA1252="Failed",VLOOKUP($D$3,Calcs!$A$110:$B$122,2,TRUE),VLOOKUP($D$3-(IF((Character!$B$9+W1252)&gt;($D$3+Y1252),(Character!$B$9+W1252)-($D$3+Y1252),0)),Calcs!$A$110:$B$122,2,TRUE))))=Calcs!$B$120,IF(ISBLANK(AC1252)," ",CONCATENATE(AC1252+7," Years")),IF(AA1252=" "," ",IF(NOT(ISBLANK(X1252)),VLOOKUP($D$3+X1252,Calcs!$A$110:$B$122,2,TRUE),IF(AA1252="Failed",VLOOKUP($D$3,Calcs!$A$110:$B$122,2,TRUE),VLOOKUP($D$3-(IF((Character!$B$9+W1252)&gt;($D$3+Y1252),(Character!$B$9+W1252)-($D$3+Y1252),0)),Calcs!$A$110:$B$122,2,TRUE)))))</f>
        <v xml:space="preserve"> </v>
      </c>
      <c r="AE1252" s="490"/>
      <c r="AF1252" s="879"/>
      <c r="AG1252" s="491"/>
    </row>
    <row r="1253" spans="1:33" x14ac:dyDescent="0.2">
      <c r="A1253" s="415">
        <f t="shared" si="38"/>
        <v>1523</v>
      </c>
      <c r="B1253" s="419" t="str">
        <f t="shared" si="39"/>
        <v>Spring</v>
      </c>
      <c r="C1253" s="455"/>
      <c r="D1253" s="504"/>
      <c r="E1253" s="455"/>
      <c r="F1253" s="504"/>
      <c r="G1253" s="455"/>
      <c r="H1253" s="504"/>
      <c r="I1253" s="455"/>
      <c r="J1253" s="504"/>
      <c r="L1253" s="472"/>
      <c r="M1253" s="468"/>
      <c r="N1253" s="468"/>
      <c r="O1253" s="468"/>
      <c r="P1253" s="468"/>
      <c r="Q1253" s="473"/>
      <c r="R1253" s="477" t="str">
        <f>IF(AND(COUNTIF('Start Character'!$I$63:$M$77,"Twilight Prone")=1,NOT(ISERROR(FIND("Magical Botch",M1253)))),"Yes",IF(P1253&gt;1,"Yes","No"))</f>
        <v>No</v>
      </c>
      <c r="S1253" s="501"/>
      <c r="T1253" s="478"/>
      <c r="U1253" s="501"/>
      <c r="V1253" s="479" t="str">
        <f>IF(R1253="No","No Twilight",IF(T1253="Yes","Uncomprehended Twilight",IF((Character!$B$14+IF(Character!$B$53="Yes",0,Character!$B$53)+IF(Magic!$C$5="Yes",2,0)+ROUNDUP((Magic!$B$30+IF(Magic!$C$30="Yes",3,0))/5,0)+S1253)&gt;=($D$3+P1253+SUMIF(Character!$I$62:$I$66,"Enigmatic Wisdom",Character!$J$62:$J$66)+Q1253+U1253),"No Twilight","Twilight")))</f>
        <v>No Twilight</v>
      </c>
      <c r="W1253" s="483"/>
      <c r="X1253" s="478"/>
      <c r="Y1253" s="484"/>
      <c r="Z1253" s="478"/>
      <c r="AA1253" s="485" t="str">
        <f>IF(V1253="Uncomprehended Twilight","Failed",IF(OR(ISBLANK(W1253),ISBLANK(Y1253))," ",IF(NOT(ISBLANK(X1253)),"Failed",IF((W1253+Character!$B$9+SUMIF(Character!$I$62:$I$66,"Enigmatic Wisdom",Character!$J$62:$J$66))&gt;=IF(Z1253="Yes",0,(Y1253+D1248)),"Succeeded","Failed"))))</f>
        <v xml:space="preserve"> </v>
      </c>
      <c r="AB1253" s="477" t="str">
        <f>IF(AA1253=" "," ",IF(NOT(ISBLANK(X1253)),VLOOKUP($D$3+X1253,Calcs!$A$110:$C$122,3,TRUE),IF(AA1253="Failed",VLOOKUP($D$3,Calcs!$A$110:$C$122,3,TRUE),VLOOKUP($D$3-(IF((Character!$B$9+W1253)&gt;($D$3+Y1253),(Character!$B$9+W1253)-($D$3+Y1253),0)),Calcs!$A$110:$C$122,3,TRUE))))</f>
        <v xml:space="preserve"> </v>
      </c>
      <c r="AC1253" s="489"/>
      <c r="AD1253" s="489" t="str">
        <f>IF(IF(AA1253=" "," ",IF(NOT(ISBLANK(X1253)),VLOOKUP($D$3+X1253,Calcs!$A$110:$B$122,2,TRUE),IF(AA1253="Failed",VLOOKUP($D$3,Calcs!$A$110:$B$122,2,TRUE),VLOOKUP($D$3-(IF((Character!$B$9+W1253)&gt;($D$3+Y1253),(Character!$B$9+W1253)-($D$3+Y1253),0)),Calcs!$A$110:$B$122,2,TRUE))))=Calcs!$B$120,IF(ISBLANK(AC1253)," ",CONCATENATE(AC1253+7," Years")),IF(AA1253=" "," ",IF(NOT(ISBLANK(X1253)),VLOOKUP($D$3+X1253,Calcs!$A$110:$B$122,2,TRUE),IF(AA1253="Failed",VLOOKUP($D$3,Calcs!$A$110:$B$122,2,TRUE),VLOOKUP($D$3-(IF((Character!$B$9+W1253)&gt;($D$3+Y1253),(Character!$B$9+W1253)-($D$3+Y1253),0)),Calcs!$A$110:$B$122,2,TRUE)))))</f>
        <v xml:space="preserve"> </v>
      </c>
      <c r="AE1253" s="490"/>
      <c r="AF1253" s="879"/>
      <c r="AG1253" s="491"/>
    </row>
    <row r="1254" spans="1:33" x14ac:dyDescent="0.2">
      <c r="A1254" s="415">
        <f t="shared" si="38"/>
        <v>1523</v>
      </c>
      <c r="B1254" s="419" t="str">
        <f t="shared" si="39"/>
        <v>Summer</v>
      </c>
      <c r="C1254" s="455"/>
      <c r="D1254" s="504"/>
      <c r="E1254" s="455"/>
      <c r="F1254" s="504"/>
      <c r="G1254" s="455"/>
      <c r="H1254" s="504"/>
      <c r="I1254" s="455"/>
      <c r="J1254" s="504"/>
      <c r="L1254" s="472"/>
      <c r="M1254" s="468"/>
      <c r="N1254" s="468"/>
      <c r="O1254" s="468"/>
      <c r="P1254" s="468"/>
      <c r="Q1254" s="473"/>
      <c r="R1254" s="477" t="str">
        <f>IF(AND(COUNTIF('Start Character'!$I$63:$M$77,"Twilight Prone")=1,NOT(ISERROR(FIND("Magical Botch",M1254)))),"Yes",IF(P1254&gt;1,"Yes","No"))</f>
        <v>No</v>
      </c>
      <c r="S1254" s="501"/>
      <c r="T1254" s="478"/>
      <c r="U1254" s="501"/>
      <c r="V1254" s="479" t="str">
        <f>IF(R1254="No","No Twilight",IF(T1254="Yes","Uncomprehended Twilight",IF((Character!$B$14+IF(Character!$B$53="Yes",0,Character!$B$53)+IF(Magic!$C$5="Yes",2,0)+ROUNDUP((Magic!$B$30+IF(Magic!$C$30="Yes",3,0))/5,0)+S1254)&gt;=($D$3+P1254+SUMIF(Character!$I$62:$I$66,"Enigmatic Wisdom",Character!$J$62:$J$66)+Q1254+U1254),"No Twilight","Twilight")))</f>
        <v>No Twilight</v>
      </c>
      <c r="W1254" s="483"/>
      <c r="X1254" s="478"/>
      <c r="Y1254" s="484"/>
      <c r="Z1254" s="478"/>
      <c r="AA1254" s="485" t="str">
        <f>IF(V1254="Uncomprehended Twilight","Failed",IF(OR(ISBLANK(W1254),ISBLANK(Y1254))," ",IF(NOT(ISBLANK(X1254)),"Failed",IF((W1254+Character!$B$9+SUMIF(Character!$I$62:$I$66,"Enigmatic Wisdom",Character!$J$62:$J$66))&gt;=IF(Z1254="Yes",0,(Y1254+D1249)),"Succeeded","Failed"))))</f>
        <v xml:space="preserve"> </v>
      </c>
      <c r="AB1254" s="477" t="str">
        <f>IF(AA1254=" "," ",IF(NOT(ISBLANK(X1254)),VLOOKUP($D$3+X1254,Calcs!$A$110:$C$122,3,TRUE),IF(AA1254="Failed",VLOOKUP($D$3,Calcs!$A$110:$C$122,3,TRUE),VLOOKUP($D$3-(IF((Character!$B$9+W1254)&gt;($D$3+Y1254),(Character!$B$9+W1254)-($D$3+Y1254),0)),Calcs!$A$110:$C$122,3,TRUE))))</f>
        <v xml:space="preserve"> </v>
      </c>
      <c r="AC1254" s="489"/>
      <c r="AD1254" s="489" t="str">
        <f>IF(IF(AA1254=" "," ",IF(NOT(ISBLANK(X1254)),VLOOKUP($D$3+X1254,Calcs!$A$110:$B$122,2,TRUE),IF(AA1254="Failed",VLOOKUP($D$3,Calcs!$A$110:$B$122,2,TRUE),VLOOKUP($D$3-(IF((Character!$B$9+W1254)&gt;($D$3+Y1254),(Character!$B$9+W1254)-($D$3+Y1254),0)),Calcs!$A$110:$B$122,2,TRUE))))=Calcs!$B$120,IF(ISBLANK(AC1254)," ",CONCATENATE(AC1254+7," Years")),IF(AA1254=" "," ",IF(NOT(ISBLANK(X1254)),VLOOKUP($D$3+X1254,Calcs!$A$110:$B$122,2,TRUE),IF(AA1254="Failed",VLOOKUP($D$3,Calcs!$A$110:$B$122,2,TRUE),VLOOKUP($D$3-(IF((Character!$B$9+W1254)&gt;($D$3+Y1254),(Character!$B$9+W1254)-($D$3+Y1254),0)),Calcs!$A$110:$B$122,2,TRUE)))))</f>
        <v xml:space="preserve"> </v>
      </c>
      <c r="AE1254" s="490"/>
      <c r="AF1254" s="879"/>
      <c r="AG1254" s="491"/>
    </row>
    <row r="1255" spans="1:33" x14ac:dyDescent="0.2">
      <c r="A1255" s="415">
        <f t="shared" si="38"/>
        <v>1523</v>
      </c>
      <c r="B1255" s="419" t="str">
        <f t="shared" si="39"/>
        <v>Autumn</v>
      </c>
      <c r="C1255" s="455"/>
      <c r="D1255" s="504"/>
      <c r="E1255" s="455"/>
      <c r="F1255" s="504"/>
      <c r="G1255" s="455"/>
      <c r="H1255" s="504"/>
      <c r="I1255" s="455"/>
      <c r="J1255" s="504"/>
      <c r="L1255" s="472"/>
      <c r="M1255" s="468"/>
      <c r="N1255" s="468"/>
      <c r="O1255" s="468"/>
      <c r="P1255" s="468"/>
      <c r="Q1255" s="473"/>
      <c r="R1255" s="477" t="str">
        <f>IF(AND(COUNTIF('Start Character'!$I$63:$M$77,"Twilight Prone")=1,NOT(ISERROR(FIND("Magical Botch",M1255)))),"Yes",IF(P1255&gt;1,"Yes","No"))</f>
        <v>No</v>
      </c>
      <c r="S1255" s="501"/>
      <c r="T1255" s="478"/>
      <c r="U1255" s="501"/>
      <c r="V1255" s="479" t="str">
        <f>IF(R1255="No","No Twilight",IF(T1255="Yes","Uncomprehended Twilight",IF((Character!$B$14+IF(Character!$B$53="Yes",0,Character!$B$53)+IF(Magic!$C$5="Yes",2,0)+ROUNDUP((Magic!$B$30+IF(Magic!$C$30="Yes",3,0))/5,0)+S1255)&gt;=($D$3+P1255+SUMIF(Character!$I$62:$I$66,"Enigmatic Wisdom",Character!$J$62:$J$66)+Q1255+U1255),"No Twilight","Twilight")))</f>
        <v>No Twilight</v>
      </c>
      <c r="W1255" s="483"/>
      <c r="X1255" s="478"/>
      <c r="Y1255" s="484"/>
      <c r="Z1255" s="478"/>
      <c r="AA1255" s="485" t="str">
        <f>IF(V1255="Uncomprehended Twilight","Failed",IF(OR(ISBLANK(W1255),ISBLANK(Y1255))," ",IF(NOT(ISBLANK(X1255)),"Failed",IF((W1255+Character!$B$9+SUMIF(Character!$I$62:$I$66,"Enigmatic Wisdom",Character!$J$62:$J$66))&gt;=IF(Z1255="Yes",0,(Y1255+D1250)),"Succeeded","Failed"))))</f>
        <v xml:space="preserve"> </v>
      </c>
      <c r="AB1255" s="477" t="str">
        <f>IF(AA1255=" "," ",IF(NOT(ISBLANK(X1255)),VLOOKUP($D$3+X1255,Calcs!$A$110:$C$122,3,TRUE),IF(AA1255="Failed",VLOOKUP($D$3,Calcs!$A$110:$C$122,3,TRUE),VLOOKUP($D$3-(IF((Character!$B$9+W1255)&gt;($D$3+Y1255),(Character!$B$9+W1255)-($D$3+Y1255),0)),Calcs!$A$110:$C$122,3,TRUE))))</f>
        <v xml:space="preserve"> </v>
      </c>
      <c r="AC1255" s="489"/>
      <c r="AD1255" s="489" t="str">
        <f>IF(IF(AA1255=" "," ",IF(NOT(ISBLANK(X1255)),VLOOKUP($D$3+X1255,Calcs!$A$110:$B$122,2,TRUE),IF(AA1255="Failed",VLOOKUP($D$3,Calcs!$A$110:$B$122,2,TRUE),VLOOKUP($D$3-(IF((Character!$B$9+W1255)&gt;($D$3+Y1255),(Character!$B$9+W1255)-($D$3+Y1255),0)),Calcs!$A$110:$B$122,2,TRUE))))=Calcs!$B$120,IF(ISBLANK(AC1255)," ",CONCATENATE(AC1255+7," Years")),IF(AA1255=" "," ",IF(NOT(ISBLANK(X1255)),VLOOKUP($D$3+X1255,Calcs!$A$110:$B$122,2,TRUE),IF(AA1255="Failed",VLOOKUP($D$3,Calcs!$A$110:$B$122,2,TRUE),VLOOKUP($D$3-(IF((Character!$B$9+W1255)&gt;($D$3+Y1255),(Character!$B$9+W1255)-($D$3+Y1255),0)),Calcs!$A$110:$B$122,2,TRUE)))))</f>
        <v xml:space="preserve"> </v>
      </c>
      <c r="AE1255" s="490"/>
      <c r="AF1255" s="879"/>
      <c r="AG1255" s="491"/>
    </row>
    <row r="1256" spans="1:33" x14ac:dyDescent="0.2">
      <c r="A1256" s="415">
        <f t="shared" si="38"/>
        <v>1524</v>
      </c>
      <c r="B1256" s="419" t="str">
        <f t="shared" si="39"/>
        <v>Winter</v>
      </c>
      <c r="C1256" s="455"/>
      <c r="D1256" s="504"/>
      <c r="E1256" s="455"/>
      <c r="F1256" s="504"/>
      <c r="G1256" s="455"/>
      <c r="H1256" s="504"/>
      <c r="I1256" s="455"/>
      <c r="J1256" s="504"/>
      <c r="L1256" s="472"/>
      <c r="M1256" s="468"/>
      <c r="N1256" s="468"/>
      <c r="O1256" s="468"/>
      <c r="P1256" s="468"/>
      <c r="Q1256" s="473"/>
      <c r="R1256" s="477" t="str">
        <f>IF(AND(COUNTIF('Start Character'!$I$63:$M$77,"Twilight Prone")=1,NOT(ISERROR(FIND("Magical Botch",M1256)))),"Yes",IF(P1256&gt;1,"Yes","No"))</f>
        <v>No</v>
      </c>
      <c r="S1256" s="501"/>
      <c r="T1256" s="478"/>
      <c r="U1256" s="501"/>
      <c r="V1256" s="479" t="str">
        <f>IF(R1256="No","No Twilight",IF(T1256="Yes","Uncomprehended Twilight",IF((Character!$B$14+IF(Character!$B$53="Yes",0,Character!$B$53)+IF(Magic!$C$5="Yes",2,0)+ROUNDUP((Magic!$B$30+IF(Magic!$C$30="Yes",3,0))/5,0)+S1256)&gt;=($D$3+P1256+SUMIF(Character!$I$62:$I$66,"Enigmatic Wisdom",Character!$J$62:$J$66)+Q1256+U1256),"No Twilight","Twilight")))</f>
        <v>No Twilight</v>
      </c>
      <c r="W1256" s="483"/>
      <c r="X1256" s="478"/>
      <c r="Y1256" s="484"/>
      <c r="Z1256" s="478"/>
      <c r="AA1256" s="485" t="str">
        <f>IF(V1256="Uncomprehended Twilight","Failed",IF(OR(ISBLANK(W1256),ISBLANK(Y1256))," ",IF(NOT(ISBLANK(X1256)),"Failed",IF((W1256+Character!$B$9+SUMIF(Character!$I$62:$I$66,"Enigmatic Wisdom",Character!$J$62:$J$66))&gt;=IF(Z1256="Yes",0,(Y1256+D1251)),"Succeeded","Failed"))))</f>
        <v xml:space="preserve"> </v>
      </c>
      <c r="AB1256" s="477" t="str">
        <f>IF(AA1256=" "," ",IF(NOT(ISBLANK(X1256)),VLOOKUP($D$3+X1256,Calcs!$A$110:$C$122,3,TRUE),IF(AA1256="Failed",VLOOKUP($D$3,Calcs!$A$110:$C$122,3,TRUE),VLOOKUP($D$3-(IF((Character!$B$9+W1256)&gt;($D$3+Y1256),(Character!$B$9+W1256)-($D$3+Y1256),0)),Calcs!$A$110:$C$122,3,TRUE))))</f>
        <v xml:space="preserve"> </v>
      </c>
      <c r="AC1256" s="489"/>
      <c r="AD1256" s="489" t="str">
        <f>IF(IF(AA1256=" "," ",IF(NOT(ISBLANK(X1256)),VLOOKUP($D$3+X1256,Calcs!$A$110:$B$122,2,TRUE),IF(AA1256="Failed",VLOOKUP($D$3,Calcs!$A$110:$B$122,2,TRUE),VLOOKUP($D$3-(IF((Character!$B$9+W1256)&gt;($D$3+Y1256),(Character!$B$9+W1256)-($D$3+Y1256),0)),Calcs!$A$110:$B$122,2,TRUE))))=Calcs!$B$120,IF(ISBLANK(AC1256)," ",CONCATENATE(AC1256+7," Years")),IF(AA1256=" "," ",IF(NOT(ISBLANK(X1256)),VLOOKUP($D$3+X1256,Calcs!$A$110:$B$122,2,TRUE),IF(AA1256="Failed",VLOOKUP($D$3,Calcs!$A$110:$B$122,2,TRUE),VLOOKUP($D$3-(IF((Character!$B$9+W1256)&gt;($D$3+Y1256),(Character!$B$9+W1256)-($D$3+Y1256),0)),Calcs!$A$110:$B$122,2,TRUE)))))</f>
        <v xml:space="preserve"> </v>
      </c>
      <c r="AE1256" s="490"/>
      <c r="AF1256" s="879"/>
      <c r="AG1256" s="491"/>
    </row>
    <row r="1257" spans="1:33" x14ac:dyDescent="0.2">
      <c r="A1257" s="415">
        <f t="shared" si="38"/>
        <v>1524</v>
      </c>
      <c r="B1257" s="419" t="str">
        <f t="shared" si="39"/>
        <v>Spring</v>
      </c>
      <c r="C1257" s="455"/>
      <c r="D1257" s="504"/>
      <c r="E1257" s="455"/>
      <c r="F1257" s="504"/>
      <c r="G1257" s="455"/>
      <c r="H1257" s="504"/>
      <c r="I1257" s="455"/>
      <c r="J1257" s="504"/>
      <c r="L1257" s="472"/>
      <c r="M1257" s="468"/>
      <c r="N1257" s="468"/>
      <c r="O1257" s="468"/>
      <c r="P1257" s="468"/>
      <c r="Q1257" s="473"/>
      <c r="R1257" s="477" t="str">
        <f>IF(AND(COUNTIF('Start Character'!$I$63:$M$77,"Twilight Prone")=1,NOT(ISERROR(FIND("Magical Botch",M1257)))),"Yes",IF(P1257&gt;1,"Yes","No"))</f>
        <v>No</v>
      </c>
      <c r="S1257" s="501"/>
      <c r="T1257" s="478"/>
      <c r="U1257" s="501"/>
      <c r="V1257" s="479" t="str">
        <f>IF(R1257="No","No Twilight",IF(T1257="Yes","Uncomprehended Twilight",IF((Character!$B$14+IF(Character!$B$53="Yes",0,Character!$B$53)+IF(Magic!$C$5="Yes",2,0)+ROUNDUP((Magic!$B$30+IF(Magic!$C$30="Yes",3,0))/5,0)+S1257)&gt;=($D$3+P1257+SUMIF(Character!$I$62:$I$66,"Enigmatic Wisdom",Character!$J$62:$J$66)+Q1257+U1257),"No Twilight","Twilight")))</f>
        <v>No Twilight</v>
      </c>
      <c r="W1257" s="483"/>
      <c r="X1257" s="478"/>
      <c r="Y1257" s="484"/>
      <c r="Z1257" s="478"/>
      <c r="AA1257" s="485" t="str">
        <f>IF(V1257="Uncomprehended Twilight","Failed",IF(OR(ISBLANK(W1257),ISBLANK(Y1257))," ",IF(NOT(ISBLANK(X1257)),"Failed",IF((W1257+Character!$B$9+SUMIF(Character!$I$62:$I$66,"Enigmatic Wisdom",Character!$J$62:$J$66))&gt;=IF(Z1257="Yes",0,(Y1257+D1252)),"Succeeded","Failed"))))</f>
        <v xml:space="preserve"> </v>
      </c>
      <c r="AB1257" s="477" t="str">
        <f>IF(AA1257=" "," ",IF(NOT(ISBLANK(X1257)),VLOOKUP($D$3+X1257,Calcs!$A$110:$C$122,3,TRUE),IF(AA1257="Failed",VLOOKUP($D$3,Calcs!$A$110:$C$122,3,TRUE),VLOOKUP($D$3-(IF((Character!$B$9+W1257)&gt;($D$3+Y1257),(Character!$B$9+W1257)-($D$3+Y1257),0)),Calcs!$A$110:$C$122,3,TRUE))))</f>
        <v xml:space="preserve"> </v>
      </c>
      <c r="AC1257" s="489"/>
      <c r="AD1257" s="489" t="str">
        <f>IF(IF(AA1257=" "," ",IF(NOT(ISBLANK(X1257)),VLOOKUP($D$3+X1257,Calcs!$A$110:$B$122,2,TRUE),IF(AA1257="Failed",VLOOKUP($D$3,Calcs!$A$110:$B$122,2,TRUE),VLOOKUP($D$3-(IF((Character!$B$9+W1257)&gt;($D$3+Y1257),(Character!$B$9+W1257)-($D$3+Y1257),0)),Calcs!$A$110:$B$122,2,TRUE))))=Calcs!$B$120,IF(ISBLANK(AC1257)," ",CONCATENATE(AC1257+7," Years")),IF(AA1257=" "," ",IF(NOT(ISBLANK(X1257)),VLOOKUP($D$3+X1257,Calcs!$A$110:$B$122,2,TRUE),IF(AA1257="Failed",VLOOKUP($D$3,Calcs!$A$110:$B$122,2,TRUE),VLOOKUP($D$3-(IF((Character!$B$9+W1257)&gt;($D$3+Y1257),(Character!$B$9+W1257)-($D$3+Y1257),0)),Calcs!$A$110:$B$122,2,TRUE)))))</f>
        <v xml:space="preserve"> </v>
      </c>
      <c r="AE1257" s="490"/>
      <c r="AF1257" s="879"/>
      <c r="AG1257" s="491"/>
    </row>
    <row r="1258" spans="1:33" x14ac:dyDescent="0.2">
      <c r="A1258" s="415">
        <f t="shared" si="38"/>
        <v>1524</v>
      </c>
      <c r="B1258" s="419" t="str">
        <f t="shared" si="39"/>
        <v>Summer</v>
      </c>
      <c r="C1258" s="455"/>
      <c r="D1258" s="504"/>
      <c r="E1258" s="455"/>
      <c r="F1258" s="504"/>
      <c r="G1258" s="455"/>
      <c r="H1258" s="504"/>
      <c r="I1258" s="455"/>
      <c r="J1258" s="504"/>
      <c r="L1258" s="472"/>
      <c r="M1258" s="468"/>
      <c r="N1258" s="468"/>
      <c r="O1258" s="468"/>
      <c r="P1258" s="468"/>
      <c r="Q1258" s="473"/>
      <c r="R1258" s="477" t="str">
        <f>IF(AND(COUNTIF('Start Character'!$I$63:$M$77,"Twilight Prone")=1,NOT(ISERROR(FIND("Magical Botch",M1258)))),"Yes",IF(P1258&gt;1,"Yes","No"))</f>
        <v>No</v>
      </c>
      <c r="S1258" s="501"/>
      <c r="T1258" s="478"/>
      <c r="U1258" s="501"/>
      <c r="V1258" s="479" t="str">
        <f>IF(R1258="No","No Twilight",IF(T1258="Yes","Uncomprehended Twilight",IF((Character!$B$14+IF(Character!$B$53="Yes",0,Character!$B$53)+IF(Magic!$C$5="Yes",2,0)+ROUNDUP((Magic!$B$30+IF(Magic!$C$30="Yes",3,0))/5,0)+S1258)&gt;=($D$3+P1258+SUMIF(Character!$I$62:$I$66,"Enigmatic Wisdom",Character!$J$62:$J$66)+Q1258+U1258),"No Twilight","Twilight")))</f>
        <v>No Twilight</v>
      </c>
      <c r="W1258" s="483"/>
      <c r="X1258" s="478"/>
      <c r="Y1258" s="484"/>
      <c r="Z1258" s="478"/>
      <c r="AA1258" s="485" t="str">
        <f>IF(V1258="Uncomprehended Twilight","Failed",IF(OR(ISBLANK(W1258),ISBLANK(Y1258))," ",IF(NOT(ISBLANK(X1258)),"Failed",IF((W1258+Character!$B$9+SUMIF(Character!$I$62:$I$66,"Enigmatic Wisdom",Character!$J$62:$J$66))&gt;=IF(Z1258="Yes",0,(Y1258+D1253)),"Succeeded","Failed"))))</f>
        <v xml:space="preserve"> </v>
      </c>
      <c r="AB1258" s="477" t="str">
        <f>IF(AA1258=" "," ",IF(NOT(ISBLANK(X1258)),VLOOKUP($D$3+X1258,Calcs!$A$110:$C$122,3,TRUE),IF(AA1258="Failed",VLOOKUP($D$3,Calcs!$A$110:$C$122,3,TRUE),VLOOKUP($D$3-(IF((Character!$B$9+W1258)&gt;($D$3+Y1258),(Character!$B$9+W1258)-($D$3+Y1258),0)),Calcs!$A$110:$C$122,3,TRUE))))</f>
        <v xml:space="preserve"> </v>
      </c>
      <c r="AC1258" s="489"/>
      <c r="AD1258" s="489" t="str">
        <f>IF(IF(AA1258=" "," ",IF(NOT(ISBLANK(X1258)),VLOOKUP($D$3+X1258,Calcs!$A$110:$B$122,2,TRUE),IF(AA1258="Failed",VLOOKUP($D$3,Calcs!$A$110:$B$122,2,TRUE),VLOOKUP($D$3-(IF((Character!$B$9+W1258)&gt;($D$3+Y1258),(Character!$B$9+W1258)-($D$3+Y1258),0)),Calcs!$A$110:$B$122,2,TRUE))))=Calcs!$B$120,IF(ISBLANK(AC1258)," ",CONCATENATE(AC1258+7," Years")),IF(AA1258=" "," ",IF(NOT(ISBLANK(X1258)),VLOOKUP($D$3+X1258,Calcs!$A$110:$B$122,2,TRUE),IF(AA1258="Failed",VLOOKUP($D$3,Calcs!$A$110:$B$122,2,TRUE),VLOOKUP($D$3-(IF((Character!$B$9+W1258)&gt;($D$3+Y1258),(Character!$B$9+W1258)-($D$3+Y1258),0)),Calcs!$A$110:$B$122,2,TRUE)))))</f>
        <v xml:space="preserve"> </v>
      </c>
      <c r="AE1258" s="490"/>
      <c r="AF1258" s="879"/>
      <c r="AG1258" s="491"/>
    </row>
    <row r="1259" spans="1:33" x14ac:dyDescent="0.2">
      <c r="A1259" s="415">
        <f t="shared" si="38"/>
        <v>1524</v>
      </c>
      <c r="B1259" s="419" t="str">
        <f t="shared" si="39"/>
        <v>Autumn</v>
      </c>
      <c r="C1259" s="455"/>
      <c r="D1259" s="504"/>
      <c r="E1259" s="455"/>
      <c r="F1259" s="504"/>
      <c r="G1259" s="455"/>
      <c r="H1259" s="504"/>
      <c r="I1259" s="455"/>
      <c r="J1259" s="504"/>
      <c r="L1259" s="472"/>
      <c r="M1259" s="468"/>
      <c r="N1259" s="468"/>
      <c r="O1259" s="468"/>
      <c r="P1259" s="468"/>
      <c r="Q1259" s="473"/>
      <c r="R1259" s="477" t="str">
        <f>IF(AND(COUNTIF('Start Character'!$I$63:$M$77,"Twilight Prone")=1,NOT(ISERROR(FIND("Magical Botch",M1259)))),"Yes",IF(P1259&gt;1,"Yes","No"))</f>
        <v>No</v>
      </c>
      <c r="S1259" s="501"/>
      <c r="T1259" s="478"/>
      <c r="U1259" s="501"/>
      <c r="V1259" s="479" t="str">
        <f>IF(R1259="No","No Twilight",IF(T1259="Yes","Uncomprehended Twilight",IF((Character!$B$14+IF(Character!$B$53="Yes",0,Character!$B$53)+IF(Magic!$C$5="Yes",2,0)+ROUNDUP((Magic!$B$30+IF(Magic!$C$30="Yes",3,0))/5,0)+S1259)&gt;=($D$3+P1259+SUMIF(Character!$I$62:$I$66,"Enigmatic Wisdom",Character!$J$62:$J$66)+Q1259+U1259),"No Twilight","Twilight")))</f>
        <v>No Twilight</v>
      </c>
      <c r="W1259" s="483"/>
      <c r="X1259" s="478"/>
      <c r="Y1259" s="484"/>
      <c r="Z1259" s="478"/>
      <c r="AA1259" s="485" t="str">
        <f>IF(V1259="Uncomprehended Twilight","Failed",IF(OR(ISBLANK(W1259),ISBLANK(Y1259))," ",IF(NOT(ISBLANK(X1259)),"Failed",IF((W1259+Character!$B$9+SUMIF(Character!$I$62:$I$66,"Enigmatic Wisdom",Character!$J$62:$J$66))&gt;=IF(Z1259="Yes",0,(Y1259+D1254)),"Succeeded","Failed"))))</f>
        <v xml:space="preserve"> </v>
      </c>
      <c r="AB1259" s="477" t="str">
        <f>IF(AA1259=" "," ",IF(NOT(ISBLANK(X1259)),VLOOKUP($D$3+X1259,Calcs!$A$110:$C$122,3,TRUE),IF(AA1259="Failed",VLOOKUP($D$3,Calcs!$A$110:$C$122,3,TRUE),VLOOKUP($D$3-(IF((Character!$B$9+W1259)&gt;($D$3+Y1259),(Character!$B$9+W1259)-($D$3+Y1259),0)),Calcs!$A$110:$C$122,3,TRUE))))</f>
        <v xml:space="preserve"> </v>
      </c>
      <c r="AC1259" s="489"/>
      <c r="AD1259" s="489" t="str">
        <f>IF(IF(AA1259=" "," ",IF(NOT(ISBLANK(X1259)),VLOOKUP($D$3+X1259,Calcs!$A$110:$B$122,2,TRUE),IF(AA1259="Failed",VLOOKUP($D$3,Calcs!$A$110:$B$122,2,TRUE),VLOOKUP($D$3-(IF((Character!$B$9+W1259)&gt;($D$3+Y1259),(Character!$B$9+W1259)-($D$3+Y1259),0)),Calcs!$A$110:$B$122,2,TRUE))))=Calcs!$B$120,IF(ISBLANK(AC1259)," ",CONCATENATE(AC1259+7," Years")),IF(AA1259=" "," ",IF(NOT(ISBLANK(X1259)),VLOOKUP($D$3+X1259,Calcs!$A$110:$B$122,2,TRUE),IF(AA1259="Failed",VLOOKUP($D$3,Calcs!$A$110:$B$122,2,TRUE),VLOOKUP($D$3-(IF((Character!$B$9+W1259)&gt;($D$3+Y1259),(Character!$B$9+W1259)-($D$3+Y1259),0)),Calcs!$A$110:$B$122,2,TRUE)))))</f>
        <v xml:space="preserve"> </v>
      </c>
      <c r="AE1259" s="490"/>
      <c r="AF1259" s="879"/>
      <c r="AG1259" s="491"/>
    </row>
    <row r="1260" spans="1:33" x14ac:dyDescent="0.2">
      <c r="A1260" s="415">
        <f t="shared" si="38"/>
        <v>1525</v>
      </c>
      <c r="B1260" s="419" t="str">
        <f t="shared" si="39"/>
        <v>Winter</v>
      </c>
      <c r="C1260" s="455"/>
      <c r="D1260" s="504"/>
      <c r="E1260" s="455"/>
      <c r="F1260" s="504"/>
      <c r="G1260" s="455"/>
      <c r="H1260" s="504"/>
      <c r="I1260" s="455"/>
      <c r="J1260" s="504"/>
      <c r="L1260" s="472"/>
      <c r="M1260" s="468"/>
      <c r="N1260" s="468"/>
      <c r="O1260" s="468"/>
      <c r="P1260" s="468"/>
      <c r="Q1260" s="473"/>
      <c r="R1260" s="477" t="str">
        <f>IF(AND(COUNTIF('Start Character'!$I$63:$M$77,"Twilight Prone")=1,NOT(ISERROR(FIND("Magical Botch",M1260)))),"Yes",IF(P1260&gt;1,"Yes","No"))</f>
        <v>No</v>
      </c>
      <c r="S1260" s="501"/>
      <c r="T1260" s="478"/>
      <c r="U1260" s="501"/>
      <c r="V1260" s="479" t="str">
        <f>IF(R1260="No","No Twilight",IF(T1260="Yes","Uncomprehended Twilight",IF((Character!$B$14+IF(Character!$B$53="Yes",0,Character!$B$53)+IF(Magic!$C$5="Yes",2,0)+ROUNDUP((Magic!$B$30+IF(Magic!$C$30="Yes",3,0))/5,0)+S1260)&gt;=($D$3+P1260+SUMIF(Character!$I$62:$I$66,"Enigmatic Wisdom",Character!$J$62:$J$66)+Q1260+U1260),"No Twilight","Twilight")))</f>
        <v>No Twilight</v>
      </c>
      <c r="W1260" s="483"/>
      <c r="X1260" s="478"/>
      <c r="Y1260" s="484"/>
      <c r="Z1260" s="478"/>
      <c r="AA1260" s="485" t="str">
        <f>IF(V1260="Uncomprehended Twilight","Failed",IF(OR(ISBLANK(W1260),ISBLANK(Y1260))," ",IF(NOT(ISBLANK(X1260)),"Failed",IF((W1260+Character!$B$9+SUMIF(Character!$I$62:$I$66,"Enigmatic Wisdom",Character!$J$62:$J$66))&gt;=IF(Z1260="Yes",0,(Y1260+D1255)),"Succeeded","Failed"))))</f>
        <v xml:space="preserve"> </v>
      </c>
      <c r="AB1260" s="477" t="str">
        <f>IF(AA1260=" "," ",IF(NOT(ISBLANK(X1260)),VLOOKUP($D$3+X1260,Calcs!$A$110:$C$122,3,TRUE),IF(AA1260="Failed",VLOOKUP($D$3,Calcs!$A$110:$C$122,3,TRUE),VLOOKUP($D$3-(IF((Character!$B$9+W1260)&gt;($D$3+Y1260),(Character!$B$9+W1260)-($D$3+Y1260),0)),Calcs!$A$110:$C$122,3,TRUE))))</f>
        <v xml:space="preserve"> </v>
      </c>
      <c r="AC1260" s="489"/>
      <c r="AD1260" s="489" t="str">
        <f>IF(IF(AA1260=" "," ",IF(NOT(ISBLANK(X1260)),VLOOKUP($D$3+X1260,Calcs!$A$110:$B$122,2,TRUE),IF(AA1260="Failed",VLOOKUP($D$3,Calcs!$A$110:$B$122,2,TRUE),VLOOKUP($D$3-(IF((Character!$B$9+W1260)&gt;($D$3+Y1260),(Character!$B$9+W1260)-($D$3+Y1260),0)),Calcs!$A$110:$B$122,2,TRUE))))=Calcs!$B$120,IF(ISBLANK(AC1260)," ",CONCATENATE(AC1260+7," Years")),IF(AA1260=" "," ",IF(NOT(ISBLANK(X1260)),VLOOKUP($D$3+X1260,Calcs!$A$110:$B$122,2,TRUE),IF(AA1260="Failed",VLOOKUP($D$3,Calcs!$A$110:$B$122,2,TRUE),VLOOKUP($D$3-(IF((Character!$B$9+W1260)&gt;($D$3+Y1260),(Character!$B$9+W1260)-($D$3+Y1260),0)),Calcs!$A$110:$B$122,2,TRUE)))))</f>
        <v xml:space="preserve"> </v>
      </c>
      <c r="AE1260" s="490"/>
      <c r="AF1260" s="879"/>
      <c r="AG1260" s="491"/>
    </row>
    <row r="1261" spans="1:33" x14ac:dyDescent="0.2">
      <c r="A1261" s="415">
        <f t="shared" si="38"/>
        <v>1525</v>
      </c>
      <c r="B1261" s="419" t="str">
        <f t="shared" si="39"/>
        <v>Spring</v>
      </c>
      <c r="C1261" s="455"/>
      <c r="D1261" s="504"/>
      <c r="E1261" s="455"/>
      <c r="F1261" s="504"/>
      <c r="G1261" s="455"/>
      <c r="H1261" s="504"/>
      <c r="I1261" s="455"/>
      <c r="J1261" s="504"/>
      <c r="L1261" s="472"/>
      <c r="M1261" s="468"/>
      <c r="N1261" s="468"/>
      <c r="O1261" s="468"/>
      <c r="P1261" s="468"/>
      <c r="Q1261" s="473"/>
      <c r="R1261" s="477" t="str">
        <f>IF(AND(COUNTIF('Start Character'!$I$63:$M$77,"Twilight Prone")=1,NOT(ISERROR(FIND("Magical Botch",M1261)))),"Yes",IF(P1261&gt;1,"Yes","No"))</f>
        <v>No</v>
      </c>
      <c r="S1261" s="501"/>
      <c r="T1261" s="478"/>
      <c r="U1261" s="501"/>
      <c r="V1261" s="479" t="str">
        <f>IF(R1261="No","No Twilight",IF(T1261="Yes","Uncomprehended Twilight",IF((Character!$B$14+IF(Character!$B$53="Yes",0,Character!$B$53)+IF(Magic!$C$5="Yes",2,0)+ROUNDUP((Magic!$B$30+IF(Magic!$C$30="Yes",3,0))/5,0)+S1261)&gt;=($D$3+P1261+SUMIF(Character!$I$62:$I$66,"Enigmatic Wisdom",Character!$J$62:$J$66)+Q1261+U1261),"No Twilight","Twilight")))</f>
        <v>No Twilight</v>
      </c>
      <c r="W1261" s="483"/>
      <c r="X1261" s="478"/>
      <c r="Y1261" s="484"/>
      <c r="Z1261" s="478"/>
      <c r="AA1261" s="485" t="str">
        <f>IF(V1261="Uncomprehended Twilight","Failed",IF(OR(ISBLANK(W1261),ISBLANK(Y1261))," ",IF(NOT(ISBLANK(X1261)),"Failed",IF((W1261+Character!$B$9+SUMIF(Character!$I$62:$I$66,"Enigmatic Wisdom",Character!$J$62:$J$66))&gt;=IF(Z1261="Yes",0,(Y1261+D1256)),"Succeeded","Failed"))))</f>
        <v xml:space="preserve"> </v>
      </c>
      <c r="AB1261" s="477" t="str">
        <f>IF(AA1261=" "," ",IF(NOT(ISBLANK(X1261)),VLOOKUP($D$3+X1261,Calcs!$A$110:$C$122,3,TRUE),IF(AA1261="Failed",VLOOKUP($D$3,Calcs!$A$110:$C$122,3,TRUE),VLOOKUP($D$3-(IF((Character!$B$9+W1261)&gt;($D$3+Y1261),(Character!$B$9+W1261)-($D$3+Y1261),0)),Calcs!$A$110:$C$122,3,TRUE))))</f>
        <v xml:space="preserve"> </v>
      </c>
      <c r="AC1261" s="489"/>
      <c r="AD1261" s="489" t="str">
        <f>IF(IF(AA1261=" "," ",IF(NOT(ISBLANK(X1261)),VLOOKUP($D$3+X1261,Calcs!$A$110:$B$122,2,TRUE),IF(AA1261="Failed",VLOOKUP($D$3,Calcs!$A$110:$B$122,2,TRUE),VLOOKUP($D$3-(IF((Character!$B$9+W1261)&gt;($D$3+Y1261),(Character!$B$9+W1261)-($D$3+Y1261),0)),Calcs!$A$110:$B$122,2,TRUE))))=Calcs!$B$120,IF(ISBLANK(AC1261)," ",CONCATENATE(AC1261+7," Years")),IF(AA1261=" "," ",IF(NOT(ISBLANK(X1261)),VLOOKUP($D$3+X1261,Calcs!$A$110:$B$122,2,TRUE),IF(AA1261="Failed",VLOOKUP($D$3,Calcs!$A$110:$B$122,2,TRUE),VLOOKUP($D$3-(IF((Character!$B$9+W1261)&gt;($D$3+Y1261),(Character!$B$9+W1261)-($D$3+Y1261),0)),Calcs!$A$110:$B$122,2,TRUE)))))</f>
        <v xml:space="preserve"> </v>
      </c>
      <c r="AE1261" s="490"/>
      <c r="AF1261" s="879"/>
      <c r="AG1261" s="491"/>
    </row>
    <row r="1262" spans="1:33" x14ac:dyDescent="0.2">
      <c r="A1262" s="415">
        <f t="shared" si="38"/>
        <v>1525</v>
      </c>
      <c r="B1262" s="419" t="str">
        <f t="shared" si="39"/>
        <v>Summer</v>
      </c>
      <c r="C1262" s="455"/>
      <c r="D1262" s="504"/>
      <c r="E1262" s="455"/>
      <c r="F1262" s="504"/>
      <c r="G1262" s="455"/>
      <c r="H1262" s="504"/>
      <c r="I1262" s="455"/>
      <c r="J1262" s="504"/>
      <c r="L1262" s="472"/>
      <c r="M1262" s="468"/>
      <c r="N1262" s="468"/>
      <c r="O1262" s="468"/>
      <c r="P1262" s="468"/>
      <c r="Q1262" s="473"/>
      <c r="R1262" s="477" t="str">
        <f>IF(AND(COUNTIF('Start Character'!$I$63:$M$77,"Twilight Prone")=1,NOT(ISERROR(FIND("Magical Botch",M1262)))),"Yes",IF(P1262&gt;1,"Yes","No"))</f>
        <v>No</v>
      </c>
      <c r="S1262" s="501"/>
      <c r="T1262" s="478"/>
      <c r="U1262" s="501"/>
      <c r="V1262" s="479" t="str">
        <f>IF(R1262="No","No Twilight",IF(T1262="Yes","Uncomprehended Twilight",IF((Character!$B$14+IF(Character!$B$53="Yes",0,Character!$B$53)+IF(Magic!$C$5="Yes",2,0)+ROUNDUP((Magic!$B$30+IF(Magic!$C$30="Yes",3,0))/5,0)+S1262)&gt;=($D$3+P1262+SUMIF(Character!$I$62:$I$66,"Enigmatic Wisdom",Character!$J$62:$J$66)+Q1262+U1262),"No Twilight","Twilight")))</f>
        <v>No Twilight</v>
      </c>
      <c r="W1262" s="483"/>
      <c r="X1262" s="478"/>
      <c r="Y1262" s="484"/>
      <c r="Z1262" s="478"/>
      <c r="AA1262" s="485" t="str">
        <f>IF(V1262="Uncomprehended Twilight","Failed",IF(OR(ISBLANK(W1262),ISBLANK(Y1262))," ",IF(NOT(ISBLANK(X1262)),"Failed",IF((W1262+Character!$B$9+SUMIF(Character!$I$62:$I$66,"Enigmatic Wisdom",Character!$J$62:$J$66))&gt;=IF(Z1262="Yes",0,(Y1262+D1257)),"Succeeded","Failed"))))</f>
        <v xml:space="preserve"> </v>
      </c>
      <c r="AB1262" s="477" t="str">
        <f>IF(AA1262=" "," ",IF(NOT(ISBLANK(X1262)),VLOOKUP($D$3+X1262,Calcs!$A$110:$C$122,3,TRUE),IF(AA1262="Failed",VLOOKUP($D$3,Calcs!$A$110:$C$122,3,TRUE),VLOOKUP($D$3-(IF((Character!$B$9+W1262)&gt;($D$3+Y1262),(Character!$B$9+W1262)-($D$3+Y1262),0)),Calcs!$A$110:$C$122,3,TRUE))))</f>
        <v xml:space="preserve"> </v>
      </c>
      <c r="AC1262" s="489"/>
      <c r="AD1262" s="489" t="str">
        <f>IF(IF(AA1262=" "," ",IF(NOT(ISBLANK(X1262)),VLOOKUP($D$3+X1262,Calcs!$A$110:$B$122,2,TRUE),IF(AA1262="Failed",VLOOKUP($D$3,Calcs!$A$110:$B$122,2,TRUE),VLOOKUP($D$3-(IF((Character!$B$9+W1262)&gt;($D$3+Y1262),(Character!$B$9+W1262)-($D$3+Y1262),0)),Calcs!$A$110:$B$122,2,TRUE))))=Calcs!$B$120,IF(ISBLANK(AC1262)," ",CONCATENATE(AC1262+7," Years")),IF(AA1262=" "," ",IF(NOT(ISBLANK(X1262)),VLOOKUP($D$3+X1262,Calcs!$A$110:$B$122,2,TRUE),IF(AA1262="Failed",VLOOKUP($D$3,Calcs!$A$110:$B$122,2,TRUE),VLOOKUP($D$3-(IF((Character!$B$9+W1262)&gt;($D$3+Y1262),(Character!$B$9+W1262)-($D$3+Y1262),0)),Calcs!$A$110:$B$122,2,TRUE)))))</f>
        <v xml:space="preserve"> </v>
      </c>
      <c r="AE1262" s="490"/>
      <c r="AF1262" s="879"/>
      <c r="AG1262" s="491"/>
    </row>
    <row r="1263" spans="1:33" x14ac:dyDescent="0.2">
      <c r="A1263" s="415">
        <f t="shared" si="38"/>
        <v>1525</v>
      </c>
      <c r="B1263" s="419" t="str">
        <f t="shared" si="39"/>
        <v>Autumn</v>
      </c>
      <c r="C1263" s="455"/>
      <c r="D1263" s="504"/>
      <c r="E1263" s="455"/>
      <c r="F1263" s="504"/>
      <c r="G1263" s="455"/>
      <c r="H1263" s="504"/>
      <c r="I1263" s="455"/>
      <c r="J1263" s="504"/>
      <c r="L1263" s="472"/>
      <c r="M1263" s="468"/>
      <c r="N1263" s="468"/>
      <c r="O1263" s="468"/>
      <c r="P1263" s="468"/>
      <c r="Q1263" s="473"/>
      <c r="R1263" s="477" t="str">
        <f>IF(AND(COUNTIF('Start Character'!$I$63:$M$77,"Twilight Prone")=1,NOT(ISERROR(FIND("Magical Botch",M1263)))),"Yes",IF(P1263&gt;1,"Yes","No"))</f>
        <v>No</v>
      </c>
      <c r="S1263" s="501"/>
      <c r="T1263" s="478"/>
      <c r="U1263" s="501"/>
      <c r="V1263" s="479" t="str">
        <f>IF(R1263="No","No Twilight",IF(T1263="Yes","Uncomprehended Twilight",IF((Character!$B$14+IF(Character!$B$53="Yes",0,Character!$B$53)+IF(Magic!$C$5="Yes",2,0)+ROUNDUP((Magic!$B$30+IF(Magic!$C$30="Yes",3,0))/5,0)+S1263)&gt;=($D$3+P1263+SUMIF(Character!$I$62:$I$66,"Enigmatic Wisdom",Character!$J$62:$J$66)+Q1263+U1263),"No Twilight","Twilight")))</f>
        <v>No Twilight</v>
      </c>
      <c r="W1263" s="483"/>
      <c r="X1263" s="478"/>
      <c r="Y1263" s="484"/>
      <c r="Z1263" s="478"/>
      <c r="AA1263" s="485" t="str">
        <f>IF(V1263="Uncomprehended Twilight","Failed",IF(OR(ISBLANK(W1263),ISBLANK(Y1263))," ",IF(NOT(ISBLANK(X1263)),"Failed",IF((W1263+Character!$B$9+SUMIF(Character!$I$62:$I$66,"Enigmatic Wisdom",Character!$J$62:$J$66))&gt;=IF(Z1263="Yes",0,(Y1263+D1258)),"Succeeded","Failed"))))</f>
        <v xml:space="preserve"> </v>
      </c>
      <c r="AB1263" s="477" t="str">
        <f>IF(AA1263=" "," ",IF(NOT(ISBLANK(X1263)),VLOOKUP($D$3+X1263,Calcs!$A$110:$C$122,3,TRUE),IF(AA1263="Failed",VLOOKUP($D$3,Calcs!$A$110:$C$122,3,TRUE),VLOOKUP($D$3-(IF((Character!$B$9+W1263)&gt;($D$3+Y1263),(Character!$B$9+W1263)-($D$3+Y1263),0)),Calcs!$A$110:$C$122,3,TRUE))))</f>
        <v xml:space="preserve"> </v>
      </c>
      <c r="AC1263" s="489"/>
      <c r="AD1263" s="489" t="str">
        <f>IF(IF(AA1263=" "," ",IF(NOT(ISBLANK(X1263)),VLOOKUP($D$3+X1263,Calcs!$A$110:$B$122,2,TRUE),IF(AA1263="Failed",VLOOKUP($D$3,Calcs!$A$110:$B$122,2,TRUE),VLOOKUP($D$3-(IF((Character!$B$9+W1263)&gt;($D$3+Y1263),(Character!$B$9+W1263)-($D$3+Y1263),0)),Calcs!$A$110:$B$122,2,TRUE))))=Calcs!$B$120,IF(ISBLANK(AC1263)," ",CONCATENATE(AC1263+7," Years")),IF(AA1263=" "," ",IF(NOT(ISBLANK(X1263)),VLOOKUP($D$3+X1263,Calcs!$A$110:$B$122,2,TRUE),IF(AA1263="Failed",VLOOKUP($D$3,Calcs!$A$110:$B$122,2,TRUE),VLOOKUP($D$3-(IF((Character!$B$9+W1263)&gt;($D$3+Y1263),(Character!$B$9+W1263)-($D$3+Y1263),0)),Calcs!$A$110:$B$122,2,TRUE)))))</f>
        <v xml:space="preserve"> </v>
      </c>
      <c r="AE1263" s="490"/>
      <c r="AF1263" s="879"/>
      <c r="AG1263" s="491"/>
    </row>
    <row r="1264" spans="1:33" x14ac:dyDescent="0.2">
      <c r="A1264" s="415">
        <f t="shared" si="38"/>
        <v>1526</v>
      </c>
      <c r="B1264" s="419" t="str">
        <f t="shared" si="39"/>
        <v>Winter</v>
      </c>
      <c r="C1264" s="455"/>
      <c r="D1264" s="504"/>
      <c r="E1264" s="455"/>
      <c r="F1264" s="504"/>
      <c r="G1264" s="455"/>
      <c r="H1264" s="504"/>
      <c r="I1264" s="455"/>
      <c r="J1264" s="504"/>
      <c r="L1264" s="472"/>
      <c r="M1264" s="468"/>
      <c r="N1264" s="468"/>
      <c r="O1264" s="468"/>
      <c r="P1264" s="468"/>
      <c r="Q1264" s="473"/>
      <c r="R1264" s="477" t="str">
        <f>IF(AND(COUNTIF('Start Character'!$I$63:$M$77,"Twilight Prone")=1,NOT(ISERROR(FIND("Magical Botch",M1264)))),"Yes",IF(P1264&gt;1,"Yes","No"))</f>
        <v>No</v>
      </c>
      <c r="S1264" s="501"/>
      <c r="T1264" s="478"/>
      <c r="U1264" s="501"/>
      <c r="V1264" s="479" t="str">
        <f>IF(R1264="No","No Twilight",IF(T1264="Yes","Uncomprehended Twilight",IF((Character!$B$14+IF(Character!$B$53="Yes",0,Character!$B$53)+IF(Magic!$C$5="Yes",2,0)+ROUNDUP((Magic!$B$30+IF(Magic!$C$30="Yes",3,0))/5,0)+S1264)&gt;=($D$3+P1264+SUMIF(Character!$I$62:$I$66,"Enigmatic Wisdom",Character!$J$62:$J$66)+Q1264+U1264),"No Twilight","Twilight")))</f>
        <v>No Twilight</v>
      </c>
      <c r="W1264" s="483"/>
      <c r="X1264" s="478"/>
      <c r="Y1264" s="484"/>
      <c r="Z1264" s="478"/>
      <c r="AA1264" s="485" t="str">
        <f>IF(V1264="Uncomprehended Twilight","Failed",IF(OR(ISBLANK(W1264),ISBLANK(Y1264))," ",IF(NOT(ISBLANK(X1264)),"Failed",IF((W1264+Character!$B$9+SUMIF(Character!$I$62:$I$66,"Enigmatic Wisdom",Character!$J$62:$J$66))&gt;=IF(Z1264="Yes",0,(Y1264+D1259)),"Succeeded","Failed"))))</f>
        <v xml:space="preserve"> </v>
      </c>
      <c r="AB1264" s="477" t="str">
        <f>IF(AA1264=" "," ",IF(NOT(ISBLANK(X1264)),VLOOKUP($D$3+X1264,Calcs!$A$110:$C$122,3,TRUE),IF(AA1264="Failed",VLOOKUP($D$3,Calcs!$A$110:$C$122,3,TRUE),VLOOKUP($D$3-(IF((Character!$B$9+W1264)&gt;($D$3+Y1264),(Character!$B$9+W1264)-($D$3+Y1264),0)),Calcs!$A$110:$C$122,3,TRUE))))</f>
        <v xml:space="preserve"> </v>
      </c>
      <c r="AC1264" s="489"/>
      <c r="AD1264" s="489" t="str">
        <f>IF(IF(AA1264=" "," ",IF(NOT(ISBLANK(X1264)),VLOOKUP($D$3+X1264,Calcs!$A$110:$B$122,2,TRUE),IF(AA1264="Failed",VLOOKUP($D$3,Calcs!$A$110:$B$122,2,TRUE),VLOOKUP($D$3-(IF((Character!$B$9+W1264)&gt;($D$3+Y1264),(Character!$B$9+W1264)-($D$3+Y1264),0)),Calcs!$A$110:$B$122,2,TRUE))))=Calcs!$B$120,IF(ISBLANK(AC1264)," ",CONCATENATE(AC1264+7," Years")),IF(AA1264=" "," ",IF(NOT(ISBLANK(X1264)),VLOOKUP($D$3+X1264,Calcs!$A$110:$B$122,2,TRUE),IF(AA1264="Failed",VLOOKUP($D$3,Calcs!$A$110:$B$122,2,TRUE),VLOOKUP($D$3-(IF((Character!$B$9+W1264)&gt;($D$3+Y1264),(Character!$B$9+W1264)-($D$3+Y1264),0)),Calcs!$A$110:$B$122,2,TRUE)))))</f>
        <v xml:space="preserve"> </v>
      </c>
      <c r="AE1264" s="490"/>
      <c r="AF1264" s="879"/>
      <c r="AG1264" s="491"/>
    </row>
    <row r="1265" spans="1:33" x14ac:dyDescent="0.2">
      <c r="A1265" s="415">
        <f t="shared" si="38"/>
        <v>1526</v>
      </c>
      <c r="B1265" s="419" t="str">
        <f t="shared" si="39"/>
        <v>Spring</v>
      </c>
      <c r="C1265" s="455"/>
      <c r="D1265" s="504"/>
      <c r="E1265" s="455"/>
      <c r="F1265" s="504"/>
      <c r="G1265" s="455"/>
      <c r="H1265" s="504"/>
      <c r="I1265" s="455"/>
      <c r="J1265" s="504"/>
      <c r="L1265" s="472"/>
      <c r="M1265" s="468"/>
      <c r="N1265" s="468"/>
      <c r="O1265" s="468"/>
      <c r="P1265" s="468"/>
      <c r="Q1265" s="473"/>
      <c r="R1265" s="477" t="str">
        <f>IF(AND(COUNTIF('Start Character'!$I$63:$M$77,"Twilight Prone")=1,NOT(ISERROR(FIND("Magical Botch",M1265)))),"Yes",IF(P1265&gt;1,"Yes","No"))</f>
        <v>No</v>
      </c>
      <c r="S1265" s="501"/>
      <c r="T1265" s="478"/>
      <c r="U1265" s="501"/>
      <c r="V1265" s="479" t="str">
        <f>IF(R1265="No","No Twilight",IF(T1265="Yes","Uncomprehended Twilight",IF((Character!$B$14+IF(Character!$B$53="Yes",0,Character!$B$53)+IF(Magic!$C$5="Yes",2,0)+ROUNDUP((Magic!$B$30+IF(Magic!$C$30="Yes",3,0))/5,0)+S1265)&gt;=($D$3+P1265+SUMIF(Character!$I$62:$I$66,"Enigmatic Wisdom",Character!$J$62:$J$66)+Q1265+U1265),"No Twilight","Twilight")))</f>
        <v>No Twilight</v>
      </c>
      <c r="W1265" s="483"/>
      <c r="X1265" s="478"/>
      <c r="Y1265" s="484"/>
      <c r="Z1265" s="478"/>
      <c r="AA1265" s="485" t="str">
        <f>IF(V1265="Uncomprehended Twilight","Failed",IF(OR(ISBLANK(W1265),ISBLANK(Y1265))," ",IF(NOT(ISBLANK(X1265)),"Failed",IF((W1265+Character!$B$9+SUMIF(Character!$I$62:$I$66,"Enigmatic Wisdom",Character!$J$62:$J$66))&gt;=IF(Z1265="Yes",0,(Y1265+D1260)),"Succeeded","Failed"))))</f>
        <v xml:space="preserve"> </v>
      </c>
      <c r="AB1265" s="477" t="str">
        <f>IF(AA1265=" "," ",IF(NOT(ISBLANK(X1265)),VLOOKUP($D$3+X1265,Calcs!$A$110:$C$122,3,TRUE),IF(AA1265="Failed",VLOOKUP($D$3,Calcs!$A$110:$C$122,3,TRUE),VLOOKUP($D$3-(IF((Character!$B$9+W1265)&gt;($D$3+Y1265),(Character!$B$9+W1265)-($D$3+Y1265),0)),Calcs!$A$110:$C$122,3,TRUE))))</f>
        <v xml:space="preserve"> </v>
      </c>
      <c r="AC1265" s="489"/>
      <c r="AD1265" s="489" t="str">
        <f>IF(IF(AA1265=" "," ",IF(NOT(ISBLANK(X1265)),VLOOKUP($D$3+X1265,Calcs!$A$110:$B$122,2,TRUE),IF(AA1265="Failed",VLOOKUP($D$3,Calcs!$A$110:$B$122,2,TRUE),VLOOKUP($D$3-(IF((Character!$B$9+W1265)&gt;($D$3+Y1265),(Character!$B$9+W1265)-($D$3+Y1265),0)),Calcs!$A$110:$B$122,2,TRUE))))=Calcs!$B$120,IF(ISBLANK(AC1265)," ",CONCATENATE(AC1265+7," Years")),IF(AA1265=" "," ",IF(NOT(ISBLANK(X1265)),VLOOKUP($D$3+X1265,Calcs!$A$110:$B$122,2,TRUE),IF(AA1265="Failed",VLOOKUP($D$3,Calcs!$A$110:$B$122,2,TRUE),VLOOKUP($D$3-(IF((Character!$B$9+W1265)&gt;($D$3+Y1265),(Character!$B$9+W1265)-($D$3+Y1265),0)),Calcs!$A$110:$B$122,2,TRUE)))))</f>
        <v xml:space="preserve"> </v>
      </c>
      <c r="AE1265" s="490"/>
      <c r="AF1265" s="879"/>
      <c r="AG1265" s="491"/>
    </row>
    <row r="1266" spans="1:33" x14ac:dyDescent="0.2">
      <c r="A1266" s="415">
        <f t="shared" si="38"/>
        <v>1526</v>
      </c>
      <c r="B1266" s="419" t="str">
        <f t="shared" si="39"/>
        <v>Summer</v>
      </c>
      <c r="C1266" s="455"/>
      <c r="D1266" s="504"/>
      <c r="E1266" s="455"/>
      <c r="F1266" s="504"/>
      <c r="G1266" s="455"/>
      <c r="H1266" s="504"/>
      <c r="I1266" s="455"/>
      <c r="J1266" s="504"/>
      <c r="L1266" s="472"/>
      <c r="M1266" s="468"/>
      <c r="N1266" s="468"/>
      <c r="O1266" s="468"/>
      <c r="P1266" s="468"/>
      <c r="Q1266" s="473"/>
      <c r="R1266" s="477" t="str">
        <f>IF(AND(COUNTIF('Start Character'!$I$63:$M$77,"Twilight Prone")=1,NOT(ISERROR(FIND("Magical Botch",M1266)))),"Yes",IF(P1266&gt;1,"Yes","No"))</f>
        <v>No</v>
      </c>
      <c r="S1266" s="501"/>
      <c r="T1266" s="478"/>
      <c r="U1266" s="501"/>
      <c r="V1266" s="479" t="str">
        <f>IF(R1266="No","No Twilight",IF(T1266="Yes","Uncomprehended Twilight",IF((Character!$B$14+IF(Character!$B$53="Yes",0,Character!$B$53)+IF(Magic!$C$5="Yes",2,0)+ROUNDUP((Magic!$B$30+IF(Magic!$C$30="Yes",3,0))/5,0)+S1266)&gt;=($D$3+P1266+SUMIF(Character!$I$62:$I$66,"Enigmatic Wisdom",Character!$J$62:$J$66)+Q1266+U1266),"No Twilight","Twilight")))</f>
        <v>No Twilight</v>
      </c>
      <c r="W1266" s="483"/>
      <c r="X1266" s="478"/>
      <c r="Y1266" s="484"/>
      <c r="Z1266" s="478"/>
      <c r="AA1266" s="485" t="str">
        <f>IF(V1266="Uncomprehended Twilight","Failed",IF(OR(ISBLANK(W1266),ISBLANK(Y1266))," ",IF(NOT(ISBLANK(X1266)),"Failed",IF((W1266+Character!$B$9+SUMIF(Character!$I$62:$I$66,"Enigmatic Wisdom",Character!$J$62:$J$66))&gt;=IF(Z1266="Yes",0,(Y1266+D1261)),"Succeeded","Failed"))))</f>
        <v xml:space="preserve"> </v>
      </c>
      <c r="AB1266" s="477" t="str">
        <f>IF(AA1266=" "," ",IF(NOT(ISBLANK(X1266)),VLOOKUP($D$3+X1266,Calcs!$A$110:$C$122,3,TRUE),IF(AA1266="Failed",VLOOKUP($D$3,Calcs!$A$110:$C$122,3,TRUE),VLOOKUP($D$3-(IF((Character!$B$9+W1266)&gt;($D$3+Y1266),(Character!$B$9+W1266)-($D$3+Y1266),0)),Calcs!$A$110:$C$122,3,TRUE))))</f>
        <v xml:space="preserve"> </v>
      </c>
      <c r="AC1266" s="489"/>
      <c r="AD1266" s="489" t="str">
        <f>IF(IF(AA1266=" "," ",IF(NOT(ISBLANK(X1266)),VLOOKUP($D$3+X1266,Calcs!$A$110:$B$122,2,TRUE),IF(AA1266="Failed",VLOOKUP($D$3,Calcs!$A$110:$B$122,2,TRUE),VLOOKUP($D$3-(IF((Character!$B$9+W1266)&gt;($D$3+Y1266),(Character!$B$9+W1266)-($D$3+Y1266),0)),Calcs!$A$110:$B$122,2,TRUE))))=Calcs!$B$120,IF(ISBLANK(AC1266)," ",CONCATENATE(AC1266+7," Years")),IF(AA1266=" "," ",IF(NOT(ISBLANK(X1266)),VLOOKUP($D$3+X1266,Calcs!$A$110:$B$122,2,TRUE),IF(AA1266="Failed",VLOOKUP($D$3,Calcs!$A$110:$B$122,2,TRUE),VLOOKUP($D$3-(IF((Character!$B$9+W1266)&gt;($D$3+Y1266),(Character!$B$9+W1266)-($D$3+Y1266),0)),Calcs!$A$110:$B$122,2,TRUE)))))</f>
        <v xml:space="preserve"> </v>
      </c>
      <c r="AE1266" s="490"/>
      <c r="AF1266" s="879"/>
      <c r="AG1266" s="491"/>
    </row>
    <row r="1267" spans="1:33" x14ac:dyDescent="0.2">
      <c r="A1267" s="415">
        <f t="shared" si="38"/>
        <v>1526</v>
      </c>
      <c r="B1267" s="419" t="str">
        <f t="shared" si="39"/>
        <v>Autumn</v>
      </c>
      <c r="C1267" s="455"/>
      <c r="D1267" s="504"/>
      <c r="E1267" s="455"/>
      <c r="F1267" s="504"/>
      <c r="G1267" s="455"/>
      <c r="H1267" s="504"/>
      <c r="I1267" s="455"/>
      <c r="J1267" s="504"/>
      <c r="L1267" s="472"/>
      <c r="M1267" s="468"/>
      <c r="N1267" s="468"/>
      <c r="O1267" s="468"/>
      <c r="P1267" s="468"/>
      <c r="Q1267" s="473"/>
      <c r="R1267" s="477" t="str">
        <f>IF(AND(COUNTIF('Start Character'!$I$63:$M$77,"Twilight Prone")=1,NOT(ISERROR(FIND("Magical Botch",M1267)))),"Yes",IF(P1267&gt;1,"Yes","No"))</f>
        <v>No</v>
      </c>
      <c r="S1267" s="501"/>
      <c r="T1267" s="478"/>
      <c r="U1267" s="501"/>
      <c r="V1267" s="479" t="str">
        <f>IF(R1267="No","No Twilight",IF(T1267="Yes","Uncomprehended Twilight",IF((Character!$B$14+IF(Character!$B$53="Yes",0,Character!$B$53)+IF(Magic!$C$5="Yes",2,0)+ROUNDUP((Magic!$B$30+IF(Magic!$C$30="Yes",3,0))/5,0)+S1267)&gt;=($D$3+P1267+SUMIF(Character!$I$62:$I$66,"Enigmatic Wisdom",Character!$J$62:$J$66)+Q1267+U1267),"No Twilight","Twilight")))</f>
        <v>No Twilight</v>
      </c>
      <c r="W1267" s="483"/>
      <c r="X1267" s="478"/>
      <c r="Y1267" s="484"/>
      <c r="Z1267" s="478"/>
      <c r="AA1267" s="485" t="str">
        <f>IF(V1267="Uncomprehended Twilight","Failed",IF(OR(ISBLANK(W1267),ISBLANK(Y1267))," ",IF(NOT(ISBLANK(X1267)),"Failed",IF((W1267+Character!$B$9+SUMIF(Character!$I$62:$I$66,"Enigmatic Wisdom",Character!$J$62:$J$66))&gt;=IF(Z1267="Yes",0,(Y1267+D1262)),"Succeeded","Failed"))))</f>
        <v xml:space="preserve"> </v>
      </c>
      <c r="AB1267" s="477" t="str">
        <f>IF(AA1267=" "," ",IF(NOT(ISBLANK(X1267)),VLOOKUP($D$3+X1267,Calcs!$A$110:$C$122,3,TRUE),IF(AA1267="Failed",VLOOKUP($D$3,Calcs!$A$110:$C$122,3,TRUE),VLOOKUP($D$3-(IF((Character!$B$9+W1267)&gt;($D$3+Y1267),(Character!$B$9+W1267)-($D$3+Y1267),0)),Calcs!$A$110:$C$122,3,TRUE))))</f>
        <v xml:space="preserve"> </v>
      </c>
      <c r="AC1267" s="489"/>
      <c r="AD1267" s="489" t="str">
        <f>IF(IF(AA1267=" "," ",IF(NOT(ISBLANK(X1267)),VLOOKUP($D$3+X1267,Calcs!$A$110:$B$122,2,TRUE),IF(AA1267="Failed",VLOOKUP($D$3,Calcs!$A$110:$B$122,2,TRUE),VLOOKUP($D$3-(IF((Character!$B$9+W1267)&gt;($D$3+Y1267),(Character!$B$9+W1267)-($D$3+Y1267),0)),Calcs!$A$110:$B$122,2,TRUE))))=Calcs!$B$120,IF(ISBLANK(AC1267)," ",CONCATENATE(AC1267+7," Years")),IF(AA1267=" "," ",IF(NOT(ISBLANK(X1267)),VLOOKUP($D$3+X1267,Calcs!$A$110:$B$122,2,TRUE),IF(AA1267="Failed",VLOOKUP($D$3,Calcs!$A$110:$B$122,2,TRUE),VLOOKUP($D$3-(IF((Character!$B$9+W1267)&gt;($D$3+Y1267),(Character!$B$9+W1267)-($D$3+Y1267),0)),Calcs!$A$110:$B$122,2,TRUE)))))</f>
        <v xml:space="preserve"> </v>
      </c>
      <c r="AE1267" s="490"/>
      <c r="AF1267" s="879"/>
      <c r="AG1267" s="491"/>
    </row>
    <row r="1268" spans="1:33" x14ac:dyDescent="0.2">
      <c r="A1268" s="415">
        <f t="shared" si="38"/>
        <v>1527</v>
      </c>
      <c r="B1268" s="419" t="str">
        <f t="shared" si="39"/>
        <v>Winter</v>
      </c>
      <c r="C1268" s="455"/>
      <c r="D1268" s="504"/>
      <c r="E1268" s="455"/>
      <c r="F1268" s="504"/>
      <c r="G1268" s="455"/>
      <c r="H1268" s="504"/>
      <c r="I1268" s="455"/>
      <c r="J1268" s="504"/>
      <c r="L1268" s="472"/>
      <c r="M1268" s="468"/>
      <c r="N1268" s="468"/>
      <c r="O1268" s="468"/>
      <c r="P1268" s="468"/>
      <c r="Q1268" s="473"/>
      <c r="R1268" s="477" t="str">
        <f>IF(AND(COUNTIF('Start Character'!$I$63:$M$77,"Twilight Prone")=1,NOT(ISERROR(FIND("Magical Botch",M1268)))),"Yes",IF(P1268&gt;1,"Yes","No"))</f>
        <v>No</v>
      </c>
      <c r="S1268" s="501"/>
      <c r="T1268" s="478"/>
      <c r="U1268" s="501"/>
      <c r="V1268" s="479" t="str">
        <f>IF(R1268="No","No Twilight",IF(T1268="Yes","Uncomprehended Twilight",IF((Character!$B$14+IF(Character!$B$53="Yes",0,Character!$B$53)+IF(Magic!$C$5="Yes",2,0)+ROUNDUP((Magic!$B$30+IF(Magic!$C$30="Yes",3,0))/5,0)+S1268)&gt;=($D$3+P1268+SUMIF(Character!$I$62:$I$66,"Enigmatic Wisdom",Character!$J$62:$J$66)+Q1268+U1268),"No Twilight","Twilight")))</f>
        <v>No Twilight</v>
      </c>
      <c r="W1268" s="483"/>
      <c r="X1268" s="478"/>
      <c r="Y1268" s="484"/>
      <c r="Z1268" s="478"/>
      <c r="AA1268" s="485" t="str">
        <f>IF(V1268="Uncomprehended Twilight","Failed",IF(OR(ISBLANK(W1268),ISBLANK(Y1268))," ",IF(NOT(ISBLANK(X1268)),"Failed",IF((W1268+Character!$B$9+SUMIF(Character!$I$62:$I$66,"Enigmatic Wisdom",Character!$J$62:$J$66))&gt;=IF(Z1268="Yes",0,(Y1268+D1263)),"Succeeded","Failed"))))</f>
        <v xml:space="preserve"> </v>
      </c>
      <c r="AB1268" s="477" t="str">
        <f>IF(AA1268=" "," ",IF(NOT(ISBLANK(X1268)),VLOOKUP($D$3+X1268,Calcs!$A$110:$C$122,3,TRUE),IF(AA1268="Failed",VLOOKUP($D$3,Calcs!$A$110:$C$122,3,TRUE),VLOOKUP($D$3-(IF((Character!$B$9+W1268)&gt;($D$3+Y1268),(Character!$B$9+W1268)-($D$3+Y1268),0)),Calcs!$A$110:$C$122,3,TRUE))))</f>
        <v xml:space="preserve"> </v>
      </c>
      <c r="AC1268" s="489"/>
      <c r="AD1268" s="489" t="str">
        <f>IF(IF(AA1268=" "," ",IF(NOT(ISBLANK(X1268)),VLOOKUP($D$3+X1268,Calcs!$A$110:$B$122,2,TRUE),IF(AA1268="Failed",VLOOKUP($D$3,Calcs!$A$110:$B$122,2,TRUE),VLOOKUP($D$3-(IF((Character!$B$9+W1268)&gt;($D$3+Y1268),(Character!$B$9+W1268)-($D$3+Y1268),0)),Calcs!$A$110:$B$122,2,TRUE))))=Calcs!$B$120,IF(ISBLANK(AC1268)," ",CONCATENATE(AC1268+7," Years")),IF(AA1268=" "," ",IF(NOT(ISBLANK(X1268)),VLOOKUP($D$3+X1268,Calcs!$A$110:$B$122,2,TRUE),IF(AA1268="Failed",VLOOKUP($D$3,Calcs!$A$110:$B$122,2,TRUE),VLOOKUP($D$3-(IF((Character!$B$9+W1268)&gt;($D$3+Y1268),(Character!$B$9+W1268)-($D$3+Y1268),0)),Calcs!$A$110:$B$122,2,TRUE)))))</f>
        <v xml:space="preserve"> </v>
      </c>
      <c r="AE1268" s="490"/>
      <c r="AF1268" s="879"/>
      <c r="AG1268" s="491"/>
    </row>
    <row r="1269" spans="1:33" x14ac:dyDescent="0.2">
      <c r="A1269" s="415">
        <f t="shared" si="38"/>
        <v>1527</v>
      </c>
      <c r="B1269" s="419" t="str">
        <f t="shared" si="39"/>
        <v>Spring</v>
      </c>
      <c r="C1269" s="455"/>
      <c r="D1269" s="504"/>
      <c r="E1269" s="455"/>
      <c r="F1269" s="504"/>
      <c r="G1269" s="455"/>
      <c r="H1269" s="504"/>
      <c r="I1269" s="455"/>
      <c r="J1269" s="504"/>
      <c r="L1269" s="472"/>
      <c r="M1269" s="468"/>
      <c r="N1269" s="468"/>
      <c r="O1269" s="468"/>
      <c r="P1269" s="468"/>
      <c r="Q1269" s="473"/>
      <c r="R1269" s="477" t="str">
        <f>IF(AND(COUNTIF('Start Character'!$I$63:$M$77,"Twilight Prone")=1,NOT(ISERROR(FIND("Magical Botch",M1269)))),"Yes",IF(P1269&gt;1,"Yes","No"))</f>
        <v>No</v>
      </c>
      <c r="S1269" s="501"/>
      <c r="T1269" s="478"/>
      <c r="U1269" s="501"/>
      <c r="V1269" s="479" t="str">
        <f>IF(R1269="No","No Twilight",IF(T1269="Yes","Uncomprehended Twilight",IF((Character!$B$14+IF(Character!$B$53="Yes",0,Character!$B$53)+IF(Magic!$C$5="Yes",2,0)+ROUNDUP((Magic!$B$30+IF(Magic!$C$30="Yes",3,0))/5,0)+S1269)&gt;=($D$3+P1269+SUMIF(Character!$I$62:$I$66,"Enigmatic Wisdom",Character!$J$62:$J$66)+Q1269+U1269),"No Twilight","Twilight")))</f>
        <v>No Twilight</v>
      </c>
      <c r="W1269" s="483"/>
      <c r="X1269" s="478"/>
      <c r="Y1269" s="484"/>
      <c r="Z1269" s="478"/>
      <c r="AA1269" s="485" t="str">
        <f>IF(V1269="Uncomprehended Twilight","Failed",IF(OR(ISBLANK(W1269),ISBLANK(Y1269))," ",IF(NOT(ISBLANK(X1269)),"Failed",IF((W1269+Character!$B$9+SUMIF(Character!$I$62:$I$66,"Enigmatic Wisdom",Character!$J$62:$J$66))&gt;=IF(Z1269="Yes",0,(Y1269+D1264)),"Succeeded","Failed"))))</f>
        <v xml:space="preserve"> </v>
      </c>
      <c r="AB1269" s="477" t="str">
        <f>IF(AA1269=" "," ",IF(NOT(ISBLANK(X1269)),VLOOKUP($D$3+X1269,Calcs!$A$110:$C$122,3,TRUE),IF(AA1269="Failed",VLOOKUP($D$3,Calcs!$A$110:$C$122,3,TRUE),VLOOKUP($D$3-(IF((Character!$B$9+W1269)&gt;($D$3+Y1269),(Character!$B$9+W1269)-($D$3+Y1269),0)),Calcs!$A$110:$C$122,3,TRUE))))</f>
        <v xml:space="preserve"> </v>
      </c>
      <c r="AC1269" s="489"/>
      <c r="AD1269" s="489" t="str">
        <f>IF(IF(AA1269=" "," ",IF(NOT(ISBLANK(X1269)),VLOOKUP($D$3+X1269,Calcs!$A$110:$B$122,2,TRUE),IF(AA1269="Failed",VLOOKUP($D$3,Calcs!$A$110:$B$122,2,TRUE),VLOOKUP($D$3-(IF((Character!$B$9+W1269)&gt;($D$3+Y1269),(Character!$B$9+W1269)-($D$3+Y1269),0)),Calcs!$A$110:$B$122,2,TRUE))))=Calcs!$B$120,IF(ISBLANK(AC1269)," ",CONCATENATE(AC1269+7," Years")),IF(AA1269=" "," ",IF(NOT(ISBLANK(X1269)),VLOOKUP($D$3+X1269,Calcs!$A$110:$B$122,2,TRUE),IF(AA1269="Failed",VLOOKUP($D$3,Calcs!$A$110:$B$122,2,TRUE),VLOOKUP($D$3-(IF((Character!$B$9+W1269)&gt;($D$3+Y1269),(Character!$B$9+W1269)-($D$3+Y1269),0)),Calcs!$A$110:$B$122,2,TRUE)))))</f>
        <v xml:space="preserve"> </v>
      </c>
      <c r="AE1269" s="490"/>
      <c r="AF1269" s="879"/>
      <c r="AG1269" s="491"/>
    </row>
    <row r="1270" spans="1:33" x14ac:dyDescent="0.2">
      <c r="A1270" s="415">
        <f t="shared" si="38"/>
        <v>1527</v>
      </c>
      <c r="B1270" s="419" t="str">
        <f t="shared" si="39"/>
        <v>Summer</v>
      </c>
      <c r="C1270" s="455"/>
      <c r="D1270" s="504"/>
      <c r="E1270" s="455"/>
      <c r="F1270" s="504"/>
      <c r="G1270" s="455"/>
      <c r="H1270" s="504"/>
      <c r="I1270" s="455"/>
      <c r="J1270" s="504"/>
      <c r="L1270" s="472"/>
      <c r="M1270" s="468"/>
      <c r="N1270" s="468"/>
      <c r="O1270" s="468"/>
      <c r="P1270" s="468"/>
      <c r="Q1270" s="473"/>
      <c r="R1270" s="477" t="str">
        <f>IF(AND(COUNTIF('Start Character'!$I$63:$M$77,"Twilight Prone")=1,NOT(ISERROR(FIND("Magical Botch",M1270)))),"Yes",IF(P1270&gt;1,"Yes","No"))</f>
        <v>No</v>
      </c>
      <c r="S1270" s="501"/>
      <c r="T1270" s="478"/>
      <c r="U1270" s="501"/>
      <c r="V1270" s="479" t="str">
        <f>IF(R1270="No","No Twilight",IF(T1270="Yes","Uncomprehended Twilight",IF((Character!$B$14+IF(Character!$B$53="Yes",0,Character!$B$53)+IF(Magic!$C$5="Yes",2,0)+ROUNDUP((Magic!$B$30+IF(Magic!$C$30="Yes",3,0))/5,0)+S1270)&gt;=($D$3+P1270+SUMIF(Character!$I$62:$I$66,"Enigmatic Wisdom",Character!$J$62:$J$66)+Q1270+U1270),"No Twilight","Twilight")))</f>
        <v>No Twilight</v>
      </c>
      <c r="W1270" s="483"/>
      <c r="X1270" s="478"/>
      <c r="Y1270" s="484"/>
      <c r="Z1270" s="478"/>
      <c r="AA1270" s="485" t="str">
        <f>IF(V1270="Uncomprehended Twilight","Failed",IF(OR(ISBLANK(W1270),ISBLANK(Y1270))," ",IF(NOT(ISBLANK(X1270)),"Failed",IF((W1270+Character!$B$9+SUMIF(Character!$I$62:$I$66,"Enigmatic Wisdom",Character!$J$62:$J$66))&gt;=IF(Z1270="Yes",0,(Y1270+D1265)),"Succeeded","Failed"))))</f>
        <v xml:space="preserve"> </v>
      </c>
      <c r="AB1270" s="477" t="str">
        <f>IF(AA1270=" "," ",IF(NOT(ISBLANK(X1270)),VLOOKUP($D$3+X1270,Calcs!$A$110:$C$122,3,TRUE),IF(AA1270="Failed",VLOOKUP($D$3,Calcs!$A$110:$C$122,3,TRUE),VLOOKUP($D$3-(IF((Character!$B$9+W1270)&gt;($D$3+Y1270),(Character!$B$9+W1270)-($D$3+Y1270),0)),Calcs!$A$110:$C$122,3,TRUE))))</f>
        <v xml:space="preserve"> </v>
      </c>
      <c r="AC1270" s="489"/>
      <c r="AD1270" s="489" t="str">
        <f>IF(IF(AA1270=" "," ",IF(NOT(ISBLANK(X1270)),VLOOKUP($D$3+X1270,Calcs!$A$110:$B$122,2,TRUE),IF(AA1270="Failed",VLOOKUP($D$3,Calcs!$A$110:$B$122,2,TRUE),VLOOKUP($D$3-(IF((Character!$B$9+W1270)&gt;($D$3+Y1270),(Character!$B$9+W1270)-($D$3+Y1270),0)),Calcs!$A$110:$B$122,2,TRUE))))=Calcs!$B$120,IF(ISBLANK(AC1270)," ",CONCATENATE(AC1270+7," Years")),IF(AA1270=" "," ",IF(NOT(ISBLANK(X1270)),VLOOKUP($D$3+X1270,Calcs!$A$110:$B$122,2,TRUE),IF(AA1270="Failed",VLOOKUP($D$3,Calcs!$A$110:$B$122,2,TRUE),VLOOKUP($D$3-(IF((Character!$B$9+W1270)&gt;($D$3+Y1270),(Character!$B$9+W1270)-($D$3+Y1270),0)),Calcs!$A$110:$B$122,2,TRUE)))))</f>
        <v xml:space="preserve"> </v>
      </c>
      <c r="AE1270" s="490"/>
      <c r="AF1270" s="879"/>
      <c r="AG1270" s="491"/>
    </row>
    <row r="1271" spans="1:33" x14ac:dyDescent="0.2">
      <c r="A1271" s="415">
        <f t="shared" si="38"/>
        <v>1527</v>
      </c>
      <c r="B1271" s="419" t="str">
        <f t="shared" si="39"/>
        <v>Autumn</v>
      </c>
      <c r="C1271" s="455"/>
      <c r="D1271" s="504"/>
      <c r="E1271" s="455"/>
      <c r="F1271" s="504"/>
      <c r="G1271" s="455"/>
      <c r="H1271" s="504"/>
      <c r="I1271" s="455"/>
      <c r="J1271" s="504"/>
      <c r="L1271" s="472"/>
      <c r="M1271" s="468"/>
      <c r="N1271" s="468"/>
      <c r="O1271" s="468"/>
      <c r="P1271" s="468"/>
      <c r="Q1271" s="473"/>
      <c r="R1271" s="477" t="str">
        <f>IF(AND(COUNTIF('Start Character'!$I$63:$M$77,"Twilight Prone")=1,NOT(ISERROR(FIND("Magical Botch",M1271)))),"Yes",IF(P1271&gt;1,"Yes","No"))</f>
        <v>No</v>
      </c>
      <c r="S1271" s="501"/>
      <c r="T1271" s="478"/>
      <c r="U1271" s="501"/>
      <c r="V1271" s="479" t="str">
        <f>IF(R1271="No","No Twilight",IF(T1271="Yes","Uncomprehended Twilight",IF((Character!$B$14+IF(Character!$B$53="Yes",0,Character!$B$53)+IF(Magic!$C$5="Yes",2,0)+ROUNDUP((Magic!$B$30+IF(Magic!$C$30="Yes",3,0))/5,0)+S1271)&gt;=($D$3+P1271+SUMIF(Character!$I$62:$I$66,"Enigmatic Wisdom",Character!$J$62:$J$66)+Q1271+U1271),"No Twilight","Twilight")))</f>
        <v>No Twilight</v>
      </c>
      <c r="W1271" s="483"/>
      <c r="X1271" s="478"/>
      <c r="Y1271" s="484"/>
      <c r="Z1271" s="478"/>
      <c r="AA1271" s="485" t="str">
        <f>IF(V1271="Uncomprehended Twilight","Failed",IF(OR(ISBLANK(W1271),ISBLANK(Y1271))," ",IF(NOT(ISBLANK(X1271)),"Failed",IF((W1271+Character!$B$9+SUMIF(Character!$I$62:$I$66,"Enigmatic Wisdom",Character!$J$62:$J$66))&gt;=IF(Z1271="Yes",0,(Y1271+D1266)),"Succeeded","Failed"))))</f>
        <v xml:space="preserve"> </v>
      </c>
      <c r="AB1271" s="477" t="str">
        <f>IF(AA1271=" "," ",IF(NOT(ISBLANK(X1271)),VLOOKUP($D$3+X1271,Calcs!$A$110:$C$122,3,TRUE),IF(AA1271="Failed",VLOOKUP($D$3,Calcs!$A$110:$C$122,3,TRUE),VLOOKUP($D$3-(IF((Character!$B$9+W1271)&gt;($D$3+Y1271),(Character!$B$9+W1271)-($D$3+Y1271),0)),Calcs!$A$110:$C$122,3,TRUE))))</f>
        <v xml:space="preserve"> </v>
      </c>
      <c r="AC1271" s="489"/>
      <c r="AD1271" s="489" t="str">
        <f>IF(IF(AA1271=" "," ",IF(NOT(ISBLANK(X1271)),VLOOKUP($D$3+X1271,Calcs!$A$110:$B$122,2,TRUE),IF(AA1271="Failed",VLOOKUP($D$3,Calcs!$A$110:$B$122,2,TRUE),VLOOKUP($D$3-(IF((Character!$B$9+W1271)&gt;($D$3+Y1271),(Character!$B$9+W1271)-($D$3+Y1271),0)),Calcs!$A$110:$B$122,2,TRUE))))=Calcs!$B$120,IF(ISBLANK(AC1271)," ",CONCATENATE(AC1271+7," Years")),IF(AA1271=" "," ",IF(NOT(ISBLANK(X1271)),VLOOKUP($D$3+X1271,Calcs!$A$110:$B$122,2,TRUE),IF(AA1271="Failed",VLOOKUP($D$3,Calcs!$A$110:$B$122,2,TRUE),VLOOKUP($D$3-(IF((Character!$B$9+W1271)&gt;($D$3+Y1271),(Character!$B$9+W1271)-($D$3+Y1271),0)),Calcs!$A$110:$B$122,2,TRUE)))))</f>
        <v xml:space="preserve"> </v>
      </c>
      <c r="AE1271" s="490"/>
      <c r="AF1271" s="879"/>
      <c r="AG1271" s="491"/>
    </row>
    <row r="1272" spans="1:33" x14ac:dyDescent="0.2">
      <c r="A1272" s="415">
        <f t="shared" si="38"/>
        <v>1528</v>
      </c>
      <c r="B1272" s="419" t="str">
        <f t="shared" si="39"/>
        <v>Winter</v>
      </c>
      <c r="C1272" s="455"/>
      <c r="D1272" s="504"/>
      <c r="E1272" s="455"/>
      <c r="F1272" s="504"/>
      <c r="G1272" s="455"/>
      <c r="H1272" s="504"/>
      <c r="I1272" s="455"/>
      <c r="J1272" s="504"/>
      <c r="L1272" s="472"/>
      <c r="M1272" s="468"/>
      <c r="N1272" s="468"/>
      <c r="O1272" s="468"/>
      <c r="P1272" s="468"/>
      <c r="Q1272" s="473"/>
      <c r="R1272" s="477" t="str">
        <f>IF(AND(COUNTIF('Start Character'!$I$63:$M$77,"Twilight Prone")=1,NOT(ISERROR(FIND("Magical Botch",M1272)))),"Yes",IF(P1272&gt;1,"Yes","No"))</f>
        <v>No</v>
      </c>
      <c r="S1272" s="501"/>
      <c r="T1272" s="478"/>
      <c r="U1272" s="501"/>
      <c r="V1272" s="479" t="str">
        <f>IF(R1272="No","No Twilight",IF(T1272="Yes","Uncomprehended Twilight",IF((Character!$B$14+IF(Character!$B$53="Yes",0,Character!$B$53)+IF(Magic!$C$5="Yes",2,0)+ROUNDUP((Magic!$B$30+IF(Magic!$C$30="Yes",3,0))/5,0)+S1272)&gt;=($D$3+P1272+SUMIF(Character!$I$62:$I$66,"Enigmatic Wisdom",Character!$J$62:$J$66)+Q1272+U1272),"No Twilight","Twilight")))</f>
        <v>No Twilight</v>
      </c>
      <c r="W1272" s="483"/>
      <c r="X1272" s="478"/>
      <c r="Y1272" s="484"/>
      <c r="Z1272" s="478"/>
      <c r="AA1272" s="485" t="str">
        <f>IF(V1272="Uncomprehended Twilight","Failed",IF(OR(ISBLANK(W1272),ISBLANK(Y1272))," ",IF(NOT(ISBLANK(X1272)),"Failed",IF((W1272+Character!$B$9+SUMIF(Character!$I$62:$I$66,"Enigmatic Wisdom",Character!$J$62:$J$66))&gt;=IF(Z1272="Yes",0,(Y1272+D1267)),"Succeeded","Failed"))))</f>
        <v xml:space="preserve"> </v>
      </c>
      <c r="AB1272" s="477" t="str">
        <f>IF(AA1272=" "," ",IF(NOT(ISBLANK(X1272)),VLOOKUP($D$3+X1272,Calcs!$A$110:$C$122,3,TRUE),IF(AA1272="Failed",VLOOKUP($D$3,Calcs!$A$110:$C$122,3,TRUE),VLOOKUP($D$3-(IF((Character!$B$9+W1272)&gt;($D$3+Y1272),(Character!$B$9+W1272)-($D$3+Y1272),0)),Calcs!$A$110:$C$122,3,TRUE))))</f>
        <v xml:space="preserve"> </v>
      </c>
      <c r="AC1272" s="489"/>
      <c r="AD1272" s="489" t="str">
        <f>IF(IF(AA1272=" "," ",IF(NOT(ISBLANK(X1272)),VLOOKUP($D$3+X1272,Calcs!$A$110:$B$122,2,TRUE),IF(AA1272="Failed",VLOOKUP($D$3,Calcs!$A$110:$B$122,2,TRUE),VLOOKUP($D$3-(IF((Character!$B$9+W1272)&gt;($D$3+Y1272),(Character!$B$9+W1272)-($D$3+Y1272),0)),Calcs!$A$110:$B$122,2,TRUE))))=Calcs!$B$120,IF(ISBLANK(AC1272)," ",CONCATENATE(AC1272+7," Years")),IF(AA1272=" "," ",IF(NOT(ISBLANK(X1272)),VLOOKUP($D$3+X1272,Calcs!$A$110:$B$122,2,TRUE),IF(AA1272="Failed",VLOOKUP($D$3,Calcs!$A$110:$B$122,2,TRUE),VLOOKUP($D$3-(IF((Character!$B$9+W1272)&gt;($D$3+Y1272),(Character!$B$9+W1272)-($D$3+Y1272),0)),Calcs!$A$110:$B$122,2,TRUE)))))</f>
        <v xml:space="preserve"> </v>
      </c>
      <c r="AE1272" s="490"/>
      <c r="AF1272" s="879"/>
      <c r="AG1272" s="491"/>
    </row>
    <row r="1273" spans="1:33" x14ac:dyDescent="0.2">
      <c r="A1273" s="415">
        <f t="shared" si="38"/>
        <v>1528</v>
      </c>
      <c r="B1273" s="419" t="str">
        <f t="shared" si="39"/>
        <v>Spring</v>
      </c>
      <c r="C1273" s="455"/>
      <c r="D1273" s="504"/>
      <c r="E1273" s="455"/>
      <c r="F1273" s="504"/>
      <c r="G1273" s="455"/>
      <c r="H1273" s="504"/>
      <c r="I1273" s="455"/>
      <c r="J1273" s="504"/>
      <c r="L1273" s="472"/>
      <c r="M1273" s="468"/>
      <c r="N1273" s="468"/>
      <c r="O1273" s="468"/>
      <c r="P1273" s="468"/>
      <c r="Q1273" s="473"/>
      <c r="R1273" s="477" t="str">
        <f>IF(AND(COUNTIF('Start Character'!$I$63:$M$77,"Twilight Prone")=1,NOT(ISERROR(FIND("Magical Botch",M1273)))),"Yes",IF(P1273&gt;1,"Yes","No"))</f>
        <v>No</v>
      </c>
      <c r="S1273" s="501"/>
      <c r="T1273" s="478"/>
      <c r="U1273" s="501"/>
      <c r="V1273" s="479" t="str">
        <f>IF(R1273="No","No Twilight",IF(T1273="Yes","Uncomprehended Twilight",IF((Character!$B$14+IF(Character!$B$53="Yes",0,Character!$B$53)+IF(Magic!$C$5="Yes",2,0)+ROUNDUP((Magic!$B$30+IF(Magic!$C$30="Yes",3,0))/5,0)+S1273)&gt;=($D$3+P1273+SUMIF(Character!$I$62:$I$66,"Enigmatic Wisdom",Character!$J$62:$J$66)+Q1273+U1273),"No Twilight","Twilight")))</f>
        <v>No Twilight</v>
      </c>
      <c r="W1273" s="483"/>
      <c r="X1273" s="478"/>
      <c r="Y1273" s="484"/>
      <c r="Z1273" s="478"/>
      <c r="AA1273" s="485" t="str">
        <f>IF(V1273="Uncomprehended Twilight","Failed",IF(OR(ISBLANK(W1273),ISBLANK(Y1273))," ",IF(NOT(ISBLANK(X1273)),"Failed",IF((W1273+Character!$B$9+SUMIF(Character!$I$62:$I$66,"Enigmatic Wisdom",Character!$J$62:$J$66))&gt;=IF(Z1273="Yes",0,(Y1273+D1268)),"Succeeded","Failed"))))</f>
        <v xml:space="preserve"> </v>
      </c>
      <c r="AB1273" s="477" t="str">
        <f>IF(AA1273=" "," ",IF(NOT(ISBLANK(X1273)),VLOOKUP($D$3+X1273,Calcs!$A$110:$C$122,3,TRUE),IF(AA1273="Failed",VLOOKUP($D$3,Calcs!$A$110:$C$122,3,TRUE),VLOOKUP($D$3-(IF((Character!$B$9+W1273)&gt;($D$3+Y1273),(Character!$B$9+W1273)-($D$3+Y1273),0)),Calcs!$A$110:$C$122,3,TRUE))))</f>
        <v xml:space="preserve"> </v>
      </c>
      <c r="AC1273" s="489"/>
      <c r="AD1273" s="489" t="str">
        <f>IF(IF(AA1273=" "," ",IF(NOT(ISBLANK(X1273)),VLOOKUP($D$3+X1273,Calcs!$A$110:$B$122,2,TRUE),IF(AA1273="Failed",VLOOKUP($D$3,Calcs!$A$110:$B$122,2,TRUE),VLOOKUP($D$3-(IF((Character!$B$9+W1273)&gt;($D$3+Y1273),(Character!$B$9+W1273)-($D$3+Y1273),0)),Calcs!$A$110:$B$122,2,TRUE))))=Calcs!$B$120,IF(ISBLANK(AC1273)," ",CONCATENATE(AC1273+7," Years")),IF(AA1273=" "," ",IF(NOT(ISBLANK(X1273)),VLOOKUP($D$3+X1273,Calcs!$A$110:$B$122,2,TRUE),IF(AA1273="Failed",VLOOKUP($D$3,Calcs!$A$110:$B$122,2,TRUE),VLOOKUP($D$3-(IF((Character!$B$9+W1273)&gt;($D$3+Y1273),(Character!$B$9+W1273)-($D$3+Y1273),0)),Calcs!$A$110:$B$122,2,TRUE)))))</f>
        <v xml:space="preserve"> </v>
      </c>
      <c r="AE1273" s="490"/>
      <c r="AF1273" s="879"/>
      <c r="AG1273" s="491"/>
    </row>
    <row r="1274" spans="1:33" x14ac:dyDescent="0.2">
      <c r="A1274" s="415">
        <f t="shared" si="38"/>
        <v>1528</v>
      </c>
      <c r="B1274" s="419" t="str">
        <f t="shared" si="39"/>
        <v>Summer</v>
      </c>
      <c r="C1274" s="455"/>
      <c r="D1274" s="504"/>
      <c r="E1274" s="455"/>
      <c r="F1274" s="504"/>
      <c r="G1274" s="455"/>
      <c r="H1274" s="504"/>
      <c r="I1274" s="455"/>
      <c r="J1274" s="504"/>
      <c r="L1274" s="472"/>
      <c r="M1274" s="468"/>
      <c r="N1274" s="468"/>
      <c r="O1274" s="468"/>
      <c r="P1274" s="468"/>
      <c r="Q1274" s="473"/>
      <c r="R1274" s="477" t="str">
        <f>IF(AND(COUNTIF('Start Character'!$I$63:$M$77,"Twilight Prone")=1,NOT(ISERROR(FIND("Magical Botch",M1274)))),"Yes",IF(P1274&gt;1,"Yes","No"))</f>
        <v>No</v>
      </c>
      <c r="S1274" s="501"/>
      <c r="T1274" s="478"/>
      <c r="U1274" s="501"/>
      <c r="V1274" s="479" t="str">
        <f>IF(R1274="No","No Twilight",IF(T1274="Yes","Uncomprehended Twilight",IF((Character!$B$14+IF(Character!$B$53="Yes",0,Character!$B$53)+IF(Magic!$C$5="Yes",2,0)+ROUNDUP((Magic!$B$30+IF(Magic!$C$30="Yes",3,0))/5,0)+S1274)&gt;=($D$3+P1274+SUMIF(Character!$I$62:$I$66,"Enigmatic Wisdom",Character!$J$62:$J$66)+Q1274+U1274),"No Twilight","Twilight")))</f>
        <v>No Twilight</v>
      </c>
      <c r="W1274" s="483"/>
      <c r="X1274" s="478"/>
      <c r="Y1274" s="484"/>
      <c r="Z1274" s="478"/>
      <c r="AA1274" s="485" t="str">
        <f>IF(V1274="Uncomprehended Twilight","Failed",IF(OR(ISBLANK(W1274),ISBLANK(Y1274))," ",IF(NOT(ISBLANK(X1274)),"Failed",IF((W1274+Character!$B$9+SUMIF(Character!$I$62:$I$66,"Enigmatic Wisdom",Character!$J$62:$J$66))&gt;=IF(Z1274="Yes",0,(Y1274+D1269)),"Succeeded","Failed"))))</f>
        <v xml:space="preserve"> </v>
      </c>
      <c r="AB1274" s="477" t="str">
        <f>IF(AA1274=" "," ",IF(NOT(ISBLANK(X1274)),VLOOKUP($D$3+X1274,Calcs!$A$110:$C$122,3,TRUE),IF(AA1274="Failed",VLOOKUP($D$3,Calcs!$A$110:$C$122,3,TRUE),VLOOKUP($D$3-(IF((Character!$B$9+W1274)&gt;($D$3+Y1274),(Character!$B$9+W1274)-($D$3+Y1274),0)),Calcs!$A$110:$C$122,3,TRUE))))</f>
        <v xml:space="preserve"> </v>
      </c>
      <c r="AC1274" s="489"/>
      <c r="AD1274" s="489" t="str">
        <f>IF(IF(AA1274=" "," ",IF(NOT(ISBLANK(X1274)),VLOOKUP($D$3+X1274,Calcs!$A$110:$B$122,2,TRUE),IF(AA1274="Failed",VLOOKUP($D$3,Calcs!$A$110:$B$122,2,TRUE),VLOOKUP($D$3-(IF((Character!$B$9+W1274)&gt;($D$3+Y1274),(Character!$B$9+W1274)-($D$3+Y1274),0)),Calcs!$A$110:$B$122,2,TRUE))))=Calcs!$B$120,IF(ISBLANK(AC1274)," ",CONCATENATE(AC1274+7," Years")),IF(AA1274=" "," ",IF(NOT(ISBLANK(X1274)),VLOOKUP($D$3+X1274,Calcs!$A$110:$B$122,2,TRUE),IF(AA1274="Failed",VLOOKUP($D$3,Calcs!$A$110:$B$122,2,TRUE),VLOOKUP($D$3-(IF((Character!$B$9+W1274)&gt;($D$3+Y1274),(Character!$B$9+W1274)-($D$3+Y1274),0)),Calcs!$A$110:$B$122,2,TRUE)))))</f>
        <v xml:space="preserve"> </v>
      </c>
      <c r="AE1274" s="490"/>
      <c r="AF1274" s="879"/>
      <c r="AG1274" s="491"/>
    </row>
    <row r="1275" spans="1:33" x14ac:dyDescent="0.2">
      <c r="A1275" s="415">
        <f t="shared" si="38"/>
        <v>1528</v>
      </c>
      <c r="B1275" s="419" t="str">
        <f t="shared" si="39"/>
        <v>Autumn</v>
      </c>
      <c r="C1275" s="455"/>
      <c r="D1275" s="504"/>
      <c r="E1275" s="455"/>
      <c r="F1275" s="504"/>
      <c r="G1275" s="455"/>
      <c r="H1275" s="504"/>
      <c r="I1275" s="455"/>
      <c r="J1275" s="504"/>
      <c r="L1275" s="472"/>
      <c r="M1275" s="468"/>
      <c r="N1275" s="468"/>
      <c r="O1275" s="468"/>
      <c r="P1275" s="468"/>
      <c r="Q1275" s="473"/>
      <c r="R1275" s="477" t="str">
        <f>IF(AND(COUNTIF('Start Character'!$I$63:$M$77,"Twilight Prone")=1,NOT(ISERROR(FIND("Magical Botch",M1275)))),"Yes",IF(P1275&gt;1,"Yes","No"))</f>
        <v>No</v>
      </c>
      <c r="S1275" s="501"/>
      <c r="T1275" s="478"/>
      <c r="U1275" s="501"/>
      <c r="V1275" s="479" t="str">
        <f>IF(R1275="No","No Twilight",IF(T1275="Yes","Uncomprehended Twilight",IF((Character!$B$14+IF(Character!$B$53="Yes",0,Character!$B$53)+IF(Magic!$C$5="Yes",2,0)+ROUNDUP((Magic!$B$30+IF(Magic!$C$30="Yes",3,0))/5,0)+S1275)&gt;=($D$3+P1275+SUMIF(Character!$I$62:$I$66,"Enigmatic Wisdom",Character!$J$62:$J$66)+Q1275+U1275),"No Twilight","Twilight")))</f>
        <v>No Twilight</v>
      </c>
      <c r="W1275" s="483"/>
      <c r="X1275" s="478"/>
      <c r="Y1275" s="484"/>
      <c r="Z1275" s="478"/>
      <c r="AA1275" s="485" t="str">
        <f>IF(V1275="Uncomprehended Twilight","Failed",IF(OR(ISBLANK(W1275),ISBLANK(Y1275))," ",IF(NOT(ISBLANK(X1275)),"Failed",IF((W1275+Character!$B$9+SUMIF(Character!$I$62:$I$66,"Enigmatic Wisdom",Character!$J$62:$J$66))&gt;=IF(Z1275="Yes",0,(Y1275+D1270)),"Succeeded","Failed"))))</f>
        <v xml:space="preserve"> </v>
      </c>
      <c r="AB1275" s="477" t="str">
        <f>IF(AA1275=" "," ",IF(NOT(ISBLANK(X1275)),VLOOKUP($D$3+X1275,Calcs!$A$110:$C$122,3,TRUE),IF(AA1275="Failed",VLOOKUP($D$3,Calcs!$A$110:$C$122,3,TRUE),VLOOKUP($D$3-(IF((Character!$B$9+W1275)&gt;($D$3+Y1275),(Character!$B$9+W1275)-($D$3+Y1275),0)),Calcs!$A$110:$C$122,3,TRUE))))</f>
        <v xml:space="preserve"> </v>
      </c>
      <c r="AC1275" s="489"/>
      <c r="AD1275" s="489" t="str">
        <f>IF(IF(AA1275=" "," ",IF(NOT(ISBLANK(X1275)),VLOOKUP($D$3+X1275,Calcs!$A$110:$B$122,2,TRUE),IF(AA1275="Failed",VLOOKUP($D$3,Calcs!$A$110:$B$122,2,TRUE),VLOOKUP($D$3-(IF((Character!$B$9+W1275)&gt;($D$3+Y1275),(Character!$B$9+W1275)-($D$3+Y1275),0)),Calcs!$A$110:$B$122,2,TRUE))))=Calcs!$B$120,IF(ISBLANK(AC1275)," ",CONCATENATE(AC1275+7," Years")),IF(AA1275=" "," ",IF(NOT(ISBLANK(X1275)),VLOOKUP($D$3+X1275,Calcs!$A$110:$B$122,2,TRUE),IF(AA1275="Failed",VLOOKUP($D$3,Calcs!$A$110:$B$122,2,TRUE),VLOOKUP($D$3-(IF((Character!$B$9+W1275)&gt;($D$3+Y1275),(Character!$B$9+W1275)-($D$3+Y1275),0)),Calcs!$A$110:$B$122,2,TRUE)))))</f>
        <v xml:space="preserve"> </v>
      </c>
      <c r="AE1275" s="490"/>
      <c r="AF1275" s="879"/>
      <c r="AG1275" s="491"/>
    </row>
    <row r="1276" spans="1:33" x14ac:dyDescent="0.2">
      <c r="A1276" s="415">
        <f t="shared" si="38"/>
        <v>1529</v>
      </c>
      <c r="B1276" s="419" t="str">
        <f t="shared" si="39"/>
        <v>Winter</v>
      </c>
      <c r="C1276" s="455"/>
      <c r="D1276" s="504"/>
      <c r="E1276" s="455"/>
      <c r="F1276" s="504"/>
      <c r="G1276" s="455"/>
      <c r="H1276" s="504"/>
      <c r="I1276" s="455"/>
      <c r="J1276" s="504"/>
      <c r="L1276" s="472"/>
      <c r="M1276" s="468"/>
      <c r="N1276" s="468"/>
      <c r="O1276" s="468"/>
      <c r="P1276" s="468"/>
      <c r="Q1276" s="473"/>
      <c r="R1276" s="477" t="str">
        <f>IF(AND(COUNTIF('Start Character'!$I$63:$M$77,"Twilight Prone")=1,NOT(ISERROR(FIND("Magical Botch",M1276)))),"Yes",IF(P1276&gt;1,"Yes","No"))</f>
        <v>No</v>
      </c>
      <c r="S1276" s="501"/>
      <c r="T1276" s="478"/>
      <c r="U1276" s="501"/>
      <c r="V1276" s="479" t="str">
        <f>IF(R1276="No","No Twilight",IF(T1276="Yes","Uncomprehended Twilight",IF((Character!$B$14+IF(Character!$B$53="Yes",0,Character!$B$53)+IF(Magic!$C$5="Yes",2,0)+ROUNDUP((Magic!$B$30+IF(Magic!$C$30="Yes",3,0))/5,0)+S1276)&gt;=($D$3+P1276+SUMIF(Character!$I$62:$I$66,"Enigmatic Wisdom",Character!$J$62:$J$66)+Q1276+U1276),"No Twilight","Twilight")))</f>
        <v>No Twilight</v>
      </c>
      <c r="W1276" s="483"/>
      <c r="X1276" s="478"/>
      <c r="Y1276" s="484"/>
      <c r="Z1276" s="478"/>
      <c r="AA1276" s="485" t="str">
        <f>IF(V1276="Uncomprehended Twilight","Failed",IF(OR(ISBLANK(W1276),ISBLANK(Y1276))," ",IF(NOT(ISBLANK(X1276)),"Failed",IF((W1276+Character!$B$9+SUMIF(Character!$I$62:$I$66,"Enigmatic Wisdom",Character!$J$62:$J$66))&gt;=IF(Z1276="Yes",0,(Y1276+D1271)),"Succeeded","Failed"))))</f>
        <v xml:space="preserve"> </v>
      </c>
      <c r="AB1276" s="477" t="str">
        <f>IF(AA1276=" "," ",IF(NOT(ISBLANK(X1276)),VLOOKUP($D$3+X1276,Calcs!$A$110:$C$122,3,TRUE),IF(AA1276="Failed",VLOOKUP($D$3,Calcs!$A$110:$C$122,3,TRUE),VLOOKUP($D$3-(IF((Character!$B$9+W1276)&gt;($D$3+Y1276),(Character!$B$9+W1276)-($D$3+Y1276),0)),Calcs!$A$110:$C$122,3,TRUE))))</f>
        <v xml:space="preserve"> </v>
      </c>
      <c r="AC1276" s="489"/>
      <c r="AD1276" s="489" t="str">
        <f>IF(IF(AA1276=" "," ",IF(NOT(ISBLANK(X1276)),VLOOKUP($D$3+X1276,Calcs!$A$110:$B$122,2,TRUE),IF(AA1276="Failed",VLOOKUP($D$3,Calcs!$A$110:$B$122,2,TRUE),VLOOKUP($D$3-(IF((Character!$B$9+W1276)&gt;($D$3+Y1276),(Character!$B$9+W1276)-($D$3+Y1276),0)),Calcs!$A$110:$B$122,2,TRUE))))=Calcs!$B$120,IF(ISBLANK(AC1276)," ",CONCATENATE(AC1276+7," Years")),IF(AA1276=" "," ",IF(NOT(ISBLANK(X1276)),VLOOKUP($D$3+X1276,Calcs!$A$110:$B$122,2,TRUE),IF(AA1276="Failed",VLOOKUP($D$3,Calcs!$A$110:$B$122,2,TRUE),VLOOKUP($D$3-(IF((Character!$B$9+W1276)&gt;($D$3+Y1276),(Character!$B$9+W1276)-($D$3+Y1276),0)),Calcs!$A$110:$B$122,2,TRUE)))))</f>
        <v xml:space="preserve"> </v>
      </c>
      <c r="AE1276" s="490"/>
      <c r="AF1276" s="879"/>
      <c r="AG1276" s="491"/>
    </row>
    <row r="1277" spans="1:33" x14ac:dyDescent="0.2">
      <c r="A1277" s="415">
        <f t="shared" si="38"/>
        <v>1529</v>
      </c>
      <c r="B1277" s="419" t="str">
        <f t="shared" si="39"/>
        <v>Spring</v>
      </c>
      <c r="C1277" s="455"/>
      <c r="D1277" s="504"/>
      <c r="E1277" s="455"/>
      <c r="F1277" s="504"/>
      <c r="G1277" s="455"/>
      <c r="H1277" s="504"/>
      <c r="I1277" s="455"/>
      <c r="J1277" s="504"/>
      <c r="L1277" s="472"/>
      <c r="M1277" s="468"/>
      <c r="N1277" s="468"/>
      <c r="O1277" s="468"/>
      <c r="P1277" s="468"/>
      <c r="Q1277" s="473"/>
      <c r="R1277" s="477" t="str">
        <f>IF(AND(COUNTIF('Start Character'!$I$63:$M$77,"Twilight Prone")=1,NOT(ISERROR(FIND("Magical Botch",M1277)))),"Yes",IF(P1277&gt;1,"Yes","No"))</f>
        <v>No</v>
      </c>
      <c r="S1277" s="501"/>
      <c r="T1277" s="478"/>
      <c r="U1277" s="501"/>
      <c r="V1277" s="479" t="str">
        <f>IF(R1277="No","No Twilight",IF(T1277="Yes","Uncomprehended Twilight",IF((Character!$B$14+IF(Character!$B$53="Yes",0,Character!$B$53)+IF(Magic!$C$5="Yes",2,0)+ROUNDUP((Magic!$B$30+IF(Magic!$C$30="Yes",3,0))/5,0)+S1277)&gt;=($D$3+P1277+SUMIF(Character!$I$62:$I$66,"Enigmatic Wisdom",Character!$J$62:$J$66)+Q1277+U1277),"No Twilight","Twilight")))</f>
        <v>No Twilight</v>
      </c>
      <c r="W1277" s="483"/>
      <c r="X1277" s="478"/>
      <c r="Y1277" s="484"/>
      <c r="Z1277" s="478"/>
      <c r="AA1277" s="485" t="str">
        <f>IF(V1277="Uncomprehended Twilight","Failed",IF(OR(ISBLANK(W1277),ISBLANK(Y1277))," ",IF(NOT(ISBLANK(X1277)),"Failed",IF((W1277+Character!$B$9+SUMIF(Character!$I$62:$I$66,"Enigmatic Wisdom",Character!$J$62:$J$66))&gt;=IF(Z1277="Yes",0,(Y1277+D1272)),"Succeeded","Failed"))))</f>
        <v xml:space="preserve"> </v>
      </c>
      <c r="AB1277" s="477" t="str">
        <f>IF(AA1277=" "," ",IF(NOT(ISBLANK(X1277)),VLOOKUP($D$3+X1277,Calcs!$A$110:$C$122,3,TRUE),IF(AA1277="Failed",VLOOKUP($D$3,Calcs!$A$110:$C$122,3,TRUE),VLOOKUP($D$3-(IF((Character!$B$9+W1277)&gt;($D$3+Y1277),(Character!$B$9+W1277)-($D$3+Y1277),0)),Calcs!$A$110:$C$122,3,TRUE))))</f>
        <v xml:space="preserve"> </v>
      </c>
      <c r="AC1277" s="489"/>
      <c r="AD1277" s="489" t="str">
        <f>IF(IF(AA1277=" "," ",IF(NOT(ISBLANK(X1277)),VLOOKUP($D$3+X1277,Calcs!$A$110:$B$122,2,TRUE),IF(AA1277="Failed",VLOOKUP($D$3,Calcs!$A$110:$B$122,2,TRUE),VLOOKUP($D$3-(IF((Character!$B$9+W1277)&gt;($D$3+Y1277),(Character!$B$9+W1277)-($D$3+Y1277),0)),Calcs!$A$110:$B$122,2,TRUE))))=Calcs!$B$120,IF(ISBLANK(AC1277)," ",CONCATENATE(AC1277+7," Years")),IF(AA1277=" "," ",IF(NOT(ISBLANK(X1277)),VLOOKUP($D$3+X1277,Calcs!$A$110:$B$122,2,TRUE),IF(AA1277="Failed",VLOOKUP($D$3,Calcs!$A$110:$B$122,2,TRUE),VLOOKUP($D$3-(IF((Character!$B$9+W1277)&gt;($D$3+Y1277),(Character!$B$9+W1277)-($D$3+Y1277),0)),Calcs!$A$110:$B$122,2,TRUE)))))</f>
        <v xml:space="preserve"> </v>
      </c>
      <c r="AE1277" s="490"/>
      <c r="AF1277" s="879"/>
      <c r="AG1277" s="491"/>
    </row>
    <row r="1278" spans="1:33" x14ac:dyDescent="0.2">
      <c r="A1278" s="415">
        <f t="shared" si="38"/>
        <v>1529</v>
      </c>
      <c r="B1278" s="419" t="str">
        <f t="shared" si="39"/>
        <v>Summer</v>
      </c>
      <c r="C1278" s="455"/>
      <c r="D1278" s="504"/>
      <c r="E1278" s="455"/>
      <c r="F1278" s="504"/>
      <c r="G1278" s="455"/>
      <c r="H1278" s="504"/>
      <c r="I1278" s="455"/>
      <c r="J1278" s="504"/>
      <c r="L1278" s="472"/>
      <c r="M1278" s="468"/>
      <c r="N1278" s="468"/>
      <c r="O1278" s="468"/>
      <c r="P1278" s="468"/>
      <c r="Q1278" s="473"/>
      <c r="R1278" s="477" t="str">
        <f>IF(AND(COUNTIF('Start Character'!$I$63:$M$77,"Twilight Prone")=1,NOT(ISERROR(FIND("Magical Botch",M1278)))),"Yes",IF(P1278&gt;1,"Yes","No"))</f>
        <v>No</v>
      </c>
      <c r="S1278" s="501"/>
      <c r="T1278" s="478"/>
      <c r="U1278" s="501"/>
      <c r="V1278" s="479" t="str">
        <f>IF(R1278="No","No Twilight",IF(T1278="Yes","Uncomprehended Twilight",IF((Character!$B$14+IF(Character!$B$53="Yes",0,Character!$B$53)+IF(Magic!$C$5="Yes",2,0)+ROUNDUP((Magic!$B$30+IF(Magic!$C$30="Yes",3,0))/5,0)+S1278)&gt;=($D$3+P1278+SUMIF(Character!$I$62:$I$66,"Enigmatic Wisdom",Character!$J$62:$J$66)+Q1278+U1278),"No Twilight","Twilight")))</f>
        <v>No Twilight</v>
      </c>
      <c r="W1278" s="483"/>
      <c r="X1278" s="478"/>
      <c r="Y1278" s="484"/>
      <c r="Z1278" s="478"/>
      <c r="AA1278" s="485" t="str">
        <f>IF(V1278="Uncomprehended Twilight","Failed",IF(OR(ISBLANK(W1278),ISBLANK(Y1278))," ",IF(NOT(ISBLANK(X1278)),"Failed",IF((W1278+Character!$B$9+SUMIF(Character!$I$62:$I$66,"Enigmatic Wisdom",Character!$J$62:$J$66))&gt;=IF(Z1278="Yes",0,(Y1278+D1273)),"Succeeded","Failed"))))</f>
        <v xml:space="preserve"> </v>
      </c>
      <c r="AB1278" s="477" t="str">
        <f>IF(AA1278=" "," ",IF(NOT(ISBLANK(X1278)),VLOOKUP($D$3+X1278,Calcs!$A$110:$C$122,3,TRUE),IF(AA1278="Failed",VLOOKUP($D$3,Calcs!$A$110:$C$122,3,TRUE),VLOOKUP($D$3-(IF((Character!$B$9+W1278)&gt;($D$3+Y1278),(Character!$B$9+W1278)-($D$3+Y1278),0)),Calcs!$A$110:$C$122,3,TRUE))))</f>
        <v xml:space="preserve"> </v>
      </c>
      <c r="AC1278" s="489"/>
      <c r="AD1278" s="489" t="str">
        <f>IF(IF(AA1278=" "," ",IF(NOT(ISBLANK(X1278)),VLOOKUP($D$3+X1278,Calcs!$A$110:$B$122,2,TRUE),IF(AA1278="Failed",VLOOKUP($D$3,Calcs!$A$110:$B$122,2,TRUE),VLOOKUP($D$3-(IF((Character!$B$9+W1278)&gt;($D$3+Y1278),(Character!$B$9+W1278)-($D$3+Y1278),0)),Calcs!$A$110:$B$122,2,TRUE))))=Calcs!$B$120,IF(ISBLANK(AC1278)," ",CONCATENATE(AC1278+7," Years")),IF(AA1278=" "," ",IF(NOT(ISBLANK(X1278)),VLOOKUP($D$3+X1278,Calcs!$A$110:$B$122,2,TRUE),IF(AA1278="Failed",VLOOKUP($D$3,Calcs!$A$110:$B$122,2,TRUE),VLOOKUP($D$3-(IF((Character!$B$9+W1278)&gt;($D$3+Y1278),(Character!$B$9+W1278)-($D$3+Y1278),0)),Calcs!$A$110:$B$122,2,TRUE)))))</f>
        <v xml:space="preserve"> </v>
      </c>
      <c r="AE1278" s="490"/>
      <c r="AF1278" s="879"/>
      <c r="AG1278" s="491"/>
    </row>
    <row r="1279" spans="1:33" x14ac:dyDescent="0.2">
      <c r="A1279" s="415">
        <f t="shared" si="38"/>
        <v>1529</v>
      </c>
      <c r="B1279" s="419" t="str">
        <f t="shared" si="39"/>
        <v>Autumn</v>
      </c>
      <c r="C1279" s="455"/>
      <c r="D1279" s="504"/>
      <c r="E1279" s="455"/>
      <c r="F1279" s="504"/>
      <c r="G1279" s="455"/>
      <c r="H1279" s="504"/>
      <c r="I1279" s="455"/>
      <c r="J1279" s="504"/>
      <c r="L1279" s="472"/>
      <c r="M1279" s="468"/>
      <c r="N1279" s="468"/>
      <c r="O1279" s="468"/>
      <c r="P1279" s="468"/>
      <c r="Q1279" s="473"/>
      <c r="R1279" s="477" t="str">
        <f>IF(AND(COUNTIF('Start Character'!$I$63:$M$77,"Twilight Prone")=1,NOT(ISERROR(FIND("Magical Botch",M1279)))),"Yes",IF(P1279&gt;1,"Yes","No"))</f>
        <v>No</v>
      </c>
      <c r="S1279" s="501"/>
      <c r="T1279" s="478"/>
      <c r="U1279" s="501"/>
      <c r="V1279" s="479" t="str">
        <f>IF(R1279="No","No Twilight",IF(T1279="Yes","Uncomprehended Twilight",IF((Character!$B$14+IF(Character!$B$53="Yes",0,Character!$B$53)+IF(Magic!$C$5="Yes",2,0)+ROUNDUP((Magic!$B$30+IF(Magic!$C$30="Yes",3,0))/5,0)+S1279)&gt;=($D$3+P1279+SUMIF(Character!$I$62:$I$66,"Enigmatic Wisdom",Character!$J$62:$J$66)+Q1279+U1279),"No Twilight","Twilight")))</f>
        <v>No Twilight</v>
      </c>
      <c r="W1279" s="483"/>
      <c r="X1279" s="478"/>
      <c r="Y1279" s="484"/>
      <c r="Z1279" s="478"/>
      <c r="AA1279" s="485" t="str">
        <f>IF(V1279="Uncomprehended Twilight","Failed",IF(OR(ISBLANK(W1279),ISBLANK(Y1279))," ",IF(NOT(ISBLANK(X1279)),"Failed",IF((W1279+Character!$B$9+SUMIF(Character!$I$62:$I$66,"Enigmatic Wisdom",Character!$J$62:$J$66))&gt;=IF(Z1279="Yes",0,(Y1279+D1274)),"Succeeded","Failed"))))</f>
        <v xml:space="preserve"> </v>
      </c>
      <c r="AB1279" s="477" t="str">
        <f>IF(AA1279=" "," ",IF(NOT(ISBLANK(X1279)),VLOOKUP($D$3+X1279,Calcs!$A$110:$C$122,3,TRUE),IF(AA1279="Failed",VLOOKUP($D$3,Calcs!$A$110:$C$122,3,TRUE),VLOOKUP($D$3-(IF((Character!$B$9+W1279)&gt;($D$3+Y1279),(Character!$B$9+W1279)-($D$3+Y1279),0)),Calcs!$A$110:$C$122,3,TRUE))))</f>
        <v xml:space="preserve"> </v>
      </c>
      <c r="AC1279" s="489"/>
      <c r="AD1279" s="489" t="str">
        <f>IF(IF(AA1279=" "," ",IF(NOT(ISBLANK(X1279)),VLOOKUP($D$3+X1279,Calcs!$A$110:$B$122,2,TRUE),IF(AA1279="Failed",VLOOKUP($D$3,Calcs!$A$110:$B$122,2,TRUE),VLOOKUP($D$3-(IF((Character!$B$9+W1279)&gt;($D$3+Y1279),(Character!$B$9+W1279)-($D$3+Y1279),0)),Calcs!$A$110:$B$122,2,TRUE))))=Calcs!$B$120,IF(ISBLANK(AC1279)," ",CONCATENATE(AC1279+7," Years")),IF(AA1279=" "," ",IF(NOT(ISBLANK(X1279)),VLOOKUP($D$3+X1279,Calcs!$A$110:$B$122,2,TRUE),IF(AA1279="Failed",VLOOKUP($D$3,Calcs!$A$110:$B$122,2,TRUE),VLOOKUP($D$3-(IF((Character!$B$9+W1279)&gt;($D$3+Y1279),(Character!$B$9+W1279)-($D$3+Y1279),0)),Calcs!$A$110:$B$122,2,TRUE)))))</f>
        <v xml:space="preserve"> </v>
      </c>
      <c r="AE1279" s="490"/>
      <c r="AF1279" s="879"/>
      <c r="AG1279" s="491"/>
    </row>
    <row r="1280" spans="1:33" x14ac:dyDescent="0.2">
      <c r="A1280" s="415">
        <f t="shared" si="38"/>
        <v>1530</v>
      </c>
      <c r="B1280" s="419" t="str">
        <f t="shared" si="39"/>
        <v>Winter</v>
      </c>
      <c r="C1280" s="455"/>
      <c r="D1280" s="504"/>
      <c r="E1280" s="455"/>
      <c r="F1280" s="504"/>
      <c r="G1280" s="455"/>
      <c r="H1280" s="504"/>
      <c r="I1280" s="455"/>
      <c r="J1280" s="504"/>
      <c r="L1280" s="472"/>
      <c r="M1280" s="468"/>
      <c r="N1280" s="468"/>
      <c r="O1280" s="468"/>
      <c r="P1280" s="468"/>
      <c r="Q1280" s="473"/>
      <c r="R1280" s="477" t="str">
        <f>IF(AND(COUNTIF('Start Character'!$I$63:$M$77,"Twilight Prone")=1,NOT(ISERROR(FIND("Magical Botch",M1280)))),"Yes",IF(P1280&gt;1,"Yes","No"))</f>
        <v>No</v>
      </c>
      <c r="S1280" s="501"/>
      <c r="T1280" s="478"/>
      <c r="U1280" s="501"/>
      <c r="V1280" s="479" t="str">
        <f>IF(R1280="No","No Twilight",IF(T1280="Yes","Uncomprehended Twilight",IF((Character!$B$14+IF(Character!$B$53="Yes",0,Character!$B$53)+IF(Magic!$C$5="Yes",2,0)+ROUNDUP((Magic!$B$30+IF(Magic!$C$30="Yes",3,0))/5,0)+S1280)&gt;=($D$3+P1280+SUMIF(Character!$I$62:$I$66,"Enigmatic Wisdom",Character!$J$62:$J$66)+Q1280+U1280),"No Twilight","Twilight")))</f>
        <v>No Twilight</v>
      </c>
      <c r="W1280" s="483"/>
      <c r="X1280" s="478"/>
      <c r="Y1280" s="484"/>
      <c r="Z1280" s="478"/>
      <c r="AA1280" s="485" t="str">
        <f>IF(V1280="Uncomprehended Twilight","Failed",IF(OR(ISBLANK(W1280),ISBLANK(Y1280))," ",IF(NOT(ISBLANK(X1280)),"Failed",IF((W1280+Character!$B$9+SUMIF(Character!$I$62:$I$66,"Enigmatic Wisdom",Character!$J$62:$J$66))&gt;=IF(Z1280="Yes",0,(Y1280+D1275)),"Succeeded","Failed"))))</f>
        <v xml:space="preserve"> </v>
      </c>
      <c r="AB1280" s="477" t="str">
        <f>IF(AA1280=" "," ",IF(NOT(ISBLANK(X1280)),VLOOKUP($D$3+X1280,Calcs!$A$110:$C$122,3,TRUE),IF(AA1280="Failed",VLOOKUP($D$3,Calcs!$A$110:$C$122,3,TRUE),VLOOKUP($D$3-(IF((Character!$B$9+W1280)&gt;($D$3+Y1280),(Character!$B$9+W1280)-($D$3+Y1280),0)),Calcs!$A$110:$C$122,3,TRUE))))</f>
        <v xml:space="preserve"> </v>
      </c>
      <c r="AC1280" s="489"/>
      <c r="AD1280" s="489" t="str">
        <f>IF(IF(AA1280=" "," ",IF(NOT(ISBLANK(X1280)),VLOOKUP($D$3+X1280,Calcs!$A$110:$B$122,2,TRUE),IF(AA1280="Failed",VLOOKUP($D$3,Calcs!$A$110:$B$122,2,TRUE),VLOOKUP($D$3-(IF((Character!$B$9+W1280)&gt;($D$3+Y1280),(Character!$B$9+W1280)-($D$3+Y1280),0)),Calcs!$A$110:$B$122,2,TRUE))))=Calcs!$B$120,IF(ISBLANK(AC1280)," ",CONCATENATE(AC1280+7," Years")),IF(AA1280=" "," ",IF(NOT(ISBLANK(X1280)),VLOOKUP($D$3+X1280,Calcs!$A$110:$B$122,2,TRUE),IF(AA1280="Failed",VLOOKUP($D$3,Calcs!$A$110:$B$122,2,TRUE),VLOOKUP($D$3-(IF((Character!$B$9+W1280)&gt;($D$3+Y1280),(Character!$B$9+W1280)-($D$3+Y1280),0)),Calcs!$A$110:$B$122,2,TRUE)))))</f>
        <v xml:space="preserve"> </v>
      </c>
      <c r="AE1280" s="490"/>
      <c r="AF1280" s="879"/>
      <c r="AG1280" s="491"/>
    </row>
    <row r="1281" spans="1:33" x14ac:dyDescent="0.2">
      <c r="A1281" s="415">
        <f t="shared" si="38"/>
        <v>1530</v>
      </c>
      <c r="B1281" s="419" t="str">
        <f t="shared" si="39"/>
        <v>Spring</v>
      </c>
      <c r="C1281" s="455"/>
      <c r="D1281" s="504"/>
      <c r="E1281" s="455"/>
      <c r="F1281" s="504"/>
      <c r="G1281" s="455"/>
      <c r="H1281" s="504"/>
      <c r="I1281" s="455"/>
      <c r="J1281" s="504"/>
      <c r="L1281" s="472"/>
      <c r="M1281" s="468"/>
      <c r="N1281" s="468"/>
      <c r="O1281" s="468"/>
      <c r="P1281" s="468"/>
      <c r="Q1281" s="473"/>
      <c r="R1281" s="477" t="str">
        <f>IF(AND(COUNTIF('Start Character'!$I$63:$M$77,"Twilight Prone")=1,NOT(ISERROR(FIND("Magical Botch",M1281)))),"Yes",IF(P1281&gt;1,"Yes","No"))</f>
        <v>No</v>
      </c>
      <c r="S1281" s="501"/>
      <c r="T1281" s="478"/>
      <c r="U1281" s="501"/>
      <c r="V1281" s="479" t="str">
        <f>IF(R1281="No","No Twilight",IF(T1281="Yes","Uncomprehended Twilight",IF((Character!$B$14+IF(Character!$B$53="Yes",0,Character!$B$53)+IF(Magic!$C$5="Yes",2,0)+ROUNDUP((Magic!$B$30+IF(Magic!$C$30="Yes",3,0))/5,0)+S1281)&gt;=($D$3+P1281+SUMIF(Character!$I$62:$I$66,"Enigmatic Wisdom",Character!$J$62:$J$66)+Q1281+U1281),"No Twilight","Twilight")))</f>
        <v>No Twilight</v>
      </c>
      <c r="W1281" s="483"/>
      <c r="X1281" s="478"/>
      <c r="Y1281" s="484"/>
      <c r="Z1281" s="478"/>
      <c r="AA1281" s="485" t="str">
        <f>IF(V1281="Uncomprehended Twilight","Failed",IF(OR(ISBLANK(W1281),ISBLANK(Y1281))," ",IF(NOT(ISBLANK(X1281)),"Failed",IF((W1281+Character!$B$9+SUMIF(Character!$I$62:$I$66,"Enigmatic Wisdom",Character!$J$62:$J$66))&gt;=IF(Z1281="Yes",0,(Y1281+D1276)),"Succeeded","Failed"))))</f>
        <v xml:space="preserve"> </v>
      </c>
      <c r="AB1281" s="477" t="str">
        <f>IF(AA1281=" "," ",IF(NOT(ISBLANK(X1281)),VLOOKUP($D$3+X1281,Calcs!$A$110:$C$122,3,TRUE),IF(AA1281="Failed",VLOOKUP($D$3,Calcs!$A$110:$C$122,3,TRUE),VLOOKUP($D$3-(IF((Character!$B$9+W1281)&gt;($D$3+Y1281),(Character!$B$9+W1281)-($D$3+Y1281),0)),Calcs!$A$110:$C$122,3,TRUE))))</f>
        <v xml:space="preserve"> </v>
      </c>
      <c r="AC1281" s="489"/>
      <c r="AD1281" s="489" t="str">
        <f>IF(IF(AA1281=" "," ",IF(NOT(ISBLANK(X1281)),VLOOKUP($D$3+X1281,Calcs!$A$110:$B$122,2,TRUE),IF(AA1281="Failed",VLOOKUP($D$3,Calcs!$A$110:$B$122,2,TRUE),VLOOKUP($D$3-(IF((Character!$B$9+W1281)&gt;($D$3+Y1281),(Character!$B$9+W1281)-($D$3+Y1281),0)),Calcs!$A$110:$B$122,2,TRUE))))=Calcs!$B$120,IF(ISBLANK(AC1281)," ",CONCATENATE(AC1281+7," Years")),IF(AA1281=" "," ",IF(NOT(ISBLANK(X1281)),VLOOKUP($D$3+X1281,Calcs!$A$110:$B$122,2,TRUE),IF(AA1281="Failed",VLOOKUP($D$3,Calcs!$A$110:$B$122,2,TRUE),VLOOKUP($D$3-(IF((Character!$B$9+W1281)&gt;($D$3+Y1281),(Character!$B$9+W1281)-($D$3+Y1281),0)),Calcs!$A$110:$B$122,2,TRUE)))))</f>
        <v xml:space="preserve"> </v>
      </c>
      <c r="AE1281" s="490"/>
      <c r="AF1281" s="879"/>
      <c r="AG1281" s="491"/>
    </row>
    <row r="1282" spans="1:33" x14ac:dyDescent="0.2">
      <c r="A1282" s="415">
        <f t="shared" si="38"/>
        <v>1530</v>
      </c>
      <c r="B1282" s="419" t="str">
        <f t="shared" si="39"/>
        <v>Summer</v>
      </c>
      <c r="C1282" s="455"/>
      <c r="D1282" s="504"/>
      <c r="E1282" s="455"/>
      <c r="F1282" s="504"/>
      <c r="G1282" s="455"/>
      <c r="H1282" s="504"/>
      <c r="I1282" s="455"/>
      <c r="J1282" s="504"/>
      <c r="L1282" s="472"/>
      <c r="M1282" s="468"/>
      <c r="N1282" s="468"/>
      <c r="O1282" s="468"/>
      <c r="P1282" s="468"/>
      <c r="Q1282" s="473"/>
      <c r="R1282" s="477" t="str">
        <f>IF(AND(COUNTIF('Start Character'!$I$63:$M$77,"Twilight Prone")=1,NOT(ISERROR(FIND("Magical Botch",M1282)))),"Yes",IF(P1282&gt;1,"Yes","No"))</f>
        <v>No</v>
      </c>
      <c r="S1282" s="501"/>
      <c r="T1282" s="478"/>
      <c r="U1282" s="501"/>
      <c r="V1282" s="479" t="str">
        <f>IF(R1282="No","No Twilight",IF(T1282="Yes","Uncomprehended Twilight",IF((Character!$B$14+IF(Character!$B$53="Yes",0,Character!$B$53)+IF(Magic!$C$5="Yes",2,0)+ROUNDUP((Magic!$B$30+IF(Magic!$C$30="Yes",3,0))/5,0)+S1282)&gt;=($D$3+P1282+SUMIF(Character!$I$62:$I$66,"Enigmatic Wisdom",Character!$J$62:$J$66)+Q1282+U1282),"No Twilight","Twilight")))</f>
        <v>No Twilight</v>
      </c>
      <c r="W1282" s="483"/>
      <c r="X1282" s="478"/>
      <c r="Y1282" s="484"/>
      <c r="Z1282" s="478"/>
      <c r="AA1282" s="485" t="str">
        <f>IF(V1282="Uncomprehended Twilight","Failed",IF(OR(ISBLANK(W1282),ISBLANK(Y1282))," ",IF(NOT(ISBLANK(X1282)),"Failed",IF((W1282+Character!$B$9+SUMIF(Character!$I$62:$I$66,"Enigmatic Wisdom",Character!$J$62:$J$66))&gt;=IF(Z1282="Yes",0,(Y1282+D1277)),"Succeeded","Failed"))))</f>
        <v xml:space="preserve"> </v>
      </c>
      <c r="AB1282" s="477" t="str">
        <f>IF(AA1282=" "," ",IF(NOT(ISBLANK(X1282)),VLOOKUP($D$3+X1282,Calcs!$A$110:$C$122,3,TRUE),IF(AA1282="Failed",VLOOKUP($D$3,Calcs!$A$110:$C$122,3,TRUE),VLOOKUP($D$3-(IF((Character!$B$9+W1282)&gt;($D$3+Y1282),(Character!$B$9+W1282)-($D$3+Y1282),0)),Calcs!$A$110:$C$122,3,TRUE))))</f>
        <v xml:space="preserve"> </v>
      </c>
      <c r="AC1282" s="489"/>
      <c r="AD1282" s="489" t="str">
        <f>IF(IF(AA1282=" "," ",IF(NOT(ISBLANK(X1282)),VLOOKUP($D$3+X1282,Calcs!$A$110:$B$122,2,TRUE),IF(AA1282="Failed",VLOOKUP($D$3,Calcs!$A$110:$B$122,2,TRUE),VLOOKUP($D$3-(IF((Character!$B$9+W1282)&gt;($D$3+Y1282),(Character!$B$9+W1282)-($D$3+Y1282),0)),Calcs!$A$110:$B$122,2,TRUE))))=Calcs!$B$120,IF(ISBLANK(AC1282)," ",CONCATENATE(AC1282+7," Years")),IF(AA1282=" "," ",IF(NOT(ISBLANK(X1282)),VLOOKUP($D$3+X1282,Calcs!$A$110:$B$122,2,TRUE),IF(AA1282="Failed",VLOOKUP($D$3,Calcs!$A$110:$B$122,2,TRUE),VLOOKUP($D$3-(IF((Character!$B$9+W1282)&gt;($D$3+Y1282),(Character!$B$9+W1282)-($D$3+Y1282),0)),Calcs!$A$110:$B$122,2,TRUE)))))</f>
        <v xml:space="preserve"> </v>
      </c>
      <c r="AE1282" s="490"/>
      <c r="AF1282" s="879"/>
      <c r="AG1282" s="491"/>
    </row>
    <row r="1283" spans="1:33" x14ac:dyDescent="0.2">
      <c r="A1283" s="415">
        <f t="shared" si="38"/>
        <v>1530</v>
      </c>
      <c r="B1283" s="419" t="str">
        <f t="shared" si="39"/>
        <v>Autumn</v>
      </c>
      <c r="C1283" s="455"/>
      <c r="D1283" s="504"/>
      <c r="E1283" s="455"/>
      <c r="F1283" s="504"/>
      <c r="G1283" s="455"/>
      <c r="H1283" s="504"/>
      <c r="I1283" s="455"/>
      <c r="J1283" s="504"/>
      <c r="L1283" s="472"/>
      <c r="M1283" s="468"/>
      <c r="N1283" s="468"/>
      <c r="O1283" s="468"/>
      <c r="P1283" s="468"/>
      <c r="Q1283" s="473"/>
      <c r="R1283" s="477" t="str">
        <f>IF(AND(COUNTIF('Start Character'!$I$63:$M$77,"Twilight Prone")=1,NOT(ISERROR(FIND("Magical Botch",M1283)))),"Yes",IF(P1283&gt;1,"Yes","No"))</f>
        <v>No</v>
      </c>
      <c r="S1283" s="501"/>
      <c r="T1283" s="478"/>
      <c r="U1283" s="501"/>
      <c r="V1283" s="479" t="str">
        <f>IF(R1283="No","No Twilight",IF(T1283="Yes","Uncomprehended Twilight",IF((Character!$B$14+IF(Character!$B$53="Yes",0,Character!$B$53)+IF(Magic!$C$5="Yes",2,0)+ROUNDUP((Magic!$B$30+IF(Magic!$C$30="Yes",3,0))/5,0)+S1283)&gt;=($D$3+P1283+SUMIF(Character!$I$62:$I$66,"Enigmatic Wisdom",Character!$J$62:$J$66)+Q1283+U1283),"No Twilight","Twilight")))</f>
        <v>No Twilight</v>
      </c>
      <c r="W1283" s="483"/>
      <c r="X1283" s="478"/>
      <c r="Y1283" s="484"/>
      <c r="Z1283" s="478"/>
      <c r="AA1283" s="485" t="str">
        <f>IF(V1283="Uncomprehended Twilight","Failed",IF(OR(ISBLANK(W1283),ISBLANK(Y1283))," ",IF(NOT(ISBLANK(X1283)),"Failed",IF((W1283+Character!$B$9+SUMIF(Character!$I$62:$I$66,"Enigmatic Wisdom",Character!$J$62:$J$66))&gt;=IF(Z1283="Yes",0,(Y1283+D1278)),"Succeeded","Failed"))))</f>
        <v xml:space="preserve"> </v>
      </c>
      <c r="AB1283" s="477" t="str">
        <f>IF(AA1283=" "," ",IF(NOT(ISBLANK(X1283)),VLOOKUP($D$3+X1283,Calcs!$A$110:$C$122,3,TRUE),IF(AA1283="Failed",VLOOKUP($D$3,Calcs!$A$110:$C$122,3,TRUE),VLOOKUP($D$3-(IF((Character!$B$9+W1283)&gt;($D$3+Y1283),(Character!$B$9+W1283)-($D$3+Y1283),0)),Calcs!$A$110:$C$122,3,TRUE))))</f>
        <v xml:space="preserve"> </v>
      </c>
      <c r="AC1283" s="489"/>
      <c r="AD1283" s="489" t="str">
        <f>IF(IF(AA1283=" "," ",IF(NOT(ISBLANK(X1283)),VLOOKUP($D$3+X1283,Calcs!$A$110:$B$122,2,TRUE),IF(AA1283="Failed",VLOOKUP($D$3,Calcs!$A$110:$B$122,2,TRUE),VLOOKUP($D$3-(IF((Character!$B$9+W1283)&gt;($D$3+Y1283),(Character!$B$9+W1283)-($D$3+Y1283),0)),Calcs!$A$110:$B$122,2,TRUE))))=Calcs!$B$120,IF(ISBLANK(AC1283)," ",CONCATENATE(AC1283+7," Years")),IF(AA1283=" "," ",IF(NOT(ISBLANK(X1283)),VLOOKUP($D$3+X1283,Calcs!$A$110:$B$122,2,TRUE),IF(AA1283="Failed",VLOOKUP($D$3,Calcs!$A$110:$B$122,2,TRUE),VLOOKUP($D$3-(IF((Character!$B$9+W1283)&gt;($D$3+Y1283),(Character!$B$9+W1283)-($D$3+Y1283),0)),Calcs!$A$110:$B$122,2,TRUE)))))</f>
        <v xml:space="preserve"> </v>
      </c>
      <c r="AE1283" s="490"/>
      <c r="AF1283" s="879"/>
      <c r="AG1283" s="491"/>
    </row>
    <row r="1284" spans="1:33" x14ac:dyDescent="0.2">
      <c r="A1284" s="415">
        <f t="shared" si="38"/>
        <v>1531</v>
      </c>
      <c r="B1284" s="419" t="str">
        <f t="shared" si="39"/>
        <v>Winter</v>
      </c>
      <c r="C1284" s="455"/>
      <c r="D1284" s="504"/>
      <c r="E1284" s="455"/>
      <c r="F1284" s="504"/>
      <c r="G1284" s="455"/>
      <c r="H1284" s="504"/>
      <c r="I1284" s="455"/>
      <c r="J1284" s="504"/>
      <c r="L1284" s="472"/>
      <c r="M1284" s="468"/>
      <c r="N1284" s="468"/>
      <c r="O1284" s="468"/>
      <c r="P1284" s="468"/>
      <c r="Q1284" s="473"/>
      <c r="R1284" s="477" t="str">
        <f>IF(AND(COUNTIF('Start Character'!$I$63:$M$77,"Twilight Prone")=1,NOT(ISERROR(FIND("Magical Botch",M1284)))),"Yes",IF(P1284&gt;1,"Yes","No"))</f>
        <v>No</v>
      </c>
      <c r="S1284" s="501"/>
      <c r="T1284" s="478"/>
      <c r="U1284" s="501"/>
      <c r="V1284" s="479" t="str">
        <f>IF(R1284="No","No Twilight",IF(T1284="Yes","Uncomprehended Twilight",IF((Character!$B$14+IF(Character!$B$53="Yes",0,Character!$B$53)+IF(Magic!$C$5="Yes",2,0)+ROUNDUP((Magic!$B$30+IF(Magic!$C$30="Yes",3,0))/5,0)+S1284)&gt;=($D$3+P1284+SUMIF(Character!$I$62:$I$66,"Enigmatic Wisdom",Character!$J$62:$J$66)+Q1284+U1284),"No Twilight","Twilight")))</f>
        <v>No Twilight</v>
      </c>
      <c r="W1284" s="483"/>
      <c r="X1284" s="478"/>
      <c r="Y1284" s="484"/>
      <c r="Z1284" s="478"/>
      <c r="AA1284" s="485" t="str">
        <f>IF(V1284="Uncomprehended Twilight","Failed",IF(OR(ISBLANK(W1284),ISBLANK(Y1284))," ",IF(NOT(ISBLANK(X1284)),"Failed",IF((W1284+Character!$B$9+SUMIF(Character!$I$62:$I$66,"Enigmatic Wisdom",Character!$J$62:$J$66))&gt;=IF(Z1284="Yes",0,(Y1284+D1279)),"Succeeded","Failed"))))</f>
        <v xml:space="preserve"> </v>
      </c>
      <c r="AB1284" s="477" t="str">
        <f>IF(AA1284=" "," ",IF(NOT(ISBLANK(X1284)),VLOOKUP($D$3+X1284,Calcs!$A$110:$C$122,3,TRUE),IF(AA1284="Failed",VLOOKUP($D$3,Calcs!$A$110:$C$122,3,TRUE),VLOOKUP($D$3-(IF((Character!$B$9+W1284)&gt;($D$3+Y1284),(Character!$B$9+W1284)-($D$3+Y1284),0)),Calcs!$A$110:$C$122,3,TRUE))))</f>
        <v xml:space="preserve"> </v>
      </c>
      <c r="AC1284" s="489"/>
      <c r="AD1284" s="489" t="str">
        <f>IF(IF(AA1284=" "," ",IF(NOT(ISBLANK(X1284)),VLOOKUP($D$3+X1284,Calcs!$A$110:$B$122,2,TRUE),IF(AA1284="Failed",VLOOKUP($D$3,Calcs!$A$110:$B$122,2,TRUE),VLOOKUP($D$3-(IF((Character!$B$9+W1284)&gt;($D$3+Y1284),(Character!$B$9+W1284)-($D$3+Y1284),0)),Calcs!$A$110:$B$122,2,TRUE))))=Calcs!$B$120,IF(ISBLANK(AC1284)," ",CONCATENATE(AC1284+7," Years")),IF(AA1284=" "," ",IF(NOT(ISBLANK(X1284)),VLOOKUP($D$3+X1284,Calcs!$A$110:$B$122,2,TRUE),IF(AA1284="Failed",VLOOKUP($D$3,Calcs!$A$110:$B$122,2,TRUE),VLOOKUP($D$3-(IF((Character!$B$9+W1284)&gt;($D$3+Y1284),(Character!$B$9+W1284)-($D$3+Y1284),0)),Calcs!$A$110:$B$122,2,TRUE)))))</f>
        <v xml:space="preserve"> </v>
      </c>
      <c r="AE1284" s="490"/>
      <c r="AF1284" s="879"/>
      <c r="AG1284" s="491"/>
    </row>
    <row r="1285" spans="1:33" x14ac:dyDescent="0.2">
      <c r="A1285" s="415">
        <f t="shared" si="38"/>
        <v>1531</v>
      </c>
      <c r="B1285" s="419" t="str">
        <f t="shared" si="39"/>
        <v>Spring</v>
      </c>
      <c r="C1285" s="455"/>
      <c r="D1285" s="504"/>
      <c r="E1285" s="455"/>
      <c r="F1285" s="504"/>
      <c r="G1285" s="455"/>
      <c r="H1285" s="504"/>
      <c r="I1285" s="455"/>
      <c r="J1285" s="504"/>
      <c r="L1285" s="472"/>
      <c r="M1285" s="468"/>
      <c r="N1285" s="468"/>
      <c r="O1285" s="468"/>
      <c r="P1285" s="468"/>
      <c r="Q1285" s="473"/>
      <c r="R1285" s="477" t="str">
        <f>IF(AND(COUNTIF('Start Character'!$I$63:$M$77,"Twilight Prone")=1,NOT(ISERROR(FIND("Magical Botch",M1285)))),"Yes",IF(P1285&gt;1,"Yes","No"))</f>
        <v>No</v>
      </c>
      <c r="S1285" s="501"/>
      <c r="T1285" s="478"/>
      <c r="U1285" s="501"/>
      <c r="V1285" s="479" t="str">
        <f>IF(R1285="No","No Twilight",IF(T1285="Yes","Uncomprehended Twilight",IF((Character!$B$14+IF(Character!$B$53="Yes",0,Character!$B$53)+IF(Magic!$C$5="Yes",2,0)+ROUNDUP((Magic!$B$30+IF(Magic!$C$30="Yes",3,0))/5,0)+S1285)&gt;=($D$3+P1285+SUMIF(Character!$I$62:$I$66,"Enigmatic Wisdom",Character!$J$62:$J$66)+Q1285+U1285),"No Twilight","Twilight")))</f>
        <v>No Twilight</v>
      </c>
      <c r="W1285" s="483"/>
      <c r="X1285" s="478"/>
      <c r="Y1285" s="484"/>
      <c r="Z1285" s="478"/>
      <c r="AA1285" s="485" t="str">
        <f>IF(V1285="Uncomprehended Twilight","Failed",IF(OR(ISBLANK(W1285),ISBLANK(Y1285))," ",IF(NOT(ISBLANK(X1285)),"Failed",IF((W1285+Character!$B$9+SUMIF(Character!$I$62:$I$66,"Enigmatic Wisdom",Character!$J$62:$J$66))&gt;=IF(Z1285="Yes",0,(Y1285+D1280)),"Succeeded","Failed"))))</f>
        <v xml:space="preserve"> </v>
      </c>
      <c r="AB1285" s="477" t="str">
        <f>IF(AA1285=" "," ",IF(NOT(ISBLANK(X1285)),VLOOKUP($D$3+X1285,Calcs!$A$110:$C$122,3,TRUE),IF(AA1285="Failed",VLOOKUP($D$3,Calcs!$A$110:$C$122,3,TRUE),VLOOKUP($D$3-(IF((Character!$B$9+W1285)&gt;($D$3+Y1285),(Character!$B$9+W1285)-($D$3+Y1285),0)),Calcs!$A$110:$C$122,3,TRUE))))</f>
        <v xml:space="preserve"> </v>
      </c>
      <c r="AC1285" s="489"/>
      <c r="AD1285" s="489" t="str">
        <f>IF(IF(AA1285=" "," ",IF(NOT(ISBLANK(X1285)),VLOOKUP($D$3+X1285,Calcs!$A$110:$B$122,2,TRUE),IF(AA1285="Failed",VLOOKUP($D$3,Calcs!$A$110:$B$122,2,TRUE),VLOOKUP($D$3-(IF((Character!$B$9+W1285)&gt;($D$3+Y1285),(Character!$B$9+W1285)-($D$3+Y1285),0)),Calcs!$A$110:$B$122,2,TRUE))))=Calcs!$B$120,IF(ISBLANK(AC1285)," ",CONCATENATE(AC1285+7," Years")),IF(AA1285=" "," ",IF(NOT(ISBLANK(X1285)),VLOOKUP($D$3+X1285,Calcs!$A$110:$B$122,2,TRUE),IF(AA1285="Failed",VLOOKUP($D$3,Calcs!$A$110:$B$122,2,TRUE),VLOOKUP($D$3-(IF((Character!$B$9+W1285)&gt;($D$3+Y1285),(Character!$B$9+W1285)-($D$3+Y1285),0)),Calcs!$A$110:$B$122,2,TRUE)))))</f>
        <v xml:space="preserve"> </v>
      </c>
      <c r="AE1285" s="490"/>
      <c r="AF1285" s="879"/>
      <c r="AG1285" s="491"/>
    </row>
    <row r="1286" spans="1:33" x14ac:dyDescent="0.2">
      <c r="A1286" s="415">
        <f t="shared" si="38"/>
        <v>1531</v>
      </c>
      <c r="B1286" s="419" t="str">
        <f t="shared" si="39"/>
        <v>Summer</v>
      </c>
      <c r="C1286" s="455"/>
      <c r="D1286" s="504"/>
      <c r="E1286" s="455"/>
      <c r="F1286" s="504"/>
      <c r="G1286" s="455"/>
      <c r="H1286" s="504"/>
      <c r="I1286" s="455"/>
      <c r="J1286" s="504"/>
      <c r="L1286" s="472"/>
      <c r="M1286" s="468"/>
      <c r="N1286" s="468"/>
      <c r="O1286" s="468"/>
      <c r="P1286" s="468"/>
      <c r="Q1286" s="473"/>
      <c r="R1286" s="477" t="str">
        <f>IF(AND(COUNTIF('Start Character'!$I$63:$M$77,"Twilight Prone")=1,NOT(ISERROR(FIND("Magical Botch",M1286)))),"Yes",IF(P1286&gt;1,"Yes","No"))</f>
        <v>No</v>
      </c>
      <c r="S1286" s="501"/>
      <c r="T1286" s="478"/>
      <c r="U1286" s="501"/>
      <c r="V1286" s="479" t="str">
        <f>IF(R1286="No","No Twilight",IF(T1286="Yes","Uncomprehended Twilight",IF((Character!$B$14+IF(Character!$B$53="Yes",0,Character!$B$53)+IF(Magic!$C$5="Yes",2,0)+ROUNDUP((Magic!$B$30+IF(Magic!$C$30="Yes",3,0))/5,0)+S1286)&gt;=($D$3+P1286+SUMIF(Character!$I$62:$I$66,"Enigmatic Wisdom",Character!$J$62:$J$66)+Q1286+U1286),"No Twilight","Twilight")))</f>
        <v>No Twilight</v>
      </c>
      <c r="W1286" s="483"/>
      <c r="X1286" s="478"/>
      <c r="Y1286" s="484"/>
      <c r="Z1286" s="478"/>
      <c r="AA1286" s="485" t="str">
        <f>IF(V1286="Uncomprehended Twilight","Failed",IF(OR(ISBLANK(W1286),ISBLANK(Y1286))," ",IF(NOT(ISBLANK(X1286)),"Failed",IF((W1286+Character!$B$9+SUMIF(Character!$I$62:$I$66,"Enigmatic Wisdom",Character!$J$62:$J$66))&gt;=IF(Z1286="Yes",0,(Y1286+D1281)),"Succeeded","Failed"))))</f>
        <v xml:space="preserve"> </v>
      </c>
      <c r="AB1286" s="477" t="str">
        <f>IF(AA1286=" "," ",IF(NOT(ISBLANK(X1286)),VLOOKUP($D$3+X1286,Calcs!$A$110:$C$122,3,TRUE),IF(AA1286="Failed",VLOOKUP($D$3,Calcs!$A$110:$C$122,3,TRUE),VLOOKUP($D$3-(IF((Character!$B$9+W1286)&gt;($D$3+Y1286),(Character!$B$9+W1286)-($D$3+Y1286),0)),Calcs!$A$110:$C$122,3,TRUE))))</f>
        <v xml:space="preserve"> </v>
      </c>
      <c r="AC1286" s="489"/>
      <c r="AD1286" s="489" t="str">
        <f>IF(IF(AA1286=" "," ",IF(NOT(ISBLANK(X1286)),VLOOKUP($D$3+X1286,Calcs!$A$110:$B$122,2,TRUE),IF(AA1286="Failed",VLOOKUP($D$3,Calcs!$A$110:$B$122,2,TRUE),VLOOKUP($D$3-(IF((Character!$B$9+W1286)&gt;($D$3+Y1286),(Character!$B$9+W1286)-($D$3+Y1286),0)),Calcs!$A$110:$B$122,2,TRUE))))=Calcs!$B$120,IF(ISBLANK(AC1286)," ",CONCATENATE(AC1286+7," Years")),IF(AA1286=" "," ",IF(NOT(ISBLANK(X1286)),VLOOKUP($D$3+X1286,Calcs!$A$110:$B$122,2,TRUE),IF(AA1286="Failed",VLOOKUP($D$3,Calcs!$A$110:$B$122,2,TRUE),VLOOKUP($D$3-(IF((Character!$B$9+W1286)&gt;($D$3+Y1286),(Character!$B$9+W1286)-($D$3+Y1286),0)),Calcs!$A$110:$B$122,2,TRUE)))))</f>
        <v xml:space="preserve"> </v>
      </c>
      <c r="AE1286" s="490"/>
      <c r="AF1286" s="879"/>
      <c r="AG1286" s="491"/>
    </row>
    <row r="1287" spans="1:33" x14ac:dyDescent="0.2">
      <c r="A1287" s="415">
        <f t="shared" si="38"/>
        <v>1531</v>
      </c>
      <c r="B1287" s="419" t="str">
        <f t="shared" si="39"/>
        <v>Autumn</v>
      </c>
      <c r="C1287" s="455"/>
      <c r="D1287" s="504"/>
      <c r="E1287" s="455"/>
      <c r="F1287" s="504"/>
      <c r="G1287" s="455"/>
      <c r="H1287" s="504"/>
      <c r="I1287" s="455"/>
      <c r="J1287" s="504"/>
      <c r="L1287" s="472"/>
      <c r="M1287" s="468"/>
      <c r="N1287" s="468"/>
      <c r="O1287" s="468"/>
      <c r="P1287" s="468"/>
      <c r="Q1287" s="473"/>
      <c r="R1287" s="477" t="str">
        <f>IF(AND(COUNTIF('Start Character'!$I$63:$M$77,"Twilight Prone")=1,NOT(ISERROR(FIND("Magical Botch",M1287)))),"Yes",IF(P1287&gt;1,"Yes","No"))</f>
        <v>No</v>
      </c>
      <c r="S1287" s="501"/>
      <c r="T1287" s="478"/>
      <c r="U1287" s="501"/>
      <c r="V1287" s="479" t="str">
        <f>IF(R1287="No","No Twilight",IF(T1287="Yes","Uncomprehended Twilight",IF((Character!$B$14+IF(Character!$B$53="Yes",0,Character!$B$53)+IF(Magic!$C$5="Yes",2,0)+ROUNDUP((Magic!$B$30+IF(Magic!$C$30="Yes",3,0))/5,0)+S1287)&gt;=($D$3+P1287+SUMIF(Character!$I$62:$I$66,"Enigmatic Wisdom",Character!$J$62:$J$66)+Q1287+U1287),"No Twilight","Twilight")))</f>
        <v>No Twilight</v>
      </c>
      <c r="W1287" s="483"/>
      <c r="X1287" s="478"/>
      <c r="Y1287" s="484"/>
      <c r="Z1287" s="478"/>
      <c r="AA1287" s="485" t="str">
        <f>IF(V1287="Uncomprehended Twilight","Failed",IF(OR(ISBLANK(W1287),ISBLANK(Y1287))," ",IF(NOT(ISBLANK(X1287)),"Failed",IF((W1287+Character!$B$9+SUMIF(Character!$I$62:$I$66,"Enigmatic Wisdom",Character!$J$62:$J$66))&gt;=IF(Z1287="Yes",0,(Y1287+D1282)),"Succeeded","Failed"))))</f>
        <v xml:space="preserve"> </v>
      </c>
      <c r="AB1287" s="477" t="str">
        <f>IF(AA1287=" "," ",IF(NOT(ISBLANK(X1287)),VLOOKUP($D$3+X1287,Calcs!$A$110:$C$122,3,TRUE),IF(AA1287="Failed",VLOOKUP($D$3,Calcs!$A$110:$C$122,3,TRUE),VLOOKUP($D$3-(IF((Character!$B$9+W1287)&gt;($D$3+Y1287),(Character!$B$9+W1287)-($D$3+Y1287),0)),Calcs!$A$110:$C$122,3,TRUE))))</f>
        <v xml:space="preserve"> </v>
      </c>
      <c r="AC1287" s="489"/>
      <c r="AD1287" s="489" t="str">
        <f>IF(IF(AA1287=" "," ",IF(NOT(ISBLANK(X1287)),VLOOKUP($D$3+X1287,Calcs!$A$110:$B$122,2,TRUE),IF(AA1287="Failed",VLOOKUP($D$3,Calcs!$A$110:$B$122,2,TRUE),VLOOKUP($D$3-(IF((Character!$B$9+W1287)&gt;($D$3+Y1287),(Character!$B$9+W1287)-($D$3+Y1287),0)),Calcs!$A$110:$B$122,2,TRUE))))=Calcs!$B$120,IF(ISBLANK(AC1287)," ",CONCATENATE(AC1287+7," Years")),IF(AA1287=" "," ",IF(NOT(ISBLANK(X1287)),VLOOKUP($D$3+X1287,Calcs!$A$110:$B$122,2,TRUE),IF(AA1287="Failed",VLOOKUP($D$3,Calcs!$A$110:$B$122,2,TRUE),VLOOKUP($D$3-(IF((Character!$B$9+W1287)&gt;($D$3+Y1287),(Character!$B$9+W1287)-($D$3+Y1287),0)),Calcs!$A$110:$B$122,2,TRUE)))))</f>
        <v xml:space="preserve"> </v>
      </c>
      <c r="AE1287" s="490"/>
      <c r="AF1287" s="879"/>
      <c r="AG1287" s="491"/>
    </row>
    <row r="1288" spans="1:33" x14ac:dyDescent="0.2">
      <c r="A1288" s="415">
        <f t="shared" si="38"/>
        <v>1532</v>
      </c>
      <c r="B1288" s="419" t="str">
        <f t="shared" si="39"/>
        <v>Winter</v>
      </c>
      <c r="C1288" s="455"/>
      <c r="D1288" s="504"/>
      <c r="E1288" s="455"/>
      <c r="F1288" s="504"/>
      <c r="G1288" s="455"/>
      <c r="H1288" s="504"/>
      <c r="I1288" s="455"/>
      <c r="J1288" s="504"/>
      <c r="L1288" s="472"/>
      <c r="M1288" s="468"/>
      <c r="N1288" s="468"/>
      <c r="O1288" s="468"/>
      <c r="P1288" s="468"/>
      <c r="Q1288" s="473"/>
      <c r="R1288" s="477" t="str">
        <f>IF(AND(COUNTIF('Start Character'!$I$63:$M$77,"Twilight Prone")=1,NOT(ISERROR(FIND("Magical Botch",M1288)))),"Yes",IF(P1288&gt;1,"Yes","No"))</f>
        <v>No</v>
      </c>
      <c r="S1288" s="501"/>
      <c r="T1288" s="478"/>
      <c r="U1288" s="501"/>
      <c r="V1288" s="479" t="str">
        <f>IF(R1288="No","No Twilight",IF(T1288="Yes","Uncomprehended Twilight",IF((Character!$B$14+IF(Character!$B$53="Yes",0,Character!$B$53)+IF(Magic!$C$5="Yes",2,0)+ROUNDUP((Magic!$B$30+IF(Magic!$C$30="Yes",3,0))/5,0)+S1288)&gt;=($D$3+P1288+SUMIF(Character!$I$62:$I$66,"Enigmatic Wisdom",Character!$J$62:$J$66)+Q1288+U1288),"No Twilight","Twilight")))</f>
        <v>No Twilight</v>
      </c>
      <c r="W1288" s="483"/>
      <c r="X1288" s="478"/>
      <c r="Y1288" s="484"/>
      <c r="Z1288" s="478"/>
      <c r="AA1288" s="485" t="str">
        <f>IF(V1288="Uncomprehended Twilight","Failed",IF(OR(ISBLANK(W1288),ISBLANK(Y1288))," ",IF(NOT(ISBLANK(X1288)),"Failed",IF((W1288+Character!$B$9+SUMIF(Character!$I$62:$I$66,"Enigmatic Wisdom",Character!$J$62:$J$66))&gt;=IF(Z1288="Yes",0,(Y1288+D1283)),"Succeeded","Failed"))))</f>
        <v xml:space="preserve"> </v>
      </c>
      <c r="AB1288" s="477" t="str">
        <f>IF(AA1288=" "," ",IF(NOT(ISBLANK(X1288)),VLOOKUP($D$3+X1288,Calcs!$A$110:$C$122,3,TRUE),IF(AA1288="Failed",VLOOKUP($D$3,Calcs!$A$110:$C$122,3,TRUE),VLOOKUP($D$3-(IF((Character!$B$9+W1288)&gt;($D$3+Y1288),(Character!$B$9+W1288)-($D$3+Y1288),0)),Calcs!$A$110:$C$122,3,TRUE))))</f>
        <v xml:space="preserve"> </v>
      </c>
      <c r="AC1288" s="489"/>
      <c r="AD1288" s="489" t="str">
        <f>IF(IF(AA1288=" "," ",IF(NOT(ISBLANK(X1288)),VLOOKUP($D$3+X1288,Calcs!$A$110:$B$122,2,TRUE),IF(AA1288="Failed",VLOOKUP($D$3,Calcs!$A$110:$B$122,2,TRUE),VLOOKUP($D$3-(IF((Character!$B$9+W1288)&gt;($D$3+Y1288),(Character!$B$9+W1288)-($D$3+Y1288),0)),Calcs!$A$110:$B$122,2,TRUE))))=Calcs!$B$120,IF(ISBLANK(AC1288)," ",CONCATENATE(AC1288+7," Years")),IF(AA1288=" "," ",IF(NOT(ISBLANK(X1288)),VLOOKUP($D$3+X1288,Calcs!$A$110:$B$122,2,TRUE),IF(AA1288="Failed",VLOOKUP($D$3,Calcs!$A$110:$B$122,2,TRUE),VLOOKUP($D$3-(IF((Character!$B$9+W1288)&gt;($D$3+Y1288),(Character!$B$9+W1288)-($D$3+Y1288),0)),Calcs!$A$110:$B$122,2,TRUE)))))</f>
        <v xml:space="preserve"> </v>
      </c>
      <c r="AE1288" s="490"/>
      <c r="AF1288" s="879"/>
      <c r="AG1288" s="491"/>
    </row>
    <row r="1289" spans="1:33" x14ac:dyDescent="0.2">
      <c r="A1289" s="415">
        <f t="shared" si="38"/>
        <v>1532</v>
      </c>
      <c r="B1289" s="419" t="str">
        <f t="shared" si="39"/>
        <v>Spring</v>
      </c>
      <c r="C1289" s="455"/>
      <c r="D1289" s="504"/>
      <c r="E1289" s="455"/>
      <c r="F1289" s="504"/>
      <c r="G1289" s="455"/>
      <c r="H1289" s="504"/>
      <c r="I1289" s="455"/>
      <c r="J1289" s="504"/>
      <c r="L1289" s="472"/>
      <c r="M1289" s="468"/>
      <c r="N1289" s="468"/>
      <c r="O1289" s="468"/>
      <c r="P1289" s="468"/>
      <c r="Q1289" s="473"/>
      <c r="R1289" s="477" t="str">
        <f>IF(AND(COUNTIF('Start Character'!$I$63:$M$77,"Twilight Prone")=1,NOT(ISERROR(FIND("Magical Botch",M1289)))),"Yes",IF(P1289&gt;1,"Yes","No"))</f>
        <v>No</v>
      </c>
      <c r="S1289" s="501"/>
      <c r="T1289" s="478"/>
      <c r="U1289" s="501"/>
      <c r="V1289" s="479" t="str">
        <f>IF(R1289="No","No Twilight",IF(T1289="Yes","Uncomprehended Twilight",IF((Character!$B$14+IF(Character!$B$53="Yes",0,Character!$B$53)+IF(Magic!$C$5="Yes",2,0)+ROUNDUP((Magic!$B$30+IF(Magic!$C$30="Yes",3,0))/5,0)+S1289)&gt;=($D$3+P1289+SUMIF(Character!$I$62:$I$66,"Enigmatic Wisdom",Character!$J$62:$J$66)+Q1289+U1289),"No Twilight","Twilight")))</f>
        <v>No Twilight</v>
      </c>
      <c r="W1289" s="483"/>
      <c r="X1289" s="478"/>
      <c r="Y1289" s="484"/>
      <c r="Z1289" s="478"/>
      <c r="AA1289" s="485" t="str">
        <f>IF(V1289="Uncomprehended Twilight","Failed",IF(OR(ISBLANK(W1289),ISBLANK(Y1289))," ",IF(NOT(ISBLANK(X1289)),"Failed",IF((W1289+Character!$B$9+SUMIF(Character!$I$62:$I$66,"Enigmatic Wisdom",Character!$J$62:$J$66))&gt;=IF(Z1289="Yes",0,(Y1289+D1284)),"Succeeded","Failed"))))</f>
        <v xml:space="preserve"> </v>
      </c>
      <c r="AB1289" s="477" t="str">
        <f>IF(AA1289=" "," ",IF(NOT(ISBLANK(X1289)),VLOOKUP($D$3+X1289,Calcs!$A$110:$C$122,3,TRUE),IF(AA1289="Failed",VLOOKUP($D$3,Calcs!$A$110:$C$122,3,TRUE),VLOOKUP($D$3-(IF((Character!$B$9+W1289)&gt;($D$3+Y1289),(Character!$B$9+W1289)-($D$3+Y1289),0)),Calcs!$A$110:$C$122,3,TRUE))))</f>
        <v xml:space="preserve"> </v>
      </c>
      <c r="AC1289" s="489"/>
      <c r="AD1289" s="489" t="str">
        <f>IF(IF(AA1289=" "," ",IF(NOT(ISBLANK(X1289)),VLOOKUP($D$3+X1289,Calcs!$A$110:$B$122,2,TRUE),IF(AA1289="Failed",VLOOKUP($D$3,Calcs!$A$110:$B$122,2,TRUE),VLOOKUP($D$3-(IF((Character!$B$9+W1289)&gt;($D$3+Y1289),(Character!$B$9+W1289)-($D$3+Y1289),0)),Calcs!$A$110:$B$122,2,TRUE))))=Calcs!$B$120,IF(ISBLANK(AC1289)," ",CONCATENATE(AC1289+7," Years")),IF(AA1289=" "," ",IF(NOT(ISBLANK(X1289)),VLOOKUP($D$3+X1289,Calcs!$A$110:$B$122,2,TRUE),IF(AA1289="Failed",VLOOKUP($D$3,Calcs!$A$110:$B$122,2,TRUE),VLOOKUP($D$3-(IF((Character!$B$9+W1289)&gt;($D$3+Y1289),(Character!$B$9+W1289)-($D$3+Y1289),0)),Calcs!$A$110:$B$122,2,TRUE)))))</f>
        <v xml:space="preserve"> </v>
      </c>
      <c r="AE1289" s="490"/>
      <c r="AF1289" s="879"/>
      <c r="AG1289" s="491"/>
    </row>
    <row r="1290" spans="1:33" x14ac:dyDescent="0.2">
      <c r="A1290" s="415">
        <f t="shared" si="38"/>
        <v>1532</v>
      </c>
      <c r="B1290" s="419" t="str">
        <f t="shared" si="39"/>
        <v>Summer</v>
      </c>
      <c r="C1290" s="455"/>
      <c r="D1290" s="504"/>
      <c r="E1290" s="455"/>
      <c r="F1290" s="504"/>
      <c r="G1290" s="455"/>
      <c r="H1290" s="504"/>
      <c r="I1290" s="455"/>
      <c r="J1290" s="504"/>
      <c r="L1290" s="472"/>
      <c r="M1290" s="468"/>
      <c r="N1290" s="468"/>
      <c r="O1290" s="468"/>
      <c r="P1290" s="468"/>
      <c r="Q1290" s="473"/>
      <c r="R1290" s="477" t="str">
        <f>IF(AND(COUNTIF('Start Character'!$I$63:$M$77,"Twilight Prone")=1,NOT(ISERROR(FIND("Magical Botch",M1290)))),"Yes",IF(P1290&gt;1,"Yes","No"))</f>
        <v>No</v>
      </c>
      <c r="S1290" s="501"/>
      <c r="T1290" s="478"/>
      <c r="U1290" s="501"/>
      <c r="V1290" s="479" t="str">
        <f>IF(R1290="No","No Twilight",IF(T1290="Yes","Uncomprehended Twilight",IF((Character!$B$14+IF(Character!$B$53="Yes",0,Character!$B$53)+IF(Magic!$C$5="Yes",2,0)+ROUNDUP((Magic!$B$30+IF(Magic!$C$30="Yes",3,0))/5,0)+S1290)&gt;=($D$3+P1290+SUMIF(Character!$I$62:$I$66,"Enigmatic Wisdom",Character!$J$62:$J$66)+Q1290+U1290),"No Twilight","Twilight")))</f>
        <v>No Twilight</v>
      </c>
      <c r="W1290" s="483"/>
      <c r="X1290" s="478"/>
      <c r="Y1290" s="484"/>
      <c r="Z1290" s="478"/>
      <c r="AA1290" s="485" t="str">
        <f>IF(V1290="Uncomprehended Twilight","Failed",IF(OR(ISBLANK(W1290),ISBLANK(Y1290))," ",IF(NOT(ISBLANK(X1290)),"Failed",IF((W1290+Character!$B$9+SUMIF(Character!$I$62:$I$66,"Enigmatic Wisdom",Character!$J$62:$J$66))&gt;=IF(Z1290="Yes",0,(Y1290+D1285)),"Succeeded","Failed"))))</f>
        <v xml:space="preserve"> </v>
      </c>
      <c r="AB1290" s="477" t="str">
        <f>IF(AA1290=" "," ",IF(NOT(ISBLANK(X1290)),VLOOKUP($D$3+X1290,Calcs!$A$110:$C$122,3,TRUE),IF(AA1290="Failed",VLOOKUP($D$3,Calcs!$A$110:$C$122,3,TRUE),VLOOKUP($D$3-(IF((Character!$B$9+W1290)&gt;($D$3+Y1290),(Character!$B$9+W1290)-($D$3+Y1290),0)),Calcs!$A$110:$C$122,3,TRUE))))</f>
        <v xml:space="preserve"> </v>
      </c>
      <c r="AC1290" s="489"/>
      <c r="AD1290" s="489" t="str">
        <f>IF(IF(AA1290=" "," ",IF(NOT(ISBLANK(X1290)),VLOOKUP($D$3+X1290,Calcs!$A$110:$B$122,2,TRUE),IF(AA1290="Failed",VLOOKUP($D$3,Calcs!$A$110:$B$122,2,TRUE),VLOOKUP($D$3-(IF((Character!$B$9+W1290)&gt;($D$3+Y1290),(Character!$B$9+W1290)-($D$3+Y1290),0)),Calcs!$A$110:$B$122,2,TRUE))))=Calcs!$B$120,IF(ISBLANK(AC1290)," ",CONCATENATE(AC1290+7," Years")),IF(AA1290=" "," ",IF(NOT(ISBLANK(X1290)),VLOOKUP($D$3+X1290,Calcs!$A$110:$B$122,2,TRUE),IF(AA1290="Failed",VLOOKUP($D$3,Calcs!$A$110:$B$122,2,TRUE),VLOOKUP($D$3-(IF((Character!$B$9+W1290)&gt;($D$3+Y1290),(Character!$B$9+W1290)-($D$3+Y1290),0)),Calcs!$A$110:$B$122,2,TRUE)))))</f>
        <v xml:space="preserve"> </v>
      </c>
      <c r="AE1290" s="490"/>
      <c r="AF1290" s="879"/>
      <c r="AG1290" s="491"/>
    </row>
    <row r="1291" spans="1:33" x14ac:dyDescent="0.2">
      <c r="A1291" s="415">
        <f t="shared" si="38"/>
        <v>1532</v>
      </c>
      <c r="B1291" s="419" t="str">
        <f t="shared" si="39"/>
        <v>Autumn</v>
      </c>
      <c r="C1291" s="455"/>
      <c r="D1291" s="504"/>
      <c r="E1291" s="455"/>
      <c r="F1291" s="504"/>
      <c r="G1291" s="455"/>
      <c r="H1291" s="504"/>
      <c r="I1291" s="455"/>
      <c r="J1291" s="504"/>
      <c r="L1291" s="472"/>
      <c r="M1291" s="468"/>
      <c r="N1291" s="468"/>
      <c r="O1291" s="468"/>
      <c r="P1291" s="468"/>
      <c r="Q1291" s="473"/>
      <c r="R1291" s="477" t="str">
        <f>IF(AND(COUNTIF('Start Character'!$I$63:$M$77,"Twilight Prone")=1,NOT(ISERROR(FIND("Magical Botch",M1291)))),"Yes",IF(P1291&gt;1,"Yes","No"))</f>
        <v>No</v>
      </c>
      <c r="S1291" s="501"/>
      <c r="T1291" s="478"/>
      <c r="U1291" s="501"/>
      <c r="V1291" s="479" t="str">
        <f>IF(R1291="No","No Twilight",IF(T1291="Yes","Uncomprehended Twilight",IF((Character!$B$14+IF(Character!$B$53="Yes",0,Character!$B$53)+IF(Magic!$C$5="Yes",2,0)+ROUNDUP((Magic!$B$30+IF(Magic!$C$30="Yes",3,0))/5,0)+S1291)&gt;=($D$3+P1291+SUMIF(Character!$I$62:$I$66,"Enigmatic Wisdom",Character!$J$62:$J$66)+Q1291+U1291),"No Twilight","Twilight")))</f>
        <v>No Twilight</v>
      </c>
      <c r="W1291" s="483"/>
      <c r="X1291" s="478"/>
      <c r="Y1291" s="484"/>
      <c r="Z1291" s="478"/>
      <c r="AA1291" s="485" t="str">
        <f>IF(V1291="Uncomprehended Twilight","Failed",IF(OR(ISBLANK(W1291),ISBLANK(Y1291))," ",IF(NOT(ISBLANK(X1291)),"Failed",IF((W1291+Character!$B$9+SUMIF(Character!$I$62:$I$66,"Enigmatic Wisdom",Character!$J$62:$J$66))&gt;=IF(Z1291="Yes",0,(Y1291+D1286)),"Succeeded","Failed"))))</f>
        <v xml:space="preserve"> </v>
      </c>
      <c r="AB1291" s="477" t="str">
        <f>IF(AA1291=" "," ",IF(NOT(ISBLANK(X1291)),VLOOKUP($D$3+X1291,Calcs!$A$110:$C$122,3,TRUE),IF(AA1291="Failed",VLOOKUP($D$3,Calcs!$A$110:$C$122,3,TRUE),VLOOKUP($D$3-(IF((Character!$B$9+W1291)&gt;($D$3+Y1291),(Character!$B$9+W1291)-($D$3+Y1291),0)),Calcs!$A$110:$C$122,3,TRUE))))</f>
        <v xml:space="preserve"> </v>
      </c>
      <c r="AC1291" s="489"/>
      <c r="AD1291" s="489" t="str">
        <f>IF(IF(AA1291=" "," ",IF(NOT(ISBLANK(X1291)),VLOOKUP($D$3+X1291,Calcs!$A$110:$B$122,2,TRUE),IF(AA1291="Failed",VLOOKUP($D$3,Calcs!$A$110:$B$122,2,TRUE),VLOOKUP($D$3-(IF((Character!$B$9+W1291)&gt;($D$3+Y1291),(Character!$B$9+W1291)-($D$3+Y1291),0)),Calcs!$A$110:$B$122,2,TRUE))))=Calcs!$B$120,IF(ISBLANK(AC1291)," ",CONCATENATE(AC1291+7," Years")),IF(AA1291=" "," ",IF(NOT(ISBLANK(X1291)),VLOOKUP($D$3+X1291,Calcs!$A$110:$B$122,2,TRUE),IF(AA1291="Failed",VLOOKUP($D$3,Calcs!$A$110:$B$122,2,TRUE),VLOOKUP($D$3-(IF((Character!$B$9+W1291)&gt;($D$3+Y1291),(Character!$B$9+W1291)-($D$3+Y1291),0)),Calcs!$A$110:$B$122,2,TRUE)))))</f>
        <v xml:space="preserve"> </v>
      </c>
      <c r="AE1291" s="490"/>
      <c r="AF1291" s="879"/>
      <c r="AG1291" s="491"/>
    </row>
    <row r="1292" spans="1:33" x14ac:dyDescent="0.2">
      <c r="A1292" s="415">
        <f t="shared" si="38"/>
        <v>1533</v>
      </c>
      <c r="B1292" s="419" t="str">
        <f t="shared" si="39"/>
        <v>Winter</v>
      </c>
      <c r="C1292" s="455"/>
      <c r="D1292" s="504"/>
      <c r="E1292" s="455"/>
      <c r="F1292" s="504"/>
      <c r="G1292" s="455"/>
      <c r="H1292" s="504"/>
      <c r="I1292" s="455"/>
      <c r="J1292" s="504"/>
      <c r="L1292" s="472"/>
      <c r="M1292" s="468"/>
      <c r="N1292" s="468"/>
      <c r="O1292" s="468"/>
      <c r="P1292" s="468"/>
      <c r="Q1292" s="473"/>
      <c r="R1292" s="477" t="str">
        <f>IF(AND(COUNTIF('Start Character'!$I$63:$M$77,"Twilight Prone")=1,NOT(ISERROR(FIND("Magical Botch",M1292)))),"Yes",IF(P1292&gt;1,"Yes","No"))</f>
        <v>No</v>
      </c>
      <c r="S1292" s="501"/>
      <c r="T1292" s="478"/>
      <c r="U1292" s="501"/>
      <c r="V1292" s="479" t="str">
        <f>IF(R1292="No","No Twilight",IF(T1292="Yes","Uncomprehended Twilight",IF((Character!$B$14+IF(Character!$B$53="Yes",0,Character!$B$53)+IF(Magic!$C$5="Yes",2,0)+ROUNDUP((Magic!$B$30+IF(Magic!$C$30="Yes",3,0))/5,0)+S1292)&gt;=($D$3+P1292+SUMIF(Character!$I$62:$I$66,"Enigmatic Wisdom",Character!$J$62:$J$66)+Q1292+U1292),"No Twilight","Twilight")))</f>
        <v>No Twilight</v>
      </c>
      <c r="W1292" s="483"/>
      <c r="X1292" s="478"/>
      <c r="Y1292" s="484"/>
      <c r="Z1292" s="478"/>
      <c r="AA1292" s="485" t="str">
        <f>IF(V1292="Uncomprehended Twilight","Failed",IF(OR(ISBLANK(W1292),ISBLANK(Y1292))," ",IF(NOT(ISBLANK(X1292)),"Failed",IF((W1292+Character!$B$9+SUMIF(Character!$I$62:$I$66,"Enigmatic Wisdom",Character!$J$62:$J$66))&gt;=IF(Z1292="Yes",0,(Y1292+D1287)),"Succeeded","Failed"))))</f>
        <v xml:space="preserve"> </v>
      </c>
      <c r="AB1292" s="477" t="str">
        <f>IF(AA1292=" "," ",IF(NOT(ISBLANK(X1292)),VLOOKUP($D$3+X1292,Calcs!$A$110:$C$122,3,TRUE),IF(AA1292="Failed",VLOOKUP($D$3,Calcs!$A$110:$C$122,3,TRUE),VLOOKUP($D$3-(IF((Character!$B$9+W1292)&gt;($D$3+Y1292),(Character!$B$9+W1292)-($D$3+Y1292),0)),Calcs!$A$110:$C$122,3,TRUE))))</f>
        <v xml:space="preserve"> </v>
      </c>
      <c r="AC1292" s="489"/>
      <c r="AD1292" s="489" t="str">
        <f>IF(IF(AA1292=" "," ",IF(NOT(ISBLANK(X1292)),VLOOKUP($D$3+X1292,Calcs!$A$110:$B$122,2,TRUE),IF(AA1292="Failed",VLOOKUP($D$3,Calcs!$A$110:$B$122,2,TRUE),VLOOKUP($D$3-(IF((Character!$B$9+W1292)&gt;($D$3+Y1292),(Character!$B$9+W1292)-($D$3+Y1292),0)),Calcs!$A$110:$B$122,2,TRUE))))=Calcs!$B$120,IF(ISBLANK(AC1292)," ",CONCATENATE(AC1292+7," Years")),IF(AA1292=" "," ",IF(NOT(ISBLANK(X1292)),VLOOKUP($D$3+X1292,Calcs!$A$110:$B$122,2,TRUE),IF(AA1292="Failed",VLOOKUP($D$3,Calcs!$A$110:$B$122,2,TRUE),VLOOKUP($D$3-(IF((Character!$B$9+W1292)&gt;($D$3+Y1292),(Character!$B$9+W1292)-($D$3+Y1292),0)),Calcs!$A$110:$B$122,2,TRUE)))))</f>
        <v xml:space="preserve"> </v>
      </c>
      <c r="AE1292" s="490"/>
      <c r="AF1292" s="879"/>
      <c r="AG1292" s="491"/>
    </row>
    <row r="1293" spans="1:33" x14ac:dyDescent="0.2">
      <c r="A1293" s="415">
        <f t="shared" si="38"/>
        <v>1533</v>
      </c>
      <c r="B1293" s="419" t="str">
        <f t="shared" si="39"/>
        <v>Spring</v>
      </c>
      <c r="C1293" s="455"/>
      <c r="D1293" s="504"/>
      <c r="E1293" s="455"/>
      <c r="F1293" s="504"/>
      <c r="G1293" s="455"/>
      <c r="H1293" s="504"/>
      <c r="I1293" s="455"/>
      <c r="J1293" s="504"/>
      <c r="L1293" s="472"/>
      <c r="M1293" s="468"/>
      <c r="N1293" s="468"/>
      <c r="O1293" s="468"/>
      <c r="P1293" s="468"/>
      <c r="Q1293" s="473"/>
      <c r="R1293" s="477" t="str">
        <f>IF(AND(COUNTIF('Start Character'!$I$63:$M$77,"Twilight Prone")=1,NOT(ISERROR(FIND("Magical Botch",M1293)))),"Yes",IF(P1293&gt;1,"Yes","No"))</f>
        <v>No</v>
      </c>
      <c r="S1293" s="501"/>
      <c r="T1293" s="478"/>
      <c r="U1293" s="501"/>
      <c r="V1293" s="479" t="str">
        <f>IF(R1293="No","No Twilight",IF(T1293="Yes","Uncomprehended Twilight",IF((Character!$B$14+IF(Character!$B$53="Yes",0,Character!$B$53)+IF(Magic!$C$5="Yes",2,0)+ROUNDUP((Magic!$B$30+IF(Magic!$C$30="Yes",3,0))/5,0)+S1293)&gt;=($D$3+P1293+SUMIF(Character!$I$62:$I$66,"Enigmatic Wisdom",Character!$J$62:$J$66)+Q1293+U1293),"No Twilight","Twilight")))</f>
        <v>No Twilight</v>
      </c>
      <c r="W1293" s="483"/>
      <c r="X1293" s="478"/>
      <c r="Y1293" s="484"/>
      <c r="Z1293" s="478"/>
      <c r="AA1293" s="485" t="str">
        <f>IF(V1293="Uncomprehended Twilight","Failed",IF(OR(ISBLANK(W1293),ISBLANK(Y1293))," ",IF(NOT(ISBLANK(X1293)),"Failed",IF((W1293+Character!$B$9+SUMIF(Character!$I$62:$I$66,"Enigmatic Wisdom",Character!$J$62:$J$66))&gt;=IF(Z1293="Yes",0,(Y1293+D1288)),"Succeeded","Failed"))))</f>
        <v xml:space="preserve"> </v>
      </c>
      <c r="AB1293" s="477" t="str">
        <f>IF(AA1293=" "," ",IF(NOT(ISBLANK(X1293)),VLOOKUP($D$3+X1293,Calcs!$A$110:$C$122,3,TRUE),IF(AA1293="Failed",VLOOKUP($D$3,Calcs!$A$110:$C$122,3,TRUE),VLOOKUP($D$3-(IF((Character!$B$9+W1293)&gt;($D$3+Y1293),(Character!$B$9+W1293)-($D$3+Y1293),0)),Calcs!$A$110:$C$122,3,TRUE))))</f>
        <v xml:space="preserve"> </v>
      </c>
      <c r="AC1293" s="489"/>
      <c r="AD1293" s="489" t="str">
        <f>IF(IF(AA1293=" "," ",IF(NOT(ISBLANK(X1293)),VLOOKUP($D$3+X1293,Calcs!$A$110:$B$122,2,TRUE),IF(AA1293="Failed",VLOOKUP($D$3,Calcs!$A$110:$B$122,2,TRUE),VLOOKUP($D$3-(IF((Character!$B$9+W1293)&gt;($D$3+Y1293),(Character!$B$9+W1293)-($D$3+Y1293),0)),Calcs!$A$110:$B$122,2,TRUE))))=Calcs!$B$120,IF(ISBLANK(AC1293)," ",CONCATENATE(AC1293+7," Years")),IF(AA1293=" "," ",IF(NOT(ISBLANK(X1293)),VLOOKUP($D$3+X1293,Calcs!$A$110:$B$122,2,TRUE),IF(AA1293="Failed",VLOOKUP($D$3,Calcs!$A$110:$B$122,2,TRUE),VLOOKUP($D$3-(IF((Character!$B$9+W1293)&gt;($D$3+Y1293),(Character!$B$9+W1293)-($D$3+Y1293),0)),Calcs!$A$110:$B$122,2,TRUE)))))</f>
        <v xml:space="preserve"> </v>
      </c>
      <c r="AE1293" s="490"/>
      <c r="AF1293" s="879"/>
      <c r="AG1293" s="491"/>
    </row>
    <row r="1294" spans="1:33" x14ac:dyDescent="0.2">
      <c r="A1294" s="415">
        <f t="shared" si="38"/>
        <v>1533</v>
      </c>
      <c r="B1294" s="419" t="str">
        <f t="shared" si="39"/>
        <v>Summer</v>
      </c>
      <c r="C1294" s="455"/>
      <c r="D1294" s="504"/>
      <c r="E1294" s="455"/>
      <c r="F1294" s="504"/>
      <c r="G1294" s="455"/>
      <c r="H1294" s="504"/>
      <c r="I1294" s="455"/>
      <c r="J1294" s="504"/>
      <c r="L1294" s="472"/>
      <c r="M1294" s="468"/>
      <c r="N1294" s="468"/>
      <c r="O1294" s="468"/>
      <c r="P1294" s="468"/>
      <c r="Q1294" s="473"/>
      <c r="R1294" s="477" t="str">
        <f>IF(AND(COUNTIF('Start Character'!$I$63:$M$77,"Twilight Prone")=1,NOT(ISERROR(FIND("Magical Botch",M1294)))),"Yes",IF(P1294&gt;1,"Yes","No"))</f>
        <v>No</v>
      </c>
      <c r="S1294" s="501"/>
      <c r="T1294" s="478"/>
      <c r="U1294" s="501"/>
      <c r="V1294" s="479" t="str">
        <f>IF(R1294="No","No Twilight",IF(T1294="Yes","Uncomprehended Twilight",IF((Character!$B$14+IF(Character!$B$53="Yes",0,Character!$B$53)+IF(Magic!$C$5="Yes",2,0)+ROUNDUP((Magic!$B$30+IF(Magic!$C$30="Yes",3,0))/5,0)+S1294)&gt;=($D$3+P1294+SUMIF(Character!$I$62:$I$66,"Enigmatic Wisdom",Character!$J$62:$J$66)+Q1294+U1294),"No Twilight","Twilight")))</f>
        <v>No Twilight</v>
      </c>
      <c r="W1294" s="483"/>
      <c r="X1294" s="478"/>
      <c r="Y1294" s="484"/>
      <c r="Z1294" s="478"/>
      <c r="AA1294" s="485" t="str">
        <f>IF(V1294="Uncomprehended Twilight","Failed",IF(OR(ISBLANK(W1294),ISBLANK(Y1294))," ",IF(NOT(ISBLANK(X1294)),"Failed",IF((W1294+Character!$B$9+SUMIF(Character!$I$62:$I$66,"Enigmatic Wisdom",Character!$J$62:$J$66))&gt;=IF(Z1294="Yes",0,(Y1294+D1289)),"Succeeded","Failed"))))</f>
        <v xml:space="preserve"> </v>
      </c>
      <c r="AB1294" s="477" t="str">
        <f>IF(AA1294=" "," ",IF(NOT(ISBLANK(X1294)),VLOOKUP($D$3+X1294,Calcs!$A$110:$C$122,3,TRUE),IF(AA1294="Failed",VLOOKUP($D$3,Calcs!$A$110:$C$122,3,TRUE),VLOOKUP($D$3-(IF((Character!$B$9+W1294)&gt;($D$3+Y1294),(Character!$B$9+W1294)-($D$3+Y1294),0)),Calcs!$A$110:$C$122,3,TRUE))))</f>
        <v xml:space="preserve"> </v>
      </c>
      <c r="AC1294" s="489"/>
      <c r="AD1294" s="489" t="str">
        <f>IF(IF(AA1294=" "," ",IF(NOT(ISBLANK(X1294)),VLOOKUP($D$3+X1294,Calcs!$A$110:$B$122,2,TRUE),IF(AA1294="Failed",VLOOKUP($D$3,Calcs!$A$110:$B$122,2,TRUE),VLOOKUP($D$3-(IF((Character!$B$9+W1294)&gt;($D$3+Y1294),(Character!$B$9+W1294)-($D$3+Y1294),0)),Calcs!$A$110:$B$122,2,TRUE))))=Calcs!$B$120,IF(ISBLANK(AC1294)," ",CONCATENATE(AC1294+7," Years")),IF(AA1294=" "," ",IF(NOT(ISBLANK(X1294)),VLOOKUP($D$3+X1294,Calcs!$A$110:$B$122,2,TRUE),IF(AA1294="Failed",VLOOKUP($D$3,Calcs!$A$110:$B$122,2,TRUE),VLOOKUP($D$3-(IF((Character!$B$9+W1294)&gt;($D$3+Y1294),(Character!$B$9+W1294)-($D$3+Y1294),0)),Calcs!$A$110:$B$122,2,TRUE)))))</f>
        <v xml:space="preserve"> </v>
      </c>
      <c r="AE1294" s="490"/>
      <c r="AF1294" s="879"/>
      <c r="AG1294" s="491"/>
    </row>
    <row r="1295" spans="1:33" x14ac:dyDescent="0.2">
      <c r="A1295" s="415">
        <f t="shared" si="38"/>
        <v>1533</v>
      </c>
      <c r="B1295" s="419" t="str">
        <f t="shared" si="39"/>
        <v>Autumn</v>
      </c>
      <c r="C1295" s="455"/>
      <c r="D1295" s="504"/>
      <c r="E1295" s="455"/>
      <c r="F1295" s="504"/>
      <c r="G1295" s="455"/>
      <c r="H1295" s="504"/>
      <c r="I1295" s="455"/>
      <c r="J1295" s="504"/>
      <c r="L1295" s="472"/>
      <c r="M1295" s="468"/>
      <c r="N1295" s="468"/>
      <c r="O1295" s="468"/>
      <c r="P1295" s="468"/>
      <c r="Q1295" s="473"/>
      <c r="R1295" s="477" t="str">
        <f>IF(AND(COUNTIF('Start Character'!$I$63:$M$77,"Twilight Prone")=1,NOT(ISERROR(FIND("Magical Botch",M1295)))),"Yes",IF(P1295&gt;1,"Yes","No"))</f>
        <v>No</v>
      </c>
      <c r="S1295" s="501"/>
      <c r="T1295" s="478"/>
      <c r="U1295" s="501"/>
      <c r="V1295" s="479" t="str">
        <f>IF(R1295="No","No Twilight",IF(T1295="Yes","Uncomprehended Twilight",IF((Character!$B$14+IF(Character!$B$53="Yes",0,Character!$B$53)+IF(Magic!$C$5="Yes",2,0)+ROUNDUP((Magic!$B$30+IF(Magic!$C$30="Yes",3,0))/5,0)+S1295)&gt;=($D$3+P1295+SUMIF(Character!$I$62:$I$66,"Enigmatic Wisdom",Character!$J$62:$J$66)+Q1295+U1295),"No Twilight","Twilight")))</f>
        <v>No Twilight</v>
      </c>
      <c r="W1295" s="483"/>
      <c r="X1295" s="478"/>
      <c r="Y1295" s="484"/>
      <c r="Z1295" s="478"/>
      <c r="AA1295" s="485" t="str">
        <f>IF(V1295="Uncomprehended Twilight","Failed",IF(OR(ISBLANK(W1295),ISBLANK(Y1295))," ",IF(NOT(ISBLANK(X1295)),"Failed",IF((W1295+Character!$B$9+SUMIF(Character!$I$62:$I$66,"Enigmatic Wisdom",Character!$J$62:$J$66))&gt;=IF(Z1295="Yes",0,(Y1295+D1290)),"Succeeded","Failed"))))</f>
        <v xml:space="preserve"> </v>
      </c>
      <c r="AB1295" s="477" t="str">
        <f>IF(AA1295=" "," ",IF(NOT(ISBLANK(X1295)),VLOOKUP($D$3+X1295,Calcs!$A$110:$C$122,3,TRUE),IF(AA1295="Failed",VLOOKUP($D$3,Calcs!$A$110:$C$122,3,TRUE),VLOOKUP($D$3-(IF((Character!$B$9+W1295)&gt;($D$3+Y1295),(Character!$B$9+W1295)-($D$3+Y1295),0)),Calcs!$A$110:$C$122,3,TRUE))))</f>
        <v xml:space="preserve"> </v>
      </c>
      <c r="AC1295" s="489"/>
      <c r="AD1295" s="489" t="str">
        <f>IF(IF(AA1295=" "," ",IF(NOT(ISBLANK(X1295)),VLOOKUP($D$3+X1295,Calcs!$A$110:$B$122,2,TRUE),IF(AA1295="Failed",VLOOKUP($D$3,Calcs!$A$110:$B$122,2,TRUE),VLOOKUP($D$3-(IF((Character!$B$9+W1295)&gt;($D$3+Y1295),(Character!$B$9+W1295)-($D$3+Y1295),0)),Calcs!$A$110:$B$122,2,TRUE))))=Calcs!$B$120,IF(ISBLANK(AC1295)," ",CONCATENATE(AC1295+7," Years")),IF(AA1295=" "," ",IF(NOT(ISBLANK(X1295)),VLOOKUP($D$3+X1295,Calcs!$A$110:$B$122,2,TRUE),IF(AA1295="Failed",VLOOKUP($D$3,Calcs!$A$110:$B$122,2,TRUE),VLOOKUP($D$3-(IF((Character!$B$9+W1295)&gt;($D$3+Y1295),(Character!$B$9+W1295)-($D$3+Y1295),0)),Calcs!$A$110:$B$122,2,TRUE)))))</f>
        <v xml:space="preserve"> </v>
      </c>
      <c r="AE1295" s="490"/>
      <c r="AF1295" s="879"/>
      <c r="AG1295" s="491"/>
    </row>
    <row r="1296" spans="1:33" x14ac:dyDescent="0.2">
      <c r="A1296" s="415">
        <f t="shared" si="38"/>
        <v>1534</v>
      </c>
      <c r="B1296" s="419" t="str">
        <f t="shared" si="39"/>
        <v>Winter</v>
      </c>
      <c r="C1296" s="455"/>
      <c r="D1296" s="504"/>
      <c r="E1296" s="455"/>
      <c r="F1296" s="504"/>
      <c r="G1296" s="455"/>
      <c r="H1296" s="504"/>
      <c r="I1296" s="455"/>
      <c r="J1296" s="504"/>
      <c r="L1296" s="472"/>
      <c r="M1296" s="468"/>
      <c r="N1296" s="468"/>
      <c r="O1296" s="468"/>
      <c r="P1296" s="468"/>
      <c r="Q1296" s="473"/>
      <c r="R1296" s="477" t="str">
        <f>IF(AND(COUNTIF('Start Character'!$I$63:$M$77,"Twilight Prone")=1,NOT(ISERROR(FIND("Magical Botch",M1296)))),"Yes",IF(P1296&gt;1,"Yes","No"))</f>
        <v>No</v>
      </c>
      <c r="S1296" s="501"/>
      <c r="T1296" s="478"/>
      <c r="U1296" s="501"/>
      <c r="V1296" s="479" t="str">
        <f>IF(R1296="No","No Twilight",IF(T1296="Yes","Uncomprehended Twilight",IF((Character!$B$14+IF(Character!$B$53="Yes",0,Character!$B$53)+IF(Magic!$C$5="Yes",2,0)+ROUNDUP((Magic!$B$30+IF(Magic!$C$30="Yes",3,0))/5,0)+S1296)&gt;=($D$3+P1296+SUMIF(Character!$I$62:$I$66,"Enigmatic Wisdom",Character!$J$62:$J$66)+Q1296+U1296),"No Twilight","Twilight")))</f>
        <v>No Twilight</v>
      </c>
      <c r="W1296" s="483"/>
      <c r="X1296" s="478"/>
      <c r="Y1296" s="484"/>
      <c r="Z1296" s="478"/>
      <c r="AA1296" s="485" t="str">
        <f>IF(V1296="Uncomprehended Twilight","Failed",IF(OR(ISBLANK(W1296),ISBLANK(Y1296))," ",IF(NOT(ISBLANK(X1296)),"Failed",IF((W1296+Character!$B$9+SUMIF(Character!$I$62:$I$66,"Enigmatic Wisdom",Character!$J$62:$J$66))&gt;=IF(Z1296="Yes",0,(Y1296+D1291)),"Succeeded","Failed"))))</f>
        <v xml:space="preserve"> </v>
      </c>
      <c r="AB1296" s="477" t="str">
        <f>IF(AA1296=" "," ",IF(NOT(ISBLANK(X1296)),VLOOKUP($D$3+X1296,Calcs!$A$110:$C$122,3,TRUE),IF(AA1296="Failed",VLOOKUP($D$3,Calcs!$A$110:$C$122,3,TRUE),VLOOKUP($D$3-(IF((Character!$B$9+W1296)&gt;($D$3+Y1296),(Character!$B$9+W1296)-($D$3+Y1296),0)),Calcs!$A$110:$C$122,3,TRUE))))</f>
        <v xml:space="preserve"> </v>
      </c>
      <c r="AC1296" s="489"/>
      <c r="AD1296" s="489" t="str">
        <f>IF(IF(AA1296=" "," ",IF(NOT(ISBLANK(X1296)),VLOOKUP($D$3+X1296,Calcs!$A$110:$B$122,2,TRUE),IF(AA1296="Failed",VLOOKUP($D$3,Calcs!$A$110:$B$122,2,TRUE),VLOOKUP($D$3-(IF((Character!$B$9+W1296)&gt;($D$3+Y1296),(Character!$B$9+W1296)-($D$3+Y1296),0)),Calcs!$A$110:$B$122,2,TRUE))))=Calcs!$B$120,IF(ISBLANK(AC1296)," ",CONCATENATE(AC1296+7," Years")),IF(AA1296=" "," ",IF(NOT(ISBLANK(X1296)),VLOOKUP($D$3+X1296,Calcs!$A$110:$B$122,2,TRUE),IF(AA1296="Failed",VLOOKUP($D$3,Calcs!$A$110:$B$122,2,TRUE),VLOOKUP($D$3-(IF((Character!$B$9+W1296)&gt;($D$3+Y1296),(Character!$B$9+W1296)-($D$3+Y1296),0)),Calcs!$A$110:$B$122,2,TRUE)))))</f>
        <v xml:space="preserve"> </v>
      </c>
      <c r="AE1296" s="490"/>
      <c r="AF1296" s="879"/>
      <c r="AG1296" s="491"/>
    </row>
    <row r="1297" spans="1:33" x14ac:dyDescent="0.2">
      <c r="A1297" s="415">
        <f t="shared" si="38"/>
        <v>1534</v>
      </c>
      <c r="B1297" s="419" t="str">
        <f t="shared" si="39"/>
        <v>Spring</v>
      </c>
      <c r="C1297" s="455"/>
      <c r="D1297" s="504"/>
      <c r="E1297" s="455"/>
      <c r="F1297" s="504"/>
      <c r="G1297" s="455"/>
      <c r="H1297" s="504"/>
      <c r="I1297" s="455"/>
      <c r="J1297" s="504"/>
      <c r="L1297" s="472"/>
      <c r="M1297" s="468"/>
      <c r="N1297" s="468"/>
      <c r="O1297" s="468"/>
      <c r="P1297" s="468"/>
      <c r="Q1297" s="473"/>
      <c r="R1297" s="477" t="str">
        <f>IF(AND(COUNTIF('Start Character'!$I$63:$M$77,"Twilight Prone")=1,NOT(ISERROR(FIND("Magical Botch",M1297)))),"Yes",IF(P1297&gt;1,"Yes","No"))</f>
        <v>No</v>
      </c>
      <c r="S1297" s="501"/>
      <c r="T1297" s="478"/>
      <c r="U1297" s="501"/>
      <c r="V1297" s="479" t="str">
        <f>IF(R1297="No","No Twilight",IF(T1297="Yes","Uncomprehended Twilight",IF((Character!$B$14+IF(Character!$B$53="Yes",0,Character!$B$53)+IF(Magic!$C$5="Yes",2,0)+ROUNDUP((Magic!$B$30+IF(Magic!$C$30="Yes",3,0))/5,0)+S1297)&gt;=($D$3+P1297+SUMIF(Character!$I$62:$I$66,"Enigmatic Wisdom",Character!$J$62:$J$66)+Q1297+U1297),"No Twilight","Twilight")))</f>
        <v>No Twilight</v>
      </c>
      <c r="W1297" s="483"/>
      <c r="X1297" s="478"/>
      <c r="Y1297" s="484"/>
      <c r="Z1297" s="478"/>
      <c r="AA1297" s="485" t="str">
        <f>IF(V1297="Uncomprehended Twilight","Failed",IF(OR(ISBLANK(W1297),ISBLANK(Y1297))," ",IF(NOT(ISBLANK(X1297)),"Failed",IF((W1297+Character!$B$9+SUMIF(Character!$I$62:$I$66,"Enigmatic Wisdom",Character!$J$62:$J$66))&gt;=IF(Z1297="Yes",0,(Y1297+D1292)),"Succeeded","Failed"))))</f>
        <v xml:space="preserve"> </v>
      </c>
      <c r="AB1297" s="477" t="str">
        <f>IF(AA1297=" "," ",IF(NOT(ISBLANK(X1297)),VLOOKUP($D$3+X1297,Calcs!$A$110:$C$122,3,TRUE),IF(AA1297="Failed",VLOOKUP($D$3,Calcs!$A$110:$C$122,3,TRUE),VLOOKUP($D$3-(IF((Character!$B$9+W1297)&gt;($D$3+Y1297),(Character!$B$9+W1297)-($D$3+Y1297),0)),Calcs!$A$110:$C$122,3,TRUE))))</f>
        <v xml:space="preserve"> </v>
      </c>
      <c r="AC1297" s="489"/>
      <c r="AD1297" s="489" t="str">
        <f>IF(IF(AA1297=" "," ",IF(NOT(ISBLANK(X1297)),VLOOKUP($D$3+X1297,Calcs!$A$110:$B$122,2,TRUE),IF(AA1297="Failed",VLOOKUP($D$3,Calcs!$A$110:$B$122,2,TRUE),VLOOKUP($D$3-(IF((Character!$B$9+W1297)&gt;($D$3+Y1297),(Character!$B$9+W1297)-($D$3+Y1297),0)),Calcs!$A$110:$B$122,2,TRUE))))=Calcs!$B$120,IF(ISBLANK(AC1297)," ",CONCATENATE(AC1297+7," Years")),IF(AA1297=" "," ",IF(NOT(ISBLANK(X1297)),VLOOKUP($D$3+X1297,Calcs!$A$110:$B$122,2,TRUE),IF(AA1297="Failed",VLOOKUP($D$3,Calcs!$A$110:$B$122,2,TRUE),VLOOKUP($D$3-(IF((Character!$B$9+W1297)&gt;($D$3+Y1297),(Character!$B$9+W1297)-($D$3+Y1297),0)),Calcs!$A$110:$B$122,2,TRUE)))))</f>
        <v xml:space="preserve"> </v>
      </c>
      <c r="AE1297" s="490"/>
      <c r="AF1297" s="879"/>
      <c r="AG1297" s="491"/>
    </row>
    <row r="1298" spans="1:33" x14ac:dyDescent="0.2">
      <c r="A1298" s="415">
        <f t="shared" si="38"/>
        <v>1534</v>
      </c>
      <c r="B1298" s="419" t="str">
        <f t="shared" si="39"/>
        <v>Summer</v>
      </c>
      <c r="C1298" s="455"/>
      <c r="D1298" s="504"/>
      <c r="E1298" s="455"/>
      <c r="F1298" s="504"/>
      <c r="G1298" s="455"/>
      <c r="H1298" s="504"/>
      <c r="I1298" s="455"/>
      <c r="J1298" s="504"/>
      <c r="L1298" s="472"/>
      <c r="M1298" s="468"/>
      <c r="N1298" s="468"/>
      <c r="O1298" s="468"/>
      <c r="P1298" s="468"/>
      <c r="Q1298" s="473"/>
      <c r="R1298" s="477" t="str">
        <f>IF(AND(COUNTIF('Start Character'!$I$63:$M$77,"Twilight Prone")=1,NOT(ISERROR(FIND("Magical Botch",M1298)))),"Yes",IF(P1298&gt;1,"Yes","No"))</f>
        <v>No</v>
      </c>
      <c r="S1298" s="501"/>
      <c r="T1298" s="478"/>
      <c r="U1298" s="501"/>
      <c r="V1298" s="479" t="str">
        <f>IF(R1298="No","No Twilight",IF(T1298="Yes","Uncomprehended Twilight",IF((Character!$B$14+IF(Character!$B$53="Yes",0,Character!$B$53)+IF(Magic!$C$5="Yes",2,0)+ROUNDUP((Magic!$B$30+IF(Magic!$C$30="Yes",3,0))/5,0)+S1298)&gt;=($D$3+P1298+SUMIF(Character!$I$62:$I$66,"Enigmatic Wisdom",Character!$J$62:$J$66)+Q1298+U1298),"No Twilight","Twilight")))</f>
        <v>No Twilight</v>
      </c>
      <c r="W1298" s="483"/>
      <c r="X1298" s="478"/>
      <c r="Y1298" s="484"/>
      <c r="Z1298" s="478"/>
      <c r="AA1298" s="485" t="str">
        <f>IF(V1298="Uncomprehended Twilight","Failed",IF(OR(ISBLANK(W1298),ISBLANK(Y1298))," ",IF(NOT(ISBLANK(X1298)),"Failed",IF((W1298+Character!$B$9+SUMIF(Character!$I$62:$I$66,"Enigmatic Wisdom",Character!$J$62:$J$66))&gt;=IF(Z1298="Yes",0,(Y1298+D1293)),"Succeeded","Failed"))))</f>
        <v xml:space="preserve"> </v>
      </c>
      <c r="AB1298" s="477" t="str">
        <f>IF(AA1298=" "," ",IF(NOT(ISBLANK(X1298)),VLOOKUP($D$3+X1298,Calcs!$A$110:$C$122,3,TRUE),IF(AA1298="Failed",VLOOKUP($D$3,Calcs!$A$110:$C$122,3,TRUE),VLOOKUP($D$3-(IF((Character!$B$9+W1298)&gt;($D$3+Y1298),(Character!$B$9+W1298)-($D$3+Y1298),0)),Calcs!$A$110:$C$122,3,TRUE))))</f>
        <v xml:space="preserve"> </v>
      </c>
      <c r="AC1298" s="489"/>
      <c r="AD1298" s="489" t="str">
        <f>IF(IF(AA1298=" "," ",IF(NOT(ISBLANK(X1298)),VLOOKUP($D$3+X1298,Calcs!$A$110:$B$122,2,TRUE),IF(AA1298="Failed",VLOOKUP($D$3,Calcs!$A$110:$B$122,2,TRUE),VLOOKUP($D$3-(IF((Character!$B$9+W1298)&gt;($D$3+Y1298),(Character!$B$9+W1298)-($D$3+Y1298),0)),Calcs!$A$110:$B$122,2,TRUE))))=Calcs!$B$120,IF(ISBLANK(AC1298)," ",CONCATENATE(AC1298+7," Years")),IF(AA1298=" "," ",IF(NOT(ISBLANK(X1298)),VLOOKUP($D$3+X1298,Calcs!$A$110:$B$122,2,TRUE),IF(AA1298="Failed",VLOOKUP($D$3,Calcs!$A$110:$B$122,2,TRUE),VLOOKUP($D$3-(IF((Character!$B$9+W1298)&gt;($D$3+Y1298),(Character!$B$9+W1298)-($D$3+Y1298),0)),Calcs!$A$110:$B$122,2,TRUE)))))</f>
        <v xml:space="preserve"> </v>
      </c>
      <c r="AE1298" s="490"/>
      <c r="AF1298" s="879"/>
      <c r="AG1298" s="491"/>
    </row>
    <row r="1299" spans="1:33" x14ac:dyDescent="0.2">
      <c r="A1299" s="415">
        <f t="shared" si="38"/>
        <v>1534</v>
      </c>
      <c r="B1299" s="419" t="str">
        <f t="shared" si="39"/>
        <v>Autumn</v>
      </c>
      <c r="C1299" s="455"/>
      <c r="D1299" s="504"/>
      <c r="E1299" s="455"/>
      <c r="F1299" s="504"/>
      <c r="G1299" s="455"/>
      <c r="H1299" s="504"/>
      <c r="I1299" s="455"/>
      <c r="J1299" s="504"/>
      <c r="L1299" s="472"/>
      <c r="M1299" s="468"/>
      <c r="N1299" s="468"/>
      <c r="O1299" s="468"/>
      <c r="P1299" s="468"/>
      <c r="Q1299" s="473"/>
      <c r="R1299" s="477" t="str">
        <f>IF(AND(COUNTIF('Start Character'!$I$63:$M$77,"Twilight Prone")=1,NOT(ISERROR(FIND("Magical Botch",M1299)))),"Yes",IF(P1299&gt;1,"Yes","No"))</f>
        <v>No</v>
      </c>
      <c r="S1299" s="501"/>
      <c r="T1299" s="478"/>
      <c r="U1299" s="501"/>
      <c r="V1299" s="479" t="str">
        <f>IF(R1299="No","No Twilight",IF(T1299="Yes","Uncomprehended Twilight",IF((Character!$B$14+IF(Character!$B$53="Yes",0,Character!$B$53)+IF(Magic!$C$5="Yes",2,0)+ROUNDUP((Magic!$B$30+IF(Magic!$C$30="Yes",3,0))/5,0)+S1299)&gt;=($D$3+P1299+SUMIF(Character!$I$62:$I$66,"Enigmatic Wisdom",Character!$J$62:$J$66)+Q1299+U1299),"No Twilight","Twilight")))</f>
        <v>No Twilight</v>
      </c>
      <c r="W1299" s="483"/>
      <c r="X1299" s="478"/>
      <c r="Y1299" s="484"/>
      <c r="Z1299" s="478"/>
      <c r="AA1299" s="485" t="str">
        <f>IF(V1299="Uncomprehended Twilight","Failed",IF(OR(ISBLANK(W1299),ISBLANK(Y1299))," ",IF(NOT(ISBLANK(X1299)),"Failed",IF((W1299+Character!$B$9+SUMIF(Character!$I$62:$I$66,"Enigmatic Wisdom",Character!$J$62:$J$66))&gt;=IF(Z1299="Yes",0,(Y1299+D1294)),"Succeeded","Failed"))))</f>
        <v xml:space="preserve"> </v>
      </c>
      <c r="AB1299" s="477" t="str">
        <f>IF(AA1299=" "," ",IF(NOT(ISBLANK(X1299)),VLOOKUP($D$3+X1299,Calcs!$A$110:$C$122,3,TRUE),IF(AA1299="Failed",VLOOKUP($D$3,Calcs!$A$110:$C$122,3,TRUE),VLOOKUP($D$3-(IF((Character!$B$9+W1299)&gt;($D$3+Y1299),(Character!$B$9+W1299)-($D$3+Y1299),0)),Calcs!$A$110:$C$122,3,TRUE))))</f>
        <v xml:space="preserve"> </v>
      </c>
      <c r="AC1299" s="489"/>
      <c r="AD1299" s="489" t="str">
        <f>IF(IF(AA1299=" "," ",IF(NOT(ISBLANK(X1299)),VLOOKUP($D$3+X1299,Calcs!$A$110:$B$122,2,TRUE),IF(AA1299="Failed",VLOOKUP($D$3,Calcs!$A$110:$B$122,2,TRUE),VLOOKUP($D$3-(IF((Character!$B$9+W1299)&gt;($D$3+Y1299),(Character!$B$9+W1299)-($D$3+Y1299),0)),Calcs!$A$110:$B$122,2,TRUE))))=Calcs!$B$120,IF(ISBLANK(AC1299)," ",CONCATENATE(AC1299+7," Years")),IF(AA1299=" "," ",IF(NOT(ISBLANK(X1299)),VLOOKUP($D$3+X1299,Calcs!$A$110:$B$122,2,TRUE),IF(AA1299="Failed",VLOOKUP($D$3,Calcs!$A$110:$B$122,2,TRUE),VLOOKUP($D$3-(IF((Character!$B$9+W1299)&gt;($D$3+Y1299),(Character!$B$9+W1299)-($D$3+Y1299),0)),Calcs!$A$110:$B$122,2,TRUE)))))</f>
        <v xml:space="preserve"> </v>
      </c>
      <c r="AE1299" s="490"/>
      <c r="AF1299" s="879"/>
      <c r="AG1299" s="491"/>
    </row>
    <row r="1300" spans="1:33" x14ac:dyDescent="0.2">
      <c r="A1300" s="415">
        <f t="shared" si="38"/>
        <v>1535</v>
      </c>
      <c r="B1300" s="419" t="str">
        <f t="shared" si="39"/>
        <v>Winter</v>
      </c>
      <c r="C1300" s="455"/>
      <c r="D1300" s="504"/>
      <c r="E1300" s="455"/>
      <c r="F1300" s="504"/>
      <c r="G1300" s="455"/>
      <c r="H1300" s="504"/>
      <c r="I1300" s="455"/>
      <c r="J1300" s="504"/>
      <c r="L1300" s="472"/>
      <c r="M1300" s="468"/>
      <c r="N1300" s="468"/>
      <c r="O1300" s="468"/>
      <c r="P1300" s="468"/>
      <c r="Q1300" s="473"/>
      <c r="R1300" s="477" t="str">
        <f>IF(AND(COUNTIF('Start Character'!$I$63:$M$77,"Twilight Prone")=1,NOT(ISERROR(FIND("Magical Botch",M1300)))),"Yes",IF(P1300&gt;1,"Yes","No"))</f>
        <v>No</v>
      </c>
      <c r="S1300" s="501"/>
      <c r="T1300" s="478"/>
      <c r="U1300" s="501"/>
      <c r="V1300" s="479" t="str">
        <f>IF(R1300="No","No Twilight",IF(T1300="Yes","Uncomprehended Twilight",IF((Character!$B$14+IF(Character!$B$53="Yes",0,Character!$B$53)+IF(Magic!$C$5="Yes",2,0)+ROUNDUP((Magic!$B$30+IF(Magic!$C$30="Yes",3,0))/5,0)+S1300)&gt;=($D$3+P1300+SUMIF(Character!$I$62:$I$66,"Enigmatic Wisdom",Character!$J$62:$J$66)+Q1300+U1300),"No Twilight","Twilight")))</f>
        <v>No Twilight</v>
      </c>
      <c r="W1300" s="483"/>
      <c r="X1300" s="478"/>
      <c r="Y1300" s="484"/>
      <c r="Z1300" s="478"/>
      <c r="AA1300" s="485" t="str">
        <f>IF(V1300="Uncomprehended Twilight","Failed",IF(OR(ISBLANK(W1300),ISBLANK(Y1300))," ",IF(NOT(ISBLANK(X1300)),"Failed",IF((W1300+Character!$B$9+SUMIF(Character!$I$62:$I$66,"Enigmatic Wisdom",Character!$J$62:$J$66))&gt;=IF(Z1300="Yes",0,(Y1300+D1295)),"Succeeded","Failed"))))</f>
        <v xml:space="preserve"> </v>
      </c>
      <c r="AB1300" s="477" t="str">
        <f>IF(AA1300=" "," ",IF(NOT(ISBLANK(X1300)),VLOOKUP($D$3+X1300,Calcs!$A$110:$C$122,3,TRUE),IF(AA1300="Failed",VLOOKUP($D$3,Calcs!$A$110:$C$122,3,TRUE),VLOOKUP($D$3-(IF((Character!$B$9+W1300)&gt;($D$3+Y1300),(Character!$B$9+W1300)-($D$3+Y1300),0)),Calcs!$A$110:$C$122,3,TRUE))))</f>
        <v xml:space="preserve"> </v>
      </c>
      <c r="AC1300" s="489"/>
      <c r="AD1300" s="489" t="str">
        <f>IF(IF(AA1300=" "," ",IF(NOT(ISBLANK(X1300)),VLOOKUP($D$3+X1300,Calcs!$A$110:$B$122,2,TRUE),IF(AA1300="Failed",VLOOKUP($D$3,Calcs!$A$110:$B$122,2,TRUE),VLOOKUP($D$3-(IF((Character!$B$9+W1300)&gt;($D$3+Y1300),(Character!$B$9+W1300)-($D$3+Y1300),0)),Calcs!$A$110:$B$122,2,TRUE))))=Calcs!$B$120,IF(ISBLANK(AC1300)," ",CONCATENATE(AC1300+7," Years")),IF(AA1300=" "," ",IF(NOT(ISBLANK(X1300)),VLOOKUP($D$3+X1300,Calcs!$A$110:$B$122,2,TRUE),IF(AA1300="Failed",VLOOKUP($D$3,Calcs!$A$110:$B$122,2,TRUE),VLOOKUP($D$3-(IF((Character!$B$9+W1300)&gt;($D$3+Y1300),(Character!$B$9+W1300)-($D$3+Y1300),0)),Calcs!$A$110:$B$122,2,TRUE)))))</f>
        <v xml:space="preserve"> </v>
      </c>
      <c r="AE1300" s="490"/>
      <c r="AF1300" s="879"/>
      <c r="AG1300" s="491"/>
    </row>
    <row r="1301" spans="1:33" x14ac:dyDescent="0.2">
      <c r="A1301" s="415">
        <f t="shared" si="38"/>
        <v>1535</v>
      </c>
      <c r="B1301" s="419" t="str">
        <f t="shared" si="39"/>
        <v>Spring</v>
      </c>
      <c r="C1301" s="455"/>
      <c r="D1301" s="504"/>
      <c r="E1301" s="455"/>
      <c r="F1301" s="504"/>
      <c r="G1301" s="455"/>
      <c r="H1301" s="504"/>
      <c r="I1301" s="455"/>
      <c r="J1301" s="504"/>
      <c r="L1301" s="472"/>
      <c r="M1301" s="468"/>
      <c r="N1301" s="468"/>
      <c r="O1301" s="468"/>
      <c r="P1301" s="468"/>
      <c r="Q1301" s="473"/>
      <c r="R1301" s="477" t="str">
        <f>IF(AND(COUNTIF('Start Character'!$I$63:$M$77,"Twilight Prone")=1,NOT(ISERROR(FIND("Magical Botch",M1301)))),"Yes",IF(P1301&gt;1,"Yes","No"))</f>
        <v>No</v>
      </c>
      <c r="S1301" s="501"/>
      <c r="T1301" s="478"/>
      <c r="U1301" s="501"/>
      <c r="V1301" s="479" t="str">
        <f>IF(R1301="No","No Twilight",IF(T1301="Yes","Uncomprehended Twilight",IF((Character!$B$14+IF(Character!$B$53="Yes",0,Character!$B$53)+IF(Magic!$C$5="Yes",2,0)+ROUNDUP((Magic!$B$30+IF(Magic!$C$30="Yes",3,0))/5,0)+S1301)&gt;=($D$3+P1301+SUMIF(Character!$I$62:$I$66,"Enigmatic Wisdom",Character!$J$62:$J$66)+Q1301+U1301),"No Twilight","Twilight")))</f>
        <v>No Twilight</v>
      </c>
      <c r="W1301" s="483"/>
      <c r="X1301" s="478"/>
      <c r="Y1301" s="484"/>
      <c r="Z1301" s="478"/>
      <c r="AA1301" s="485" t="str">
        <f>IF(V1301="Uncomprehended Twilight","Failed",IF(OR(ISBLANK(W1301),ISBLANK(Y1301))," ",IF(NOT(ISBLANK(X1301)),"Failed",IF((W1301+Character!$B$9+SUMIF(Character!$I$62:$I$66,"Enigmatic Wisdom",Character!$J$62:$J$66))&gt;=IF(Z1301="Yes",0,(Y1301+D1296)),"Succeeded","Failed"))))</f>
        <v xml:space="preserve"> </v>
      </c>
      <c r="AB1301" s="477" t="str">
        <f>IF(AA1301=" "," ",IF(NOT(ISBLANK(X1301)),VLOOKUP($D$3+X1301,Calcs!$A$110:$C$122,3,TRUE),IF(AA1301="Failed",VLOOKUP($D$3,Calcs!$A$110:$C$122,3,TRUE),VLOOKUP($D$3-(IF((Character!$B$9+W1301)&gt;($D$3+Y1301),(Character!$B$9+W1301)-($D$3+Y1301),0)),Calcs!$A$110:$C$122,3,TRUE))))</f>
        <v xml:space="preserve"> </v>
      </c>
      <c r="AC1301" s="489"/>
      <c r="AD1301" s="489" t="str">
        <f>IF(IF(AA1301=" "," ",IF(NOT(ISBLANK(X1301)),VLOOKUP($D$3+X1301,Calcs!$A$110:$B$122,2,TRUE),IF(AA1301="Failed",VLOOKUP($D$3,Calcs!$A$110:$B$122,2,TRUE),VLOOKUP($D$3-(IF((Character!$B$9+W1301)&gt;($D$3+Y1301),(Character!$B$9+W1301)-($D$3+Y1301),0)),Calcs!$A$110:$B$122,2,TRUE))))=Calcs!$B$120,IF(ISBLANK(AC1301)," ",CONCATENATE(AC1301+7," Years")),IF(AA1301=" "," ",IF(NOT(ISBLANK(X1301)),VLOOKUP($D$3+X1301,Calcs!$A$110:$B$122,2,TRUE),IF(AA1301="Failed",VLOOKUP($D$3,Calcs!$A$110:$B$122,2,TRUE),VLOOKUP($D$3-(IF((Character!$B$9+W1301)&gt;($D$3+Y1301),(Character!$B$9+W1301)-($D$3+Y1301),0)),Calcs!$A$110:$B$122,2,TRUE)))))</f>
        <v xml:space="preserve"> </v>
      </c>
      <c r="AE1301" s="490"/>
      <c r="AF1301" s="879"/>
      <c r="AG1301" s="491"/>
    </row>
    <row r="1302" spans="1:33" x14ac:dyDescent="0.2">
      <c r="A1302" s="415">
        <f t="shared" si="38"/>
        <v>1535</v>
      </c>
      <c r="B1302" s="419" t="str">
        <f t="shared" si="39"/>
        <v>Summer</v>
      </c>
      <c r="C1302" s="455"/>
      <c r="D1302" s="504"/>
      <c r="E1302" s="455"/>
      <c r="F1302" s="504"/>
      <c r="G1302" s="455"/>
      <c r="H1302" s="504"/>
      <c r="I1302" s="455"/>
      <c r="J1302" s="504"/>
      <c r="L1302" s="472"/>
      <c r="M1302" s="468"/>
      <c r="N1302" s="468"/>
      <c r="O1302" s="468"/>
      <c r="P1302" s="468"/>
      <c r="Q1302" s="473"/>
      <c r="R1302" s="477" t="str">
        <f>IF(AND(COUNTIF('Start Character'!$I$63:$M$77,"Twilight Prone")=1,NOT(ISERROR(FIND("Magical Botch",M1302)))),"Yes",IF(P1302&gt;1,"Yes","No"))</f>
        <v>No</v>
      </c>
      <c r="S1302" s="501"/>
      <c r="T1302" s="478"/>
      <c r="U1302" s="501"/>
      <c r="V1302" s="479" t="str">
        <f>IF(R1302="No","No Twilight",IF(T1302="Yes","Uncomprehended Twilight",IF((Character!$B$14+IF(Character!$B$53="Yes",0,Character!$B$53)+IF(Magic!$C$5="Yes",2,0)+ROUNDUP((Magic!$B$30+IF(Magic!$C$30="Yes",3,0))/5,0)+S1302)&gt;=($D$3+P1302+SUMIF(Character!$I$62:$I$66,"Enigmatic Wisdom",Character!$J$62:$J$66)+Q1302+U1302),"No Twilight","Twilight")))</f>
        <v>No Twilight</v>
      </c>
      <c r="W1302" s="483"/>
      <c r="X1302" s="478"/>
      <c r="Y1302" s="484"/>
      <c r="Z1302" s="478"/>
      <c r="AA1302" s="485" t="str">
        <f>IF(V1302="Uncomprehended Twilight","Failed",IF(OR(ISBLANK(W1302),ISBLANK(Y1302))," ",IF(NOT(ISBLANK(X1302)),"Failed",IF((W1302+Character!$B$9+SUMIF(Character!$I$62:$I$66,"Enigmatic Wisdom",Character!$J$62:$J$66))&gt;=IF(Z1302="Yes",0,(Y1302+D1297)),"Succeeded","Failed"))))</f>
        <v xml:space="preserve"> </v>
      </c>
      <c r="AB1302" s="477" t="str">
        <f>IF(AA1302=" "," ",IF(NOT(ISBLANK(X1302)),VLOOKUP($D$3+X1302,Calcs!$A$110:$C$122,3,TRUE),IF(AA1302="Failed",VLOOKUP($D$3,Calcs!$A$110:$C$122,3,TRUE),VLOOKUP($D$3-(IF((Character!$B$9+W1302)&gt;($D$3+Y1302),(Character!$B$9+W1302)-($D$3+Y1302),0)),Calcs!$A$110:$C$122,3,TRUE))))</f>
        <v xml:space="preserve"> </v>
      </c>
      <c r="AC1302" s="489"/>
      <c r="AD1302" s="489" t="str">
        <f>IF(IF(AA1302=" "," ",IF(NOT(ISBLANK(X1302)),VLOOKUP($D$3+X1302,Calcs!$A$110:$B$122,2,TRUE),IF(AA1302="Failed",VLOOKUP($D$3,Calcs!$A$110:$B$122,2,TRUE),VLOOKUP($D$3-(IF((Character!$B$9+W1302)&gt;($D$3+Y1302),(Character!$B$9+W1302)-($D$3+Y1302),0)),Calcs!$A$110:$B$122,2,TRUE))))=Calcs!$B$120,IF(ISBLANK(AC1302)," ",CONCATENATE(AC1302+7," Years")),IF(AA1302=" "," ",IF(NOT(ISBLANK(X1302)),VLOOKUP($D$3+X1302,Calcs!$A$110:$B$122,2,TRUE),IF(AA1302="Failed",VLOOKUP($D$3,Calcs!$A$110:$B$122,2,TRUE),VLOOKUP($D$3-(IF((Character!$B$9+W1302)&gt;($D$3+Y1302),(Character!$B$9+W1302)-($D$3+Y1302),0)),Calcs!$A$110:$B$122,2,TRUE)))))</f>
        <v xml:space="preserve"> </v>
      </c>
      <c r="AE1302" s="490"/>
      <c r="AF1302" s="879"/>
      <c r="AG1302" s="491"/>
    </row>
    <row r="1303" spans="1:33" x14ac:dyDescent="0.2">
      <c r="A1303" s="415">
        <f t="shared" si="38"/>
        <v>1535</v>
      </c>
      <c r="B1303" s="419" t="str">
        <f t="shared" si="39"/>
        <v>Autumn</v>
      </c>
      <c r="C1303" s="455"/>
      <c r="D1303" s="504"/>
      <c r="E1303" s="455"/>
      <c r="F1303" s="504"/>
      <c r="G1303" s="455"/>
      <c r="H1303" s="504"/>
      <c r="I1303" s="455"/>
      <c r="J1303" s="504"/>
      <c r="L1303" s="472"/>
      <c r="M1303" s="468"/>
      <c r="N1303" s="468"/>
      <c r="O1303" s="468"/>
      <c r="P1303" s="468"/>
      <c r="Q1303" s="473"/>
      <c r="R1303" s="477" t="str">
        <f>IF(AND(COUNTIF('Start Character'!$I$63:$M$77,"Twilight Prone")=1,NOT(ISERROR(FIND("Magical Botch",M1303)))),"Yes",IF(P1303&gt;1,"Yes","No"))</f>
        <v>No</v>
      </c>
      <c r="S1303" s="501"/>
      <c r="T1303" s="478"/>
      <c r="U1303" s="501"/>
      <c r="V1303" s="479" t="str">
        <f>IF(R1303="No","No Twilight",IF(T1303="Yes","Uncomprehended Twilight",IF((Character!$B$14+IF(Character!$B$53="Yes",0,Character!$B$53)+IF(Magic!$C$5="Yes",2,0)+ROUNDUP((Magic!$B$30+IF(Magic!$C$30="Yes",3,0))/5,0)+S1303)&gt;=($D$3+P1303+SUMIF(Character!$I$62:$I$66,"Enigmatic Wisdom",Character!$J$62:$J$66)+Q1303+U1303),"No Twilight","Twilight")))</f>
        <v>No Twilight</v>
      </c>
      <c r="W1303" s="483"/>
      <c r="X1303" s="478"/>
      <c r="Y1303" s="484"/>
      <c r="Z1303" s="478"/>
      <c r="AA1303" s="485" t="str">
        <f>IF(V1303="Uncomprehended Twilight","Failed",IF(OR(ISBLANK(W1303),ISBLANK(Y1303))," ",IF(NOT(ISBLANK(X1303)),"Failed",IF((W1303+Character!$B$9+SUMIF(Character!$I$62:$I$66,"Enigmatic Wisdom",Character!$J$62:$J$66))&gt;=IF(Z1303="Yes",0,(Y1303+D1298)),"Succeeded","Failed"))))</f>
        <v xml:space="preserve"> </v>
      </c>
      <c r="AB1303" s="477" t="str">
        <f>IF(AA1303=" "," ",IF(NOT(ISBLANK(X1303)),VLOOKUP($D$3+X1303,Calcs!$A$110:$C$122,3,TRUE),IF(AA1303="Failed",VLOOKUP($D$3,Calcs!$A$110:$C$122,3,TRUE),VLOOKUP($D$3-(IF((Character!$B$9+W1303)&gt;($D$3+Y1303),(Character!$B$9+W1303)-($D$3+Y1303),0)),Calcs!$A$110:$C$122,3,TRUE))))</f>
        <v xml:space="preserve"> </v>
      </c>
      <c r="AC1303" s="489"/>
      <c r="AD1303" s="489" t="str">
        <f>IF(IF(AA1303=" "," ",IF(NOT(ISBLANK(X1303)),VLOOKUP($D$3+X1303,Calcs!$A$110:$B$122,2,TRUE),IF(AA1303="Failed",VLOOKUP($D$3,Calcs!$A$110:$B$122,2,TRUE),VLOOKUP($D$3-(IF((Character!$B$9+W1303)&gt;($D$3+Y1303),(Character!$B$9+W1303)-($D$3+Y1303),0)),Calcs!$A$110:$B$122,2,TRUE))))=Calcs!$B$120,IF(ISBLANK(AC1303)," ",CONCATENATE(AC1303+7," Years")),IF(AA1303=" "," ",IF(NOT(ISBLANK(X1303)),VLOOKUP($D$3+X1303,Calcs!$A$110:$B$122,2,TRUE),IF(AA1303="Failed",VLOOKUP($D$3,Calcs!$A$110:$B$122,2,TRUE),VLOOKUP($D$3-(IF((Character!$B$9+W1303)&gt;($D$3+Y1303),(Character!$B$9+W1303)-($D$3+Y1303),0)),Calcs!$A$110:$B$122,2,TRUE)))))</f>
        <v xml:space="preserve"> </v>
      </c>
      <c r="AE1303" s="490"/>
      <c r="AF1303" s="879"/>
      <c r="AG1303" s="491"/>
    </row>
    <row r="1304" spans="1:33" x14ac:dyDescent="0.2">
      <c r="A1304" s="415">
        <f t="shared" si="38"/>
        <v>1536</v>
      </c>
      <c r="B1304" s="419" t="str">
        <f t="shared" si="39"/>
        <v>Winter</v>
      </c>
      <c r="C1304" s="455"/>
      <c r="D1304" s="504"/>
      <c r="E1304" s="455"/>
      <c r="F1304" s="504"/>
      <c r="G1304" s="455"/>
      <c r="H1304" s="504"/>
      <c r="I1304" s="455"/>
      <c r="J1304" s="504"/>
      <c r="L1304" s="472"/>
      <c r="M1304" s="468"/>
      <c r="N1304" s="468"/>
      <c r="O1304" s="468"/>
      <c r="P1304" s="468"/>
      <c r="Q1304" s="473"/>
      <c r="R1304" s="477" t="str">
        <f>IF(AND(COUNTIF('Start Character'!$I$63:$M$77,"Twilight Prone")=1,NOT(ISERROR(FIND("Magical Botch",M1304)))),"Yes",IF(P1304&gt;1,"Yes","No"))</f>
        <v>No</v>
      </c>
      <c r="S1304" s="501"/>
      <c r="T1304" s="478"/>
      <c r="U1304" s="501"/>
      <c r="V1304" s="479" t="str">
        <f>IF(R1304="No","No Twilight",IF(T1304="Yes","Uncomprehended Twilight",IF((Character!$B$14+IF(Character!$B$53="Yes",0,Character!$B$53)+IF(Magic!$C$5="Yes",2,0)+ROUNDUP((Magic!$B$30+IF(Magic!$C$30="Yes",3,0))/5,0)+S1304)&gt;=($D$3+P1304+SUMIF(Character!$I$62:$I$66,"Enigmatic Wisdom",Character!$J$62:$J$66)+Q1304+U1304),"No Twilight","Twilight")))</f>
        <v>No Twilight</v>
      </c>
      <c r="W1304" s="483"/>
      <c r="X1304" s="478"/>
      <c r="Y1304" s="484"/>
      <c r="Z1304" s="478"/>
      <c r="AA1304" s="485" t="str">
        <f>IF(V1304="Uncomprehended Twilight","Failed",IF(OR(ISBLANK(W1304),ISBLANK(Y1304))," ",IF(NOT(ISBLANK(X1304)),"Failed",IF((W1304+Character!$B$9+SUMIF(Character!$I$62:$I$66,"Enigmatic Wisdom",Character!$J$62:$J$66))&gt;=IF(Z1304="Yes",0,(Y1304+D1299)),"Succeeded","Failed"))))</f>
        <v xml:space="preserve"> </v>
      </c>
      <c r="AB1304" s="477" t="str">
        <f>IF(AA1304=" "," ",IF(NOT(ISBLANK(X1304)),VLOOKUP($D$3+X1304,Calcs!$A$110:$C$122,3,TRUE),IF(AA1304="Failed",VLOOKUP($D$3,Calcs!$A$110:$C$122,3,TRUE),VLOOKUP($D$3-(IF((Character!$B$9+W1304)&gt;($D$3+Y1304),(Character!$B$9+W1304)-($D$3+Y1304),0)),Calcs!$A$110:$C$122,3,TRUE))))</f>
        <v xml:space="preserve"> </v>
      </c>
      <c r="AC1304" s="489"/>
      <c r="AD1304" s="489" t="str">
        <f>IF(IF(AA1304=" "," ",IF(NOT(ISBLANK(X1304)),VLOOKUP($D$3+X1304,Calcs!$A$110:$B$122,2,TRUE),IF(AA1304="Failed",VLOOKUP($D$3,Calcs!$A$110:$B$122,2,TRUE),VLOOKUP($D$3-(IF((Character!$B$9+W1304)&gt;($D$3+Y1304),(Character!$B$9+W1304)-($D$3+Y1304),0)),Calcs!$A$110:$B$122,2,TRUE))))=Calcs!$B$120,IF(ISBLANK(AC1304)," ",CONCATENATE(AC1304+7," Years")),IF(AA1304=" "," ",IF(NOT(ISBLANK(X1304)),VLOOKUP($D$3+X1304,Calcs!$A$110:$B$122,2,TRUE),IF(AA1304="Failed",VLOOKUP($D$3,Calcs!$A$110:$B$122,2,TRUE),VLOOKUP($D$3-(IF((Character!$B$9+W1304)&gt;($D$3+Y1304),(Character!$B$9+W1304)-($D$3+Y1304),0)),Calcs!$A$110:$B$122,2,TRUE)))))</f>
        <v xml:space="preserve"> </v>
      </c>
      <c r="AE1304" s="490"/>
      <c r="AF1304" s="879"/>
      <c r="AG1304" s="491"/>
    </row>
    <row r="1305" spans="1:33" x14ac:dyDescent="0.2">
      <c r="A1305" s="415">
        <f t="shared" si="38"/>
        <v>1536</v>
      </c>
      <c r="B1305" s="419" t="str">
        <f t="shared" si="39"/>
        <v>Spring</v>
      </c>
      <c r="C1305" s="455"/>
      <c r="D1305" s="504"/>
      <c r="E1305" s="455"/>
      <c r="F1305" s="504"/>
      <c r="G1305" s="455"/>
      <c r="H1305" s="504"/>
      <c r="I1305" s="455"/>
      <c r="J1305" s="504"/>
      <c r="L1305" s="472"/>
      <c r="M1305" s="468"/>
      <c r="N1305" s="468"/>
      <c r="O1305" s="468"/>
      <c r="P1305" s="468"/>
      <c r="Q1305" s="473"/>
      <c r="R1305" s="477" t="str">
        <f>IF(AND(COUNTIF('Start Character'!$I$63:$M$77,"Twilight Prone")=1,NOT(ISERROR(FIND("Magical Botch",M1305)))),"Yes",IF(P1305&gt;1,"Yes","No"))</f>
        <v>No</v>
      </c>
      <c r="S1305" s="501"/>
      <c r="T1305" s="478"/>
      <c r="U1305" s="501"/>
      <c r="V1305" s="479" t="str">
        <f>IF(R1305="No","No Twilight",IF(T1305="Yes","Uncomprehended Twilight",IF((Character!$B$14+IF(Character!$B$53="Yes",0,Character!$B$53)+IF(Magic!$C$5="Yes",2,0)+ROUNDUP((Magic!$B$30+IF(Magic!$C$30="Yes",3,0))/5,0)+S1305)&gt;=($D$3+P1305+SUMIF(Character!$I$62:$I$66,"Enigmatic Wisdom",Character!$J$62:$J$66)+Q1305+U1305),"No Twilight","Twilight")))</f>
        <v>No Twilight</v>
      </c>
      <c r="W1305" s="483"/>
      <c r="X1305" s="478"/>
      <c r="Y1305" s="484"/>
      <c r="Z1305" s="478"/>
      <c r="AA1305" s="485" t="str">
        <f>IF(V1305="Uncomprehended Twilight","Failed",IF(OR(ISBLANK(W1305),ISBLANK(Y1305))," ",IF(NOT(ISBLANK(X1305)),"Failed",IF((W1305+Character!$B$9+SUMIF(Character!$I$62:$I$66,"Enigmatic Wisdom",Character!$J$62:$J$66))&gt;=IF(Z1305="Yes",0,(Y1305+D1300)),"Succeeded","Failed"))))</f>
        <v xml:space="preserve"> </v>
      </c>
      <c r="AB1305" s="477" t="str">
        <f>IF(AA1305=" "," ",IF(NOT(ISBLANK(X1305)),VLOOKUP($D$3+X1305,Calcs!$A$110:$C$122,3,TRUE),IF(AA1305="Failed",VLOOKUP($D$3,Calcs!$A$110:$C$122,3,TRUE),VLOOKUP($D$3-(IF((Character!$B$9+W1305)&gt;($D$3+Y1305),(Character!$B$9+W1305)-($D$3+Y1305),0)),Calcs!$A$110:$C$122,3,TRUE))))</f>
        <v xml:space="preserve"> </v>
      </c>
      <c r="AC1305" s="489"/>
      <c r="AD1305" s="489" t="str">
        <f>IF(IF(AA1305=" "," ",IF(NOT(ISBLANK(X1305)),VLOOKUP($D$3+X1305,Calcs!$A$110:$B$122,2,TRUE),IF(AA1305="Failed",VLOOKUP($D$3,Calcs!$A$110:$B$122,2,TRUE),VLOOKUP($D$3-(IF((Character!$B$9+W1305)&gt;($D$3+Y1305),(Character!$B$9+W1305)-($D$3+Y1305),0)),Calcs!$A$110:$B$122,2,TRUE))))=Calcs!$B$120,IF(ISBLANK(AC1305)," ",CONCATENATE(AC1305+7," Years")),IF(AA1305=" "," ",IF(NOT(ISBLANK(X1305)),VLOOKUP($D$3+X1305,Calcs!$A$110:$B$122,2,TRUE),IF(AA1305="Failed",VLOOKUP($D$3,Calcs!$A$110:$B$122,2,TRUE),VLOOKUP($D$3-(IF((Character!$B$9+W1305)&gt;($D$3+Y1305),(Character!$B$9+W1305)-($D$3+Y1305),0)),Calcs!$A$110:$B$122,2,TRUE)))))</f>
        <v xml:space="preserve"> </v>
      </c>
      <c r="AE1305" s="490"/>
      <c r="AF1305" s="879"/>
      <c r="AG1305" s="491"/>
    </row>
    <row r="1306" spans="1:33" x14ac:dyDescent="0.2">
      <c r="A1306" s="415">
        <f t="shared" si="38"/>
        <v>1536</v>
      </c>
      <c r="B1306" s="419" t="str">
        <f t="shared" si="39"/>
        <v>Summer</v>
      </c>
      <c r="C1306" s="455"/>
      <c r="D1306" s="504"/>
      <c r="E1306" s="455"/>
      <c r="F1306" s="504"/>
      <c r="G1306" s="455"/>
      <c r="H1306" s="504"/>
      <c r="I1306" s="455"/>
      <c r="J1306" s="504"/>
      <c r="L1306" s="472"/>
      <c r="M1306" s="468"/>
      <c r="N1306" s="468"/>
      <c r="O1306" s="468"/>
      <c r="P1306" s="468"/>
      <c r="Q1306" s="473"/>
      <c r="R1306" s="477" t="str">
        <f>IF(AND(COUNTIF('Start Character'!$I$63:$M$77,"Twilight Prone")=1,NOT(ISERROR(FIND("Magical Botch",M1306)))),"Yes",IF(P1306&gt;1,"Yes","No"))</f>
        <v>No</v>
      </c>
      <c r="S1306" s="501"/>
      <c r="T1306" s="478"/>
      <c r="U1306" s="501"/>
      <c r="V1306" s="479" t="str">
        <f>IF(R1306="No","No Twilight",IF(T1306="Yes","Uncomprehended Twilight",IF((Character!$B$14+IF(Character!$B$53="Yes",0,Character!$B$53)+IF(Magic!$C$5="Yes",2,0)+ROUNDUP((Magic!$B$30+IF(Magic!$C$30="Yes",3,0))/5,0)+S1306)&gt;=($D$3+P1306+SUMIF(Character!$I$62:$I$66,"Enigmatic Wisdom",Character!$J$62:$J$66)+Q1306+U1306),"No Twilight","Twilight")))</f>
        <v>No Twilight</v>
      </c>
      <c r="W1306" s="483"/>
      <c r="X1306" s="478"/>
      <c r="Y1306" s="484"/>
      <c r="Z1306" s="478"/>
      <c r="AA1306" s="485" t="str">
        <f>IF(V1306="Uncomprehended Twilight","Failed",IF(OR(ISBLANK(W1306),ISBLANK(Y1306))," ",IF(NOT(ISBLANK(X1306)),"Failed",IF((W1306+Character!$B$9+SUMIF(Character!$I$62:$I$66,"Enigmatic Wisdom",Character!$J$62:$J$66))&gt;=IF(Z1306="Yes",0,(Y1306+D1301)),"Succeeded","Failed"))))</f>
        <v xml:space="preserve"> </v>
      </c>
      <c r="AB1306" s="477" t="str">
        <f>IF(AA1306=" "," ",IF(NOT(ISBLANK(X1306)),VLOOKUP($D$3+X1306,Calcs!$A$110:$C$122,3,TRUE),IF(AA1306="Failed",VLOOKUP($D$3,Calcs!$A$110:$C$122,3,TRUE),VLOOKUP($D$3-(IF((Character!$B$9+W1306)&gt;($D$3+Y1306),(Character!$B$9+W1306)-($D$3+Y1306),0)),Calcs!$A$110:$C$122,3,TRUE))))</f>
        <v xml:space="preserve"> </v>
      </c>
      <c r="AC1306" s="489"/>
      <c r="AD1306" s="489" t="str">
        <f>IF(IF(AA1306=" "," ",IF(NOT(ISBLANK(X1306)),VLOOKUP($D$3+X1306,Calcs!$A$110:$B$122,2,TRUE),IF(AA1306="Failed",VLOOKUP($D$3,Calcs!$A$110:$B$122,2,TRUE),VLOOKUP($D$3-(IF((Character!$B$9+W1306)&gt;($D$3+Y1306),(Character!$B$9+W1306)-($D$3+Y1306),0)),Calcs!$A$110:$B$122,2,TRUE))))=Calcs!$B$120,IF(ISBLANK(AC1306)," ",CONCATENATE(AC1306+7," Years")),IF(AA1306=" "," ",IF(NOT(ISBLANK(X1306)),VLOOKUP($D$3+X1306,Calcs!$A$110:$B$122,2,TRUE),IF(AA1306="Failed",VLOOKUP($D$3,Calcs!$A$110:$B$122,2,TRUE),VLOOKUP($D$3-(IF((Character!$B$9+W1306)&gt;($D$3+Y1306),(Character!$B$9+W1306)-($D$3+Y1306),0)),Calcs!$A$110:$B$122,2,TRUE)))))</f>
        <v xml:space="preserve"> </v>
      </c>
      <c r="AE1306" s="490"/>
      <c r="AF1306" s="879"/>
      <c r="AG1306" s="491"/>
    </row>
    <row r="1307" spans="1:33" x14ac:dyDescent="0.2">
      <c r="A1307" s="415">
        <f t="shared" si="38"/>
        <v>1536</v>
      </c>
      <c r="B1307" s="419" t="str">
        <f t="shared" si="39"/>
        <v>Autumn</v>
      </c>
      <c r="C1307" s="455"/>
      <c r="D1307" s="504"/>
      <c r="E1307" s="455"/>
      <c r="F1307" s="504"/>
      <c r="G1307" s="455"/>
      <c r="H1307" s="504"/>
      <c r="I1307" s="455"/>
      <c r="J1307" s="504"/>
      <c r="L1307" s="472"/>
      <c r="M1307" s="468"/>
      <c r="N1307" s="468"/>
      <c r="O1307" s="468"/>
      <c r="P1307" s="468"/>
      <c r="Q1307" s="473"/>
      <c r="R1307" s="477" t="str">
        <f>IF(AND(COUNTIF('Start Character'!$I$63:$M$77,"Twilight Prone")=1,NOT(ISERROR(FIND("Magical Botch",M1307)))),"Yes",IF(P1307&gt;1,"Yes","No"))</f>
        <v>No</v>
      </c>
      <c r="S1307" s="501"/>
      <c r="T1307" s="478"/>
      <c r="U1307" s="501"/>
      <c r="V1307" s="479" t="str">
        <f>IF(R1307="No","No Twilight",IF(T1307="Yes","Uncomprehended Twilight",IF((Character!$B$14+IF(Character!$B$53="Yes",0,Character!$B$53)+IF(Magic!$C$5="Yes",2,0)+ROUNDUP((Magic!$B$30+IF(Magic!$C$30="Yes",3,0))/5,0)+S1307)&gt;=($D$3+P1307+SUMIF(Character!$I$62:$I$66,"Enigmatic Wisdom",Character!$J$62:$J$66)+Q1307+U1307),"No Twilight","Twilight")))</f>
        <v>No Twilight</v>
      </c>
      <c r="W1307" s="483"/>
      <c r="X1307" s="478"/>
      <c r="Y1307" s="484"/>
      <c r="Z1307" s="478"/>
      <c r="AA1307" s="485" t="str">
        <f>IF(V1307="Uncomprehended Twilight","Failed",IF(OR(ISBLANK(W1307),ISBLANK(Y1307))," ",IF(NOT(ISBLANK(X1307)),"Failed",IF((W1307+Character!$B$9+SUMIF(Character!$I$62:$I$66,"Enigmatic Wisdom",Character!$J$62:$J$66))&gt;=IF(Z1307="Yes",0,(Y1307+D1302)),"Succeeded","Failed"))))</f>
        <v xml:space="preserve"> </v>
      </c>
      <c r="AB1307" s="477" t="str">
        <f>IF(AA1307=" "," ",IF(NOT(ISBLANK(X1307)),VLOOKUP($D$3+X1307,Calcs!$A$110:$C$122,3,TRUE),IF(AA1307="Failed",VLOOKUP($D$3,Calcs!$A$110:$C$122,3,TRUE),VLOOKUP($D$3-(IF((Character!$B$9+W1307)&gt;($D$3+Y1307),(Character!$B$9+W1307)-($D$3+Y1307),0)),Calcs!$A$110:$C$122,3,TRUE))))</f>
        <v xml:space="preserve"> </v>
      </c>
      <c r="AC1307" s="489"/>
      <c r="AD1307" s="489" t="str">
        <f>IF(IF(AA1307=" "," ",IF(NOT(ISBLANK(X1307)),VLOOKUP($D$3+X1307,Calcs!$A$110:$B$122,2,TRUE),IF(AA1307="Failed",VLOOKUP($D$3,Calcs!$A$110:$B$122,2,TRUE),VLOOKUP($D$3-(IF((Character!$B$9+W1307)&gt;($D$3+Y1307),(Character!$B$9+W1307)-($D$3+Y1307),0)),Calcs!$A$110:$B$122,2,TRUE))))=Calcs!$B$120,IF(ISBLANK(AC1307)," ",CONCATENATE(AC1307+7," Years")),IF(AA1307=" "," ",IF(NOT(ISBLANK(X1307)),VLOOKUP($D$3+X1307,Calcs!$A$110:$B$122,2,TRUE),IF(AA1307="Failed",VLOOKUP($D$3,Calcs!$A$110:$B$122,2,TRUE),VLOOKUP($D$3-(IF((Character!$B$9+W1307)&gt;($D$3+Y1307),(Character!$B$9+W1307)-($D$3+Y1307),0)),Calcs!$A$110:$B$122,2,TRUE)))))</f>
        <v xml:space="preserve"> </v>
      </c>
      <c r="AE1307" s="490"/>
      <c r="AF1307" s="879"/>
      <c r="AG1307" s="491"/>
    </row>
    <row r="1308" spans="1:33" x14ac:dyDescent="0.2">
      <c r="A1308" s="415">
        <f t="shared" si="38"/>
        <v>1537</v>
      </c>
      <c r="B1308" s="419" t="str">
        <f t="shared" si="39"/>
        <v>Winter</v>
      </c>
      <c r="C1308" s="455"/>
      <c r="D1308" s="504"/>
      <c r="E1308" s="455"/>
      <c r="F1308" s="504"/>
      <c r="G1308" s="455"/>
      <c r="H1308" s="504"/>
      <c r="I1308" s="455"/>
      <c r="J1308" s="504"/>
      <c r="L1308" s="472"/>
      <c r="M1308" s="468"/>
      <c r="N1308" s="468"/>
      <c r="O1308" s="468"/>
      <c r="P1308" s="468"/>
      <c r="Q1308" s="473"/>
      <c r="R1308" s="477" t="str">
        <f>IF(AND(COUNTIF('Start Character'!$I$63:$M$77,"Twilight Prone")=1,NOT(ISERROR(FIND("Magical Botch",M1308)))),"Yes",IF(P1308&gt;1,"Yes","No"))</f>
        <v>No</v>
      </c>
      <c r="S1308" s="501"/>
      <c r="T1308" s="478"/>
      <c r="U1308" s="501"/>
      <c r="V1308" s="479" t="str">
        <f>IF(R1308="No","No Twilight",IF(T1308="Yes","Uncomprehended Twilight",IF((Character!$B$14+IF(Character!$B$53="Yes",0,Character!$B$53)+IF(Magic!$C$5="Yes",2,0)+ROUNDUP((Magic!$B$30+IF(Magic!$C$30="Yes",3,0))/5,0)+S1308)&gt;=($D$3+P1308+SUMIF(Character!$I$62:$I$66,"Enigmatic Wisdom",Character!$J$62:$J$66)+Q1308+U1308),"No Twilight","Twilight")))</f>
        <v>No Twilight</v>
      </c>
      <c r="W1308" s="483"/>
      <c r="X1308" s="478"/>
      <c r="Y1308" s="484"/>
      <c r="Z1308" s="478"/>
      <c r="AA1308" s="485" t="str">
        <f>IF(V1308="Uncomprehended Twilight","Failed",IF(OR(ISBLANK(W1308),ISBLANK(Y1308))," ",IF(NOT(ISBLANK(X1308)),"Failed",IF((W1308+Character!$B$9+SUMIF(Character!$I$62:$I$66,"Enigmatic Wisdom",Character!$J$62:$J$66))&gt;=IF(Z1308="Yes",0,(Y1308+D1303)),"Succeeded","Failed"))))</f>
        <v xml:space="preserve"> </v>
      </c>
      <c r="AB1308" s="477" t="str">
        <f>IF(AA1308=" "," ",IF(NOT(ISBLANK(X1308)),VLOOKUP($D$3+X1308,Calcs!$A$110:$C$122,3,TRUE),IF(AA1308="Failed",VLOOKUP($D$3,Calcs!$A$110:$C$122,3,TRUE),VLOOKUP($D$3-(IF((Character!$B$9+W1308)&gt;($D$3+Y1308),(Character!$B$9+W1308)-($D$3+Y1308),0)),Calcs!$A$110:$C$122,3,TRUE))))</f>
        <v xml:space="preserve"> </v>
      </c>
      <c r="AC1308" s="489"/>
      <c r="AD1308" s="489" t="str">
        <f>IF(IF(AA1308=" "," ",IF(NOT(ISBLANK(X1308)),VLOOKUP($D$3+X1308,Calcs!$A$110:$B$122,2,TRUE),IF(AA1308="Failed",VLOOKUP($D$3,Calcs!$A$110:$B$122,2,TRUE),VLOOKUP($D$3-(IF((Character!$B$9+W1308)&gt;($D$3+Y1308),(Character!$B$9+W1308)-($D$3+Y1308),0)),Calcs!$A$110:$B$122,2,TRUE))))=Calcs!$B$120,IF(ISBLANK(AC1308)," ",CONCATENATE(AC1308+7," Years")),IF(AA1308=" "," ",IF(NOT(ISBLANK(X1308)),VLOOKUP($D$3+X1308,Calcs!$A$110:$B$122,2,TRUE),IF(AA1308="Failed",VLOOKUP($D$3,Calcs!$A$110:$B$122,2,TRUE),VLOOKUP($D$3-(IF((Character!$B$9+W1308)&gt;($D$3+Y1308),(Character!$B$9+W1308)-($D$3+Y1308),0)),Calcs!$A$110:$B$122,2,TRUE)))))</f>
        <v xml:space="preserve"> </v>
      </c>
      <c r="AE1308" s="490"/>
      <c r="AF1308" s="879"/>
      <c r="AG1308" s="491"/>
    </row>
    <row r="1309" spans="1:33" x14ac:dyDescent="0.2">
      <c r="A1309" s="415">
        <f t="shared" ref="A1309:A1372" si="40">IF(B1308="Autumn",A1308+1,A1308)</f>
        <v>1537</v>
      </c>
      <c r="B1309" s="419" t="str">
        <f t="shared" ref="B1309:B1372" si="41">IF(B1308="spring","Summer",IF(B1308="Summer","Autumn",IF(B1308="Autumn","Winter",IF(B1308="Winter","Spring"," "))))</f>
        <v>Spring</v>
      </c>
      <c r="C1309" s="455"/>
      <c r="D1309" s="504"/>
      <c r="E1309" s="455"/>
      <c r="F1309" s="504"/>
      <c r="G1309" s="455"/>
      <c r="H1309" s="504"/>
      <c r="I1309" s="455"/>
      <c r="J1309" s="504"/>
      <c r="L1309" s="472"/>
      <c r="M1309" s="468"/>
      <c r="N1309" s="468"/>
      <c r="O1309" s="468"/>
      <c r="P1309" s="468"/>
      <c r="Q1309" s="473"/>
      <c r="R1309" s="477" t="str">
        <f>IF(AND(COUNTIF('Start Character'!$I$63:$M$77,"Twilight Prone")=1,NOT(ISERROR(FIND("Magical Botch",M1309)))),"Yes",IF(P1309&gt;1,"Yes","No"))</f>
        <v>No</v>
      </c>
      <c r="S1309" s="501"/>
      <c r="T1309" s="478"/>
      <c r="U1309" s="501"/>
      <c r="V1309" s="479" t="str">
        <f>IF(R1309="No","No Twilight",IF(T1309="Yes","Uncomprehended Twilight",IF((Character!$B$14+IF(Character!$B$53="Yes",0,Character!$B$53)+IF(Magic!$C$5="Yes",2,0)+ROUNDUP((Magic!$B$30+IF(Magic!$C$30="Yes",3,0))/5,0)+S1309)&gt;=($D$3+P1309+SUMIF(Character!$I$62:$I$66,"Enigmatic Wisdom",Character!$J$62:$J$66)+Q1309+U1309),"No Twilight","Twilight")))</f>
        <v>No Twilight</v>
      </c>
      <c r="W1309" s="483"/>
      <c r="X1309" s="478"/>
      <c r="Y1309" s="484"/>
      <c r="Z1309" s="478"/>
      <c r="AA1309" s="485" t="str">
        <f>IF(V1309="Uncomprehended Twilight","Failed",IF(OR(ISBLANK(W1309),ISBLANK(Y1309))," ",IF(NOT(ISBLANK(X1309)),"Failed",IF((W1309+Character!$B$9+SUMIF(Character!$I$62:$I$66,"Enigmatic Wisdom",Character!$J$62:$J$66))&gt;=IF(Z1309="Yes",0,(Y1309+D1304)),"Succeeded","Failed"))))</f>
        <v xml:space="preserve"> </v>
      </c>
      <c r="AB1309" s="477" t="str">
        <f>IF(AA1309=" "," ",IF(NOT(ISBLANK(X1309)),VLOOKUP($D$3+X1309,Calcs!$A$110:$C$122,3,TRUE),IF(AA1309="Failed",VLOOKUP($D$3,Calcs!$A$110:$C$122,3,TRUE),VLOOKUP($D$3-(IF((Character!$B$9+W1309)&gt;($D$3+Y1309),(Character!$B$9+W1309)-($D$3+Y1309),0)),Calcs!$A$110:$C$122,3,TRUE))))</f>
        <v xml:space="preserve"> </v>
      </c>
      <c r="AC1309" s="489"/>
      <c r="AD1309" s="489" t="str">
        <f>IF(IF(AA1309=" "," ",IF(NOT(ISBLANK(X1309)),VLOOKUP($D$3+X1309,Calcs!$A$110:$B$122,2,TRUE),IF(AA1309="Failed",VLOOKUP($D$3,Calcs!$A$110:$B$122,2,TRUE),VLOOKUP($D$3-(IF((Character!$B$9+W1309)&gt;($D$3+Y1309),(Character!$B$9+W1309)-($D$3+Y1309),0)),Calcs!$A$110:$B$122,2,TRUE))))=Calcs!$B$120,IF(ISBLANK(AC1309)," ",CONCATENATE(AC1309+7," Years")),IF(AA1309=" "," ",IF(NOT(ISBLANK(X1309)),VLOOKUP($D$3+X1309,Calcs!$A$110:$B$122,2,TRUE),IF(AA1309="Failed",VLOOKUP($D$3,Calcs!$A$110:$B$122,2,TRUE),VLOOKUP($D$3-(IF((Character!$B$9+W1309)&gt;($D$3+Y1309),(Character!$B$9+W1309)-($D$3+Y1309),0)),Calcs!$A$110:$B$122,2,TRUE)))))</f>
        <v xml:space="preserve"> </v>
      </c>
      <c r="AE1309" s="490"/>
      <c r="AF1309" s="879"/>
      <c r="AG1309" s="491"/>
    </row>
    <row r="1310" spans="1:33" x14ac:dyDescent="0.2">
      <c r="A1310" s="415">
        <f t="shared" si="40"/>
        <v>1537</v>
      </c>
      <c r="B1310" s="419" t="str">
        <f t="shared" si="41"/>
        <v>Summer</v>
      </c>
      <c r="C1310" s="455"/>
      <c r="D1310" s="504"/>
      <c r="E1310" s="455"/>
      <c r="F1310" s="504"/>
      <c r="G1310" s="455"/>
      <c r="H1310" s="504"/>
      <c r="I1310" s="455"/>
      <c r="J1310" s="504"/>
      <c r="L1310" s="472"/>
      <c r="M1310" s="468"/>
      <c r="N1310" s="468"/>
      <c r="O1310" s="468"/>
      <c r="P1310" s="468"/>
      <c r="Q1310" s="473"/>
      <c r="R1310" s="477" t="str">
        <f>IF(AND(COUNTIF('Start Character'!$I$63:$M$77,"Twilight Prone")=1,NOT(ISERROR(FIND("Magical Botch",M1310)))),"Yes",IF(P1310&gt;1,"Yes","No"))</f>
        <v>No</v>
      </c>
      <c r="S1310" s="501"/>
      <c r="T1310" s="478"/>
      <c r="U1310" s="501"/>
      <c r="V1310" s="479" t="str">
        <f>IF(R1310="No","No Twilight",IF(T1310="Yes","Uncomprehended Twilight",IF((Character!$B$14+IF(Character!$B$53="Yes",0,Character!$B$53)+IF(Magic!$C$5="Yes",2,0)+ROUNDUP((Magic!$B$30+IF(Magic!$C$30="Yes",3,0))/5,0)+S1310)&gt;=($D$3+P1310+SUMIF(Character!$I$62:$I$66,"Enigmatic Wisdom",Character!$J$62:$J$66)+Q1310+U1310),"No Twilight","Twilight")))</f>
        <v>No Twilight</v>
      </c>
      <c r="W1310" s="483"/>
      <c r="X1310" s="478"/>
      <c r="Y1310" s="484"/>
      <c r="Z1310" s="478"/>
      <c r="AA1310" s="485" t="str">
        <f>IF(V1310="Uncomprehended Twilight","Failed",IF(OR(ISBLANK(W1310),ISBLANK(Y1310))," ",IF(NOT(ISBLANK(X1310)),"Failed",IF((W1310+Character!$B$9+SUMIF(Character!$I$62:$I$66,"Enigmatic Wisdom",Character!$J$62:$J$66))&gt;=IF(Z1310="Yes",0,(Y1310+D1305)),"Succeeded","Failed"))))</f>
        <v xml:space="preserve"> </v>
      </c>
      <c r="AB1310" s="477" t="str">
        <f>IF(AA1310=" "," ",IF(NOT(ISBLANK(X1310)),VLOOKUP($D$3+X1310,Calcs!$A$110:$C$122,3,TRUE),IF(AA1310="Failed",VLOOKUP($D$3,Calcs!$A$110:$C$122,3,TRUE),VLOOKUP($D$3-(IF((Character!$B$9+W1310)&gt;($D$3+Y1310),(Character!$B$9+W1310)-($D$3+Y1310),0)),Calcs!$A$110:$C$122,3,TRUE))))</f>
        <v xml:space="preserve"> </v>
      </c>
      <c r="AC1310" s="489"/>
      <c r="AD1310" s="489" t="str">
        <f>IF(IF(AA1310=" "," ",IF(NOT(ISBLANK(X1310)),VLOOKUP($D$3+X1310,Calcs!$A$110:$B$122,2,TRUE),IF(AA1310="Failed",VLOOKUP($D$3,Calcs!$A$110:$B$122,2,TRUE),VLOOKUP($D$3-(IF((Character!$B$9+W1310)&gt;($D$3+Y1310),(Character!$B$9+W1310)-($D$3+Y1310),0)),Calcs!$A$110:$B$122,2,TRUE))))=Calcs!$B$120,IF(ISBLANK(AC1310)," ",CONCATENATE(AC1310+7," Years")),IF(AA1310=" "," ",IF(NOT(ISBLANK(X1310)),VLOOKUP($D$3+X1310,Calcs!$A$110:$B$122,2,TRUE),IF(AA1310="Failed",VLOOKUP($D$3,Calcs!$A$110:$B$122,2,TRUE),VLOOKUP($D$3-(IF((Character!$B$9+W1310)&gt;($D$3+Y1310),(Character!$B$9+W1310)-($D$3+Y1310),0)),Calcs!$A$110:$B$122,2,TRUE)))))</f>
        <v xml:space="preserve"> </v>
      </c>
      <c r="AE1310" s="490"/>
      <c r="AF1310" s="879"/>
      <c r="AG1310" s="491"/>
    </row>
    <row r="1311" spans="1:33" x14ac:dyDescent="0.2">
      <c r="A1311" s="415">
        <f t="shared" si="40"/>
        <v>1537</v>
      </c>
      <c r="B1311" s="419" t="str">
        <f t="shared" si="41"/>
        <v>Autumn</v>
      </c>
      <c r="C1311" s="455"/>
      <c r="D1311" s="504"/>
      <c r="E1311" s="455"/>
      <c r="F1311" s="504"/>
      <c r="G1311" s="455"/>
      <c r="H1311" s="504"/>
      <c r="I1311" s="455"/>
      <c r="J1311" s="504"/>
      <c r="L1311" s="472"/>
      <c r="M1311" s="468"/>
      <c r="N1311" s="468"/>
      <c r="O1311" s="468"/>
      <c r="P1311" s="468"/>
      <c r="Q1311" s="473"/>
      <c r="R1311" s="477" t="str">
        <f>IF(AND(COUNTIF('Start Character'!$I$63:$M$77,"Twilight Prone")=1,NOT(ISERROR(FIND("Magical Botch",M1311)))),"Yes",IF(P1311&gt;1,"Yes","No"))</f>
        <v>No</v>
      </c>
      <c r="S1311" s="501"/>
      <c r="T1311" s="478"/>
      <c r="U1311" s="501"/>
      <c r="V1311" s="479" t="str">
        <f>IF(R1311="No","No Twilight",IF(T1311="Yes","Uncomprehended Twilight",IF((Character!$B$14+IF(Character!$B$53="Yes",0,Character!$B$53)+IF(Magic!$C$5="Yes",2,0)+ROUNDUP((Magic!$B$30+IF(Magic!$C$30="Yes",3,0))/5,0)+S1311)&gt;=($D$3+P1311+SUMIF(Character!$I$62:$I$66,"Enigmatic Wisdom",Character!$J$62:$J$66)+Q1311+U1311),"No Twilight","Twilight")))</f>
        <v>No Twilight</v>
      </c>
      <c r="W1311" s="483"/>
      <c r="X1311" s="478"/>
      <c r="Y1311" s="484"/>
      <c r="Z1311" s="478"/>
      <c r="AA1311" s="485" t="str">
        <f>IF(V1311="Uncomprehended Twilight","Failed",IF(OR(ISBLANK(W1311),ISBLANK(Y1311))," ",IF(NOT(ISBLANK(X1311)),"Failed",IF((W1311+Character!$B$9+SUMIF(Character!$I$62:$I$66,"Enigmatic Wisdom",Character!$J$62:$J$66))&gt;=IF(Z1311="Yes",0,(Y1311+D1306)),"Succeeded","Failed"))))</f>
        <v xml:space="preserve"> </v>
      </c>
      <c r="AB1311" s="477" t="str">
        <f>IF(AA1311=" "," ",IF(NOT(ISBLANK(X1311)),VLOOKUP($D$3+X1311,Calcs!$A$110:$C$122,3,TRUE),IF(AA1311="Failed",VLOOKUP($D$3,Calcs!$A$110:$C$122,3,TRUE),VLOOKUP($D$3-(IF((Character!$B$9+W1311)&gt;($D$3+Y1311),(Character!$B$9+W1311)-($D$3+Y1311),0)),Calcs!$A$110:$C$122,3,TRUE))))</f>
        <v xml:space="preserve"> </v>
      </c>
      <c r="AC1311" s="489"/>
      <c r="AD1311" s="489" t="str">
        <f>IF(IF(AA1311=" "," ",IF(NOT(ISBLANK(X1311)),VLOOKUP($D$3+X1311,Calcs!$A$110:$B$122,2,TRUE),IF(AA1311="Failed",VLOOKUP($D$3,Calcs!$A$110:$B$122,2,TRUE),VLOOKUP($D$3-(IF((Character!$B$9+W1311)&gt;($D$3+Y1311),(Character!$B$9+W1311)-($D$3+Y1311),0)),Calcs!$A$110:$B$122,2,TRUE))))=Calcs!$B$120,IF(ISBLANK(AC1311)," ",CONCATENATE(AC1311+7," Years")),IF(AA1311=" "," ",IF(NOT(ISBLANK(X1311)),VLOOKUP($D$3+X1311,Calcs!$A$110:$B$122,2,TRUE),IF(AA1311="Failed",VLOOKUP($D$3,Calcs!$A$110:$B$122,2,TRUE),VLOOKUP($D$3-(IF((Character!$B$9+W1311)&gt;($D$3+Y1311),(Character!$B$9+W1311)-($D$3+Y1311),0)),Calcs!$A$110:$B$122,2,TRUE)))))</f>
        <v xml:space="preserve"> </v>
      </c>
      <c r="AE1311" s="490"/>
      <c r="AF1311" s="879"/>
      <c r="AG1311" s="491"/>
    </row>
    <row r="1312" spans="1:33" x14ac:dyDescent="0.2">
      <c r="A1312" s="415">
        <f t="shared" si="40"/>
        <v>1538</v>
      </c>
      <c r="B1312" s="419" t="str">
        <f t="shared" si="41"/>
        <v>Winter</v>
      </c>
      <c r="C1312" s="455"/>
      <c r="D1312" s="504"/>
      <c r="E1312" s="455"/>
      <c r="F1312" s="504"/>
      <c r="G1312" s="455"/>
      <c r="H1312" s="504"/>
      <c r="I1312" s="455"/>
      <c r="J1312" s="504"/>
      <c r="L1312" s="472"/>
      <c r="M1312" s="468"/>
      <c r="N1312" s="468"/>
      <c r="O1312" s="468"/>
      <c r="P1312" s="468"/>
      <c r="Q1312" s="473"/>
      <c r="R1312" s="477" t="str">
        <f>IF(AND(COUNTIF('Start Character'!$I$63:$M$77,"Twilight Prone")=1,NOT(ISERROR(FIND("Magical Botch",M1312)))),"Yes",IF(P1312&gt;1,"Yes","No"))</f>
        <v>No</v>
      </c>
      <c r="S1312" s="501"/>
      <c r="T1312" s="478"/>
      <c r="U1312" s="501"/>
      <c r="V1312" s="479" t="str">
        <f>IF(R1312="No","No Twilight",IF(T1312="Yes","Uncomprehended Twilight",IF((Character!$B$14+IF(Character!$B$53="Yes",0,Character!$B$53)+IF(Magic!$C$5="Yes",2,0)+ROUNDUP((Magic!$B$30+IF(Magic!$C$30="Yes",3,0))/5,0)+S1312)&gt;=($D$3+P1312+SUMIF(Character!$I$62:$I$66,"Enigmatic Wisdom",Character!$J$62:$J$66)+Q1312+U1312),"No Twilight","Twilight")))</f>
        <v>No Twilight</v>
      </c>
      <c r="W1312" s="483"/>
      <c r="X1312" s="478"/>
      <c r="Y1312" s="484"/>
      <c r="Z1312" s="478"/>
      <c r="AA1312" s="485" t="str">
        <f>IF(V1312="Uncomprehended Twilight","Failed",IF(OR(ISBLANK(W1312),ISBLANK(Y1312))," ",IF(NOT(ISBLANK(X1312)),"Failed",IF((W1312+Character!$B$9+SUMIF(Character!$I$62:$I$66,"Enigmatic Wisdom",Character!$J$62:$J$66))&gt;=IF(Z1312="Yes",0,(Y1312+D1307)),"Succeeded","Failed"))))</f>
        <v xml:space="preserve"> </v>
      </c>
      <c r="AB1312" s="477" t="str">
        <f>IF(AA1312=" "," ",IF(NOT(ISBLANK(X1312)),VLOOKUP($D$3+X1312,Calcs!$A$110:$C$122,3,TRUE),IF(AA1312="Failed",VLOOKUP($D$3,Calcs!$A$110:$C$122,3,TRUE),VLOOKUP($D$3-(IF((Character!$B$9+W1312)&gt;($D$3+Y1312),(Character!$B$9+W1312)-($D$3+Y1312),0)),Calcs!$A$110:$C$122,3,TRUE))))</f>
        <v xml:space="preserve"> </v>
      </c>
      <c r="AC1312" s="489"/>
      <c r="AD1312" s="489" t="str">
        <f>IF(IF(AA1312=" "," ",IF(NOT(ISBLANK(X1312)),VLOOKUP($D$3+X1312,Calcs!$A$110:$B$122,2,TRUE),IF(AA1312="Failed",VLOOKUP($D$3,Calcs!$A$110:$B$122,2,TRUE),VLOOKUP($D$3-(IF((Character!$B$9+W1312)&gt;($D$3+Y1312),(Character!$B$9+W1312)-($D$3+Y1312),0)),Calcs!$A$110:$B$122,2,TRUE))))=Calcs!$B$120,IF(ISBLANK(AC1312)," ",CONCATENATE(AC1312+7," Years")),IF(AA1312=" "," ",IF(NOT(ISBLANK(X1312)),VLOOKUP($D$3+X1312,Calcs!$A$110:$B$122,2,TRUE),IF(AA1312="Failed",VLOOKUP($D$3,Calcs!$A$110:$B$122,2,TRUE),VLOOKUP($D$3-(IF((Character!$B$9+W1312)&gt;($D$3+Y1312),(Character!$B$9+W1312)-($D$3+Y1312),0)),Calcs!$A$110:$B$122,2,TRUE)))))</f>
        <v xml:space="preserve"> </v>
      </c>
      <c r="AE1312" s="490"/>
      <c r="AF1312" s="879"/>
      <c r="AG1312" s="491"/>
    </row>
    <row r="1313" spans="1:33" x14ac:dyDescent="0.2">
      <c r="A1313" s="415">
        <f t="shared" si="40"/>
        <v>1538</v>
      </c>
      <c r="B1313" s="419" t="str">
        <f t="shared" si="41"/>
        <v>Spring</v>
      </c>
      <c r="C1313" s="455"/>
      <c r="D1313" s="504"/>
      <c r="E1313" s="455"/>
      <c r="F1313" s="504"/>
      <c r="G1313" s="455"/>
      <c r="H1313" s="504"/>
      <c r="I1313" s="455"/>
      <c r="J1313" s="504"/>
      <c r="L1313" s="472"/>
      <c r="M1313" s="468"/>
      <c r="N1313" s="468"/>
      <c r="O1313" s="468"/>
      <c r="P1313" s="468"/>
      <c r="Q1313" s="473"/>
      <c r="R1313" s="477" t="str">
        <f>IF(AND(COUNTIF('Start Character'!$I$63:$M$77,"Twilight Prone")=1,NOT(ISERROR(FIND("Magical Botch",M1313)))),"Yes",IF(P1313&gt;1,"Yes","No"))</f>
        <v>No</v>
      </c>
      <c r="S1313" s="501"/>
      <c r="T1313" s="478"/>
      <c r="U1313" s="501"/>
      <c r="V1313" s="479" t="str">
        <f>IF(R1313="No","No Twilight",IF(T1313="Yes","Uncomprehended Twilight",IF((Character!$B$14+IF(Character!$B$53="Yes",0,Character!$B$53)+IF(Magic!$C$5="Yes",2,0)+ROUNDUP((Magic!$B$30+IF(Magic!$C$30="Yes",3,0))/5,0)+S1313)&gt;=($D$3+P1313+SUMIF(Character!$I$62:$I$66,"Enigmatic Wisdom",Character!$J$62:$J$66)+Q1313+U1313),"No Twilight","Twilight")))</f>
        <v>No Twilight</v>
      </c>
      <c r="W1313" s="483"/>
      <c r="X1313" s="478"/>
      <c r="Y1313" s="484"/>
      <c r="Z1313" s="478"/>
      <c r="AA1313" s="485" t="str">
        <f>IF(V1313="Uncomprehended Twilight","Failed",IF(OR(ISBLANK(W1313),ISBLANK(Y1313))," ",IF(NOT(ISBLANK(X1313)),"Failed",IF((W1313+Character!$B$9+SUMIF(Character!$I$62:$I$66,"Enigmatic Wisdom",Character!$J$62:$J$66))&gt;=IF(Z1313="Yes",0,(Y1313+D1308)),"Succeeded","Failed"))))</f>
        <v xml:space="preserve"> </v>
      </c>
      <c r="AB1313" s="477" t="str">
        <f>IF(AA1313=" "," ",IF(NOT(ISBLANK(X1313)),VLOOKUP($D$3+X1313,Calcs!$A$110:$C$122,3,TRUE),IF(AA1313="Failed",VLOOKUP($D$3,Calcs!$A$110:$C$122,3,TRUE),VLOOKUP($D$3-(IF((Character!$B$9+W1313)&gt;($D$3+Y1313),(Character!$B$9+W1313)-($D$3+Y1313),0)),Calcs!$A$110:$C$122,3,TRUE))))</f>
        <v xml:space="preserve"> </v>
      </c>
      <c r="AC1313" s="489"/>
      <c r="AD1313" s="489" t="str">
        <f>IF(IF(AA1313=" "," ",IF(NOT(ISBLANK(X1313)),VLOOKUP($D$3+X1313,Calcs!$A$110:$B$122,2,TRUE),IF(AA1313="Failed",VLOOKUP($D$3,Calcs!$A$110:$B$122,2,TRUE),VLOOKUP($D$3-(IF((Character!$B$9+W1313)&gt;($D$3+Y1313),(Character!$B$9+W1313)-($D$3+Y1313),0)),Calcs!$A$110:$B$122,2,TRUE))))=Calcs!$B$120,IF(ISBLANK(AC1313)," ",CONCATENATE(AC1313+7," Years")),IF(AA1313=" "," ",IF(NOT(ISBLANK(X1313)),VLOOKUP($D$3+X1313,Calcs!$A$110:$B$122,2,TRUE),IF(AA1313="Failed",VLOOKUP($D$3,Calcs!$A$110:$B$122,2,TRUE),VLOOKUP($D$3-(IF((Character!$B$9+W1313)&gt;($D$3+Y1313),(Character!$B$9+W1313)-($D$3+Y1313),0)),Calcs!$A$110:$B$122,2,TRUE)))))</f>
        <v xml:space="preserve"> </v>
      </c>
      <c r="AE1313" s="490"/>
      <c r="AF1313" s="879"/>
      <c r="AG1313" s="491"/>
    </row>
    <row r="1314" spans="1:33" x14ac:dyDescent="0.2">
      <c r="A1314" s="415">
        <f t="shared" si="40"/>
        <v>1538</v>
      </c>
      <c r="B1314" s="419" t="str">
        <f t="shared" si="41"/>
        <v>Summer</v>
      </c>
      <c r="C1314" s="455"/>
      <c r="D1314" s="504"/>
      <c r="E1314" s="455"/>
      <c r="F1314" s="504"/>
      <c r="G1314" s="455"/>
      <c r="H1314" s="504"/>
      <c r="I1314" s="455"/>
      <c r="J1314" s="504"/>
      <c r="L1314" s="472"/>
      <c r="M1314" s="468"/>
      <c r="N1314" s="468"/>
      <c r="O1314" s="468"/>
      <c r="P1314" s="468"/>
      <c r="Q1314" s="473"/>
      <c r="R1314" s="477" t="str">
        <f>IF(AND(COUNTIF('Start Character'!$I$63:$M$77,"Twilight Prone")=1,NOT(ISERROR(FIND("Magical Botch",M1314)))),"Yes",IF(P1314&gt;1,"Yes","No"))</f>
        <v>No</v>
      </c>
      <c r="S1314" s="501"/>
      <c r="T1314" s="478"/>
      <c r="U1314" s="501"/>
      <c r="V1314" s="479" t="str">
        <f>IF(R1314="No","No Twilight",IF(T1314="Yes","Uncomprehended Twilight",IF((Character!$B$14+IF(Character!$B$53="Yes",0,Character!$B$53)+IF(Magic!$C$5="Yes",2,0)+ROUNDUP((Magic!$B$30+IF(Magic!$C$30="Yes",3,0))/5,0)+S1314)&gt;=($D$3+P1314+SUMIF(Character!$I$62:$I$66,"Enigmatic Wisdom",Character!$J$62:$J$66)+Q1314+U1314),"No Twilight","Twilight")))</f>
        <v>No Twilight</v>
      </c>
      <c r="W1314" s="483"/>
      <c r="X1314" s="478"/>
      <c r="Y1314" s="484"/>
      <c r="Z1314" s="478"/>
      <c r="AA1314" s="485" t="str">
        <f>IF(V1314="Uncomprehended Twilight","Failed",IF(OR(ISBLANK(W1314),ISBLANK(Y1314))," ",IF(NOT(ISBLANK(X1314)),"Failed",IF((W1314+Character!$B$9+SUMIF(Character!$I$62:$I$66,"Enigmatic Wisdom",Character!$J$62:$J$66))&gt;=IF(Z1314="Yes",0,(Y1314+D1309)),"Succeeded","Failed"))))</f>
        <v xml:space="preserve"> </v>
      </c>
      <c r="AB1314" s="477" t="str">
        <f>IF(AA1314=" "," ",IF(NOT(ISBLANK(X1314)),VLOOKUP($D$3+X1314,Calcs!$A$110:$C$122,3,TRUE),IF(AA1314="Failed",VLOOKUP($D$3,Calcs!$A$110:$C$122,3,TRUE),VLOOKUP($D$3-(IF((Character!$B$9+W1314)&gt;($D$3+Y1314),(Character!$B$9+W1314)-($D$3+Y1314),0)),Calcs!$A$110:$C$122,3,TRUE))))</f>
        <v xml:space="preserve"> </v>
      </c>
      <c r="AC1314" s="489"/>
      <c r="AD1314" s="489" t="str">
        <f>IF(IF(AA1314=" "," ",IF(NOT(ISBLANK(X1314)),VLOOKUP($D$3+X1314,Calcs!$A$110:$B$122,2,TRUE),IF(AA1314="Failed",VLOOKUP($D$3,Calcs!$A$110:$B$122,2,TRUE),VLOOKUP($D$3-(IF((Character!$B$9+W1314)&gt;($D$3+Y1314),(Character!$B$9+W1314)-($D$3+Y1314),0)),Calcs!$A$110:$B$122,2,TRUE))))=Calcs!$B$120,IF(ISBLANK(AC1314)," ",CONCATENATE(AC1314+7," Years")),IF(AA1314=" "," ",IF(NOT(ISBLANK(X1314)),VLOOKUP($D$3+X1314,Calcs!$A$110:$B$122,2,TRUE),IF(AA1314="Failed",VLOOKUP($D$3,Calcs!$A$110:$B$122,2,TRUE),VLOOKUP($D$3-(IF((Character!$B$9+W1314)&gt;($D$3+Y1314),(Character!$B$9+W1314)-($D$3+Y1314),0)),Calcs!$A$110:$B$122,2,TRUE)))))</f>
        <v xml:space="preserve"> </v>
      </c>
      <c r="AE1314" s="490"/>
      <c r="AF1314" s="879"/>
      <c r="AG1314" s="491"/>
    </row>
    <row r="1315" spans="1:33" x14ac:dyDescent="0.2">
      <c r="A1315" s="415">
        <f t="shared" si="40"/>
        <v>1538</v>
      </c>
      <c r="B1315" s="419" t="str">
        <f t="shared" si="41"/>
        <v>Autumn</v>
      </c>
      <c r="C1315" s="455"/>
      <c r="D1315" s="504"/>
      <c r="E1315" s="455"/>
      <c r="F1315" s="504"/>
      <c r="G1315" s="455"/>
      <c r="H1315" s="504"/>
      <c r="I1315" s="455"/>
      <c r="J1315" s="504"/>
      <c r="L1315" s="472"/>
      <c r="M1315" s="468"/>
      <c r="N1315" s="468"/>
      <c r="O1315" s="468"/>
      <c r="P1315" s="468"/>
      <c r="Q1315" s="473"/>
      <c r="R1315" s="477" t="str">
        <f>IF(AND(COUNTIF('Start Character'!$I$63:$M$77,"Twilight Prone")=1,NOT(ISERROR(FIND("Magical Botch",M1315)))),"Yes",IF(P1315&gt;1,"Yes","No"))</f>
        <v>No</v>
      </c>
      <c r="S1315" s="501"/>
      <c r="T1315" s="478"/>
      <c r="U1315" s="501"/>
      <c r="V1315" s="479" t="str">
        <f>IF(R1315="No","No Twilight",IF(T1315="Yes","Uncomprehended Twilight",IF((Character!$B$14+IF(Character!$B$53="Yes",0,Character!$B$53)+IF(Magic!$C$5="Yes",2,0)+ROUNDUP((Magic!$B$30+IF(Magic!$C$30="Yes",3,0))/5,0)+S1315)&gt;=($D$3+P1315+SUMIF(Character!$I$62:$I$66,"Enigmatic Wisdom",Character!$J$62:$J$66)+Q1315+U1315),"No Twilight","Twilight")))</f>
        <v>No Twilight</v>
      </c>
      <c r="W1315" s="483"/>
      <c r="X1315" s="478"/>
      <c r="Y1315" s="484"/>
      <c r="Z1315" s="478"/>
      <c r="AA1315" s="485" t="str">
        <f>IF(V1315="Uncomprehended Twilight","Failed",IF(OR(ISBLANK(W1315),ISBLANK(Y1315))," ",IF(NOT(ISBLANK(X1315)),"Failed",IF((W1315+Character!$B$9+SUMIF(Character!$I$62:$I$66,"Enigmatic Wisdom",Character!$J$62:$J$66))&gt;=IF(Z1315="Yes",0,(Y1315+D1310)),"Succeeded","Failed"))))</f>
        <v xml:space="preserve"> </v>
      </c>
      <c r="AB1315" s="477" t="str">
        <f>IF(AA1315=" "," ",IF(NOT(ISBLANK(X1315)),VLOOKUP($D$3+X1315,Calcs!$A$110:$C$122,3,TRUE),IF(AA1315="Failed",VLOOKUP($D$3,Calcs!$A$110:$C$122,3,TRUE),VLOOKUP($D$3-(IF((Character!$B$9+W1315)&gt;($D$3+Y1315),(Character!$B$9+W1315)-($D$3+Y1315),0)),Calcs!$A$110:$C$122,3,TRUE))))</f>
        <v xml:space="preserve"> </v>
      </c>
      <c r="AC1315" s="489"/>
      <c r="AD1315" s="489" t="str">
        <f>IF(IF(AA1315=" "," ",IF(NOT(ISBLANK(X1315)),VLOOKUP($D$3+X1315,Calcs!$A$110:$B$122,2,TRUE),IF(AA1315="Failed",VLOOKUP($D$3,Calcs!$A$110:$B$122,2,TRUE),VLOOKUP($D$3-(IF((Character!$B$9+W1315)&gt;($D$3+Y1315),(Character!$B$9+W1315)-($D$3+Y1315),0)),Calcs!$A$110:$B$122,2,TRUE))))=Calcs!$B$120,IF(ISBLANK(AC1315)," ",CONCATENATE(AC1315+7," Years")),IF(AA1315=" "," ",IF(NOT(ISBLANK(X1315)),VLOOKUP($D$3+X1315,Calcs!$A$110:$B$122,2,TRUE),IF(AA1315="Failed",VLOOKUP($D$3,Calcs!$A$110:$B$122,2,TRUE),VLOOKUP($D$3-(IF((Character!$B$9+W1315)&gt;($D$3+Y1315),(Character!$B$9+W1315)-($D$3+Y1315),0)),Calcs!$A$110:$B$122,2,TRUE)))))</f>
        <v xml:space="preserve"> </v>
      </c>
      <c r="AE1315" s="490"/>
      <c r="AF1315" s="879"/>
      <c r="AG1315" s="491"/>
    </row>
    <row r="1316" spans="1:33" x14ac:dyDescent="0.2">
      <c r="A1316" s="415">
        <f t="shared" si="40"/>
        <v>1539</v>
      </c>
      <c r="B1316" s="419" t="str">
        <f t="shared" si="41"/>
        <v>Winter</v>
      </c>
      <c r="C1316" s="455"/>
      <c r="D1316" s="504"/>
      <c r="E1316" s="455"/>
      <c r="F1316" s="504"/>
      <c r="G1316" s="455"/>
      <c r="H1316" s="504"/>
      <c r="I1316" s="455"/>
      <c r="J1316" s="504"/>
      <c r="L1316" s="472"/>
      <c r="M1316" s="468"/>
      <c r="N1316" s="468"/>
      <c r="O1316" s="468"/>
      <c r="P1316" s="468"/>
      <c r="Q1316" s="473"/>
      <c r="R1316" s="477" t="str">
        <f>IF(AND(COUNTIF('Start Character'!$I$63:$M$77,"Twilight Prone")=1,NOT(ISERROR(FIND("Magical Botch",M1316)))),"Yes",IF(P1316&gt;1,"Yes","No"))</f>
        <v>No</v>
      </c>
      <c r="S1316" s="501"/>
      <c r="T1316" s="478"/>
      <c r="U1316" s="501"/>
      <c r="V1316" s="479" t="str">
        <f>IF(R1316="No","No Twilight",IF(T1316="Yes","Uncomprehended Twilight",IF((Character!$B$14+IF(Character!$B$53="Yes",0,Character!$B$53)+IF(Magic!$C$5="Yes",2,0)+ROUNDUP((Magic!$B$30+IF(Magic!$C$30="Yes",3,0))/5,0)+S1316)&gt;=($D$3+P1316+SUMIF(Character!$I$62:$I$66,"Enigmatic Wisdom",Character!$J$62:$J$66)+Q1316+U1316),"No Twilight","Twilight")))</f>
        <v>No Twilight</v>
      </c>
      <c r="W1316" s="483"/>
      <c r="X1316" s="478"/>
      <c r="Y1316" s="484"/>
      <c r="Z1316" s="478"/>
      <c r="AA1316" s="485" t="str">
        <f>IF(V1316="Uncomprehended Twilight","Failed",IF(OR(ISBLANK(W1316),ISBLANK(Y1316))," ",IF(NOT(ISBLANK(X1316)),"Failed",IF((W1316+Character!$B$9+SUMIF(Character!$I$62:$I$66,"Enigmatic Wisdom",Character!$J$62:$J$66))&gt;=IF(Z1316="Yes",0,(Y1316+D1311)),"Succeeded","Failed"))))</f>
        <v xml:space="preserve"> </v>
      </c>
      <c r="AB1316" s="477" t="str">
        <f>IF(AA1316=" "," ",IF(NOT(ISBLANK(X1316)),VLOOKUP($D$3+X1316,Calcs!$A$110:$C$122,3,TRUE),IF(AA1316="Failed",VLOOKUP($D$3,Calcs!$A$110:$C$122,3,TRUE),VLOOKUP($D$3-(IF((Character!$B$9+W1316)&gt;($D$3+Y1316),(Character!$B$9+W1316)-($D$3+Y1316),0)),Calcs!$A$110:$C$122,3,TRUE))))</f>
        <v xml:space="preserve"> </v>
      </c>
      <c r="AC1316" s="489"/>
      <c r="AD1316" s="489" t="str">
        <f>IF(IF(AA1316=" "," ",IF(NOT(ISBLANK(X1316)),VLOOKUP($D$3+X1316,Calcs!$A$110:$B$122,2,TRUE),IF(AA1316="Failed",VLOOKUP($D$3,Calcs!$A$110:$B$122,2,TRUE),VLOOKUP($D$3-(IF((Character!$B$9+W1316)&gt;($D$3+Y1316),(Character!$B$9+W1316)-($D$3+Y1316),0)),Calcs!$A$110:$B$122,2,TRUE))))=Calcs!$B$120,IF(ISBLANK(AC1316)," ",CONCATENATE(AC1316+7," Years")),IF(AA1316=" "," ",IF(NOT(ISBLANK(X1316)),VLOOKUP($D$3+X1316,Calcs!$A$110:$B$122,2,TRUE),IF(AA1316="Failed",VLOOKUP($D$3,Calcs!$A$110:$B$122,2,TRUE),VLOOKUP($D$3-(IF((Character!$B$9+W1316)&gt;($D$3+Y1316),(Character!$B$9+W1316)-($D$3+Y1316),0)),Calcs!$A$110:$B$122,2,TRUE)))))</f>
        <v xml:space="preserve"> </v>
      </c>
      <c r="AE1316" s="490"/>
      <c r="AF1316" s="879"/>
      <c r="AG1316" s="491"/>
    </row>
    <row r="1317" spans="1:33" x14ac:dyDescent="0.2">
      <c r="A1317" s="415">
        <f t="shared" si="40"/>
        <v>1539</v>
      </c>
      <c r="B1317" s="419" t="str">
        <f t="shared" si="41"/>
        <v>Spring</v>
      </c>
      <c r="C1317" s="455"/>
      <c r="D1317" s="504"/>
      <c r="E1317" s="455"/>
      <c r="F1317" s="504"/>
      <c r="G1317" s="455"/>
      <c r="H1317" s="504"/>
      <c r="I1317" s="455"/>
      <c r="J1317" s="504"/>
      <c r="L1317" s="472"/>
      <c r="M1317" s="468"/>
      <c r="N1317" s="468"/>
      <c r="O1317" s="468"/>
      <c r="P1317" s="468"/>
      <c r="Q1317" s="473"/>
      <c r="R1317" s="477" t="str">
        <f>IF(AND(COUNTIF('Start Character'!$I$63:$M$77,"Twilight Prone")=1,NOT(ISERROR(FIND("Magical Botch",M1317)))),"Yes",IF(P1317&gt;1,"Yes","No"))</f>
        <v>No</v>
      </c>
      <c r="S1317" s="501"/>
      <c r="T1317" s="478"/>
      <c r="U1317" s="501"/>
      <c r="V1317" s="479" t="str">
        <f>IF(R1317="No","No Twilight",IF(T1317="Yes","Uncomprehended Twilight",IF((Character!$B$14+IF(Character!$B$53="Yes",0,Character!$B$53)+IF(Magic!$C$5="Yes",2,0)+ROUNDUP((Magic!$B$30+IF(Magic!$C$30="Yes",3,0))/5,0)+S1317)&gt;=($D$3+P1317+SUMIF(Character!$I$62:$I$66,"Enigmatic Wisdom",Character!$J$62:$J$66)+Q1317+U1317),"No Twilight","Twilight")))</f>
        <v>No Twilight</v>
      </c>
      <c r="W1317" s="483"/>
      <c r="X1317" s="478"/>
      <c r="Y1317" s="484"/>
      <c r="Z1317" s="478"/>
      <c r="AA1317" s="485" t="str">
        <f>IF(V1317="Uncomprehended Twilight","Failed",IF(OR(ISBLANK(W1317),ISBLANK(Y1317))," ",IF(NOT(ISBLANK(X1317)),"Failed",IF((W1317+Character!$B$9+SUMIF(Character!$I$62:$I$66,"Enigmatic Wisdom",Character!$J$62:$J$66))&gt;=IF(Z1317="Yes",0,(Y1317+D1312)),"Succeeded","Failed"))))</f>
        <v xml:space="preserve"> </v>
      </c>
      <c r="AB1317" s="477" t="str">
        <f>IF(AA1317=" "," ",IF(NOT(ISBLANK(X1317)),VLOOKUP($D$3+X1317,Calcs!$A$110:$C$122,3,TRUE),IF(AA1317="Failed",VLOOKUP($D$3,Calcs!$A$110:$C$122,3,TRUE),VLOOKUP($D$3-(IF((Character!$B$9+W1317)&gt;($D$3+Y1317),(Character!$B$9+W1317)-($D$3+Y1317),0)),Calcs!$A$110:$C$122,3,TRUE))))</f>
        <v xml:space="preserve"> </v>
      </c>
      <c r="AC1317" s="489"/>
      <c r="AD1317" s="489" t="str">
        <f>IF(IF(AA1317=" "," ",IF(NOT(ISBLANK(X1317)),VLOOKUP($D$3+X1317,Calcs!$A$110:$B$122,2,TRUE),IF(AA1317="Failed",VLOOKUP($D$3,Calcs!$A$110:$B$122,2,TRUE),VLOOKUP($D$3-(IF((Character!$B$9+W1317)&gt;($D$3+Y1317),(Character!$B$9+W1317)-($D$3+Y1317),0)),Calcs!$A$110:$B$122,2,TRUE))))=Calcs!$B$120,IF(ISBLANK(AC1317)," ",CONCATENATE(AC1317+7," Years")),IF(AA1317=" "," ",IF(NOT(ISBLANK(X1317)),VLOOKUP($D$3+X1317,Calcs!$A$110:$B$122,2,TRUE),IF(AA1317="Failed",VLOOKUP($D$3,Calcs!$A$110:$B$122,2,TRUE),VLOOKUP($D$3-(IF((Character!$B$9+W1317)&gt;($D$3+Y1317),(Character!$B$9+W1317)-($D$3+Y1317),0)),Calcs!$A$110:$B$122,2,TRUE)))))</f>
        <v xml:space="preserve"> </v>
      </c>
      <c r="AE1317" s="490"/>
      <c r="AF1317" s="879"/>
      <c r="AG1317" s="491"/>
    </row>
    <row r="1318" spans="1:33" x14ac:dyDescent="0.2">
      <c r="A1318" s="415">
        <f t="shared" si="40"/>
        <v>1539</v>
      </c>
      <c r="B1318" s="419" t="str">
        <f t="shared" si="41"/>
        <v>Summer</v>
      </c>
      <c r="C1318" s="455"/>
      <c r="D1318" s="504"/>
      <c r="E1318" s="455"/>
      <c r="F1318" s="504"/>
      <c r="G1318" s="455"/>
      <c r="H1318" s="504"/>
      <c r="I1318" s="455"/>
      <c r="J1318" s="504"/>
      <c r="L1318" s="472"/>
      <c r="M1318" s="468"/>
      <c r="N1318" s="468"/>
      <c r="O1318" s="468"/>
      <c r="P1318" s="468"/>
      <c r="Q1318" s="473"/>
      <c r="R1318" s="477" t="str">
        <f>IF(AND(COUNTIF('Start Character'!$I$63:$M$77,"Twilight Prone")=1,NOT(ISERROR(FIND("Magical Botch",M1318)))),"Yes",IF(P1318&gt;1,"Yes","No"))</f>
        <v>No</v>
      </c>
      <c r="S1318" s="501"/>
      <c r="T1318" s="478"/>
      <c r="U1318" s="501"/>
      <c r="V1318" s="479" t="str">
        <f>IF(R1318="No","No Twilight",IF(T1318="Yes","Uncomprehended Twilight",IF((Character!$B$14+IF(Character!$B$53="Yes",0,Character!$B$53)+IF(Magic!$C$5="Yes",2,0)+ROUNDUP((Magic!$B$30+IF(Magic!$C$30="Yes",3,0))/5,0)+S1318)&gt;=($D$3+P1318+SUMIF(Character!$I$62:$I$66,"Enigmatic Wisdom",Character!$J$62:$J$66)+Q1318+U1318),"No Twilight","Twilight")))</f>
        <v>No Twilight</v>
      </c>
      <c r="W1318" s="483"/>
      <c r="X1318" s="478"/>
      <c r="Y1318" s="484"/>
      <c r="Z1318" s="478"/>
      <c r="AA1318" s="485" t="str">
        <f>IF(V1318="Uncomprehended Twilight","Failed",IF(OR(ISBLANK(W1318),ISBLANK(Y1318))," ",IF(NOT(ISBLANK(X1318)),"Failed",IF((W1318+Character!$B$9+SUMIF(Character!$I$62:$I$66,"Enigmatic Wisdom",Character!$J$62:$J$66))&gt;=IF(Z1318="Yes",0,(Y1318+D1313)),"Succeeded","Failed"))))</f>
        <v xml:space="preserve"> </v>
      </c>
      <c r="AB1318" s="477" t="str">
        <f>IF(AA1318=" "," ",IF(NOT(ISBLANK(X1318)),VLOOKUP($D$3+X1318,Calcs!$A$110:$C$122,3,TRUE),IF(AA1318="Failed",VLOOKUP($D$3,Calcs!$A$110:$C$122,3,TRUE),VLOOKUP($D$3-(IF((Character!$B$9+W1318)&gt;($D$3+Y1318),(Character!$B$9+W1318)-($D$3+Y1318),0)),Calcs!$A$110:$C$122,3,TRUE))))</f>
        <v xml:space="preserve"> </v>
      </c>
      <c r="AC1318" s="489"/>
      <c r="AD1318" s="489" t="str">
        <f>IF(IF(AA1318=" "," ",IF(NOT(ISBLANK(X1318)),VLOOKUP($D$3+X1318,Calcs!$A$110:$B$122,2,TRUE),IF(AA1318="Failed",VLOOKUP($D$3,Calcs!$A$110:$B$122,2,TRUE),VLOOKUP($D$3-(IF((Character!$B$9+W1318)&gt;($D$3+Y1318),(Character!$B$9+W1318)-($D$3+Y1318),0)),Calcs!$A$110:$B$122,2,TRUE))))=Calcs!$B$120,IF(ISBLANK(AC1318)," ",CONCATENATE(AC1318+7," Years")),IF(AA1318=" "," ",IF(NOT(ISBLANK(X1318)),VLOOKUP($D$3+X1318,Calcs!$A$110:$B$122,2,TRUE),IF(AA1318="Failed",VLOOKUP($D$3,Calcs!$A$110:$B$122,2,TRUE),VLOOKUP($D$3-(IF((Character!$B$9+W1318)&gt;($D$3+Y1318),(Character!$B$9+W1318)-($D$3+Y1318),0)),Calcs!$A$110:$B$122,2,TRUE)))))</f>
        <v xml:space="preserve"> </v>
      </c>
      <c r="AE1318" s="490"/>
      <c r="AF1318" s="879"/>
      <c r="AG1318" s="491"/>
    </row>
    <row r="1319" spans="1:33" x14ac:dyDescent="0.2">
      <c r="A1319" s="415">
        <f t="shared" si="40"/>
        <v>1539</v>
      </c>
      <c r="B1319" s="419" t="str">
        <f t="shared" si="41"/>
        <v>Autumn</v>
      </c>
      <c r="C1319" s="455"/>
      <c r="D1319" s="504"/>
      <c r="E1319" s="455"/>
      <c r="F1319" s="504"/>
      <c r="G1319" s="455"/>
      <c r="H1319" s="504"/>
      <c r="I1319" s="455"/>
      <c r="J1319" s="504"/>
      <c r="L1319" s="472"/>
      <c r="M1319" s="468"/>
      <c r="N1319" s="468"/>
      <c r="O1319" s="468"/>
      <c r="P1319" s="468"/>
      <c r="Q1319" s="473"/>
      <c r="R1319" s="477" t="str">
        <f>IF(AND(COUNTIF('Start Character'!$I$63:$M$77,"Twilight Prone")=1,NOT(ISERROR(FIND("Magical Botch",M1319)))),"Yes",IF(P1319&gt;1,"Yes","No"))</f>
        <v>No</v>
      </c>
      <c r="S1319" s="501"/>
      <c r="T1319" s="478"/>
      <c r="U1319" s="501"/>
      <c r="V1319" s="479" t="str">
        <f>IF(R1319="No","No Twilight",IF(T1319="Yes","Uncomprehended Twilight",IF((Character!$B$14+IF(Character!$B$53="Yes",0,Character!$B$53)+IF(Magic!$C$5="Yes",2,0)+ROUNDUP((Magic!$B$30+IF(Magic!$C$30="Yes",3,0))/5,0)+S1319)&gt;=($D$3+P1319+SUMIF(Character!$I$62:$I$66,"Enigmatic Wisdom",Character!$J$62:$J$66)+Q1319+U1319),"No Twilight","Twilight")))</f>
        <v>No Twilight</v>
      </c>
      <c r="W1319" s="483"/>
      <c r="X1319" s="478"/>
      <c r="Y1319" s="484"/>
      <c r="Z1319" s="478"/>
      <c r="AA1319" s="485" t="str">
        <f>IF(V1319="Uncomprehended Twilight","Failed",IF(OR(ISBLANK(W1319),ISBLANK(Y1319))," ",IF(NOT(ISBLANK(X1319)),"Failed",IF((W1319+Character!$B$9+SUMIF(Character!$I$62:$I$66,"Enigmatic Wisdom",Character!$J$62:$J$66))&gt;=IF(Z1319="Yes",0,(Y1319+D1314)),"Succeeded","Failed"))))</f>
        <v xml:space="preserve"> </v>
      </c>
      <c r="AB1319" s="477" t="str">
        <f>IF(AA1319=" "," ",IF(NOT(ISBLANK(X1319)),VLOOKUP($D$3+X1319,Calcs!$A$110:$C$122,3,TRUE),IF(AA1319="Failed",VLOOKUP($D$3,Calcs!$A$110:$C$122,3,TRUE),VLOOKUP($D$3-(IF((Character!$B$9+W1319)&gt;($D$3+Y1319),(Character!$B$9+W1319)-($D$3+Y1319),0)),Calcs!$A$110:$C$122,3,TRUE))))</f>
        <v xml:space="preserve"> </v>
      </c>
      <c r="AC1319" s="489"/>
      <c r="AD1319" s="489" t="str">
        <f>IF(IF(AA1319=" "," ",IF(NOT(ISBLANK(X1319)),VLOOKUP($D$3+X1319,Calcs!$A$110:$B$122,2,TRUE),IF(AA1319="Failed",VLOOKUP($D$3,Calcs!$A$110:$B$122,2,TRUE),VLOOKUP($D$3-(IF((Character!$B$9+W1319)&gt;($D$3+Y1319),(Character!$B$9+W1319)-($D$3+Y1319),0)),Calcs!$A$110:$B$122,2,TRUE))))=Calcs!$B$120,IF(ISBLANK(AC1319)," ",CONCATENATE(AC1319+7," Years")),IF(AA1319=" "," ",IF(NOT(ISBLANK(X1319)),VLOOKUP($D$3+X1319,Calcs!$A$110:$B$122,2,TRUE),IF(AA1319="Failed",VLOOKUP($D$3,Calcs!$A$110:$B$122,2,TRUE),VLOOKUP($D$3-(IF((Character!$B$9+W1319)&gt;($D$3+Y1319),(Character!$B$9+W1319)-($D$3+Y1319),0)),Calcs!$A$110:$B$122,2,TRUE)))))</f>
        <v xml:space="preserve"> </v>
      </c>
      <c r="AE1319" s="490"/>
      <c r="AF1319" s="879"/>
      <c r="AG1319" s="491"/>
    </row>
    <row r="1320" spans="1:33" x14ac:dyDescent="0.2">
      <c r="A1320" s="415">
        <f t="shared" si="40"/>
        <v>1540</v>
      </c>
      <c r="B1320" s="419" t="str">
        <f t="shared" si="41"/>
        <v>Winter</v>
      </c>
      <c r="C1320" s="455"/>
      <c r="D1320" s="504"/>
      <c r="E1320" s="455"/>
      <c r="F1320" s="504"/>
      <c r="G1320" s="455"/>
      <c r="H1320" s="504"/>
      <c r="I1320" s="455"/>
      <c r="J1320" s="504"/>
      <c r="L1320" s="472"/>
      <c r="M1320" s="468"/>
      <c r="N1320" s="468"/>
      <c r="O1320" s="468"/>
      <c r="P1320" s="468"/>
      <c r="Q1320" s="473"/>
      <c r="R1320" s="477" t="str">
        <f>IF(AND(COUNTIF('Start Character'!$I$63:$M$77,"Twilight Prone")=1,NOT(ISERROR(FIND("Magical Botch",M1320)))),"Yes",IF(P1320&gt;1,"Yes","No"))</f>
        <v>No</v>
      </c>
      <c r="S1320" s="501"/>
      <c r="T1320" s="478"/>
      <c r="U1320" s="501"/>
      <c r="V1320" s="479" t="str">
        <f>IF(R1320="No","No Twilight",IF(T1320="Yes","Uncomprehended Twilight",IF((Character!$B$14+IF(Character!$B$53="Yes",0,Character!$B$53)+IF(Magic!$C$5="Yes",2,0)+ROUNDUP((Magic!$B$30+IF(Magic!$C$30="Yes",3,0))/5,0)+S1320)&gt;=($D$3+P1320+SUMIF(Character!$I$62:$I$66,"Enigmatic Wisdom",Character!$J$62:$J$66)+Q1320+U1320),"No Twilight","Twilight")))</f>
        <v>No Twilight</v>
      </c>
      <c r="W1320" s="483"/>
      <c r="X1320" s="478"/>
      <c r="Y1320" s="484"/>
      <c r="Z1320" s="478"/>
      <c r="AA1320" s="485" t="str">
        <f>IF(V1320="Uncomprehended Twilight","Failed",IF(OR(ISBLANK(W1320),ISBLANK(Y1320))," ",IF(NOT(ISBLANK(X1320)),"Failed",IF((W1320+Character!$B$9+SUMIF(Character!$I$62:$I$66,"Enigmatic Wisdom",Character!$J$62:$J$66))&gt;=IF(Z1320="Yes",0,(Y1320+D1315)),"Succeeded","Failed"))))</f>
        <v xml:space="preserve"> </v>
      </c>
      <c r="AB1320" s="477" t="str">
        <f>IF(AA1320=" "," ",IF(NOT(ISBLANK(X1320)),VLOOKUP($D$3+X1320,Calcs!$A$110:$C$122,3,TRUE),IF(AA1320="Failed",VLOOKUP($D$3,Calcs!$A$110:$C$122,3,TRUE),VLOOKUP($D$3-(IF((Character!$B$9+W1320)&gt;($D$3+Y1320),(Character!$B$9+W1320)-($D$3+Y1320),0)),Calcs!$A$110:$C$122,3,TRUE))))</f>
        <v xml:space="preserve"> </v>
      </c>
      <c r="AC1320" s="489"/>
      <c r="AD1320" s="489" t="str">
        <f>IF(IF(AA1320=" "," ",IF(NOT(ISBLANK(X1320)),VLOOKUP($D$3+X1320,Calcs!$A$110:$B$122,2,TRUE),IF(AA1320="Failed",VLOOKUP($D$3,Calcs!$A$110:$B$122,2,TRUE),VLOOKUP($D$3-(IF((Character!$B$9+W1320)&gt;($D$3+Y1320),(Character!$B$9+W1320)-($D$3+Y1320),0)),Calcs!$A$110:$B$122,2,TRUE))))=Calcs!$B$120,IF(ISBLANK(AC1320)," ",CONCATENATE(AC1320+7," Years")),IF(AA1320=" "," ",IF(NOT(ISBLANK(X1320)),VLOOKUP($D$3+X1320,Calcs!$A$110:$B$122,2,TRUE),IF(AA1320="Failed",VLOOKUP($D$3,Calcs!$A$110:$B$122,2,TRUE),VLOOKUP($D$3-(IF((Character!$B$9+W1320)&gt;($D$3+Y1320),(Character!$B$9+W1320)-($D$3+Y1320),0)),Calcs!$A$110:$B$122,2,TRUE)))))</f>
        <v xml:space="preserve"> </v>
      </c>
      <c r="AE1320" s="490"/>
      <c r="AF1320" s="879"/>
      <c r="AG1320" s="491"/>
    </row>
    <row r="1321" spans="1:33" x14ac:dyDescent="0.2">
      <c r="A1321" s="415">
        <f t="shared" si="40"/>
        <v>1540</v>
      </c>
      <c r="B1321" s="419" t="str">
        <f t="shared" si="41"/>
        <v>Spring</v>
      </c>
      <c r="C1321" s="455"/>
      <c r="D1321" s="504"/>
      <c r="E1321" s="455"/>
      <c r="F1321" s="504"/>
      <c r="G1321" s="455"/>
      <c r="H1321" s="504"/>
      <c r="I1321" s="455"/>
      <c r="J1321" s="504"/>
      <c r="L1321" s="472"/>
      <c r="M1321" s="468"/>
      <c r="N1321" s="468"/>
      <c r="O1321" s="468"/>
      <c r="P1321" s="468"/>
      <c r="Q1321" s="473"/>
      <c r="R1321" s="477" t="str">
        <f>IF(AND(COUNTIF('Start Character'!$I$63:$M$77,"Twilight Prone")=1,NOT(ISERROR(FIND("Magical Botch",M1321)))),"Yes",IF(P1321&gt;1,"Yes","No"))</f>
        <v>No</v>
      </c>
      <c r="S1321" s="501"/>
      <c r="T1321" s="478"/>
      <c r="U1321" s="501"/>
      <c r="V1321" s="479" t="str">
        <f>IF(R1321="No","No Twilight",IF(T1321="Yes","Uncomprehended Twilight",IF((Character!$B$14+IF(Character!$B$53="Yes",0,Character!$B$53)+IF(Magic!$C$5="Yes",2,0)+ROUNDUP((Magic!$B$30+IF(Magic!$C$30="Yes",3,0))/5,0)+S1321)&gt;=($D$3+P1321+SUMIF(Character!$I$62:$I$66,"Enigmatic Wisdom",Character!$J$62:$J$66)+Q1321+U1321),"No Twilight","Twilight")))</f>
        <v>No Twilight</v>
      </c>
      <c r="W1321" s="483"/>
      <c r="X1321" s="478"/>
      <c r="Y1321" s="484"/>
      <c r="Z1321" s="478"/>
      <c r="AA1321" s="485" t="str">
        <f>IF(V1321="Uncomprehended Twilight","Failed",IF(OR(ISBLANK(W1321),ISBLANK(Y1321))," ",IF(NOT(ISBLANK(X1321)),"Failed",IF((W1321+Character!$B$9+SUMIF(Character!$I$62:$I$66,"Enigmatic Wisdom",Character!$J$62:$J$66))&gt;=IF(Z1321="Yes",0,(Y1321+D1316)),"Succeeded","Failed"))))</f>
        <v xml:space="preserve"> </v>
      </c>
      <c r="AB1321" s="477" t="str">
        <f>IF(AA1321=" "," ",IF(NOT(ISBLANK(X1321)),VLOOKUP($D$3+X1321,Calcs!$A$110:$C$122,3,TRUE),IF(AA1321="Failed",VLOOKUP($D$3,Calcs!$A$110:$C$122,3,TRUE),VLOOKUP($D$3-(IF((Character!$B$9+W1321)&gt;($D$3+Y1321),(Character!$B$9+W1321)-($D$3+Y1321),0)),Calcs!$A$110:$C$122,3,TRUE))))</f>
        <v xml:space="preserve"> </v>
      </c>
      <c r="AC1321" s="489"/>
      <c r="AD1321" s="489" t="str">
        <f>IF(IF(AA1321=" "," ",IF(NOT(ISBLANK(X1321)),VLOOKUP($D$3+X1321,Calcs!$A$110:$B$122,2,TRUE),IF(AA1321="Failed",VLOOKUP($D$3,Calcs!$A$110:$B$122,2,TRUE),VLOOKUP($D$3-(IF((Character!$B$9+W1321)&gt;($D$3+Y1321),(Character!$B$9+W1321)-($D$3+Y1321),0)),Calcs!$A$110:$B$122,2,TRUE))))=Calcs!$B$120,IF(ISBLANK(AC1321)," ",CONCATENATE(AC1321+7," Years")),IF(AA1321=" "," ",IF(NOT(ISBLANK(X1321)),VLOOKUP($D$3+X1321,Calcs!$A$110:$B$122,2,TRUE),IF(AA1321="Failed",VLOOKUP($D$3,Calcs!$A$110:$B$122,2,TRUE),VLOOKUP($D$3-(IF((Character!$B$9+W1321)&gt;($D$3+Y1321),(Character!$B$9+W1321)-($D$3+Y1321),0)),Calcs!$A$110:$B$122,2,TRUE)))))</f>
        <v xml:space="preserve"> </v>
      </c>
      <c r="AE1321" s="490"/>
      <c r="AF1321" s="879"/>
      <c r="AG1321" s="491"/>
    </row>
    <row r="1322" spans="1:33" x14ac:dyDescent="0.2">
      <c r="A1322" s="415">
        <f t="shared" si="40"/>
        <v>1540</v>
      </c>
      <c r="B1322" s="419" t="str">
        <f t="shared" si="41"/>
        <v>Summer</v>
      </c>
      <c r="C1322" s="455"/>
      <c r="D1322" s="504"/>
      <c r="E1322" s="455"/>
      <c r="F1322" s="504"/>
      <c r="G1322" s="455"/>
      <c r="H1322" s="504"/>
      <c r="I1322" s="455"/>
      <c r="J1322" s="504"/>
      <c r="L1322" s="472"/>
      <c r="M1322" s="468"/>
      <c r="N1322" s="468"/>
      <c r="O1322" s="468"/>
      <c r="P1322" s="468"/>
      <c r="Q1322" s="473"/>
      <c r="R1322" s="477" t="str">
        <f>IF(AND(COUNTIF('Start Character'!$I$63:$M$77,"Twilight Prone")=1,NOT(ISERROR(FIND("Magical Botch",M1322)))),"Yes",IF(P1322&gt;1,"Yes","No"))</f>
        <v>No</v>
      </c>
      <c r="S1322" s="501"/>
      <c r="T1322" s="478"/>
      <c r="U1322" s="501"/>
      <c r="V1322" s="479" t="str">
        <f>IF(R1322="No","No Twilight",IF(T1322="Yes","Uncomprehended Twilight",IF((Character!$B$14+IF(Character!$B$53="Yes",0,Character!$B$53)+IF(Magic!$C$5="Yes",2,0)+ROUNDUP((Magic!$B$30+IF(Magic!$C$30="Yes",3,0))/5,0)+S1322)&gt;=($D$3+P1322+SUMIF(Character!$I$62:$I$66,"Enigmatic Wisdom",Character!$J$62:$J$66)+Q1322+U1322),"No Twilight","Twilight")))</f>
        <v>No Twilight</v>
      </c>
      <c r="W1322" s="483"/>
      <c r="X1322" s="478"/>
      <c r="Y1322" s="484"/>
      <c r="Z1322" s="478"/>
      <c r="AA1322" s="485" t="str">
        <f>IF(V1322="Uncomprehended Twilight","Failed",IF(OR(ISBLANK(W1322),ISBLANK(Y1322))," ",IF(NOT(ISBLANK(X1322)),"Failed",IF((W1322+Character!$B$9+SUMIF(Character!$I$62:$I$66,"Enigmatic Wisdom",Character!$J$62:$J$66))&gt;=IF(Z1322="Yes",0,(Y1322+D1317)),"Succeeded","Failed"))))</f>
        <v xml:space="preserve"> </v>
      </c>
      <c r="AB1322" s="477" t="str">
        <f>IF(AA1322=" "," ",IF(NOT(ISBLANK(X1322)),VLOOKUP($D$3+X1322,Calcs!$A$110:$C$122,3,TRUE),IF(AA1322="Failed",VLOOKUP($D$3,Calcs!$A$110:$C$122,3,TRUE),VLOOKUP($D$3-(IF((Character!$B$9+W1322)&gt;($D$3+Y1322),(Character!$B$9+W1322)-($D$3+Y1322),0)),Calcs!$A$110:$C$122,3,TRUE))))</f>
        <v xml:space="preserve"> </v>
      </c>
      <c r="AC1322" s="489"/>
      <c r="AD1322" s="489" t="str">
        <f>IF(IF(AA1322=" "," ",IF(NOT(ISBLANK(X1322)),VLOOKUP($D$3+X1322,Calcs!$A$110:$B$122,2,TRUE),IF(AA1322="Failed",VLOOKUP($D$3,Calcs!$A$110:$B$122,2,TRUE),VLOOKUP($D$3-(IF((Character!$B$9+W1322)&gt;($D$3+Y1322),(Character!$B$9+W1322)-($D$3+Y1322),0)),Calcs!$A$110:$B$122,2,TRUE))))=Calcs!$B$120,IF(ISBLANK(AC1322)," ",CONCATENATE(AC1322+7," Years")),IF(AA1322=" "," ",IF(NOT(ISBLANK(X1322)),VLOOKUP($D$3+X1322,Calcs!$A$110:$B$122,2,TRUE),IF(AA1322="Failed",VLOOKUP($D$3,Calcs!$A$110:$B$122,2,TRUE),VLOOKUP($D$3-(IF((Character!$B$9+W1322)&gt;($D$3+Y1322),(Character!$B$9+W1322)-($D$3+Y1322),0)),Calcs!$A$110:$B$122,2,TRUE)))))</f>
        <v xml:space="preserve"> </v>
      </c>
      <c r="AE1322" s="490"/>
      <c r="AF1322" s="879"/>
      <c r="AG1322" s="491"/>
    </row>
    <row r="1323" spans="1:33" x14ac:dyDescent="0.2">
      <c r="A1323" s="415">
        <f t="shared" si="40"/>
        <v>1540</v>
      </c>
      <c r="B1323" s="419" t="str">
        <f t="shared" si="41"/>
        <v>Autumn</v>
      </c>
      <c r="C1323" s="455"/>
      <c r="D1323" s="504"/>
      <c r="E1323" s="455"/>
      <c r="F1323" s="504"/>
      <c r="G1323" s="455"/>
      <c r="H1323" s="504"/>
      <c r="I1323" s="455"/>
      <c r="J1323" s="504"/>
      <c r="L1323" s="472"/>
      <c r="M1323" s="468"/>
      <c r="N1323" s="468"/>
      <c r="O1323" s="468"/>
      <c r="P1323" s="468"/>
      <c r="Q1323" s="473"/>
      <c r="R1323" s="477" t="str">
        <f>IF(AND(COUNTIF('Start Character'!$I$63:$M$77,"Twilight Prone")=1,NOT(ISERROR(FIND("Magical Botch",M1323)))),"Yes",IF(P1323&gt;1,"Yes","No"))</f>
        <v>No</v>
      </c>
      <c r="S1323" s="501"/>
      <c r="T1323" s="478"/>
      <c r="U1323" s="501"/>
      <c r="V1323" s="479" t="str">
        <f>IF(R1323="No","No Twilight",IF(T1323="Yes","Uncomprehended Twilight",IF((Character!$B$14+IF(Character!$B$53="Yes",0,Character!$B$53)+IF(Magic!$C$5="Yes",2,0)+ROUNDUP((Magic!$B$30+IF(Magic!$C$30="Yes",3,0))/5,0)+S1323)&gt;=($D$3+P1323+SUMIF(Character!$I$62:$I$66,"Enigmatic Wisdom",Character!$J$62:$J$66)+Q1323+U1323),"No Twilight","Twilight")))</f>
        <v>No Twilight</v>
      </c>
      <c r="W1323" s="483"/>
      <c r="X1323" s="478"/>
      <c r="Y1323" s="484"/>
      <c r="Z1323" s="478"/>
      <c r="AA1323" s="485" t="str">
        <f>IF(V1323="Uncomprehended Twilight","Failed",IF(OR(ISBLANK(W1323),ISBLANK(Y1323))," ",IF(NOT(ISBLANK(X1323)),"Failed",IF((W1323+Character!$B$9+SUMIF(Character!$I$62:$I$66,"Enigmatic Wisdom",Character!$J$62:$J$66))&gt;=IF(Z1323="Yes",0,(Y1323+D1318)),"Succeeded","Failed"))))</f>
        <v xml:space="preserve"> </v>
      </c>
      <c r="AB1323" s="477" t="str">
        <f>IF(AA1323=" "," ",IF(NOT(ISBLANK(X1323)),VLOOKUP($D$3+X1323,Calcs!$A$110:$C$122,3,TRUE),IF(AA1323="Failed",VLOOKUP($D$3,Calcs!$A$110:$C$122,3,TRUE),VLOOKUP($D$3-(IF((Character!$B$9+W1323)&gt;($D$3+Y1323),(Character!$B$9+W1323)-($D$3+Y1323),0)),Calcs!$A$110:$C$122,3,TRUE))))</f>
        <v xml:space="preserve"> </v>
      </c>
      <c r="AC1323" s="489"/>
      <c r="AD1323" s="489" t="str">
        <f>IF(IF(AA1323=" "," ",IF(NOT(ISBLANK(X1323)),VLOOKUP($D$3+X1323,Calcs!$A$110:$B$122,2,TRUE),IF(AA1323="Failed",VLOOKUP($D$3,Calcs!$A$110:$B$122,2,TRUE),VLOOKUP($D$3-(IF((Character!$B$9+W1323)&gt;($D$3+Y1323),(Character!$B$9+W1323)-($D$3+Y1323),0)),Calcs!$A$110:$B$122,2,TRUE))))=Calcs!$B$120,IF(ISBLANK(AC1323)," ",CONCATENATE(AC1323+7," Years")),IF(AA1323=" "," ",IF(NOT(ISBLANK(X1323)),VLOOKUP($D$3+X1323,Calcs!$A$110:$B$122,2,TRUE),IF(AA1323="Failed",VLOOKUP($D$3,Calcs!$A$110:$B$122,2,TRUE),VLOOKUP($D$3-(IF((Character!$B$9+W1323)&gt;($D$3+Y1323),(Character!$B$9+W1323)-($D$3+Y1323),0)),Calcs!$A$110:$B$122,2,TRUE)))))</f>
        <v xml:space="preserve"> </v>
      </c>
      <c r="AE1323" s="490"/>
      <c r="AF1323" s="879"/>
      <c r="AG1323" s="491"/>
    </row>
    <row r="1324" spans="1:33" x14ac:dyDescent="0.2">
      <c r="A1324" s="415">
        <f t="shared" si="40"/>
        <v>1541</v>
      </c>
      <c r="B1324" s="419" t="str">
        <f t="shared" si="41"/>
        <v>Winter</v>
      </c>
      <c r="C1324" s="455"/>
      <c r="D1324" s="504"/>
      <c r="E1324" s="455"/>
      <c r="F1324" s="504"/>
      <c r="G1324" s="455"/>
      <c r="H1324" s="504"/>
      <c r="I1324" s="455"/>
      <c r="J1324" s="504"/>
      <c r="L1324" s="472"/>
      <c r="M1324" s="468"/>
      <c r="N1324" s="468"/>
      <c r="O1324" s="468"/>
      <c r="P1324" s="468"/>
      <c r="Q1324" s="473"/>
      <c r="R1324" s="477" t="str">
        <f>IF(AND(COUNTIF('Start Character'!$I$63:$M$77,"Twilight Prone")=1,NOT(ISERROR(FIND("Magical Botch",M1324)))),"Yes",IF(P1324&gt;1,"Yes","No"))</f>
        <v>No</v>
      </c>
      <c r="S1324" s="501"/>
      <c r="T1324" s="478"/>
      <c r="U1324" s="501"/>
      <c r="V1324" s="479" t="str">
        <f>IF(R1324="No","No Twilight",IF(T1324="Yes","Uncomprehended Twilight",IF((Character!$B$14+IF(Character!$B$53="Yes",0,Character!$B$53)+IF(Magic!$C$5="Yes",2,0)+ROUNDUP((Magic!$B$30+IF(Magic!$C$30="Yes",3,0))/5,0)+S1324)&gt;=($D$3+P1324+SUMIF(Character!$I$62:$I$66,"Enigmatic Wisdom",Character!$J$62:$J$66)+Q1324+U1324),"No Twilight","Twilight")))</f>
        <v>No Twilight</v>
      </c>
      <c r="W1324" s="483"/>
      <c r="X1324" s="478"/>
      <c r="Y1324" s="484"/>
      <c r="Z1324" s="478"/>
      <c r="AA1324" s="485" t="str">
        <f>IF(V1324="Uncomprehended Twilight","Failed",IF(OR(ISBLANK(W1324),ISBLANK(Y1324))," ",IF(NOT(ISBLANK(X1324)),"Failed",IF((W1324+Character!$B$9+SUMIF(Character!$I$62:$I$66,"Enigmatic Wisdom",Character!$J$62:$J$66))&gt;=IF(Z1324="Yes",0,(Y1324+D1319)),"Succeeded","Failed"))))</f>
        <v xml:space="preserve"> </v>
      </c>
      <c r="AB1324" s="477" t="str">
        <f>IF(AA1324=" "," ",IF(NOT(ISBLANK(X1324)),VLOOKUP($D$3+X1324,Calcs!$A$110:$C$122,3,TRUE),IF(AA1324="Failed",VLOOKUP($D$3,Calcs!$A$110:$C$122,3,TRUE),VLOOKUP($D$3-(IF((Character!$B$9+W1324)&gt;($D$3+Y1324),(Character!$B$9+W1324)-($D$3+Y1324),0)),Calcs!$A$110:$C$122,3,TRUE))))</f>
        <v xml:space="preserve"> </v>
      </c>
      <c r="AC1324" s="489"/>
      <c r="AD1324" s="489" t="str">
        <f>IF(IF(AA1324=" "," ",IF(NOT(ISBLANK(X1324)),VLOOKUP($D$3+X1324,Calcs!$A$110:$B$122,2,TRUE),IF(AA1324="Failed",VLOOKUP($D$3,Calcs!$A$110:$B$122,2,TRUE),VLOOKUP($D$3-(IF((Character!$B$9+W1324)&gt;($D$3+Y1324),(Character!$B$9+W1324)-($D$3+Y1324),0)),Calcs!$A$110:$B$122,2,TRUE))))=Calcs!$B$120,IF(ISBLANK(AC1324)," ",CONCATENATE(AC1324+7," Years")),IF(AA1324=" "," ",IF(NOT(ISBLANK(X1324)),VLOOKUP($D$3+X1324,Calcs!$A$110:$B$122,2,TRUE),IF(AA1324="Failed",VLOOKUP($D$3,Calcs!$A$110:$B$122,2,TRUE),VLOOKUP($D$3-(IF((Character!$B$9+W1324)&gt;($D$3+Y1324),(Character!$B$9+W1324)-($D$3+Y1324),0)),Calcs!$A$110:$B$122,2,TRUE)))))</f>
        <v xml:space="preserve"> </v>
      </c>
      <c r="AE1324" s="490"/>
      <c r="AF1324" s="879"/>
      <c r="AG1324" s="491"/>
    </row>
    <row r="1325" spans="1:33" x14ac:dyDescent="0.2">
      <c r="A1325" s="415">
        <f t="shared" si="40"/>
        <v>1541</v>
      </c>
      <c r="B1325" s="419" t="str">
        <f t="shared" si="41"/>
        <v>Spring</v>
      </c>
      <c r="C1325" s="455"/>
      <c r="D1325" s="504"/>
      <c r="E1325" s="455"/>
      <c r="F1325" s="504"/>
      <c r="G1325" s="455"/>
      <c r="H1325" s="504"/>
      <c r="I1325" s="455"/>
      <c r="J1325" s="504"/>
      <c r="L1325" s="472"/>
      <c r="M1325" s="468"/>
      <c r="N1325" s="468"/>
      <c r="O1325" s="468"/>
      <c r="P1325" s="468"/>
      <c r="Q1325" s="473"/>
      <c r="R1325" s="477" t="str">
        <f>IF(AND(COUNTIF('Start Character'!$I$63:$M$77,"Twilight Prone")=1,NOT(ISERROR(FIND("Magical Botch",M1325)))),"Yes",IF(P1325&gt;1,"Yes","No"))</f>
        <v>No</v>
      </c>
      <c r="S1325" s="501"/>
      <c r="T1325" s="478"/>
      <c r="U1325" s="501"/>
      <c r="V1325" s="479" t="str">
        <f>IF(R1325="No","No Twilight",IF(T1325="Yes","Uncomprehended Twilight",IF((Character!$B$14+IF(Character!$B$53="Yes",0,Character!$B$53)+IF(Magic!$C$5="Yes",2,0)+ROUNDUP((Magic!$B$30+IF(Magic!$C$30="Yes",3,0))/5,0)+S1325)&gt;=($D$3+P1325+SUMIF(Character!$I$62:$I$66,"Enigmatic Wisdom",Character!$J$62:$J$66)+Q1325+U1325),"No Twilight","Twilight")))</f>
        <v>No Twilight</v>
      </c>
      <c r="W1325" s="483"/>
      <c r="X1325" s="478"/>
      <c r="Y1325" s="484"/>
      <c r="Z1325" s="478"/>
      <c r="AA1325" s="485" t="str">
        <f>IF(V1325="Uncomprehended Twilight","Failed",IF(OR(ISBLANK(W1325),ISBLANK(Y1325))," ",IF(NOT(ISBLANK(X1325)),"Failed",IF((W1325+Character!$B$9+SUMIF(Character!$I$62:$I$66,"Enigmatic Wisdom",Character!$J$62:$J$66))&gt;=IF(Z1325="Yes",0,(Y1325+D1320)),"Succeeded","Failed"))))</f>
        <v xml:space="preserve"> </v>
      </c>
      <c r="AB1325" s="477" t="str">
        <f>IF(AA1325=" "," ",IF(NOT(ISBLANK(X1325)),VLOOKUP($D$3+X1325,Calcs!$A$110:$C$122,3,TRUE),IF(AA1325="Failed",VLOOKUP($D$3,Calcs!$A$110:$C$122,3,TRUE),VLOOKUP($D$3-(IF((Character!$B$9+W1325)&gt;($D$3+Y1325),(Character!$B$9+W1325)-($D$3+Y1325),0)),Calcs!$A$110:$C$122,3,TRUE))))</f>
        <v xml:space="preserve"> </v>
      </c>
      <c r="AC1325" s="489"/>
      <c r="AD1325" s="489" t="str">
        <f>IF(IF(AA1325=" "," ",IF(NOT(ISBLANK(X1325)),VLOOKUP($D$3+X1325,Calcs!$A$110:$B$122,2,TRUE),IF(AA1325="Failed",VLOOKUP($D$3,Calcs!$A$110:$B$122,2,TRUE),VLOOKUP($D$3-(IF((Character!$B$9+W1325)&gt;($D$3+Y1325),(Character!$B$9+W1325)-($D$3+Y1325),0)),Calcs!$A$110:$B$122,2,TRUE))))=Calcs!$B$120,IF(ISBLANK(AC1325)," ",CONCATENATE(AC1325+7," Years")),IF(AA1325=" "," ",IF(NOT(ISBLANK(X1325)),VLOOKUP($D$3+X1325,Calcs!$A$110:$B$122,2,TRUE),IF(AA1325="Failed",VLOOKUP($D$3,Calcs!$A$110:$B$122,2,TRUE),VLOOKUP($D$3-(IF((Character!$B$9+W1325)&gt;($D$3+Y1325),(Character!$B$9+W1325)-($D$3+Y1325),0)),Calcs!$A$110:$B$122,2,TRUE)))))</f>
        <v xml:space="preserve"> </v>
      </c>
      <c r="AE1325" s="490"/>
      <c r="AF1325" s="879"/>
      <c r="AG1325" s="491"/>
    </row>
    <row r="1326" spans="1:33" x14ac:dyDescent="0.2">
      <c r="A1326" s="415">
        <f t="shared" si="40"/>
        <v>1541</v>
      </c>
      <c r="B1326" s="419" t="str">
        <f t="shared" si="41"/>
        <v>Summer</v>
      </c>
      <c r="C1326" s="455"/>
      <c r="D1326" s="504"/>
      <c r="E1326" s="455"/>
      <c r="F1326" s="504"/>
      <c r="G1326" s="455"/>
      <c r="H1326" s="504"/>
      <c r="I1326" s="455"/>
      <c r="J1326" s="504"/>
      <c r="L1326" s="472"/>
      <c r="M1326" s="468"/>
      <c r="N1326" s="468"/>
      <c r="O1326" s="468"/>
      <c r="P1326" s="468"/>
      <c r="Q1326" s="473"/>
      <c r="R1326" s="477" t="str">
        <f>IF(AND(COUNTIF('Start Character'!$I$63:$M$77,"Twilight Prone")=1,NOT(ISERROR(FIND("Magical Botch",M1326)))),"Yes",IF(P1326&gt;1,"Yes","No"))</f>
        <v>No</v>
      </c>
      <c r="S1326" s="501"/>
      <c r="T1326" s="478"/>
      <c r="U1326" s="501"/>
      <c r="V1326" s="479" t="str">
        <f>IF(R1326="No","No Twilight",IF(T1326="Yes","Uncomprehended Twilight",IF((Character!$B$14+IF(Character!$B$53="Yes",0,Character!$B$53)+IF(Magic!$C$5="Yes",2,0)+ROUNDUP((Magic!$B$30+IF(Magic!$C$30="Yes",3,0))/5,0)+S1326)&gt;=($D$3+P1326+SUMIF(Character!$I$62:$I$66,"Enigmatic Wisdom",Character!$J$62:$J$66)+Q1326+U1326),"No Twilight","Twilight")))</f>
        <v>No Twilight</v>
      </c>
      <c r="W1326" s="483"/>
      <c r="X1326" s="478"/>
      <c r="Y1326" s="484"/>
      <c r="Z1326" s="478"/>
      <c r="AA1326" s="485" t="str">
        <f>IF(V1326="Uncomprehended Twilight","Failed",IF(OR(ISBLANK(W1326),ISBLANK(Y1326))," ",IF(NOT(ISBLANK(X1326)),"Failed",IF((W1326+Character!$B$9+SUMIF(Character!$I$62:$I$66,"Enigmatic Wisdom",Character!$J$62:$J$66))&gt;=IF(Z1326="Yes",0,(Y1326+D1321)),"Succeeded","Failed"))))</f>
        <v xml:space="preserve"> </v>
      </c>
      <c r="AB1326" s="477" t="str">
        <f>IF(AA1326=" "," ",IF(NOT(ISBLANK(X1326)),VLOOKUP($D$3+X1326,Calcs!$A$110:$C$122,3,TRUE),IF(AA1326="Failed",VLOOKUP($D$3,Calcs!$A$110:$C$122,3,TRUE),VLOOKUP($D$3-(IF((Character!$B$9+W1326)&gt;($D$3+Y1326),(Character!$B$9+W1326)-($D$3+Y1326),0)),Calcs!$A$110:$C$122,3,TRUE))))</f>
        <v xml:space="preserve"> </v>
      </c>
      <c r="AC1326" s="489"/>
      <c r="AD1326" s="489" t="str">
        <f>IF(IF(AA1326=" "," ",IF(NOT(ISBLANK(X1326)),VLOOKUP($D$3+X1326,Calcs!$A$110:$B$122,2,TRUE),IF(AA1326="Failed",VLOOKUP($D$3,Calcs!$A$110:$B$122,2,TRUE),VLOOKUP($D$3-(IF((Character!$B$9+W1326)&gt;($D$3+Y1326),(Character!$B$9+W1326)-($D$3+Y1326),0)),Calcs!$A$110:$B$122,2,TRUE))))=Calcs!$B$120,IF(ISBLANK(AC1326)," ",CONCATENATE(AC1326+7," Years")),IF(AA1326=" "," ",IF(NOT(ISBLANK(X1326)),VLOOKUP($D$3+X1326,Calcs!$A$110:$B$122,2,TRUE),IF(AA1326="Failed",VLOOKUP($D$3,Calcs!$A$110:$B$122,2,TRUE),VLOOKUP($D$3-(IF((Character!$B$9+W1326)&gt;($D$3+Y1326),(Character!$B$9+W1326)-($D$3+Y1326),0)),Calcs!$A$110:$B$122,2,TRUE)))))</f>
        <v xml:space="preserve"> </v>
      </c>
      <c r="AE1326" s="490"/>
      <c r="AF1326" s="879"/>
      <c r="AG1326" s="491"/>
    </row>
    <row r="1327" spans="1:33" x14ac:dyDescent="0.2">
      <c r="A1327" s="415">
        <f t="shared" si="40"/>
        <v>1541</v>
      </c>
      <c r="B1327" s="419" t="str">
        <f t="shared" si="41"/>
        <v>Autumn</v>
      </c>
      <c r="C1327" s="455"/>
      <c r="D1327" s="504"/>
      <c r="E1327" s="455"/>
      <c r="F1327" s="504"/>
      <c r="G1327" s="455"/>
      <c r="H1327" s="504"/>
      <c r="I1327" s="455"/>
      <c r="J1327" s="504"/>
      <c r="L1327" s="472"/>
      <c r="M1327" s="468"/>
      <c r="N1327" s="468"/>
      <c r="O1327" s="468"/>
      <c r="P1327" s="468"/>
      <c r="Q1327" s="473"/>
      <c r="R1327" s="477" t="str">
        <f>IF(AND(COUNTIF('Start Character'!$I$63:$M$77,"Twilight Prone")=1,NOT(ISERROR(FIND("Magical Botch",M1327)))),"Yes",IF(P1327&gt;1,"Yes","No"))</f>
        <v>No</v>
      </c>
      <c r="S1327" s="501"/>
      <c r="T1327" s="478"/>
      <c r="U1327" s="501"/>
      <c r="V1327" s="479" t="str">
        <f>IF(R1327="No","No Twilight",IF(T1327="Yes","Uncomprehended Twilight",IF((Character!$B$14+IF(Character!$B$53="Yes",0,Character!$B$53)+IF(Magic!$C$5="Yes",2,0)+ROUNDUP((Magic!$B$30+IF(Magic!$C$30="Yes",3,0))/5,0)+S1327)&gt;=($D$3+P1327+SUMIF(Character!$I$62:$I$66,"Enigmatic Wisdom",Character!$J$62:$J$66)+Q1327+U1327),"No Twilight","Twilight")))</f>
        <v>No Twilight</v>
      </c>
      <c r="W1327" s="483"/>
      <c r="X1327" s="478"/>
      <c r="Y1327" s="484"/>
      <c r="Z1327" s="478"/>
      <c r="AA1327" s="485" t="str">
        <f>IF(V1327="Uncomprehended Twilight","Failed",IF(OR(ISBLANK(W1327),ISBLANK(Y1327))," ",IF(NOT(ISBLANK(X1327)),"Failed",IF((W1327+Character!$B$9+SUMIF(Character!$I$62:$I$66,"Enigmatic Wisdom",Character!$J$62:$J$66))&gt;=IF(Z1327="Yes",0,(Y1327+D1322)),"Succeeded","Failed"))))</f>
        <v xml:space="preserve"> </v>
      </c>
      <c r="AB1327" s="477" t="str">
        <f>IF(AA1327=" "," ",IF(NOT(ISBLANK(X1327)),VLOOKUP($D$3+X1327,Calcs!$A$110:$C$122,3,TRUE),IF(AA1327="Failed",VLOOKUP($D$3,Calcs!$A$110:$C$122,3,TRUE),VLOOKUP($D$3-(IF((Character!$B$9+W1327)&gt;($D$3+Y1327),(Character!$B$9+W1327)-($D$3+Y1327),0)),Calcs!$A$110:$C$122,3,TRUE))))</f>
        <v xml:space="preserve"> </v>
      </c>
      <c r="AC1327" s="489"/>
      <c r="AD1327" s="489" t="str">
        <f>IF(IF(AA1327=" "," ",IF(NOT(ISBLANK(X1327)),VLOOKUP($D$3+X1327,Calcs!$A$110:$B$122,2,TRUE),IF(AA1327="Failed",VLOOKUP($D$3,Calcs!$A$110:$B$122,2,TRUE),VLOOKUP($D$3-(IF((Character!$B$9+W1327)&gt;($D$3+Y1327),(Character!$B$9+W1327)-($D$3+Y1327),0)),Calcs!$A$110:$B$122,2,TRUE))))=Calcs!$B$120,IF(ISBLANK(AC1327)," ",CONCATENATE(AC1327+7," Years")),IF(AA1327=" "," ",IF(NOT(ISBLANK(X1327)),VLOOKUP($D$3+X1327,Calcs!$A$110:$B$122,2,TRUE),IF(AA1327="Failed",VLOOKUP($D$3,Calcs!$A$110:$B$122,2,TRUE),VLOOKUP($D$3-(IF((Character!$B$9+W1327)&gt;($D$3+Y1327),(Character!$B$9+W1327)-($D$3+Y1327),0)),Calcs!$A$110:$B$122,2,TRUE)))))</f>
        <v xml:space="preserve"> </v>
      </c>
      <c r="AE1327" s="490"/>
      <c r="AF1327" s="879"/>
      <c r="AG1327" s="491"/>
    </row>
    <row r="1328" spans="1:33" x14ac:dyDescent="0.2">
      <c r="A1328" s="415">
        <f t="shared" si="40"/>
        <v>1542</v>
      </c>
      <c r="B1328" s="419" t="str">
        <f t="shared" si="41"/>
        <v>Winter</v>
      </c>
      <c r="C1328" s="455"/>
      <c r="D1328" s="504"/>
      <c r="E1328" s="455"/>
      <c r="F1328" s="504"/>
      <c r="G1328" s="455"/>
      <c r="H1328" s="504"/>
      <c r="I1328" s="455"/>
      <c r="J1328" s="504"/>
      <c r="L1328" s="472"/>
      <c r="M1328" s="468"/>
      <c r="N1328" s="468"/>
      <c r="O1328" s="468"/>
      <c r="P1328" s="468"/>
      <c r="Q1328" s="473"/>
      <c r="R1328" s="477" t="str">
        <f>IF(AND(COUNTIF('Start Character'!$I$63:$M$77,"Twilight Prone")=1,NOT(ISERROR(FIND("Magical Botch",M1328)))),"Yes",IF(P1328&gt;1,"Yes","No"))</f>
        <v>No</v>
      </c>
      <c r="S1328" s="501"/>
      <c r="T1328" s="478"/>
      <c r="U1328" s="501"/>
      <c r="V1328" s="479" t="str">
        <f>IF(R1328="No","No Twilight",IF(T1328="Yes","Uncomprehended Twilight",IF((Character!$B$14+IF(Character!$B$53="Yes",0,Character!$B$53)+IF(Magic!$C$5="Yes",2,0)+ROUNDUP((Magic!$B$30+IF(Magic!$C$30="Yes",3,0))/5,0)+S1328)&gt;=($D$3+P1328+SUMIF(Character!$I$62:$I$66,"Enigmatic Wisdom",Character!$J$62:$J$66)+Q1328+U1328),"No Twilight","Twilight")))</f>
        <v>No Twilight</v>
      </c>
      <c r="W1328" s="483"/>
      <c r="X1328" s="478"/>
      <c r="Y1328" s="484"/>
      <c r="Z1328" s="478"/>
      <c r="AA1328" s="485" t="str">
        <f>IF(V1328="Uncomprehended Twilight","Failed",IF(OR(ISBLANK(W1328),ISBLANK(Y1328))," ",IF(NOT(ISBLANK(X1328)),"Failed",IF((W1328+Character!$B$9+SUMIF(Character!$I$62:$I$66,"Enigmatic Wisdom",Character!$J$62:$J$66))&gt;=IF(Z1328="Yes",0,(Y1328+D1323)),"Succeeded","Failed"))))</f>
        <v xml:space="preserve"> </v>
      </c>
      <c r="AB1328" s="477" t="str">
        <f>IF(AA1328=" "," ",IF(NOT(ISBLANK(X1328)),VLOOKUP($D$3+X1328,Calcs!$A$110:$C$122,3,TRUE),IF(AA1328="Failed",VLOOKUP($D$3,Calcs!$A$110:$C$122,3,TRUE),VLOOKUP($D$3-(IF((Character!$B$9+W1328)&gt;($D$3+Y1328),(Character!$B$9+W1328)-($D$3+Y1328),0)),Calcs!$A$110:$C$122,3,TRUE))))</f>
        <v xml:space="preserve"> </v>
      </c>
      <c r="AC1328" s="489"/>
      <c r="AD1328" s="489" t="str">
        <f>IF(IF(AA1328=" "," ",IF(NOT(ISBLANK(X1328)),VLOOKUP($D$3+X1328,Calcs!$A$110:$B$122,2,TRUE),IF(AA1328="Failed",VLOOKUP($D$3,Calcs!$A$110:$B$122,2,TRUE),VLOOKUP($D$3-(IF((Character!$B$9+W1328)&gt;($D$3+Y1328),(Character!$B$9+W1328)-($D$3+Y1328),0)),Calcs!$A$110:$B$122,2,TRUE))))=Calcs!$B$120,IF(ISBLANK(AC1328)," ",CONCATENATE(AC1328+7," Years")),IF(AA1328=" "," ",IF(NOT(ISBLANK(X1328)),VLOOKUP($D$3+X1328,Calcs!$A$110:$B$122,2,TRUE),IF(AA1328="Failed",VLOOKUP($D$3,Calcs!$A$110:$B$122,2,TRUE),VLOOKUP($D$3-(IF((Character!$B$9+W1328)&gt;($D$3+Y1328),(Character!$B$9+W1328)-($D$3+Y1328),0)),Calcs!$A$110:$B$122,2,TRUE)))))</f>
        <v xml:space="preserve"> </v>
      </c>
      <c r="AE1328" s="490"/>
      <c r="AF1328" s="879"/>
      <c r="AG1328" s="491"/>
    </row>
    <row r="1329" spans="1:33" x14ac:dyDescent="0.2">
      <c r="A1329" s="415">
        <f t="shared" si="40"/>
        <v>1542</v>
      </c>
      <c r="B1329" s="419" t="str">
        <f t="shared" si="41"/>
        <v>Spring</v>
      </c>
      <c r="C1329" s="455"/>
      <c r="D1329" s="504"/>
      <c r="E1329" s="455"/>
      <c r="F1329" s="504"/>
      <c r="G1329" s="455"/>
      <c r="H1329" s="504"/>
      <c r="I1329" s="455"/>
      <c r="J1329" s="504"/>
      <c r="L1329" s="472"/>
      <c r="M1329" s="468"/>
      <c r="N1329" s="468"/>
      <c r="O1329" s="468"/>
      <c r="P1329" s="468"/>
      <c r="Q1329" s="473"/>
      <c r="R1329" s="477" t="str">
        <f>IF(AND(COUNTIF('Start Character'!$I$63:$M$77,"Twilight Prone")=1,NOT(ISERROR(FIND("Magical Botch",M1329)))),"Yes",IF(P1329&gt;1,"Yes","No"))</f>
        <v>No</v>
      </c>
      <c r="S1329" s="501"/>
      <c r="T1329" s="478"/>
      <c r="U1329" s="501"/>
      <c r="V1329" s="479" t="str">
        <f>IF(R1329="No","No Twilight",IF(T1329="Yes","Uncomprehended Twilight",IF((Character!$B$14+IF(Character!$B$53="Yes",0,Character!$B$53)+IF(Magic!$C$5="Yes",2,0)+ROUNDUP((Magic!$B$30+IF(Magic!$C$30="Yes",3,0))/5,0)+S1329)&gt;=($D$3+P1329+SUMIF(Character!$I$62:$I$66,"Enigmatic Wisdom",Character!$J$62:$J$66)+Q1329+U1329),"No Twilight","Twilight")))</f>
        <v>No Twilight</v>
      </c>
      <c r="W1329" s="483"/>
      <c r="X1329" s="478"/>
      <c r="Y1329" s="484"/>
      <c r="Z1329" s="478"/>
      <c r="AA1329" s="485" t="str">
        <f>IF(V1329="Uncomprehended Twilight","Failed",IF(OR(ISBLANK(W1329),ISBLANK(Y1329))," ",IF(NOT(ISBLANK(X1329)),"Failed",IF((W1329+Character!$B$9+SUMIF(Character!$I$62:$I$66,"Enigmatic Wisdom",Character!$J$62:$J$66))&gt;=IF(Z1329="Yes",0,(Y1329+D1324)),"Succeeded","Failed"))))</f>
        <v xml:space="preserve"> </v>
      </c>
      <c r="AB1329" s="477" t="str">
        <f>IF(AA1329=" "," ",IF(NOT(ISBLANK(X1329)),VLOOKUP($D$3+X1329,Calcs!$A$110:$C$122,3,TRUE),IF(AA1329="Failed",VLOOKUP($D$3,Calcs!$A$110:$C$122,3,TRUE),VLOOKUP($D$3-(IF((Character!$B$9+W1329)&gt;($D$3+Y1329),(Character!$B$9+W1329)-($D$3+Y1329),0)),Calcs!$A$110:$C$122,3,TRUE))))</f>
        <v xml:space="preserve"> </v>
      </c>
      <c r="AC1329" s="489"/>
      <c r="AD1329" s="489" t="str">
        <f>IF(IF(AA1329=" "," ",IF(NOT(ISBLANK(X1329)),VLOOKUP($D$3+X1329,Calcs!$A$110:$B$122,2,TRUE),IF(AA1329="Failed",VLOOKUP($D$3,Calcs!$A$110:$B$122,2,TRUE),VLOOKUP($D$3-(IF((Character!$B$9+W1329)&gt;($D$3+Y1329),(Character!$B$9+W1329)-($D$3+Y1329),0)),Calcs!$A$110:$B$122,2,TRUE))))=Calcs!$B$120,IF(ISBLANK(AC1329)," ",CONCATENATE(AC1329+7," Years")),IF(AA1329=" "," ",IF(NOT(ISBLANK(X1329)),VLOOKUP($D$3+X1329,Calcs!$A$110:$B$122,2,TRUE),IF(AA1329="Failed",VLOOKUP($D$3,Calcs!$A$110:$B$122,2,TRUE),VLOOKUP($D$3-(IF((Character!$B$9+W1329)&gt;($D$3+Y1329),(Character!$B$9+W1329)-($D$3+Y1329),0)),Calcs!$A$110:$B$122,2,TRUE)))))</f>
        <v xml:space="preserve"> </v>
      </c>
      <c r="AE1329" s="490"/>
      <c r="AF1329" s="879"/>
      <c r="AG1329" s="491"/>
    </row>
    <row r="1330" spans="1:33" x14ac:dyDescent="0.2">
      <c r="A1330" s="415">
        <f t="shared" si="40"/>
        <v>1542</v>
      </c>
      <c r="B1330" s="419" t="str">
        <f t="shared" si="41"/>
        <v>Summer</v>
      </c>
      <c r="C1330" s="455"/>
      <c r="D1330" s="504"/>
      <c r="E1330" s="455"/>
      <c r="F1330" s="504"/>
      <c r="G1330" s="455"/>
      <c r="H1330" s="504"/>
      <c r="I1330" s="455"/>
      <c r="J1330" s="504"/>
      <c r="L1330" s="472"/>
      <c r="M1330" s="468"/>
      <c r="N1330" s="468"/>
      <c r="O1330" s="468"/>
      <c r="P1330" s="468"/>
      <c r="Q1330" s="473"/>
      <c r="R1330" s="477" t="str">
        <f>IF(AND(COUNTIF('Start Character'!$I$63:$M$77,"Twilight Prone")=1,NOT(ISERROR(FIND("Magical Botch",M1330)))),"Yes",IF(P1330&gt;1,"Yes","No"))</f>
        <v>No</v>
      </c>
      <c r="S1330" s="501"/>
      <c r="T1330" s="478"/>
      <c r="U1330" s="501"/>
      <c r="V1330" s="479" t="str">
        <f>IF(R1330="No","No Twilight",IF(T1330="Yes","Uncomprehended Twilight",IF((Character!$B$14+IF(Character!$B$53="Yes",0,Character!$B$53)+IF(Magic!$C$5="Yes",2,0)+ROUNDUP((Magic!$B$30+IF(Magic!$C$30="Yes",3,0))/5,0)+S1330)&gt;=($D$3+P1330+SUMIF(Character!$I$62:$I$66,"Enigmatic Wisdom",Character!$J$62:$J$66)+Q1330+U1330),"No Twilight","Twilight")))</f>
        <v>No Twilight</v>
      </c>
      <c r="W1330" s="483"/>
      <c r="X1330" s="478"/>
      <c r="Y1330" s="484"/>
      <c r="Z1330" s="478"/>
      <c r="AA1330" s="485" t="str">
        <f>IF(V1330="Uncomprehended Twilight","Failed",IF(OR(ISBLANK(W1330),ISBLANK(Y1330))," ",IF(NOT(ISBLANK(X1330)),"Failed",IF((W1330+Character!$B$9+SUMIF(Character!$I$62:$I$66,"Enigmatic Wisdom",Character!$J$62:$J$66))&gt;=IF(Z1330="Yes",0,(Y1330+D1325)),"Succeeded","Failed"))))</f>
        <v xml:space="preserve"> </v>
      </c>
      <c r="AB1330" s="477" t="str">
        <f>IF(AA1330=" "," ",IF(NOT(ISBLANK(X1330)),VLOOKUP($D$3+X1330,Calcs!$A$110:$C$122,3,TRUE),IF(AA1330="Failed",VLOOKUP($D$3,Calcs!$A$110:$C$122,3,TRUE),VLOOKUP($D$3-(IF((Character!$B$9+W1330)&gt;($D$3+Y1330),(Character!$B$9+W1330)-($D$3+Y1330),0)),Calcs!$A$110:$C$122,3,TRUE))))</f>
        <v xml:space="preserve"> </v>
      </c>
      <c r="AC1330" s="489"/>
      <c r="AD1330" s="489" t="str">
        <f>IF(IF(AA1330=" "," ",IF(NOT(ISBLANK(X1330)),VLOOKUP($D$3+X1330,Calcs!$A$110:$B$122,2,TRUE),IF(AA1330="Failed",VLOOKUP($D$3,Calcs!$A$110:$B$122,2,TRUE),VLOOKUP($D$3-(IF((Character!$B$9+W1330)&gt;($D$3+Y1330),(Character!$B$9+W1330)-($D$3+Y1330),0)),Calcs!$A$110:$B$122,2,TRUE))))=Calcs!$B$120,IF(ISBLANK(AC1330)," ",CONCATENATE(AC1330+7," Years")),IF(AA1330=" "," ",IF(NOT(ISBLANK(X1330)),VLOOKUP($D$3+X1330,Calcs!$A$110:$B$122,2,TRUE),IF(AA1330="Failed",VLOOKUP($D$3,Calcs!$A$110:$B$122,2,TRUE),VLOOKUP($D$3-(IF((Character!$B$9+W1330)&gt;($D$3+Y1330),(Character!$B$9+W1330)-($D$3+Y1330),0)),Calcs!$A$110:$B$122,2,TRUE)))))</f>
        <v xml:space="preserve"> </v>
      </c>
      <c r="AE1330" s="490"/>
      <c r="AF1330" s="879"/>
      <c r="AG1330" s="491"/>
    </row>
    <row r="1331" spans="1:33" x14ac:dyDescent="0.2">
      <c r="A1331" s="415">
        <f t="shared" si="40"/>
        <v>1542</v>
      </c>
      <c r="B1331" s="419" t="str">
        <f t="shared" si="41"/>
        <v>Autumn</v>
      </c>
      <c r="C1331" s="455"/>
      <c r="D1331" s="504"/>
      <c r="E1331" s="455"/>
      <c r="F1331" s="504"/>
      <c r="G1331" s="455"/>
      <c r="H1331" s="504"/>
      <c r="I1331" s="455"/>
      <c r="J1331" s="504"/>
      <c r="L1331" s="472"/>
      <c r="M1331" s="468"/>
      <c r="N1331" s="468"/>
      <c r="O1331" s="468"/>
      <c r="P1331" s="468"/>
      <c r="Q1331" s="473"/>
      <c r="R1331" s="477" t="str">
        <f>IF(AND(COUNTIF('Start Character'!$I$63:$M$77,"Twilight Prone")=1,NOT(ISERROR(FIND("Magical Botch",M1331)))),"Yes",IF(P1331&gt;1,"Yes","No"))</f>
        <v>No</v>
      </c>
      <c r="S1331" s="501"/>
      <c r="T1331" s="478"/>
      <c r="U1331" s="501"/>
      <c r="V1331" s="479" t="str">
        <f>IF(R1331="No","No Twilight",IF(T1331="Yes","Uncomprehended Twilight",IF((Character!$B$14+IF(Character!$B$53="Yes",0,Character!$B$53)+IF(Magic!$C$5="Yes",2,0)+ROUNDUP((Magic!$B$30+IF(Magic!$C$30="Yes",3,0))/5,0)+S1331)&gt;=($D$3+P1331+SUMIF(Character!$I$62:$I$66,"Enigmatic Wisdom",Character!$J$62:$J$66)+Q1331+U1331),"No Twilight","Twilight")))</f>
        <v>No Twilight</v>
      </c>
      <c r="W1331" s="483"/>
      <c r="X1331" s="478"/>
      <c r="Y1331" s="484"/>
      <c r="Z1331" s="478"/>
      <c r="AA1331" s="485" t="str">
        <f>IF(V1331="Uncomprehended Twilight","Failed",IF(OR(ISBLANK(W1331),ISBLANK(Y1331))," ",IF(NOT(ISBLANK(X1331)),"Failed",IF((W1331+Character!$B$9+SUMIF(Character!$I$62:$I$66,"Enigmatic Wisdom",Character!$J$62:$J$66))&gt;=IF(Z1331="Yes",0,(Y1331+D1326)),"Succeeded","Failed"))))</f>
        <v xml:space="preserve"> </v>
      </c>
      <c r="AB1331" s="477" t="str">
        <f>IF(AA1331=" "," ",IF(NOT(ISBLANK(X1331)),VLOOKUP($D$3+X1331,Calcs!$A$110:$C$122,3,TRUE),IF(AA1331="Failed",VLOOKUP($D$3,Calcs!$A$110:$C$122,3,TRUE),VLOOKUP($D$3-(IF((Character!$B$9+W1331)&gt;($D$3+Y1331),(Character!$B$9+W1331)-($D$3+Y1331),0)),Calcs!$A$110:$C$122,3,TRUE))))</f>
        <v xml:space="preserve"> </v>
      </c>
      <c r="AC1331" s="489"/>
      <c r="AD1331" s="489" t="str">
        <f>IF(IF(AA1331=" "," ",IF(NOT(ISBLANK(X1331)),VLOOKUP($D$3+X1331,Calcs!$A$110:$B$122,2,TRUE),IF(AA1331="Failed",VLOOKUP($D$3,Calcs!$A$110:$B$122,2,TRUE),VLOOKUP($D$3-(IF((Character!$B$9+W1331)&gt;($D$3+Y1331),(Character!$B$9+W1331)-($D$3+Y1331),0)),Calcs!$A$110:$B$122,2,TRUE))))=Calcs!$B$120,IF(ISBLANK(AC1331)," ",CONCATENATE(AC1331+7," Years")),IF(AA1331=" "," ",IF(NOT(ISBLANK(X1331)),VLOOKUP($D$3+X1331,Calcs!$A$110:$B$122,2,TRUE),IF(AA1331="Failed",VLOOKUP($D$3,Calcs!$A$110:$B$122,2,TRUE),VLOOKUP($D$3-(IF((Character!$B$9+W1331)&gt;($D$3+Y1331),(Character!$B$9+W1331)-($D$3+Y1331),0)),Calcs!$A$110:$B$122,2,TRUE)))))</f>
        <v xml:space="preserve"> </v>
      </c>
      <c r="AE1331" s="490"/>
      <c r="AF1331" s="879"/>
      <c r="AG1331" s="491"/>
    </row>
    <row r="1332" spans="1:33" x14ac:dyDescent="0.2">
      <c r="A1332" s="415">
        <f t="shared" si="40"/>
        <v>1543</v>
      </c>
      <c r="B1332" s="419" t="str">
        <f t="shared" si="41"/>
        <v>Winter</v>
      </c>
      <c r="C1332" s="455"/>
      <c r="D1332" s="504"/>
      <c r="E1332" s="455"/>
      <c r="F1332" s="504"/>
      <c r="G1332" s="455"/>
      <c r="H1332" s="504"/>
      <c r="I1332" s="455"/>
      <c r="J1332" s="504"/>
      <c r="L1332" s="472"/>
      <c r="M1332" s="468"/>
      <c r="N1332" s="468"/>
      <c r="O1332" s="468"/>
      <c r="P1332" s="468"/>
      <c r="Q1332" s="473"/>
      <c r="R1332" s="477" t="str">
        <f>IF(AND(COUNTIF('Start Character'!$I$63:$M$77,"Twilight Prone")=1,NOT(ISERROR(FIND("Magical Botch",M1332)))),"Yes",IF(P1332&gt;1,"Yes","No"))</f>
        <v>No</v>
      </c>
      <c r="S1332" s="501"/>
      <c r="T1332" s="478"/>
      <c r="U1332" s="501"/>
      <c r="V1332" s="479" t="str">
        <f>IF(R1332="No","No Twilight",IF(T1332="Yes","Uncomprehended Twilight",IF((Character!$B$14+IF(Character!$B$53="Yes",0,Character!$B$53)+IF(Magic!$C$5="Yes",2,0)+ROUNDUP((Magic!$B$30+IF(Magic!$C$30="Yes",3,0))/5,0)+S1332)&gt;=($D$3+P1332+SUMIF(Character!$I$62:$I$66,"Enigmatic Wisdom",Character!$J$62:$J$66)+Q1332+U1332),"No Twilight","Twilight")))</f>
        <v>No Twilight</v>
      </c>
      <c r="W1332" s="483"/>
      <c r="X1332" s="478"/>
      <c r="Y1332" s="484"/>
      <c r="Z1332" s="478"/>
      <c r="AA1332" s="485" t="str">
        <f>IF(V1332="Uncomprehended Twilight","Failed",IF(OR(ISBLANK(W1332),ISBLANK(Y1332))," ",IF(NOT(ISBLANK(X1332)),"Failed",IF((W1332+Character!$B$9+SUMIF(Character!$I$62:$I$66,"Enigmatic Wisdom",Character!$J$62:$J$66))&gt;=IF(Z1332="Yes",0,(Y1332+D1327)),"Succeeded","Failed"))))</f>
        <v xml:space="preserve"> </v>
      </c>
      <c r="AB1332" s="477" t="str">
        <f>IF(AA1332=" "," ",IF(NOT(ISBLANK(X1332)),VLOOKUP($D$3+X1332,Calcs!$A$110:$C$122,3,TRUE),IF(AA1332="Failed",VLOOKUP($D$3,Calcs!$A$110:$C$122,3,TRUE),VLOOKUP($D$3-(IF((Character!$B$9+W1332)&gt;($D$3+Y1332),(Character!$B$9+W1332)-($D$3+Y1332),0)),Calcs!$A$110:$C$122,3,TRUE))))</f>
        <v xml:space="preserve"> </v>
      </c>
      <c r="AC1332" s="489"/>
      <c r="AD1332" s="489" t="str">
        <f>IF(IF(AA1332=" "," ",IF(NOT(ISBLANK(X1332)),VLOOKUP($D$3+X1332,Calcs!$A$110:$B$122,2,TRUE),IF(AA1332="Failed",VLOOKUP($D$3,Calcs!$A$110:$B$122,2,TRUE),VLOOKUP($D$3-(IF((Character!$B$9+W1332)&gt;($D$3+Y1332),(Character!$B$9+W1332)-($D$3+Y1332),0)),Calcs!$A$110:$B$122,2,TRUE))))=Calcs!$B$120,IF(ISBLANK(AC1332)," ",CONCATENATE(AC1332+7," Years")),IF(AA1332=" "," ",IF(NOT(ISBLANK(X1332)),VLOOKUP($D$3+X1332,Calcs!$A$110:$B$122,2,TRUE),IF(AA1332="Failed",VLOOKUP($D$3,Calcs!$A$110:$B$122,2,TRUE),VLOOKUP($D$3-(IF((Character!$B$9+W1332)&gt;($D$3+Y1332),(Character!$B$9+W1332)-($D$3+Y1332),0)),Calcs!$A$110:$B$122,2,TRUE)))))</f>
        <v xml:space="preserve"> </v>
      </c>
      <c r="AE1332" s="490"/>
      <c r="AF1332" s="879"/>
      <c r="AG1332" s="491"/>
    </row>
    <row r="1333" spans="1:33" x14ac:dyDescent="0.2">
      <c r="A1333" s="415">
        <f t="shared" si="40"/>
        <v>1543</v>
      </c>
      <c r="B1333" s="419" t="str">
        <f t="shared" si="41"/>
        <v>Spring</v>
      </c>
      <c r="C1333" s="455"/>
      <c r="D1333" s="504"/>
      <c r="E1333" s="455"/>
      <c r="F1333" s="504"/>
      <c r="G1333" s="455"/>
      <c r="H1333" s="504"/>
      <c r="I1333" s="455"/>
      <c r="J1333" s="504"/>
      <c r="L1333" s="472"/>
      <c r="M1333" s="468"/>
      <c r="N1333" s="468"/>
      <c r="O1333" s="468"/>
      <c r="P1333" s="468"/>
      <c r="Q1333" s="473"/>
      <c r="R1333" s="477" t="str">
        <f>IF(AND(COUNTIF('Start Character'!$I$63:$M$77,"Twilight Prone")=1,NOT(ISERROR(FIND("Magical Botch",M1333)))),"Yes",IF(P1333&gt;1,"Yes","No"))</f>
        <v>No</v>
      </c>
      <c r="S1333" s="501"/>
      <c r="T1333" s="478"/>
      <c r="U1333" s="501"/>
      <c r="V1333" s="479" t="str">
        <f>IF(R1333="No","No Twilight",IF(T1333="Yes","Uncomprehended Twilight",IF((Character!$B$14+IF(Character!$B$53="Yes",0,Character!$B$53)+IF(Magic!$C$5="Yes",2,0)+ROUNDUP((Magic!$B$30+IF(Magic!$C$30="Yes",3,0))/5,0)+S1333)&gt;=($D$3+P1333+SUMIF(Character!$I$62:$I$66,"Enigmatic Wisdom",Character!$J$62:$J$66)+Q1333+U1333),"No Twilight","Twilight")))</f>
        <v>No Twilight</v>
      </c>
      <c r="W1333" s="483"/>
      <c r="X1333" s="478"/>
      <c r="Y1333" s="484"/>
      <c r="Z1333" s="478"/>
      <c r="AA1333" s="485" t="str">
        <f>IF(V1333="Uncomprehended Twilight","Failed",IF(OR(ISBLANK(W1333),ISBLANK(Y1333))," ",IF(NOT(ISBLANK(X1333)),"Failed",IF((W1333+Character!$B$9+SUMIF(Character!$I$62:$I$66,"Enigmatic Wisdom",Character!$J$62:$J$66))&gt;=IF(Z1333="Yes",0,(Y1333+D1328)),"Succeeded","Failed"))))</f>
        <v xml:space="preserve"> </v>
      </c>
      <c r="AB1333" s="477" t="str">
        <f>IF(AA1333=" "," ",IF(NOT(ISBLANK(X1333)),VLOOKUP($D$3+X1333,Calcs!$A$110:$C$122,3,TRUE),IF(AA1333="Failed",VLOOKUP($D$3,Calcs!$A$110:$C$122,3,TRUE),VLOOKUP($D$3-(IF((Character!$B$9+W1333)&gt;($D$3+Y1333),(Character!$B$9+W1333)-($D$3+Y1333),0)),Calcs!$A$110:$C$122,3,TRUE))))</f>
        <v xml:space="preserve"> </v>
      </c>
      <c r="AC1333" s="489"/>
      <c r="AD1333" s="489" t="str">
        <f>IF(IF(AA1333=" "," ",IF(NOT(ISBLANK(X1333)),VLOOKUP($D$3+X1333,Calcs!$A$110:$B$122,2,TRUE),IF(AA1333="Failed",VLOOKUP($D$3,Calcs!$A$110:$B$122,2,TRUE),VLOOKUP($D$3-(IF((Character!$B$9+W1333)&gt;($D$3+Y1333),(Character!$B$9+W1333)-($D$3+Y1333),0)),Calcs!$A$110:$B$122,2,TRUE))))=Calcs!$B$120,IF(ISBLANK(AC1333)," ",CONCATENATE(AC1333+7," Years")),IF(AA1333=" "," ",IF(NOT(ISBLANK(X1333)),VLOOKUP($D$3+X1333,Calcs!$A$110:$B$122,2,TRUE),IF(AA1333="Failed",VLOOKUP($D$3,Calcs!$A$110:$B$122,2,TRUE),VLOOKUP($D$3-(IF((Character!$B$9+W1333)&gt;($D$3+Y1333),(Character!$B$9+W1333)-($D$3+Y1333),0)),Calcs!$A$110:$B$122,2,TRUE)))))</f>
        <v xml:space="preserve"> </v>
      </c>
      <c r="AE1333" s="490"/>
      <c r="AF1333" s="879"/>
      <c r="AG1333" s="491"/>
    </row>
    <row r="1334" spans="1:33" x14ac:dyDescent="0.2">
      <c r="A1334" s="415">
        <f t="shared" si="40"/>
        <v>1543</v>
      </c>
      <c r="B1334" s="419" t="str">
        <f t="shared" si="41"/>
        <v>Summer</v>
      </c>
      <c r="C1334" s="455"/>
      <c r="D1334" s="504"/>
      <c r="E1334" s="455"/>
      <c r="F1334" s="504"/>
      <c r="G1334" s="455"/>
      <c r="H1334" s="504"/>
      <c r="I1334" s="455"/>
      <c r="J1334" s="504"/>
      <c r="L1334" s="472"/>
      <c r="M1334" s="468"/>
      <c r="N1334" s="468"/>
      <c r="O1334" s="468"/>
      <c r="P1334" s="468"/>
      <c r="Q1334" s="473"/>
      <c r="R1334" s="477" t="str">
        <f>IF(AND(COUNTIF('Start Character'!$I$63:$M$77,"Twilight Prone")=1,NOT(ISERROR(FIND("Magical Botch",M1334)))),"Yes",IF(P1334&gt;1,"Yes","No"))</f>
        <v>No</v>
      </c>
      <c r="S1334" s="501"/>
      <c r="T1334" s="478"/>
      <c r="U1334" s="501"/>
      <c r="V1334" s="479" t="str">
        <f>IF(R1334="No","No Twilight",IF(T1334="Yes","Uncomprehended Twilight",IF((Character!$B$14+IF(Character!$B$53="Yes",0,Character!$B$53)+IF(Magic!$C$5="Yes",2,0)+ROUNDUP((Magic!$B$30+IF(Magic!$C$30="Yes",3,0))/5,0)+S1334)&gt;=($D$3+P1334+SUMIF(Character!$I$62:$I$66,"Enigmatic Wisdom",Character!$J$62:$J$66)+Q1334+U1334),"No Twilight","Twilight")))</f>
        <v>No Twilight</v>
      </c>
      <c r="W1334" s="483"/>
      <c r="X1334" s="478"/>
      <c r="Y1334" s="484"/>
      <c r="Z1334" s="478"/>
      <c r="AA1334" s="485" t="str">
        <f>IF(V1334="Uncomprehended Twilight","Failed",IF(OR(ISBLANK(W1334),ISBLANK(Y1334))," ",IF(NOT(ISBLANK(X1334)),"Failed",IF((W1334+Character!$B$9+SUMIF(Character!$I$62:$I$66,"Enigmatic Wisdom",Character!$J$62:$J$66))&gt;=IF(Z1334="Yes",0,(Y1334+D1329)),"Succeeded","Failed"))))</f>
        <v xml:space="preserve"> </v>
      </c>
      <c r="AB1334" s="477" t="str">
        <f>IF(AA1334=" "," ",IF(NOT(ISBLANK(X1334)),VLOOKUP($D$3+X1334,Calcs!$A$110:$C$122,3,TRUE),IF(AA1334="Failed",VLOOKUP($D$3,Calcs!$A$110:$C$122,3,TRUE),VLOOKUP($D$3-(IF((Character!$B$9+W1334)&gt;($D$3+Y1334),(Character!$B$9+W1334)-($D$3+Y1334),0)),Calcs!$A$110:$C$122,3,TRUE))))</f>
        <v xml:space="preserve"> </v>
      </c>
      <c r="AC1334" s="489"/>
      <c r="AD1334" s="489" t="str">
        <f>IF(IF(AA1334=" "," ",IF(NOT(ISBLANK(X1334)),VLOOKUP($D$3+X1334,Calcs!$A$110:$B$122,2,TRUE),IF(AA1334="Failed",VLOOKUP($D$3,Calcs!$A$110:$B$122,2,TRUE),VLOOKUP($D$3-(IF((Character!$B$9+W1334)&gt;($D$3+Y1334),(Character!$B$9+W1334)-($D$3+Y1334),0)),Calcs!$A$110:$B$122,2,TRUE))))=Calcs!$B$120,IF(ISBLANK(AC1334)," ",CONCATENATE(AC1334+7," Years")),IF(AA1334=" "," ",IF(NOT(ISBLANK(X1334)),VLOOKUP($D$3+X1334,Calcs!$A$110:$B$122,2,TRUE),IF(AA1334="Failed",VLOOKUP($D$3,Calcs!$A$110:$B$122,2,TRUE),VLOOKUP($D$3-(IF((Character!$B$9+W1334)&gt;($D$3+Y1334),(Character!$B$9+W1334)-($D$3+Y1334),0)),Calcs!$A$110:$B$122,2,TRUE)))))</f>
        <v xml:space="preserve"> </v>
      </c>
      <c r="AE1334" s="490"/>
      <c r="AF1334" s="879"/>
      <c r="AG1334" s="491"/>
    </row>
    <row r="1335" spans="1:33" x14ac:dyDescent="0.2">
      <c r="A1335" s="415">
        <f t="shared" si="40"/>
        <v>1543</v>
      </c>
      <c r="B1335" s="419" t="str">
        <f t="shared" si="41"/>
        <v>Autumn</v>
      </c>
      <c r="C1335" s="455"/>
      <c r="D1335" s="504"/>
      <c r="E1335" s="455"/>
      <c r="F1335" s="504"/>
      <c r="G1335" s="455"/>
      <c r="H1335" s="504"/>
      <c r="I1335" s="455"/>
      <c r="J1335" s="504"/>
      <c r="L1335" s="472"/>
      <c r="M1335" s="468"/>
      <c r="N1335" s="468"/>
      <c r="O1335" s="468"/>
      <c r="P1335" s="468"/>
      <c r="Q1335" s="473"/>
      <c r="R1335" s="477" t="str">
        <f>IF(AND(COUNTIF('Start Character'!$I$63:$M$77,"Twilight Prone")=1,NOT(ISERROR(FIND("Magical Botch",M1335)))),"Yes",IF(P1335&gt;1,"Yes","No"))</f>
        <v>No</v>
      </c>
      <c r="S1335" s="501"/>
      <c r="T1335" s="478"/>
      <c r="U1335" s="501"/>
      <c r="V1335" s="479" t="str">
        <f>IF(R1335="No","No Twilight",IF(T1335="Yes","Uncomprehended Twilight",IF((Character!$B$14+IF(Character!$B$53="Yes",0,Character!$B$53)+IF(Magic!$C$5="Yes",2,0)+ROUNDUP((Magic!$B$30+IF(Magic!$C$30="Yes",3,0))/5,0)+S1335)&gt;=($D$3+P1335+SUMIF(Character!$I$62:$I$66,"Enigmatic Wisdom",Character!$J$62:$J$66)+Q1335+U1335),"No Twilight","Twilight")))</f>
        <v>No Twilight</v>
      </c>
      <c r="W1335" s="483"/>
      <c r="X1335" s="478"/>
      <c r="Y1335" s="484"/>
      <c r="Z1335" s="478"/>
      <c r="AA1335" s="485" t="str">
        <f>IF(V1335="Uncomprehended Twilight","Failed",IF(OR(ISBLANK(W1335),ISBLANK(Y1335))," ",IF(NOT(ISBLANK(X1335)),"Failed",IF((W1335+Character!$B$9+SUMIF(Character!$I$62:$I$66,"Enigmatic Wisdom",Character!$J$62:$J$66))&gt;=IF(Z1335="Yes",0,(Y1335+D1330)),"Succeeded","Failed"))))</f>
        <v xml:space="preserve"> </v>
      </c>
      <c r="AB1335" s="477" t="str">
        <f>IF(AA1335=" "," ",IF(NOT(ISBLANK(X1335)),VLOOKUP($D$3+X1335,Calcs!$A$110:$C$122,3,TRUE),IF(AA1335="Failed",VLOOKUP($D$3,Calcs!$A$110:$C$122,3,TRUE),VLOOKUP($D$3-(IF((Character!$B$9+W1335)&gt;($D$3+Y1335),(Character!$B$9+W1335)-($D$3+Y1335),0)),Calcs!$A$110:$C$122,3,TRUE))))</f>
        <v xml:space="preserve"> </v>
      </c>
      <c r="AC1335" s="489"/>
      <c r="AD1335" s="489" t="str">
        <f>IF(IF(AA1335=" "," ",IF(NOT(ISBLANK(X1335)),VLOOKUP($D$3+X1335,Calcs!$A$110:$B$122,2,TRUE),IF(AA1335="Failed",VLOOKUP($D$3,Calcs!$A$110:$B$122,2,TRUE),VLOOKUP($D$3-(IF((Character!$B$9+W1335)&gt;($D$3+Y1335),(Character!$B$9+W1335)-($D$3+Y1335),0)),Calcs!$A$110:$B$122,2,TRUE))))=Calcs!$B$120,IF(ISBLANK(AC1335)," ",CONCATENATE(AC1335+7," Years")),IF(AA1335=" "," ",IF(NOT(ISBLANK(X1335)),VLOOKUP($D$3+X1335,Calcs!$A$110:$B$122,2,TRUE),IF(AA1335="Failed",VLOOKUP($D$3,Calcs!$A$110:$B$122,2,TRUE),VLOOKUP($D$3-(IF((Character!$B$9+W1335)&gt;($D$3+Y1335),(Character!$B$9+W1335)-($D$3+Y1335),0)),Calcs!$A$110:$B$122,2,TRUE)))))</f>
        <v xml:space="preserve"> </v>
      </c>
      <c r="AE1335" s="490"/>
      <c r="AF1335" s="879"/>
      <c r="AG1335" s="491"/>
    </row>
    <row r="1336" spans="1:33" x14ac:dyDescent="0.2">
      <c r="A1336" s="415">
        <f t="shared" si="40"/>
        <v>1544</v>
      </c>
      <c r="B1336" s="419" t="str">
        <f t="shared" si="41"/>
        <v>Winter</v>
      </c>
      <c r="C1336" s="455"/>
      <c r="D1336" s="504"/>
      <c r="E1336" s="455"/>
      <c r="F1336" s="504"/>
      <c r="G1336" s="455"/>
      <c r="H1336" s="504"/>
      <c r="I1336" s="455"/>
      <c r="J1336" s="504"/>
      <c r="L1336" s="472"/>
      <c r="M1336" s="468"/>
      <c r="N1336" s="468"/>
      <c r="O1336" s="468"/>
      <c r="P1336" s="468"/>
      <c r="Q1336" s="473"/>
      <c r="R1336" s="477" t="str">
        <f>IF(AND(COUNTIF('Start Character'!$I$63:$M$77,"Twilight Prone")=1,NOT(ISERROR(FIND("Magical Botch",M1336)))),"Yes",IF(P1336&gt;1,"Yes","No"))</f>
        <v>No</v>
      </c>
      <c r="S1336" s="501"/>
      <c r="T1336" s="478"/>
      <c r="U1336" s="501"/>
      <c r="V1336" s="479" t="str">
        <f>IF(R1336="No","No Twilight",IF(T1336="Yes","Uncomprehended Twilight",IF((Character!$B$14+IF(Character!$B$53="Yes",0,Character!$B$53)+IF(Magic!$C$5="Yes",2,0)+ROUNDUP((Magic!$B$30+IF(Magic!$C$30="Yes",3,0))/5,0)+S1336)&gt;=($D$3+P1336+SUMIF(Character!$I$62:$I$66,"Enigmatic Wisdom",Character!$J$62:$J$66)+Q1336+U1336),"No Twilight","Twilight")))</f>
        <v>No Twilight</v>
      </c>
      <c r="W1336" s="483"/>
      <c r="X1336" s="478"/>
      <c r="Y1336" s="484"/>
      <c r="Z1336" s="478"/>
      <c r="AA1336" s="485" t="str">
        <f>IF(V1336="Uncomprehended Twilight","Failed",IF(OR(ISBLANK(W1336),ISBLANK(Y1336))," ",IF(NOT(ISBLANK(X1336)),"Failed",IF((W1336+Character!$B$9+SUMIF(Character!$I$62:$I$66,"Enigmatic Wisdom",Character!$J$62:$J$66))&gt;=IF(Z1336="Yes",0,(Y1336+D1331)),"Succeeded","Failed"))))</f>
        <v xml:space="preserve"> </v>
      </c>
      <c r="AB1336" s="477" t="str">
        <f>IF(AA1336=" "," ",IF(NOT(ISBLANK(X1336)),VLOOKUP($D$3+X1336,Calcs!$A$110:$C$122,3,TRUE),IF(AA1336="Failed",VLOOKUP($D$3,Calcs!$A$110:$C$122,3,TRUE),VLOOKUP($D$3-(IF((Character!$B$9+W1336)&gt;($D$3+Y1336),(Character!$B$9+W1336)-($D$3+Y1336),0)),Calcs!$A$110:$C$122,3,TRUE))))</f>
        <v xml:space="preserve"> </v>
      </c>
      <c r="AC1336" s="489"/>
      <c r="AD1336" s="489" t="str">
        <f>IF(IF(AA1336=" "," ",IF(NOT(ISBLANK(X1336)),VLOOKUP($D$3+X1336,Calcs!$A$110:$B$122,2,TRUE),IF(AA1336="Failed",VLOOKUP($D$3,Calcs!$A$110:$B$122,2,TRUE),VLOOKUP($D$3-(IF((Character!$B$9+W1336)&gt;($D$3+Y1336),(Character!$B$9+W1336)-($D$3+Y1336),0)),Calcs!$A$110:$B$122,2,TRUE))))=Calcs!$B$120,IF(ISBLANK(AC1336)," ",CONCATENATE(AC1336+7," Years")),IF(AA1336=" "," ",IF(NOT(ISBLANK(X1336)),VLOOKUP($D$3+X1336,Calcs!$A$110:$B$122,2,TRUE),IF(AA1336="Failed",VLOOKUP($D$3,Calcs!$A$110:$B$122,2,TRUE),VLOOKUP($D$3-(IF((Character!$B$9+W1336)&gt;($D$3+Y1336),(Character!$B$9+W1336)-($D$3+Y1336),0)),Calcs!$A$110:$B$122,2,TRUE)))))</f>
        <v xml:space="preserve"> </v>
      </c>
      <c r="AE1336" s="490"/>
      <c r="AF1336" s="879"/>
      <c r="AG1336" s="491"/>
    </row>
    <row r="1337" spans="1:33" x14ac:dyDescent="0.2">
      <c r="A1337" s="415">
        <f t="shared" si="40"/>
        <v>1544</v>
      </c>
      <c r="B1337" s="419" t="str">
        <f t="shared" si="41"/>
        <v>Spring</v>
      </c>
      <c r="C1337" s="455"/>
      <c r="D1337" s="504"/>
      <c r="E1337" s="455"/>
      <c r="F1337" s="504"/>
      <c r="G1337" s="455"/>
      <c r="H1337" s="504"/>
      <c r="I1337" s="455"/>
      <c r="J1337" s="504"/>
      <c r="L1337" s="472"/>
      <c r="M1337" s="468"/>
      <c r="N1337" s="468"/>
      <c r="O1337" s="468"/>
      <c r="P1337" s="468"/>
      <c r="Q1337" s="473"/>
      <c r="R1337" s="477" t="str">
        <f>IF(AND(COUNTIF('Start Character'!$I$63:$M$77,"Twilight Prone")=1,NOT(ISERROR(FIND("Magical Botch",M1337)))),"Yes",IF(P1337&gt;1,"Yes","No"))</f>
        <v>No</v>
      </c>
      <c r="S1337" s="501"/>
      <c r="T1337" s="478"/>
      <c r="U1337" s="501"/>
      <c r="V1337" s="479" t="str">
        <f>IF(R1337="No","No Twilight",IF(T1337="Yes","Uncomprehended Twilight",IF((Character!$B$14+IF(Character!$B$53="Yes",0,Character!$B$53)+IF(Magic!$C$5="Yes",2,0)+ROUNDUP((Magic!$B$30+IF(Magic!$C$30="Yes",3,0))/5,0)+S1337)&gt;=($D$3+P1337+SUMIF(Character!$I$62:$I$66,"Enigmatic Wisdom",Character!$J$62:$J$66)+Q1337+U1337),"No Twilight","Twilight")))</f>
        <v>No Twilight</v>
      </c>
      <c r="W1337" s="483"/>
      <c r="X1337" s="478"/>
      <c r="Y1337" s="484"/>
      <c r="Z1337" s="478"/>
      <c r="AA1337" s="485" t="str">
        <f>IF(V1337="Uncomprehended Twilight","Failed",IF(OR(ISBLANK(W1337),ISBLANK(Y1337))," ",IF(NOT(ISBLANK(X1337)),"Failed",IF((W1337+Character!$B$9+SUMIF(Character!$I$62:$I$66,"Enigmatic Wisdom",Character!$J$62:$J$66))&gt;=IF(Z1337="Yes",0,(Y1337+D1332)),"Succeeded","Failed"))))</f>
        <v xml:space="preserve"> </v>
      </c>
      <c r="AB1337" s="477" t="str">
        <f>IF(AA1337=" "," ",IF(NOT(ISBLANK(X1337)),VLOOKUP($D$3+X1337,Calcs!$A$110:$C$122,3,TRUE),IF(AA1337="Failed",VLOOKUP($D$3,Calcs!$A$110:$C$122,3,TRUE),VLOOKUP($D$3-(IF((Character!$B$9+W1337)&gt;($D$3+Y1337),(Character!$B$9+W1337)-($D$3+Y1337),0)),Calcs!$A$110:$C$122,3,TRUE))))</f>
        <v xml:space="preserve"> </v>
      </c>
      <c r="AC1337" s="489"/>
      <c r="AD1337" s="489" t="str">
        <f>IF(IF(AA1337=" "," ",IF(NOT(ISBLANK(X1337)),VLOOKUP($D$3+X1337,Calcs!$A$110:$B$122,2,TRUE),IF(AA1337="Failed",VLOOKUP($D$3,Calcs!$A$110:$B$122,2,TRUE),VLOOKUP($D$3-(IF((Character!$B$9+W1337)&gt;($D$3+Y1337),(Character!$B$9+W1337)-($D$3+Y1337),0)),Calcs!$A$110:$B$122,2,TRUE))))=Calcs!$B$120,IF(ISBLANK(AC1337)," ",CONCATENATE(AC1337+7," Years")),IF(AA1337=" "," ",IF(NOT(ISBLANK(X1337)),VLOOKUP($D$3+X1337,Calcs!$A$110:$B$122,2,TRUE),IF(AA1337="Failed",VLOOKUP($D$3,Calcs!$A$110:$B$122,2,TRUE),VLOOKUP($D$3-(IF((Character!$B$9+W1337)&gt;($D$3+Y1337),(Character!$B$9+W1337)-($D$3+Y1337),0)),Calcs!$A$110:$B$122,2,TRUE)))))</f>
        <v xml:space="preserve"> </v>
      </c>
      <c r="AE1337" s="490"/>
      <c r="AF1337" s="879"/>
      <c r="AG1337" s="491"/>
    </row>
    <row r="1338" spans="1:33" x14ac:dyDescent="0.2">
      <c r="A1338" s="415">
        <f t="shared" si="40"/>
        <v>1544</v>
      </c>
      <c r="B1338" s="419" t="str">
        <f t="shared" si="41"/>
        <v>Summer</v>
      </c>
      <c r="C1338" s="455"/>
      <c r="D1338" s="504"/>
      <c r="E1338" s="455"/>
      <c r="F1338" s="504"/>
      <c r="G1338" s="455"/>
      <c r="H1338" s="504"/>
      <c r="I1338" s="455"/>
      <c r="J1338" s="504"/>
      <c r="L1338" s="472"/>
      <c r="M1338" s="468"/>
      <c r="N1338" s="468"/>
      <c r="O1338" s="468"/>
      <c r="P1338" s="468"/>
      <c r="Q1338" s="473"/>
      <c r="R1338" s="477" t="str">
        <f>IF(AND(COUNTIF('Start Character'!$I$63:$M$77,"Twilight Prone")=1,NOT(ISERROR(FIND("Magical Botch",M1338)))),"Yes",IF(P1338&gt;1,"Yes","No"))</f>
        <v>No</v>
      </c>
      <c r="S1338" s="501"/>
      <c r="T1338" s="478"/>
      <c r="U1338" s="501"/>
      <c r="V1338" s="479" t="str">
        <f>IF(R1338="No","No Twilight",IF(T1338="Yes","Uncomprehended Twilight",IF((Character!$B$14+IF(Character!$B$53="Yes",0,Character!$B$53)+IF(Magic!$C$5="Yes",2,0)+ROUNDUP((Magic!$B$30+IF(Magic!$C$30="Yes",3,0))/5,0)+S1338)&gt;=($D$3+P1338+SUMIF(Character!$I$62:$I$66,"Enigmatic Wisdom",Character!$J$62:$J$66)+Q1338+U1338),"No Twilight","Twilight")))</f>
        <v>No Twilight</v>
      </c>
      <c r="W1338" s="483"/>
      <c r="X1338" s="478"/>
      <c r="Y1338" s="484"/>
      <c r="Z1338" s="478"/>
      <c r="AA1338" s="485" t="str">
        <f>IF(V1338="Uncomprehended Twilight","Failed",IF(OR(ISBLANK(W1338),ISBLANK(Y1338))," ",IF(NOT(ISBLANK(X1338)),"Failed",IF((W1338+Character!$B$9+SUMIF(Character!$I$62:$I$66,"Enigmatic Wisdom",Character!$J$62:$J$66))&gt;=IF(Z1338="Yes",0,(Y1338+D1333)),"Succeeded","Failed"))))</f>
        <v xml:space="preserve"> </v>
      </c>
      <c r="AB1338" s="477" t="str">
        <f>IF(AA1338=" "," ",IF(NOT(ISBLANK(X1338)),VLOOKUP($D$3+X1338,Calcs!$A$110:$C$122,3,TRUE),IF(AA1338="Failed",VLOOKUP($D$3,Calcs!$A$110:$C$122,3,TRUE),VLOOKUP($D$3-(IF((Character!$B$9+W1338)&gt;($D$3+Y1338),(Character!$B$9+W1338)-($D$3+Y1338),0)),Calcs!$A$110:$C$122,3,TRUE))))</f>
        <v xml:space="preserve"> </v>
      </c>
      <c r="AC1338" s="489"/>
      <c r="AD1338" s="489" t="str">
        <f>IF(IF(AA1338=" "," ",IF(NOT(ISBLANK(X1338)),VLOOKUP($D$3+X1338,Calcs!$A$110:$B$122,2,TRUE),IF(AA1338="Failed",VLOOKUP($D$3,Calcs!$A$110:$B$122,2,TRUE),VLOOKUP($D$3-(IF((Character!$B$9+W1338)&gt;($D$3+Y1338),(Character!$B$9+W1338)-($D$3+Y1338),0)),Calcs!$A$110:$B$122,2,TRUE))))=Calcs!$B$120,IF(ISBLANK(AC1338)," ",CONCATENATE(AC1338+7," Years")),IF(AA1338=" "," ",IF(NOT(ISBLANK(X1338)),VLOOKUP($D$3+X1338,Calcs!$A$110:$B$122,2,TRUE),IF(AA1338="Failed",VLOOKUP($D$3,Calcs!$A$110:$B$122,2,TRUE),VLOOKUP($D$3-(IF((Character!$B$9+W1338)&gt;($D$3+Y1338),(Character!$B$9+W1338)-($D$3+Y1338),0)),Calcs!$A$110:$B$122,2,TRUE)))))</f>
        <v xml:space="preserve"> </v>
      </c>
      <c r="AE1338" s="490"/>
      <c r="AF1338" s="879"/>
      <c r="AG1338" s="491"/>
    </row>
    <row r="1339" spans="1:33" x14ac:dyDescent="0.2">
      <c r="A1339" s="415">
        <f t="shared" si="40"/>
        <v>1544</v>
      </c>
      <c r="B1339" s="419" t="str">
        <f t="shared" si="41"/>
        <v>Autumn</v>
      </c>
      <c r="C1339" s="455"/>
      <c r="D1339" s="504"/>
      <c r="E1339" s="455"/>
      <c r="F1339" s="504"/>
      <c r="G1339" s="455"/>
      <c r="H1339" s="504"/>
      <c r="I1339" s="455"/>
      <c r="J1339" s="504"/>
      <c r="L1339" s="472"/>
      <c r="M1339" s="468"/>
      <c r="N1339" s="468"/>
      <c r="O1339" s="468"/>
      <c r="P1339" s="468"/>
      <c r="Q1339" s="473"/>
      <c r="R1339" s="477" t="str">
        <f>IF(AND(COUNTIF('Start Character'!$I$63:$M$77,"Twilight Prone")=1,NOT(ISERROR(FIND("Magical Botch",M1339)))),"Yes",IF(P1339&gt;1,"Yes","No"))</f>
        <v>No</v>
      </c>
      <c r="S1339" s="501"/>
      <c r="T1339" s="478"/>
      <c r="U1339" s="501"/>
      <c r="V1339" s="479" t="str">
        <f>IF(R1339="No","No Twilight",IF(T1339="Yes","Uncomprehended Twilight",IF((Character!$B$14+IF(Character!$B$53="Yes",0,Character!$B$53)+IF(Magic!$C$5="Yes",2,0)+ROUNDUP((Magic!$B$30+IF(Magic!$C$30="Yes",3,0))/5,0)+S1339)&gt;=($D$3+P1339+SUMIF(Character!$I$62:$I$66,"Enigmatic Wisdom",Character!$J$62:$J$66)+Q1339+U1339),"No Twilight","Twilight")))</f>
        <v>No Twilight</v>
      </c>
      <c r="W1339" s="483"/>
      <c r="X1339" s="478"/>
      <c r="Y1339" s="484"/>
      <c r="Z1339" s="478"/>
      <c r="AA1339" s="485" t="str">
        <f>IF(V1339="Uncomprehended Twilight","Failed",IF(OR(ISBLANK(W1339),ISBLANK(Y1339))," ",IF(NOT(ISBLANK(X1339)),"Failed",IF((W1339+Character!$B$9+SUMIF(Character!$I$62:$I$66,"Enigmatic Wisdom",Character!$J$62:$J$66))&gt;=IF(Z1339="Yes",0,(Y1339+D1334)),"Succeeded","Failed"))))</f>
        <v xml:space="preserve"> </v>
      </c>
      <c r="AB1339" s="477" t="str">
        <f>IF(AA1339=" "," ",IF(NOT(ISBLANK(X1339)),VLOOKUP($D$3+X1339,Calcs!$A$110:$C$122,3,TRUE),IF(AA1339="Failed",VLOOKUP($D$3,Calcs!$A$110:$C$122,3,TRUE),VLOOKUP($D$3-(IF((Character!$B$9+W1339)&gt;($D$3+Y1339),(Character!$B$9+W1339)-($D$3+Y1339),0)),Calcs!$A$110:$C$122,3,TRUE))))</f>
        <v xml:space="preserve"> </v>
      </c>
      <c r="AC1339" s="489"/>
      <c r="AD1339" s="489" t="str">
        <f>IF(IF(AA1339=" "," ",IF(NOT(ISBLANK(X1339)),VLOOKUP($D$3+X1339,Calcs!$A$110:$B$122,2,TRUE),IF(AA1339="Failed",VLOOKUP($D$3,Calcs!$A$110:$B$122,2,TRUE),VLOOKUP($D$3-(IF((Character!$B$9+W1339)&gt;($D$3+Y1339),(Character!$B$9+W1339)-($D$3+Y1339),0)),Calcs!$A$110:$B$122,2,TRUE))))=Calcs!$B$120,IF(ISBLANK(AC1339)," ",CONCATENATE(AC1339+7," Years")),IF(AA1339=" "," ",IF(NOT(ISBLANK(X1339)),VLOOKUP($D$3+X1339,Calcs!$A$110:$B$122,2,TRUE),IF(AA1339="Failed",VLOOKUP($D$3,Calcs!$A$110:$B$122,2,TRUE),VLOOKUP($D$3-(IF((Character!$B$9+W1339)&gt;($D$3+Y1339),(Character!$B$9+W1339)-($D$3+Y1339),0)),Calcs!$A$110:$B$122,2,TRUE)))))</f>
        <v xml:space="preserve"> </v>
      </c>
      <c r="AE1339" s="490"/>
      <c r="AF1339" s="879"/>
      <c r="AG1339" s="491"/>
    </row>
    <row r="1340" spans="1:33" x14ac:dyDescent="0.2">
      <c r="A1340" s="415">
        <f t="shared" si="40"/>
        <v>1545</v>
      </c>
      <c r="B1340" s="419" t="str">
        <f t="shared" si="41"/>
        <v>Winter</v>
      </c>
      <c r="C1340" s="455"/>
      <c r="D1340" s="504"/>
      <c r="E1340" s="455"/>
      <c r="F1340" s="504"/>
      <c r="G1340" s="455"/>
      <c r="H1340" s="504"/>
      <c r="I1340" s="455"/>
      <c r="J1340" s="504"/>
      <c r="L1340" s="472"/>
      <c r="M1340" s="468"/>
      <c r="N1340" s="468"/>
      <c r="O1340" s="468"/>
      <c r="P1340" s="468"/>
      <c r="Q1340" s="473"/>
      <c r="R1340" s="477" t="str">
        <f>IF(AND(COUNTIF('Start Character'!$I$63:$M$77,"Twilight Prone")=1,NOT(ISERROR(FIND("Magical Botch",M1340)))),"Yes",IF(P1340&gt;1,"Yes","No"))</f>
        <v>No</v>
      </c>
      <c r="S1340" s="501"/>
      <c r="T1340" s="478"/>
      <c r="U1340" s="501"/>
      <c r="V1340" s="479" t="str">
        <f>IF(R1340="No","No Twilight",IF(T1340="Yes","Uncomprehended Twilight",IF((Character!$B$14+IF(Character!$B$53="Yes",0,Character!$B$53)+IF(Magic!$C$5="Yes",2,0)+ROUNDUP((Magic!$B$30+IF(Magic!$C$30="Yes",3,0))/5,0)+S1340)&gt;=($D$3+P1340+SUMIF(Character!$I$62:$I$66,"Enigmatic Wisdom",Character!$J$62:$J$66)+Q1340+U1340),"No Twilight","Twilight")))</f>
        <v>No Twilight</v>
      </c>
      <c r="W1340" s="483"/>
      <c r="X1340" s="478"/>
      <c r="Y1340" s="484"/>
      <c r="Z1340" s="478"/>
      <c r="AA1340" s="485" t="str">
        <f>IF(V1340="Uncomprehended Twilight","Failed",IF(OR(ISBLANK(W1340),ISBLANK(Y1340))," ",IF(NOT(ISBLANK(X1340)),"Failed",IF((W1340+Character!$B$9+SUMIF(Character!$I$62:$I$66,"Enigmatic Wisdom",Character!$J$62:$J$66))&gt;=IF(Z1340="Yes",0,(Y1340+D1335)),"Succeeded","Failed"))))</f>
        <v xml:space="preserve"> </v>
      </c>
      <c r="AB1340" s="477" t="str">
        <f>IF(AA1340=" "," ",IF(NOT(ISBLANK(X1340)),VLOOKUP($D$3+X1340,Calcs!$A$110:$C$122,3,TRUE),IF(AA1340="Failed",VLOOKUP($D$3,Calcs!$A$110:$C$122,3,TRUE),VLOOKUP($D$3-(IF((Character!$B$9+W1340)&gt;($D$3+Y1340),(Character!$B$9+W1340)-($D$3+Y1340),0)),Calcs!$A$110:$C$122,3,TRUE))))</f>
        <v xml:space="preserve"> </v>
      </c>
      <c r="AC1340" s="489"/>
      <c r="AD1340" s="489" t="str">
        <f>IF(IF(AA1340=" "," ",IF(NOT(ISBLANK(X1340)),VLOOKUP($D$3+X1340,Calcs!$A$110:$B$122,2,TRUE),IF(AA1340="Failed",VLOOKUP($D$3,Calcs!$A$110:$B$122,2,TRUE),VLOOKUP($D$3-(IF((Character!$B$9+W1340)&gt;($D$3+Y1340),(Character!$B$9+W1340)-($D$3+Y1340),0)),Calcs!$A$110:$B$122,2,TRUE))))=Calcs!$B$120,IF(ISBLANK(AC1340)," ",CONCATENATE(AC1340+7," Years")),IF(AA1340=" "," ",IF(NOT(ISBLANK(X1340)),VLOOKUP($D$3+X1340,Calcs!$A$110:$B$122,2,TRUE),IF(AA1340="Failed",VLOOKUP($D$3,Calcs!$A$110:$B$122,2,TRUE),VLOOKUP($D$3-(IF((Character!$B$9+W1340)&gt;($D$3+Y1340),(Character!$B$9+W1340)-($D$3+Y1340),0)),Calcs!$A$110:$B$122,2,TRUE)))))</f>
        <v xml:space="preserve"> </v>
      </c>
      <c r="AE1340" s="490"/>
      <c r="AF1340" s="879"/>
      <c r="AG1340" s="491"/>
    </row>
    <row r="1341" spans="1:33" x14ac:dyDescent="0.2">
      <c r="A1341" s="415">
        <f t="shared" si="40"/>
        <v>1545</v>
      </c>
      <c r="B1341" s="419" t="str">
        <f t="shared" si="41"/>
        <v>Spring</v>
      </c>
      <c r="C1341" s="455"/>
      <c r="D1341" s="504"/>
      <c r="E1341" s="455"/>
      <c r="F1341" s="504"/>
      <c r="G1341" s="455"/>
      <c r="H1341" s="504"/>
      <c r="I1341" s="455"/>
      <c r="J1341" s="504"/>
      <c r="L1341" s="472"/>
      <c r="M1341" s="468"/>
      <c r="N1341" s="468"/>
      <c r="O1341" s="468"/>
      <c r="P1341" s="468"/>
      <c r="Q1341" s="473"/>
      <c r="R1341" s="477" t="str">
        <f>IF(AND(COUNTIF('Start Character'!$I$63:$M$77,"Twilight Prone")=1,NOT(ISERROR(FIND("Magical Botch",M1341)))),"Yes",IF(P1341&gt;1,"Yes","No"))</f>
        <v>No</v>
      </c>
      <c r="S1341" s="501"/>
      <c r="T1341" s="478"/>
      <c r="U1341" s="501"/>
      <c r="V1341" s="479" t="str">
        <f>IF(R1341="No","No Twilight",IF(T1341="Yes","Uncomprehended Twilight",IF((Character!$B$14+IF(Character!$B$53="Yes",0,Character!$B$53)+IF(Magic!$C$5="Yes",2,0)+ROUNDUP((Magic!$B$30+IF(Magic!$C$30="Yes",3,0))/5,0)+S1341)&gt;=($D$3+P1341+SUMIF(Character!$I$62:$I$66,"Enigmatic Wisdom",Character!$J$62:$J$66)+Q1341+U1341),"No Twilight","Twilight")))</f>
        <v>No Twilight</v>
      </c>
      <c r="W1341" s="483"/>
      <c r="X1341" s="478"/>
      <c r="Y1341" s="484"/>
      <c r="Z1341" s="478"/>
      <c r="AA1341" s="485" t="str">
        <f>IF(V1341="Uncomprehended Twilight","Failed",IF(OR(ISBLANK(W1341),ISBLANK(Y1341))," ",IF(NOT(ISBLANK(X1341)),"Failed",IF((W1341+Character!$B$9+SUMIF(Character!$I$62:$I$66,"Enigmatic Wisdom",Character!$J$62:$J$66))&gt;=IF(Z1341="Yes",0,(Y1341+D1336)),"Succeeded","Failed"))))</f>
        <v xml:space="preserve"> </v>
      </c>
      <c r="AB1341" s="477" t="str">
        <f>IF(AA1341=" "," ",IF(NOT(ISBLANK(X1341)),VLOOKUP($D$3+X1341,Calcs!$A$110:$C$122,3,TRUE),IF(AA1341="Failed",VLOOKUP($D$3,Calcs!$A$110:$C$122,3,TRUE),VLOOKUP($D$3-(IF((Character!$B$9+W1341)&gt;($D$3+Y1341),(Character!$B$9+W1341)-($D$3+Y1341),0)),Calcs!$A$110:$C$122,3,TRUE))))</f>
        <v xml:space="preserve"> </v>
      </c>
      <c r="AC1341" s="489"/>
      <c r="AD1341" s="489" t="str">
        <f>IF(IF(AA1341=" "," ",IF(NOT(ISBLANK(X1341)),VLOOKUP($D$3+X1341,Calcs!$A$110:$B$122,2,TRUE),IF(AA1341="Failed",VLOOKUP($D$3,Calcs!$A$110:$B$122,2,TRUE),VLOOKUP($D$3-(IF((Character!$B$9+W1341)&gt;($D$3+Y1341),(Character!$B$9+W1341)-($D$3+Y1341),0)),Calcs!$A$110:$B$122,2,TRUE))))=Calcs!$B$120,IF(ISBLANK(AC1341)," ",CONCATENATE(AC1341+7," Years")),IF(AA1341=" "," ",IF(NOT(ISBLANK(X1341)),VLOOKUP($D$3+X1341,Calcs!$A$110:$B$122,2,TRUE),IF(AA1341="Failed",VLOOKUP($D$3,Calcs!$A$110:$B$122,2,TRUE),VLOOKUP($D$3-(IF((Character!$B$9+W1341)&gt;($D$3+Y1341),(Character!$B$9+W1341)-($D$3+Y1341),0)),Calcs!$A$110:$B$122,2,TRUE)))))</f>
        <v xml:space="preserve"> </v>
      </c>
      <c r="AE1341" s="490"/>
      <c r="AF1341" s="879"/>
      <c r="AG1341" s="491"/>
    </row>
    <row r="1342" spans="1:33" x14ac:dyDescent="0.2">
      <c r="A1342" s="415">
        <f t="shared" si="40"/>
        <v>1545</v>
      </c>
      <c r="B1342" s="419" t="str">
        <f t="shared" si="41"/>
        <v>Summer</v>
      </c>
      <c r="C1342" s="455"/>
      <c r="D1342" s="504"/>
      <c r="E1342" s="455"/>
      <c r="F1342" s="504"/>
      <c r="G1342" s="455"/>
      <c r="H1342" s="504"/>
      <c r="I1342" s="455"/>
      <c r="J1342" s="504"/>
      <c r="L1342" s="472"/>
      <c r="M1342" s="468"/>
      <c r="N1342" s="468"/>
      <c r="O1342" s="468"/>
      <c r="P1342" s="468"/>
      <c r="Q1342" s="473"/>
      <c r="R1342" s="477" t="str">
        <f>IF(AND(COUNTIF('Start Character'!$I$63:$M$77,"Twilight Prone")=1,NOT(ISERROR(FIND("Magical Botch",M1342)))),"Yes",IF(P1342&gt;1,"Yes","No"))</f>
        <v>No</v>
      </c>
      <c r="S1342" s="501"/>
      <c r="T1342" s="478"/>
      <c r="U1342" s="501"/>
      <c r="V1342" s="479" t="str">
        <f>IF(R1342="No","No Twilight",IF(T1342="Yes","Uncomprehended Twilight",IF((Character!$B$14+IF(Character!$B$53="Yes",0,Character!$B$53)+IF(Magic!$C$5="Yes",2,0)+ROUNDUP((Magic!$B$30+IF(Magic!$C$30="Yes",3,0))/5,0)+S1342)&gt;=($D$3+P1342+SUMIF(Character!$I$62:$I$66,"Enigmatic Wisdom",Character!$J$62:$J$66)+Q1342+U1342),"No Twilight","Twilight")))</f>
        <v>No Twilight</v>
      </c>
      <c r="W1342" s="483"/>
      <c r="X1342" s="478"/>
      <c r="Y1342" s="484"/>
      <c r="Z1342" s="478"/>
      <c r="AA1342" s="485" t="str">
        <f>IF(V1342="Uncomprehended Twilight","Failed",IF(OR(ISBLANK(W1342),ISBLANK(Y1342))," ",IF(NOT(ISBLANK(X1342)),"Failed",IF((W1342+Character!$B$9+SUMIF(Character!$I$62:$I$66,"Enigmatic Wisdom",Character!$J$62:$J$66))&gt;=IF(Z1342="Yes",0,(Y1342+D1337)),"Succeeded","Failed"))))</f>
        <v xml:space="preserve"> </v>
      </c>
      <c r="AB1342" s="477" t="str">
        <f>IF(AA1342=" "," ",IF(NOT(ISBLANK(X1342)),VLOOKUP($D$3+X1342,Calcs!$A$110:$C$122,3,TRUE),IF(AA1342="Failed",VLOOKUP($D$3,Calcs!$A$110:$C$122,3,TRUE),VLOOKUP($D$3-(IF((Character!$B$9+W1342)&gt;($D$3+Y1342),(Character!$B$9+W1342)-($D$3+Y1342),0)),Calcs!$A$110:$C$122,3,TRUE))))</f>
        <v xml:space="preserve"> </v>
      </c>
      <c r="AC1342" s="489"/>
      <c r="AD1342" s="489" t="str">
        <f>IF(IF(AA1342=" "," ",IF(NOT(ISBLANK(X1342)),VLOOKUP($D$3+X1342,Calcs!$A$110:$B$122,2,TRUE),IF(AA1342="Failed",VLOOKUP($D$3,Calcs!$A$110:$B$122,2,TRUE),VLOOKUP($D$3-(IF((Character!$B$9+W1342)&gt;($D$3+Y1342),(Character!$B$9+W1342)-($D$3+Y1342),0)),Calcs!$A$110:$B$122,2,TRUE))))=Calcs!$B$120,IF(ISBLANK(AC1342)," ",CONCATENATE(AC1342+7," Years")),IF(AA1342=" "," ",IF(NOT(ISBLANK(X1342)),VLOOKUP($D$3+X1342,Calcs!$A$110:$B$122,2,TRUE),IF(AA1342="Failed",VLOOKUP($D$3,Calcs!$A$110:$B$122,2,TRUE),VLOOKUP($D$3-(IF((Character!$B$9+W1342)&gt;($D$3+Y1342),(Character!$B$9+W1342)-($D$3+Y1342),0)),Calcs!$A$110:$B$122,2,TRUE)))))</f>
        <v xml:space="preserve"> </v>
      </c>
      <c r="AE1342" s="490"/>
      <c r="AF1342" s="879"/>
      <c r="AG1342" s="491"/>
    </row>
    <row r="1343" spans="1:33" x14ac:dyDescent="0.2">
      <c r="A1343" s="415">
        <f t="shared" si="40"/>
        <v>1545</v>
      </c>
      <c r="B1343" s="419" t="str">
        <f t="shared" si="41"/>
        <v>Autumn</v>
      </c>
      <c r="C1343" s="455"/>
      <c r="D1343" s="504"/>
      <c r="E1343" s="455"/>
      <c r="F1343" s="504"/>
      <c r="G1343" s="455"/>
      <c r="H1343" s="504"/>
      <c r="I1343" s="455"/>
      <c r="J1343" s="504"/>
      <c r="L1343" s="472"/>
      <c r="M1343" s="468"/>
      <c r="N1343" s="468"/>
      <c r="O1343" s="468"/>
      <c r="P1343" s="468"/>
      <c r="Q1343" s="473"/>
      <c r="R1343" s="477" t="str">
        <f>IF(AND(COUNTIF('Start Character'!$I$63:$M$77,"Twilight Prone")=1,NOT(ISERROR(FIND("Magical Botch",M1343)))),"Yes",IF(P1343&gt;1,"Yes","No"))</f>
        <v>No</v>
      </c>
      <c r="S1343" s="501"/>
      <c r="T1343" s="478"/>
      <c r="U1343" s="501"/>
      <c r="V1343" s="479" t="str">
        <f>IF(R1343="No","No Twilight",IF(T1343="Yes","Uncomprehended Twilight",IF((Character!$B$14+IF(Character!$B$53="Yes",0,Character!$B$53)+IF(Magic!$C$5="Yes",2,0)+ROUNDUP((Magic!$B$30+IF(Magic!$C$30="Yes",3,0))/5,0)+S1343)&gt;=($D$3+P1343+SUMIF(Character!$I$62:$I$66,"Enigmatic Wisdom",Character!$J$62:$J$66)+Q1343+U1343),"No Twilight","Twilight")))</f>
        <v>No Twilight</v>
      </c>
      <c r="W1343" s="483"/>
      <c r="X1343" s="478"/>
      <c r="Y1343" s="484"/>
      <c r="Z1343" s="478"/>
      <c r="AA1343" s="485" t="str">
        <f>IF(V1343="Uncomprehended Twilight","Failed",IF(OR(ISBLANK(W1343),ISBLANK(Y1343))," ",IF(NOT(ISBLANK(X1343)),"Failed",IF((W1343+Character!$B$9+SUMIF(Character!$I$62:$I$66,"Enigmatic Wisdom",Character!$J$62:$J$66))&gt;=IF(Z1343="Yes",0,(Y1343+D1338)),"Succeeded","Failed"))))</f>
        <v xml:space="preserve"> </v>
      </c>
      <c r="AB1343" s="477" t="str">
        <f>IF(AA1343=" "," ",IF(NOT(ISBLANK(X1343)),VLOOKUP($D$3+X1343,Calcs!$A$110:$C$122,3,TRUE),IF(AA1343="Failed",VLOOKUP($D$3,Calcs!$A$110:$C$122,3,TRUE),VLOOKUP($D$3-(IF((Character!$B$9+W1343)&gt;($D$3+Y1343),(Character!$B$9+W1343)-($D$3+Y1343),0)),Calcs!$A$110:$C$122,3,TRUE))))</f>
        <v xml:space="preserve"> </v>
      </c>
      <c r="AC1343" s="489"/>
      <c r="AD1343" s="489" t="str">
        <f>IF(IF(AA1343=" "," ",IF(NOT(ISBLANK(X1343)),VLOOKUP($D$3+X1343,Calcs!$A$110:$B$122,2,TRUE),IF(AA1343="Failed",VLOOKUP($D$3,Calcs!$A$110:$B$122,2,TRUE),VLOOKUP($D$3-(IF((Character!$B$9+W1343)&gt;($D$3+Y1343),(Character!$B$9+W1343)-($D$3+Y1343),0)),Calcs!$A$110:$B$122,2,TRUE))))=Calcs!$B$120,IF(ISBLANK(AC1343)," ",CONCATENATE(AC1343+7," Years")),IF(AA1343=" "," ",IF(NOT(ISBLANK(X1343)),VLOOKUP($D$3+X1343,Calcs!$A$110:$B$122,2,TRUE),IF(AA1343="Failed",VLOOKUP($D$3,Calcs!$A$110:$B$122,2,TRUE),VLOOKUP($D$3-(IF((Character!$B$9+W1343)&gt;($D$3+Y1343),(Character!$B$9+W1343)-($D$3+Y1343),0)),Calcs!$A$110:$B$122,2,TRUE)))))</f>
        <v xml:space="preserve"> </v>
      </c>
      <c r="AE1343" s="490"/>
      <c r="AF1343" s="879"/>
      <c r="AG1343" s="491"/>
    </row>
    <row r="1344" spans="1:33" x14ac:dyDescent="0.2">
      <c r="A1344" s="415">
        <f t="shared" si="40"/>
        <v>1546</v>
      </c>
      <c r="B1344" s="419" t="str">
        <f t="shared" si="41"/>
        <v>Winter</v>
      </c>
      <c r="C1344" s="455"/>
      <c r="D1344" s="504"/>
      <c r="E1344" s="455"/>
      <c r="F1344" s="504"/>
      <c r="G1344" s="455"/>
      <c r="H1344" s="504"/>
      <c r="I1344" s="455"/>
      <c r="J1344" s="504"/>
      <c r="L1344" s="472"/>
      <c r="M1344" s="468"/>
      <c r="N1344" s="468"/>
      <c r="O1344" s="468"/>
      <c r="P1344" s="468"/>
      <c r="Q1344" s="473"/>
      <c r="R1344" s="477" t="str">
        <f>IF(AND(COUNTIF('Start Character'!$I$63:$M$77,"Twilight Prone")=1,NOT(ISERROR(FIND("Magical Botch",M1344)))),"Yes",IF(P1344&gt;1,"Yes","No"))</f>
        <v>No</v>
      </c>
      <c r="S1344" s="501"/>
      <c r="T1344" s="478"/>
      <c r="U1344" s="501"/>
      <c r="V1344" s="479" t="str">
        <f>IF(R1344="No","No Twilight",IF(T1344="Yes","Uncomprehended Twilight",IF((Character!$B$14+IF(Character!$B$53="Yes",0,Character!$B$53)+IF(Magic!$C$5="Yes",2,0)+ROUNDUP((Magic!$B$30+IF(Magic!$C$30="Yes",3,0))/5,0)+S1344)&gt;=($D$3+P1344+SUMIF(Character!$I$62:$I$66,"Enigmatic Wisdom",Character!$J$62:$J$66)+Q1344+U1344),"No Twilight","Twilight")))</f>
        <v>No Twilight</v>
      </c>
      <c r="W1344" s="483"/>
      <c r="X1344" s="478"/>
      <c r="Y1344" s="484"/>
      <c r="Z1344" s="478"/>
      <c r="AA1344" s="485" t="str">
        <f>IF(V1344="Uncomprehended Twilight","Failed",IF(OR(ISBLANK(W1344),ISBLANK(Y1344))," ",IF(NOT(ISBLANK(X1344)),"Failed",IF((W1344+Character!$B$9+SUMIF(Character!$I$62:$I$66,"Enigmatic Wisdom",Character!$J$62:$J$66))&gt;=IF(Z1344="Yes",0,(Y1344+D1339)),"Succeeded","Failed"))))</f>
        <v xml:space="preserve"> </v>
      </c>
      <c r="AB1344" s="477" t="str">
        <f>IF(AA1344=" "," ",IF(NOT(ISBLANK(X1344)),VLOOKUP($D$3+X1344,Calcs!$A$110:$C$122,3,TRUE),IF(AA1344="Failed",VLOOKUP($D$3,Calcs!$A$110:$C$122,3,TRUE),VLOOKUP($D$3-(IF((Character!$B$9+W1344)&gt;($D$3+Y1344),(Character!$B$9+W1344)-($D$3+Y1344),0)),Calcs!$A$110:$C$122,3,TRUE))))</f>
        <v xml:space="preserve"> </v>
      </c>
      <c r="AC1344" s="489"/>
      <c r="AD1344" s="489" t="str">
        <f>IF(IF(AA1344=" "," ",IF(NOT(ISBLANK(X1344)),VLOOKUP($D$3+X1344,Calcs!$A$110:$B$122,2,TRUE),IF(AA1344="Failed",VLOOKUP($D$3,Calcs!$A$110:$B$122,2,TRUE),VLOOKUP($D$3-(IF((Character!$B$9+W1344)&gt;($D$3+Y1344),(Character!$B$9+W1344)-($D$3+Y1344),0)),Calcs!$A$110:$B$122,2,TRUE))))=Calcs!$B$120,IF(ISBLANK(AC1344)," ",CONCATENATE(AC1344+7," Years")),IF(AA1344=" "," ",IF(NOT(ISBLANK(X1344)),VLOOKUP($D$3+X1344,Calcs!$A$110:$B$122,2,TRUE),IF(AA1344="Failed",VLOOKUP($D$3,Calcs!$A$110:$B$122,2,TRUE),VLOOKUP($D$3-(IF((Character!$B$9+W1344)&gt;($D$3+Y1344),(Character!$B$9+W1344)-($D$3+Y1344),0)),Calcs!$A$110:$B$122,2,TRUE)))))</f>
        <v xml:space="preserve"> </v>
      </c>
      <c r="AE1344" s="490"/>
      <c r="AF1344" s="879"/>
      <c r="AG1344" s="491"/>
    </row>
    <row r="1345" spans="1:33" x14ac:dyDescent="0.2">
      <c r="A1345" s="415">
        <f t="shared" si="40"/>
        <v>1546</v>
      </c>
      <c r="B1345" s="419" t="str">
        <f t="shared" si="41"/>
        <v>Spring</v>
      </c>
      <c r="C1345" s="455"/>
      <c r="D1345" s="504"/>
      <c r="E1345" s="455"/>
      <c r="F1345" s="504"/>
      <c r="G1345" s="455"/>
      <c r="H1345" s="504"/>
      <c r="I1345" s="455"/>
      <c r="J1345" s="504"/>
      <c r="L1345" s="472"/>
      <c r="M1345" s="468"/>
      <c r="N1345" s="468"/>
      <c r="O1345" s="468"/>
      <c r="P1345" s="468"/>
      <c r="Q1345" s="473"/>
      <c r="R1345" s="477" t="str">
        <f>IF(AND(COUNTIF('Start Character'!$I$63:$M$77,"Twilight Prone")=1,NOT(ISERROR(FIND("Magical Botch",M1345)))),"Yes",IF(P1345&gt;1,"Yes","No"))</f>
        <v>No</v>
      </c>
      <c r="S1345" s="501"/>
      <c r="T1345" s="478"/>
      <c r="U1345" s="501"/>
      <c r="V1345" s="479" t="str">
        <f>IF(R1345="No","No Twilight",IF(T1345="Yes","Uncomprehended Twilight",IF((Character!$B$14+IF(Character!$B$53="Yes",0,Character!$B$53)+IF(Magic!$C$5="Yes",2,0)+ROUNDUP((Magic!$B$30+IF(Magic!$C$30="Yes",3,0))/5,0)+S1345)&gt;=($D$3+P1345+SUMIF(Character!$I$62:$I$66,"Enigmatic Wisdom",Character!$J$62:$J$66)+Q1345+U1345),"No Twilight","Twilight")))</f>
        <v>No Twilight</v>
      </c>
      <c r="W1345" s="483"/>
      <c r="X1345" s="478"/>
      <c r="Y1345" s="484"/>
      <c r="Z1345" s="478"/>
      <c r="AA1345" s="485" t="str">
        <f>IF(V1345="Uncomprehended Twilight","Failed",IF(OR(ISBLANK(W1345),ISBLANK(Y1345))," ",IF(NOT(ISBLANK(X1345)),"Failed",IF((W1345+Character!$B$9+SUMIF(Character!$I$62:$I$66,"Enigmatic Wisdom",Character!$J$62:$J$66))&gt;=IF(Z1345="Yes",0,(Y1345+D1340)),"Succeeded","Failed"))))</f>
        <v xml:space="preserve"> </v>
      </c>
      <c r="AB1345" s="477" t="str">
        <f>IF(AA1345=" "," ",IF(NOT(ISBLANK(X1345)),VLOOKUP($D$3+X1345,Calcs!$A$110:$C$122,3,TRUE),IF(AA1345="Failed",VLOOKUP($D$3,Calcs!$A$110:$C$122,3,TRUE),VLOOKUP($D$3-(IF((Character!$B$9+W1345)&gt;($D$3+Y1345),(Character!$B$9+W1345)-($D$3+Y1345),0)),Calcs!$A$110:$C$122,3,TRUE))))</f>
        <v xml:space="preserve"> </v>
      </c>
      <c r="AC1345" s="489"/>
      <c r="AD1345" s="489" t="str">
        <f>IF(IF(AA1345=" "," ",IF(NOT(ISBLANK(X1345)),VLOOKUP($D$3+X1345,Calcs!$A$110:$B$122,2,TRUE),IF(AA1345="Failed",VLOOKUP($D$3,Calcs!$A$110:$B$122,2,TRUE),VLOOKUP($D$3-(IF((Character!$B$9+W1345)&gt;($D$3+Y1345),(Character!$B$9+W1345)-($D$3+Y1345),0)),Calcs!$A$110:$B$122,2,TRUE))))=Calcs!$B$120,IF(ISBLANK(AC1345)," ",CONCATENATE(AC1345+7," Years")),IF(AA1345=" "," ",IF(NOT(ISBLANK(X1345)),VLOOKUP($D$3+X1345,Calcs!$A$110:$B$122,2,TRUE),IF(AA1345="Failed",VLOOKUP($D$3,Calcs!$A$110:$B$122,2,TRUE),VLOOKUP($D$3-(IF((Character!$B$9+W1345)&gt;($D$3+Y1345),(Character!$B$9+W1345)-($D$3+Y1345),0)),Calcs!$A$110:$B$122,2,TRUE)))))</f>
        <v xml:space="preserve"> </v>
      </c>
      <c r="AE1345" s="490"/>
      <c r="AF1345" s="879"/>
      <c r="AG1345" s="491"/>
    </row>
    <row r="1346" spans="1:33" x14ac:dyDescent="0.2">
      <c r="A1346" s="415">
        <f t="shared" si="40"/>
        <v>1546</v>
      </c>
      <c r="B1346" s="419" t="str">
        <f t="shared" si="41"/>
        <v>Summer</v>
      </c>
      <c r="C1346" s="455"/>
      <c r="D1346" s="504"/>
      <c r="E1346" s="455"/>
      <c r="F1346" s="504"/>
      <c r="G1346" s="455"/>
      <c r="H1346" s="504"/>
      <c r="I1346" s="455"/>
      <c r="J1346" s="504"/>
      <c r="L1346" s="472"/>
      <c r="M1346" s="468"/>
      <c r="N1346" s="468"/>
      <c r="O1346" s="468"/>
      <c r="P1346" s="468"/>
      <c r="Q1346" s="473"/>
      <c r="R1346" s="477" t="str">
        <f>IF(AND(COUNTIF('Start Character'!$I$63:$M$77,"Twilight Prone")=1,NOT(ISERROR(FIND("Magical Botch",M1346)))),"Yes",IF(P1346&gt;1,"Yes","No"))</f>
        <v>No</v>
      </c>
      <c r="S1346" s="501"/>
      <c r="T1346" s="478"/>
      <c r="U1346" s="501"/>
      <c r="V1346" s="479" t="str">
        <f>IF(R1346="No","No Twilight",IF(T1346="Yes","Uncomprehended Twilight",IF((Character!$B$14+IF(Character!$B$53="Yes",0,Character!$B$53)+IF(Magic!$C$5="Yes",2,0)+ROUNDUP((Magic!$B$30+IF(Magic!$C$30="Yes",3,0))/5,0)+S1346)&gt;=($D$3+P1346+SUMIF(Character!$I$62:$I$66,"Enigmatic Wisdom",Character!$J$62:$J$66)+Q1346+U1346),"No Twilight","Twilight")))</f>
        <v>No Twilight</v>
      </c>
      <c r="W1346" s="483"/>
      <c r="X1346" s="478"/>
      <c r="Y1346" s="484"/>
      <c r="Z1346" s="478"/>
      <c r="AA1346" s="485" t="str">
        <f>IF(V1346="Uncomprehended Twilight","Failed",IF(OR(ISBLANK(W1346),ISBLANK(Y1346))," ",IF(NOT(ISBLANK(X1346)),"Failed",IF((W1346+Character!$B$9+SUMIF(Character!$I$62:$I$66,"Enigmatic Wisdom",Character!$J$62:$J$66))&gt;=IF(Z1346="Yes",0,(Y1346+D1341)),"Succeeded","Failed"))))</f>
        <v xml:space="preserve"> </v>
      </c>
      <c r="AB1346" s="477" t="str">
        <f>IF(AA1346=" "," ",IF(NOT(ISBLANK(X1346)),VLOOKUP($D$3+X1346,Calcs!$A$110:$C$122,3,TRUE),IF(AA1346="Failed",VLOOKUP($D$3,Calcs!$A$110:$C$122,3,TRUE),VLOOKUP($D$3-(IF((Character!$B$9+W1346)&gt;($D$3+Y1346),(Character!$B$9+W1346)-($D$3+Y1346),0)),Calcs!$A$110:$C$122,3,TRUE))))</f>
        <v xml:space="preserve"> </v>
      </c>
      <c r="AC1346" s="489"/>
      <c r="AD1346" s="489" t="str">
        <f>IF(IF(AA1346=" "," ",IF(NOT(ISBLANK(X1346)),VLOOKUP($D$3+X1346,Calcs!$A$110:$B$122,2,TRUE),IF(AA1346="Failed",VLOOKUP($D$3,Calcs!$A$110:$B$122,2,TRUE),VLOOKUP($D$3-(IF((Character!$B$9+W1346)&gt;($D$3+Y1346),(Character!$B$9+W1346)-($D$3+Y1346),0)),Calcs!$A$110:$B$122,2,TRUE))))=Calcs!$B$120,IF(ISBLANK(AC1346)," ",CONCATENATE(AC1346+7," Years")),IF(AA1346=" "," ",IF(NOT(ISBLANK(X1346)),VLOOKUP($D$3+X1346,Calcs!$A$110:$B$122,2,TRUE),IF(AA1346="Failed",VLOOKUP($D$3,Calcs!$A$110:$B$122,2,TRUE),VLOOKUP($D$3-(IF((Character!$B$9+W1346)&gt;($D$3+Y1346),(Character!$B$9+W1346)-($D$3+Y1346),0)),Calcs!$A$110:$B$122,2,TRUE)))))</f>
        <v xml:space="preserve"> </v>
      </c>
      <c r="AE1346" s="490"/>
      <c r="AF1346" s="879"/>
      <c r="AG1346" s="491"/>
    </row>
    <row r="1347" spans="1:33" x14ac:dyDescent="0.2">
      <c r="A1347" s="415">
        <f t="shared" si="40"/>
        <v>1546</v>
      </c>
      <c r="B1347" s="419" t="str">
        <f t="shared" si="41"/>
        <v>Autumn</v>
      </c>
      <c r="C1347" s="455"/>
      <c r="D1347" s="504"/>
      <c r="E1347" s="455"/>
      <c r="F1347" s="504"/>
      <c r="G1347" s="455"/>
      <c r="H1347" s="504"/>
      <c r="I1347" s="455"/>
      <c r="J1347" s="504"/>
      <c r="L1347" s="472"/>
      <c r="M1347" s="468"/>
      <c r="N1347" s="468"/>
      <c r="O1347" s="468"/>
      <c r="P1347" s="468"/>
      <c r="Q1347" s="473"/>
      <c r="R1347" s="477" t="str">
        <f>IF(AND(COUNTIF('Start Character'!$I$63:$M$77,"Twilight Prone")=1,NOT(ISERROR(FIND("Magical Botch",M1347)))),"Yes",IF(P1347&gt;1,"Yes","No"))</f>
        <v>No</v>
      </c>
      <c r="S1347" s="501"/>
      <c r="T1347" s="478"/>
      <c r="U1347" s="501"/>
      <c r="V1347" s="479" t="str">
        <f>IF(R1347="No","No Twilight",IF(T1347="Yes","Uncomprehended Twilight",IF((Character!$B$14+IF(Character!$B$53="Yes",0,Character!$B$53)+IF(Magic!$C$5="Yes",2,0)+ROUNDUP((Magic!$B$30+IF(Magic!$C$30="Yes",3,0))/5,0)+S1347)&gt;=($D$3+P1347+SUMIF(Character!$I$62:$I$66,"Enigmatic Wisdom",Character!$J$62:$J$66)+Q1347+U1347),"No Twilight","Twilight")))</f>
        <v>No Twilight</v>
      </c>
      <c r="W1347" s="483"/>
      <c r="X1347" s="478"/>
      <c r="Y1347" s="484"/>
      <c r="Z1347" s="478"/>
      <c r="AA1347" s="485" t="str">
        <f>IF(V1347="Uncomprehended Twilight","Failed",IF(OR(ISBLANK(W1347),ISBLANK(Y1347))," ",IF(NOT(ISBLANK(X1347)),"Failed",IF((W1347+Character!$B$9+SUMIF(Character!$I$62:$I$66,"Enigmatic Wisdom",Character!$J$62:$J$66))&gt;=IF(Z1347="Yes",0,(Y1347+D1342)),"Succeeded","Failed"))))</f>
        <v xml:space="preserve"> </v>
      </c>
      <c r="AB1347" s="477" t="str">
        <f>IF(AA1347=" "," ",IF(NOT(ISBLANK(X1347)),VLOOKUP($D$3+X1347,Calcs!$A$110:$C$122,3,TRUE),IF(AA1347="Failed",VLOOKUP($D$3,Calcs!$A$110:$C$122,3,TRUE),VLOOKUP($D$3-(IF((Character!$B$9+W1347)&gt;($D$3+Y1347),(Character!$B$9+W1347)-($D$3+Y1347),0)),Calcs!$A$110:$C$122,3,TRUE))))</f>
        <v xml:space="preserve"> </v>
      </c>
      <c r="AC1347" s="489"/>
      <c r="AD1347" s="489" t="str">
        <f>IF(IF(AA1347=" "," ",IF(NOT(ISBLANK(X1347)),VLOOKUP($D$3+X1347,Calcs!$A$110:$B$122,2,TRUE),IF(AA1347="Failed",VLOOKUP($D$3,Calcs!$A$110:$B$122,2,TRUE),VLOOKUP($D$3-(IF((Character!$B$9+W1347)&gt;($D$3+Y1347),(Character!$B$9+W1347)-($D$3+Y1347),0)),Calcs!$A$110:$B$122,2,TRUE))))=Calcs!$B$120,IF(ISBLANK(AC1347)," ",CONCATENATE(AC1347+7," Years")),IF(AA1347=" "," ",IF(NOT(ISBLANK(X1347)),VLOOKUP($D$3+X1347,Calcs!$A$110:$B$122,2,TRUE),IF(AA1347="Failed",VLOOKUP($D$3,Calcs!$A$110:$B$122,2,TRUE),VLOOKUP($D$3-(IF((Character!$B$9+W1347)&gt;($D$3+Y1347),(Character!$B$9+W1347)-($D$3+Y1347),0)),Calcs!$A$110:$B$122,2,TRUE)))))</f>
        <v xml:space="preserve"> </v>
      </c>
      <c r="AE1347" s="490"/>
      <c r="AF1347" s="879"/>
      <c r="AG1347" s="491"/>
    </row>
    <row r="1348" spans="1:33" x14ac:dyDescent="0.2">
      <c r="A1348" s="415">
        <f t="shared" si="40"/>
        <v>1547</v>
      </c>
      <c r="B1348" s="419" t="str">
        <f t="shared" si="41"/>
        <v>Winter</v>
      </c>
      <c r="C1348" s="455"/>
      <c r="D1348" s="504"/>
      <c r="E1348" s="455"/>
      <c r="F1348" s="504"/>
      <c r="G1348" s="455"/>
      <c r="H1348" s="504"/>
      <c r="I1348" s="455"/>
      <c r="J1348" s="504"/>
      <c r="L1348" s="472"/>
      <c r="M1348" s="468"/>
      <c r="N1348" s="468"/>
      <c r="O1348" s="468"/>
      <c r="P1348" s="468"/>
      <c r="Q1348" s="473"/>
      <c r="R1348" s="477" t="str">
        <f>IF(AND(COUNTIF('Start Character'!$I$63:$M$77,"Twilight Prone")=1,NOT(ISERROR(FIND("Magical Botch",M1348)))),"Yes",IF(P1348&gt;1,"Yes","No"))</f>
        <v>No</v>
      </c>
      <c r="S1348" s="501"/>
      <c r="T1348" s="478"/>
      <c r="U1348" s="501"/>
      <c r="V1348" s="479" t="str">
        <f>IF(R1348="No","No Twilight",IF(T1348="Yes","Uncomprehended Twilight",IF((Character!$B$14+IF(Character!$B$53="Yes",0,Character!$B$53)+IF(Magic!$C$5="Yes",2,0)+ROUNDUP((Magic!$B$30+IF(Magic!$C$30="Yes",3,0))/5,0)+S1348)&gt;=($D$3+P1348+SUMIF(Character!$I$62:$I$66,"Enigmatic Wisdom",Character!$J$62:$J$66)+Q1348+U1348),"No Twilight","Twilight")))</f>
        <v>No Twilight</v>
      </c>
      <c r="W1348" s="483"/>
      <c r="X1348" s="478"/>
      <c r="Y1348" s="484"/>
      <c r="Z1348" s="478"/>
      <c r="AA1348" s="485" t="str">
        <f>IF(V1348="Uncomprehended Twilight","Failed",IF(OR(ISBLANK(W1348),ISBLANK(Y1348))," ",IF(NOT(ISBLANK(X1348)),"Failed",IF((W1348+Character!$B$9+SUMIF(Character!$I$62:$I$66,"Enigmatic Wisdom",Character!$J$62:$J$66))&gt;=IF(Z1348="Yes",0,(Y1348+D1343)),"Succeeded","Failed"))))</f>
        <v xml:space="preserve"> </v>
      </c>
      <c r="AB1348" s="477" t="str">
        <f>IF(AA1348=" "," ",IF(NOT(ISBLANK(X1348)),VLOOKUP($D$3+X1348,Calcs!$A$110:$C$122,3,TRUE),IF(AA1348="Failed",VLOOKUP($D$3,Calcs!$A$110:$C$122,3,TRUE),VLOOKUP($D$3-(IF((Character!$B$9+W1348)&gt;($D$3+Y1348),(Character!$B$9+W1348)-($D$3+Y1348),0)),Calcs!$A$110:$C$122,3,TRUE))))</f>
        <v xml:space="preserve"> </v>
      </c>
      <c r="AC1348" s="489"/>
      <c r="AD1348" s="489" t="str">
        <f>IF(IF(AA1348=" "," ",IF(NOT(ISBLANK(X1348)),VLOOKUP($D$3+X1348,Calcs!$A$110:$B$122,2,TRUE),IF(AA1348="Failed",VLOOKUP($D$3,Calcs!$A$110:$B$122,2,TRUE),VLOOKUP($D$3-(IF((Character!$B$9+W1348)&gt;($D$3+Y1348),(Character!$B$9+W1348)-($D$3+Y1348),0)),Calcs!$A$110:$B$122,2,TRUE))))=Calcs!$B$120,IF(ISBLANK(AC1348)," ",CONCATENATE(AC1348+7," Years")),IF(AA1348=" "," ",IF(NOT(ISBLANK(X1348)),VLOOKUP($D$3+X1348,Calcs!$A$110:$B$122,2,TRUE),IF(AA1348="Failed",VLOOKUP($D$3,Calcs!$A$110:$B$122,2,TRUE),VLOOKUP($D$3-(IF((Character!$B$9+W1348)&gt;($D$3+Y1348),(Character!$B$9+W1348)-($D$3+Y1348),0)),Calcs!$A$110:$B$122,2,TRUE)))))</f>
        <v xml:space="preserve"> </v>
      </c>
      <c r="AE1348" s="490"/>
      <c r="AF1348" s="879"/>
      <c r="AG1348" s="491"/>
    </row>
    <row r="1349" spans="1:33" x14ac:dyDescent="0.2">
      <c r="A1349" s="415">
        <f t="shared" si="40"/>
        <v>1547</v>
      </c>
      <c r="B1349" s="419" t="str">
        <f t="shared" si="41"/>
        <v>Spring</v>
      </c>
      <c r="C1349" s="455"/>
      <c r="D1349" s="504"/>
      <c r="E1349" s="455"/>
      <c r="F1349" s="504"/>
      <c r="G1349" s="455"/>
      <c r="H1349" s="504"/>
      <c r="I1349" s="455"/>
      <c r="J1349" s="504"/>
      <c r="L1349" s="472"/>
      <c r="M1349" s="468"/>
      <c r="N1349" s="468"/>
      <c r="O1349" s="468"/>
      <c r="P1349" s="468"/>
      <c r="Q1349" s="473"/>
      <c r="R1349" s="477" t="str">
        <f>IF(AND(COUNTIF('Start Character'!$I$63:$M$77,"Twilight Prone")=1,NOT(ISERROR(FIND("Magical Botch",M1349)))),"Yes",IF(P1349&gt;1,"Yes","No"))</f>
        <v>No</v>
      </c>
      <c r="S1349" s="501"/>
      <c r="T1349" s="478"/>
      <c r="U1349" s="501"/>
      <c r="V1349" s="479" t="str">
        <f>IF(R1349="No","No Twilight",IF(T1349="Yes","Uncomprehended Twilight",IF((Character!$B$14+IF(Character!$B$53="Yes",0,Character!$B$53)+IF(Magic!$C$5="Yes",2,0)+ROUNDUP((Magic!$B$30+IF(Magic!$C$30="Yes",3,0))/5,0)+S1349)&gt;=($D$3+P1349+SUMIF(Character!$I$62:$I$66,"Enigmatic Wisdom",Character!$J$62:$J$66)+Q1349+U1349),"No Twilight","Twilight")))</f>
        <v>No Twilight</v>
      </c>
      <c r="W1349" s="483"/>
      <c r="X1349" s="478"/>
      <c r="Y1349" s="484"/>
      <c r="Z1349" s="478"/>
      <c r="AA1349" s="485" t="str">
        <f>IF(V1349="Uncomprehended Twilight","Failed",IF(OR(ISBLANK(W1349),ISBLANK(Y1349))," ",IF(NOT(ISBLANK(X1349)),"Failed",IF((W1349+Character!$B$9+SUMIF(Character!$I$62:$I$66,"Enigmatic Wisdom",Character!$J$62:$J$66))&gt;=IF(Z1349="Yes",0,(Y1349+D1344)),"Succeeded","Failed"))))</f>
        <v xml:space="preserve"> </v>
      </c>
      <c r="AB1349" s="477" t="str">
        <f>IF(AA1349=" "," ",IF(NOT(ISBLANK(X1349)),VLOOKUP($D$3+X1349,Calcs!$A$110:$C$122,3,TRUE),IF(AA1349="Failed",VLOOKUP($D$3,Calcs!$A$110:$C$122,3,TRUE),VLOOKUP($D$3-(IF((Character!$B$9+W1349)&gt;($D$3+Y1349),(Character!$B$9+W1349)-($D$3+Y1349),0)),Calcs!$A$110:$C$122,3,TRUE))))</f>
        <v xml:space="preserve"> </v>
      </c>
      <c r="AC1349" s="489"/>
      <c r="AD1349" s="489" t="str">
        <f>IF(IF(AA1349=" "," ",IF(NOT(ISBLANK(X1349)),VLOOKUP($D$3+X1349,Calcs!$A$110:$B$122,2,TRUE),IF(AA1349="Failed",VLOOKUP($D$3,Calcs!$A$110:$B$122,2,TRUE),VLOOKUP($D$3-(IF((Character!$B$9+W1349)&gt;($D$3+Y1349),(Character!$B$9+W1349)-($D$3+Y1349),0)),Calcs!$A$110:$B$122,2,TRUE))))=Calcs!$B$120,IF(ISBLANK(AC1349)," ",CONCATENATE(AC1349+7," Years")),IF(AA1349=" "," ",IF(NOT(ISBLANK(X1349)),VLOOKUP($D$3+X1349,Calcs!$A$110:$B$122,2,TRUE),IF(AA1349="Failed",VLOOKUP($D$3,Calcs!$A$110:$B$122,2,TRUE),VLOOKUP($D$3-(IF((Character!$B$9+W1349)&gt;($D$3+Y1349),(Character!$B$9+W1349)-($D$3+Y1349),0)),Calcs!$A$110:$B$122,2,TRUE)))))</f>
        <v xml:space="preserve"> </v>
      </c>
      <c r="AE1349" s="490"/>
      <c r="AF1349" s="879"/>
      <c r="AG1349" s="491"/>
    </row>
    <row r="1350" spans="1:33" x14ac:dyDescent="0.2">
      <c r="A1350" s="415">
        <f t="shared" si="40"/>
        <v>1547</v>
      </c>
      <c r="B1350" s="419" t="str">
        <f t="shared" si="41"/>
        <v>Summer</v>
      </c>
      <c r="C1350" s="455"/>
      <c r="D1350" s="504"/>
      <c r="E1350" s="455"/>
      <c r="F1350" s="504"/>
      <c r="G1350" s="455"/>
      <c r="H1350" s="504"/>
      <c r="I1350" s="455"/>
      <c r="J1350" s="504"/>
      <c r="L1350" s="472"/>
      <c r="M1350" s="468"/>
      <c r="N1350" s="468"/>
      <c r="O1350" s="468"/>
      <c r="P1350" s="468"/>
      <c r="Q1350" s="473"/>
      <c r="R1350" s="477" t="str">
        <f>IF(AND(COUNTIF('Start Character'!$I$63:$M$77,"Twilight Prone")=1,NOT(ISERROR(FIND("Magical Botch",M1350)))),"Yes",IF(P1350&gt;1,"Yes","No"))</f>
        <v>No</v>
      </c>
      <c r="S1350" s="501"/>
      <c r="T1350" s="478"/>
      <c r="U1350" s="501"/>
      <c r="V1350" s="479" t="str">
        <f>IF(R1350="No","No Twilight",IF(T1350="Yes","Uncomprehended Twilight",IF((Character!$B$14+IF(Character!$B$53="Yes",0,Character!$B$53)+IF(Magic!$C$5="Yes",2,0)+ROUNDUP((Magic!$B$30+IF(Magic!$C$30="Yes",3,0))/5,0)+S1350)&gt;=($D$3+P1350+SUMIF(Character!$I$62:$I$66,"Enigmatic Wisdom",Character!$J$62:$J$66)+Q1350+U1350),"No Twilight","Twilight")))</f>
        <v>No Twilight</v>
      </c>
      <c r="W1350" s="483"/>
      <c r="X1350" s="478"/>
      <c r="Y1350" s="484"/>
      <c r="Z1350" s="478"/>
      <c r="AA1350" s="485" t="str">
        <f>IF(V1350="Uncomprehended Twilight","Failed",IF(OR(ISBLANK(W1350),ISBLANK(Y1350))," ",IF(NOT(ISBLANK(X1350)),"Failed",IF((W1350+Character!$B$9+SUMIF(Character!$I$62:$I$66,"Enigmatic Wisdom",Character!$J$62:$J$66))&gt;=IF(Z1350="Yes",0,(Y1350+D1345)),"Succeeded","Failed"))))</f>
        <v xml:space="preserve"> </v>
      </c>
      <c r="AB1350" s="477" t="str">
        <f>IF(AA1350=" "," ",IF(NOT(ISBLANK(X1350)),VLOOKUP($D$3+X1350,Calcs!$A$110:$C$122,3,TRUE),IF(AA1350="Failed",VLOOKUP($D$3,Calcs!$A$110:$C$122,3,TRUE),VLOOKUP($D$3-(IF((Character!$B$9+W1350)&gt;($D$3+Y1350),(Character!$B$9+W1350)-($D$3+Y1350),0)),Calcs!$A$110:$C$122,3,TRUE))))</f>
        <v xml:space="preserve"> </v>
      </c>
      <c r="AC1350" s="489"/>
      <c r="AD1350" s="489" t="str">
        <f>IF(IF(AA1350=" "," ",IF(NOT(ISBLANK(X1350)),VLOOKUP($D$3+X1350,Calcs!$A$110:$B$122,2,TRUE),IF(AA1350="Failed",VLOOKUP($D$3,Calcs!$A$110:$B$122,2,TRUE),VLOOKUP($D$3-(IF((Character!$B$9+W1350)&gt;($D$3+Y1350),(Character!$B$9+W1350)-($D$3+Y1350),0)),Calcs!$A$110:$B$122,2,TRUE))))=Calcs!$B$120,IF(ISBLANK(AC1350)," ",CONCATENATE(AC1350+7," Years")),IF(AA1350=" "," ",IF(NOT(ISBLANK(X1350)),VLOOKUP($D$3+X1350,Calcs!$A$110:$B$122,2,TRUE),IF(AA1350="Failed",VLOOKUP($D$3,Calcs!$A$110:$B$122,2,TRUE),VLOOKUP($D$3-(IF((Character!$B$9+W1350)&gt;($D$3+Y1350),(Character!$B$9+W1350)-($D$3+Y1350),0)),Calcs!$A$110:$B$122,2,TRUE)))))</f>
        <v xml:space="preserve"> </v>
      </c>
      <c r="AE1350" s="490"/>
      <c r="AF1350" s="879"/>
      <c r="AG1350" s="491"/>
    </row>
    <row r="1351" spans="1:33" x14ac:dyDescent="0.2">
      <c r="A1351" s="415">
        <f t="shared" si="40"/>
        <v>1547</v>
      </c>
      <c r="B1351" s="419" t="str">
        <f t="shared" si="41"/>
        <v>Autumn</v>
      </c>
      <c r="C1351" s="455"/>
      <c r="D1351" s="504"/>
      <c r="E1351" s="455"/>
      <c r="F1351" s="504"/>
      <c r="G1351" s="455"/>
      <c r="H1351" s="504"/>
      <c r="I1351" s="455"/>
      <c r="J1351" s="504"/>
      <c r="L1351" s="472"/>
      <c r="M1351" s="468"/>
      <c r="N1351" s="468"/>
      <c r="O1351" s="468"/>
      <c r="P1351" s="468"/>
      <c r="Q1351" s="473"/>
      <c r="R1351" s="477" t="str">
        <f>IF(AND(COUNTIF('Start Character'!$I$63:$M$77,"Twilight Prone")=1,NOT(ISERROR(FIND("Magical Botch",M1351)))),"Yes",IF(P1351&gt;1,"Yes","No"))</f>
        <v>No</v>
      </c>
      <c r="S1351" s="501"/>
      <c r="T1351" s="478"/>
      <c r="U1351" s="501"/>
      <c r="V1351" s="479" t="str">
        <f>IF(R1351="No","No Twilight",IF(T1351="Yes","Uncomprehended Twilight",IF((Character!$B$14+IF(Character!$B$53="Yes",0,Character!$B$53)+IF(Magic!$C$5="Yes",2,0)+ROUNDUP((Magic!$B$30+IF(Magic!$C$30="Yes",3,0))/5,0)+S1351)&gt;=($D$3+P1351+SUMIF(Character!$I$62:$I$66,"Enigmatic Wisdom",Character!$J$62:$J$66)+Q1351+U1351),"No Twilight","Twilight")))</f>
        <v>No Twilight</v>
      </c>
      <c r="W1351" s="483"/>
      <c r="X1351" s="478"/>
      <c r="Y1351" s="484"/>
      <c r="Z1351" s="478"/>
      <c r="AA1351" s="485" t="str">
        <f>IF(V1351="Uncomprehended Twilight","Failed",IF(OR(ISBLANK(W1351),ISBLANK(Y1351))," ",IF(NOT(ISBLANK(X1351)),"Failed",IF((W1351+Character!$B$9+SUMIF(Character!$I$62:$I$66,"Enigmatic Wisdom",Character!$J$62:$J$66))&gt;=IF(Z1351="Yes",0,(Y1351+D1346)),"Succeeded","Failed"))))</f>
        <v xml:space="preserve"> </v>
      </c>
      <c r="AB1351" s="477" t="str">
        <f>IF(AA1351=" "," ",IF(NOT(ISBLANK(X1351)),VLOOKUP($D$3+X1351,Calcs!$A$110:$C$122,3,TRUE),IF(AA1351="Failed",VLOOKUP($D$3,Calcs!$A$110:$C$122,3,TRUE),VLOOKUP($D$3-(IF((Character!$B$9+W1351)&gt;($D$3+Y1351),(Character!$B$9+W1351)-($D$3+Y1351),0)),Calcs!$A$110:$C$122,3,TRUE))))</f>
        <v xml:space="preserve"> </v>
      </c>
      <c r="AC1351" s="489"/>
      <c r="AD1351" s="489" t="str">
        <f>IF(IF(AA1351=" "," ",IF(NOT(ISBLANK(X1351)),VLOOKUP($D$3+X1351,Calcs!$A$110:$B$122,2,TRUE),IF(AA1351="Failed",VLOOKUP($D$3,Calcs!$A$110:$B$122,2,TRUE),VLOOKUP($D$3-(IF((Character!$B$9+W1351)&gt;($D$3+Y1351),(Character!$B$9+W1351)-($D$3+Y1351),0)),Calcs!$A$110:$B$122,2,TRUE))))=Calcs!$B$120,IF(ISBLANK(AC1351)," ",CONCATENATE(AC1351+7," Years")),IF(AA1351=" "," ",IF(NOT(ISBLANK(X1351)),VLOOKUP($D$3+X1351,Calcs!$A$110:$B$122,2,TRUE),IF(AA1351="Failed",VLOOKUP($D$3,Calcs!$A$110:$B$122,2,TRUE),VLOOKUP($D$3-(IF((Character!$B$9+W1351)&gt;($D$3+Y1351),(Character!$B$9+W1351)-($D$3+Y1351),0)),Calcs!$A$110:$B$122,2,TRUE)))))</f>
        <v xml:space="preserve"> </v>
      </c>
      <c r="AE1351" s="490"/>
      <c r="AF1351" s="879"/>
      <c r="AG1351" s="491"/>
    </row>
    <row r="1352" spans="1:33" x14ac:dyDescent="0.2">
      <c r="A1352" s="415">
        <f t="shared" si="40"/>
        <v>1548</v>
      </c>
      <c r="B1352" s="419" t="str">
        <f t="shared" si="41"/>
        <v>Winter</v>
      </c>
      <c r="C1352" s="455"/>
      <c r="D1352" s="504"/>
      <c r="E1352" s="455"/>
      <c r="F1352" s="504"/>
      <c r="G1352" s="455"/>
      <c r="H1352" s="504"/>
      <c r="I1352" s="455"/>
      <c r="J1352" s="504"/>
      <c r="L1352" s="472"/>
      <c r="M1352" s="468"/>
      <c r="N1352" s="468"/>
      <c r="O1352" s="468"/>
      <c r="P1352" s="468"/>
      <c r="Q1352" s="473"/>
      <c r="R1352" s="477" t="str">
        <f>IF(AND(COUNTIF('Start Character'!$I$63:$M$77,"Twilight Prone")=1,NOT(ISERROR(FIND("Magical Botch",M1352)))),"Yes",IF(P1352&gt;1,"Yes","No"))</f>
        <v>No</v>
      </c>
      <c r="S1352" s="501"/>
      <c r="T1352" s="478"/>
      <c r="U1352" s="501"/>
      <c r="V1352" s="479" t="str">
        <f>IF(R1352="No","No Twilight",IF(T1352="Yes","Uncomprehended Twilight",IF((Character!$B$14+IF(Character!$B$53="Yes",0,Character!$B$53)+IF(Magic!$C$5="Yes",2,0)+ROUNDUP((Magic!$B$30+IF(Magic!$C$30="Yes",3,0))/5,0)+S1352)&gt;=($D$3+P1352+SUMIF(Character!$I$62:$I$66,"Enigmatic Wisdom",Character!$J$62:$J$66)+Q1352+U1352),"No Twilight","Twilight")))</f>
        <v>No Twilight</v>
      </c>
      <c r="W1352" s="483"/>
      <c r="X1352" s="478"/>
      <c r="Y1352" s="484"/>
      <c r="Z1352" s="478"/>
      <c r="AA1352" s="485" t="str">
        <f>IF(V1352="Uncomprehended Twilight","Failed",IF(OR(ISBLANK(W1352),ISBLANK(Y1352))," ",IF(NOT(ISBLANK(X1352)),"Failed",IF((W1352+Character!$B$9+SUMIF(Character!$I$62:$I$66,"Enigmatic Wisdom",Character!$J$62:$J$66))&gt;=IF(Z1352="Yes",0,(Y1352+D1347)),"Succeeded","Failed"))))</f>
        <v xml:space="preserve"> </v>
      </c>
      <c r="AB1352" s="477" t="str">
        <f>IF(AA1352=" "," ",IF(NOT(ISBLANK(X1352)),VLOOKUP($D$3+X1352,Calcs!$A$110:$C$122,3,TRUE),IF(AA1352="Failed",VLOOKUP($D$3,Calcs!$A$110:$C$122,3,TRUE),VLOOKUP($D$3-(IF((Character!$B$9+W1352)&gt;($D$3+Y1352),(Character!$B$9+W1352)-($D$3+Y1352),0)),Calcs!$A$110:$C$122,3,TRUE))))</f>
        <v xml:space="preserve"> </v>
      </c>
      <c r="AC1352" s="489"/>
      <c r="AD1352" s="489" t="str">
        <f>IF(IF(AA1352=" "," ",IF(NOT(ISBLANK(X1352)),VLOOKUP($D$3+X1352,Calcs!$A$110:$B$122,2,TRUE),IF(AA1352="Failed",VLOOKUP($D$3,Calcs!$A$110:$B$122,2,TRUE),VLOOKUP($D$3-(IF((Character!$B$9+W1352)&gt;($D$3+Y1352),(Character!$B$9+W1352)-($D$3+Y1352),0)),Calcs!$A$110:$B$122,2,TRUE))))=Calcs!$B$120,IF(ISBLANK(AC1352)," ",CONCATENATE(AC1352+7," Years")),IF(AA1352=" "," ",IF(NOT(ISBLANK(X1352)),VLOOKUP($D$3+X1352,Calcs!$A$110:$B$122,2,TRUE),IF(AA1352="Failed",VLOOKUP($D$3,Calcs!$A$110:$B$122,2,TRUE),VLOOKUP($D$3-(IF((Character!$B$9+W1352)&gt;($D$3+Y1352),(Character!$B$9+W1352)-($D$3+Y1352),0)),Calcs!$A$110:$B$122,2,TRUE)))))</f>
        <v xml:space="preserve"> </v>
      </c>
      <c r="AE1352" s="490"/>
      <c r="AF1352" s="879"/>
      <c r="AG1352" s="491"/>
    </row>
    <row r="1353" spans="1:33" x14ac:dyDescent="0.2">
      <c r="A1353" s="415">
        <f t="shared" si="40"/>
        <v>1548</v>
      </c>
      <c r="B1353" s="419" t="str">
        <f t="shared" si="41"/>
        <v>Spring</v>
      </c>
      <c r="C1353" s="455"/>
      <c r="D1353" s="504"/>
      <c r="E1353" s="455"/>
      <c r="F1353" s="504"/>
      <c r="G1353" s="455"/>
      <c r="H1353" s="504"/>
      <c r="I1353" s="455"/>
      <c r="J1353" s="504"/>
      <c r="L1353" s="472"/>
      <c r="M1353" s="468"/>
      <c r="N1353" s="468"/>
      <c r="O1353" s="468"/>
      <c r="P1353" s="468"/>
      <c r="Q1353" s="473"/>
      <c r="R1353" s="477" t="str">
        <f>IF(AND(COUNTIF('Start Character'!$I$63:$M$77,"Twilight Prone")=1,NOT(ISERROR(FIND("Magical Botch",M1353)))),"Yes",IF(P1353&gt;1,"Yes","No"))</f>
        <v>No</v>
      </c>
      <c r="S1353" s="501"/>
      <c r="T1353" s="478"/>
      <c r="U1353" s="501"/>
      <c r="V1353" s="479" t="str">
        <f>IF(R1353="No","No Twilight",IF(T1353="Yes","Uncomprehended Twilight",IF((Character!$B$14+IF(Character!$B$53="Yes",0,Character!$B$53)+IF(Magic!$C$5="Yes",2,0)+ROUNDUP((Magic!$B$30+IF(Magic!$C$30="Yes",3,0))/5,0)+S1353)&gt;=($D$3+P1353+SUMIF(Character!$I$62:$I$66,"Enigmatic Wisdom",Character!$J$62:$J$66)+Q1353+U1353),"No Twilight","Twilight")))</f>
        <v>No Twilight</v>
      </c>
      <c r="W1353" s="483"/>
      <c r="X1353" s="478"/>
      <c r="Y1353" s="484"/>
      <c r="Z1353" s="478"/>
      <c r="AA1353" s="485" t="str">
        <f>IF(V1353="Uncomprehended Twilight","Failed",IF(OR(ISBLANK(W1353),ISBLANK(Y1353))," ",IF(NOT(ISBLANK(X1353)),"Failed",IF((W1353+Character!$B$9+SUMIF(Character!$I$62:$I$66,"Enigmatic Wisdom",Character!$J$62:$J$66))&gt;=IF(Z1353="Yes",0,(Y1353+D1348)),"Succeeded","Failed"))))</f>
        <v xml:space="preserve"> </v>
      </c>
      <c r="AB1353" s="477" t="str">
        <f>IF(AA1353=" "," ",IF(NOT(ISBLANK(X1353)),VLOOKUP($D$3+X1353,Calcs!$A$110:$C$122,3,TRUE),IF(AA1353="Failed",VLOOKUP($D$3,Calcs!$A$110:$C$122,3,TRUE),VLOOKUP($D$3-(IF((Character!$B$9+W1353)&gt;($D$3+Y1353),(Character!$B$9+W1353)-($D$3+Y1353),0)),Calcs!$A$110:$C$122,3,TRUE))))</f>
        <v xml:space="preserve"> </v>
      </c>
      <c r="AC1353" s="489"/>
      <c r="AD1353" s="489" t="str">
        <f>IF(IF(AA1353=" "," ",IF(NOT(ISBLANK(X1353)),VLOOKUP($D$3+X1353,Calcs!$A$110:$B$122,2,TRUE),IF(AA1353="Failed",VLOOKUP($D$3,Calcs!$A$110:$B$122,2,TRUE),VLOOKUP($D$3-(IF((Character!$B$9+W1353)&gt;($D$3+Y1353),(Character!$B$9+W1353)-($D$3+Y1353),0)),Calcs!$A$110:$B$122,2,TRUE))))=Calcs!$B$120,IF(ISBLANK(AC1353)," ",CONCATENATE(AC1353+7," Years")),IF(AA1353=" "," ",IF(NOT(ISBLANK(X1353)),VLOOKUP($D$3+X1353,Calcs!$A$110:$B$122,2,TRUE),IF(AA1353="Failed",VLOOKUP($D$3,Calcs!$A$110:$B$122,2,TRUE),VLOOKUP($D$3-(IF((Character!$B$9+W1353)&gt;($D$3+Y1353),(Character!$B$9+W1353)-($D$3+Y1353),0)),Calcs!$A$110:$B$122,2,TRUE)))))</f>
        <v xml:space="preserve"> </v>
      </c>
      <c r="AE1353" s="490"/>
      <c r="AF1353" s="879"/>
      <c r="AG1353" s="491"/>
    </row>
    <row r="1354" spans="1:33" x14ac:dyDescent="0.2">
      <c r="A1354" s="415">
        <f t="shared" si="40"/>
        <v>1548</v>
      </c>
      <c r="B1354" s="419" t="str">
        <f t="shared" si="41"/>
        <v>Summer</v>
      </c>
      <c r="C1354" s="455"/>
      <c r="D1354" s="504"/>
      <c r="E1354" s="455"/>
      <c r="F1354" s="504"/>
      <c r="G1354" s="455"/>
      <c r="H1354" s="504"/>
      <c r="I1354" s="455"/>
      <c r="J1354" s="504"/>
      <c r="L1354" s="472"/>
      <c r="M1354" s="468"/>
      <c r="N1354" s="468"/>
      <c r="O1354" s="468"/>
      <c r="P1354" s="468"/>
      <c r="Q1354" s="473"/>
      <c r="R1354" s="477" t="str">
        <f>IF(AND(COUNTIF('Start Character'!$I$63:$M$77,"Twilight Prone")=1,NOT(ISERROR(FIND("Magical Botch",M1354)))),"Yes",IF(P1354&gt;1,"Yes","No"))</f>
        <v>No</v>
      </c>
      <c r="S1354" s="501"/>
      <c r="T1354" s="478"/>
      <c r="U1354" s="501"/>
      <c r="V1354" s="479" t="str">
        <f>IF(R1354="No","No Twilight",IF(T1354="Yes","Uncomprehended Twilight",IF((Character!$B$14+IF(Character!$B$53="Yes",0,Character!$B$53)+IF(Magic!$C$5="Yes",2,0)+ROUNDUP((Magic!$B$30+IF(Magic!$C$30="Yes",3,0))/5,0)+S1354)&gt;=($D$3+P1354+SUMIF(Character!$I$62:$I$66,"Enigmatic Wisdom",Character!$J$62:$J$66)+Q1354+U1354),"No Twilight","Twilight")))</f>
        <v>No Twilight</v>
      </c>
      <c r="W1354" s="483"/>
      <c r="X1354" s="478"/>
      <c r="Y1354" s="484"/>
      <c r="Z1354" s="478"/>
      <c r="AA1354" s="485" t="str">
        <f>IF(V1354="Uncomprehended Twilight","Failed",IF(OR(ISBLANK(W1354),ISBLANK(Y1354))," ",IF(NOT(ISBLANK(X1354)),"Failed",IF((W1354+Character!$B$9+SUMIF(Character!$I$62:$I$66,"Enigmatic Wisdom",Character!$J$62:$J$66))&gt;=IF(Z1354="Yes",0,(Y1354+D1349)),"Succeeded","Failed"))))</f>
        <v xml:space="preserve"> </v>
      </c>
      <c r="AB1354" s="477" t="str">
        <f>IF(AA1354=" "," ",IF(NOT(ISBLANK(X1354)),VLOOKUP($D$3+X1354,Calcs!$A$110:$C$122,3,TRUE),IF(AA1354="Failed",VLOOKUP($D$3,Calcs!$A$110:$C$122,3,TRUE),VLOOKUP($D$3-(IF((Character!$B$9+W1354)&gt;($D$3+Y1354),(Character!$B$9+W1354)-($D$3+Y1354),0)),Calcs!$A$110:$C$122,3,TRUE))))</f>
        <v xml:space="preserve"> </v>
      </c>
      <c r="AC1354" s="489"/>
      <c r="AD1354" s="489" t="str">
        <f>IF(IF(AA1354=" "," ",IF(NOT(ISBLANK(X1354)),VLOOKUP($D$3+X1354,Calcs!$A$110:$B$122,2,TRUE),IF(AA1354="Failed",VLOOKUP($D$3,Calcs!$A$110:$B$122,2,TRUE),VLOOKUP($D$3-(IF((Character!$B$9+W1354)&gt;($D$3+Y1354),(Character!$B$9+W1354)-($D$3+Y1354),0)),Calcs!$A$110:$B$122,2,TRUE))))=Calcs!$B$120,IF(ISBLANK(AC1354)," ",CONCATENATE(AC1354+7," Years")),IF(AA1354=" "," ",IF(NOT(ISBLANK(X1354)),VLOOKUP($D$3+X1354,Calcs!$A$110:$B$122,2,TRUE),IF(AA1354="Failed",VLOOKUP($D$3,Calcs!$A$110:$B$122,2,TRUE),VLOOKUP($D$3-(IF((Character!$B$9+W1354)&gt;($D$3+Y1354),(Character!$B$9+W1354)-($D$3+Y1354),0)),Calcs!$A$110:$B$122,2,TRUE)))))</f>
        <v xml:space="preserve"> </v>
      </c>
      <c r="AE1354" s="490"/>
      <c r="AF1354" s="879"/>
      <c r="AG1354" s="491"/>
    </row>
    <row r="1355" spans="1:33" x14ac:dyDescent="0.2">
      <c r="A1355" s="415">
        <f t="shared" si="40"/>
        <v>1548</v>
      </c>
      <c r="B1355" s="419" t="str">
        <f t="shared" si="41"/>
        <v>Autumn</v>
      </c>
      <c r="C1355" s="455"/>
      <c r="D1355" s="504"/>
      <c r="E1355" s="455"/>
      <c r="F1355" s="504"/>
      <c r="G1355" s="455"/>
      <c r="H1355" s="504"/>
      <c r="I1355" s="455"/>
      <c r="J1355" s="504"/>
      <c r="L1355" s="472"/>
      <c r="M1355" s="468"/>
      <c r="N1355" s="468"/>
      <c r="O1355" s="468"/>
      <c r="P1355" s="468"/>
      <c r="Q1355" s="473"/>
      <c r="R1355" s="477" t="str">
        <f>IF(AND(COUNTIF('Start Character'!$I$63:$M$77,"Twilight Prone")=1,NOT(ISERROR(FIND("Magical Botch",M1355)))),"Yes",IF(P1355&gt;1,"Yes","No"))</f>
        <v>No</v>
      </c>
      <c r="S1355" s="501"/>
      <c r="T1355" s="478"/>
      <c r="U1355" s="501"/>
      <c r="V1355" s="479" t="str">
        <f>IF(R1355="No","No Twilight",IF(T1355="Yes","Uncomprehended Twilight",IF((Character!$B$14+IF(Character!$B$53="Yes",0,Character!$B$53)+IF(Magic!$C$5="Yes",2,0)+ROUNDUP((Magic!$B$30+IF(Magic!$C$30="Yes",3,0))/5,0)+S1355)&gt;=($D$3+P1355+SUMIF(Character!$I$62:$I$66,"Enigmatic Wisdom",Character!$J$62:$J$66)+Q1355+U1355),"No Twilight","Twilight")))</f>
        <v>No Twilight</v>
      </c>
      <c r="W1355" s="483"/>
      <c r="X1355" s="478"/>
      <c r="Y1355" s="484"/>
      <c r="Z1355" s="478"/>
      <c r="AA1355" s="485" t="str">
        <f>IF(V1355="Uncomprehended Twilight","Failed",IF(OR(ISBLANK(W1355),ISBLANK(Y1355))," ",IF(NOT(ISBLANK(X1355)),"Failed",IF((W1355+Character!$B$9+SUMIF(Character!$I$62:$I$66,"Enigmatic Wisdom",Character!$J$62:$J$66))&gt;=IF(Z1355="Yes",0,(Y1355+D1350)),"Succeeded","Failed"))))</f>
        <v xml:space="preserve"> </v>
      </c>
      <c r="AB1355" s="477" t="str">
        <f>IF(AA1355=" "," ",IF(NOT(ISBLANK(X1355)),VLOOKUP($D$3+X1355,Calcs!$A$110:$C$122,3,TRUE),IF(AA1355="Failed",VLOOKUP($D$3,Calcs!$A$110:$C$122,3,TRUE),VLOOKUP($D$3-(IF((Character!$B$9+W1355)&gt;($D$3+Y1355),(Character!$B$9+W1355)-($D$3+Y1355),0)),Calcs!$A$110:$C$122,3,TRUE))))</f>
        <v xml:space="preserve"> </v>
      </c>
      <c r="AC1355" s="489"/>
      <c r="AD1355" s="489" t="str">
        <f>IF(IF(AA1355=" "," ",IF(NOT(ISBLANK(X1355)),VLOOKUP($D$3+X1355,Calcs!$A$110:$B$122,2,TRUE),IF(AA1355="Failed",VLOOKUP($D$3,Calcs!$A$110:$B$122,2,TRUE),VLOOKUP($D$3-(IF((Character!$B$9+W1355)&gt;($D$3+Y1355),(Character!$B$9+W1355)-($D$3+Y1355),0)),Calcs!$A$110:$B$122,2,TRUE))))=Calcs!$B$120,IF(ISBLANK(AC1355)," ",CONCATENATE(AC1355+7," Years")),IF(AA1355=" "," ",IF(NOT(ISBLANK(X1355)),VLOOKUP($D$3+X1355,Calcs!$A$110:$B$122,2,TRUE),IF(AA1355="Failed",VLOOKUP($D$3,Calcs!$A$110:$B$122,2,TRUE),VLOOKUP($D$3-(IF((Character!$B$9+W1355)&gt;($D$3+Y1355),(Character!$B$9+W1355)-($D$3+Y1355),0)),Calcs!$A$110:$B$122,2,TRUE)))))</f>
        <v xml:space="preserve"> </v>
      </c>
      <c r="AE1355" s="490"/>
      <c r="AF1355" s="879"/>
      <c r="AG1355" s="491"/>
    </row>
    <row r="1356" spans="1:33" x14ac:dyDescent="0.2">
      <c r="A1356" s="415">
        <f t="shared" si="40"/>
        <v>1549</v>
      </c>
      <c r="B1356" s="419" t="str">
        <f t="shared" si="41"/>
        <v>Winter</v>
      </c>
      <c r="C1356" s="455"/>
      <c r="D1356" s="504"/>
      <c r="E1356" s="455"/>
      <c r="F1356" s="504"/>
      <c r="G1356" s="455"/>
      <c r="H1356" s="504"/>
      <c r="I1356" s="455"/>
      <c r="J1356" s="504"/>
      <c r="L1356" s="472"/>
      <c r="M1356" s="468"/>
      <c r="N1356" s="468"/>
      <c r="O1356" s="468"/>
      <c r="P1356" s="468"/>
      <c r="Q1356" s="473"/>
      <c r="R1356" s="477" t="str">
        <f>IF(AND(COUNTIF('Start Character'!$I$63:$M$77,"Twilight Prone")=1,NOT(ISERROR(FIND("Magical Botch",M1356)))),"Yes",IF(P1356&gt;1,"Yes","No"))</f>
        <v>No</v>
      </c>
      <c r="S1356" s="501"/>
      <c r="T1356" s="478"/>
      <c r="U1356" s="501"/>
      <c r="V1356" s="479" t="str">
        <f>IF(R1356="No","No Twilight",IF(T1356="Yes","Uncomprehended Twilight",IF((Character!$B$14+IF(Character!$B$53="Yes",0,Character!$B$53)+IF(Magic!$C$5="Yes",2,0)+ROUNDUP((Magic!$B$30+IF(Magic!$C$30="Yes",3,0))/5,0)+S1356)&gt;=($D$3+P1356+SUMIF(Character!$I$62:$I$66,"Enigmatic Wisdom",Character!$J$62:$J$66)+Q1356+U1356),"No Twilight","Twilight")))</f>
        <v>No Twilight</v>
      </c>
      <c r="W1356" s="483"/>
      <c r="X1356" s="478"/>
      <c r="Y1356" s="484"/>
      <c r="Z1356" s="478"/>
      <c r="AA1356" s="485" t="str">
        <f>IF(V1356="Uncomprehended Twilight","Failed",IF(OR(ISBLANK(W1356),ISBLANK(Y1356))," ",IF(NOT(ISBLANK(X1356)),"Failed",IF((W1356+Character!$B$9+SUMIF(Character!$I$62:$I$66,"Enigmatic Wisdom",Character!$J$62:$J$66))&gt;=IF(Z1356="Yes",0,(Y1356+D1351)),"Succeeded","Failed"))))</f>
        <v xml:space="preserve"> </v>
      </c>
      <c r="AB1356" s="477" t="str">
        <f>IF(AA1356=" "," ",IF(NOT(ISBLANK(X1356)),VLOOKUP($D$3+X1356,Calcs!$A$110:$C$122,3,TRUE),IF(AA1356="Failed",VLOOKUP($D$3,Calcs!$A$110:$C$122,3,TRUE),VLOOKUP($D$3-(IF((Character!$B$9+W1356)&gt;($D$3+Y1356),(Character!$B$9+W1356)-($D$3+Y1356),0)),Calcs!$A$110:$C$122,3,TRUE))))</f>
        <v xml:space="preserve"> </v>
      </c>
      <c r="AC1356" s="489"/>
      <c r="AD1356" s="489" t="str">
        <f>IF(IF(AA1356=" "," ",IF(NOT(ISBLANK(X1356)),VLOOKUP($D$3+X1356,Calcs!$A$110:$B$122,2,TRUE),IF(AA1356="Failed",VLOOKUP($D$3,Calcs!$A$110:$B$122,2,TRUE),VLOOKUP($D$3-(IF((Character!$B$9+W1356)&gt;($D$3+Y1356),(Character!$B$9+W1356)-($D$3+Y1356),0)),Calcs!$A$110:$B$122,2,TRUE))))=Calcs!$B$120,IF(ISBLANK(AC1356)," ",CONCATENATE(AC1356+7," Years")),IF(AA1356=" "," ",IF(NOT(ISBLANK(X1356)),VLOOKUP($D$3+X1356,Calcs!$A$110:$B$122,2,TRUE),IF(AA1356="Failed",VLOOKUP($D$3,Calcs!$A$110:$B$122,2,TRUE),VLOOKUP($D$3-(IF((Character!$B$9+W1356)&gt;($D$3+Y1356),(Character!$B$9+W1356)-($D$3+Y1356),0)),Calcs!$A$110:$B$122,2,TRUE)))))</f>
        <v xml:space="preserve"> </v>
      </c>
      <c r="AE1356" s="490"/>
      <c r="AF1356" s="879"/>
      <c r="AG1356" s="491"/>
    </row>
    <row r="1357" spans="1:33" x14ac:dyDescent="0.2">
      <c r="A1357" s="415">
        <f t="shared" si="40"/>
        <v>1549</v>
      </c>
      <c r="B1357" s="419" t="str">
        <f t="shared" si="41"/>
        <v>Spring</v>
      </c>
      <c r="C1357" s="455"/>
      <c r="D1357" s="504"/>
      <c r="E1357" s="455"/>
      <c r="F1357" s="504"/>
      <c r="G1357" s="455"/>
      <c r="H1357" s="504"/>
      <c r="I1357" s="455"/>
      <c r="J1357" s="504"/>
      <c r="L1357" s="472"/>
      <c r="M1357" s="468"/>
      <c r="N1357" s="468"/>
      <c r="O1357" s="468"/>
      <c r="P1357" s="468"/>
      <c r="Q1357" s="473"/>
      <c r="R1357" s="477" t="str">
        <f>IF(AND(COUNTIF('Start Character'!$I$63:$M$77,"Twilight Prone")=1,NOT(ISERROR(FIND("Magical Botch",M1357)))),"Yes",IF(P1357&gt;1,"Yes","No"))</f>
        <v>No</v>
      </c>
      <c r="S1357" s="501"/>
      <c r="T1357" s="478"/>
      <c r="U1357" s="501"/>
      <c r="V1357" s="479" t="str">
        <f>IF(R1357="No","No Twilight",IF(T1357="Yes","Uncomprehended Twilight",IF((Character!$B$14+IF(Character!$B$53="Yes",0,Character!$B$53)+IF(Magic!$C$5="Yes",2,0)+ROUNDUP((Magic!$B$30+IF(Magic!$C$30="Yes",3,0))/5,0)+S1357)&gt;=($D$3+P1357+SUMIF(Character!$I$62:$I$66,"Enigmatic Wisdom",Character!$J$62:$J$66)+Q1357+U1357),"No Twilight","Twilight")))</f>
        <v>No Twilight</v>
      </c>
      <c r="W1357" s="483"/>
      <c r="X1357" s="478"/>
      <c r="Y1357" s="484"/>
      <c r="Z1357" s="478"/>
      <c r="AA1357" s="485" t="str">
        <f>IF(V1357="Uncomprehended Twilight","Failed",IF(OR(ISBLANK(W1357),ISBLANK(Y1357))," ",IF(NOT(ISBLANK(X1357)),"Failed",IF((W1357+Character!$B$9+SUMIF(Character!$I$62:$I$66,"Enigmatic Wisdom",Character!$J$62:$J$66))&gt;=IF(Z1357="Yes",0,(Y1357+D1352)),"Succeeded","Failed"))))</f>
        <v xml:space="preserve"> </v>
      </c>
      <c r="AB1357" s="477" t="str">
        <f>IF(AA1357=" "," ",IF(NOT(ISBLANK(X1357)),VLOOKUP($D$3+X1357,Calcs!$A$110:$C$122,3,TRUE),IF(AA1357="Failed",VLOOKUP($D$3,Calcs!$A$110:$C$122,3,TRUE),VLOOKUP($D$3-(IF((Character!$B$9+W1357)&gt;($D$3+Y1357),(Character!$B$9+W1357)-($D$3+Y1357),0)),Calcs!$A$110:$C$122,3,TRUE))))</f>
        <v xml:space="preserve"> </v>
      </c>
      <c r="AC1357" s="489"/>
      <c r="AD1357" s="489" t="str">
        <f>IF(IF(AA1357=" "," ",IF(NOT(ISBLANK(X1357)),VLOOKUP($D$3+X1357,Calcs!$A$110:$B$122,2,TRUE),IF(AA1357="Failed",VLOOKUP($D$3,Calcs!$A$110:$B$122,2,TRUE),VLOOKUP($D$3-(IF((Character!$B$9+W1357)&gt;($D$3+Y1357),(Character!$B$9+W1357)-($D$3+Y1357),0)),Calcs!$A$110:$B$122,2,TRUE))))=Calcs!$B$120,IF(ISBLANK(AC1357)," ",CONCATENATE(AC1357+7," Years")),IF(AA1357=" "," ",IF(NOT(ISBLANK(X1357)),VLOOKUP($D$3+X1357,Calcs!$A$110:$B$122,2,TRUE),IF(AA1357="Failed",VLOOKUP($D$3,Calcs!$A$110:$B$122,2,TRUE),VLOOKUP($D$3-(IF((Character!$B$9+W1357)&gt;($D$3+Y1357),(Character!$B$9+W1357)-($D$3+Y1357),0)),Calcs!$A$110:$B$122,2,TRUE)))))</f>
        <v xml:space="preserve"> </v>
      </c>
      <c r="AE1357" s="490"/>
      <c r="AF1357" s="879"/>
      <c r="AG1357" s="491"/>
    </row>
    <row r="1358" spans="1:33" x14ac:dyDescent="0.2">
      <c r="A1358" s="415">
        <f t="shared" si="40"/>
        <v>1549</v>
      </c>
      <c r="B1358" s="419" t="str">
        <f t="shared" si="41"/>
        <v>Summer</v>
      </c>
      <c r="C1358" s="455"/>
      <c r="D1358" s="504"/>
      <c r="E1358" s="455"/>
      <c r="F1358" s="504"/>
      <c r="G1358" s="455"/>
      <c r="H1358" s="504"/>
      <c r="I1358" s="455"/>
      <c r="J1358" s="504"/>
      <c r="L1358" s="472"/>
      <c r="M1358" s="468"/>
      <c r="N1358" s="468"/>
      <c r="O1358" s="468"/>
      <c r="P1358" s="468"/>
      <c r="Q1358" s="473"/>
      <c r="R1358" s="477" t="str">
        <f>IF(AND(COUNTIF('Start Character'!$I$63:$M$77,"Twilight Prone")=1,NOT(ISERROR(FIND("Magical Botch",M1358)))),"Yes",IF(P1358&gt;1,"Yes","No"))</f>
        <v>No</v>
      </c>
      <c r="S1358" s="501"/>
      <c r="T1358" s="478"/>
      <c r="U1358" s="501"/>
      <c r="V1358" s="479" t="str">
        <f>IF(R1358="No","No Twilight",IF(T1358="Yes","Uncomprehended Twilight",IF((Character!$B$14+IF(Character!$B$53="Yes",0,Character!$B$53)+IF(Magic!$C$5="Yes",2,0)+ROUNDUP((Magic!$B$30+IF(Magic!$C$30="Yes",3,0))/5,0)+S1358)&gt;=($D$3+P1358+SUMIF(Character!$I$62:$I$66,"Enigmatic Wisdom",Character!$J$62:$J$66)+Q1358+U1358),"No Twilight","Twilight")))</f>
        <v>No Twilight</v>
      </c>
      <c r="W1358" s="483"/>
      <c r="X1358" s="478"/>
      <c r="Y1358" s="484"/>
      <c r="Z1358" s="478"/>
      <c r="AA1358" s="485" t="str">
        <f>IF(V1358="Uncomprehended Twilight","Failed",IF(OR(ISBLANK(W1358),ISBLANK(Y1358))," ",IF(NOT(ISBLANK(X1358)),"Failed",IF((W1358+Character!$B$9+SUMIF(Character!$I$62:$I$66,"Enigmatic Wisdom",Character!$J$62:$J$66))&gt;=IF(Z1358="Yes",0,(Y1358+D1353)),"Succeeded","Failed"))))</f>
        <v xml:space="preserve"> </v>
      </c>
      <c r="AB1358" s="477" t="str">
        <f>IF(AA1358=" "," ",IF(NOT(ISBLANK(X1358)),VLOOKUP($D$3+X1358,Calcs!$A$110:$C$122,3,TRUE),IF(AA1358="Failed",VLOOKUP($D$3,Calcs!$A$110:$C$122,3,TRUE),VLOOKUP($D$3-(IF((Character!$B$9+W1358)&gt;($D$3+Y1358),(Character!$B$9+W1358)-($D$3+Y1358),0)),Calcs!$A$110:$C$122,3,TRUE))))</f>
        <v xml:space="preserve"> </v>
      </c>
      <c r="AC1358" s="489"/>
      <c r="AD1358" s="489" t="str">
        <f>IF(IF(AA1358=" "," ",IF(NOT(ISBLANK(X1358)),VLOOKUP($D$3+X1358,Calcs!$A$110:$B$122,2,TRUE),IF(AA1358="Failed",VLOOKUP($D$3,Calcs!$A$110:$B$122,2,TRUE),VLOOKUP($D$3-(IF((Character!$B$9+W1358)&gt;($D$3+Y1358),(Character!$B$9+W1358)-($D$3+Y1358),0)),Calcs!$A$110:$B$122,2,TRUE))))=Calcs!$B$120,IF(ISBLANK(AC1358)," ",CONCATENATE(AC1358+7," Years")),IF(AA1358=" "," ",IF(NOT(ISBLANK(X1358)),VLOOKUP($D$3+X1358,Calcs!$A$110:$B$122,2,TRUE),IF(AA1358="Failed",VLOOKUP($D$3,Calcs!$A$110:$B$122,2,TRUE),VLOOKUP($D$3-(IF((Character!$B$9+W1358)&gt;($D$3+Y1358),(Character!$B$9+W1358)-($D$3+Y1358),0)),Calcs!$A$110:$B$122,2,TRUE)))))</f>
        <v xml:space="preserve"> </v>
      </c>
      <c r="AE1358" s="490"/>
      <c r="AF1358" s="879"/>
      <c r="AG1358" s="491"/>
    </row>
    <row r="1359" spans="1:33" x14ac:dyDescent="0.2">
      <c r="A1359" s="415">
        <f t="shared" si="40"/>
        <v>1549</v>
      </c>
      <c r="B1359" s="419" t="str">
        <f t="shared" si="41"/>
        <v>Autumn</v>
      </c>
      <c r="C1359" s="455"/>
      <c r="D1359" s="504"/>
      <c r="E1359" s="455"/>
      <c r="F1359" s="504"/>
      <c r="G1359" s="455"/>
      <c r="H1359" s="504"/>
      <c r="I1359" s="455"/>
      <c r="J1359" s="504"/>
      <c r="L1359" s="472"/>
      <c r="M1359" s="468"/>
      <c r="N1359" s="468"/>
      <c r="O1359" s="468"/>
      <c r="P1359" s="468"/>
      <c r="Q1359" s="473"/>
      <c r="R1359" s="477" t="str">
        <f>IF(AND(COUNTIF('Start Character'!$I$63:$M$77,"Twilight Prone")=1,NOT(ISERROR(FIND("Magical Botch",M1359)))),"Yes",IF(P1359&gt;1,"Yes","No"))</f>
        <v>No</v>
      </c>
      <c r="S1359" s="501"/>
      <c r="T1359" s="478"/>
      <c r="U1359" s="501"/>
      <c r="V1359" s="479" t="str">
        <f>IF(R1359="No","No Twilight",IF(T1359="Yes","Uncomprehended Twilight",IF((Character!$B$14+IF(Character!$B$53="Yes",0,Character!$B$53)+IF(Magic!$C$5="Yes",2,0)+ROUNDUP((Magic!$B$30+IF(Magic!$C$30="Yes",3,0))/5,0)+S1359)&gt;=($D$3+P1359+SUMIF(Character!$I$62:$I$66,"Enigmatic Wisdom",Character!$J$62:$J$66)+Q1359+U1359),"No Twilight","Twilight")))</f>
        <v>No Twilight</v>
      </c>
      <c r="W1359" s="483"/>
      <c r="X1359" s="478"/>
      <c r="Y1359" s="484"/>
      <c r="Z1359" s="478"/>
      <c r="AA1359" s="485" t="str">
        <f>IF(V1359="Uncomprehended Twilight","Failed",IF(OR(ISBLANK(W1359),ISBLANK(Y1359))," ",IF(NOT(ISBLANK(X1359)),"Failed",IF((W1359+Character!$B$9+SUMIF(Character!$I$62:$I$66,"Enigmatic Wisdom",Character!$J$62:$J$66))&gt;=IF(Z1359="Yes",0,(Y1359+D1354)),"Succeeded","Failed"))))</f>
        <v xml:space="preserve"> </v>
      </c>
      <c r="AB1359" s="477" t="str">
        <f>IF(AA1359=" "," ",IF(NOT(ISBLANK(X1359)),VLOOKUP($D$3+X1359,Calcs!$A$110:$C$122,3,TRUE),IF(AA1359="Failed",VLOOKUP($D$3,Calcs!$A$110:$C$122,3,TRUE),VLOOKUP($D$3-(IF((Character!$B$9+W1359)&gt;($D$3+Y1359),(Character!$B$9+W1359)-($D$3+Y1359),0)),Calcs!$A$110:$C$122,3,TRUE))))</f>
        <v xml:space="preserve"> </v>
      </c>
      <c r="AC1359" s="489"/>
      <c r="AD1359" s="489" t="str">
        <f>IF(IF(AA1359=" "," ",IF(NOT(ISBLANK(X1359)),VLOOKUP($D$3+X1359,Calcs!$A$110:$B$122,2,TRUE),IF(AA1359="Failed",VLOOKUP($D$3,Calcs!$A$110:$B$122,2,TRUE),VLOOKUP($D$3-(IF((Character!$B$9+W1359)&gt;($D$3+Y1359),(Character!$B$9+W1359)-($D$3+Y1359),0)),Calcs!$A$110:$B$122,2,TRUE))))=Calcs!$B$120,IF(ISBLANK(AC1359)," ",CONCATENATE(AC1359+7," Years")),IF(AA1359=" "," ",IF(NOT(ISBLANK(X1359)),VLOOKUP($D$3+X1359,Calcs!$A$110:$B$122,2,TRUE),IF(AA1359="Failed",VLOOKUP($D$3,Calcs!$A$110:$B$122,2,TRUE),VLOOKUP($D$3-(IF((Character!$B$9+W1359)&gt;($D$3+Y1359),(Character!$B$9+W1359)-($D$3+Y1359),0)),Calcs!$A$110:$B$122,2,TRUE)))))</f>
        <v xml:space="preserve"> </v>
      </c>
      <c r="AE1359" s="490"/>
      <c r="AF1359" s="879"/>
      <c r="AG1359" s="491"/>
    </row>
    <row r="1360" spans="1:33" x14ac:dyDescent="0.2">
      <c r="A1360" s="415">
        <f t="shared" si="40"/>
        <v>1550</v>
      </c>
      <c r="B1360" s="419" t="str">
        <f t="shared" si="41"/>
        <v>Winter</v>
      </c>
      <c r="C1360" s="455"/>
      <c r="D1360" s="504"/>
      <c r="E1360" s="455"/>
      <c r="F1360" s="504"/>
      <c r="G1360" s="455"/>
      <c r="H1360" s="504"/>
      <c r="I1360" s="455"/>
      <c r="J1360" s="504"/>
      <c r="L1360" s="472"/>
      <c r="M1360" s="468"/>
      <c r="N1360" s="468"/>
      <c r="O1360" s="468"/>
      <c r="P1360" s="468"/>
      <c r="Q1360" s="473"/>
      <c r="R1360" s="477" t="str">
        <f>IF(AND(COUNTIF('Start Character'!$I$63:$M$77,"Twilight Prone")=1,NOT(ISERROR(FIND("Magical Botch",M1360)))),"Yes",IF(P1360&gt;1,"Yes","No"))</f>
        <v>No</v>
      </c>
      <c r="S1360" s="501"/>
      <c r="T1360" s="478"/>
      <c r="U1360" s="501"/>
      <c r="V1360" s="479" t="str">
        <f>IF(R1360="No","No Twilight",IF(T1360="Yes","Uncomprehended Twilight",IF((Character!$B$14+IF(Character!$B$53="Yes",0,Character!$B$53)+IF(Magic!$C$5="Yes",2,0)+ROUNDUP((Magic!$B$30+IF(Magic!$C$30="Yes",3,0))/5,0)+S1360)&gt;=($D$3+P1360+SUMIF(Character!$I$62:$I$66,"Enigmatic Wisdom",Character!$J$62:$J$66)+Q1360+U1360),"No Twilight","Twilight")))</f>
        <v>No Twilight</v>
      </c>
      <c r="W1360" s="483"/>
      <c r="X1360" s="478"/>
      <c r="Y1360" s="484"/>
      <c r="Z1360" s="478"/>
      <c r="AA1360" s="485" t="str">
        <f>IF(V1360="Uncomprehended Twilight","Failed",IF(OR(ISBLANK(W1360),ISBLANK(Y1360))," ",IF(NOT(ISBLANK(X1360)),"Failed",IF((W1360+Character!$B$9+SUMIF(Character!$I$62:$I$66,"Enigmatic Wisdom",Character!$J$62:$J$66))&gt;=IF(Z1360="Yes",0,(Y1360+D1355)),"Succeeded","Failed"))))</f>
        <v xml:space="preserve"> </v>
      </c>
      <c r="AB1360" s="477" t="str">
        <f>IF(AA1360=" "," ",IF(NOT(ISBLANK(X1360)),VLOOKUP($D$3+X1360,Calcs!$A$110:$C$122,3,TRUE),IF(AA1360="Failed",VLOOKUP($D$3,Calcs!$A$110:$C$122,3,TRUE),VLOOKUP($D$3-(IF((Character!$B$9+W1360)&gt;($D$3+Y1360),(Character!$B$9+W1360)-($D$3+Y1360),0)),Calcs!$A$110:$C$122,3,TRUE))))</f>
        <v xml:space="preserve"> </v>
      </c>
      <c r="AC1360" s="489"/>
      <c r="AD1360" s="489" t="str">
        <f>IF(IF(AA1360=" "," ",IF(NOT(ISBLANK(X1360)),VLOOKUP($D$3+X1360,Calcs!$A$110:$B$122,2,TRUE),IF(AA1360="Failed",VLOOKUP($D$3,Calcs!$A$110:$B$122,2,TRUE),VLOOKUP($D$3-(IF((Character!$B$9+W1360)&gt;($D$3+Y1360),(Character!$B$9+W1360)-($D$3+Y1360),0)),Calcs!$A$110:$B$122,2,TRUE))))=Calcs!$B$120,IF(ISBLANK(AC1360)," ",CONCATENATE(AC1360+7," Years")),IF(AA1360=" "," ",IF(NOT(ISBLANK(X1360)),VLOOKUP($D$3+X1360,Calcs!$A$110:$B$122,2,TRUE),IF(AA1360="Failed",VLOOKUP($D$3,Calcs!$A$110:$B$122,2,TRUE),VLOOKUP($D$3-(IF((Character!$B$9+W1360)&gt;($D$3+Y1360),(Character!$B$9+W1360)-($D$3+Y1360),0)),Calcs!$A$110:$B$122,2,TRUE)))))</f>
        <v xml:space="preserve"> </v>
      </c>
      <c r="AE1360" s="490"/>
      <c r="AF1360" s="879"/>
      <c r="AG1360" s="491"/>
    </row>
    <row r="1361" spans="1:33" x14ac:dyDescent="0.2">
      <c r="A1361" s="415">
        <f t="shared" si="40"/>
        <v>1550</v>
      </c>
      <c r="B1361" s="419" t="str">
        <f t="shared" si="41"/>
        <v>Spring</v>
      </c>
      <c r="C1361" s="455"/>
      <c r="D1361" s="504"/>
      <c r="E1361" s="455"/>
      <c r="F1361" s="504"/>
      <c r="G1361" s="455"/>
      <c r="H1361" s="504"/>
      <c r="I1361" s="455"/>
      <c r="J1361" s="504"/>
      <c r="L1361" s="472"/>
      <c r="M1361" s="468"/>
      <c r="N1361" s="468"/>
      <c r="O1361" s="468"/>
      <c r="P1361" s="468"/>
      <c r="Q1361" s="473"/>
      <c r="R1361" s="477" t="str">
        <f>IF(AND(COUNTIF('Start Character'!$I$63:$M$77,"Twilight Prone")=1,NOT(ISERROR(FIND("Magical Botch",M1361)))),"Yes",IF(P1361&gt;1,"Yes","No"))</f>
        <v>No</v>
      </c>
      <c r="S1361" s="501"/>
      <c r="T1361" s="478"/>
      <c r="U1361" s="501"/>
      <c r="V1361" s="479" t="str">
        <f>IF(R1361="No","No Twilight",IF(T1361="Yes","Uncomprehended Twilight",IF((Character!$B$14+IF(Character!$B$53="Yes",0,Character!$B$53)+IF(Magic!$C$5="Yes",2,0)+ROUNDUP((Magic!$B$30+IF(Magic!$C$30="Yes",3,0))/5,0)+S1361)&gt;=($D$3+P1361+SUMIF(Character!$I$62:$I$66,"Enigmatic Wisdom",Character!$J$62:$J$66)+Q1361+U1361),"No Twilight","Twilight")))</f>
        <v>No Twilight</v>
      </c>
      <c r="W1361" s="483"/>
      <c r="X1361" s="478"/>
      <c r="Y1361" s="484"/>
      <c r="Z1361" s="478"/>
      <c r="AA1361" s="485" t="str">
        <f>IF(V1361="Uncomprehended Twilight","Failed",IF(OR(ISBLANK(W1361),ISBLANK(Y1361))," ",IF(NOT(ISBLANK(X1361)),"Failed",IF((W1361+Character!$B$9+SUMIF(Character!$I$62:$I$66,"Enigmatic Wisdom",Character!$J$62:$J$66))&gt;=IF(Z1361="Yes",0,(Y1361+D1356)),"Succeeded","Failed"))))</f>
        <v xml:space="preserve"> </v>
      </c>
      <c r="AB1361" s="477" t="str">
        <f>IF(AA1361=" "," ",IF(NOT(ISBLANK(X1361)),VLOOKUP($D$3+X1361,Calcs!$A$110:$C$122,3,TRUE),IF(AA1361="Failed",VLOOKUP($D$3,Calcs!$A$110:$C$122,3,TRUE),VLOOKUP($D$3-(IF((Character!$B$9+W1361)&gt;($D$3+Y1361),(Character!$B$9+W1361)-($D$3+Y1361),0)),Calcs!$A$110:$C$122,3,TRUE))))</f>
        <v xml:space="preserve"> </v>
      </c>
      <c r="AC1361" s="489"/>
      <c r="AD1361" s="489" t="str">
        <f>IF(IF(AA1361=" "," ",IF(NOT(ISBLANK(X1361)),VLOOKUP($D$3+X1361,Calcs!$A$110:$B$122,2,TRUE),IF(AA1361="Failed",VLOOKUP($D$3,Calcs!$A$110:$B$122,2,TRUE),VLOOKUP($D$3-(IF((Character!$B$9+W1361)&gt;($D$3+Y1361),(Character!$B$9+W1361)-($D$3+Y1361),0)),Calcs!$A$110:$B$122,2,TRUE))))=Calcs!$B$120,IF(ISBLANK(AC1361)," ",CONCATENATE(AC1361+7," Years")),IF(AA1361=" "," ",IF(NOT(ISBLANK(X1361)),VLOOKUP($D$3+X1361,Calcs!$A$110:$B$122,2,TRUE),IF(AA1361="Failed",VLOOKUP($D$3,Calcs!$A$110:$B$122,2,TRUE),VLOOKUP($D$3-(IF((Character!$B$9+W1361)&gt;($D$3+Y1361),(Character!$B$9+W1361)-($D$3+Y1361),0)),Calcs!$A$110:$B$122,2,TRUE)))))</f>
        <v xml:space="preserve"> </v>
      </c>
      <c r="AE1361" s="490"/>
      <c r="AF1361" s="879"/>
      <c r="AG1361" s="491"/>
    </row>
    <row r="1362" spans="1:33" x14ac:dyDescent="0.2">
      <c r="A1362" s="415">
        <f t="shared" si="40"/>
        <v>1550</v>
      </c>
      <c r="B1362" s="419" t="str">
        <f t="shared" si="41"/>
        <v>Summer</v>
      </c>
      <c r="C1362" s="455"/>
      <c r="D1362" s="504"/>
      <c r="E1362" s="455"/>
      <c r="F1362" s="504"/>
      <c r="G1362" s="455"/>
      <c r="H1362" s="504"/>
      <c r="I1362" s="455"/>
      <c r="J1362" s="504"/>
      <c r="L1362" s="472"/>
      <c r="M1362" s="468"/>
      <c r="N1362" s="468"/>
      <c r="O1362" s="468"/>
      <c r="P1362" s="468"/>
      <c r="Q1362" s="473"/>
      <c r="R1362" s="477" t="str">
        <f>IF(AND(COUNTIF('Start Character'!$I$63:$M$77,"Twilight Prone")=1,NOT(ISERROR(FIND("Magical Botch",M1362)))),"Yes",IF(P1362&gt;1,"Yes","No"))</f>
        <v>No</v>
      </c>
      <c r="S1362" s="501"/>
      <c r="T1362" s="478"/>
      <c r="U1362" s="501"/>
      <c r="V1362" s="479" t="str">
        <f>IF(R1362="No","No Twilight",IF(T1362="Yes","Uncomprehended Twilight",IF((Character!$B$14+IF(Character!$B$53="Yes",0,Character!$B$53)+IF(Magic!$C$5="Yes",2,0)+ROUNDUP((Magic!$B$30+IF(Magic!$C$30="Yes",3,0))/5,0)+S1362)&gt;=($D$3+P1362+SUMIF(Character!$I$62:$I$66,"Enigmatic Wisdom",Character!$J$62:$J$66)+Q1362+U1362),"No Twilight","Twilight")))</f>
        <v>No Twilight</v>
      </c>
      <c r="W1362" s="483"/>
      <c r="X1362" s="478"/>
      <c r="Y1362" s="484"/>
      <c r="Z1362" s="478"/>
      <c r="AA1362" s="485" t="str">
        <f>IF(V1362="Uncomprehended Twilight","Failed",IF(OR(ISBLANK(W1362),ISBLANK(Y1362))," ",IF(NOT(ISBLANK(X1362)),"Failed",IF((W1362+Character!$B$9+SUMIF(Character!$I$62:$I$66,"Enigmatic Wisdom",Character!$J$62:$J$66))&gt;=IF(Z1362="Yes",0,(Y1362+D1357)),"Succeeded","Failed"))))</f>
        <v xml:space="preserve"> </v>
      </c>
      <c r="AB1362" s="477" t="str">
        <f>IF(AA1362=" "," ",IF(NOT(ISBLANK(X1362)),VLOOKUP($D$3+X1362,Calcs!$A$110:$C$122,3,TRUE),IF(AA1362="Failed",VLOOKUP($D$3,Calcs!$A$110:$C$122,3,TRUE),VLOOKUP($D$3-(IF((Character!$B$9+W1362)&gt;($D$3+Y1362),(Character!$B$9+W1362)-($D$3+Y1362),0)),Calcs!$A$110:$C$122,3,TRUE))))</f>
        <v xml:space="preserve"> </v>
      </c>
      <c r="AC1362" s="489"/>
      <c r="AD1362" s="489" t="str">
        <f>IF(IF(AA1362=" "," ",IF(NOT(ISBLANK(X1362)),VLOOKUP($D$3+X1362,Calcs!$A$110:$B$122,2,TRUE),IF(AA1362="Failed",VLOOKUP($D$3,Calcs!$A$110:$B$122,2,TRUE),VLOOKUP($D$3-(IF((Character!$B$9+W1362)&gt;($D$3+Y1362),(Character!$B$9+W1362)-($D$3+Y1362),0)),Calcs!$A$110:$B$122,2,TRUE))))=Calcs!$B$120,IF(ISBLANK(AC1362)," ",CONCATENATE(AC1362+7," Years")),IF(AA1362=" "," ",IF(NOT(ISBLANK(X1362)),VLOOKUP($D$3+X1362,Calcs!$A$110:$B$122,2,TRUE),IF(AA1362="Failed",VLOOKUP($D$3,Calcs!$A$110:$B$122,2,TRUE),VLOOKUP($D$3-(IF((Character!$B$9+W1362)&gt;($D$3+Y1362),(Character!$B$9+W1362)-($D$3+Y1362),0)),Calcs!$A$110:$B$122,2,TRUE)))))</f>
        <v xml:space="preserve"> </v>
      </c>
      <c r="AE1362" s="490"/>
      <c r="AF1362" s="879"/>
      <c r="AG1362" s="491"/>
    </row>
    <row r="1363" spans="1:33" x14ac:dyDescent="0.2">
      <c r="A1363" s="415">
        <f t="shared" si="40"/>
        <v>1550</v>
      </c>
      <c r="B1363" s="419" t="str">
        <f t="shared" si="41"/>
        <v>Autumn</v>
      </c>
      <c r="C1363" s="455"/>
      <c r="D1363" s="504"/>
      <c r="E1363" s="455"/>
      <c r="F1363" s="504"/>
      <c r="G1363" s="455"/>
      <c r="H1363" s="504"/>
      <c r="I1363" s="455"/>
      <c r="J1363" s="504"/>
      <c r="L1363" s="472"/>
      <c r="M1363" s="468"/>
      <c r="N1363" s="468"/>
      <c r="O1363" s="468"/>
      <c r="P1363" s="468"/>
      <c r="Q1363" s="473"/>
      <c r="R1363" s="477" t="str">
        <f>IF(AND(COUNTIF('Start Character'!$I$63:$M$77,"Twilight Prone")=1,NOT(ISERROR(FIND("Magical Botch",M1363)))),"Yes",IF(P1363&gt;1,"Yes","No"))</f>
        <v>No</v>
      </c>
      <c r="S1363" s="501"/>
      <c r="T1363" s="478"/>
      <c r="U1363" s="501"/>
      <c r="V1363" s="479" t="str">
        <f>IF(R1363="No","No Twilight",IF(T1363="Yes","Uncomprehended Twilight",IF((Character!$B$14+IF(Character!$B$53="Yes",0,Character!$B$53)+IF(Magic!$C$5="Yes",2,0)+ROUNDUP((Magic!$B$30+IF(Magic!$C$30="Yes",3,0))/5,0)+S1363)&gt;=($D$3+P1363+SUMIF(Character!$I$62:$I$66,"Enigmatic Wisdom",Character!$J$62:$J$66)+Q1363+U1363),"No Twilight","Twilight")))</f>
        <v>No Twilight</v>
      </c>
      <c r="W1363" s="483"/>
      <c r="X1363" s="478"/>
      <c r="Y1363" s="484"/>
      <c r="Z1363" s="478"/>
      <c r="AA1363" s="485" t="str">
        <f>IF(V1363="Uncomprehended Twilight","Failed",IF(OR(ISBLANK(W1363),ISBLANK(Y1363))," ",IF(NOT(ISBLANK(X1363)),"Failed",IF((W1363+Character!$B$9+SUMIF(Character!$I$62:$I$66,"Enigmatic Wisdom",Character!$J$62:$J$66))&gt;=IF(Z1363="Yes",0,(Y1363+D1358)),"Succeeded","Failed"))))</f>
        <v xml:space="preserve"> </v>
      </c>
      <c r="AB1363" s="477" t="str">
        <f>IF(AA1363=" "," ",IF(NOT(ISBLANK(X1363)),VLOOKUP($D$3+X1363,Calcs!$A$110:$C$122,3,TRUE),IF(AA1363="Failed",VLOOKUP($D$3,Calcs!$A$110:$C$122,3,TRUE),VLOOKUP($D$3-(IF((Character!$B$9+W1363)&gt;($D$3+Y1363),(Character!$B$9+W1363)-($D$3+Y1363),0)),Calcs!$A$110:$C$122,3,TRUE))))</f>
        <v xml:space="preserve"> </v>
      </c>
      <c r="AC1363" s="489"/>
      <c r="AD1363" s="489" t="str">
        <f>IF(IF(AA1363=" "," ",IF(NOT(ISBLANK(X1363)),VLOOKUP($D$3+X1363,Calcs!$A$110:$B$122,2,TRUE),IF(AA1363="Failed",VLOOKUP($D$3,Calcs!$A$110:$B$122,2,TRUE),VLOOKUP($D$3-(IF((Character!$B$9+W1363)&gt;($D$3+Y1363),(Character!$B$9+W1363)-($D$3+Y1363),0)),Calcs!$A$110:$B$122,2,TRUE))))=Calcs!$B$120,IF(ISBLANK(AC1363)," ",CONCATENATE(AC1363+7," Years")),IF(AA1363=" "," ",IF(NOT(ISBLANK(X1363)),VLOOKUP($D$3+X1363,Calcs!$A$110:$B$122,2,TRUE),IF(AA1363="Failed",VLOOKUP($D$3,Calcs!$A$110:$B$122,2,TRUE),VLOOKUP($D$3-(IF((Character!$B$9+W1363)&gt;($D$3+Y1363),(Character!$B$9+W1363)-($D$3+Y1363),0)),Calcs!$A$110:$B$122,2,TRUE)))))</f>
        <v xml:space="preserve"> </v>
      </c>
      <c r="AE1363" s="490"/>
      <c r="AF1363" s="879"/>
      <c r="AG1363" s="491"/>
    </row>
    <row r="1364" spans="1:33" x14ac:dyDescent="0.2">
      <c r="A1364" s="415">
        <f t="shared" si="40"/>
        <v>1551</v>
      </c>
      <c r="B1364" s="419" t="str">
        <f t="shared" si="41"/>
        <v>Winter</v>
      </c>
      <c r="C1364" s="455"/>
      <c r="D1364" s="504"/>
      <c r="E1364" s="455"/>
      <c r="F1364" s="504"/>
      <c r="G1364" s="455"/>
      <c r="H1364" s="504"/>
      <c r="I1364" s="455"/>
      <c r="J1364" s="504"/>
      <c r="L1364" s="472"/>
      <c r="M1364" s="468"/>
      <c r="N1364" s="468"/>
      <c r="O1364" s="468"/>
      <c r="P1364" s="468"/>
      <c r="Q1364" s="473"/>
      <c r="R1364" s="477" t="str">
        <f>IF(AND(COUNTIF('Start Character'!$I$63:$M$77,"Twilight Prone")=1,NOT(ISERROR(FIND("Magical Botch",M1364)))),"Yes",IF(P1364&gt;1,"Yes","No"))</f>
        <v>No</v>
      </c>
      <c r="S1364" s="501"/>
      <c r="T1364" s="478"/>
      <c r="U1364" s="501"/>
      <c r="V1364" s="479" t="str">
        <f>IF(R1364="No","No Twilight",IF(T1364="Yes","Uncomprehended Twilight",IF((Character!$B$14+IF(Character!$B$53="Yes",0,Character!$B$53)+IF(Magic!$C$5="Yes",2,0)+ROUNDUP((Magic!$B$30+IF(Magic!$C$30="Yes",3,0))/5,0)+S1364)&gt;=($D$3+P1364+SUMIF(Character!$I$62:$I$66,"Enigmatic Wisdom",Character!$J$62:$J$66)+Q1364+U1364),"No Twilight","Twilight")))</f>
        <v>No Twilight</v>
      </c>
      <c r="W1364" s="483"/>
      <c r="X1364" s="478"/>
      <c r="Y1364" s="484"/>
      <c r="Z1364" s="478"/>
      <c r="AA1364" s="485" t="str">
        <f>IF(V1364="Uncomprehended Twilight","Failed",IF(OR(ISBLANK(W1364),ISBLANK(Y1364))," ",IF(NOT(ISBLANK(X1364)),"Failed",IF((W1364+Character!$B$9+SUMIF(Character!$I$62:$I$66,"Enigmatic Wisdom",Character!$J$62:$J$66))&gt;=IF(Z1364="Yes",0,(Y1364+D1359)),"Succeeded","Failed"))))</f>
        <v xml:space="preserve"> </v>
      </c>
      <c r="AB1364" s="477" t="str">
        <f>IF(AA1364=" "," ",IF(NOT(ISBLANK(X1364)),VLOOKUP($D$3+X1364,Calcs!$A$110:$C$122,3,TRUE),IF(AA1364="Failed",VLOOKUP($D$3,Calcs!$A$110:$C$122,3,TRUE),VLOOKUP($D$3-(IF((Character!$B$9+W1364)&gt;($D$3+Y1364),(Character!$B$9+W1364)-($D$3+Y1364),0)),Calcs!$A$110:$C$122,3,TRUE))))</f>
        <v xml:space="preserve"> </v>
      </c>
      <c r="AC1364" s="489"/>
      <c r="AD1364" s="489" t="str">
        <f>IF(IF(AA1364=" "," ",IF(NOT(ISBLANK(X1364)),VLOOKUP($D$3+X1364,Calcs!$A$110:$B$122,2,TRUE),IF(AA1364="Failed",VLOOKUP($D$3,Calcs!$A$110:$B$122,2,TRUE),VLOOKUP($D$3-(IF((Character!$B$9+W1364)&gt;($D$3+Y1364),(Character!$B$9+W1364)-($D$3+Y1364),0)),Calcs!$A$110:$B$122,2,TRUE))))=Calcs!$B$120,IF(ISBLANK(AC1364)," ",CONCATENATE(AC1364+7," Years")),IF(AA1364=" "," ",IF(NOT(ISBLANK(X1364)),VLOOKUP($D$3+X1364,Calcs!$A$110:$B$122,2,TRUE),IF(AA1364="Failed",VLOOKUP($D$3,Calcs!$A$110:$B$122,2,TRUE),VLOOKUP($D$3-(IF((Character!$B$9+W1364)&gt;($D$3+Y1364),(Character!$B$9+W1364)-($D$3+Y1364),0)),Calcs!$A$110:$B$122,2,TRUE)))))</f>
        <v xml:space="preserve"> </v>
      </c>
      <c r="AE1364" s="490"/>
      <c r="AF1364" s="879"/>
      <c r="AG1364" s="491"/>
    </row>
    <row r="1365" spans="1:33" x14ac:dyDescent="0.2">
      <c r="A1365" s="415">
        <f t="shared" si="40"/>
        <v>1551</v>
      </c>
      <c r="B1365" s="419" t="str">
        <f t="shared" si="41"/>
        <v>Spring</v>
      </c>
      <c r="C1365" s="455"/>
      <c r="D1365" s="504"/>
      <c r="E1365" s="455"/>
      <c r="F1365" s="504"/>
      <c r="G1365" s="455"/>
      <c r="H1365" s="504"/>
      <c r="I1365" s="455"/>
      <c r="J1365" s="504"/>
      <c r="L1365" s="472"/>
      <c r="M1365" s="468"/>
      <c r="N1365" s="468"/>
      <c r="O1365" s="468"/>
      <c r="P1365" s="468"/>
      <c r="Q1365" s="473"/>
      <c r="R1365" s="477" t="str">
        <f>IF(AND(COUNTIF('Start Character'!$I$63:$M$77,"Twilight Prone")=1,NOT(ISERROR(FIND("Magical Botch",M1365)))),"Yes",IF(P1365&gt;1,"Yes","No"))</f>
        <v>No</v>
      </c>
      <c r="S1365" s="501"/>
      <c r="T1365" s="478"/>
      <c r="U1365" s="501"/>
      <c r="V1365" s="479" t="str">
        <f>IF(R1365="No","No Twilight",IF(T1365="Yes","Uncomprehended Twilight",IF((Character!$B$14+IF(Character!$B$53="Yes",0,Character!$B$53)+IF(Magic!$C$5="Yes",2,0)+ROUNDUP((Magic!$B$30+IF(Magic!$C$30="Yes",3,0))/5,0)+S1365)&gt;=($D$3+P1365+SUMIF(Character!$I$62:$I$66,"Enigmatic Wisdom",Character!$J$62:$J$66)+Q1365+U1365),"No Twilight","Twilight")))</f>
        <v>No Twilight</v>
      </c>
      <c r="W1365" s="483"/>
      <c r="X1365" s="478"/>
      <c r="Y1365" s="484"/>
      <c r="Z1365" s="478"/>
      <c r="AA1365" s="485" t="str">
        <f>IF(V1365="Uncomprehended Twilight","Failed",IF(OR(ISBLANK(W1365),ISBLANK(Y1365))," ",IF(NOT(ISBLANK(X1365)),"Failed",IF((W1365+Character!$B$9+SUMIF(Character!$I$62:$I$66,"Enigmatic Wisdom",Character!$J$62:$J$66))&gt;=IF(Z1365="Yes",0,(Y1365+D1360)),"Succeeded","Failed"))))</f>
        <v xml:space="preserve"> </v>
      </c>
      <c r="AB1365" s="477" t="str">
        <f>IF(AA1365=" "," ",IF(NOT(ISBLANK(X1365)),VLOOKUP($D$3+X1365,Calcs!$A$110:$C$122,3,TRUE),IF(AA1365="Failed",VLOOKUP($D$3,Calcs!$A$110:$C$122,3,TRUE),VLOOKUP($D$3-(IF((Character!$B$9+W1365)&gt;($D$3+Y1365),(Character!$B$9+W1365)-($D$3+Y1365),0)),Calcs!$A$110:$C$122,3,TRUE))))</f>
        <v xml:space="preserve"> </v>
      </c>
      <c r="AC1365" s="489"/>
      <c r="AD1365" s="489" t="str">
        <f>IF(IF(AA1365=" "," ",IF(NOT(ISBLANK(X1365)),VLOOKUP($D$3+X1365,Calcs!$A$110:$B$122,2,TRUE),IF(AA1365="Failed",VLOOKUP($D$3,Calcs!$A$110:$B$122,2,TRUE),VLOOKUP($D$3-(IF((Character!$B$9+W1365)&gt;($D$3+Y1365),(Character!$B$9+W1365)-($D$3+Y1365),0)),Calcs!$A$110:$B$122,2,TRUE))))=Calcs!$B$120,IF(ISBLANK(AC1365)," ",CONCATENATE(AC1365+7," Years")),IF(AA1365=" "," ",IF(NOT(ISBLANK(X1365)),VLOOKUP($D$3+X1365,Calcs!$A$110:$B$122,2,TRUE),IF(AA1365="Failed",VLOOKUP($D$3,Calcs!$A$110:$B$122,2,TRUE),VLOOKUP($D$3-(IF((Character!$B$9+W1365)&gt;($D$3+Y1365),(Character!$B$9+W1365)-($D$3+Y1365),0)),Calcs!$A$110:$B$122,2,TRUE)))))</f>
        <v xml:space="preserve"> </v>
      </c>
      <c r="AE1365" s="490"/>
      <c r="AF1365" s="879"/>
      <c r="AG1365" s="491"/>
    </row>
    <row r="1366" spans="1:33" x14ac:dyDescent="0.2">
      <c r="A1366" s="415">
        <f t="shared" si="40"/>
        <v>1551</v>
      </c>
      <c r="B1366" s="419" t="str">
        <f t="shared" si="41"/>
        <v>Summer</v>
      </c>
      <c r="C1366" s="455"/>
      <c r="D1366" s="504"/>
      <c r="E1366" s="455"/>
      <c r="F1366" s="504"/>
      <c r="G1366" s="455"/>
      <c r="H1366" s="504"/>
      <c r="I1366" s="455"/>
      <c r="J1366" s="504"/>
      <c r="L1366" s="472"/>
      <c r="M1366" s="468"/>
      <c r="N1366" s="468"/>
      <c r="O1366" s="468"/>
      <c r="P1366" s="468"/>
      <c r="Q1366" s="473"/>
      <c r="R1366" s="477" t="str">
        <f>IF(AND(COUNTIF('Start Character'!$I$63:$M$77,"Twilight Prone")=1,NOT(ISERROR(FIND("Magical Botch",M1366)))),"Yes",IF(P1366&gt;1,"Yes","No"))</f>
        <v>No</v>
      </c>
      <c r="S1366" s="501"/>
      <c r="T1366" s="478"/>
      <c r="U1366" s="501"/>
      <c r="V1366" s="479" t="str">
        <f>IF(R1366="No","No Twilight",IF(T1366="Yes","Uncomprehended Twilight",IF((Character!$B$14+IF(Character!$B$53="Yes",0,Character!$B$53)+IF(Magic!$C$5="Yes",2,0)+ROUNDUP((Magic!$B$30+IF(Magic!$C$30="Yes",3,0))/5,0)+S1366)&gt;=($D$3+P1366+SUMIF(Character!$I$62:$I$66,"Enigmatic Wisdom",Character!$J$62:$J$66)+Q1366+U1366),"No Twilight","Twilight")))</f>
        <v>No Twilight</v>
      </c>
      <c r="W1366" s="483"/>
      <c r="X1366" s="478"/>
      <c r="Y1366" s="484"/>
      <c r="Z1366" s="478"/>
      <c r="AA1366" s="485" t="str">
        <f>IF(V1366="Uncomprehended Twilight","Failed",IF(OR(ISBLANK(W1366),ISBLANK(Y1366))," ",IF(NOT(ISBLANK(X1366)),"Failed",IF((W1366+Character!$B$9+SUMIF(Character!$I$62:$I$66,"Enigmatic Wisdom",Character!$J$62:$J$66))&gt;=IF(Z1366="Yes",0,(Y1366+D1361)),"Succeeded","Failed"))))</f>
        <v xml:space="preserve"> </v>
      </c>
      <c r="AB1366" s="477" t="str">
        <f>IF(AA1366=" "," ",IF(NOT(ISBLANK(X1366)),VLOOKUP($D$3+X1366,Calcs!$A$110:$C$122,3,TRUE),IF(AA1366="Failed",VLOOKUP($D$3,Calcs!$A$110:$C$122,3,TRUE),VLOOKUP($D$3-(IF((Character!$B$9+W1366)&gt;($D$3+Y1366),(Character!$B$9+W1366)-($D$3+Y1366),0)),Calcs!$A$110:$C$122,3,TRUE))))</f>
        <v xml:space="preserve"> </v>
      </c>
      <c r="AC1366" s="489"/>
      <c r="AD1366" s="489" t="str">
        <f>IF(IF(AA1366=" "," ",IF(NOT(ISBLANK(X1366)),VLOOKUP($D$3+X1366,Calcs!$A$110:$B$122,2,TRUE),IF(AA1366="Failed",VLOOKUP($D$3,Calcs!$A$110:$B$122,2,TRUE),VLOOKUP($D$3-(IF((Character!$B$9+W1366)&gt;($D$3+Y1366),(Character!$B$9+W1366)-($D$3+Y1366),0)),Calcs!$A$110:$B$122,2,TRUE))))=Calcs!$B$120,IF(ISBLANK(AC1366)," ",CONCATENATE(AC1366+7," Years")),IF(AA1366=" "," ",IF(NOT(ISBLANK(X1366)),VLOOKUP($D$3+X1366,Calcs!$A$110:$B$122,2,TRUE),IF(AA1366="Failed",VLOOKUP($D$3,Calcs!$A$110:$B$122,2,TRUE),VLOOKUP($D$3-(IF((Character!$B$9+W1366)&gt;($D$3+Y1366),(Character!$B$9+W1366)-($D$3+Y1366),0)),Calcs!$A$110:$B$122,2,TRUE)))))</f>
        <v xml:space="preserve"> </v>
      </c>
      <c r="AE1366" s="490"/>
      <c r="AF1366" s="879"/>
      <c r="AG1366" s="491"/>
    </row>
    <row r="1367" spans="1:33" x14ac:dyDescent="0.2">
      <c r="A1367" s="415">
        <f t="shared" si="40"/>
        <v>1551</v>
      </c>
      <c r="B1367" s="419" t="str">
        <f t="shared" si="41"/>
        <v>Autumn</v>
      </c>
      <c r="C1367" s="455"/>
      <c r="D1367" s="504"/>
      <c r="E1367" s="455"/>
      <c r="F1367" s="504"/>
      <c r="G1367" s="455"/>
      <c r="H1367" s="504"/>
      <c r="I1367" s="455"/>
      <c r="J1367" s="504"/>
      <c r="L1367" s="472"/>
      <c r="M1367" s="468"/>
      <c r="N1367" s="468"/>
      <c r="O1367" s="468"/>
      <c r="P1367" s="468"/>
      <c r="Q1367" s="473"/>
      <c r="R1367" s="477" t="str">
        <f>IF(AND(COUNTIF('Start Character'!$I$63:$M$77,"Twilight Prone")=1,NOT(ISERROR(FIND("Magical Botch",M1367)))),"Yes",IF(P1367&gt;1,"Yes","No"))</f>
        <v>No</v>
      </c>
      <c r="S1367" s="501"/>
      <c r="T1367" s="478"/>
      <c r="U1367" s="501"/>
      <c r="V1367" s="479" t="str">
        <f>IF(R1367="No","No Twilight",IF(T1367="Yes","Uncomprehended Twilight",IF((Character!$B$14+IF(Character!$B$53="Yes",0,Character!$B$53)+IF(Magic!$C$5="Yes",2,0)+ROUNDUP((Magic!$B$30+IF(Magic!$C$30="Yes",3,0))/5,0)+S1367)&gt;=($D$3+P1367+SUMIF(Character!$I$62:$I$66,"Enigmatic Wisdom",Character!$J$62:$J$66)+Q1367+U1367),"No Twilight","Twilight")))</f>
        <v>No Twilight</v>
      </c>
      <c r="W1367" s="483"/>
      <c r="X1367" s="478"/>
      <c r="Y1367" s="484"/>
      <c r="Z1367" s="478"/>
      <c r="AA1367" s="485" t="str">
        <f>IF(V1367="Uncomprehended Twilight","Failed",IF(OR(ISBLANK(W1367),ISBLANK(Y1367))," ",IF(NOT(ISBLANK(X1367)),"Failed",IF((W1367+Character!$B$9+SUMIF(Character!$I$62:$I$66,"Enigmatic Wisdom",Character!$J$62:$J$66))&gt;=IF(Z1367="Yes",0,(Y1367+D1362)),"Succeeded","Failed"))))</f>
        <v xml:space="preserve"> </v>
      </c>
      <c r="AB1367" s="477" t="str">
        <f>IF(AA1367=" "," ",IF(NOT(ISBLANK(X1367)),VLOOKUP($D$3+X1367,Calcs!$A$110:$C$122,3,TRUE),IF(AA1367="Failed",VLOOKUP($D$3,Calcs!$A$110:$C$122,3,TRUE),VLOOKUP($D$3-(IF((Character!$B$9+W1367)&gt;($D$3+Y1367),(Character!$B$9+W1367)-($D$3+Y1367),0)),Calcs!$A$110:$C$122,3,TRUE))))</f>
        <v xml:space="preserve"> </v>
      </c>
      <c r="AC1367" s="489"/>
      <c r="AD1367" s="489" t="str">
        <f>IF(IF(AA1367=" "," ",IF(NOT(ISBLANK(X1367)),VLOOKUP($D$3+X1367,Calcs!$A$110:$B$122,2,TRUE),IF(AA1367="Failed",VLOOKUP($D$3,Calcs!$A$110:$B$122,2,TRUE),VLOOKUP($D$3-(IF((Character!$B$9+W1367)&gt;($D$3+Y1367),(Character!$B$9+W1367)-($D$3+Y1367),0)),Calcs!$A$110:$B$122,2,TRUE))))=Calcs!$B$120,IF(ISBLANK(AC1367)," ",CONCATENATE(AC1367+7," Years")),IF(AA1367=" "," ",IF(NOT(ISBLANK(X1367)),VLOOKUP($D$3+X1367,Calcs!$A$110:$B$122,2,TRUE),IF(AA1367="Failed",VLOOKUP($D$3,Calcs!$A$110:$B$122,2,TRUE),VLOOKUP($D$3-(IF((Character!$B$9+W1367)&gt;($D$3+Y1367),(Character!$B$9+W1367)-($D$3+Y1367),0)),Calcs!$A$110:$B$122,2,TRUE)))))</f>
        <v xml:space="preserve"> </v>
      </c>
      <c r="AE1367" s="490"/>
      <c r="AF1367" s="879"/>
      <c r="AG1367" s="491"/>
    </row>
    <row r="1368" spans="1:33" x14ac:dyDescent="0.2">
      <c r="A1368" s="415">
        <f t="shared" si="40"/>
        <v>1552</v>
      </c>
      <c r="B1368" s="419" t="str">
        <f t="shared" si="41"/>
        <v>Winter</v>
      </c>
      <c r="C1368" s="455"/>
      <c r="D1368" s="504"/>
      <c r="E1368" s="455"/>
      <c r="F1368" s="504"/>
      <c r="G1368" s="455"/>
      <c r="H1368" s="504"/>
      <c r="I1368" s="455"/>
      <c r="J1368" s="504"/>
      <c r="L1368" s="472"/>
      <c r="M1368" s="468"/>
      <c r="N1368" s="468"/>
      <c r="O1368" s="468"/>
      <c r="P1368" s="468"/>
      <c r="Q1368" s="473"/>
      <c r="R1368" s="477" t="str">
        <f>IF(AND(COUNTIF('Start Character'!$I$63:$M$77,"Twilight Prone")=1,NOT(ISERROR(FIND("Magical Botch",M1368)))),"Yes",IF(P1368&gt;1,"Yes","No"))</f>
        <v>No</v>
      </c>
      <c r="S1368" s="501"/>
      <c r="T1368" s="478"/>
      <c r="U1368" s="501"/>
      <c r="V1368" s="479" t="str">
        <f>IF(R1368="No","No Twilight",IF(T1368="Yes","Uncomprehended Twilight",IF((Character!$B$14+IF(Character!$B$53="Yes",0,Character!$B$53)+IF(Magic!$C$5="Yes",2,0)+ROUNDUP((Magic!$B$30+IF(Magic!$C$30="Yes",3,0))/5,0)+S1368)&gt;=($D$3+P1368+SUMIF(Character!$I$62:$I$66,"Enigmatic Wisdom",Character!$J$62:$J$66)+Q1368+U1368),"No Twilight","Twilight")))</f>
        <v>No Twilight</v>
      </c>
      <c r="W1368" s="483"/>
      <c r="X1368" s="478"/>
      <c r="Y1368" s="484"/>
      <c r="Z1368" s="478"/>
      <c r="AA1368" s="485" t="str">
        <f>IF(V1368="Uncomprehended Twilight","Failed",IF(OR(ISBLANK(W1368),ISBLANK(Y1368))," ",IF(NOT(ISBLANK(X1368)),"Failed",IF((W1368+Character!$B$9+SUMIF(Character!$I$62:$I$66,"Enigmatic Wisdom",Character!$J$62:$J$66))&gt;=IF(Z1368="Yes",0,(Y1368+D1363)),"Succeeded","Failed"))))</f>
        <v xml:space="preserve"> </v>
      </c>
      <c r="AB1368" s="477" t="str">
        <f>IF(AA1368=" "," ",IF(NOT(ISBLANK(X1368)),VLOOKUP($D$3+X1368,Calcs!$A$110:$C$122,3,TRUE),IF(AA1368="Failed",VLOOKUP($D$3,Calcs!$A$110:$C$122,3,TRUE),VLOOKUP($D$3-(IF((Character!$B$9+W1368)&gt;($D$3+Y1368),(Character!$B$9+W1368)-($D$3+Y1368),0)),Calcs!$A$110:$C$122,3,TRUE))))</f>
        <v xml:space="preserve"> </v>
      </c>
      <c r="AC1368" s="489"/>
      <c r="AD1368" s="489" t="str">
        <f>IF(IF(AA1368=" "," ",IF(NOT(ISBLANK(X1368)),VLOOKUP($D$3+X1368,Calcs!$A$110:$B$122,2,TRUE),IF(AA1368="Failed",VLOOKUP($D$3,Calcs!$A$110:$B$122,2,TRUE),VLOOKUP($D$3-(IF((Character!$B$9+W1368)&gt;($D$3+Y1368),(Character!$B$9+W1368)-($D$3+Y1368),0)),Calcs!$A$110:$B$122,2,TRUE))))=Calcs!$B$120,IF(ISBLANK(AC1368)," ",CONCATENATE(AC1368+7," Years")),IF(AA1368=" "," ",IF(NOT(ISBLANK(X1368)),VLOOKUP($D$3+X1368,Calcs!$A$110:$B$122,2,TRUE),IF(AA1368="Failed",VLOOKUP($D$3,Calcs!$A$110:$B$122,2,TRUE),VLOOKUP($D$3-(IF((Character!$B$9+W1368)&gt;($D$3+Y1368),(Character!$B$9+W1368)-($D$3+Y1368),0)),Calcs!$A$110:$B$122,2,TRUE)))))</f>
        <v xml:space="preserve"> </v>
      </c>
      <c r="AE1368" s="490"/>
      <c r="AF1368" s="879"/>
      <c r="AG1368" s="491"/>
    </row>
    <row r="1369" spans="1:33" x14ac:dyDescent="0.2">
      <c r="A1369" s="415">
        <f t="shared" si="40"/>
        <v>1552</v>
      </c>
      <c r="B1369" s="419" t="str">
        <f t="shared" si="41"/>
        <v>Spring</v>
      </c>
      <c r="C1369" s="455"/>
      <c r="D1369" s="504"/>
      <c r="E1369" s="455"/>
      <c r="F1369" s="504"/>
      <c r="G1369" s="455"/>
      <c r="H1369" s="504"/>
      <c r="I1369" s="455"/>
      <c r="J1369" s="504"/>
      <c r="L1369" s="472"/>
      <c r="M1369" s="468"/>
      <c r="N1369" s="468"/>
      <c r="O1369" s="468"/>
      <c r="P1369" s="468"/>
      <c r="Q1369" s="473"/>
      <c r="R1369" s="477" t="str">
        <f>IF(AND(COUNTIF('Start Character'!$I$63:$M$77,"Twilight Prone")=1,NOT(ISERROR(FIND("Magical Botch",M1369)))),"Yes",IF(P1369&gt;1,"Yes","No"))</f>
        <v>No</v>
      </c>
      <c r="S1369" s="501"/>
      <c r="T1369" s="478"/>
      <c r="U1369" s="501"/>
      <c r="V1369" s="479" t="str">
        <f>IF(R1369="No","No Twilight",IF(T1369="Yes","Uncomprehended Twilight",IF((Character!$B$14+IF(Character!$B$53="Yes",0,Character!$B$53)+IF(Magic!$C$5="Yes",2,0)+ROUNDUP((Magic!$B$30+IF(Magic!$C$30="Yes",3,0))/5,0)+S1369)&gt;=($D$3+P1369+SUMIF(Character!$I$62:$I$66,"Enigmatic Wisdom",Character!$J$62:$J$66)+Q1369+U1369),"No Twilight","Twilight")))</f>
        <v>No Twilight</v>
      </c>
      <c r="W1369" s="483"/>
      <c r="X1369" s="478"/>
      <c r="Y1369" s="484"/>
      <c r="Z1369" s="478"/>
      <c r="AA1369" s="485" t="str">
        <f>IF(V1369="Uncomprehended Twilight","Failed",IF(OR(ISBLANK(W1369),ISBLANK(Y1369))," ",IF(NOT(ISBLANK(X1369)),"Failed",IF((W1369+Character!$B$9+SUMIF(Character!$I$62:$I$66,"Enigmatic Wisdom",Character!$J$62:$J$66))&gt;=IF(Z1369="Yes",0,(Y1369+D1364)),"Succeeded","Failed"))))</f>
        <v xml:space="preserve"> </v>
      </c>
      <c r="AB1369" s="477" t="str">
        <f>IF(AA1369=" "," ",IF(NOT(ISBLANK(X1369)),VLOOKUP($D$3+X1369,Calcs!$A$110:$C$122,3,TRUE),IF(AA1369="Failed",VLOOKUP($D$3,Calcs!$A$110:$C$122,3,TRUE),VLOOKUP($D$3-(IF((Character!$B$9+W1369)&gt;($D$3+Y1369),(Character!$B$9+W1369)-($D$3+Y1369),0)),Calcs!$A$110:$C$122,3,TRUE))))</f>
        <v xml:space="preserve"> </v>
      </c>
      <c r="AC1369" s="489"/>
      <c r="AD1369" s="489" t="str">
        <f>IF(IF(AA1369=" "," ",IF(NOT(ISBLANK(X1369)),VLOOKUP($D$3+X1369,Calcs!$A$110:$B$122,2,TRUE),IF(AA1369="Failed",VLOOKUP($D$3,Calcs!$A$110:$B$122,2,TRUE),VLOOKUP($D$3-(IF((Character!$B$9+W1369)&gt;($D$3+Y1369),(Character!$B$9+W1369)-($D$3+Y1369),0)),Calcs!$A$110:$B$122,2,TRUE))))=Calcs!$B$120,IF(ISBLANK(AC1369)," ",CONCATENATE(AC1369+7," Years")),IF(AA1369=" "," ",IF(NOT(ISBLANK(X1369)),VLOOKUP($D$3+X1369,Calcs!$A$110:$B$122,2,TRUE),IF(AA1369="Failed",VLOOKUP($D$3,Calcs!$A$110:$B$122,2,TRUE),VLOOKUP($D$3-(IF((Character!$B$9+W1369)&gt;($D$3+Y1369),(Character!$B$9+W1369)-($D$3+Y1369),0)),Calcs!$A$110:$B$122,2,TRUE)))))</f>
        <v xml:space="preserve"> </v>
      </c>
      <c r="AE1369" s="490"/>
      <c r="AF1369" s="879"/>
      <c r="AG1369" s="491"/>
    </row>
    <row r="1370" spans="1:33" x14ac:dyDescent="0.2">
      <c r="A1370" s="415">
        <f t="shared" si="40"/>
        <v>1552</v>
      </c>
      <c r="B1370" s="419" t="str">
        <f t="shared" si="41"/>
        <v>Summer</v>
      </c>
      <c r="C1370" s="455"/>
      <c r="D1370" s="504"/>
      <c r="E1370" s="455"/>
      <c r="F1370" s="504"/>
      <c r="G1370" s="455"/>
      <c r="H1370" s="504"/>
      <c r="I1370" s="455"/>
      <c r="J1370" s="504"/>
      <c r="L1370" s="472"/>
      <c r="M1370" s="468"/>
      <c r="N1370" s="468"/>
      <c r="O1370" s="468"/>
      <c r="P1370" s="468"/>
      <c r="Q1370" s="473"/>
      <c r="R1370" s="477" t="str">
        <f>IF(AND(COUNTIF('Start Character'!$I$63:$M$77,"Twilight Prone")=1,NOT(ISERROR(FIND("Magical Botch",M1370)))),"Yes",IF(P1370&gt;1,"Yes","No"))</f>
        <v>No</v>
      </c>
      <c r="S1370" s="501"/>
      <c r="T1370" s="478"/>
      <c r="U1370" s="501"/>
      <c r="V1370" s="479" t="str">
        <f>IF(R1370="No","No Twilight",IF(T1370="Yes","Uncomprehended Twilight",IF((Character!$B$14+IF(Character!$B$53="Yes",0,Character!$B$53)+IF(Magic!$C$5="Yes",2,0)+ROUNDUP((Magic!$B$30+IF(Magic!$C$30="Yes",3,0))/5,0)+S1370)&gt;=($D$3+P1370+SUMIF(Character!$I$62:$I$66,"Enigmatic Wisdom",Character!$J$62:$J$66)+Q1370+U1370),"No Twilight","Twilight")))</f>
        <v>No Twilight</v>
      </c>
      <c r="W1370" s="483"/>
      <c r="X1370" s="478"/>
      <c r="Y1370" s="484"/>
      <c r="Z1370" s="478"/>
      <c r="AA1370" s="485" t="str">
        <f>IF(V1370="Uncomprehended Twilight","Failed",IF(OR(ISBLANK(W1370),ISBLANK(Y1370))," ",IF(NOT(ISBLANK(X1370)),"Failed",IF((W1370+Character!$B$9+SUMIF(Character!$I$62:$I$66,"Enigmatic Wisdom",Character!$J$62:$J$66))&gt;=IF(Z1370="Yes",0,(Y1370+D1365)),"Succeeded","Failed"))))</f>
        <v xml:space="preserve"> </v>
      </c>
      <c r="AB1370" s="477" t="str">
        <f>IF(AA1370=" "," ",IF(NOT(ISBLANK(X1370)),VLOOKUP($D$3+X1370,Calcs!$A$110:$C$122,3,TRUE),IF(AA1370="Failed",VLOOKUP($D$3,Calcs!$A$110:$C$122,3,TRUE),VLOOKUP($D$3-(IF((Character!$B$9+W1370)&gt;($D$3+Y1370),(Character!$B$9+W1370)-($D$3+Y1370),0)),Calcs!$A$110:$C$122,3,TRUE))))</f>
        <v xml:space="preserve"> </v>
      </c>
      <c r="AC1370" s="489"/>
      <c r="AD1370" s="489" t="str">
        <f>IF(IF(AA1370=" "," ",IF(NOT(ISBLANK(X1370)),VLOOKUP($D$3+X1370,Calcs!$A$110:$B$122,2,TRUE),IF(AA1370="Failed",VLOOKUP($D$3,Calcs!$A$110:$B$122,2,TRUE),VLOOKUP($D$3-(IF((Character!$B$9+W1370)&gt;($D$3+Y1370),(Character!$B$9+W1370)-($D$3+Y1370),0)),Calcs!$A$110:$B$122,2,TRUE))))=Calcs!$B$120,IF(ISBLANK(AC1370)," ",CONCATENATE(AC1370+7," Years")),IF(AA1370=" "," ",IF(NOT(ISBLANK(X1370)),VLOOKUP($D$3+X1370,Calcs!$A$110:$B$122,2,TRUE),IF(AA1370="Failed",VLOOKUP($D$3,Calcs!$A$110:$B$122,2,TRUE),VLOOKUP($D$3-(IF((Character!$B$9+W1370)&gt;($D$3+Y1370),(Character!$B$9+W1370)-($D$3+Y1370),0)),Calcs!$A$110:$B$122,2,TRUE)))))</f>
        <v xml:space="preserve"> </v>
      </c>
      <c r="AE1370" s="490"/>
      <c r="AF1370" s="879"/>
      <c r="AG1370" s="491"/>
    </row>
    <row r="1371" spans="1:33" x14ac:dyDescent="0.2">
      <c r="A1371" s="415">
        <f t="shared" si="40"/>
        <v>1552</v>
      </c>
      <c r="B1371" s="419" t="str">
        <f t="shared" si="41"/>
        <v>Autumn</v>
      </c>
      <c r="C1371" s="455"/>
      <c r="D1371" s="504"/>
      <c r="E1371" s="455"/>
      <c r="F1371" s="504"/>
      <c r="G1371" s="455"/>
      <c r="H1371" s="504"/>
      <c r="I1371" s="455"/>
      <c r="J1371" s="504"/>
      <c r="L1371" s="472"/>
      <c r="M1371" s="468"/>
      <c r="N1371" s="468"/>
      <c r="O1371" s="468"/>
      <c r="P1371" s="468"/>
      <c r="Q1371" s="473"/>
      <c r="R1371" s="477" t="str">
        <f>IF(AND(COUNTIF('Start Character'!$I$63:$M$77,"Twilight Prone")=1,NOT(ISERROR(FIND("Magical Botch",M1371)))),"Yes",IF(P1371&gt;1,"Yes","No"))</f>
        <v>No</v>
      </c>
      <c r="S1371" s="501"/>
      <c r="T1371" s="478"/>
      <c r="U1371" s="501"/>
      <c r="V1371" s="479" t="str">
        <f>IF(R1371="No","No Twilight",IF(T1371="Yes","Uncomprehended Twilight",IF((Character!$B$14+IF(Character!$B$53="Yes",0,Character!$B$53)+IF(Magic!$C$5="Yes",2,0)+ROUNDUP((Magic!$B$30+IF(Magic!$C$30="Yes",3,0))/5,0)+S1371)&gt;=($D$3+P1371+SUMIF(Character!$I$62:$I$66,"Enigmatic Wisdom",Character!$J$62:$J$66)+Q1371+U1371),"No Twilight","Twilight")))</f>
        <v>No Twilight</v>
      </c>
      <c r="W1371" s="483"/>
      <c r="X1371" s="478"/>
      <c r="Y1371" s="484"/>
      <c r="Z1371" s="478"/>
      <c r="AA1371" s="485" t="str">
        <f>IF(V1371="Uncomprehended Twilight","Failed",IF(OR(ISBLANK(W1371),ISBLANK(Y1371))," ",IF(NOT(ISBLANK(X1371)),"Failed",IF((W1371+Character!$B$9+SUMIF(Character!$I$62:$I$66,"Enigmatic Wisdom",Character!$J$62:$J$66))&gt;=IF(Z1371="Yes",0,(Y1371+D1366)),"Succeeded","Failed"))))</f>
        <v xml:space="preserve"> </v>
      </c>
      <c r="AB1371" s="477" t="str">
        <f>IF(AA1371=" "," ",IF(NOT(ISBLANK(X1371)),VLOOKUP($D$3+X1371,Calcs!$A$110:$C$122,3,TRUE),IF(AA1371="Failed",VLOOKUP($D$3,Calcs!$A$110:$C$122,3,TRUE),VLOOKUP($D$3-(IF((Character!$B$9+W1371)&gt;($D$3+Y1371),(Character!$B$9+W1371)-($D$3+Y1371),0)),Calcs!$A$110:$C$122,3,TRUE))))</f>
        <v xml:space="preserve"> </v>
      </c>
      <c r="AC1371" s="489"/>
      <c r="AD1371" s="489" t="str">
        <f>IF(IF(AA1371=" "," ",IF(NOT(ISBLANK(X1371)),VLOOKUP($D$3+X1371,Calcs!$A$110:$B$122,2,TRUE),IF(AA1371="Failed",VLOOKUP($D$3,Calcs!$A$110:$B$122,2,TRUE),VLOOKUP($D$3-(IF((Character!$B$9+W1371)&gt;($D$3+Y1371),(Character!$B$9+W1371)-($D$3+Y1371),0)),Calcs!$A$110:$B$122,2,TRUE))))=Calcs!$B$120,IF(ISBLANK(AC1371)," ",CONCATENATE(AC1371+7," Years")),IF(AA1371=" "," ",IF(NOT(ISBLANK(X1371)),VLOOKUP($D$3+X1371,Calcs!$A$110:$B$122,2,TRUE),IF(AA1371="Failed",VLOOKUP($D$3,Calcs!$A$110:$B$122,2,TRUE),VLOOKUP($D$3-(IF((Character!$B$9+W1371)&gt;($D$3+Y1371),(Character!$B$9+W1371)-($D$3+Y1371),0)),Calcs!$A$110:$B$122,2,TRUE)))))</f>
        <v xml:space="preserve"> </v>
      </c>
      <c r="AE1371" s="490"/>
      <c r="AF1371" s="879"/>
      <c r="AG1371" s="491"/>
    </row>
    <row r="1372" spans="1:33" x14ac:dyDescent="0.2">
      <c r="A1372" s="415">
        <f t="shared" si="40"/>
        <v>1553</v>
      </c>
      <c r="B1372" s="419" t="str">
        <f t="shared" si="41"/>
        <v>Winter</v>
      </c>
      <c r="C1372" s="455"/>
      <c r="D1372" s="504"/>
      <c r="E1372" s="455"/>
      <c r="F1372" s="504"/>
      <c r="G1372" s="455"/>
      <c r="H1372" s="504"/>
      <c r="I1372" s="455"/>
      <c r="J1372" s="504"/>
      <c r="L1372" s="472"/>
      <c r="M1372" s="468"/>
      <c r="N1372" s="468"/>
      <c r="O1372" s="468"/>
      <c r="P1372" s="468"/>
      <c r="Q1372" s="473"/>
      <c r="R1372" s="477" t="str">
        <f>IF(AND(COUNTIF('Start Character'!$I$63:$M$77,"Twilight Prone")=1,NOT(ISERROR(FIND("Magical Botch",M1372)))),"Yes",IF(P1372&gt;1,"Yes","No"))</f>
        <v>No</v>
      </c>
      <c r="S1372" s="501"/>
      <c r="T1372" s="478"/>
      <c r="U1372" s="501"/>
      <c r="V1372" s="479" t="str">
        <f>IF(R1372="No","No Twilight",IF(T1372="Yes","Uncomprehended Twilight",IF((Character!$B$14+IF(Character!$B$53="Yes",0,Character!$B$53)+IF(Magic!$C$5="Yes",2,0)+ROUNDUP((Magic!$B$30+IF(Magic!$C$30="Yes",3,0))/5,0)+S1372)&gt;=($D$3+P1372+SUMIF(Character!$I$62:$I$66,"Enigmatic Wisdom",Character!$J$62:$J$66)+Q1372+U1372),"No Twilight","Twilight")))</f>
        <v>No Twilight</v>
      </c>
      <c r="W1372" s="483"/>
      <c r="X1372" s="478"/>
      <c r="Y1372" s="484"/>
      <c r="Z1372" s="478"/>
      <c r="AA1372" s="485" t="str">
        <f>IF(V1372="Uncomprehended Twilight","Failed",IF(OR(ISBLANK(W1372),ISBLANK(Y1372))," ",IF(NOT(ISBLANK(X1372)),"Failed",IF((W1372+Character!$B$9+SUMIF(Character!$I$62:$I$66,"Enigmatic Wisdom",Character!$J$62:$J$66))&gt;=IF(Z1372="Yes",0,(Y1372+D1367)),"Succeeded","Failed"))))</f>
        <v xml:space="preserve"> </v>
      </c>
      <c r="AB1372" s="477" t="str">
        <f>IF(AA1372=" "," ",IF(NOT(ISBLANK(X1372)),VLOOKUP($D$3+X1372,Calcs!$A$110:$C$122,3,TRUE),IF(AA1372="Failed",VLOOKUP($D$3,Calcs!$A$110:$C$122,3,TRUE),VLOOKUP($D$3-(IF((Character!$B$9+W1372)&gt;($D$3+Y1372),(Character!$B$9+W1372)-($D$3+Y1372),0)),Calcs!$A$110:$C$122,3,TRUE))))</f>
        <v xml:space="preserve"> </v>
      </c>
      <c r="AC1372" s="489"/>
      <c r="AD1372" s="489" t="str">
        <f>IF(IF(AA1372=" "," ",IF(NOT(ISBLANK(X1372)),VLOOKUP($D$3+X1372,Calcs!$A$110:$B$122,2,TRUE),IF(AA1372="Failed",VLOOKUP($D$3,Calcs!$A$110:$B$122,2,TRUE),VLOOKUP($D$3-(IF((Character!$B$9+W1372)&gt;($D$3+Y1372),(Character!$B$9+W1372)-($D$3+Y1372),0)),Calcs!$A$110:$B$122,2,TRUE))))=Calcs!$B$120,IF(ISBLANK(AC1372)," ",CONCATENATE(AC1372+7," Years")),IF(AA1372=" "," ",IF(NOT(ISBLANK(X1372)),VLOOKUP($D$3+X1372,Calcs!$A$110:$B$122,2,TRUE),IF(AA1372="Failed",VLOOKUP($D$3,Calcs!$A$110:$B$122,2,TRUE),VLOOKUP($D$3-(IF((Character!$B$9+W1372)&gt;($D$3+Y1372),(Character!$B$9+W1372)-($D$3+Y1372),0)),Calcs!$A$110:$B$122,2,TRUE)))))</f>
        <v xml:space="preserve"> </v>
      </c>
      <c r="AE1372" s="490"/>
      <c r="AF1372" s="879"/>
      <c r="AG1372" s="491"/>
    </row>
    <row r="1373" spans="1:33" x14ac:dyDescent="0.2">
      <c r="A1373" s="415">
        <f t="shared" ref="A1373:A1436" si="42">IF(B1372="Autumn",A1372+1,A1372)</f>
        <v>1553</v>
      </c>
      <c r="B1373" s="419" t="str">
        <f t="shared" ref="B1373:B1436" si="43">IF(B1372="spring","Summer",IF(B1372="Summer","Autumn",IF(B1372="Autumn","Winter",IF(B1372="Winter","Spring"," "))))</f>
        <v>Spring</v>
      </c>
      <c r="C1373" s="455"/>
      <c r="D1373" s="504"/>
      <c r="E1373" s="455"/>
      <c r="F1373" s="504"/>
      <c r="G1373" s="455"/>
      <c r="H1373" s="504"/>
      <c r="I1373" s="455"/>
      <c r="J1373" s="504"/>
      <c r="L1373" s="472"/>
      <c r="M1373" s="468"/>
      <c r="N1373" s="468"/>
      <c r="O1373" s="468"/>
      <c r="P1373" s="468"/>
      <c r="Q1373" s="473"/>
      <c r="R1373" s="477" t="str">
        <f>IF(AND(COUNTIF('Start Character'!$I$63:$M$77,"Twilight Prone")=1,NOT(ISERROR(FIND("Magical Botch",M1373)))),"Yes",IF(P1373&gt;1,"Yes","No"))</f>
        <v>No</v>
      </c>
      <c r="S1373" s="501"/>
      <c r="T1373" s="478"/>
      <c r="U1373" s="501"/>
      <c r="V1373" s="479" t="str">
        <f>IF(R1373="No","No Twilight",IF(T1373="Yes","Uncomprehended Twilight",IF((Character!$B$14+IF(Character!$B$53="Yes",0,Character!$B$53)+IF(Magic!$C$5="Yes",2,0)+ROUNDUP((Magic!$B$30+IF(Magic!$C$30="Yes",3,0))/5,0)+S1373)&gt;=($D$3+P1373+SUMIF(Character!$I$62:$I$66,"Enigmatic Wisdom",Character!$J$62:$J$66)+Q1373+U1373),"No Twilight","Twilight")))</f>
        <v>No Twilight</v>
      </c>
      <c r="W1373" s="483"/>
      <c r="X1373" s="478"/>
      <c r="Y1373" s="484"/>
      <c r="Z1373" s="478"/>
      <c r="AA1373" s="485" t="str">
        <f>IF(V1373="Uncomprehended Twilight","Failed",IF(OR(ISBLANK(W1373),ISBLANK(Y1373))," ",IF(NOT(ISBLANK(X1373)),"Failed",IF((W1373+Character!$B$9+SUMIF(Character!$I$62:$I$66,"Enigmatic Wisdom",Character!$J$62:$J$66))&gt;=IF(Z1373="Yes",0,(Y1373+D1368)),"Succeeded","Failed"))))</f>
        <v xml:space="preserve"> </v>
      </c>
      <c r="AB1373" s="477" t="str">
        <f>IF(AA1373=" "," ",IF(NOT(ISBLANK(X1373)),VLOOKUP($D$3+X1373,Calcs!$A$110:$C$122,3,TRUE),IF(AA1373="Failed",VLOOKUP($D$3,Calcs!$A$110:$C$122,3,TRUE),VLOOKUP($D$3-(IF((Character!$B$9+W1373)&gt;($D$3+Y1373),(Character!$B$9+W1373)-($D$3+Y1373),0)),Calcs!$A$110:$C$122,3,TRUE))))</f>
        <v xml:space="preserve"> </v>
      </c>
      <c r="AC1373" s="489"/>
      <c r="AD1373" s="489" t="str">
        <f>IF(IF(AA1373=" "," ",IF(NOT(ISBLANK(X1373)),VLOOKUP($D$3+X1373,Calcs!$A$110:$B$122,2,TRUE),IF(AA1373="Failed",VLOOKUP($D$3,Calcs!$A$110:$B$122,2,TRUE),VLOOKUP($D$3-(IF((Character!$B$9+W1373)&gt;($D$3+Y1373),(Character!$B$9+W1373)-($D$3+Y1373),0)),Calcs!$A$110:$B$122,2,TRUE))))=Calcs!$B$120,IF(ISBLANK(AC1373)," ",CONCATENATE(AC1373+7," Years")),IF(AA1373=" "," ",IF(NOT(ISBLANK(X1373)),VLOOKUP($D$3+X1373,Calcs!$A$110:$B$122,2,TRUE),IF(AA1373="Failed",VLOOKUP($D$3,Calcs!$A$110:$B$122,2,TRUE),VLOOKUP($D$3-(IF((Character!$B$9+W1373)&gt;($D$3+Y1373),(Character!$B$9+W1373)-($D$3+Y1373),0)),Calcs!$A$110:$B$122,2,TRUE)))))</f>
        <v xml:space="preserve"> </v>
      </c>
      <c r="AE1373" s="490"/>
      <c r="AF1373" s="879"/>
      <c r="AG1373" s="491"/>
    </row>
    <row r="1374" spans="1:33" x14ac:dyDescent="0.2">
      <c r="A1374" s="415">
        <f t="shared" si="42"/>
        <v>1553</v>
      </c>
      <c r="B1374" s="419" t="str">
        <f t="shared" si="43"/>
        <v>Summer</v>
      </c>
      <c r="C1374" s="455"/>
      <c r="D1374" s="504"/>
      <c r="E1374" s="455"/>
      <c r="F1374" s="504"/>
      <c r="G1374" s="455"/>
      <c r="H1374" s="504"/>
      <c r="I1374" s="455"/>
      <c r="J1374" s="504"/>
      <c r="L1374" s="472"/>
      <c r="M1374" s="468"/>
      <c r="N1374" s="468"/>
      <c r="O1374" s="468"/>
      <c r="P1374" s="468"/>
      <c r="Q1374" s="473"/>
      <c r="R1374" s="477" t="str">
        <f>IF(AND(COUNTIF('Start Character'!$I$63:$M$77,"Twilight Prone")=1,NOT(ISERROR(FIND("Magical Botch",M1374)))),"Yes",IF(P1374&gt;1,"Yes","No"))</f>
        <v>No</v>
      </c>
      <c r="S1374" s="501"/>
      <c r="T1374" s="478"/>
      <c r="U1374" s="501"/>
      <c r="V1374" s="479" t="str">
        <f>IF(R1374="No","No Twilight",IF(T1374="Yes","Uncomprehended Twilight",IF((Character!$B$14+IF(Character!$B$53="Yes",0,Character!$B$53)+IF(Magic!$C$5="Yes",2,0)+ROUNDUP((Magic!$B$30+IF(Magic!$C$30="Yes",3,0))/5,0)+S1374)&gt;=($D$3+P1374+SUMIF(Character!$I$62:$I$66,"Enigmatic Wisdom",Character!$J$62:$J$66)+Q1374+U1374),"No Twilight","Twilight")))</f>
        <v>No Twilight</v>
      </c>
      <c r="W1374" s="483"/>
      <c r="X1374" s="478"/>
      <c r="Y1374" s="484"/>
      <c r="Z1374" s="478"/>
      <c r="AA1374" s="485" t="str">
        <f>IF(V1374="Uncomprehended Twilight","Failed",IF(OR(ISBLANK(W1374),ISBLANK(Y1374))," ",IF(NOT(ISBLANK(X1374)),"Failed",IF((W1374+Character!$B$9+SUMIF(Character!$I$62:$I$66,"Enigmatic Wisdom",Character!$J$62:$J$66))&gt;=IF(Z1374="Yes",0,(Y1374+D1369)),"Succeeded","Failed"))))</f>
        <v xml:space="preserve"> </v>
      </c>
      <c r="AB1374" s="477" t="str">
        <f>IF(AA1374=" "," ",IF(NOT(ISBLANK(X1374)),VLOOKUP($D$3+X1374,Calcs!$A$110:$C$122,3,TRUE),IF(AA1374="Failed",VLOOKUP($D$3,Calcs!$A$110:$C$122,3,TRUE),VLOOKUP($D$3-(IF((Character!$B$9+W1374)&gt;($D$3+Y1374),(Character!$B$9+W1374)-($D$3+Y1374),0)),Calcs!$A$110:$C$122,3,TRUE))))</f>
        <v xml:space="preserve"> </v>
      </c>
      <c r="AC1374" s="489"/>
      <c r="AD1374" s="489" t="str">
        <f>IF(IF(AA1374=" "," ",IF(NOT(ISBLANK(X1374)),VLOOKUP($D$3+X1374,Calcs!$A$110:$B$122,2,TRUE),IF(AA1374="Failed",VLOOKUP($D$3,Calcs!$A$110:$B$122,2,TRUE),VLOOKUP($D$3-(IF((Character!$B$9+W1374)&gt;($D$3+Y1374),(Character!$B$9+W1374)-($D$3+Y1374),0)),Calcs!$A$110:$B$122,2,TRUE))))=Calcs!$B$120,IF(ISBLANK(AC1374)," ",CONCATENATE(AC1374+7," Years")),IF(AA1374=" "," ",IF(NOT(ISBLANK(X1374)),VLOOKUP($D$3+X1374,Calcs!$A$110:$B$122,2,TRUE),IF(AA1374="Failed",VLOOKUP($D$3,Calcs!$A$110:$B$122,2,TRUE),VLOOKUP($D$3-(IF((Character!$B$9+W1374)&gt;($D$3+Y1374),(Character!$B$9+W1374)-($D$3+Y1374),0)),Calcs!$A$110:$B$122,2,TRUE)))))</f>
        <v xml:space="preserve"> </v>
      </c>
      <c r="AE1374" s="490"/>
      <c r="AF1374" s="879"/>
      <c r="AG1374" s="491"/>
    </row>
    <row r="1375" spans="1:33" x14ac:dyDescent="0.2">
      <c r="A1375" s="415">
        <f t="shared" si="42"/>
        <v>1553</v>
      </c>
      <c r="B1375" s="419" t="str">
        <f t="shared" si="43"/>
        <v>Autumn</v>
      </c>
      <c r="C1375" s="455"/>
      <c r="D1375" s="504"/>
      <c r="E1375" s="455"/>
      <c r="F1375" s="504"/>
      <c r="G1375" s="455"/>
      <c r="H1375" s="504"/>
      <c r="I1375" s="455"/>
      <c r="J1375" s="504"/>
      <c r="L1375" s="472"/>
      <c r="M1375" s="468"/>
      <c r="N1375" s="468"/>
      <c r="O1375" s="468"/>
      <c r="P1375" s="468"/>
      <c r="Q1375" s="473"/>
      <c r="R1375" s="477" t="str">
        <f>IF(AND(COUNTIF('Start Character'!$I$63:$M$77,"Twilight Prone")=1,NOT(ISERROR(FIND("Magical Botch",M1375)))),"Yes",IF(P1375&gt;1,"Yes","No"))</f>
        <v>No</v>
      </c>
      <c r="S1375" s="501"/>
      <c r="T1375" s="478"/>
      <c r="U1375" s="501"/>
      <c r="V1375" s="479" t="str">
        <f>IF(R1375="No","No Twilight",IF(T1375="Yes","Uncomprehended Twilight",IF((Character!$B$14+IF(Character!$B$53="Yes",0,Character!$B$53)+IF(Magic!$C$5="Yes",2,0)+ROUNDUP((Magic!$B$30+IF(Magic!$C$30="Yes",3,0))/5,0)+S1375)&gt;=($D$3+P1375+SUMIF(Character!$I$62:$I$66,"Enigmatic Wisdom",Character!$J$62:$J$66)+Q1375+U1375),"No Twilight","Twilight")))</f>
        <v>No Twilight</v>
      </c>
      <c r="W1375" s="483"/>
      <c r="X1375" s="478"/>
      <c r="Y1375" s="484"/>
      <c r="Z1375" s="478"/>
      <c r="AA1375" s="485" t="str">
        <f>IF(V1375="Uncomprehended Twilight","Failed",IF(OR(ISBLANK(W1375),ISBLANK(Y1375))," ",IF(NOT(ISBLANK(X1375)),"Failed",IF((W1375+Character!$B$9+SUMIF(Character!$I$62:$I$66,"Enigmatic Wisdom",Character!$J$62:$J$66))&gt;=IF(Z1375="Yes",0,(Y1375+D1370)),"Succeeded","Failed"))))</f>
        <v xml:space="preserve"> </v>
      </c>
      <c r="AB1375" s="477" t="str">
        <f>IF(AA1375=" "," ",IF(NOT(ISBLANK(X1375)),VLOOKUP($D$3+X1375,Calcs!$A$110:$C$122,3,TRUE),IF(AA1375="Failed",VLOOKUP($D$3,Calcs!$A$110:$C$122,3,TRUE),VLOOKUP($D$3-(IF((Character!$B$9+W1375)&gt;($D$3+Y1375),(Character!$B$9+W1375)-($D$3+Y1375),0)),Calcs!$A$110:$C$122,3,TRUE))))</f>
        <v xml:space="preserve"> </v>
      </c>
      <c r="AC1375" s="489"/>
      <c r="AD1375" s="489" t="str">
        <f>IF(IF(AA1375=" "," ",IF(NOT(ISBLANK(X1375)),VLOOKUP($D$3+X1375,Calcs!$A$110:$B$122,2,TRUE),IF(AA1375="Failed",VLOOKUP($D$3,Calcs!$A$110:$B$122,2,TRUE),VLOOKUP($D$3-(IF((Character!$B$9+W1375)&gt;($D$3+Y1375),(Character!$B$9+W1375)-($D$3+Y1375),0)),Calcs!$A$110:$B$122,2,TRUE))))=Calcs!$B$120,IF(ISBLANK(AC1375)," ",CONCATENATE(AC1375+7," Years")),IF(AA1375=" "," ",IF(NOT(ISBLANK(X1375)),VLOOKUP($D$3+X1375,Calcs!$A$110:$B$122,2,TRUE),IF(AA1375="Failed",VLOOKUP($D$3,Calcs!$A$110:$B$122,2,TRUE),VLOOKUP($D$3-(IF((Character!$B$9+W1375)&gt;($D$3+Y1375),(Character!$B$9+W1375)-($D$3+Y1375),0)),Calcs!$A$110:$B$122,2,TRUE)))))</f>
        <v xml:space="preserve"> </v>
      </c>
      <c r="AE1375" s="490"/>
      <c r="AF1375" s="879"/>
      <c r="AG1375" s="491"/>
    </row>
    <row r="1376" spans="1:33" x14ac:dyDescent="0.2">
      <c r="A1376" s="415">
        <f t="shared" si="42"/>
        <v>1554</v>
      </c>
      <c r="B1376" s="419" t="str">
        <f t="shared" si="43"/>
        <v>Winter</v>
      </c>
      <c r="C1376" s="455"/>
      <c r="D1376" s="504"/>
      <c r="E1376" s="455"/>
      <c r="F1376" s="504"/>
      <c r="G1376" s="455"/>
      <c r="H1376" s="504"/>
      <c r="I1376" s="455"/>
      <c r="J1376" s="504"/>
      <c r="L1376" s="472"/>
      <c r="M1376" s="468"/>
      <c r="N1376" s="468"/>
      <c r="O1376" s="468"/>
      <c r="P1376" s="468"/>
      <c r="Q1376" s="473"/>
      <c r="R1376" s="477" t="str">
        <f>IF(AND(COUNTIF('Start Character'!$I$63:$M$77,"Twilight Prone")=1,NOT(ISERROR(FIND("Magical Botch",M1376)))),"Yes",IF(P1376&gt;1,"Yes","No"))</f>
        <v>No</v>
      </c>
      <c r="S1376" s="501"/>
      <c r="T1376" s="478"/>
      <c r="U1376" s="501"/>
      <c r="V1376" s="479" t="str">
        <f>IF(R1376="No","No Twilight",IF(T1376="Yes","Uncomprehended Twilight",IF((Character!$B$14+IF(Character!$B$53="Yes",0,Character!$B$53)+IF(Magic!$C$5="Yes",2,0)+ROUNDUP((Magic!$B$30+IF(Magic!$C$30="Yes",3,0))/5,0)+S1376)&gt;=($D$3+P1376+SUMIF(Character!$I$62:$I$66,"Enigmatic Wisdom",Character!$J$62:$J$66)+Q1376+U1376),"No Twilight","Twilight")))</f>
        <v>No Twilight</v>
      </c>
      <c r="W1376" s="483"/>
      <c r="X1376" s="478"/>
      <c r="Y1376" s="484"/>
      <c r="Z1376" s="478"/>
      <c r="AA1376" s="485" t="str">
        <f>IF(V1376="Uncomprehended Twilight","Failed",IF(OR(ISBLANK(W1376),ISBLANK(Y1376))," ",IF(NOT(ISBLANK(X1376)),"Failed",IF((W1376+Character!$B$9+SUMIF(Character!$I$62:$I$66,"Enigmatic Wisdom",Character!$J$62:$J$66))&gt;=IF(Z1376="Yes",0,(Y1376+D1371)),"Succeeded","Failed"))))</f>
        <v xml:space="preserve"> </v>
      </c>
      <c r="AB1376" s="477" t="str">
        <f>IF(AA1376=" "," ",IF(NOT(ISBLANK(X1376)),VLOOKUP($D$3+X1376,Calcs!$A$110:$C$122,3,TRUE),IF(AA1376="Failed",VLOOKUP($D$3,Calcs!$A$110:$C$122,3,TRUE),VLOOKUP($D$3-(IF((Character!$B$9+W1376)&gt;($D$3+Y1376),(Character!$B$9+W1376)-($D$3+Y1376),0)),Calcs!$A$110:$C$122,3,TRUE))))</f>
        <v xml:space="preserve"> </v>
      </c>
      <c r="AC1376" s="489"/>
      <c r="AD1376" s="489" t="str">
        <f>IF(IF(AA1376=" "," ",IF(NOT(ISBLANK(X1376)),VLOOKUP($D$3+X1376,Calcs!$A$110:$B$122,2,TRUE),IF(AA1376="Failed",VLOOKUP($D$3,Calcs!$A$110:$B$122,2,TRUE),VLOOKUP($D$3-(IF((Character!$B$9+W1376)&gt;($D$3+Y1376),(Character!$B$9+W1376)-($D$3+Y1376),0)),Calcs!$A$110:$B$122,2,TRUE))))=Calcs!$B$120,IF(ISBLANK(AC1376)," ",CONCATENATE(AC1376+7," Years")),IF(AA1376=" "," ",IF(NOT(ISBLANK(X1376)),VLOOKUP($D$3+X1376,Calcs!$A$110:$B$122,2,TRUE),IF(AA1376="Failed",VLOOKUP($D$3,Calcs!$A$110:$B$122,2,TRUE),VLOOKUP($D$3-(IF((Character!$B$9+W1376)&gt;($D$3+Y1376),(Character!$B$9+W1376)-($D$3+Y1376),0)),Calcs!$A$110:$B$122,2,TRUE)))))</f>
        <v xml:space="preserve"> </v>
      </c>
      <c r="AE1376" s="490"/>
      <c r="AF1376" s="879"/>
      <c r="AG1376" s="491"/>
    </row>
    <row r="1377" spans="1:33" x14ac:dyDescent="0.2">
      <c r="A1377" s="415">
        <f t="shared" si="42"/>
        <v>1554</v>
      </c>
      <c r="B1377" s="419" t="str">
        <f t="shared" si="43"/>
        <v>Spring</v>
      </c>
      <c r="C1377" s="455"/>
      <c r="D1377" s="504"/>
      <c r="E1377" s="455"/>
      <c r="F1377" s="504"/>
      <c r="G1377" s="455"/>
      <c r="H1377" s="504"/>
      <c r="I1377" s="455"/>
      <c r="J1377" s="504"/>
      <c r="L1377" s="472"/>
      <c r="M1377" s="468"/>
      <c r="N1377" s="468"/>
      <c r="O1377" s="468"/>
      <c r="P1377" s="468"/>
      <c r="Q1377" s="473"/>
      <c r="R1377" s="477" t="str">
        <f>IF(AND(COUNTIF('Start Character'!$I$63:$M$77,"Twilight Prone")=1,NOT(ISERROR(FIND("Magical Botch",M1377)))),"Yes",IF(P1377&gt;1,"Yes","No"))</f>
        <v>No</v>
      </c>
      <c r="S1377" s="501"/>
      <c r="T1377" s="478"/>
      <c r="U1377" s="501"/>
      <c r="V1377" s="479" t="str">
        <f>IF(R1377="No","No Twilight",IF(T1377="Yes","Uncomprehended Twilight",IF((Character!$B$14+IF(Character!$B$53="Yes",0,Character!$B$53)+IF(Magic!$C$5="Yes",2,0)+ROUNDUP((Magic!$B$30+IF(Magic!$C$30="Yes",3,0))/5,0)+S1377)&gt;=($D$3+P1377+SUMIF(Character!$I$62:$I$66,"Enigmatic Wisdom",Character!$J$62:$J$66)+Q1377+U1377),"No Twilight","Twilight")))</f>
        <v>No Twilight</v>
      </c>
      <c r="W1377" s="483"/>
      <c r="X1377" s="478"/>
      <c r="Y1377" s="484"/>
      <c r="Z1377" s="478"/>
      <c r="AA1377" s="485" t="str">
        <f>IF(V1377="Uncomprehended Twilight","Failed",IF(OR(ISBLANK(W1377),ISBLANK(Y1377))," ",IF(NOT(ISBLANK(X1377)),"Failed",IF((W1377+Character!$B$9+SUMIF(Character!$I$62:$I$66,"Enigmatic Wisdom",Character!$J$62:$J$66))&gt;=IF(Z1377="Yes",0,(Y1377+D1372)),"Succeeded","Failed"))))</f>
        <v xml:space="preserve"> </v>
      </c>
      <c r="AB1377" s="477" t="str">
        <f>IF(AA1377=" "," ",IF(NOT(ISBLANK(X1377)),VLOOKUP($D$3+X1377,Calcs!$A$110:$C$122,3,TRUE),IF(AA1377="Failed",VLOOKUP($D$3,Calcs!$A$110:$C$122,3,TRUE),VLOOKUP($D$3-(IF((Character!$B$9+W1377)&gt;($D$3+Y1377),(Character!$B$9+W1377)-($D$3+Y1377),0)),Calcs!$A$110:$C$122,3,TRUE))))</f>
        <v xml:space="preserve"> </v>
      </c>
      <c r="AC1377" s="489"/>
      <c r="AD1377" s="489" t="str">
        <f>IF(IF(AA1377=" "," ",IF(NOT(ISBLANK(X1377)),VLOOKUP($D$3+X1377,Calcs!$A$110:$B$122,2,TRUE),IF(AA1377="Failed",VLOOKUP($D$3,Calcs!$A$110:$B$122,2,TRUE),VLOOKUP($D$3-(IF((Character!$B$9+W1377)&gt;($D$3+Y1377),(Character!$B$9+W1377)-($D$3+Y1377),0)),Calcs!$A$110:$B$122,2,TRUE))))=Calcs!$B$120,IF(ISBLANK(AC1377)," ",CONCATENATE(AC1377+7," Years")),IF(AA1377=" "," ",IF(NOT(ISBLANK(X1377)),VLOOKUP($D$3+X1377,Calcs!$A$110:$B$122,2,TRUE),IF(AA1377="Failed",VLOOKUP($D$3,Calcs!$A$110:$B$122,2,TRUE),VLOOKUP($D$3-(IF((Character!$B$9+W1377)&gt;($D$3+Y1377),(Character!$B$9+W1377)-($D$3+Y1377),0)),Calcs!$A$110:$B$122,2,TRUE)))))</f>
        <v xml:space="preserve"> </v>
      </c>
      <c r="AE1377" s="490"/>
      <c r="AF1377" s="879"/>
      <c r="AG1377" s="491"/>
    </row>
    <row r="1378" spans="1:33" x14ac:dyDescent="0.2">
      <c r="A1378" s="415">
        <f t="shared" si="42"/>
        <v>1554</v>
      </c>
      <c r="B1378" s="419" t="str">
        <f t="shared" si="43"/>
        <v>Summer</v>
      </c>
      <c r="C1378" s="455"/>
      <c r="D1378" s="504"/>
      <c r="E1378" s="455"/>
      <c r="F1378" s="504"/>
      <c r="G1378" s="455"/>
      <c r="H1378" s="504"/>
      <c r="I1378" s="455"/>
      <c r="J1378" s="504"/>
      <c r="L1378" s="472"/>
      <c r="M1378" s="468"/>
      <c r="N1378" s="468"/>
      <c r="O1378" s="468"/>
      <c r="P1378" s="468"/>
      <c r="Q1378" s="473"/>
      <c r="R1378" s="477" t="str">
        <f>IF(AND(COUNTIF('Start Character'!$I$63:$M$77,"Twilight Prone")=1,NOT(ISERROR(FIND("Magical Botch",M1378)))),"Yes",IF(P1378&gt;1,"Yes","No"))</f>
        <v>No</v>
      </c>
      <c r="S1378" s="501"/>
      <c r="T1378" s="478"/>
      <c r="U1378" s="501"/>
      <c r="V1378" s="479" t="str">
        <f>IF(R1378="No","No Twilight",IF(T1378="Yes","Uncomprehended Twilight",IF((Character!$B$14+IF(Character!$B$53="Yes",0,Character!$B$53)+IF(Magic!$C$5="Yes",2,0)+ROUNDUP((Magic!$B$30+IF(Magic!$C$30="Yes",3,0))/5,0)+S1378)&gt;=($D$3+P1378+SUMIF(Character!$I$62:$I$66,"Enigmatic Wisdom",Character!$J$62:$J$66)+Q1378+U1378),"No Twilight","Twilight")))</f>
        <v>No Twilight</v>
      </c>
      <c r="W1378" s="483"/>
      <c r="X1378" s="478"/>
      <c r="Y1378" s="484"/>
      <c r="Z1378" s="478"/>
      <c r="AA1378" s="485" t="str">
        <f>IF(V1378="Uncomprehended Twilight","Failed",IF(OR(ISBLANK(W1378),ISBLANK(Y1378))," ",IF(NOT(ISBLANK(X1378)),"Failed",IF((W1378+Character!$B$9+SUMIF(Character!$I$62:$I$66,"Enigmatic Wisdom",Character!$J$62:$J$66))&gt;=IF(Z1378="Yes",0,(Y1378+D1373)),"Succeeded","Failed"))))</f>
        <v xml:space="preserve"> </v>
      </c>
      <c r="AB1378" s="477" t="str">
        <f>IF(AA1378=" "," ",IF(NOT(ISBLANK(X1378)),VLOOKUP($D$3+X1378,Calcs!$A$110:$C$122,3,TRUE),IF(AA1378="Failed",VLOOKUP($D$3,Calcs!$A$110:$C$122,3,TRUE),VLOOKUP($D$3-(IF((Character!$B$9+W1378)&gt;($D$3+Y1378),(Character!$B$9+W1378)-($D$3+Y1378),0)),Calcs!$A$110:$C$122,3,TRUE))))</f>
        <v xml:space="preserve"> </v>
      </c>
      <c r="AC1378" s="489"/>
      <c r="AD1378" s="489" t="str">
        <f>IF(IF(AA1378=" "," ",IF(NOT(ISBLANK(X1378)),VLOOKUP($D$3+X1378,Calcs!$A$110:$B$122,2,TRUE),IF(AA1378="Failed",VLOOKUP($D$3,Calcs!$A$110:$B$122,2,TRUE),VLOOKUP($D$3-(IF((Character!$B$9+W1378)&gt;($D$3+Y1378),(Character!$B$9+W1378)-($D$3+Y1378),0)),Calcs!$A$110:$B$122,2,TRUE))))=Calcs!$B$120,IF(ISBLANK(AC1378)," ",CONCATENATE(AC1378+7," Years")),IF(AA1378=" "," ",IF(NOT(ISBLANK(X1378)),VLOOKUP($D$3+X1378,Calcs!$A$110:$B$122,2,TRUE),IF(AA1378="Failed",VLOOKUP($D$3,Calcs!$A$110:$B$122,2,TRUE),VLOOKUP($D$3-(IF((Character!$B$9+W1378)&gt;($D$3+Y1378),(Character!$B$9+W1378)-($D$3+Y1378),0)),Calcs!$A$110:$B$122,2,TRUE)))))</f>
        <v xml:space="preserve"> </v>
      </c>
      <c r="AE1378" s="490"/>
      <c r="AF1378" s="879"/>
      <c r="AG1378" s="491"/>
    </row>
    <row r="1379" spans="1:33" x14ac:dyDescent="0.2">
      <c r="A1379" s="415">
        <f t="shared" si="42"/>
        <v>1554</v>
      </c>
      <c r="B1379" s="419" t="str">
        <f t="shared" si="43"/>
        <v>Autumn</v>
      </c>
      <c r="C1379" s="455"/>
      <c r="D1379" s="504"/>
      <c r="E1379" s="455"/>
      <c r="F1379" s="504"/>
      <c r="G1379" s="455"/>
      <c r="H1379" s="504"/>
      <c r="I1379" s="455"/>
      <c r="J1379" s="504"/>
      <c r="L1379" s="472"/>
      <c r="M1379" s="468"/>
      <c r="N1379" s="468"/>
      <c r="O1379" s="468"/>
      <c r="P1379" s="468"/>
      <c r="Q1379" s="473"/>
      <c r="R1379" s="477" t="str">
        <f>IF(AND(COUNTIF('Start Character'!$I$63:$M$77,"Twilight Prone")=1,NOT(ISERROR(FIND("Magical Botch",M1379)))),"Yes",IF(P1379&gt;1,"Yes","No"))</f>
        <v>No</v>
      </c>
      <c r="S1379" s="501"/>
      <c r="T1379" s="478"/>
      <c r="U1379" s="501"/>
      <c r="V1379" s="479" t="str">
        <f>IF(R1379="No","No Twilight",IF(T1379="Yes","Uncomprehended Twilight",IF((Character!$B$14+IF(Character!$B$53="Yes",0,Character!$B$53)+IF(Magic!$C$5="Yes",2,0)+ROUNDUP((Magic!$B$30+IF(Magic!$C$30="Yes",3,0))/5,0)+S1379)&gt;=($D$3+P1379+SUMIF(Character!$I$62:$I$66,"Enigmatic Wisdom",Character!$J$62:$J$66)+Q1379+U1379),"No Twilight","Twilight")))</f>
        <v>No Twilight</v>
      </c>
      <c r="W1379" s="483"/>
      <c r="X1379" s="478"/>
      <c r="Y1379" s="484"/>
      <c r="Z1379" s="478"/>
      <c r="AA1379" s="485" t="str">
        <f>IF(V1379="Uncomprehended Twilight","Failed",IF(OR(ISBLANK(W1379),ISBLANK(Y1379))," ",IF(NOT(ISBLANK(X1379)),"Failed",IF((W1379+Character!$B$9+SUMIF(Character!$I$62:$I$66,"Enigmatic Wisdom",Character!$J$62:$J$66))&gt;=IF(Z1379="Yes",0,(Y1379+D1374)),"Succeeded","Failed"))))</f>
        <v xml:space="preserve"> </v>
      </c>
      <c r="AB1379" s="477" t="str">
        <f>IF(AA1379=" "," ",IF(NOT(ISBLANK(X1379)),VLOOKUP($D$3+X1379,Calcs!$A$110:$C$122,3,TRUE),IF(AA1379="Failed",VLOOKUP($D$3,Calcs!$A$110:$C$122,3,TRUE),VLOOKUP($D$3-(IF((Character!$B$9+W1379)&gt;($D$3+Y1379),(Character!$B$9+W1379)-($D$3+Y1379),0)),Calcs!$A$110:$C$122,3,TRUE))))</f>
        <v xml:space="preserve"> </v>
      </c>
      <c r="AC1379" s="489"/>
      <c r="AD1379" s="489" t="str">
        <f>IF(IF(AA1379=" "," ",IF(NOT(ISBLANK(X1379)),VLOOKUP($D$3+X1379,Calcs!$A$110:$B$122,2,TRUE),IF(AA1379="Failed",VLOOKUP($D$3,Calcs!$A$110:$B$122,2,TRUE),VLOOKUP($D$3-(IF((Character!$B$9+W1379)&gt;($D$3+Y1379),(Character!$B$9+W1379)-($D$3+Y1379),0)),Calcs!$A$110:$B$122,2,TRUE))))=Calcs!$B$120,IF(ISBLANK(AC1379)," ",CONCATENATE(AC1379+7," Years")),IF(AA1379=" "," ",IF(NOT(ISBLANK(X1379)),VLOOKUP($D$3+X1379,Calcs!$A$110:$B$122,2,TRUE),IF(AA1379="Failed",VLOOKUP($D$3,Calcs!$A$110:$B$122,2,TRUE),VLOOKUP($D$3-(IF((Character!$B$9+W1379)&gt;($D$3+Y1379),(Character!$B$9+W1379)-($D$3+Y1379),0)),Calcs!$A$110:$B$122,2,TRUE)))))</f>
        <v xml:space="preserve"> </v>
      </c>
      <c r="AE1379" s="490"/>
      <c r="AF1379" s="879"/>
      <c r="AG1379" s="491"/>
    </row>
    <row r="1380" spans="1:33" x14ac:dyDescent="0.2">
      <c r="A1380" s="415">
        <f t="shared" si="42"/>
        <v>1555</v>
      </c>
      <c r="B1380" s="419" t="str">
        <f t="shared" si="43"/>
        <v>Winter</v>
      </c>
      <c r="C1380" s="455"/>
      <c r="D1380" s="504"/>
      <c r="E1380" s="455"/>
      <c r="F1380" s="504"/>
      <c r="G1380" s="455"/>
      <c r="H1380" s="504"/>
      <c r="I1380" s="455"/>
      <c r="J1380" s="504"/>
      <c r="L1380" s="472"/>
      <c r="M1380" s="468"/>
      <c r="N1380" s="468"/>
      <c r="O1380" s="468"/>
      <c r="P1380" s="468"/>
      <c r="Q1380" s="473"/>
      <c r="R1380" s="477" t="str">
        <f>IF(AND(COUNTIF('Start Character'!$I$63:$M$77,"Twilight Prone")=1,NOT(ISERROR(FIND("Magical Botch",M1380)))),"Yes",IF(P1380&gt;1,"Yes","No"))</f>
        <v>No</v>
      </c>
      <c r="S1380" s="501"/>
      <c r="T1380" s="478"/>
      <c r="U1380" s="501"/>
      <c r="V1380" s="479" t="str">
        <f>IF(R1380="No","No Twilight",IF(T1380="Yes","Uncomprehended Twilight",IF((Character!$B$14+IF(Character!$B$53="Yes",0,Character!$B$53)+IF(Magic!$C$5="Yes",2,0)+ROUNDUP((Magic!$B$30+IF(Magic!$C$30="Yes",3,0))/5,0)+S1380)&gt;=($D$3+P1380+SUMIF(Character!$I$62:$I$66,"Enigmatic Wisdom",Character!$J$62:$J$66)+Q1380+U1380),"No Twilight","Twilight")))</f>
        <v>No Twilight</v>
      </c>
      <c r="W1380" s="483"/>
      <c r="X1380" s="478"/>
      <c r="Y1380" s="484"/>
      <c r="Z1380" s="478"/>
      <c r="AA1380" s="485" t="str">
        <f>IF(V1380="Uncomprehended Twilight","Failed",IF(OR(ISBLANK(W1380),ISBLANK(Y1380))," ",IF(NOT(ISBLANK(X1380)),"Failed",IF((W1380+Character!$B$9+SUMIF(Character!$I$62:$I$66,"Enigmatic Wisdom",Character!$J$62:$J$66))&gt;=IF(Z1380="Yes",0,(Y1380+D1375)),"Succeeded","Failed"))))</f>
        <v xml:space="preserve"> </v>
      </c>
      <c r="AB1380" s="477" t="str">
        <f>IF(AA1380=" "," ",IF(NOT(ISBLANK(X1380)),VLOOKUP($D$3+X1380,Calcs!$A$110:$C$122,3,TRUE),IF(AA1380="Failed",VLOOKUP($D$3,Calcs!$A$110:$C$122,3,TRUE),VLOOKUP($D$3-(IF((Character!$B$9+W1380)&gt;($D$3+Y1380),(Character!$B$9+W1380)-($D$3+Y1380),0)),Calcs!$A$110:$C$122,3,TRUE))))</f>
        <v xml:space="preserve"> </v>
      </c>
      <c r="AC1380" s="489"/>
      <c r="AD1380" s="489" t="str">
        <f>IF(IF(AA1380=" "," ",IF(NOT(ISBLANK(X1380)),VLOOKUP($D$3+X1380,Calcs!$A$110:$B$122,2,TRUE),IF(AA1380="Failed",VLOOKUP($D$3,Calcs!$A$110:$B$122,2,TRUE),VLOOKUP($D$3-(IF((Character!$B$9+W1380)&gt;($D$3+Y1380),(Character!$B$9+W1380)-($D$3+Y1380),0)),Calcs!$A$110:$B$122,2,TRUE))))=Calcs!$B$120,IF(ISBLANK(AC1380)," ",CONCATENATE(AC1380+7," Years")),IF(AA1380=" "," ",IF(NOT(ISBLANK(X1380)),VLOOKUP($D$3+X1380,Calcs!$A$110:$B$122,2,TRUE),IF(AA1380="Failed",VLOOKUP($D$3,Calcs!$A$110:$B$122,2,TRUE),VLOOKUP($D$3-(IF((Character!$B$9+W1380)&gt;($D$3+Y1380),(Character!$B$9+W1380)-($D$3+Y1380),0)),Calcs!$A$110:$B$122,2,TRUE)))))</f>
        <v xml:space="preserve"> </v>
      </c>
      <c r="AE1380" s="490"/>
      <c r="AF1380" s="879"/>
      <c r="AG1380" s="491"/>
    </row>
    <row r="1381" spans="1:33" x14ac:dyDescent="0.2">
      <c r="A1381" s="415">
        <f t="shared" si="42"/>
        <v>1555</v>
      </c>
      <c r="B1381" s="419" t="str">
        <f t="shared" si="43"/>
        <v>Spring</v>
      </c>
      <c r="C1381" s="455"/>
      <c r="D1381" s="504"/>
      <c r="E1381" s="455"/>
      <c r="F1381" s="504"/>
      <c r="G1381" s="455"/>
      <c r="H1381" s="504"/>
      <c r="I1381" s="455"/>
      <c r="J1381" s="504"/>
      <c r="L1381" s="472"/>
      <c r="M1381" s="468"/>
      <c r="N1381" s="468"/>
      <c r="O1381" s="468"/>
      <c r="P1381" s="468"/>
      <c r="Q1381" s="473"/>
      <c r="R1381" s="477" t="str">
        <f>IF(AND(COUNTIF('Start Character'!$I$63:$M$77,"Twilight Prone")=1,NOT(ISERROR(FIND("Magical Botch",M1381)))),"Yes",IF(P1381&gt;1,"Yes","No"))</f>
        <v>No</v>
      </c>
      <c r="S1381" s="501"/>
      <c r="T1381" s="478"/>
      <c r="U1381" s="501"/>
      <c r="V1381" s="479" t="str">
        <f>IF(R1381="No","No Twilight",IF(T1381="Yes","Uncomprehended Twilight",IF((Character!$B$14+IF(Character!$B$53="Yes",0,Character!$B$53)+IF(Magic!$C$5="Yes",2,0)+ROUNDUP((Magic!$B$30+IF(Magic!$C$30="Yes",3,0))/5,0)+S1381)&gt;=($D$3+P1381+SUMIF(Character!$I$62:$I$66,"Enigmatic Wisdom",Character!$J$62:$J$66)+Q1381+U1381),"No Twilight","Twilight")))</f>
        <v>No Twilight</v>
      </c>
      <c r="W1381" s="483"/>
      <c r="X1381" s="478"/>
      <c r="Y1381" s="484"/>
      <c r="Z1381" s="478"/>
      <c r="AA1381" s="485" t="str">
        <f>IF(V1381="Uncomprehended Twilight","Failed",IF(OR(ISBLANK(W1381),ISBLANK(Y1381))," ",IF(NOT(ISBLANK(X1381)),"Failed",IF((W1381+Character!$B$9+SUMIF(Character!$I$62:$I$66,"Enigmatic Wisdom",Character!$J$62:$J$66))&gt;=IF(Z1381="Yes",0,(Y1381+D1376)),"Succeeded","Failed"))))</f>
        <v xml:space="preserve"> </v>
      </c>
      <c r="AB1381" s="477" t="str">
        <f>IF(AA1381=" "," ",IF(NOT(ISBLANK(X1381)),VLOOKUP($D$3+X1381,Calcs!$A$110:$C$122,3,TRUE),IF(AA1381="Failed",VLOOKUP($D$3,Calcs!$A$110:$C$122,3,TRUE),VLOOKUP($D$3-(IF((Character!$B$9+W1381)&gt;($D$3+Y1381),(Character!$B$9+W1381)-($D$3+Y1381),0)),Calcs!$A$110:$C$122,3,TRUE))))</f>
        <v xml:space="preserve"> </v>
      </c>
      <c r="AC1381" s="489"/>
      <c r="AD1381" s="489" t="str">
        <f>IF(IF(AA1381=" "," ",IF(NOT(ISBLANK(X1381)),VLOOKUP($D$3+X1381,Calcs!$A$110:$B$122,2,TRUE),IF(AA1381="Failed",VLOOKUP($D$3,Calcs!$A$110:$B$122,2,TRUE),VLOOKUP($D$3-(IF((Character!$B$9+W1381)&gt;($D$3+Y1381),(Character!$B$9+W1381)-($D$3+Y1381),0)),Calcs!$A$110:$B$122,2,TRUE))))=Calcs!$B$120,IF(ISBLANK(AC1381)," ",CONCATENATE(AC1381+7," Years")),IF(AA1381=" "," ",IF(NOT(ISBLANK(X1381)),VLOOKUP($D$3+X1381,Calcs!$A$110:$B$122,2,TRUE),IF(AA1381="Failed",VLOOKUP($D$3,Calcs!$A$110:$B$122,2,TRUE),VLOOKUP($D$3-(IF((Character!$B$9+W1381)&gt;($D$3+Y1381),(Character!$B$9+W1381)-($D$3+Y1381),0)),Calcs!$A$110:$B$122,2,TRUE)))))</f>
        <v xml:space="preserve"> </v>
      </c>
      <c r="AE1381" s="490"/>
      <c r="AF1381" s="879"/>
      <c r="AG1381" s="491"/>
    </row>
    <row r="1382" spans="1:33" x14ac:dyDescent="0.2">
      <c r="A1382" s="415">
        <f t="shared" si="42"/>
        <v>1555</v>
      </c>
      <c r="B1382" s="419" t="str">
        <f t="shared" si="43"/>
        <v>Summer</v>
      </c>
      <c r="C1382" s="455"/>
      <c r="D1382" s="504"/>
      <c r="E1382" s="455"/>
      <c r="F1382" s="504"/>
      <c r="G1382" s="455"/>
      <c r="H1382" s="504"/>
      <c r="I1382" s="455"/>
      <c r="J1382" s="504"/>
      <c r="L1382" s="472"/>
      <c r="M1382" s="468"/>
      <c r="N1382" s="468"/>
      <c r="O1382" s="468"/>
      <c r="P1382" s="468"/>
      <c r="Q1382" s="473"/>
      <c r="R1382" s="477" t="str">
        <f>IF(AND(COUNTIF('Start Character'!$I$63:$M$77,"Twilight Prone")=1,NOT(ISERROR(FIND("Magical Botch",M1382)))),"Yes",IF(P1382&gt;1,"Yes","No"))</f>
        <v>No</v>
      </c>
      <c r="S1382" s="501"/>
      <c r="T1382" s="478"/>
      <c r="U1382" s="501"/>
      <c r="V1382" s="479" t="str">
        <f>IF(R1382="No","No Twilight",IF(T1382="Yes","Uncomprehended Twilight",IF((Character!$B$14+IF(Character!$B$53="Yes",0,Character!$B$53)+IF(Magic!$C$5="Yes",2,0)+ROUNDUP((Magic!$B$30+IF(Magic!$C$30="Yes",3,0))/5,0)+S1382)&gt;=($D$3+P1382+SUMIF(Character!$I$62:$I$66,"Enigmatic Wisdom",Character!$J$62:$J$66)+Q1382+U1382),"No Twilight","Twilight")))</f>
        <v>No Twilight</v>
      </c>
      <c r="W1382" s="483"/>
      <c r="X1382" s="478"/>
      <c r="Y1382" s="484"/>
      <c r="Z1382" s="478"/>
      <c r="AA1382" s="485" t="str">
        <f>IF(V1382="Uncomprehended Twilight","Failed",IF(OR(ISBLANK(W1382),ISBLANK(Y1382))," ",IF(NOT(ISBLANK(X1382)),"Failed",IF((W1382+Character!$B$9+SUMIF(Character!$I$62:$I$66,"Enigmatic Wisdom",Character!$J$62:$J$66))&gt;=IF(Z1382="Yes",0,(Y1382+D1377)),"Succeeded","Failed"))))</f>
        <v xml:space="preserve"> </v>
      </c>
      <c r="AB1382" s="477" t="str">
        <f>IF(AA1382=" "," ",IF(NOT(ISBLANK(X1382)),VLOOKUP($D$3+X1382,Calcs!$A$110:$C$122,3,TRUE),IF(AA1382="Failed",VLOOKUP($D$3,Calcs!$A$110:$C$122,3,TRUE),VLOOKUP($D$3-(IF((Character!$B$9+W1382)&gt;($D$3+Y1382),(Character!$B$9+W1382)-($D$3+Y1382),0)),Calcs!$A$110:$C$122,3,TRUE))))</f>
        <v xml:space="preserve"> </v>
      </c>
      <c r="AC1382" s="489"/>
      <c r="AD1382" s="489" t="str">
        <f>IF(IF(AA1382=" "," ",IF(NOT(ISBLANK(X1382)),VLOOKUP($D$3+X1382,Calcs!$A$110:$B$122,2,TRUE),IF(AA1382="Failed",VLOOKUP($D$3,Calcs!$A$110:$B$122,2,TRUE),VLOOKUP($D$3-(IF((Character!$B$9+W1382)&gt;($D$3+Y1382),(Character!$B$9+W1382)-($D$3+Y1382),0)),Calcs!$A$110:$B$122,2,TRUE))))=Calcs!$B$120,IF(ISBLANK(AC1382)," ",CONCATENATE(AC1382+7," Years")),IF(AA1382=" "," ",IF(NOT(ISBLANK(X1382)),VLOOKUP($D$3+X1382,Calcs!$A$110:$B$122,2,TRUE),IF(AA1382="Failed",VLOOKUP($D$3,Calcs!$A$110:$B$122,2,TRUE),VLOOKUP($D$3-(IF((Character!$B$9+W1382)&gt;($D$3+Y1382),(Character!$B$9+W1382)-($D$3+Y1382),0)),Calcs!$A$110:$B$122,2,TRUE)))))</f>
        <v xml:space="preserve"> </v>
      </c>
      <c r="AE1382" s="490"/>
      <c r="AF1382" s="879"/>
      <c r="AG1382" s="491"/>
    </row>
    <row r="1383" spans="1:33" x14ac:dyDescent="0.2">
      <c r="A1383" s="415">
        <f t="shared" si="42"/>
        <v>1555</v>
      </c>
      <c r="B1383" s="419" t="str">
        <f t="shared" si="43"/>
        <v>Autumn</v>
      </c>
      <c r="C1383" s="455"/>
      <c r="D1383" s="504"/>
      <c r="E1383" s="455"/>
      <c r="F1383" s="504"/>
      <c r="G1383" s="455"/>
      <c r="H1383" s="504"/>
      <c r="I1383" s="455"/>
      <c r="J1383" s="504"/>
      <c r="L1383" s="472"/>
      <c r="M1383" s="468"/>
      <c r="N1383" s="468"/>
      <c r="O1383" s="468"/>
      <c r="P1383" s="468"/>
      <c r="Q1383" s="473"/>
      <c r="R1383" s="477" t="str">
        <f>IF(AND(COUNTIF('Start Character'!$I$63:$M$77,"Twilight Prone")=1,NOT(ISERROR(FIND("Magical Botch",M1383)))),"Yes",IF(P1383&gt;1,"Yes","No"))</f>
        <v>No</v>
      </c>
      <c r="S1383" s="501"/>
      <c r="T1383" s="478"/>
      <c r="U1383" s="501"/>
      <c r="V1383" s="479" t="str">
        <f>IF(R1383="No","No Twilight",IF(T1383="Yes","Uncomprehended Twilight",IF((Character!$B$14+IF(Character!$B$53="Yes",0,Character!$B$53)+IF(Magic!$C$5="Yes",2,0)+ROUNDUP((Magic!$B$30+IF(Magic!$C$30="Yes",3,0))/5,0)+S1383)&gt;=($D$3+P1383+SUMIF(Character!$I$62:$I$66,"Enigmatic Wisdom",Character!$J$62:$J$66)+Q1383+U1383),"No Twilight","Twilight")))</f>
        <v>No Twilight</v>
      </c>
      <c r="W1383" s="483"/>
      <c r="X1383" s="478"/>
      <c r="Y1383" s="484"/>
      <c r="Z1383" s="478"/>
      <c r="AA1383" s="485" t="str">
        <f>IF(V1383="Uncomprehended Twilight","Failed",IF(OR(ISBLANK(W1383),ISBLANK(Y1383))," ",IF(NOT(ISBLANK(X1383)),"Failed",IF((W1383+Character!$B$9+SUMIF(Character!$I$62:$I$66,"Enigmatic Wisdom",Character!$J$62:$J$66))&gt;=IF(Z1383="Yes",0,(Y1383+D1378)),"Succeeded","Failed"))))</f>
        <v xml:space="preserve"> </v>
      </c>
      <c r="AB1383" s="477" t="str">
        <f>IF(AA1383=" "," ",IF(NOT(ISBLANK(X1383)),VLOOKUP($D$3+X1383,Calcs!$A$110:$C$122,3,TRUE),IF(AA1383="Failed",VLOOKUP($D$3,Calcs!$A$110:$C$122,3,TRUE),VLOOKUP($D$3-(IF((Character!$B$9+W1383)&gt;($D$3+Y1383),(Character!$B$9+W1383)-($D$3+Y1383),0)),Calcs!$A$110:$C$122,3,TRUE))))</f>
        <v xml:space="preserve"> </v>
      </c>
      <c r="AC1383" s="489"/>
      <c r="AD1383" s="489" t="str">
        <f>IF(IF(AA1383=" "," ",IF(NOT(ISBLANK(X1383)),VLOOKUP($D$3+X1383,Calcs!$A$110:$B$122,2,TRUE),IF(AA1383="Failed",VLOOKUP($D$3,Calcs!$A$110:$B$122,2,TRUE),VLOOKUP($D$3-(IF((Character!$B$9+W1383)&gt;($D$3+Y1383),(Character!$B$9+W1383)-($D$3+Y1383),0)),Calcs!$A$110:$B$122,2,TRUE))))=Calcs!$B$120,IF(ISBLANK(AC1383)," ",CONCATENATE(AC1383+7," Years")),IF(AA1383=" "," ",IF(NOT(ISBLANK(X1383)),VLOOKUP($D$3+X1383,Calcs!$A$110:$B$122,2,TRUE),IF(AA1383="Failed",VLOOKUP($D$3,Calcs!$A$110:$B$122,2,TRUE),VLOOKUP($D$3-(IF((Character!$B$9+W1383)&gt;($D$3+Y1383),(Character!$B$9+W1383)-($D$3+Y1383),0)),Calcs!$A$110:$B$122,2,TRUE)))))</f>
        <v xml:space="preserve"> </v>
      </c>
      <c r="AE1383" s="490"/>
      <c r="AF1383" s="879"/>
      <c r="AG1383" s="491"/>
    </row>
    <row r="1384" spans="1:33" x14ac:dyDescent="0.2">
      <c r="A1384" s="415">
        <f t="shared" si="42"/>
        <v>1556</v>
      </c>
      <c r="B1384" s="419" t="str">
        <f t="shared" si="43"/>
        <v>Winter</v>
      </c>
      <c r="C1384" s="455"/>
      <c r="D1384" s="504"/>
      <c r="E1384" s="455"/>
      <c r="F1384" s="504"/>
      <c r="G1384" s="455"/>
      <c r="H1384" s="504"/>
      <c r="I1384" s="455"/>
      <c r="J1384" s="504"/>
      <c r="L1384" s="472"/>
      <c r="M1384" s="468"/>
      <c r="N1384" s="468"/>
      <c r="O1384" s="468"/>
      <c r="P1384" s="468"/>
      <c r="Q1384" s="473"/>
      <c r="R1384" s="477" t="str">
        <f>IF(AND(COUNTIF('Start Character'!$I$63:$M$77,"Twilight Prone")=1,NOT(ISERROR(FIND("Magical Botch",M1384)))),"Yes",IF(P1384&gt;1,"Yes","No"))</f>
        <v>No</v>
      </c>
      <c r="S1384" s="501"/>
      <c r="T1384" s="478"/>
      <c r="U1384" s="501"/>
      <c r="V1384" s="479" t="str">
        <f>IF(R1384="No","No Twilight",IF(T1384="Yes","Uncomprehended Twilight",IF((Character!$B$14+IF(Character!$B$53="Yes",0,Character!$B$53)+IF(Magic!$C$5="Yes",2,0)+ROUNDUP((Magic!$B$30+IF(Magic!$C$30="Yes",3,0))/5,0)+S1384)&gt;=($D$3+P1384+SUMIF(Character!$I$62:$I$66,"Enigmatic Wisdom",Character!$J$62:$J$66)+Q1384+U1384),"No Twilight","Twilight")))</f>
        <v>No Twilight</v>
      </c>
      <c r="W1384" s="483"/>
      <c r="X1384" s="478"/>
      <c r="Y1384" s="484"/>
      <c r="Z1384" s="478"/>
      <c r="AA1384" s="485" t="str">
        <f>IF(V1384="Uncomprehended Twilight","Failed",IF(OR(ISBLANK(W1384),ISBLANK(Y1384))," ",IF(NOT(ISBLANK(X1384)),"Failed",IF((W1384+Character!$B$9+SUMIF(Character!$I$62:$I$66,"Enigmatic Wisdom",Character!$J$62:$J$66))&gt;=IF(Z1384="Yes",0,(Y1384+D1379)),"Succeeded","Failed"))))</f>
        <v xml:space="preserve"> </v>
      </c>
      <c r="AB1384" s="477" t="str">
        <f>IF(AA1384=" "," ",IF(NOT(ISBLANK(X1384)),VLOOKUP($D$3+X1384,Calcs!$A$110:$C$122,3,TRUE),IF(AA1384="Failed",VLOOKUP($D$3,Calcs!$A$110:$C$122,3,TRUE),VLOOKUP($D$3-(IF((Character!$B$9+W1384)&gt;($D$3+Y1384),(Character!$B$9+W1384)-($D$3+Y1384),0)),Calcs!$A$110:$C$122,3,TRUE))))</f>
        <v xml:space="preserve"> </v>
      </c>
      <c r="AC1384" s="489"/>
      <c r="AD1384" s="489" t="str">
        <f>IF(IF(AA1384=" "," ",IF(NOT(ISBLANK(X1384)),VLOOKUP($D$3+X1384,Calcs!$A$110:$B$122,2,TRUE),IF(AA1384="Failed",VLOOKUP($D$3,Calcs!$A$110:$B$122,2,TRUE),VLOOKUP($D$3-(IF((Character!$B$9+W1384)&gt;($D$3+Y1384),(Character!$B$9+W1384)-($D$3+Y1384),0)),Calcs!$A$110:$B$122,2,TRUE))))=Calcs!$B$120,IF(ISBLANK(AC1384)," ",CONCATENATE(AC1384+7," Years")),IF(AA1384=" "," ",IF(NOT(ISBLANK(X1384)),VLOOKUP($D$3+X1384,Calcs!$A$110:$B$122,2,TRUE),IF(AA1384="Failed",VLOOKUP($D$3,Calcs!$A$110:$B$122,2,TRUE),VLOOKUP($D$3-(IF((Character!$B$9+W1384)&gt;($D$3+Y1384),(Character!$B$9+W1384)-($D$3+Y1384),0)),Calcs!$A$110:$B$122,2,TRUE)))))</f>
        <v xml:space="preserve"> </v>
      </c>
      <c r="AE1384" s="490"/>
      <c r="AF1384" s="879"/>
      <c r="AG1384" s="491"/>
    </row>
    <row r="1385" spans="1:33" x14ac:dyDescent="0.2">
      <c r="A1385" s="415">
        <f t="shared" si="42"/>
        <v>1556</v>
      </c>
      <c r="B1385" s="419" t="str">
        <f t="shared" si="43"/>
        <v>Spring</v>
      </c>
      <c r="C1385" s="455"/>
      <c r="D1385" s="504"/>
      <c r="E1385" s="455"/>
      <c r="F1385" s="504"/>
      <c r="G1385" s="455"/>
      <c r="H1385" s="504"/>
      <c r="I1385" s="455"/>
      <c r="J1385" s="504"/>
      <c r="L1385" s="472"/>
      <c r="M1385" s="468"/>
      <c r="N1385" s="468"/>
      <c r="O1385" s="468"/>
      <c r="P1385" s="468"/>
      <c r="Q1385" s="473"/>
      <c r="R1385" s="477" t="str">
        <f>IF(AND(COUNTIF('Start Character'!$I$63:$M$77,"Twilight Prone")=1,NOT(ISERROR(FIND("Magical Botch",M1385)))),"Yes",IF(P1385&gt;1,"Yes","No"))</f>
        <v>No</v>
      </c>
      <c r="S1385" s="501"/>
      <c r="T1385" s="478"/>
      <c r="U1385" s="501"/>
      <c r="V1385" s="479" t="str">
        <f>IF(R1385="No","No Twilight",IF(T1385="Yes","Uncomprehended Twilight",IF((Character!$B$14+IF(Character!$B$53="Yes",0,Character!$B$53)+IF(Magic!$C$5="Yes",2,0)+ROUNDUP((Magic!$B$30+IF(Magic!$C$30="Yes",3,0))/5,0)+S1385)&gt;=($D$3+P1385+SUMIF(Character!$I$62:$I$66,"Enigmatic Wisdom",Character!$J$62:$J$66)+Q1385+U1385),"No Twilight","Twilight")))</f>
        <v>No Twilight</v>
      </c>
      <c r="W1385" s="483"/>
      <c r="X1385" s="478"/>
      <c r="Y1385" s="484"/>
      <c r="Z1385" s="478"/>
      <c r="AA1385" s="485" t="str">
        <f>IF(V1385="Uncomprehended Twilight","Failed",IF(OR(ISBLANK(W1385),ISBLANK(Y1385))," ",IF(NOT(ISBLANK(X1385)),"Failed",IF((W1385+Character!$B$9+SUMIF(Character!$I$62:$I$66,"Enigmatic Wisdom",Character!$J$62:$J$66))&gt;=IF(Z1385="Yes",0,(Y1385+D1380)),"Succeeded","Failed"))))</f>
        <v xml:space="preserve"> </v>
      </c>
      <c r="AB1385" s="477" t="str">
        <f>IF(AA1385=" "," ",IF(NOT(ISBLANK(X1385)),VLOOKUP($D$3+X1385,Calcs!$A$110:$C$122,3,TRUE),IF(AA1385="Failed",VLOOKUP($D$3,Calcs!$A$110:$C$122,3,TRUE),VLOOKUP($D$3-(IF((Character!$B$9+W1385)&gt;($D$3+Y1385),(Character!$B$9+W1385)-($D$3+Y1385),0)),Calcs!$A$110:$C$122,3,TRUE))))</f>
        <v xml:space="preserve"> </v>
      </c>
      <c r="AC1385" s="489"/>
      <c r="AD1385" s="489" t="str">
        <f>IF(IF(AA1385=" "," ",IF(NOT(ISBLANK(X1385)),VLOOKUP($D$3+X1385,Calcs!$A$110:$B$122,2,TRUE),IF(AA1385="Failed",VLOOKUP($D$3,Calcs!$A$110:$B$122,2,TRUE),VLOOKUP($D$3-(IF((Character!$B$9+W1385)&gt;($D$3+Y1385),(Character!$B$9+W1385)-($D$3+Y1385),0)),Calcs!$A$110:$B$122,2,TRUE))))=Calcs!$B$120,IF(ISBLANK(AC1385)," ",CONCATENATE(AC1385+7," Years")),IF(AA1385=" "," ",IF(NOT(ISBLANK(X1385)),VLOOKUP($D$3+X1385,Calcs!$A$110:$B$122,2,TRUE),IF(AA1385="Failed",VLOOKUP($D$3,Calcs!$A$110:$B$122,2,TRUE),VLOOKUP($D$3-(IF((Character!$B$9+W1385)&gt;($D$3+Y1385),(Character!$B$9+W1385)-($D$3+Y1385),0)),Calcs!$A$110:$B$122,2,TRUE)))))</f>
        <v xml:space="preserve"> </v>
      </c>
      <c r="AE1385" s="490"/>
      <c r="AF1385" s="879"/>
      <c r="AG1385" s="491"/>
    </row>
    <row r="1386" spans="1:33" x14ac:dyDescent="0.2">
      <c r="A1386" s="415">
        <f t="shared" si="42"/>
        <v>1556</v>
      </c>
      <c r="B1386" s="419" t="str">
        <f t="shared" si="43"/>
        <v>Summer</v>
      </c>
      <c r="C1386" s="455"/>
      <c r="D1386" s="504"/>
      <c r="E1386" s="455"/>
      <c r="F1386" s="504"/>
      <c r="G1386" s="455"/>
      <c r="H1386" s="504"/>
      <c r="I1386" s="455"/>
      <c r="J1386" s="504"/>
      <c r="L1386" s="472"/>
      <c r="M1386" s="468"/>
      <c r="N1386" s="468"/>
      <c r="O1386" s="468"/>
      <c r="P1386" s="468"/>
      <c r="Q1386" s="473"/>
      <c r="R1386" s="477" t="str">
        <f>IF(AND(COUNTIF('Start Character'!$I$63:$M$77,"Twilight Prone")=1,NOT(ISERROR(FIND("Magical Botch",M1386)))),"Yes",IF(P1386&gt;1,"Yes","No"))</f>
        <v>No</v>
      </c>
      <c r="S1386" s="501"/>
      <c r="T1386" s="478"/>
      <c r="U1386" s="501"/>
      <c r="V1386" s="479" t="str">
        <f>IF(R1386="No","No Twilight",IF(T1386="Yes","Uncomprehended Twilight",IF((Character!$B$14+IF(Character!$B$53="Yes",0,Character!$B$53)+IF(Magic!$C$5="Yes",2,0)+ROUNDUP((Magic!$B$30+IF(Magic!$C$30="Yes",3,0))/5,0)+S1386)&gt;=($D$3+P1386+SUMIF(Character!$I$62:$I$66,"Enigmatic Wisdom",Character!$J$62:$J$66)+Q1386+U1386),"No Twilight","Twilight")))</f>
        <v>No Twilight</v>
      </c>
      <c r="W1386" s="483"/>
      <c r="X1386" s="478"/>
      <c r="Y1386" s="484"/>
      <c r="Z1386" s="478"/>
      <c r="AA1386" s="485" t="str">
        <f>IF(V1386="Uncomprehended Twilight","Failed",IF(OR(ISBLANK(W1386),ISBLANK(Y1386))," ",IF(NOT(ISBLANK(X1386)),"Failed",IF((W1386+Character!$B$9+SUMIF(Character!$I$62:$I$66,"Enigmatic Wisdom",Character!$J$62:$J$66))&gt;=IF(Z1386="Yes",0,(Y1386+D1381)),"Succeeded","Failed"))))</f>
        <v xml:space="preserve"> </v>
      </c>
      <c r="AB1386" s="477" t="str">
        <f>IF(AA1386=" "," ",IF(NOT(ISBLANK(X1386)),VLOOKUP($D$3+X1386,Calcs!$A$110:$C$122,3,TRUE),IF(AA1386="Failed",VLOOKUP($D$3,Calcs!$A$110:$C$122,3,TRUE),VLOOKUP($D$3-(IF((Character!$B$9+W1386)&gt;($D$3+Y1386),(Character!$B$9+W1386)-($D$3+Y1386),0)),Calcs!$A$110:$C$122,3,TRUE))))</f>
        <v xml:space="preserve"> </v>
      </c>
      <c r="AC1386" s="489"/>
      <c r="AD1386" s="489" t="str">
        <f>IF(IF(AA1386=" "," ",IF(NOT(ISBLANK(X1386)),VLOOKUP($D$3+X1386,Calcs!$A$110:$B$122,2,TRUE),IF(AA1386="Failed",VLOOKUP($D$3,Calcs!$A$110:$B$122,2,TRUE),VLOOKUP($D$3-(IF((Character!$B$9+W1386)&gt;($D$3+Y1386),(Character!$B$9+W1386)-($D$3+Y1386),0)),Calcs!$A$110:$B$122,2,TRUE))))=Calcs!$B$120,IF(ISBLANK(AC1386)," ",CONCATENATE(AC1386+7," Years")),IF(AA1386=" "," ",IF(NOT(ISBLANK(X1386)),VLOOKUP($D$3+X1386,Calcs!$A$110:$B$122,2,TRUE),IF(AA1386="Failed",VLOOKUP($D$3,Calcs!$A$110:$B$122,2,TRUE),VLOOKUP($D$3-(IF((Character!$B$9+W1386)&gt;($D$3+Y1386),(Character!$B$9+W1386)-($D$3+Y1386),0)),Calcs!$A$110:$B$122,2,TRUE)))))</f>
        <v xml:space="preserve"> </v>
      </c>
      <c r="AE1386" s="490"/>
      <c r="AF1386" s="879"/>
      <c r="AG1386" s="491"/>
    </row>
    <row r="1387" spans="1:33" x14ac:dyDescent="0.2">
      <c r="A1387" s="415">
        <f t="shared" si="42"/>
        <v>1556</v>
      </c>
      <c r="B1387" s="419" t="str">
        <f t="shared" si="43"/>
        <v>Autumn</v>
      </c>
      <c r="C1387" s="455"/>
      <c r="D1387" s="504"/>
      <c r="E1387" s="455"/>
      <c r="F1387" s="504"/>
      <c r="G1387" s="455"/>
      <c r="H1387" s="504"/>
      <c r="I1387" s="455"/>
      <c r="J1387" s="504"/>
      <c r="L1387" s="472"/>
      <c r="M1387" s="468"/>
      <c r="N1387" s="468"/>
      <c r="O1387" s="468"/>
      <c r="P1387" s="468"/>
      <c r="Q1387" s="473"/>
      <c r="R1387" s="477" t="str">
        <f>IF(AND(COUNTIF('Start Character'!$I$63:$M$77,"Twilight Prone")=1,NOT(ISERROR(FIND("Magical Botch",M1387)))),"Yes",IF(P1387&gt;1,"Yes","No"))</f>
        <v>No</v>
      </c>
      <c r="S1387" s="501"/>
      <c r="T1387" s="478"/>
      <c r="U1387" s="501"/>
      <c r="V1387" s="479" t="str">
        <f>IF(R1387="No","No Twilight",IF(T1387="Yes","Uncomprehended Twilight",IF((Character!$B$14+IF(Character!$B$53="Yes",0,Character!$B$53)+IF(Magic!$C$5="Yes",2,0)+ROUNDUP((Magic!$B$30+IF(Magic!$C$30="Yes",3,0))/5,0)+S1387)&gt;=($D$3+P1387+SUMIF(Character!$I$62:$I$66,"Enigmatic Wisdom",Character!$J$62:$J$66)+Q1387+U1387),"No Twilight","Twilight")))</f>
        <v>No Twilight</v>
      </c>
      <c r="W1387" s="483"/>
      <c r="X1387" s="478"/>
      <c r="Y1387" s="484"/>
      <c r="Z1387" s="478"/>
      <c r="AA1387" s="485" t="str">
        <f>IF(V1387="Uncomprehended Twilight","Failed",IF(OR(ISBLANK(W1387),ISBLANK(Y1387))," ",IF(NOT(ISBLANK(X1387)),"Failed",IF((W1387+Character!$B$9+SUMIF(Character!$I$62:$I$66,"Enigmatic Wisdom",Character!$J$62:$J$66))&gt;=IF(Z1387="Yes",0,(Y1387+D1382)),"Succeeded","Failed"))))</f>
        <v xml:space="preserve"> </v>
      </c>
      <c r="AB1387" s="477" t="str">
        <f>IF(AA1387=" "," ",IF(NOT(ISBLANK(X1387)),VLOOKUP($D$3+X1387,Calcs!$A$110:$C$122,3,TRUE),IF(AA1387="Failed",VLOOKUP($D$3,Calcs!$A$110:$C$122,3,TRUE),VLOOKUP($D$3-(IF((Character!$B$9+W1387)&gt;($D$3+Y1387),(Character!$B$9+W1387)-($D$3+Y1387),0)),Calcs!$A$110:$C$122,3,TRUE))))</f>
        <v xml:space="preserve"> </v>
      </c>
      <c r="AC1387" s="489"/>
      <c r="AD1387" s="489" t="str">
        <f>IF(IF(AA1387=" "," ",IF(NOT(ISBLANK(X1387)),VLOOKUP($D$3+X1387,Calcs!$A$110:$B$122,2,TRUE),IF(AA1387="Failed",VLOOKUP($D$3,Calcs!$A$110:$B$122,2,TRUE),VLOOKUP($D$3-(IF((Character!$B$9+W1387)&gt;($D$3+Y1387),(Character!$B$9+W1387)-($D$3+Y1387),0)),Calcs!$A$110:$B$122,2,TRUE))))=Calcs!$B$120,IF(ISBLANK(AC1387)," ",CONCATENATE(AC1387+7," Years")),IF(AA1387=" "," ",IF(NOT(ISBLANK(X1387)),VLOOKUP($D$3+X1387,Calcs!$A$110:$B$122,2,TRUE),IF(AA1387="Failed",VLOOKUP($D$3,Calcs!$A$110:$B$122,2,TRUE),VLOOKUP($D$3-(IF((Character!$B$9+W1387)&gt;($D$3+Y1387),(Character!$B$9+W1387)-($D$3+Y1387),0)),Calcs!$A$110:$B$122,2,TRUE)))))</f>
        <v xml:space="preserve"> </v>
      </c>
      <c r="AE1387" s="490"/>
      <c r="AF1387" s="879"/>
      <c r="AG1387" s="491"/>
    </row>
    <row r="1388" spans="1:33" x14ac:dyDescent="0.2">
      <c r="A1388" s="415">
        <f t="shared" si="42"/>
        <v>1557</v>
      </c>
      <c r="B1388" s="419" t="str">
        <f t="shared" si="43"/>
        <v>Winter</v>
      </c>
      <c r="C1388" s="455"/>
      <c r="D1388" s="504"/>
      <c r="E1388" s="455"/>
      <c r="F1388" s="504"/>
      <c r="G1388" s="455"/>
      <c r="H1388" s="504"/>
      <c r="I1388" s="455"/>
      <c r="J1388" s="504"/>
      <c r="L1388" s="472"/>
      <c r="M1388" s="468"/>
      <c r="N1388" s="468"/>
      <c r="O1388" s="468"/>
      <c r="P1388" s="468"/>
      <c r="Q1388" s="473"/>
      <c r="R1388" s="477" t="str">
        <f>IF(AND(COUNTIF('Start Character'!$I$63:$M$77,"Twilight Prone")=1,NOT(ISERROR(FIND("Magical Botch",M1388)))),"Yes",IF(P1388&gt;1,"Yes","No"))</f>
        <v>No</v>
      </c>
      <c r="S1388" s="501"/>
      <c r="T1388" s="478"/>
      <c r="U1388" s="501"/>
      <c r="V1388" s="479" t="str">
        <f>IF(R1388="No","No Twilight",IF(T1388="Yes","Uncomprehended Twilight",IF((Character!$B$14+IF(Character!$B$53="Yes",0,Character!$B$53)+IF(Magic!$C$5="Yes",2,0)+ROUNDUP((Magic!$B$30+IF(Magic!$C$30="Yes",3,0))/5,0)+S1388)&gt;=($D$3+P1388+SUMIF(Character!$I$62:$I$66,"Enigmatic Wisdom",Character!$J$62:$J$66)+Q1388+U1388),"No Twilight","Twilight")))</f>
        <v>No Twilight</v>
      </c>
      <c r="W1388" s="483"/>
      <c r="X1388" s="478"/>
      <c r="Y1388" s="484"/>
      <c r="Z1388" s="478"/>
      <c r="AA1388" s="485" t="str">
        <f>IF(V1388="Uncomprehended Twilight","Failed",IF(OR(ISBLANK(W1388),ISBLANK(Y1388))," ",IF(NOT(ISBLANK(X1388)),"Failed",IF((W1388+Character!$B$9+SUMIF(Character!$I$62:$I$66,"Enigmatic Wisdom",Character!$J$62:$J$66))&gt;=IF(Z1388="Yes",0,(Y1388+D1383)),"Succeeded","Failed"))))</f>
        <v xml:space="preserve"> </v>
      </c>
      <c r="AB1388" s="477" t="str">
        <f>IF(AA1388=" "," ",IF(NOT(ISBLANK(X1388)),VLOOKUP($D$3+X1388,Calcs!$A$110:$C$122,3,TRUE),IF(AA1388="Failed",VLOOKUP($D$3,Calcs!$A$110:$C$122,3,TRUE),VLOOKUP($D$3-(IF((Character!$B$9+W1388)&gt;($D$3+Y1388),(Character!$B$9+W1388)-($D$3+Y1388),0)),Calcs!$A$110:$C$122,3,TRUE))))</f>
        <v xml:space="preserve"> </v>
      </c>
      <c r="AC1388" s="489"/>
      <c r="AD1388" s="489" t="str">
        <f>IF(IF(AA1388=" "," ",IF(NOT(ISBLANK(X1388)),VLOOKUP($D$3+X1388,Calcs!$A$110:$B$122,2,TRUE),IF(AA1388="Failed",VLOOKUP($D$3,Calcs!$A$110:$B$122,2,TRUE),VLOOKUP($D$3-(IF((Character!$B$9+W1388)&gt;($D$3+Y1388),(Character!$B$9+W1388)-($D$3+Y1388),0)),Calcs!$A$110:$B$122,2,TRUE))))=Calcs!$B$120,IF(ISBLANK(AC1388)," ",CONCATENATE(AC1388+7," Years")),IF(AA1388=" "," ",IF(NOT(ISBLANK(X1388)),VLOOKUP($D$3+X1388,Calcs!$A$110:$B$122,2,TRUE),IF(AA1388="Failed",VLOOKUP($D$3,Calcs!$A$110:$B$122,2,TRUE),VLOOKUP($D$3-(IF((Character!$B$9+W1388)&gt;($D$3+Y1388),(Character!$B$9+W1388)-($D$3+Y1388),0)),Calcs!$A$110:$B$122,2,TRUE)))))</f>
        <v xml:space="preserve"> </v>
      </c>
      <c r="AE1388" s="490"/>
      <c r="AF1388" s="879"/>
      <c r="AG1388" s="491"/>
    </row>
    <row r="1389" spans="1:33" x14ac:dyDescent="0.2">
      <c r="A1389" s="415">
        <f t="shared" si="42"/>
        <v>1557</v>
      </c>
      <c r="B1389" s="419" t="str">
        <f t="shared" si="43"/>
        <v>Spring</v>
      </c>
      <c r="C1389" s="455"/>
      <c r="D1389" s="504"/>
      <c r="E1389" s="455"/>
      <c r="F1389" s="504"/>
      <c r="G1389" s="455"/>
      <c r="H1389" s="504"/>
      <c r="I1389" s="455"/>
      <c r="J1389" s="504"/>
      <c r="L1389" s="472"/>
      <c r="M1389" s="468"/>
      <c r="N1389" s="468"/>
      <c r="O1389" s="468"/>
      <c r="P1389" s="468"/>
      <c r="Q1389" s="473"/>
      <c r="R1389" s="477" t="str">
        <f>IF(AND(COUNTIF('Start Character'!$I$63:$M$77,"Twilight Prone")=1,NOT(ISERROR(FIND("Magical Botch",M1389)))),"Yes",IF(P1389&gt;1,"Yes","No"))</f>
        <v>No</v>
      </c>
      <c r="S1389" s="501"/>
      <c r="T1389" s="478"/>
      <c r="U1389" s="501"/>
      <c r="V1389" s="479" t="str">
        <f>IF(R1389="No","No Twilight",IF(T1389="Yes","Uncomprehended Twilight",IF((Character!$B$14+IF(Character!$B$53="Yes",0,Character!$B$53)+IF(Magic!$C$5="Yes",2,0)+ROUNDUP((Magic!$B$30+IF(Magic!$C$30="Yes",3,0))/5,0)+S1389)&gt;=($D$3+P1389+SUMIF(Character!$I$62:$I$66,"Enigmatic Wisdom",Character!$J$62:$J$66)+Q1389+U1389),"No Twilight","Twilight")))</f>
        <v>No Twilight</v>
      </c>
      <c r="W1389" s="483"/>
      <c r="X1389" s="478"/>
      <c r="Y1389" s="484"/>
      <c r="Z1389" s="478"/>
      <c r="AA1389" s="485" t="str">
        <f>IF(V1389="Uncomprehended Twilight","Failed",IF(OR(ISBLANK(W1389),ISBLANK(Y1389))," ",IF(NOT(ISBLANK(X1389)),"Failed",IF((W1389+Character!$B$9+SUMIF(Character!$I$62:$I$66,"Enigmatic Wisdom",Character!$J$62:$J$66))&gt;=IF(Z1389="Yes",0,(Y1389+D1384)),"Succeeded","Failed"))))</f>
        <v xml:space="preserve"> </v>
      </c>
      <c r="AB1389" s="477" t="str">
        <f>IF(AA1389=" "," ",IF(NOT(ISBLANK(X1389)),VLOOKUP($D$3+X1389,Calcs!$A$110:$C$122,3,TRUE),IF(AA1389="Failed",VLOOKUP($D$3,Calcs!$A$110:$C$122,3,TRUE),VLOOKUP($D$3-(IF((Character!$B$9+W1389)&gt;($D$3+Y1389),(Character!$B$9+W1389)-($D$3+Y1389),0)),Calcs!$A$110:$C$122,3,TRUE))))</f>
        <v xml:space="preserve"> </v>
      </c>
      <c r="AC1389" s="489"/>
      <c r="AD1389" s="489" t="str">
        <f>IF(IF(AA1389=" "," ",IF(NOT(ISBLANK(X1389)),VLOOKUP($D$3+X1389,Calcs!$A$110:$B$122,2,TRUE),IF(AA1389="Failed",VLOOKUP($D$3,Calcs!$A$110:$B$122,2,TRUE),VLOOKUP($D$3-(IF((Character!$B$9+W1389)&gt;($D$3+Y1389),(Character!$B$9+W1389)-($D$3+Y1389),0)),Calcs!$A$110:$B$122,2,TRUE))))=Calcs!$B$120,IF(ISBLANK(AC1389)," ",CONCATENATE(AC1389+7," Years")),IF(AA1389=" "," ",IF(NOT(ISBLANK(X1389)),VLOOKUP($D$3+X1389,Calcs!$A$110:$B$122,2,TRUE),IF(AA1389="Failed",VLOOKUP($D$3,Calcs!$A$110:$B$122,2,TRUE),VLOOKUP($D$3-(IF((Character!$B$9+W1389)&gt;($D$3+Y1389),(Character!$B$9+W1389)-($D$3+Y1389),0)),Calcs!$A$110:$B$122,2,TRUE)))))</f>
        <v xml:space="preserve"> </v>
      </c>
      <c r="AE1389" s="490"/>
      <c r="AF1389" s="879"/>
      <c r="AG1389" s="491"/>
    </row>
    <row r="1390" spans="1:33" x14ac:dyDescent="0.2">
      <c r="A1390" s="415">
        <f t="shared" si="42"/>
        <v>1557</v>
      </c>
      <c r="B1390" s="419" t="str">
        <f t="shared" si="43"/>
        <v>Summer</v>
      </c>
      <c r="C1390" s="455"/>
      <c r="D1390" s="504"/>
      <c r="E1390" s="455"/>
      <c r="F1390" s="504"/>
      <c r="G1390" s="455"/>
      <c r="H1390" s="504"/>
      <c r="I1390" s="455"/>
      <c r="J1390" s="504"/>
      <c r="L1390" s="472"/>
      <c r="M1390" s="468"/>
      <c r="N1390" s="468"/>
      <c r="O1390" s="468"/>
      <c r="P1390" s="468"/>
      <c r="Q1390" s="473"/>
      <c r="R1390" s="477" t="str">
        <f>IF(AND(COUNTIF('Start Character'!$I$63:$M$77,"Twilight Prone")=1,NOT(ISERROR(FIND("Magical Botch",M1390)))),"Yes",IF(P1390&gt;1,"Yes","No"))</f>
        <v>No</v>
      </c>
      <c r="S1390" s="501"/>
      <c r="T1390" s="478"/>
      <c r="U1390" s="501"/>
      <c r="V1390" s="479" t="str">
        <f>IF(R1390="No","No Twilight",IF(T1390="Yes","Uncomprehended Twilight",IF((Character!$B$14+IF(Character!$B$53="Yes",0,Character!$B$53)+IF(Magic!$C$5="Yes",2,0)+ROUNDUP((Magic!$B$30+IF(Magic!$C$30="Yes",3,0))/5,0)+S1390)&gt;=($D$3+P1390+SUMIF(Character!$I$62:$I$66,"Enigmatic Wisdom",Character!$J$62:$J$66)+Q1390+U1390),"No Twilight","Twilight")))</f>
        <v>No Twilight</v>
      </c>
      <c r="W1390" s="483"/>
      <c r="X1390" s="478"/>
      <c r="Y1390" s="484"/>
      <c r="Z1390" s="478"/>
      <c r="AA1390" s="485" t="str">
        <f>IF(V1390="Uncomprehended Twilight","Failed",IF(OR(ISBLANK(W1390),ISBLANK(Y1390))," ",IF(NOT(ISBLANK(X1390)),"Failed",IF((W1390+Character!$B$9+SUMIF(Character!$I$62:$I$66,"Enigmatic Wisdom",Character!$J$62:$J$66))&gt;=IF(Z1390="Yes",0,(Y1390+D1385)),"Succeeded","Failed"))))</f>
        <v xml:space="preserve"> </v>
      </c>
      <c r="AB1390" s="477" t="str">
        <f>IF(AA1390=" "," ",IF(NOT(ISBLANK(X1390)),VLOOKUP($D$3+X1390,Calcs!$A$110:$C$122,3,TRUE),IF(AA1390="Failed",VLOOKUP($D$3,Calcs!$A$110:$C$122,3,TRUE),VLOOKUP($D$3-(IF((Character!$B$9+W1390)&gt;($D$3+Y1390),(Character!$B$9+W1390)-($D$3+Y1390),0)),Calcs!$A$110:$C$122,3,TRUE))))</f>
        <v xml:space="preserve"> </v>
      </c>
      <c r="AC1390" s="489"/>
      <c r="AD1390" s="489" t="str">
        <f>IF(IF(AA1390=" "," ",IF(NOT(ISBLANK(X1390)),VLOOKUP($D$3+X1390,Calcs!$A$110:$B$122,2,TRUE),IF(AA1390="Failed",VLOOKUP($D$3,Calcs!$A$110:$B$122,2,TRUE),VLOOKUP($D$3-(IF((Character!$B$9+W1390)&gt;($D$3+Y1390),(Character!$B$9+W1390)-($D$3+Y1390),0)),Calcs!$A$110:$B$122,2,TRUE))))=Calcs!$B$120,IF(ISBLANK(AC1390)," ",CONCATENATE(AC1390+7," Years")),IF(AA1390=" "," ",IF(NOT(ISBLANK(X1390)),VLOOKUP($D$3+X1390,Calcs!$A$110:$B$122,2,TRUE),IF(AA1390="Failed",VLOOKUP($D$3,Calcs!$A$110:$B$122,2,TRUE),VLOOKUP($D$3-(IF((Character!$B$9+W1390)&gt;($D$3+Y1390),(Character!$B$9+W1390)-($D$3+Y1390),0)),Calcs!$A$110:$B$122,2,TRUE)))))</f>
        <v xml:space="preserve"> </v>
      </c>
      <c r="AE1390" s="490"/>
      <c r="AF1390" s="879"/>
      <c r="AG1390" s="491"/>
    </row>
    <row r="1391" spans="1:33" x14ac:dyDescent="0.2">
      <c r="A1391" s="415">
        <f t="shared" si="42"/>
        <v>1557</v>
      </c>
      <c r="B1391" s="419" t="str">
        <f t="shared" si="43"/>
        <v>Autumn</v>
      </c>
      <c r="C1391" s="455"/>
      <c r="D1391" s="504"/>
      <c r="E1391" s="455"/>
      <c r="F1391" s="504"/>
      <c r="G1391" s="455"/>
      <c r="H1391" s="504"/>
      <c r="I1391" s="455"/>
      <c r="J1391" s="504"/>
      <c r="L1391" s="472"/>
      <c r="M1391" s="468"/>
      <c r="N1391" s="468"/>
      <c r="O1391" s="468"/>
      <c r="P1391" s="468"/>
      <c r="Q1391" s="473"/>
      <c r="R1391" s="477" t="str">
        <f>IF(AND(COUNTIF('Start Character'!$I$63:$M$77,"Twilight Prone")=1,NOT(ISERROR(FIND("Magical Botch",M1391)))),"Yes",IF(P1391&gt;1,"Yes","No"))</f>
        <v>No</v>
      </c>
      <c r="S1391" s="501"/>
      <c r="T1391" s="478"/>
      <c r="U1391" s="501"/>
      <c r="V1391" s="479" t="str">
        <f>IF(R1391="No","No Twilight",IF(T1391="Yes","Uncomprehended Twilight",IF((Character!$B$14+IF(Character!$B$53="Yes",0,Character!$B$53)+IF(Magic!$C$5="Yes",2,0)+ROUNDUP((Magic!$B$30+IF(Magic!$C$30="Yes",3,0))/5,0)+S1391)&gt;=($D$3+P1391+SUMIF(Character!$I$62:$I$66,"Enigmatic Wisdom",Character!$J$62:$J$66)+Q1391+U1391),"No Twilight","Twilight")))</f>
        <v>No Twilight</v>
      </c>
      <c r="W1391" s="483"/>
      <c r="X1391" s="478"/>
      <c r="Y1391" s="484"/>
      <c r="Z1391" s="478"/>
      <c r="AA1391" s="485" t="str">
        <f>IF(V1391="Uncomprehended Twilight","Failed",IF(OR(ISBLANK(W1391),ISBLANK(Y1391))," ",IF(NOT(ISBLANK(X1391)),"Failed",IF((W1391+Character!$B$9+SUMIF(Character!$I$62:$I$66,"Enigmatic Wisdom",Character!$J$62:$J$66))&gt;=IF(Z1391="Yes",0,(Y1391+D1386)),"Succeeded","Failed"))))</f>
        <v xml:space="preserve"> </v>
      </c>
      <c r="AB1391" s="477" t="str">
        <f>IF(AA1391=" "," ",IF(NOT(ISBLANK(X1391)),VLOOKUP($D$3+X1391,Calcs!$A$110:$C$122,3,TRUE),IF(AA1391="Failed",VLOOKUP($D$3,Calcs!$A$110:$C$122,3,TRUE),VLOOKUP($D$3-(IF((Character!$B$9+W1391)&gt;($D$3+Y1391),(Character!$B$9+W1391)-($D$3+Y1391),0)),Calcs!$A$110:$C$122,3,TRUE))))</f>
        <v xml:space="preserve"> </v>
      </c>
      <c r="AC1391" s="489"/>
      <c r="AD1391" s="489" t="str">
        <f>IF(IF(AA1391=" "," ",IF(NOT(ISBLANK(X1391)),VLOOKUP($D$3+X1391,Calcs!$A$110:$B$122,2,TRUE),IF(AA1391="Failed",VLOOKUP($D$3,Calcs!$A$110:$B$122,2,TRUE),VLOOKUP($D$3-(IF((Character!$B$9+W1391)&gt;($D$3+Y1391),(Character!$B$9+W1391)-($D$3+Y1391),0)),Calcs!$A$110:$B$122,2,TRUE))))=Calcs!$B$120,IF(ISBLANK(AC1391)," ",CONCATENATE(AC1391+7," Years")),IF(AA1391=" "," ",IF(NOT(ISBLANK(X1391)),VLOOKUP($D$3+X1391,Calcs!$A$110:$B$122,2,TRUE),IF(AA1391="Failed",VLOOKUP($D$3,Calcs!$A$110:$B$122,2,TRUE),VLOOKUP($D$3-(IF((Character!$B$9+W1391)&gt;($D$3+Y1391),(Character!$B$9+W1391)-($D$3+Y1391),0)),Calcs!$A$110:$B$122,2,TRUE)))))</f>
        <v xml:space="preserve"> </v>
      </c>
      <c r="AE1391" s="490"/>
      <c r="AF1391" s="879"/>
      <c r="AG1391" s="491"/>
    </row>
    <row r="1392" spans="1:33" x14ac:dyDescent="0.2">
      <c r="A1392" s="415">
        <f t="shared" si="42"/>
        <v>1558</v>
      </c>
      <c r="B1392" s="419" t="str">
        <f t="shared" si="43"/>
        <v>Winter</v>
      </c>
      <c r="C1392" s="455"/>
      <c r="D1392" s="504"/>
      <c r="E1392" s="455"/>
      <c r="F1392" s="504"/>
      <c r="G1392" s="455"/>
      <c r="H1392" s="504"/>
      <c r="I1392" s="455"/>
      <c r="J1392" s="504"/>
      <c r="L1392" s="472"/>
      <c r="M1392" s="468"/>
      <c r="N1392" s="468"/>
      <c r="O1392" s="468"/>
      <c r="P1392" s="468"/>
      <c r="Q1392" s="473"/>
      <c r="R1392" s="477" t="str">
        <f>IF(AND(COUNTIF('Start Character'!$I$63:$M$77,"Twilight Prone")=1,NOT(ISERROR(FIND("Magical Botch",M1392)))),"Yes",IF(P1392&gt;1,"Yes","No"))</f>
        <v>No</v>
      </c>
      <c r="S1392" s="501"/>
      <c r="T1392" s="478"/>
      <c r="U1392" s="501"/>
      <c r="V1392" s="479" t="str">
        <f>IF(R1392="No","No Twilight",IF(T1392="Yes","Uncomprehended Twilight",IF((Character!$B$14+IF(Character!$B$53="Yes",0,Character!$B$53)+IF(Magic!$C$5="Yes",2,0)+ROUNDUP((Magic!$B$30+IF(Magic!$C$30="Yes",3,0))/5,0)+S1392)&gt;=($D$3+P1392+SUMIF(Character!$I$62:$I$66,"Enigmatic Wisdom",Character!$J$62:$J$66)+Q1392+U1392),"No Twilight","Twilight")))</f>
        <v>No Twilight</v>
      </c>
      <c r="W1392" s="483"/>
      <c r="X1392" s="478"/>
      <c r="Y1392" s="484"/>
      <c r="Z1392" s="478"/>
      <c r="AA1392" s="485" t="str">
        <f>IF(V1392="Uncomprehended Twilight","Failed",IF(OR(ISBLANK(W1392),ISBLANK(Y1392))," ",IF(NOT(ISBLANK(X1392)),"Failed",IF((W1392+Character!$B$9+SUMIF(Character!$I$62:$I$66,"Enigmatic Wisdom",Character!$J$62:$J$66))&gt;=IF(Z1392="Yes",0,(Y1392+D1387)),"Succeeded","Failed"))))</f>
        <v xml:space="preserve"> </v>
      </c>
      <c r="AB1392" s="477" t="str">
        <f>IF(AA1392=" "," ",IF(NOT(ISBLANK(X1392)),VLOOKUP($D$3+X1392,Calcs!$A$110:$C$122,3,TRUE),IF(AA1392="Failed",VLOOKUP($D$3,Calcs!$A$110:$C$122,3,TRUE),VLOOKUP($D$3-(IF((Character!$B$9+W1392)&gt;($D$3+Y1392),(Character!$B$9+W1392)-($D$3+Y1392),0)),Calcs!$A$110:$C$122,3,TRUE))))</f>
        <v xml:space="preserve"> </v>
      </c>
      <c r="AC1392" s="489"/>
      <c r="AD1392" s="489" t="str">
        <f>IF(IF(AA1392=" "," ",IF(NOT(ISBLANK(X1392)),VLOOKUP($D$3+X1392,Calcs!$A$110:$B$122,2,TRUE),IF(AA1392="Failed",VLOOKUP($D$3,Calcs!$A$110:$B$122,2,TRUE),VLOOKUP($D$3-(IF((Character!$B$9+W1392)&gt;($D$3+Y1392),(Character!$B$9+W1392)-($D$3+Y1392),0)),Calcs!$A$110:$B$122,2,TRUE))))=Calcs!$B$120,IF(ISBLANK(AC1392)," ",CONCATENATE(AC1392+7," Years")),IF(AA1392=" "," ",IF(NOT(ISBLANK(X1392)),VLOOKUP($D$3+X1392,Calcs!$A$110:$B$122,2,TRUE),IF(AA1392="Failed",VLOOKUP($D$3,Calcs!$A$110:$B$122,2,TRUE),VLOOKUP($D$3-(IF((Character!$B$9+W1392)&gt;($D$3+Y1392),(Character!$B$9+W1392)-($D$3+Y1392),0)),Calcs!$A$110:$B$122,2,TRUE)))))</f>
        <v xml:space="preserve"> </v>
      </c>
      <c r="AE1392" s="490"/>
      <c r="AF1392" s="879"/>
      <c r="AG1392" s="491"/>
    </row>
    <row r="1393" spans="1:33" x14ac:dyDescent="0.2">
      <c r="A1393" s="415">
        <f t="shared" si="42"/>
        <v>1558</v>
      </c>
      <c r="B1393" s="419" t="str">
        <f t="shared" si="43"/>
        <v>Spring</v>
      </c>
      <c r="C1393" s="455"/>
      <c r="D1393" s="504"/>
      <c r="E1393" s="455"/>
      <c r="F1393" s="504"/>
      <c r="G1393" s="455"/>
      <c r="H1393" s="504"/>
      <c r="I1393" s="455"/>
      <c r="J1393" s="504"/>
      <c r="L1393" s="472"/>
      <c r="M1393" s="468"/>
      <c r="N1393" s="468"/>
      <c r="O1393" s="468"/>
      <c r="P1393" s="468"/>
      <c r="Q1393" s="473"/>
      <c r="R1393" s="477" t="str">
        <f>IF(AND(COUNTIF('Start Character'!$I$63:$M$77,"Twilight Prone")=1,NOT(ISERROR(FIND("Magical Botch",M1393)))),"Yes",IF(P1393&gt;1,"Yes","No"))</f>
        <v>No</v>
      </c>
      <c r="S1393" s="501"/>
      <c r="T1393" s="478"/>
      <c r="U1393" s="501"/>
      <c r="V1393" s="479" t="str">
        <f>IF(R1393="No","No Twilight",IF(T1393="Yes","Uncomprehended Twilight",IF((Character!$B$14+IF(Character!$B$53="Yes",0,Character!$B$53)+IF(Magic!$C$5="Yes",2,0)+ROUNDUP((Magic!$B$30+IF(Magic!$C$30="Yes",3,0))/5,0)+S1393)&gt;=($D$3+P1393+SUMIF(Character!$I$62:$I$66,"Enigmatic Wisdom",Character!$J$62:$J$66)+Q1393+U1393),"No Twilight","Twilight")))</f>
        <v>No Twilight</v>
      </c>
      <c r="W1393" s="483"/>
      <c r="X1393" s="478"/>
      <c r="Y1393" s="484"/>
      <c r="Z1393" s="478"/>
      <c r="AA1393" s="485" t="str">
        <f>IF(V1393="Uncomprehended Twilight","Failed",IF(OR(ISBLANK(W1393),ISBLANK(Y1393))," ",IF(NOT(ISBLANK(X1393)),"Failed",IF((W1393+Character!$B$9+SUMIF(Character!$I$62:$I$66,"Enigmatic Wisdom",Character!$J$62:$J$66))&gt;=IF(Z1393="Yes",0,(Y1393+D1388)),"Succeeded","Failed"))))</f>
        <v xml:space="preserve"> </v>
      </c>
      <c r="AB1393" s="477" t="str">
        <f>IF(AA1393=" "," ",IF(NOT(ISBLANK(X1393)),VLOOKUP($D$3+X1393,Calcs!$A$110:$C$122,3,TRUE),IF(AA1393="Failed",VLOOKUP($D$3,Calcs!$A$110:$C$122,3,TRUE),VLOOKUP($D$3-(IF((Character!$B$9+W1393)&gt;($D$3+Y1393),(Character!$B$9+W1393)-($D$3+Y1393),0)),Calcs!$A$110:$C$122,3,TRUE))))</f>
        <v xml:space="preserve"> </v>
      </c>
      <c r="AC1393" s="489"/>
      <c r="AD1393" s="489" t="str">
        <f>IF(IF(AA1393=" "," ",IF(NOT(ISBLANK(X1393)),VLOOKUP($D$3+X1393,Calcs!$A$110:$B$122,2,TRUE),IF(AA1393="Failed",VLOOKUP($D$3,Calcs!$A$110:$B$122,2,TRUE),VLOOKUP($D$3-(IF((Character!$B$9+W1393)&gt;($D$3+Y1393),(Character!$B$9+W1393)-($D$3+Y1393),0)),Calcs!$A$110:$B$122,2,TRUE))))=Calcs!$B$120,IF(ISBLANK(AC1393)," ",CONCATENATE(AC1393+7," Years")),IF(AA1393=" "," ",IF(NOT(ISBLANK(X1393)),VLOOKUP($D$3+X1393,Calcs!$A$110:$B$122,2,TRUE),IF(AA1393="Failed",VLOOKUP($D$3,Calcs!$A$110:$B$122,2,TRUE),VLOOKUP($D$3-(IF((Character!$B$9+W1393)&gt;($D$3+Y1393),(Character!$B$9+W1393)-($D$3+Y1393),0)),Calcs!$A$110:$B$122,2,TRUE)))))</f>
        <v xml:space="preserve"> </v>
      </c>
      <c r="AE1393" s="490"/>
      <c r="AF1393" s="879"/>
      <c r="AG1393" s="491"/>
    </row>
    <row r="1394" spans="1:33" x14ac:dyDescent="0.2">
      <c r="A1394" s="415">
        <f t="shared" si="42"/>
        <v>1558</v>
      </c>
      <c r="B1394" s="419" t="str">
        <f t="shared" si="43"/>
        <v>Summer</v>
      </c>
      <c r="C1394" s="455"/>
      <c r="D1394" s="504"/>
      <c r="E1394" s="455"/>
      <c r="F1394" s="504"/>
      <c r="G1394" s="455"/>
      <c r="H1394" s="504"/>
      <c r="I1394" s="455"/>
      <c r="J1394" s="504"/>
      <c r="L1394" s="472"/>
      <c r="M1394" s="468"/>
      <c r="N1394" s="468"/>
      <c r="O1394" s="468"/>
      <c r="P1394" s="468"/>
      <c r="Q1394" s="473"/>
      <c r="R1394" s="477" t="str">
        <f>IF(AND(COUNTIF('Start Character'!$I$63:$M$77,"Twilight Prone")=1,NOT(ISERROR(FIND("Magical Botch",M1394)))),"Yes",IF(P1394&gt;1,"Yes","No"))</f>
        <v>No</v>
      </c>
      <c r="S1394" s="501"/>
      <c r="T1394" s="478"/>
      <c r="U1394" s="501"/>
      <c r="V1394" s="479" t="str">
        <f>IF(R1394="No","No Twilight",IF(T1394="Yes","Uncomprehended Twilight",IF((Character!$B$14+IF(Character!$B$53="Yes",0,Character!$B$53)+IF(Magic!$C$5="Yes",2,0)+ROUNDUP((Magic!$B$30+IF(Magic!$C$30="Yes",3,0))/5,0)+S1394)&gt;=($D$3+P1394+SUMIF(Character!$I$62:$I$66,"Enigmatic Wisdom",Character!$J$62:$J$66)+Q1394+U1394),"No Twilight","Twilight")))</f>
        <v>No Twilight</v>
      </c>
      <c r="W1394" s="483"/>
      <c r="X1394" s="478"/>
      <c r="Y1394" s="484"/>
      <c r="Z1394" s="478"/>
      <c r="AA1394" s="485" t="str">
        <f>IF(V1394="Uncomprehended Twilight","Failed",IF(OR(ISBLANK(W1394),ISBLANK(Y1394))," ",IF(NOT(ISBLANK(X1394)),"Failed",IF((W1394+Character!$B$9+SUMIF(Character!$I$62:$I$66,"Enigmatic Wisdom",Character!$J$62:$J$66))&gt;=IF(Z1394="Yes",0,(Y1394+D1389)),"Succeeded","Failed"))))</f>
        <v xml:space="preserve"> </v>
      </c>
      <c r="AB1394" s="477" t="str">
        <f>IF(AA1394=" "," ",IF(NOT(ISBLANK(X1394)),VLOOKUP($D$3+X1394,Calcs!$A$110:$C$122,3,TRUE),IF(AA1394="Failed",VLOOKUP($D$3,Calcs!$A$110:$C$122,3,TRUE),VLOOKUP($D$3-(IF((Character!$B$9+W1394)&gt;($D$3+Y1394),(Character!$B$9+W1394)-($D$3+Y1394),0)),Calcs!$A$110:$C$122,3,TRUE))))</f>
        <v xml:space="preserve"> </v>
      </c>
      <c r="AC1394" s="489"/>
      <c r="AD1394" s="489" t="str">
        <f>IF(IF(AA1394=" "," ",IF(NOT(ISBLANK(X1394)),VLOOKUP($D$3+X1394,Calcs!$A$110:$B$122,2,TRUE),IF(AA1394="Failed",VLOOKUP($D$3,Calcs!$A$110:$B$122,2,TRUE),VLOOKUP($D$3-(IF((Character!$B$9+W1394)&gt;($D$3+Y1394),(Character!$B$9+W1394)-($D$3+Y1394),0)),Calcs!$A$110:$B$122,2,TRUE))))=Calcs!$B$120,IF(ISBLANK(AC1394)," ",CONCATENATE(AC1394+7," Years")),IF(AA1394=" "," ",IF(NOT(ISBLANK(X1394)),VLOOKUP($D$3+X1394,Calcs!$A$110:$B$122,2,TRUE),IF(AA1394="Failed",VLOOKUP($D$3,Calcs!$A$110:$B$122,2,TRUE),VLOOKUP($D$3-(IF((Character!$B$9+W1394)&gt;($D$3+Y1394),(Character!$B$9+W1394)-($D$3+Y1394),0)),Calcs!$A$110:$B$122,2,TRUE)))))</f>
        <v xml:space="preserve"> </v>
      </c>
      <c r="AE1394" s="490"/>
      <c r="AF1394" s="879"/>
      <c r="AG1394" s="491"/>
    </row>
    <row r="1395" spans="1:33" x14ac:dyDescent="0.2">
      <c r="A1395" s="415">
        <f t="shared" si="42"/>
        <v>1558</v>
      </c>
      <c r="B1395" s="419" t="str">
        <f t="shared" si="43"/>
        <v>Autumn</v>
      </c>
      <c r="C1395" s="455"/>
      <c r="D1395" s="504"/>
      <c r="E1395" s="455"/>
      <c r="F1395" s="504"/>
      <c r="G1395" s="455"/>
      <c r="H1395" s="504"/>
      <c r="I1395" s="455"/>
      <c r="J1395" s="504"/>
      <c r="L1395" s="472"/>
      <c r="M1395" s="468"/>
      <c r="N1395" s="468"/>
      <c r="O1395" s="468"/>
      <c r="P1395" s="468"/>
      <c r="Q1395" s="473"/>
      <c r="R1395" s="477" t="str">
        <f>IF(AND(COUNTIF('Start Character'!$I$63:$M$77,"Twilight Prone")=1,NOT(ISERROR(FIND("Magical Botch",M1395)))),"Yes",IF(P1395&gt;1,"Yes","No"))</f>
        <v>No</v>
      </c>
      <c r="S1395" s="501"/>
      <c r="T1395" s="478"/>
      <c r="U1395" s="501"/>
      <c r="V1395" s="479" t="str">
        <f>IF(R1395="No","No Twilight",IF(T1395="Yes","Uncomprehended Twilight",IF((Character!$B$14+IF(Character!$B$53="Yes",0,Character!$B$53)+IF(Magic!$C$5="Yes",2,0)+ROUNDUP((Magic!$B$30+IF(Magic!$C$30="Yes",3,0))/5,0)+S1395)&gt;=($D$3+P1395+SUMIF(Character!$I$62:$I$66,"Enigmatic Wisdom",Character!$J$62:$J$66)+Q1395+U1395),"No Twilight","Twilight")))</f>
        <v>No Twilight</v>
      </c>
      <c r="W1395" s="483"/>
      <c r="X1395" s="478"/>
      <c r="Y1395" s="484"/>
      <c r="Z1395" s="478"/>
      <c r="AA1395" s="485" t="str">
        <f>IF(V1395="Uncomprehended Twilight","Failed",IF(OR(ISBLANK(W1395),ISBLANK(Y1395))," ",IF(NOT(ISBLANK(X1395)),"Failed",IF((W1395+Character!$B$9+SUMIF(Character!$I$62:$I$66,"Enigmatic Wisdom",Character!$J$62:$J$66))&gt;=IF(Z1395="Yes",0,(Y1395+D1390)),"Succeeded","Failed"))))</f>
        <v xml:space="preserve"> </v>
      </c>
      <c r="AB1395" s="477" t="str">
        <f>IF(AA1395=" "," ",IF(NOT(ISBLANK(X1395)),VLOOKUP($D$3+X1395,Calcs!$A$110:$C$122,3,TRUE),IF(AA1395="Failed",VLOOKUP($D$3,Calcs!$A$110:$C$122,3,TRUE),VLOOKUP($D$3-(IF((Character!$B$9+W1395)&gt;($D$3+Y1395),(Character!$B$9+W1395)-($D$3+Y1395),0)),Calcs!$A$110:$C$122,3,TRUE))))</f>
        <v xml:space="preserve"> </v>
      </c>
      <c r="AC1395" s="489"/>
      <c r="AD1395" s="489" t="str">
        <f>IF(IF(AA1395=" "," ",IF(NOT(ISBLANK(X1395)),VLOOKUP($D$3+X1395,Calcs!$A$110:$B$122,2,TRUE),IF(AA1395="Failed",VLOOKUP($D$3,Calcs!$A$110:$B$122,2,TRUE),VLOOKUP($D$3-(IF((Character!$B$9+W1395)&gt;($D$3+Y1395),(Character!$B$9+W1395)-($D$3+Y1395),0)),Calcs!$A$110:$B$122,2,TRUE))))=Calcs!$B$120,IF(ISBLANK(AC1395)," ",CONCATENATE(AC1395+7," Years")),IF(AA1395=" "," ",IF(NOT(ISBLANK(X1395)),VLOOKUP($D$3+X1395,Calcs!$A$110:$B$122,2,TRUE),IF(AA1395="Failed",VLOOKUP($D$3,Calcs!$A$110:$B$122,2,TRUE),VLOOKUP($D$3-(IF((Character!$B$9+W1395)&gt;($D$3+Y1395),(Character!$B$9+W1395)-($D$3+Y1395),0)),Calcs!$A$110:$B$122,2,TRUE)))))</f>
        <v xml:space="preserve"> </v>
      </c>
      <c r="AE1395" s="490"/>
      <c r="AF1395" s="879"/>
      <c r="AG1395" s="491"/>
    </row>
    <row r="1396" spans="1:33" x14ac:dyDescent="0.2">
      <c r="A1396" s="415">
        <f t="shared" si="42"/>
        <v>1559</v>
      </c>
      <c r="B1396" s="419" t="str">
        <f t="shared" si="43"/>
        <v>Winter</v>
      </c>
      <c r="C1396" s="455"/>
      <c r="D1396" s="504"/>
      <c r="E1396" s="455"/>
      <c r="F1396" s="504"/>
      <c r="G1396" s="455"/>
      <c r="H1396" s="504"/>
      <c r="I1396" s="455"/>
      <c r="J1396" s="504"/>
      <c r="L1396" s="472"/>
      <c r="M1396" s="468"/>
      <c r="N1396" s="468"/>
      <c r="O1396" s="468"/>
      <c r="P1396" s="468"/>
      <c r="Q1396" s="473"/>
      <c r="R1396" s="477" t="str">
        <f>IF(AND(COUNTIF('Start Character'!$I$63:$M$77,"Twilight Prone")=1,NOT(ISERROR(FIND("Magical Botch",M1396)))),"Yes",IF(P1396&gt;1,"Yes","No"))</f>
        <v>No</v>
      </c>
      <c r="S1396" s="501"/>
      <c r="T1396" s="478"/>
      <c r="U1396" s="501"/>
      <c r="V1396" s="479" t="str">
        <f>IF(R1396="No","No Twilight",IF(T1396="Yes","Uncomprehended Twilight",IF((Character!$B$14+IF(Character!$B$53="Yes",0,Character!$B$53)+IF(Magic!$C$5="Yes",2,0)+ROUNDUP((Magic!$B$30+IF(Magic!$C$30="Yes",3,0))/5,0)+S1396)&gt;=($D$3+P1396+SUMIF(Character!$I$62:$I$66,"Enigmatic Wisdom",Character!$J$62:$J$66)+Q1396+U1396),"No Twilight","Twilight")))</f>
        <v>No Twilight</v>
      </c>
      <c r="W1396" s="483"/>
      <c r="X1396" s="478"/>
      <c r="Y1396" s="484"/>
      <c r="Z1396" s="478"/>
      <c r="AA1396" s="485" t="str">
        <f>IF(V1396="Uncomprehended Twilight","Failed",IF(OR(ISBLANK(W1396),ISBLANK(Y1396))," ",IF(NOT(ISBLANK(X1396)),"Failed",IF((W1396+Character!$B$9+SUMIF(Character!$I$62:$I$66,"Enigmatic Wisdom",Character!$J$62:$J$66))&gt;=IF(Z1396="Yes",0,(Y1396+D1391)),"Succeeded","Failed"))))</f>
        <v xml:space="preserve"> </v>
      </c>
      <c r="AB1396" s="477" t="str">
        <f>IF(AA1396=" "," ",IF(NOT(ISBLANK(X1396)),VLOOKUP($D$3+X1396,Calcs!$A$110:$C$122,3,TRUE),IF(AA1396="Failed",VLOOKUP($D$3,Calcs!$A$110:$C$122,3,TRUE),VLOOKUP($D$3-(IF((Character!$B$9+W1396)&gt;($D$3+Y1396),(Character!$B$9+W1396)-($D$3+Y1396),0)),Calcs!$A$110:$C$122,3,TRUE))))</f>
        <v xml:space="preserve"> </v>
      </c>
      <c r="AC1396" s="489"/>
      <c r="AD1396" s="489" t="str">
        <f>IF(IF(AA1396=" "," ",IF(NOT(ISBLANK(X1396)),VLOOKUP($D$3+X1396,Calcs!$A$110:$B$122,2,TRUE),IF(AA1396="Failed",VLOOKUP($D$3,Calcs!$A$110:$B$122,2,TRUE),VLOOKUP($D$3-(IF((Character!$B$9+W1396)&gt;($D$3+Y1396),(Character!$B$9+W1396)-($D$3+Y1396),0)),Calcs!$A$110:$B$122,2,TRUE))))=Calcs!$B$120,IF(ISBLANK(AC1396)," ",CONCATENATE(AC1396+7," Years")),IF(AA1396=" "," ",IF(NOT(ISBLANK(X1396)),VLOOKUP($D$3+X1396,Calcs!$A$110:$B$122,2,TRUE),IF(AA1396="Failed",VLOOKUP($D$3,Calcs!$A$110:$B$122,2,TRUE),VLOOKUP($D$3-(IF((Character!$B$9+W1396)&gt;($D$3+Y1396),(Character!$B$9+W1396)-($D$3+Y1396),0)),Calcs!$A$110:$B$122,2,TRUE)))))</f>
        <v xml:space="preserve"> </v>
      </c>
      <c r="AE1396" s="490"/>
      <c r="AF1396" s="879"/>
      <c r="AG1396" s="491"/>
    </row>
    <row r="1397" spans="1:33" x14ac:dyDescent="0.2">
      <c r="A1397" s="415">
        <f t="shared" si="42"/>
        <v>1559</v>
      </c>
      <c r="B1397" s="419" t="str">
        <f t="shared" si="43"/>
        <v>Spring</v>
      </c>
      <c r="C1397" s="455"/>
      <c r="D1397" s="504"/>
      <c r="E1397" s="455"/>
      <c r="F1397" s="504"/>
      <c r="G1397" s="455"/>
      <c r="H1397" s="504"/>
      <c r="I1397" s="455"/>
      <c r="J1397" s="504"/>
      <c r="L1397" s="472"/>
      <c r="M1397" s="468"/>
      <c r="N1397" s="468"/>
      <c r="O1397" s="468"/>
      <c r="P1397" s="468"/>
      <c r="Q1397" s="473"/>
      <c r="R1397" s="477" t="str">
        <f>IF(AND(COUNTIF('Start Character'!$I$63:$M$77,"Twilight Prone")=1,NOT(ISERROR(FIND("Magical Botch",M1397)))),"Yes",IF(P1397&gt;1,"Yes","No"))</f>
        <v>No</v>
      </c>
      <c r="S1397" s="501"/>
      <c r="T1397" s="478"/>
      <c r="U1397" s="501"/>
      <c r="V1397" s="479" t="str">
        <f>IF(R1397="No","No Twilight",IF(T1397="Yes","Uncomprehended Twilight",IF((Character!$B$14+IF(Character!$B$53="Yes",0,Character!$B$53)+IF(Magic!$C$5="Yes",2,0)+ROUNDUP((Magic!$B$30+IF(Magic!$C$30="Yes",3,0))/5,0)+S1397)&gt;=($D$3+P1397+SUMIF(Character!$I$62:$I$66,"Enigmatic Wisdom",Character!$J$62:$J$66)+Q1397+U1397),"No Twilight","Twilight")))</f>
        <v>No Twilight</v>
      </c>
      <c r="W1397" s="483"/>
      <c r="X1397" s="478"/>
      <c r="Y1397" s="484"/>
      <c r="Z1397" s="478"/>
      <c r="AA1397" s="485" t="str">
        <f>IF(V1397="Uncomprehended Twilight","Failed",IF(OR(ISBLANK(W1397),ISBLANK(Y1397))," ",IF(NOT(ISBLANK(X1397)),"Failed",IF((W1397+Character!$B$9+SUMIF(Character!$I$62:$I$66,"Enigmatic Wisdom",Character!$J$62:$J$66))&gt;=IF(Z1397="Yes",0,(Y1397+D1392)),"Succeeded","Failed"))))</f>
        <v xml:space="preserve"> </v>
      </c>
      <c r="AB1397" s="477" t="str">
        <f>IF(AA1397=" "," ",IF(NOT(ISBLANK(X1397)),VLOOKUP($D$3+X1397,Calcs!$A$110:$C$122,3,TRUE),IF(AA1397="Failed",VLOOKUP($D$3,Calcs!$A$110:$C$122,3,TRUE),VLOOKUP($D$3-(IF((Character!$B$9+W1397)&gt;($D$3+Y1397),(Character!$B$9+W1397)-($D$3+Y1397),0)),Calcs!$A$110:$C$122,3,TRUE))))</f>
        <v xml:space="preserve"> </v>
      </c>
      <c r="AC1397" s="489"/>
      <c r="AD1397" s="489" t="str">
        <f>IF(IF(AA1397=" "," ",IF(NOT(ISBLANK(X1397)),VLOOKUP($D$3+X1397,Calcs!$A$110:$B$122,2,TRUE),IF(AA1397="Failed",VLOOKUP($D$3,Calcs!$A$110:$B$122,2,TRUE),VLOOKUP($D$3-(IF((Character!$B$9+W1397)&gt;($D$3+Y1397),(Character!$B$9+W1397)-($D$3+Y1397),0)),Calcs!$A$110:$B$122,2,TRUE))))=Calcs!$B$120,IF(ISBLANK(AC1397)," ",CONCATENATE(AC1397+7," Years")),IF(AA1397=" "," ",IF(NOT(ISBLANK(X1397)),VLOOKUP($D$3+X1397,Calcs!$A$110:$B$122,2,TRUE),IF(AA1397="Failed",VLOOKUP($D$3,Calcs!$A$110:$B$122,2,TRUE),VLOOKUP($D$3-(IF((Character!$B$9+W1397)&gt;($D$3+Y1397),(Character!$B$9+W1397)-($D$3+Y1397),0)),Calcs!$A$110:$B$122,2,TRUE)))))</f>
        <v xml:space="preserve"> </v>
      </c>
      <c r="AE1397" s="490"/>
      <c r="AF1397" s="879"/>
      <c r="AG1397" s="491"/>
    </row>
    <row r="1398" spans="1:33" x14ac:dyDescent="0.2">
      <c r="A1398" s="415">
        <f t="shared" si="42"/>
        <v>1559</v>
      </c>
      <c r="B1398" s="419" t="str">
        <f t="shared" si="43"/>
        <v>Summer</v>
      </c>
      <c r="C1398" s="455"/>
      <c r="D1398" s="504"/>
      <c r="E1398" s="455"/>
      <c r="F1398" s="504"/>
      <c r="G1398" s="455"/>
      <c r="H1398" s="504"/>
      <c r="I1398" s="455"/>
      <c r="J1398" s="504"/>
      <c r="L1398" s="472"/>
      <c r="M1398" s="468"/>
      <c r="N1398" s="468"/>
      <c r="O1398" s="468"/>
      <c r="P1398" s="468"/>
      <c r="Q1398" s="473"/>
      <c r="R1398" s="477" t="str">
        <f>IF(AND(COUNTIF('Start Character'!$I$63:$M$77,"Twilight Prone")=1,NOT(ISERROR(FIND("Magical Botch",M1398)))),"Yes",IF(P1398&gt;1,"Yes","No"))</f>
        <v>No</v>
      </c>
      <c r="S1398" s="501"/>
      <c r="T1398" s="478"/>
      <c r="U1398" s="501"/>
      <c r="V1398" s="479" t="str">
        <f>IF(R1398="No","No Twilight",IF(T1398="Yes","Uncomprehended Twilight",IF((Character!$B$14+IF(Character!$B$53="Yes",0,Character!$B$53)+IF(Magic!$C$5="Yes",2,0)+ROUNDUP((Magic!$B$30+IF(Magic!$C$30="Yes",3,0))/5,0)+S1398)&gt;=($D$3+P1398+SUMIF(Character!$I$62:$I$66,"Enigmatic Wisdom",Character!$J$62:$J$66)+Q1398+U1398),"No Twilight","Twilight")))</f>
        <v>No Twilight</v>
      </c>
      <c r="W1398" s="483"/>
      <c r="X1398" s="478"/>
      <c r="Y1398" s="484"/>
      <c r="Z1398" s="478"/>
      <c r="AA1398" s="485" t="str">
        <f>IF(V1398="Uncomprehended Twilight","Failed",IF(OR(ISBLANK(W1398),ISBLANK(Y1398))," ",IF(NOT(ISBLANK(X1398)),"Failed",IF((W1398+Character!$B$9+SUMIF(Character!$I$62:$I$66,"Enigmatic Wisdom",Character!$J$62:$J$66))&gt;=IF(Z1398="Yes",0,(Y1398+D1393)),"Succeeded","Failed"))))</f>
        <v xml:space="preserve"> </v>
      </c>
      <c r="AB1398" s="477" t="str">
        <f>IF(AA1398=" "," ",IF(NOT(ISBLANK(X1398)),VLOOKUP($D$3+X1398,Calcs!$A$110:$C$122,3,TRUE),IF(AA1398="Failed",VLOOKUP($D$3,Calcs!$A$110:$C$122,3,TRUE),VLOOKUP($D$3-(IF((Character!$B$9+W1398)&gt;($D$3+Y1398),(Character!$B$9+W1398)-($D$3+Y1398),0)),Calcs!$A$110:$C$122,3,TRUE))))</f>
        <v xml:space="preserve"> </v>
      </c>
      <c r="AC1398" s="489"/>
      <c r="AD1398" s="489" t="str">
        <f>IF(IF(AA1398=" "," ",IF(NOT(ISBLANK(X1398)),VLOOKUP($D$3+X1398,Calcs!$A$110:$B$122,2,TRUE),IF(AA1398="Failed",VLOOKUP($D$3,Calcs!$A$110:$B$122,2,TRUE),VLOOKUP($D$3-(IF((Character!$B$9+W1398)&gt;($D$3+Y1398),(Character!$B$9+W1398)-($D$3+Y1398),0)),Calcs!$A$110:$B$122,2,TRUE))))=Calcs!$B$120,IF(ISBLANK(AC1398)," ",CONCATENATE(AC1398+7," Years")),IF(AA1398=" "," ",IF(NOT(ISBLANK(X1398)),VLOOKUP($D$3+X1398,Calcs!$A$110:$B$122,2,TRUE),IF(AA1398="Failed",VLOOKUP($D$3,Calcs!$A$110:$B$122,2,TRUE),VLOOKUP($D$3-(IF((Character!$B$9+W1398)&gt;($D$3+Y1398),(Character!$B$9+W1398)-($D$3+Y1398),0)),Calcs!$A$110:$B$122,2,TRUE)))))</f>
        <v xml:space="preserve"> </v>
      </c>
      <c r="AE1398" s="490"/>
      <c r="AF1398" s="879"/>
      <c r="AG1398" s="491"/>
    </row>
    <row r="1399" spans="1:33" x14ac:dyDescent="0.2">
      <c r="A1399" s="415">
        <f t="shared" si="42"/>
        <v>1559</v>
      </c>
      <c r="B1399" s="419" t="str">
        <f t="shared" si="43"/>
        <v>Autumn</v>
      </c>
      <c r="C1399" s="455"/>
      <c r="D1399" s="504"/>
      <c r="E1399" s="455"/>
      <c r="F1399" s="504"/>
      <c r="G1399" s="455"/>
      <c r="H1399" s="504"/>
      <c r="I1399" s="455"/>
      <c r="J1399" s="504"/>
      <c r="L1399" s="472"/>
      <c r="M1399" s="468"/>
      <c r="N1399" s="468"/>
      <c r="O1399" s="468"/>
      <c r="P1399" s="468"/>
      <c r="Q1399" s="473"/>
      <c r="R1399" s="477" t="str">
        <f>IF(AND(COUNTIF('Start Character'!$I$63:$M$77,"Twilight Prone")=1,NOT(ISERROR(FIND("Magical Botch",M1399)))),"Yes",IF(P1399&gt;1,"Yes","No"))</f>
        <v>No</v>
      </c>
      <c r="S1399" s="501"/>
      <c r="T1399" s="478"/>
      <c r="U1399" s="501"/>
      <c r="V1399" s="479" t="str">
        <f>IF(R1399="No","No Twilight",IF(T1399="Yes","Uncomprehended Twilight",IF((Character!$B$14+IF(Character!$B$53="Yes",0,Character!$B$53)+IF(Magic!$C$5="Yes",2,0)+ROUNDUP((Magic!$B$30+IF(Magic!$C$30="Yes",3,0))/5,0)+S1399)&gt;=($D$3+P1399+SUMIF(Character!$I$62:$I$66,"Enigmatic Wisdom",Character!$J$62:$J$66)+Q1399+U1399),"No Twilight","Twilight")))</f>
        <v>No Twilight</v>
      </c>
      <c r="W1399" s="483"/>
      <c r="X1399" s="478"/>
      <c r="Y1399" s="484"/>
      <c r="Z1399" s="478"/>
      <c r="AA1399" s="485" t="str">
        <f>IF(V1399="Uncomprehended Twilight","Failed",IF(OR(ISBLANK(W1399),ISBLANK(Y1399))," ",IF(NOT(ISBLANK(X1399)),"Failed",IF((W1399+Character!$B$9+SUMIF(Character!$I$62:$I$66,"Enigmatic Wisdom",Character!$J$62:$J$66))&gt;=IF(Z1399="Yes",0,(Y1399+D1394)),"Succeeded","Failed"))))</f>
        <v xml:space="preserve"> </v>
      </c>
      <c r="AB1399" s="477" t="str">
        <f>IF(AA1399=" "," ",IF(NOT(ISBLANK(X1399)),VLOOKUP($D$3+X1399,Calcs!$A$110:$C$122,3,TRUE),IF(AA1399="Failed",VLOOKUP($D$3,Calcs!$A$110:$C$122,3,TRUE),VLOOKUP($D$3-(IF((Character!$B$9+W1399)&gt;($D$3+Y1399),(Character!$B$9+W1399)-($D$3+Y1399),0)),Calcs!$A$110:$C$122,3,TRUE))))</f>
        <v xml:space="preserve"> </v>
      </c>
      <c r="AC1399" s="489"/>
      <c r="AD1399" s="489" t="str">
        <f>IF(IF(AA1399=" "," ",IF(NOT(ISBLANK(X1399)),VLOOKUP($D$3+X1399,Calcs!$A$110:$B$122,2,TRUE),IF(AA1399="Failed",VLOOKUP($D$3,Calcs!$A$110:$B$122,2,TRUE),VLOOKUP($D$3-(IF((Character!$B$9+W1399)&gt;($D$3+Y1399),(Character!$B$9+W1399)-($D$3+Y1399),0)),Calcs!$A$110:$B$122,2,TRUE))))=Calcs!$B$120,IF(ISBLANK(AC1399)," ",CONCATENATE(AC1399+7," Years")),IF(AA1399=" "," ",IF(NOT(ISBLANK(X1399)),VLOOKUP($D$3+X1399,Calcs!$A$110:$B$122,2,TRUE),IF(AA1399="Failed",VLOOKUP($D$3,Calcs!$A$110:$B$122,2,TRUE),VLOOKUP($D$3-(IF((Character!$B$9+W1399)&gt;($D$3+Y1399),(Character!$B$9+W1399)-($D$3+Y1399),0)),Calcs!$A$110:$B$122,2,TRUE)))))</f>
        <v xml:space="preserve"> </v>
      </c>
      <c r="AE1399" s="490"/>
      <c r="AF1399" s="879"/>
      <c r="AG1399" s="491"/>
    </row>
    <row r="1400" spans="1:33" x14ac:dyDescent="0.2">
      <c r="A1400" s="415">
        <f t="shared" si="42"/>
        <v>1560</v>
      </c>
      <c r="B1400" s="419" t="str">
        <f t="shared" si="43"/>
        <v>Winter</v>
      </c>
      <c r="C1400" s="455"/>
      <c r="D1400" s="504"/>
      <c r="E1400" s="455"/>
      <c r="F1400" s="504"/>
      <c r="G1400" s="455"/>
      <c r="H1400" s="504"/>
      <c r="I1400" s="455"/>
      <c r="J1400" s="504"/>
      <c r="L1400" s="472"/>
      <c r="M1400" s="468"/>
      <c r="N1400" s="468"/>
      <c r="O1400" s="468"/>
      <c r="P1400" s="468"/>
      <c r="Q1400" s="473"/>
      <c r="R1400" s="477" t="str">
        <f>IF(AND(COUNTIF('Start Character'!$I$63:$M$77,"Twilight Prone")=1,NOT(ISERROR(FIND("Magical Botch",M1400)))),"Yes",IF(P1400&gt;1,"Yes","No"))</f>
        <v>No</v>
      </c>
      <c r="S1400" s="501"/>
      <c r="T1400" s="478"/>
      <c r="U1400" s="501"/>
      <c r="V1400" s="479" t="str">
        <f>IF(R1400="No","No Twilight",IF(T1400="Yes","Uncomprehended Twilight",IF((Character!$B$14+IF(Character!$B$53="Yes",0,Character!$B$53)+IF(Magic!$C$5="Yes",2,0)+ROUNDUP((Magic!$B$30+IF(Magic!$C$30="Yes",3,0))/5,0)+S1400)&gt;=($D$3+P1400+SUMIF(Character!$I$62:$I$66,"Enigmatic Wisdom",Character!$J$62:$J$66)+Q1400+U1400),"No Twilight","Twilight")))</f>
        <v>No Twilight</v>
      </c>
      <c r="W1400" s="483"/>
      <c r="X1400" s="478"/>
      <c r="Y1400" s="484"/>
      <c r="Z1400" s="478"/>
      <c r="AA1400" s="485" t="str">
        <f>IF(V1400="Uncomprehended Twilight","Failed",IF(OR(ISBLANK(W1400),ISBLANK(Y1400))," ",IF(NOT(ISBLANK(X1400)),"Failed",IF((W1400+Character!$B$9+SUMIF(Character!$I$62:$I$66,"Enigmatic Wisdom",Character!$J$62:$J$66))&gt;=IF(Z1400="Yes",0,(Y1400+D1395)),"Succeeded","Failed"))))</f>
        <v xml:space="preserve"> </v>
      </c>
      <c r="AB1400" s="477" t="str">
        <f>IF(AA1400=" "," ",IF(NOT(ISBLANK(X1400)),VLOOKUP($D$3+X1400,Calcs!$A$110:$C$122,3,TRUE),IF(AA1400="Failed",VLOOKUP($D$3,Calcs!$A$110:$C$122,3,TRUE),VLOOKUP($D$3-(IF((Character!$B$9+W1400)&gt;($D$3+Y1400),(Character!$B$9+W1400)-($D$3+Y1400),0)),Calcs!$A$110:$C$122,3,TRUE))))</f>
        <v xml:space="preserve"> </v>
      </c>
      <c r="AC1400" s="489"/>
      <c r="AD1400" s="489" t="str">
        <f>IF(IF(AA1400=" "," ",IF(NOT(ISBLANK(X1400)),VLOOKUP($D$3+X1400,Calcs!$A$110:$B$122,2,TRUE),IF(AA1400="Failed",VLOOKUP($D$3,Calcs!$A$110:$B$122,2,TRUE),VLOOKUP($D$3-(IF((Character!$B$9+W1400)&gt;($D$3+Y1400),(Character!$B$9+W1400)-($D$3+Y1400),0)),Calcs!$A$110:$B$122,2,TRUE))))=Calcs!$B$120,IF(ISBLANK(AC1400)," ",CONCATENATE(AC1400+7," Years")),IF(AA1400=" "," ",IF(NOT(ISBLANK(X1400)),VLOOKUP($D$3+X1400,Calcs!$A$110:$B$122,2,TRUE),IF(AA1400="Failed",VLOOKUP($D$3,Calcs!$A$110:$B$122,2,TRUE),VLOOKUP($D$3-(IF((Character!$B$9+W1400)&gt;($D$3+Y1400),(Character!$B$9+W1400)-($D$3+Y1400),0)),Calcs!$A$110:$B$122,2,TRUE)))))</f>
        <v xml:space="preserve"> </v>
      </c>
      <c r="AE1400" s="490"/>
      <c r="AF1400" s="879"/>
      <c r="AG1400" s="491"/>
    </row>
    <row r="1401" spans="1:33" x14ac:dyDescent="0.2">
      <c r="A1401" s="415">
        <f t="shared" si="42"/>
        <v>1560</v>
      </c>
      <c r="B1401" s="419" t="str">
        <f t="shared" si="43"/>
        <v>Spring</v>
      </c>
      <c r="C1401" s="455"/>
      <c r="D1401" s="504"/>
      <c r="E1401" s="455"/>
      <c r="F1401" s="504"/>
      <c r="G1401" s="455"/>
      <c r="H1401" s="504"/>
      <c r="I1401" s="455"/>
      <c r="J1401" s="504"/>
      <c r="L1401" s="472"/>
      <c r="M1401" s="468"/>
      <c r="N1401" s="468"/>
      <c r="O1401" s="468"/>
      <c r="P1401" s="468"/>
      <c r="Q1401" s="473"/>
      <c r="R1401" s="477" t="str">
        <f>IF(AND(COUNTIF('Start Character'!$I$63:$M$77,"Twilight Prone")=1,NOT(ISERROR(FIND("Magical Botch",M1401)))),"Yes",IF(P1401&gt;1,"Yes","No"))</f>
        <v>No</v>
      </c>
      <c r="S1401" s="501"/>
      <c r="T1401" s="478"/>
      <c r="U1401" s="501"/>
      <c r="V1401" s="479" t="str">
        <f>IF(R1401="No","No Twilight",IF(T1401="Yes","Uncomprehended Twilight",IF((Character!$B$14+IF(Character!$B$53="Yes",0,Character!$B$53)+IF(Magic!$C$5="Yes",2,0)+ROUNDUP((Magic!$B$30+IF(Magic!$C$30="Yes",3,0))/5,0)+S1401)&gt;=($D$3+P1401+SUMIF(Character!$I$62:$I$66,"Enigmatic Wisdom",Character!$J$62:$J$66)+Q1401+U1401),"No Twilight","Twilight")))</f>
        <v>No Twilight</v>
      </c>
      <c r="W1401" s="483"/>
      <c r="X1401" s="478"/>
      <c r="Y1401" s="484"/>
      <c r="Z1401" s="478"/>
      <c r="AA1401" s="485" t="str">
        <f>IF(V1401="Uncomprehended Twilight","Failed",IF(OR(ISBLANK(W1401),ISBLANK(Y1401))," ",IF(NOT(ISBLANK(X1401)),"Failed",IF((W1401+Character!$B$9+SUMIF(Character!$I$62:$I$66,"Enigmatic Wisdom",Character!$J$62:$J$66))&gt;=IF(Z1401="Yes",0,(Y1401+D1396)),"Succeeded","Failed"))))</f>
        <v xml:space="preserve"> </v>
      </c>
      <c r="AB1401" s="477" t="str">
        <f>IF(AA1401=" "," ",IF(NOT(ISBLANK(X1401)),VLOOKUP($D$3+X1401,Calcs!$A$110:$C$122,3,TRUE),IF(AA1401="Failed",VLOOKUP($D$3,Calcs!$A$110:$C$122,3,TRUE),VLOOKUP($D$3-(IF((Character!$B$9+W1401)&gt;($D$3+Y1401),(Character!$B$9+W1401)-($D$3+Y1401),0)),Calcs!$A$110:$C$122,3,TRUE))))</f>
        <v xml:space="preserve"> </v>
      </c>
      <c r="AC1401" s="489"/>
      <c r="AD1401" s="489" t="str">
        <f>IF(IF(AA1401=" "," ",IF(NOT(ISBLANK(X1401)),VLOOKUP($D$3+X1401,Calcs!$A$110:$B$122,2,TRUE),IF(AA1401="Failed",VLOOKUP($D$3,Calcs!$A$110:$B$122,2,TRUE),VLOOKUP($D$3-(IF((Character!$B$9+W1401)&gt;($D$3+Y1401),(Character!$B$9+W1401)-($D$3+Y1401),0)),Calcs!$A$110:$B$122,2,TRUE))))=Calcs!$B$120,IF(ISBLANK(AC1401)," ",CONCATENATE(AC1401+7," Years")),IF(AA1401=" "," ",IF(NOT(ISBLANK(X1401)),VLOOKUP($D$3+X1401,Calcs!$A$110:$B$122,2,TRUE),IF(AA1401="Failed",VLOOKUP($D$3,Calcs!$A$110:$B$122,2,TRUE),VLOOKUP($D$3-(IF((Character!$B$9+W1401)&gt;($D$3+Y1401),(Character!$B$9+W1401)-($D$3+Y1401),0)),Calcs!$A$110:$B$122,2,TRUE)))))</f>
        <v xml:space="preserve"> </v>
      </c>
      <c r="AE1401" s="490"/>
      <c r="AF1401" s="879"/>
      <c r="AG1401" s="491"/>
    </row>
    <row r="1402" spans="1:33" x14ac:dyDescent="0.2">
      <c r="A1402" s="415">
        <f t="shared" si="42"/>
        <v>1560</v>
      </c>
      <c r="B1402" s="419" t="str">
        <f t="shared" si="43"/>
        <v>Summer</v>
      </c>
      <c r="C1402" s="455"/>
      <c r="D1402" s="504"/>
      <c r="E1402" s="455"/>
      <c r="F1402" s="504"/>
      <c r="G1402" s="455"/>
      <c r="H1402" s="504"/>
      <c r="I1402" s="455"/>
      <c r="J1402" s="504"/>
      <c r="L1402" s="472"/>
      <c r="M1402" s="468"/>
      <c r="N1402" s="468"/>
      <c r="O1402" s="468"/>
      <c r="P1402" s="468"/>
      <c r="Q1402" s="473"/>
      <c r="R1402" s="477" t="str">
        <f>IF(AND(COUNTIF('Start Character'!$I$63:$M$77,"Twilight Prone")=1,NOT(ISERROR(FIND("Magical Botch",M1402)))),"Yes",IF(P1402&gt;1,"Yes","No"))</f>
        <v>No</v>
      </c>
      <c r="S1402" s="501"/>
      <c r="T1402" s="478"/>
      <c r="U1402" s="501"/>
      <c r="V1402" s="479" t="str">
        <f>IF(R1402="No","No Twilight",IF(T1402="Yes","Uncomprehended Twilight",IF((Character!$B$14+IF(Character!$B$53="Yes",0,Character!$B$53)+IF(Magic!$C$5="Yes",2,0)+ROUNDUP((Magic!$B$30+IF(Magic!$C$30="Yes",3,0))/5,0)+S1402)&gt;=($D$3+P1402+SUMIF(Character!$I$62:$I$66,"Enigmatic Wisdom",Character!$J$62:$J$66)+Q1402+U1402),"No Twilight","Twilight")))</f>
        <v>No Twilight</v>
      </c>
      <c r="W1402" s="483"/>
      <c r="X1402" s="478"/>
      <c r="Y1402" s="484"/>
      <c r="Z1402" s="478"/>
      <c r="AA1402" s="485" t="str">
        <f>IF(V1402="Uncomprehended Twilight","Failed",IF(OR(ISBLANK(W1402),ISBLANK(Y1402))," ",IF(NOT(ISBLANK(X1402)),"Failed",IF((W1402+Character!$B$9+SUMIF(Character!$I$62:$I$66,"Enigmatic Wisdom",Character!$J$62:$J$66))&gt;=IF(Z1402="Yes",0,(Y1402+D1397)),"Succeeded","Failed"))))</f>
        <v xml:space="preserve"> </v>
      </c>
      <c r="AB1402" s="477" t="str">
        <f>IF(AA1402=" "," ",IF(NOT(ISBLANK(X1402)),VLOOKUP($D$3+X1402,Calcs!$A$110:$C$122,3,TRUE),IF(AA1402="Failed",VLOOKUP($D$3,Calcs!$A$110:$C$122,3,TRUE),VLOOKUP($D$3-(IF((Character!$B$9+W1402)&gt;($D$3+Y1402),(Character!$B$9+W1402)-($D$3+Y1402),0)),Calcs!$A$110:$C$122,3,TRUE))))</f>
        <v xml:space="preserve"> </v>
      </c>
      <c r="AC1402" s="489"/>
      <c r="AD1402" s="489" t="str">
        <f>IF(IF(AA1402=" "," ",IF(NOT(ISBLANK(X1402)),VLOOKUP($D$3+X1402,Calcs!$A$110:$B$122,2,TRUE),IF(AA1402="Failed",VLOOKUP($D$3,Calcs!$A$110:$B$122,2,TRUE),VLOOKUP($D$3-(IF((Character!$B$9+W1402)&gt;($D$3+Y1402),(Character!$B$9+W1402)-($D$3+Y1402),0)),Calcs!$A$110:$B$122,2,TRUE))))=Calcs!$B$120,IF(ISBLANK(AC1402)," ",CONCATENATE(AC1402+7," Years")),IF(AA1402=" "," ",IF(NOT(ISBLANK(X1402)),VLOOKUP($D$3+X1402,Calcs!$A$110:$B$122,2,TRUE),IF(AA1402="Failed",VLOOKUP($D$3,Calcs!$A$110:$B$122,2,TRUE),VLOOKUP($D$3-(IF((Character!$B$9+W1402)&gt;($D$3+Y1402),(Character!$B$9+W1402)-($D$3+Y1402),0)),Calcs!$A$110:$B$122,2,TRUE)))))</f>
        <v xml:space="preserve"> </v>
      </c>
      <c r="AE1402" s="490"/>
      <c r="AF1402" s="879"/>
      <c r="AG1402" s="491"/>
    </row>
    <row r="1403" spans="1:33" x14ac:dyDescent="0.2">
      <c r="A1403" s="415">
        <f t="shared" si="42"/>
        <v>1560</v>
      </c>
      <c r="B1403" s="419" t="str">
        <f t="shared" si="43"/>
        <v>Autumn</v>
      </c>
      <c r="C1403" s="455"/>
      <c r="D1403" s="504"/>
      <c r="E1403" s="455"/>
      <c r="F1403" s="504"/>
      <c r="G1403" s="455"/>
      <c r="H1403" s="504"/>
      <c r="I1403" s="455"/>
      <c r="J1403" s="504"/>
      <c r="L1403" s="472"/>
      <c r="M1403" s="468"/>
      <c r="N1403" s="468"/>
      <c r="O1403" s="468"/>
      <c r="P1403" s="468"/>
      <c r="Q1403" s="473"/>
      <c r="R1403" s="477" t="str">
        <f>IF(AND(COUNTIF('Start Character'!$I$63:$M$77,"Twilight Prone")=1,NOT(ISERROR(FIND("Magical Botch",M1403)))),"Yes",IF(P1403&gt;1,"Yes","No"))</f>
        <v>No</v>
      </c>
      <c r="S1403" s="501"/>
      <c r="T1403" s="478"/>
      <c r="U1403" s="501"/>
      <c r="V1403" s="479" t="str">
        <f>IF(R1403="No","No Twilight",IF(T1403="Yes","Uncomprehended Twilight",IF((Character!$B$14+IF(Character!$B$53="Yes",0,Character!$B$53)+IF(Magic!$C$5="Yes",2,0)+ROUNDUP((Magic!$B$30+IF(Magic!$C$30="Yes",3,0))/5,0)+S1403)&gt;=($D$3+P1403+SUMIF(Character!$I$62:$I$66,"Enigmatic Wisdom",Character!$J$62:$J$66)+Q1403+U1403),"No Twilight","Twilight")))</f>
        <v>No Twilight</v>
      </c>
      <c r="W1403" s="483"/>
      <c r="X1403" s="478"/>
      <c r="Y1403" s="484"/>
      <c r="Z1403" s="478"/>
      <c r="AA1403" s="485" t="str">
        <f>IF(V1403="Uncomprehended Twilight","Failed",IF(OR(ISBLANK(W1403),ISBLANK(Y1403))," ",IF(NOT(ISBLANK(X1403)),"Failed",IF((W1403+Character!$B$9+SUMIF(Character!$I$62:$I$66,"Enigmatic Wisdom",Character!$J$62:$J$66))&gt;=IF(Z1403="Yes",0,(Y1403+D1398)),"Succeeded","Failed"))))</f>
        <v xml:space="preserve"> </v>
      </c>
      <c r="AB1403" s="477" t="str">
        <f>IF(AA1403=" "," ",IF(NOT(ISBLANK(X1403)),VLOOKUP($D$3+X1403,Calcs!$A$110:$C$122,3,TRUE),IF(AA1403="Failed",VLOOKUP($D$3,Calcs!$A$110:$C$122,3,TRUE),VLOOKUP($D$3-(IF((Character!$B$9+W1403)&gt;($D$3+Y1403),(Character!$B$9+W1403)-($D$3+Y1403),0)),Calcs!$A$110:$C$122,3,TRUE))))</f>
        <v xml:space="preserve"> </v>
      </c>
      <c r="AC1403" s="489"/>
      <c r="AD1403" s="489" t="str">
        <f>IF(IF(AA1403=" "," ",IF(NOT(ISBLANK(X1403)),VLOOKUP($D$3+X1403,Calcs!$A$110:$B$122,2,TRUE),IF(AA1403="Failed",VLOOKUP($D$3,Calcs!$A$110:$B$122,2,TRUE),VLOOKUP($D$3-(IF((Character!$B$9+W1403)&gt;($D$3+Y1403),(Character!$B$9+W1403)-($D$3+Y1403),0)),Calcs!$A$110:$B$122,2,TRUE))))=Calcs!$B$120,IF(ISBLANK(AC1403)," ",CONCATENATE(AC1403+7," Years")),IF(AA1403=" "," ",IF(NOT(ISBLANK(X1403)),VLOOKUP($D$3+X1403,Calcs!$A$110:$B$122,2,TRUE),IF(AA1403="Failed",VLOOKUP($D$3,Calcs!$A$110:$B$122,2,TRUE),VLOOKUP($D$3-(IF((Character!$B$9+W1403)&gt;($D$3+Y1403),(Character!$B$9+W1403)-($D$3+Y1403),0)),Calcs!$A$110:$B$122,2,TRUE)))))</f>
        <v xml:space="preserve"> </v>
      </c>
      <c r="AE1403" s="490"/>
      <c r="AF1403" s="879"/>
      <c r="AG1403" s="491"/>
    </row>
    <row r="1404" spans="1:33" x14ac:dyDescent="0.2">
      <c r="A1404" s="415">
        <f t="shared" si="42"/>
        <v>1561</v>
      </c>
      <c r="B1404" s="419" t="str">
        <f t="shared" si="43"/>
        <v>Winter</v>
      </c>
      <c r="C1404" s="455"/>
      <c r="D1404" s="504"/>
      <c r="E1404" s="455"/>
      <c r="F1404" s="504"/>
      <c r="G1404" s="455"/>
      <c r="H1404" s="504"/>
      <c r="I1404" s="455"/>
      <c r="J1404" s="504"/>
      <c r="L1404" s="472"/>
      <c r="M1404" s="468"/>
      <c r="N1404" s="468"/>
      <c r="O1404" s="468"/>
      <c r="P1404" s="468"/>
      <c r="Q1404" s="473"/>
      <c r="R1404" s="477" t="str">
        <f>IF(AND(COUNTIF('Start Character'!$I$63:$M$77,"Twilight Prone")=1,NOT(ISERROR(FIND("Magical Botch",M1404)))),"Yes",IF(P1404&gt;1,"Yes","No"))</f>
        <v>No</v>
      </c>
      <c r="S1404" s="501"/>
      <c r="T1404" s="478"/>
      <c r="U1404" s="501"/>
      <c r="V1404" s="479" t="str">
        <f>IF(R1404="No","No Twilight",IF(T1404="Yes","Uncomprehended Twilight",IF((Character!$B$14+IF(Character!$B$53="Yes",0,Character!$B$53)+IF(Magic!$C$5="Yes",2,0)+ROUNDUP((Magic!$B$30+IF(Magic!$C$30="Yes",3,0))/5,0)+S1404)&gt;=($D$3+P1404+SUMIF(Character!$I$62:$I$66,"Enigmatic Wisdom",Character!$J$62:$J$66)+Q1404+U1404),"No Twilight","Twilight")))</f>
        <v>No Twilight</v>
      </c>
      <c r="W1404" s="483"/>
      <c r="X1404" s="478"/>
      <c r="Y1404" s="484"/>
      <c r="Z1404" s="478"/>
      <c r="AA1404" s="485" t="str">
        <f>IF(V1404="Uncomprehended Twilight","Failed",IF(OR(ISBLANK(W1404),ISBLANK(Y1404))," ",IF(NOT(ISBLANK(X1404)),"Failed",IF((W1404+Character!$B$9+SUMIF(Character!$I$62:$I$66,"Enigmatic Wisdom",Character!$J$62:$J$66))&gt;=IF(Z1404="Yes",0,(Y1404+D1399)),"Succeeded","Failed"))))</f>
        <v xml:space="preserve"> </v>
      </c>
      <c r="AB1404" s="477" t="str">
        <f>IF(AA1404=" "," ",IF(NOT(ISBLANK(X1404)),VLOOKUP($D$3+X1404,Calcs!$A$110:$C$122,3,TRUE),IF(AA1404="Failed",VLOOKUP($D$3,Calcs!$A$110:$C$122,3,TRUE),VLOOKUP($D$3-(IF((Character!$B$9+W1404)&gt;($D$3+Y1404),(Character!$B$9+W1404)-($D$3+Y1404),0)),Calcs!$A$110:$C$122,3,TRUE))))</f>
        <v xml:space="preserve"> </v>
      </c>
      <c r="AC1404" s="489"/>
      <c r="AD1404" s="489" t="str">
        <f>IF(IF(AA1404=" "," ",IF(NOT(ISBLANK(X1404)),VLOOKUP($D$3+X1404,Calcs!$A$110:$B$122,2,TRUE),IF(AA1404="Failed",VLOOKUP($D$3,Calcs!$A$110:$B$122,2,TRUE),VLOOKUP($D$3-(IF((Character!$B$9+W1404)&gt;($D$3+Y1404),(Character!$B$9+W1404)-($D$3+Y1404),0)),Calcs!$A$110:$B$122,2,TRUE))))=Calcs!$B$120,IF(ISBLANK(AC1404)," ",CONCATENATE(AC1404+7," Years")),IF(AA1404=" "," ",IF(NOT(ISBLANK(X1404)),VLOOKUP($D$3+X1404,Calcs!$A$110:$B$122,2,TRUE),IF(AA1404="Failed",VLOOKUP($D$3,Calcs!$A$110:$B$122,2,TRUE),VLOOKUP($D$3-(IF((Character!$B$9+W1404)&gt;($D$3+Y1404),(Character!$B$9+W1404)-($D$3+Y1404),0)),Calcs!$A$110:$B$122,2,TRUE)))))</f>
        <v xml:space="preserve"> </v>
      </c>
      <c r="AE1404" s="490"/>
      <c r="AF1404" s="879"/>
      <c r="AG1404" s="491"/>
    </row>
    <row r="1405" spans="1:33" x14ac:dyDescent="0.2">
      <c r="A1405" s="415">
        <f t="shared" si="42"/>
        <v>1561</v>
      </c>
      <c r="B1405" s="419" t="str">
        <f t="shared" si="43"/>
        <v>Spring</v>
      </c>
      <c r="C1405" s="455"/>
      <c r="D1405" s="504"/>
      <c r="E1405" s="455"/>
      <c r="F1405" s="504"/>
      <c r="G1405" s="455"/>
      <c r="H1405" s="504"/>
      <c r="I1405" s="455"/>
      <c r="J1405" s="504"/>
      <c r="L1405" s="472"/>
      <c r="M1405" s="468"/>
      <c r="N1405" s="468"/>
      <c r="O1405" s="468"/>
      <c r="P1405" s="468"/>
      <c r="Q1405" s="473"/>
      <c r="R1405" s="477" t="str">
        <f>IF(AND(COUNTIF('Start Character'!$I$63:$M$77,"Twilight Prone")=1,NOT(ISERROR(FIND("Magical Botch",M1405)))),"Yes",IF(P1405&gt;1,"Yes","No"))</f>
        <v>No</v>
      </c>
      <c r="S1405" s="501"/>
      <c r="T1405" s="478"/>
      <c r="U1405" s="501"/>
      <c r="V1405" s="479" t="str">
        <f>IF(R1405="No","No Twilight",IF(T1405="Yes","Uncomprehended Twilight",IF((Character!$B$14+IF(Character!$B$53="Yes",0,Character!$B$53)+IF(Magic!$C$5="Yes",2,0)+ROUNDUP((Magic!$B$30+IF(Magic!$C$30="Yes",3,0))/5,0)+S1405)&gt;=($D$3+P1405+SUMIF(Character!$I$62:$I$66,"Enigmatic Wisdom",Character!$J$62:$J$66)+Q1405+U1405),"No Twilight","Twilight")))</f>
        <v>No Twilight</v>
      </c>
      <c r="W1405" s="483"/>
      <c r="X1405" s="478"/>
      <c r="Y1405" s="484"/>
      <c r="Z1405" s="478"/>
      <c r="AA1405" s="485" t="str">
        <f>IF(V1405="Uncomprehended Twilight","Failed",IF(OR(ISBLANK(W1405),ISBLANK(Y1405))," ",IF(NOT(ISBLANK(X1405)),"Failed",IF((W1405+Character!$B$9+SUMIF(Character!$I$62:$I$66,"Enigmatic Wisdom",Character!$J$62:$J$66))&gt;=IF(Z1405="Yes",0,(Y1405+D1400)),"Succeeded","Failed"))))</f>
        <v xml:space="preserve"> </v>
      </c>
      <c r="AB1405" s="477" t="str">
        <f>IF(AA1405=" "," ",IF(NOT(ISBLANK(X1405)),VLOOKUP($D$3+X1405,Calcs!$A$110:$C$122,3,TRUE),IF(AA1405="Failed",VLOOKUP($D$3,Calcs!$A$110:$C$122,3,TRUE),VLOOKUP($D$3-(IF((Character!$B$9+W1405)&gt;($D$3+Y1405),(Character!$B$9+W1405)-($D$3+Y1405),0)),Calcs!$A$110:$C$122,3,TRUE))))</f>
        <v xml:space="preserve"> </v>
      </c>
      <c r="AC1405" s="489"/>
      <c r="AD1405" s="489" t="str">
        <f>IF(IF(AA1405=" "," ",IF(NOT(ISBLANK(X1405)),VLOOKUP($D$3+X1405,Calcs!$A$110:$B$122,2,TRUE),IF(AA1405="Failed",VLOOKUP($D$3,Calcs!$A$110:$B$122,2,TRUE),VLOOKUP($D$3-(IF((Character!$B$9+W1405)&gt;($D$3+Y1405),(Character!$B$9+W1405)-($D$3+Y1405),0)),Calcs!$A$110:$B$122,2,TRUE))))=Calcs!$B$120,IF(ISBLANK(AC1405)," ",CONCATENATE(AC1405+7," Years")),IF(AA1405=" "," ",IF(NOT(ISBLANK(X1405)),VLOOKUP($D$3+X1405,Calcs!$A$110:$B$122,2,TRUE),IF(AA1405="Failed",VLOOKUP($D$3,Calcs!$A$110:$B$122,2,TRUE),VLOOKUP($D$3-(IF((Character!$B$9+W1405)&gt;($D$3+Y1405),(Character!$B$9+W1405)-($D$3+Y1405),0)),Calcs!$A$110:$B$122,2,TRUE)))))</f>
        <v xml:space="preserve"> </v>
      </c>
      <c r="AE1405" s="490"/>
      <c r="AF1405" s="879"/>
      <c r="AG1405" s="491"/>
    </row>
    <row r="1406" spans="1:33" x14ac:dyDescent="0.2">
      <c r="A1406" s="415">
        <f t="shared" si="42"/>
        <v>1561</v>
      </c>
      <c r="B1406" s="419" t="str">
        <f t="shared" si="43"/>
        <v>Summer</v>
      </c>
      <c r="C1406" s="455"/>
      <c r="D1406" s="504"/>
      <c r="E1406" s="455"/>
      <c r="F1406" s="504"/>
      <c r="G1406" s="455"/>
      <c r="H1406" s="504"/>
      <c r="I1406" s="455"/>
      <c r="J1406" s="504"/>
      <c r="L1406" s="472"/>
      <c r="M1406" s="468"/>
      <c r="N1406" s="468"/>
      <c r="O1406" s="468"/>
      <c r="P1406" s="468"/>
      <c r="Q1406" s="473"/>
      <c r="R1406" s="477" t="str">
        <f>IF(AND(COUNTIF('Start Character'!$I$63:$M$77,"Twilight Prone")=1,NOT(ISERROR(FIND("Magical Botch",M1406)))),"Yes",IF(P1406&gt;1,"Yes","No"))</f>
        <v>No</v>
      </c>
      <c r="S1406" s="501"/>
      <c r="T1406" s="478"/>
      <c r="U1406" s="501"/>
      <c r="V1406" s="479" t="str">
        <f>IF(R1406="No","No Twilight",IF(T1406="Yes","Uncomprehended Twilight",IF((Character!$B$14+IF(Character!$B$53="Yes",0,Character!$B$53)+IF(Magic!$C$5="Yes",2,0)+ROUNDUP((Magic!$B$30+IF(Magic!$C$30="Yes",3,0))/5,0)+S1406)&gt;=($D$3+P1406+SUMIF(Character!$I$62:$I$66,"Enigmatic Wisdom",Character!$J$62:$J$66)+Q1406+U1406),"No Twilight","Twilight")))</f>
        <v>No Twilight</v>
      </c>
      <c r="W1406" s="483"/>
      <c r="X1406" s="478"/>
      <c r="Y1406" s="484"/>
      <c r="Z1406" s="478"/>
      <c r="AA1406" s="485" t="str">
        <f>IF(V1406="Uncomprehended Twilight","Failed",IF(OR(ISBLANK(W1406),ISBLANK(Y1406))," ",IF(NOT(ISBLANK(X1406)),"Failed",IF((W1406+Character!$B$9+SUMIF(Character!$I$62:$I$66,"Enigmatic Wisdom",Character!$J$62:$J$66))&gt;=IF(Z1406="Yes",0,(Y1406+D1401)),"Succeeded","Failed"))))</f>
        <v xml:space="preserve"> </v>
      </c>
      <c r="AB1406" s="477" t="str">
        <f>IF(AA1406=" "," ",IF(NOT(ISBLANK(X1406)),VLOOKUP($D$3+X1406,Calcs!$A$110:$C$122,3,TRUE),IF(AA1406="Failed",VLOOKUP($D$3,Calcs!$A$110:$C$122,3,TRUE),VLOOKUP($D$3-(IF((Character!$B$9+W1406)&gt;($D$3+Y1406),(Character!$B$9+W1406)-($D$3+Y1406),0)),Calcs!$A$110:$C$122,3,TRUE))))</f>
        <v xml:space="preserve"> </v>
      </c>
      <c r="AC1406" s="489"/>
      <c r="AD1406" s="489" t="str">
        <f>IF(IF(AA1406=" "," ",IF(NOT(ISBLANK(X1406)),VLOOKUP($D$3+X1406,Calcs!$A$110:$B$122,2,TRUE),IF(AA1406="Failed",VLOOKUP($D$3,Calcs!$A$110:$B$122,2,TRUE),VLOOKUP($D$3-(IF((Character!$B$9+W1406)&gt;($D$3+Y1406),(Character!$B$9+W1406)-($D$3+Y1406),0)),Calcs!$A$110:$B$122,2,TRUE))))=Calcs!$B$120,IF(ISBLANK(AC1406)," ",CONCATENATE(AC1406+7," Years")),IF(AA1406=" "," ",IF(NOT(ISBLANK(X1406)),VLOOKUP($D$3+X1406,Calcs!$A$110:$B$122,2,TRUE),IF(AA1406="Failed",VLOOKUP($D$3,Calcs!$A$110:$B$122,2,TRUE),VLOOKUP($D$3-(IF((Character!$B$9+W1406)&gt;($D$3+Y1406),(Character!$B$9+W1406)-($D$3+Y1406),0)),Calcs!$A$110:$B$122,2,TRUE)))))</f>
        <v xml:space="preserve"> </v>
      </c>
      <c r="AE1406" s="490"/>
      <c r="AF1406" s="879"/>
      <c r="AG1406" s="491"/>
    </row>
    <row r="1407" spans="1:33" x14ac:dyDescent="0.2">
      <c r="A1407" s="415">
        <f t="shared" si="42"/>
        <v>1561</v>
      </c>
      <c r="B1407" s="419" t="str">
        <f t="shared" si="43"/>
        <v>Autumn</v>
      </c>
      <c r="C1407" s="455"/>
      <c r="D1407" s="504"/>
      <c r="E1407" s="455"/>
      <c r="F1407" s="504"/>
      <c r="G1407" s="455"/>
      <c r="H1407" s="504"/>
      <c r="I1407" s="455"/>
      <c r="J1407" s="504"/>
      <c r="L1407" s="472"/>
      <c r="M1407" s="468"/>
      <c r="N1407" s="468"/>
      <c r="O1407" s="468"/>
      <c r="P1407" s="468"/>
      <c r="Q1407" s="473"/>
      <c r="R1407" s="477" t="str">
        <f>IF(AND(COUNTIF('Start Character'!$I$63:$M$77,"Twilight Prone")=1,NOT(ISERROR(FIND("Magical Botch",M1407)))),"Yes",IF(P1407&gt;1,"Yes","No"))</f>
        <v>No</v>
      </c>
      <c r="S1407" s="501"/>
      <c r="T1407" s="478"/>
      <c r="U1407" s="501"/>
      <c r="V1407" s="479" t="str">
        <f>IF(R1407="No","No Twilight",IF(T1407="Yes","Uncomprehended Twilight",IF((Character!$B$14+IF(Character!$B$53="Yes",0,Character!$B$53)+IF(Magic!$C$5="Yes",2,0)+ROUNDUP((Magic!$B$30+IF(Magic!$C$30="Yes",3,0))/5,0)+S1407)&gt;=($D$3+P1407+SUMIF(Character!$I$62:$I$66,"Enigmatic Wisdom",Character!$J$62:$J$66)+Q1407+U1407),"No Twilight","Twilight")))</f>
        <v>No Twilight</v>
      </c>
      <c r="W1407" s="483"/>
      <c r="X1407" s="478"/>
      <c r="Y1407" s="484"/>
      <c r="Z1407" s="478"/>
      <c r="AA1407" s="485" t="str">
        <f>IF(V1407="Uncomprehended Twilight","Failed",IF(OR(ISBLANK(W1407),ISBLANK(Y1407))," ",IF(NOT(ISBLANK(X1407)),"Failed",IF((W1407+Character!$B$9+SUMIF(Character!$I$62:$I$66,"Enigmatic Wisdom",Character!$J$62:$J$66))&gt;=IF(Z1407="Yes",0,(Y1407+D1402)),"Succeeded","Failed"))))</f>
        <v xml:space="preserve"> </v>
      </c>
      <c r="AB1407" s="477" t="str">
        <f>IF(AA1407=" "," ",IF(NOT(ISBLANK(X1407)),VLOOKUP($D$3+X1407,Calcs!$A$110:$C$122,3,TRUE),IF(AA1407="Failed",VLOOKUP($D$3,Calcs!$A$110:$C$122,3,TRUE),VLOOKUP($D$3-(IF((Character!$B$9+W1407)&gt;($D$3+Y1407),(Character!$B$9+W1407)-($D$3+Y1407),0)),Calcs!$A$110:$C$122,3,TRUE))))</f>
        <v xml:space="preserve"> </v>
      </c>
      <c r="AC1407" s="489"/>
      <c r="AD1407" s="489" t="str">
        <f>IF(IF(AA1407=" "," ",IF(NOT(ISBLANK(X1407)),VLOOKUP($D$3+X1407,Calcs!$A$110:$B$122,2,TRUE),IF(AA1407="Failed",VLOOKUP($D$3,Calcs!$A$110:$B$122,2,TRUE),VLOOKUP($D$3-(IF((Character!$B$9+W1407)&gt;($D$3+Y1407),(Character!$B$9+W1407)-($D$3+Y1407),0)),Calcs!$A$110:$B$122,2,TRUE))))=Calcs!$B$120,IF(ISBLANK(AC1407)," ",CONCATENATE(AC1407+7," Years")),IF(AA1407=" "," ",IF(NOT(ISBLANK(X1407)),VLOOKUP($D$3+X1407,Calcs!$A$110:$B$122,2,TRUE),IF(AA1407="Failed",VLOOKUP($D$3,Calcs!$A$110:$B$122,2,TRUE),VLOOKUP($D$3-(IF((Character!$B$9+W1407)&gt;($D$3+Y1407),(Character!$B$9+W1407)-($D$3+Y1407),0)),Calcs!$A$110:$B$122,2,TRUE)))))</f>
        <v xml:space="preserve"> </v>
      </c>
      <c r="AE1407" s="490"/>
      <c r="AF1407" s="879"/>
      <c r="AG1407" s="491"/>
    </row>
    <row r="1408" spans="1:33" x14ac:dyDescent="0.2">
      <c r="A1408" s="415">
        <f t="shared" si="42"/>
        <v>1562</v>
      </c>
      <c r="B1408" s="419" t="str">
        <f t="shared" si="43"/>
        <v>Winter</v>
      </c>
      <c r="C1408" s="455"/>
      <c r="D1408" s="504"/>
      <c r="E1408" s="455"/>
      <c r="F1408" s="504"/>
      <c r="G1408" s="455"/>
      <c r="H1408" s="504"/>
      <c r="I1408" s="455"/>
      <c r="J1408" s="504"/>
      <c r="L1408" s="472"/>
      <c r="M1408" s="468"/>
      <c r="N1408" s="468"/>
      <c r="O1408" s="468"/>
      <c r="P1408" s="468"/>
      <c r="Q1408" s="473"/>
      <c r="R1408" s="477" t="str">
        <f>IF(AND(COUNTIF('Start Character'!$I$63:$M$77,"Twilight Prone")=1,NOT(ISERROR(FIND("Magical Botch",M1408)))),"Yes",IF(P1408&gt;1,"Yes","No"))</f>
        <v>No</v>
      </c>
      <c r="S1408" s="501"/>
      <c r="T1408" s="478"/>
      <c r="U1408" s="501"/>
      <c r="V1408" s="479" t="str">
        <f>IF(R1408="No","No Twilight",IF(T1408="Yes","Uncomprehended Twilight",IF((Character!$B$14+IF(Character!$B$53="Yes",0,Character!$B$53)+IF(Magic!$C$5="Yes",2,0)+ROUNDUP((Magic!$B$30+IF(Magic!$C$30="Yes",3,0))/5,0)+S1408)&gt;=($D$3+P1408+SUMIF(Character!$I$62:$I$66,"Enigmatic Wisdom",Character!$J$62:$J$66)+Q1408+U1408),"No Twilight","Twilight")))</f>
        <v>No Twilight</v>
      </c>
      <c r="W1408" s="483"/>
      <c r="X1408" s="478"/>
      <c r="Y1408" s="484"/>
      <c r="Z1408" s="478"/>
      <c r="AA1408" s="485" t="str">
        <f>IF(V1408="Uncomprehended Twilight","Failed",IF(OR(ISBLANK(W1408),ISBLANK(Y1408))," ",IF(NOT(ISBLANK(X1408)),"Failed",IF((W1408+Character!$B$9+SUMIF(Character!$I$62:$I$66,"Enigmatic Wisdom",Character!$J$62:$J$66))&gt;=IF(Z1408="Yes",0,(Y1408+D1403)),"Succeeded","Failed"))))</f>
        <v xml:space="preserve"> </v>
      </c>
      <c r="AB1408" s="477" t="str">
        <f>IF(AA1408=" "," ",IF(NOT(ISBLANK(X1408)),VLOOKUP($D$3+X1408,Calcs!$A$110:$C$122,3,TRUE),IF(AA1408="Failed",VLOOKUP($D$3,Calcs!$A$110:$C$122,3,TRUE),VLOOKUP($D$3-(IF((Character!$B$9+W1408)&gt;($D$3+Y1408),(Character!$B$9+W1408)-($D$3+Y1408),0)),Calcs!$A$110:$C$122,3,TRUE))))</f>
        <v xml:space="preserve"> </v>
      </c>
      <c r="AC1408" s="489"/>
      <c r="AD1408" s="489" t="str">
        <f>IF(IF(AA1408=" "," ",IF(NOT(ISBLANK(X1408)),VLOOKUP($D$3+X1408,Calcs!$A$110:$B$122,2,TRUE),IF(AA1408="Failed",VLOOKUP($D$3,Calcs!$A$110:$B$122,2,TRUE),VLOOKUP($D$3-(IF((Character!$B$9+W1408)&gt;($D$3+Y1408),(Character!$B$9+W1408)-($D$3+Y1408),0)),Calcs!$A$110:$B$122,2,TRUE))))=Calcs!$B$120,IF(ISBLANK(AC1408)," ",CONCATENATE(AC1408+7," Years")),IF(AA1408=" "," ",IF(NOT(ISBLANK(X1408)),VLOOKUP($D$3+X1408,Calcs!$A$110:$B$122,2,TRUE),IF(AA1408="Failed",VLOOKUP($D$3,Calcs!$A$110:$B$122,2,TRUE),VLOOKUP($D$3-(IF((Character!$B$9+W1408)&gt;($D$3+Y1408),(Character!$B$9+W1408)-($D$3+Y1408),0)),Calcs!$A$110:$B$122,2,TRUE)))))</f>
        <v xml:space="preserve"> </v>
      </c>
      <c r="AE1408" s="490"/>
      <c r="AF1408" s="879"/>
      <c r="AG1408" s="491"/>
    </row>
    <row r="1409" spans="1:33" x14ac:dyDescent="0.2">
      <c r="A1409" s="415">
        <f t="shared" si="42"/>
        <v>1562</v>
      </c>
      <c r="B1409" s="419" t="str">
        <f t="shared" si="43"/>
        <v>Spring</v>
      </c>
      <c r="C1409" s="455"/>
      <c r="D1409" s="504"/>
      <c r="E1409" s="455"/>
      <c r="F1409" s="504"/>
      <c r="G1409" s="455"/>
      <c r="H1409" s="504"/>
      <c r="I1409" s="455"/>
      <c r="J1409" s="504"/>
      <c r="L1409" s="472"/>
      <c r="M1409" s="468"/>
      <c r="N1409" s="468"/>
      <c r="O1409" s="468"/>
      <c r="P1409" s="468"/>
      <c r="Q1409" s="473"/>
      <c r="R1409" s="477" t="str">
        <f>IF(AND(COUNTIF('Start Character'!$I$63:$M$77,"Twilight Prone")=1,NOT(ISERROR(FIND("Magical Botch",M1409)))),"Yes",IF(P1409&gt;1,"Yes","No"))</f>
        <v>No</v>
      </c>
      <c r="S1409" s="501"/>
      <c r="T1409" s="478"/>
      <c r="U1409" s="501"/>
      <c r="V1409" s="479" t="str">
        <f>IF(R1409="No","No Twilight",IF(T1409="Yes","Uncomprehended Twilight",IF((Character!$B$14+IF(Character!$B$53="Yes",0,Character!$B$53)+IF(Magic!$C$5="Yes",2,0)+ROUNDUP((Magic!$B$30+IF(Magic!$C$30="Yes",3,0))/5,0)+S1409)&gt;=($D$3+P1409+SUMIF(Character!$I$62:$I$66,"Enigmatic Wisdom",Character!$J$62:$J$66)+Q1409+U1409),"No Twilight","Twilight")))</f>
        <v>No Twilight</v>
      </c>
      <c r="W1409" s="483"/>
      <c r="X1409" s="478"/>
      <c r="Y1409" s="484"/>
      <c r="Z1409" s="478"/>
      <c r="AA1409" s="485" t="str">
        <f>IF(V1409="Uncomprehended Twilight","Failed",IF(OR(ISBLANK(W1409),ISBLANK(Y1409))," ",IF(NOT(ISBLANK(X1409)),"Failed",IF((W1409+Character!$B$9+SUMIF(Character!$I$62:$I$66,"Enigmatic Wisdom",Character!$J$62:$J$66))&gt;=IF(Z1409="Yes",0,(Y1409+D1404)),"Succeeded","Failed"))))</f>
        <v xml:space="preserve"> </v>
      </c>
      <c r="AB1409" s="477" t="str">
        <f>IF(AA1409=" "," ",IF(NOT(ISBLANK(X1409)),VLOOKUP($D$3+X1409,Calcs!$A$110:$C$122,3,TRUE),IF(AA1409="Failed",VLOOKUP($D$3,Calcs!$A$110:$C$122,3,TRUE),VLOOKUP($D$3-(IF((Character!$B$9+W1409)&gt;($D$3+Y1409),(Character!$B$9+W1409)-($D$3+Y1409),0)),Calcs!$A$110:$C$122,3,TRUE))))</f>
        <v xml:space="preserve"> </v>
      </c>
      <c r="AC1409" s="489"/>
      <c r="AD1409" s="489" t="str">
        <f>IF(IF(AA1409=" "," ",IF(NOT(ISBLANK(X1409)),VLOOKUP($D$3+X1409,Calcs!$A$110:$B$122,2,TRUE),IF(AA1409="Failed",VLOOKUP($D$3,Calcs!$A$110:$B$122,2,TRUE),VLOOKUP($D$3-(IF((Character!$B$9+W1409)&gt;($D$3+Y1409),(Character!$B$9+W1409)-($D$3+Y1409),0)),Calcs!$A$110:$B$122,2,TRUE))))=Calcs!$B$120,IF(ISBLANK(AC1409)," ",CONCATENATE(AC1409+7," Years")),IF(AA1409=" "," ",IF(NOT(ISBLANK(X1409)),VLOOKUP($D$3+X1409,Calcs!$A$110:$B$122,2,TRUE),IF(AA1409="Failed",VLOOKUP($D$3,Calcs!$A$110:$B$122,2,TRUE),VLOOKUP($D$3-(IF((Character!$B$9+W1409)&gt;($D$3+Y1409),(Character!$B$9+W1409)-($D$3+Y1409),0)),Calcs!$A$110:$B$122,2,TRUE)))))</f>
        <v xml:space="preserve"> </v>
      </c>
      <c r="AE1409" s="490"/>
      <c r="AF1409" s="879"/>
      <c r="AG1409" s="491"/>
    </row>
    <row r="1410" spans="1:33" x14ac:dyDescent="0.2">
      <c r="A1410" s="415">
        <f t="shared" si="42"/>
        <v>1562</v>
      </c>
      <c r="B1410" s="419" t="str">
        <f t="shared" si="43"/>
        <v>Summer</v>
      </c>
      <c r="C1410" s="455"/>
      <c r="D1410" s="504"/>
      <c r="E1410" s="455"/>
      <c r="F1410" s="504"/>
      <c r="G1410" s="455"/>
      <c r="H1410" s="504"/>
      <c r="I1410" s="455"/>
      <c r="J1410" s="504"/>
      <c r="L1410" s="472"/>
      <c r="M1410" s="468"/>
      <c r="N1410" s="468"/>
      <c r="O1410" s="468"/>
      <c r="P1410" s="468"/>
      <c r="Q1410" s="473"/>
      <c r="R1410" s="477" t="str">
        <f>IF(AND(COUNTIF('Start Character'!$I$63:$M$77,"Twilight Prone")=1,NOT(ISERROR(FIND("Magical Botch",M1410)))),"Yes",IF(P1410&gt;1,"Yes","No"))</f>
        <v>No</v>
      </c>
      <c r="S1410" s="501"/>
      <c r="T1410" s="478"/>
      <c r="U1410" s="501"/>
      <c r="V1410" s="479" t="str">
        <f>IF(R1410="No","No Twilight",IF(T1410="Yes","Uncomprehended Twilight",IF((Character!$B$14+IF(Character!$B$53="Yes",0,Character!$B$53)+IF(Magic!$C$5="Yes",2,0)+ROUNDUP((Magic!$B$30+IF(Magic!$C$30="Yes",3,0))/5,0)+S1410)&gt;=($D$3+P1410+SUMIF(Character!$I$62:$I$66,"Enigmatic Wisdom",Character!$J$62:$J$66)+Q1410+U1410),"No Twilight","Twilight")))</f>
        <v>No Twilight</v>
      </c>
      <c r="W1410" s="483"/>
      <c r="X1410" s="478"/>
      <c r="Y1410" s="484"/>
      <c r="Z1410" s="478"/>
      <c r="AA1410" s="485" t="str">
        <f>IF(V1410="Uncomprehended Twilight","Failed",IF(OR(ISBLANK(W1410),ISBLANK(Y1410))," ",IF(NOT(ISBLANK(X1410)),"Failed",IF((W1410+Character!$B$9+SUMIF(Character!$I$62:$I$66,"Enigmatic Wisdom",Character!$J$62:$J$66))&gt;=IF(Z1410="Yes",0,(Y1410+D1405)),"Succeeded","Failed"))))</f>
        <v xml:space="preserve"> </v>
      </c>
      <c r="AB1410" s="477" t="str">
        <f>IF(AA1410=" "," ",IF(NOT(ISBLANK(X1410)),VLOOKUP($D$3+X1410,Calcs!$A$110:$C$122,3,TRUE),IF(AA1410="Failed",VLOOKUP($D$3,Calcs!$A$110:$C$122,3,TRUE),VLOOKUP($D$3-(IF((Character!$B$9+W1410)&gt;($D$3+Y1410),(Character!$B$9+W1410)-($D$3+Y1410),0)),Calcs!$A$110:$C$122,3,TRUE))))</f>
        <v xml:space="preserve"> </v>
      </c>
      <c r="AC1410" s="489"/>
      <c r="AD1410" s="489" t="str">
        <f>IF(IF(AA1410=" "," ",IF(NOT(ISBLANK(X1410)),VLOOKUP($D$3+X1410,Calcs!$A$110:$B$122,2,TRUE),IF(AA1410="Failed",VLOOKUP($D$3,Calcs!$A$110:$B$122,2,TRUE),VLOOKUP($D$3-(IF((Character!$B$9+W1410)&gt;($D$3+Y1410),(Character!$B$9+W1410)-($D$3+Y1410),0)),Calcs!$A$110:$B$122,2,TRUE))))=Calcs!$B$120,IF(ISBLANK(AC1410)," ",CONCATENATE(AC1410+7," Years")),IF(AA1410=" "," ",IF(NOT(ISBLANK(X1410)),VLOOKUP($D$3+X1410,Calcs!$A$110:$B$122,2,TRUE),IF(AA1410="Failed",VLOOKUP($D$3,Calcs!$A$110:$B$122,2,TRUE),VLOOKUP($D$3-(IF((Character!$B$9+W1410)&gt;($D$3+Y1410),(Character!$B$9+W1410)-($D$3+Y1410),0)),Calcs!$A$110:$B$122,2,TRUE)))))</f>
        <v xml:space="preserve"> </v>
      </c>
      <c r="AE1410" s="490"/>
      <c r="AF1410" s="879"/>
      <c r="AG1410" s="491"/>
    </row>
    <row r="1411" spans="1:33" x14ac:dyDescent="0.2">
      <c r="A1411" s="415">
        <f t="shared" si="42"/>
        <v>1562</v>
      </c>
      <c r="B1411" s="419" t="str">
        <f t="shared" si="43"/>
        <v>Autumn</v>
      </c>
      <c r="C1411" s="455"/>
      <c r="D1411" s="504"/>
      <c r="E1411" s="455"/>
      <c r="F1411" s="504"/>
      <c r="G1411" s="455"/>
      <c r="H1411" s="504"/>
      <c r="I1411" s="455"/>
      <c r="J1411" s="504"/>
      <c r="L1411" s="472"/>
      <c r="M1411" s="468"/>
      <c r="N1411" s="468"/>
      <c r="O1411" s="468"/>
      <c r="P1411" s="468"/>
      <c r="Q1411" s="473"/>
      <c r="R1411" s="477" t="str">
        <f>IF(AND(COUNTIF('Start Character'!$I$63:$M$77,"Twilight Prone")=1,NOT(ISERROR(FIND("Magical Botch",M1411)))),"Yes",IF(P1411&gt;1,"Yes","No"))</f>
        <v>No</v>
      </c>
      <c r="S1411" s="501"/>
      <c r="T1411" s="478"/>
      <c r="U1411" s="501"/>
      <c r="V1411" s="479" t="str">
        <f>IF(R1411="No","No Twilight",IF(T1411="Yes","Uncomprehended Twilight",IF((Character!$B$14+IF(Character!$B$53="Yes",0,Character!$B$53)+IF(Magic!$C$5="Yes",2,0)+ROUNDUP((Magic!$B$30+IF(Magic!$C$30="Yes",3,0))/5,0)+S1411)&gt;=($D$3+P1411+SUMIF(Character!$I$62:$I$66,"Enigmatic Wisdom",Character!$J$62:$J$66)+Q1411+U1411),"No Twilight","Twilight")))</f>
        <v>No Twilight</v>
      </c>
      <c r="W1411" s="483"/>
      <c r="X1411" s="478"/>
      <c r="Y1411" s="484"/>
      <c r="Z1411" s="478"/>
      <c r="AA1411" s="485" t="str">
        <f>IF(V1411="Uncomprehended Twilight","Failed",IF(OR(ISBLANK(W1411),ISBLANK(Y1411))," ",IF(NOT(ISBLANK(X1411)),"Failed",IF((W1411+Character!$B$9+SUMIF(Character!$I$62:$I$66,"Enigmatic Wisdom",Character!$J$62:$J$66))&gt;=IF(Z1411="Yes",0,(Y1411+D1406)),"Succeeded","Failed"))))</f>
        <v xml:space="preserve"> </v>
      </c>
      <c r="AB1411" s="477" t="str">
        <f>IF(AA1411=" "," ",IF(NOT(ISBLANK(X1411)),VLOOKUP($D$3+X1411,Calcs!$A$110:$C$122,3,TRUE),IF(AA1411="Failed",VLOOKUP($D$3,Calcs!$A$110:$C$122,3,TRUE),VLOOKUP($D$3-(IF((Character!$B$9+W1411)&gt;($D$3+Y1411),(Character!$B$9+W1411)-($D$3+Y1411),0)),Calcs!$A$110:$C$122,3,TRUE))))</f>
        <v xml:space="preserve"> </v>
      </c>
      <c r="AC1411" s="489"/>
      <c r="AD1411" s="489" t="str">
        <f>IF(IF(AA1411=" "," ",IF(NOT(ISBLANK(X1411)),VLOOKUP($D$3+X1411,Calcs!$A$110:$B$122,2,TRUE),IF(AA1411="Failed",VLOOKUP($D$3,Calcs!$A$110:$B$122,2,TRUE),VLOOKUP($D$3-(IF((Character!$B$9+W1411)&gt;($D$3+Y1411),(Character!$B$9+W1411)-($D$3+Y1411),0)),Calcs!$A$110:$B$122,2,TRUE))))=Calcs!$B$120,IF(ISBLANK(AC1411)," ",CONCATENATE(AC1411+7," Years")),IF(AA1411=" "," ",IF(NOT(ISBLANK(X1411)),VLOOKUP($D$3+X1411,Calcs!$A$110:$B$122,2,TRUE),IF(AA1411="Failed",VLOOKUP($D$3,Calcs!$A$110:$B$122,2,TRUE),VLOOKUP($D$3-(IF((Character!$B$9+W1411)&gt;($D$3+Y1411),(Character!$B$9+W1411)-($D$3+Y1411),0)),Calcs!$A$110:$B$122,2,TRUE)))))</f>
        <v xml:space="preserve"> </v>
      </c>
      <c r="AE1411" s="490"/>
      <c r="AF1411" s="879"/>
      <c r="AG1411" s="491"/>
    </row>
    <row r="1412" spans="1:33" x14ac:dyDescent="0.2">
      <c r="A1412" s="415">
        <f t="shared" si="42"/>
        <v>1563</v>
      </c>
      <c r="B1412" s="419" t="str">
        <f t="shared" si="43"/>
        <v>Winter</v>
      </c>
      <c r="C1412" s="455"/>
      <c r="D1412" s="504"/>
      <c r="E1412" s="455"/>
      <c r="F1412" s="504"/>
      <c r="G1412" s="455"/>
      <c r="H1412" s="504"/>
      <c r="I1412" s="455"/>
      <c r="J1412" s="504"/>
      <c r="L1412" s="472"/>
      <c r="M1412" s="468"/>
      <c r="N1412" s="468"/>
      <c r="O1412" s="468"/>
      <c r="P1412" s="468"/>
      <c r="Q1412" s="473"/>
      <c r="R1412" s="477" t="str">
        <f>IF(AND(COUNTIF('Start Character'!$I$63:$M$77,"Twilight Prone")=1,NOT(ISERROR(FIND("Magical Botch",M1412)))),"Yes",IF(P1412&gt;1,"Yes","No"))</f>
        <v>No</v>
      </c>
      <c r="S1412" s="501"/>
      <c r="T1412" s="478"/>
      <c r="U1412" s="501"/>
      <c r="V1412" s="479" t="str">
        <f>IF(R1412="No","No Twilight",IF(T1412="Yes","Uncomprehended Twilight",IF((Character!$B$14+IF(Character!$B$53="Yes",0,Character!$B$53)+IF(Magic!$C$5="Yes",2,0)+ROUNDUP((Magic!$B$30+IF(Magic!$C$30="Yes",3,0))/5,0)+S1412)&gt;=($D$3+P1412+SUMIF(Character!$I$62:$I$66,"Enigmatic Wisdom",Character!$J$62:$J$66)+Q1412+U1412),"No Twilight","Twilight")))</f>
        <v>No Twilight</v>
      </c>
      <c r="W1412" s="483"/>
      <c r="X1412" s="478"/>
      <c r="Y1412" s="484"/>
      <c r="Z1412" s="478"/>
      <c r="AA1412" s="485" t="str">
        <f>IF(V1412="Uncomprehended Twilight","Failed",IF(OR(ISBLANK(W1412),ISBLANK(Y1412))," ",IF(NOT(ISBLANK(X1412)),"Failed",IF((W1412+Character!$B$9+SUMIF(Character!$I$62:$I$66,"Enigmatic Wisdom",Character!$J$62:$J$66))&gt;=IF(Z1412="Yes",0,(Y1412+D1407)),"Succeeded","Failed"))))</f>
        <v xml:space="preserve"> </v>
      </c>
      <c r="AB1412" s="477" t="str">
        <f>IF(AA1412=" "," ",IF(NOT(ISBLANK(X1412)),VLOOKUP($D$3+X1412,Calcs!$A$110:$C$122,3,TRUE),IF(AA1412="Failed",VLOOKUP($D$3,Calcs!$A$110:$C$122,3,TRUE),VLOOKUP($D$3-(IF((Character!$B$9+W1412)&gt;($D$3+Y1412),(Character!$B$9+W1412)-($D$3+Y1412),0)),Calcs!$A$110:$C$122,3,TRUE))))</f>
        <v xml:space="preserve"> </v>
      </c>
      <c r="AC1412" s="489"/>
      <c r="AD1412" s="489" t="str">
        <f>IF(IF(AA1412=" "," ",IF(NOT(ISBLANK(X1412)),VLOOKUP($D$3+X1412,Calcs!$A$110:$B$122,2,TRUE),IF(AA1412="Failed",VLOOKUP($D$3,Calcs!$A$110:$B$122,2,TRUE),VLOOKUP($D$3-(IF((Character!$B$9+W1412)&gt;($D$3+Y1412),(Character!$B$9+W1412)-($D$3+Y1412),0)),Calcs!$A$110:$B$122,2,TRUE))))=Calcs!$B$120,IF(ISBLANK(AC1412)," ",CONCATENATE(AC1412+7," Years")),IF(AA1412=" "," ",IF(NOT(ISBLANK(X1412)),VLOOKUP($D$3+X1412,Calcs!$A$110:$B$122,2,TRUE),IF(AA1412="Failed",VLOOKUP($D$3,Calcs!$A$110:$B$122,2,TRUE),VLOOKUP($D$3-(IF((Character!$B$9+W1412)&gt;($D$3+Y1412),(Character!$B$9+W1412)-($D$3+Y1412),0)),Calcs!$A$110:$B$122,2,TRUE)))))</f>
        <v xml:space="preserve"> </v>
      </c>
      <c r="AE1412" s="490"/>
      <c r="AF1412" s="879"/>
      <c r="AG1412" s="491"/>
    </row>
    <row r="1413" spans="1:33" x14ac:dyDescent="0.2">
      <c r="A1413" s="415">
        <f t="shared" si="42"/>
        <v>1563</v>
      </c>
      <c r="B1413" s="419" t="str">
        <f t="shared" si="43"/>
        <v>Spring</v>
      </c>
      <c r="C1413" s="455"/>
      <c r="D1413" s="504"/>
      <c r="E1413" s="455"/>
      <c r="F1413" s="504"/>
      <c r="G1413" s="455"/>
      <c r="H1413" s="504"/>
      <c r="I1413" s="455"/>
      <c r="J1413" s="504"/>
      <c r="L1413" s="472"/>
      <c r="M1413" s="468"/>
      <c r="N1413" s="468"/>
      <c r="O1413" s="468"/>
      <c r="P1413" s="468"/>
      <c r="Q1413" s="473"/>
      <c r="R1413" s="477" t="str">
        <f>IF(AND(COUNTIF('Start Character'!$I$63:$M$77,"Twilight Prone")=1,NOT(ISERROR(FIND("Magical Botch",M1413)))),"Yes",IF(P1413&gt;1,"Yes","No"))</f>
        <v>No</v>
      </c>
      <c r="S1413" s="501"/>
      <c r="T1413" s="478"/>
      <c r="U1413" s="501"/>
      <c r="V1413" s="479" t="str">
        <f>IF(R1413="No","No Twilight",IF(T1413="Yes","Uncomprehended Twilight",IF((Character!$B$14+IF(Character!$B$53="Yes",0,Character!$B$53)+IF(Magic!$C$5="Yes",2,0)+ROUNDUP((Magic!$B$30+IF(Magic!$C$30="Yes",3,0))/5,0)+S1413)&gt;=($D$3+P1413+SUMIF(Character!$I$62:$I$66,"Enigmatic Wisdom",Character!$J$62:$J$66)+Q1413+U1413),"No Twilight","Twilight")))</f>
        <v>No Twilight</v>
      </c>
      <c r="W1413" s="483"/>
      <c r="X1413" s="478"/>
      <c r="Y1413" s="484"/>
      <c r="Z1413" s="478"/>
      <c r="AA1413" s="485" t="str">
        <f>IF(V1413="Uncomprehended Twilight","Failed",IF(OR(ISBLANK(W1413),ISBLANK(Y1413))," ",IF(NOT(ISBLANK(X1413)),"Failed",IF((W1413+Character!$B$9+SUMIF(Character!$I$62:$I$66,"Enigmatic Wisdom",Character!$J$62:$J$66))&gt;=IF(Z1413="Yes",0,(Y1413+D1408)),"Succeeded","Failed"))))</f>
        <v xml:space="preserve"> </v>
      </c>
      <c r="AB1413" s="477" t="str">
        <f>IF(AA1413=" "," ",IF(NOT(ISBLANK(X1413)),VLOOKUP($D$3+X1413,Calcs!$A$110:$C$122,3,TRUE),IF(AA1413="Failed",VLOOKUP($D$3,Calcs!$A$110:$C$122,3,TRUE),VLOOKUP($D$3-(IF((Character!$B$9+W1413)&gt;($D$3+Y1413),(Character!$B$9+W1413)-($D$3+Y1413),0)),Calcs!$A$110:$C$122,3,TRUE))))</f>
        <v xml:space="preserve"> </v>
      </c>
      <c r="AC1413" s="489"/>
      <c r="AD1413" s="489" t="str">
        <f>IF(IF(AA1413=" "," ",IF(NOT(ISBLANK(X1413)),VLOOKUP($D$3+X1413,Calcs!$A$110:$B$122,2,TRUE),IF(AA1413="Failed",VLOOKUP($D$3,Calcs!$A$110:$B$122,2,TRUE),VLOOKUP($D$3-(IF((Character!$B$9+W1413)&gt;($D$3+Y1413),(Character!$B$9+W1413)-($D$3+Y1413),0)),Calcs!$A$110:$B$122,2,TRUE))))=Calcs!$B$120,IF(ISBLANK(AC1413)," ",CONCATENATE(AC1413+7," Years")),IF(AA1413=" "," ",IF(NOT(ISBLANK(X1413)),VLOOKUP($D$3+X1413,Calcs!$A$110:$B$122,2,TRUE),IF(AA1413="Failed",VLOOKUP($D$3,Calcs!$A$110:$B$122,2,TRUE),VLOOKUP($D$3-(IF((Character!$B$9+W1413)&gt;($D$3+Y1413),(Character!$B$9+W1413)-($D$3+Y1413),0)),Calcs!$A$110:$B$122,2,TRUE)))))</f>
        <v xml:space="preserve"> </v>
      </c>
      <c r="AE1413" s="490"/>
      <c r="AF1413" s="879"/>
      <c r="AG1413" s="491"/>
    </row>
    <row r="1414" spans="1:33" x14ac:dyDescent="0.2">
      <c r="A1414" s="415">
        <f t="shared" si="42"/>
        <v>1563</v>
      </c>
      <c r="B1414" s="419" t="str">
        <f t="shared" si="43"/>
        <v>Summer</v>
      </c>
      <c r="C1414" s="455"/>
      <c r="D1414" s="504"/>
      <c r="E1414" s="455"/>
      <c r="F1414" s="504"/>
      <c r="G1414" s="455"/>
      <c r="H1414" s="504"/>
      <c r="I1414" s="455"/>
      <c r="J1414" s="504"/>
      <c r="L1414" s="472"/>
      <c r="M1414" s="468"/>
      <c r="N1414" s="468"/>
      <c r="O1414" s="468"/>
      <c r="P1414" s="468"/>
      <c r="Q1414" s="473"/>
      <c r="R1414" s="477" t="str">
        <f>IF(AND(COUNTIF('Start Character'!$I$63:$M$77,"Twilight Prone")=1,NOT(ISERROR(FIND("Magical Botch",M1414)))),"Yes",IF(P1414&gt;1,"Yes","No"))</f>
        <v>No</v>
      </c>
      <c r="S1414" s="501"/>
      <c r="T1414" s="478"/>
      <c r="U1414" s="501"/>
      <c r="V1414" s="479" t="str">
        <f>IF(R1414="No","No Twilight",IF(T1414="Yes","Uncomprehended Twilight",IF((Character!$B$14+IF(Character!$B$53="Yes",0,Character!$B$53)+IF(Magic!$C$5="Yes",2,0)+ROUNDUP((Magic!$B$30+IF(Magic!$C$30="Yes",3,0))/5,0)+S1414)&gt;=($D$3+P1414+SUMIF(Character!$I$62:$I$66,"Enigmatic Wisdom",Character!$J$62:$J$66)+Q1414+U1414),"No Twilight","Twilight")))</f>
        <v>No Twilight</v>
      </c>
      <c r="W1414" s="483"/>
      <c r="X1414" s="478"/>
      <c r="Y1414" s="484"/>
      <c r="Z1414" s="478"/>
      <c r="AA1414" s="485" t="str">
        <f>IF(V1414="Uncomprehended Twilight","Failed",IF(OR(ISBLANK(W1414),ISBLANK(Y1414))," ",IF(NOT(ISBLANK(X1414)),"Failed",IF((W1414+Character!$B$9+SUMIF(Character!$I$62:$I$66,"Enigmatic Wisdom",Character!$J$62:$J$66))&gt;=IF(Z1414="Yes",0,(Y1414+D1409)),"Succeeded","Failed"))))</f>
        <v xml:space="preserve"> </v>
      </c>
      <c r="AB1414" s="477" t="str">
        <f>IF(AA1414=" "," ",IF(NOT(ISBLANK(X1414)),VLOOKUP($D$3+X1414,Calcs!$A$110:$C$122,3,TRUE),IF(AA1414="Failed",VLOOKUP($D$3,Calcs!$A$110:$C$122,3,TRUE),VLOOKUP($D$3-(IF((Character!$B$9+W1414)&gt;($D$3+Y1414),(Character!$B$9+W1414)-($D$3+Y1414),0)),Calcs!$A$110:$C$122,3,TRUE))))</f>
        <v xml:space="preserve"> </v>
      </c>
      <c r="AC1414" s="489"/>
      <c r="AD1414" s="489" t="str">
        <f>IF(IF(AA1414=" "," ",IF(NOT(ISBLANK(X1414)),VLOOKUP($D$3+X1414,Calcs!$A$110:$B$122,2,TRUE),IF(AA1414="Failed",VLOOKUP($D$3,Calcs!$A$110:$B$122,2,TRUE),VLOOKUP($D$3-(IF((Character!$B$9+W1414)&gt;($D$3+Y1414),(Character!$B$9+W1414)-($D$3+Y1414),0)),Calcs!$A$110:$B$122,2,TRUE))))=Calcs!$B$120,IF(ISBLANK(AC1414)," ",CONCATENATE(AC1414+7," Years")),IF(AA1414=" "," ",IF(NOT(ISBLANK(X1414)),VLOOKUP($D$3+X1414,Calcs!$A$110:$B$122,2,TRUE),IF(AA1414="Failed",VLOOKUP($D$3,Calcs!$A$110:$B$122,2,TRUE),VLOOKUP($D$3-(IF((Character!$B$9+W1414)&gt;($D$3+Y1414),(Character!$B$9+W1414)-($D$3+Y1414),0)),Calcs!$A$110:$B$122,2,TRUE)))))</f>
        <v xml:space="preserve"> </v>
      </c>
      <c r="AE1414" s="490"/>
      <c r="AF1414" s="879"/>
      <c r="AG1414" s="491"/>
    </row>
    <row r="1415" spans="1:33" x14ac:dyDescent="0.2">
      <c r="A1415" s="415">
        <f t="shared" si="42"/>
        <v>1563</v>
      </c>
      <c r="B1415" s="419" t="str">
        <f t="shared" si="43"/>
        <v>Autumn</v>
      </c>
      <c r="C1415" s="455"/>
      <c r="D1415" s="504"/>
      <c r="E1415" s="455"/>
      <c r="F1415" s="504"/>
      <c r="G1415" s="455"/>
      <c r="H1415" s="504"/>
      <c r="I1415" s="455"/>
      <c r="J1415" s="504"/>
      <c r="L1415" s="472"/>
      <c r="M1415" s="468"/>
      <c r="N1415" s="468"/>
      <c r="O1415" s="468"/>
      <c r="P1415" s="468"/>
      <c r="Q1415" s="473"/>
      <c r="R1415" s="477" t="str">
        <f>IF(AND(COUNTIF('Start Character'!$I$63:$M$77,"Twilight Prone")=1,NOT(ISERROR(FIND("Magical Botch",M1415)))),"Yes",IF(P1415&gt;1,"Yes","No"))</f>
        <v>No</v>
      </c>
      <c r="S1415" s="501"/>
      <c r="T1415" s="478"/>
      <c r="U1415" s="501"/>
      <c r="V1415" s="479" t="str">
        <f>IF(R1415="No","No Twilight",IF(T1415="Yes","Uncomprehended Twilight",IF((Character!$B$14+IF(Character!$B$53="Yes",0,Character!$B$53)+IF(Magic!$C$5="Yes",2,0)+ROUNDUP((Magic!$B$30+IF(Magic!$C$30="Yes",3,0))/5,0)+S1415)&gt;=($D$3+P1415+SUMIF(Character!$I$62:$I$66,"Enigmatic Wisdom",Character!$J$62:$J$66)+Q1415+U1415),"No Twilight","Twilight")))</f>
        <v>No Twilight</v>
      </c>
      <c r="W1415" s="483"/>
      <c r="X1415" s="478"/>
      <c r="Y1415" s="484"/>
      <c r="Z1415" s="478"/>
      <c r="AA1415" s="485" t="str">
        <f>IF(V1415="Uncomprehended Twilight","Failed",IF(OR(ISBLANK(W1415),ISBLANK(Y1415))," ",IF(NOT(ISBLANK(X1415)),"Failed",IF((W1415+Character!$B$9+SUMIF(Character!$I$62:$I$66,"Enigmatic Wisdom",Character!$J$62:$J$66))&gt;=IF(Z1415="Yes",0,(Y1415+D1410)),"Succeeded","Failed"))))</f>
        <v xml:space="preserve"> </v>
      </c>
      <c r="AB1415" s="477" t="str">
        <f>IF(AA1415=" "," ",IF(NOT(ISBLANK(X1415)),VLOOKUP($D$3+X1415,Calcs!$A$110:$C$122,3,TRUE),IF(AA1415="Failed",VLOOKUP($D$3,Calcs!$A$110:$C$122,3,TRUE),VLOOKUP($D$3-(IF((Character!$B$9+W1415)&gt;($D$3+Y1415),(Character!$B$9+W1415)-($D$3+Y1415),0)),Calcs!$A$110:$C$122,3,TRUE))))</f>
        <v xml:space="preserve"> </v>
      </c>
      <c r="AC1415" s="489"/>
      <c r="AD1415" s="489" t="str">
        <f>IF(IF(AA1415=" "," ",IF(NOT(ISBLANK(X1415)),VLOOKUP($D$3+X1415,Calcs!$A$110:$B$122,2,TRUE),IF(AA1415="Failed",VLOOKUP($D$3,Calcs!$A$110:$B$122,2,TRUE),VLOOKUP($D$3-(IF((Character!$B$9+W1415)&gt;($D$3+Y1415),(Character!$B$9+W1415)-($D$3+Y1415),0)),Calcs!$A$110:$B$122,2,TRUE))))=Calcs!$B$120,IF(ISBLANK(AC1415)," ",CONCATENATE(AC1415+7," Years")),IF(AA1415=" "," ",IF(NOT(ISBLANK(X1415)),VLOOKUP($D$3+X1415,Calcs!$A$110:$B$122,2,TRUE),IF(AA1415="Failed",VLOOKUP($D$3,Calcs!$A$110:$B$122,2,TRUE),VLOOKUP($D$3-(IF((Character!$B$9+W1415)&gt;($D$3+Y1415),(Character!$B$9+W1415)-($D$3+Y1415),0)),Calcs!$A$110:$B$122,2,TRUE)))))</f>
        <v xml:space="preserve"> </v>
      </c>
      <c r="AE1415" s="490"/>
      <c r="AF1415" s="879"/>
      <c r="AG1415" s="491"/>
    </row>
    <row r="1416" spans="1:33" x14ac:dyDescent="0.2">
      <c r="A1416" s="415">
        <f t="shared" si="42"/>
        <v>1564</v>
      </c>
      <c r="B1416" s="419" t="str">
        <f t="shared" si="43"/>
        <v>Winter</v>
      </c>
      <c r="C1416" s="455"/>
      <c r="D1416" s="504"/>
      <c r="E1416" s="455"/>
      <c r="F1416" s="504"/>
      <c r="G1416" s="455"/>
      <c r="H1416" s="504"/>
      <c r="I1416" s="455"/>
      <c r="J1416" s="504"/>
      <c r="L1416" s="472"/>
      <c r="M1416" s="468"/>
      <c r="N1416" s="468"/>
      <c r="O1416" s="468"/>
      <c r="P1416" s="468"/>
      <c r="Q1416" s="473"/>
      <c r="R1416" s="477" t="str">
        <f>IF(AND(COUNTIF('Start Character'!$I$63:$M$77,"Twilight Prone")=1,NOT(ISERROR(FIND("Magical Botch",M1416)))),"Yes",IF(P1416&gt;1,"Yes","No"))</f>
        <v>No</v>
      </c>
      <c r="S1416" s="501"/>
      <c r="T1416" s="478"/>
      <c r="U1416" s="501"/>
      <c r="V1416" s="479" t="str">
        <f>IF(R1416="No","No Twilight",IF(T1416="Yes","Uncomprehended Twilight",IF((Character!$B$14+IF(Character!$B$53="Yes",0,Character!$B$53)+IF(Magic!$C$5="Yes",2,0)+ROUNDUP((Magic!$B$30+IF(Magic!$C$30="Yes",3,0))/5,0)+S1416)&gt;=($D$3+P1416+SUMIF(Character!$I$62:$I$66,"Enigmatic Wisdom",Character!$J$62:$J$66)+Q1416+U1416),"No Twilight","Twilight")))</f>
        <v>No Twilight</v>
      </c>
      <c r="W1416" s="483"/>
      <c r="X1416" s="478"/>
      <c r="Y1416" s="484"/>
      <c r="Z1416" s="478"/>
      <c r="AA1416" s="485" t="str">
        <f>IF(V1416="Uncomprehended Twilight","Failed",IF(OR(ISBLANK(W1416),ISBLANK(Y1416))," ",IF(NOT(ISBLANK(X1416)),"Failed",IF((W1416+Character!$B$9+SUMIF(Character!$I$62:$I$66,"Enigmatic Wisdom",Character!$J$62:$J$66))&gt;=IF(Z1416="Yes",0,(Y1416+D1411)),"Succeeded","Failed"))))</f>
        <v xml:space="preserve"> </v>
      </c>
      <c r="AB1416" s="477" t="str">
        <f>IF(AA1416=" "," ",IF(NOT(ISBLANK(X1416)),VLOOKUP($D$3+X1416,Calcs!$A$110:$C$122,3,TRUE),IF(AA1416="Failed",VLOOKUP($D$3,Calcs!$A$110:$C$122,3,TRUE),VLOOKUP($D$3-(IF((Character!$B$9+W1416)&gt;($D$3+Y1416),(Character!$B$9+W1416)-($D$3+Y1416),0)),Calcs!$A$110:$C$122,3,TRUE))))</f>
        <v xml:space="preserve"> </v>
      </c>
      <c r="AC1416" s="489"/>
      <c r="AD1416" s="489" t="str">
        <f>IF(IF(AA1416=" "," ",IF(NOT(ISBLANK(X1416)),VLOOKUP($D$3+X1416,Calcs!$A$110:$B$122,2,TRUE),IF(AA1416="Failed",VLOOKUP($D$3,Calcs!$A$110:$B$122,2,TRUE),VLOOKUP($D$3-(IF((Character!$B$9+W1416)&gt;($D$3+Y1416),(Character!$B$9+W1416)-($D$3+Y1416),0)),Calcs!$A$110:$B$122,2,TRUE))))=Calcs!$B$120,IF(ISBLANK(AC1416)," ",CONCATENATE(AC1416+7," Years")),IF(AA1416=" "," ",IF(NOT(ISBLANK(X1416)),VLOOKUP($D$3+X1416,Calcs!$A$110:$B$122,2,TRUE),IF(AA1416="Failed",VLOOKUP($D$3,Calcs!$A$110:$B$122,2,TRUE),VLOOKUP($D$3-(IF((Character!$B$9+W1416)&gt;($D$3+Y1416),(Character!$B$9+W1416)-($D$3+Y1416),0)),Calcs!$A$110:$B$122,2,TRUE)))))</f>
        <v xml:space="preserve"> </v>
      </c>
      <c r="AE1416" s="490"/>
      <c r="AF1416" s="879"/>
      <c r="AG1416" s="491"/>
    </row>
    <row r="1417" spans="1:33" x14ac:dyDescent="0.2">
      <c r="A1417" s="415">
        <f t="shared" si="42"/>
        <v>1564</v>
      </c>
      <c r="B1417" s="419" t="str">
        <f t="shared" si="43"/>
        <v>Spring</v>
      </c>
      <c r="C1417" s="455"/>
      <c r="D1417" s="504"/>
      <c r="E1417" s="455"/>
      <c r="F1417" s="504"/>
      <c r="G1417" s="455"/>
      <c r="H1417" s="504"/>
      <c r="I1417" s="455"/>
      <c r="J1417" s="504"/>
      <c r="L1417" s="472"/>
      <c r="M1417" s="468"/>
      <c r="N1417" s="468"/>
      <c r="O1417" s="468"/>
      <c r="P1417" s="468"/>
      <c r="Q1417" s="473"/>
      <c r="R1417" s="477" t="str">
        <f>IF(AND(COUNTIF('Start Character'!$I$63:$M$77,"Twilight Prone")=1,NOT(ISERROR(FIND("Magical Botch",M1417)))),"Yes",IF(P1417&gt;1,"Yes","No"))</f>
        <v>No</v>
      </c>
      <c r="S1417" s="501"/>
      <c r="T1417" s="478"/>
      <c r="U1417" s="501"/>
      <c r="V1417" s="479" t="str">
        <f>IF(R1417="No","No Twilight",IF(T1417="Yes","Uncomprehended Twilight",IF((Character!$B$14+IF(Character!$B$53="Yes",0,Character!$B$53)+IF(Magic!$C$5="Yes",2,0)+ROUNDUP((Magic!$B$30+IF(Magic!$C$30="Yes",3,0))/5,0)+S1417)&gt;=($D$3+P1417+SUMIF(Character!$I$62:$I$66,"Enigmatic Wisdom",Character!$J$62:$J$66)+Q1417+U1417),"No Twilight","Twilight")))</f>
        <v>No Twilight</v>
      </c>
      <c r="W1417" s="483"/>
      <c r="X1417" s="478"/>
      <c r="Y1417" s="484"/>
      <c r="Z1417" s="478"/>
      <c r="AA1417" s="485" t="str">
        <f>IF(V1417="Uncomprehended Twilight","Failed",IF(OR(ISBLANK(W1417),ISBLANK(Y1417))," ",IF(NOT(ISBLANK(X1417)),"Failed",IF((W1417+Character!$B$9+SUMIF(Character!$I$62:$I$66,"Enigmatic Wisdom",Character!$J$62:$J$66))&gt;=IF(Z1417="Yes",0,(Y1417+D1412)),"Succeeded","Failed"))))</f>
        <v xml:space="preserve"> </v>
      </c>
      <c r="AB1417" s="477" t="str">
        <f>IF(AA1417=" "," ",IF(NOT(ISBLANK(X1417)),VLOOKUP($D$3+X1417,Calcs!$A$110:$C$122,3,TRUE),IF(AA1417="Failed",VLOOKUP($D$3,Calcs!$A$110:$C$122,3,TRUE),VLOOKUP($D$3-(IF((Character!$B$9+W1417)&gt;($D$3+Y1417),(Character!$B$9+W1417)-($D$3+Y1417),0)),Calcs!$A$110:$C$122,3,TRUE))))</f>
        <v xml:space="preserve"> </v>
      </c>
      <c r="AC1417" s="489"/>
      <c r="AD1417" s="489" t="str">
        <f>IF(IF(AA1417=" "," ",IF(NOT(ISBLANK(X1417)),VLOOKUP($D$3+X1417,Calcs!$A$110:$B$122,2,TRUE),IF(AA1417="Failed",VLOOKUP($D$3,Calcs!$A$110:$B$122,2,TRUE),VLOOKUP($D$3-(IF((Character!$B$9+W1417)&gt;($D$3+Y1417),(Character!$B$9+W1417)-($D$3+Y1417),0)),Calcs!$A$110:$B$122,2,TRUE))))=Calcs!$B$120,IF(ISBLANK(AC1417)," ",CONCATENATE(AC1417+7," Years")),IF(AA1417=" "," ",IF(NOT(ISBLANK(X1417)),VLOOKUP($D$3+X1417,Calcs!$A$110:$B$122,2,TRUE),IF(AA1417="Failed",VLOOKUP($D$3,Calcs!$A$110:$B$122,2,TRUE),VLOOKUP($D$3-(IF((Character!$B$9+W1417)&gt;($D$3+Y1417),(Character!$B$9+W1417)-($D$3+Y1417),0)),Calcs!$A$110:$B$122,2,TRUE)))))</f>
        <v xml:space="preserve"> </v>
      </c>
      <c r="AE1417" s="490"/>
      <c r="AF1417" s="879"/>
      <c r="AG1417" s="491"/>
    </row>
    <row r="1418" spans="1:33" x14ac:dyDescent="0.2">
      <c r="A1418" s="415">
        <f t="shared" si="42"/>
        <v>1564</v>
      </c>
      <c r="B1418" s="419" t="str">
        <f t="shared" si="43"/>
        <v>Summer</v>
      </c>
      <c r="C1418" s="455"/>
      <c r="D1418" s="504"/>
      <c r="E1418" s="455"/>
      <c r="F1418" s="504"/>
      <c r="G1418" s="455"/>
      <c r="H1418" s="504"/>
      <c r="I1418" s="455"/>
      <c r="J1418" s="504"/>
      <c r="L1418" s="472"/>
      <c r="M1418" s="468"/>
      <c r="N1418" s="468"/>
      <c r="O1418" s="468"/>
      <c r="P1418" s="468"/>
      <c r="Q1418" s="473"/>
      <c r="R1418" s="477" t="str">
        <f>IF(AND(COUNTIF('Start Character'!$I$63:$M$77,"Twilight Prone")=1,NOT(ISERROR(FIND("Magical Botch",M1418)))),"Yes",IF(P1418&gt;1,"Yes","No"))</f>
        <v>No</v>
      </c>
      <c r="S1418" s="501"/>
      <c r="T1418" s="478"/>
      <c r="U1418" s="501"/>
      <c r="V1418" s="479" t="str">
        <f>IF(R1418="No","No Twilight",IF(T1418="Yes","Uncomprehended Twilight",IF((Character!$B$14+IF(Character!$B$53="Yes",0,Character!$B$53)+IF(Magic!$C$5="Yes",2,0)+ROUNDUP((Magic!$B$30+IF(Magic!$C$30="Yes",3,0))/5,0)+S1418)&gt;=($D$3+P1418+SUMIF(Character!$I$62:$I$66,"Enigmatic Wisdom",Character!$J$62:$J$66)+Q1418+U1418),"No Twilight","Twilight")))</f>
        <v>No Twilight</v>
      </c>
      <c r="W1418" s="483"/>
      <c r="X1418" s="478"/>
      <c r="Y1418" s="484"/>
      <c r="Z1418" s="478"/>
      <c r="AA1418" s="485" t="str">
        <f>IF(V1418="Uncomprehended Twilight","Failed",IF(OR(ISBLANK(W1418),ISBLANK(Y1418))," ",IF(NOT(ISBLANK(X1418)),"Failed",IF((W1418+Character!$B$9+SUMIF(Character!$I$62:$I$66,"Enigmatic Wisdom",Character!$J$62:$J$66))&gt;=IF(Z1418="Yes",0,(Y1418+D1413)),"Succeeded","Failed"))))</f>
        <v xml:space="preserve"> </v>
      </c>
      <c r="AB1418" s="477" t="str">
        <f>IF(AA1418=" "," ",IF(NOT(ISBLANK(X1418)),VLOOKUP($D$3+X1418,Calcs!$A$110:$C$122,3,TRUE),IF(AA1418="Failed",VLOOKUP($D$3,Calcs!$A$110:$C$122,3,TRUE),VLOOKUP($D$3-(IF((Character!$B$9+W1418)&gt;($D$3+Y1418),(Character!$B$9+W1418)-($D$3+Y1418),0)),Calcs!$A$110:$C$122,3,TRUE))))</f>
        <v xml:space="preserve"> </v>
      </c>
      <c r="AC1418" s="489"/>
      <c r="AD1418" s="489" t="str">
        <f>IF(IF(AA1418=" "," ",IF(NOT(ISBLANK(X1418)),VLOOKUP($D$3+X1418,Calcs!$A$110:$B$122,2,TRUE),IF(AA1418="Failed",VLOOKUP($D$3,Calcs!$A$110:$B$122,2,TRUE),VLOOKUP($D$3-(IF((Character!$B$9+W1418)&gt;($D$3+Y1418),(Character!$B$9+W1418)-($D$3+Y1418),0)),Calcs!$A$110:$B$122,2,TRUE))))=Calcs!$B$120,IF(ISBLANK(AC1418)," ",CONCATENATE(AC1418+7," Years")),IF(AA1418=" "," ",IF(NOT(ISBLANK(X1418)),VLOOKUP($D$3+X1418,Calcs!$A$110:$B$122,2,TRUE),IF(AA1418="Failed",VLOOKUP($D$3,Calcs!$A$110:$B$122,2,TRUE),VLOOKUP($D$3-(IF((Character!$B$9+W1418)&gt;($D$3+Y1418),(Character!$B$9+W1418)-($D$3+Y1418),0)),Calcs!$A$110:$B$122,2,TRUE)))))</f>
        <v xml:space="preserve"> </v>
      </c>
      <c r="AE1418" s="490"/>
      <c r="AF1418" s="879"/>
      <c r="AG1418" s="491"/>
    </row>
    <row r="1419" spans="1:33" x14ac:dyDescent="0.2">
      <c r="A1419" s="415">
        <f t="shared" si="42"/>
        <v>1564</v>
      </c>
      <c r="B1419" s="419" t="str">
        <f t="shared" si="43"/>
        <v>Autumn</v>
      </c>
      <c r="C1419" s="455"/>
      <c r="D1419" s="504"/>
      <c r="E1419" s="455"/>
      <c r="F1419" s="504"/>
      <c r="G1419" s="455"/>
      <c r="H1419" s="504"/>
      <c r="I1419" s="455"/>
      <c r="J1419" s="504"/>
      <c r="L1419" s="472"/>
      <c r="M1419" s="468"/>
      <c r="N1419" s="468"/>
      <c r="O1419" s="468"/>
      <c r="P1419" s="468"/>
      <c r="Q1419" s="473"/>
      <c r="R1419" s="477" t="str">
        <f>IF(AND(COUNTIF('Start Character'!$I$63:$M$77,"Twilight Prone")=1,NOT(ISERROR(FIND("Magical Botch",M1419)))),"Yes",IF(P1419&gt;1,"Yes","No"))</f>
        <v>No</v>
      </c>
      <c r="S1419" s="501"/>
      <c r="T1419" s="478"/>
      <c r="U1419" s="501"/>
      <c r="V1419" s="479" t="str">
        <f>IF(R1419="No","No Twilight",IF(T1419="Yes","Uncomprehended Twilight",IF((Character!$B$14+IF(Character!$B$53="Yes",0,Character!$B$53)+IF(Magic!$C$5="Yes",2,0)+ROUNDUP((Magic!$B$30+IF(Magic!$C$30="Yes",3,0))/5,0)+S1419)&gt;=($D$3+P1419+SUMIF(Character!$I$62:$I$66,"Enigmatic Wisdom",Character!$J$62:$J$66)+Q1419+U1419),"No Twilight","Twilight")))</f>
        <v>No Twilight</v>
      </c>
      <c r="W1419" s="483"/>
      <c r="X1419" s="478"/>
      <c r="Y1419" s="484"/>
      <c r="Z1419" s="478"/>
      <c r="AA1419" s="485" t="str">
        <f>IF(V1419="Uncomprehended Twilight","Failed",IF(OR(ISBLANK(W1419),ISBLANK(Y1419))," ",IF(NOT(ISBLANK(X1419)),"Failed",IF((W1419+Character!$B$9+SUMIF(Character!$I$62:$I$66,"Enigmatic Wisdom",Character!$J$62:$J$66))&gt;=IF(Z1419="Yes",0,(Y1419+D1414)),"Succeeded","Failed"))))</f>
        <v xml:space="preserve"> </v>
      </c>
      <c r="AB1419" s="477" t="str">
        <f>IF(AA1419=" "," ",IF(NOT(ISBLANK(X1419)),VLOOKUP($D$3+X1419,Calcs!$A$110:$C$122,3,TRUE),IF(AA1419="Failed",VLOOKUP($D$3,Calcs!$A$110:$C$122,3,TRUE),VLOOKUP($D$3-(IF((Character!$B$9+W1419)&gt;($D$3+Y1419),(Character!$B$9+W1419)-($D$3+Y1419),0)),Calcs!$A$110:$C$122,3,TRUE))))</f>
        <v xml:space="preserve"> </v>
      </c>
      <c r="AC1419" s="489"/>
      <c r="AD1419" s="489" t="str">
        <f>IF(IF(AA1419=" "," ",IF(NOT(ISBLANK(X1419)),VLOOKUP($D$3+X1419,Calcs!$A$110:$B$122,2,TRUE),IF(AA1419="Failed",VLOOKUP($D$3,Calcs!$A$110:$B$122,2,TRUE),VLOOKUP($D$3-(IF((Character!$B$9+W1419)&gt;($D$3+Y1419),(Character!$B$9+W1419)-($D$3+Y1419),0)),Calcs!$A$110:$B$122,2,TRUE))))=Calcs!$B$120,IF(ISBLANK(AC1419)," ",CONCATENATE(AC1419+7," Years")),IF(AA1419=" "," ",IF(NOT(ISBLANK(X1419)),VLOOKUP($D$3+X1419,Calcs!$A$110:$B$122,2,TRUE),IF(AA1419="Failed",VLOOKUP($D$3,Calcs!$A$110:$B$122,2,TRUE),VLOOKUP($D$3-(IF((Character!$B$9+W1419)&gt;($D$3+Y1419),(Character!$B$9+W1419)-($D$3+Y1419),0)),Calcs!$A$110:$B$122,2,TRUE)))))</f>
        <v xml:space="preserve"> </v>
      </c>
      <c r="AE1419" s="490"/>
      <c r="AF1419" s="879"/>
      <c r="AG1419" s="491"/>
    </row>
    <row r="1420" spans="1:33" x14ac:dyDescent="0.2">
      <c r="A1420" s="415">
        <f t="shared" si="42"/>
        <v>1565</v>
      </c>
      <c r="B1420" s="419" t="str">
        <f t="shared" si="43"/>
        <v>Winter</v>
      </c>
      <c r="C1420" s="455"/>
      <c r="D1420" s="504"/>
      <c r="E1420" s="455"/>
      <c r="F1420" s="504"/>
      <c r="G1420" s="455"/>
      <c r="H1420" s="504"/>
      <c r="I1420" s="455"/>
      <c r="J1420" s="504"/>
      <c r="L1420" s="472"/>
      <c r="M1420" s="468"/>
      <c r="N1420" s="468"/>
      <c r="O1420" s="468"/>
      <c r="P1420" s="468"/>
      <c r="Q1420" s="473"/>
      <c r="R1420" s="477" t="str">
        <f>IF(AND(COUNTIF('Start Character'!$I$63:$M$77,"Twilight Prone")=1,NOT(ISERROR(FIND("Magical Botch",M1420)))),"Yes",IF(P1420&gt;1,"Yes","No"))</f>
        <v>No</v>
      </c>
      <c r="S1420" s="501"/>
      <c r="T1420" s="478"/>
      <c r="U1420" s="501"/>
      <c r="V1420" s="479" t="str">
        <f>IF(R1420="No","No Twilight",IF(T1420="Yes","Uncomprehended Twilight",IF((Character!$B$14+IF(Character!$B$53="Yes",0,Character!$B$53)+IF(Magic!$C$5="Yes",2,0)+ROUNDUP((Magic!$B$30+IF(Magic!$C$30="Yes",3,0))/5,0)+S1420)&gt;=($D$3+P1420+SUMIF(Character!$I$62:$I$66,"Enigmatic Wisdom",Character!$J$62:$J$66)+Q1420+U1420),"No Twilight","Twilight")))</f>
        <v>No Twilight</v>
      </c>
      <c r="W1420" s="483"/>
      <c r="X1420" s="478"/>
      <c r="Y1420" s="484"/>
      <c r="Z1420" s="478"/>
      <c r="AA1420" s="485" t="str">
        <f>IF(V1420="Uncomprehended Twilight","Failed",IF(OR(ISBLANK(W1420),ISBLANK(Y1420))," ",IF(NOT(ISBLANK(X1420)),"Failed",IF((W1420+Character!$B$9+SUMIF(Character!$I$62:$I$66,"Enigmatic Wisdom",Character!$J$62:$J$66))&gt;=IF(Z1420="Yes",0,(Y1420+D1415)),"Succeeded","Failed"))))</f>
        <v xml:space="preserve"> </v>
      </c>
      <c r="AB1420" s="477" t="str">
        <f>IF(AA1420=" "," ",IF(NOT(ISBLANK(X1420)),VLOOKUP($D$3+X1420,Calcs!$A$110:$C$122,3,TRUE),IF(AA1420="Failed",VLOOKUP($D$3,Calcs!$A$110:$C$122,3,TRUE),VLOOKUP($D$3-(IF((Character!$B$9+W1420)&gt;($D$3+Y1420),(Character!$B$9+W1420)-($D$3+Y1420),0)),Calcs!$A$110:$C$122,3,TRUE))))</f>
        <v xml:space="preserve"> </v>
      </c>
      <c r="AC1420" s="489"/>
      <c r="AD1420" s="489" t="str">
        <f>IF(IF(AA1420=" "," ",IF(NOT(ISBLANK(X1420)),VLOOKUP($D$3+X1420,Calcs!$A$110:$B$122,2,TRUE),IF(AA1420="Failed",VLOOKUP($D$3,Calcs!$A$110:$B$122,2,TRUE),VLOOKUP($D$3-(IF((Character!$B$9+W1420)&gt;($D$3+Y1420),(Character!$B$9+W1420)-($D$3+Y1420),0)),Calcs!$A$110:$B$122,2,TRUE))))=Calcs!$B$120,IF(ISBLANK(AC1420)," ",CONCATENATE(AC1420+7," Years")),IF(AA1420=" "," ",IF(NOT(ISBLANK(X1420)),VLOOKUP($D$3+X1420,Calcs!$A$110:$B$122,2,TRUE),IF(AA1420="Failed",VLOOKUP($D$3,Calcs!$A$110:$B$122,2,TRUE),VLOOKUP($D$3-(IF((Character!$B$9+W1420)&gt;($D$3+Y1420),(Character!$B$9+W1420)-($D$3+Y1420),0)),Calcs!$A$110:$B$122,2,TRUE)))))</f>
        <v xml:space="preserve"> </v>
      </c>
      <c r="AE1420" s="490"/>
      <c r="AF1420" s="879"/>
      <c r="AG1420" s="491"/>
    </row>
    <row r="1421" spans="1:33" x14ac:dyDescent="0.2">
      <c r="A1421" s="415">
        <f t="shared" si="42"/>
        <v>1565</v>
      </c>
      <c r="B1421" s="419" t="str">
        <f t="shared" si="43"/>
        <v>Spring</v>
      </c>
      <c r="C1421" s="455"/>
      <c r="D1421" s="504"/>
      <c r="E1421" s="455"/>
      <c r="F1421" s="504"/>
      <c r="G1421" s="455"/>
      <c r="H1421" s="504"/>
      <c r="I1421" s="455"/>
      <c r="J1421" s="504"/>
      <c r="L1421" s="472"/>
      <c r="M1421" s="468"/>
      <c r="N1421" s="468"/>
      <c r="O1421" s="468"/>
      <c r="P1421" s="468"/>
      <c r="Q1421" s="473"/>
      <c r="R1421" s="477" t="str">
        <f>IF(AND(COUNTIF('Start Character'!$I$63:$M$77,"Twilight Prone")=1,NOT(ISERROR(FIND("Magical Botch",M1421)))),"Yes",IF(P1421&gt;1,"Yes","No"))</f>
        <v>No</v>
      </c>
      <c r="S1421" s="501"/>
      <c r="T1421" s="478"/>
      <c r="U1421" s="501"/>
      <c r="V1421" s="479" t="str">
        <f>IF(R1421="No","No Twilight",IF(T1421="Yes","Uncomprehended Twilight",IF((Character!$B$14+IF(Character!$B$53="Yes",0,Character!$B$53)+IF(Magic!$C$5="Yes",2,0)+ROUNDUP((Magic!$B$30+IF(Magic!$C$30="Yes",3,0))/5,0)+S1421)&gt;=($D$3+P1421+SUMIF(Character!$I$62:$I$66,"Enigmatic Wisdom",Character!$J$62:$J$66)+Q1421+U1421),"No Twilight","Twilight")))</f>
        <v>No Twilight</v>
      </c>
      <c r="W1421" s="483"/>
      <c r="X1421" s="478"/>
      <c r="Y1421" s="484"/>
      <c r="Z1421" s="478"/>
      <c r="AA1421" s="485" t="str">
        <f>IF(V1421="Uncomprehended Twilight","Failed",IF(OR(ISBLANK(W1421),ISBLANK(Y1421))," ",IF(NOT(ISBLANK(X1421)),"Failed",IF((W1421+Character!$B$9+SUMIF(Character!$I$62:$I$66,"Enigmatic Wisdom",Character!$J$62:$J$66))&gt;=IF(Z1421="Yes",0,(Y1421+D1416)),"Succeeded","Failed"))))</f>
        <v xml:space="preserve"> </v>
      </c>
      <c r="AB1421" s="477" t="str">
        <f>IF(AA1421=" "," ",IF(NOT(ISBLANK(X1421)),VLOOKUP($D$3+X1421,Calcs!$A$110:$C$122,3,TRUE),IF(AA1421="Failed",VLOOKUP($D$3,Calcs!$A$110:$C$122,3,TRUE),VLOOKUP($D$3-(IF((Character!$B$9+W1421)&gt;($D$3+Y1421),(Character!$B$9+W1421)-($D$3+Y1421),0)),Calcs!$A$110:$C$122,3,TRUE))))</f>
        <v xml:space="preserve"> </v>
      </c>
      <c r="AC1421" s="489"/>
      <c r="AD1421" s="489" t="str">
        <f>IF(IF(AA1421=" "," ",IF(NOT(ISBLANK(X1421)),VLOOKUP($D$3+X1421,Calcs!$A$110:$B$122,2,TRUE),IF(AA1421="Failed",VLOOKUP($D$3,Calcs!$A$110:$B$122,2,TRUE),VLOOKUP($D$3-(IF((Character!$B$9+W1421)&gt;($D$3+Y1421),(Character!$B$9+W1421)-($D$3+Y1421),0)),Calcs!$A$110:$B$122,2,TRUE))))=Calcs!$B$120,IF(ISBLANK(AC1421)," ",CONCATENATE(AC1421+7," Years")),IF(AA1421=" "," ",IF(NOT(ISBLANK(X1421)),VLOOKUP($D$3+X1421,Calcs!$A$110:$B$122,2,TRUE),IF(AA1421="Failed",VLOOKUP($D$3,Calcs!$A$110:$B$122,2,TRUE),VLOOKUP($D$3-(IF((Character!$B$9+W1421)&gt;($D$3+Y1421),(Character!$B$9+W1421)-($D$3+Y1421),0)),Calcs!$A$110:$B$122,2,TRUE)))))</f>
        <v xml:space="preserve"> </v>
      </c>
      <c r="AE1421" s="490"/>
      <c r="AF1421" s="879"/>
      <c r="AG1421" s="491"/>
    </row>
    <row r="1422" spans="1:33" x14ac:dyDescent="0.2">
      <c r="A1422" s="415">
        <f t="shared" si="42"/>
        <v>1565</v>
      </c>
      <c r="B1422" s="419" t="str">
        <f t="shared" si="43"/>
        <v>Summer</v>
      </c>
      <c r="C1422" s="455"/>
      <c r="D1422" s="504"/>
      <c r="E1422" s="455"/>
      <c r="F1422" s="504"/>
      <c r="G1422" s="455"/>
      <c r="H1422" s="504"/>
      <c r="I1422" s="455"/>
      <c r="J1422" s="504"/>
      <c r="L1422" s="472"/>
      <c r="M1422" s="468"/>
      <c r="N1422" s="468"/>
      <c r="O1422" s="468"/>
      <c r="P1422" s="468"/>
      <c r="Q1422" s="473"/>
      <c r="R1422" s="477" t="str">
        <f>IF(AND(COUNTIF('Start Character'!$I$63:$M$77,"Twilight Prone")=1,NOT(ISERROR(FIND("Magical Botch",M1422)))),"Yes",IF(P1422&gt;1,"Yes","No"))</f>
        <v>No</v>
      </c>
      <c r="S1422" s="501"/>
      <c r="T1422" s="478"/>
      <c r="U1422" s="501"/>
      <c r="V1422" s="479" t="str">
        <f>IF(R1422="No","No Twilight",IF(T1422="Yes","Uncomprehended Twilight",IF((Character!$B$14+IF(Character!$B$53="Yes",0,Character!$B$53)+IF(Magic!$C$5="Yes",2,0)+ROUNDUP((Magic!$B$30+IF(Magic!$C$30="Yes",3,0))/5,0)+S1422)&gt;=($D$3+P1422+SUMIF(Character!$I$62:$I$66,"Enigmatic Wisdom",Character!$J$62:$J$66)+Q1422+U1422),"No Twilight","Twilight")))</f>
        <v>No Twilight</v>
      </c>
      <c r="W1422" s="483"/>
      <c r="X1422" s="478"/>
      <c r="Y1422" s="484"/>
      <c r="Z1422" s="478"/>
      <c r="AA1422" s="485" t="str">
        <f>IF(V1422="Uncomprehended Twilight","Failed",IF(OR(ISBLANK(W1422),ISBLANK(Y1422))," ",IF(NOT(ISBLANK(X1422)),"Failed",IF((W1422+Character!$B$9+SUMIF(Character!$I$62:$I$66,"Enigmatic Wisdom",Character!$J$62:$J$66))&gt;=IF(Z1422="Yes",0,(Y1422+D1417)),"Succeeded","Failed"))))</f>
        <v xml:space="preserve"> </v>
      </c>
      <c r="AB1422" s="477" t="str">
        <f>IF(AA1422=" "," ",IF(NOT(ISBLANK(X1422)),VLOOKUP($D$3+X1422,Calcs!$A$110:$C$122,3,TRUE),IF(AA1422="Failed",VLOOKUP($D$3,Calcs!$A$110:$C$122,3,TRUE),VLOOKUP($D$3-(IF((Character!$B$9+W1422)&gt;($D$3+Y1422),(Character!$B$9+W1422)-($D$3+Y1422),0)),Calcs!$A$110:$C$122,3,TRUE))))</f>
        <v xml:space="preserve"> </v>
      </c>
      <c r="AC1422" s="489"/>
      <c r="AD1422" s="489" t="str">
        <f>IF(IF(AA1422=" "," ",IF(NOT(ISBLANK(X1422)),VLOOKUP($D$3+X1422,Calcs!$A$110:$B$122,2,TRUE),IF(AA1422="Failed",VLOOKUP($D$3,Calcs!$A$110:$B$122,2,TRUE),VLOOKUP($D$3-(IF((Character!$B$9+W1422)&gt;($D$3+Y1422),(Character!$B$9+W1422)-($D$3+Y1422),0)),Calcs!$A$110:$B$122,2,TRUE))))=Calcs!$B$120,IF(ISBLANK(AC1422)," ",CONCATENATE(AC1422+7," Years")),IF(AA1422=" "," ",IF(NOT(ISBLANK(X1422)),VLOOKUP($D$3+X1422,Calcs!$A$110:$B$122,2,TRUE),IF(AA1422="Failed",VLOOKUP($D$3,Calcs!$A$110:$B$122,2,TRUE),VLOOKUP($D$3-(IF((Character!$B$9+W1422)&gt;($D$3+Y1422),(Character!$B$9+W1422)-($D$3+Y1422),0)),Calcs!$A$110:$B$122,2,TRUE)))))</f>
        <v xml:space="preserve"> </v>
      </c>
      <c r="AE1422" s="490"/>
      <c r="AF1422" s="879"/>
      <c r="AG1422" s="491"/>
    </row>
    <row r="1423" spans="1:33" x14ac:dyDescent="0.2">
      <c r="A1423" s="415">
        <f t="shared" si="42"/>
        <v>1565</v>
      </c>
      <c r="B1423" s="419" t="str">
        <f t="shared" si="43"/>
        <v>Autumn</v>
      </c>
      <c r="C1423" s="455"/>
      <c r="D1423" s="504"/>
      <c r="E1423" s="455"/>
      <c r="F1423" s="504"/>
      <c r="G1423" s="455"/>
      <c r="H1423" s="504"/>
      <c r="I1423" s="455"/>
      <c r="J1423" s="504"/>
      <c r="L1423" s="472"/>
      <c r="M1423" s="468"/>
      <c r="N1423" s="468"/>
      <c r="O1423" s="468"/>
      <c r="P1423" s="468"/>
      <c r="Q1423" s="473"/>
      <c r="R1423" s="477" t="str">
        <f>IF(AND(COUNTIF('Start Character'!$I$63:$M$77,"Twilight Prone")=1,NOT(ISERROR(FIND("Magical Botch",M1423)))),"Yes",IF(P1423&gt;1,"Yes","No"))</f>
        <v>No</v>
      </c>
      <c r="S1423" s="501"/>
      <c r="T1423" s="478"/>
      <c r="U1423" s="501"/>
      <c r="V1423" s="479" t="str">
        <f>IF(R1423="No","No Twilight",IF(T1423="Yes","Uncomprehended Twilight",IF((Character!$B$14+IF(Character!$B$53="Yes",0,Character!$B$53)+IF(Magic!$C$5="Yes",2,0)+ROUNDUP((Magic!$B$30+IF(Magic!$C$30="Yes",3,0))/5,0)+S1423)&gt;=($D$3+P1423+SUMIF(Character!$I$62:$I$66,"Enigmatic Wisdom",Character!$J$62:$J$66)+Q1423+U1423),"No Twilight","Twilight")))</f>
        <v>No Twilight</v>
      </c>
      <c r="W1423" s="483"/>
      <c r="X1423" s="478"/>
      <c r="Y1423" s="484"/>
      <c r="Z1423" s="478"/>
      <c r="AA1423" s="485" t="str">
        <f>IF(V1423="Uncomprehended Twilight","Failed",IF(OR(ISBLANK(W1423),ISBLANK(Y1423))," ",IF(NOT(ISBLANK(X1423)),"Failed",IF((W1423+Character!$B$9+SUMIF(Character!$I$62:$I$66,"Enigmatic Wisdom",Character!$J$62:$J$66))&gt;=IF(Z1423="Yes",0,(Y1423+D1418)),"Succeeded","Failed"))))</f>
        <v xml:space="preserve"> </v>
      </c>
      <c r="AB1423" s="477" t="str">
        <f>IF(AA1423=" "," ",IF(NOT(ISBLANK(X1423)),VLOOKUP($D$3+X1423,Calcs!$A$110:$C$122,3,TRUE),IF(AA1423="Failed",VLOOKUP($D$3,Calcs!$A$110:$C$122,3,TRUE),VLOOKUP($D$3-(IF((Character!$B$9+W1423)&gt;($D$3+Y1423),(Character!$B$9+W1423)-($D$3+Y1423),0)),Calcs!$A$110:$C$122,3,TRUE))))</f>
        <v xml:space="preserve"> </v>
      </c>
      <c r="AC1423" s="489"/>
      <c r="AD1423" s="489" t="str">
        <f>IF(IF(AA1423=" "," ",IF(NOT(ISBLANK(X1423)),VLOOKUP($D$3+X1423,Calcs!$A$110:$B$122,2,TRUE),IF(AA1423="Failed",VLOOKUP($D$3,Calcs!$A$110:$B$122,2,TRUE),VLOOKUP($D$3-(IF((Character!$B$9+W1423)&gt;($D$3+Y1423),(Character!$B$9+W1423)-($D$3+Y1423),0)),Calcs!$A$110:$B$122,2,TRUE))))=Calcs!$B$120,IF(ISBLANK(AC1423)," ",CONCATENATE(AC1423+7," Years")),IF(AA1423=" "," ",IF(NOT(ISBLANK(X1423)),VLOOKUP($D$3+X1423,Calcs!$A$110:$B$122,2,TRUE),IF(AA1423="Failed",VLOOKUP($D$3,Calcs!$A$110:$B$122,2,TRUE),VLOOKUP($D$3-(IF((Character!$B$9+W1423)&gt;($D$3+Y1423),(Character!$B$9+W1423)-($D$3+Y1423),0)),Calcs!$A$110:$B$122,2,TRUE)))))</f>
        <v xml:space="preserve"> </v>
      </c>
      <c r="AE1423" s="490"/>
      <c r="AF1423" s="879"/>
      <c r="AG1423" s="491"/>
    </row>
    <row r="1424" spans="1:33" x14ac:dyDescent="0.2">
      <c r="A1424" s="415">
        <f t="shared" si="42"/>
        <v>1566</v>
      </c>
      <c r="B1424" s="419" t="str">
        <f t="shared" si="43"/>
        <v>Winter</v>
      </c>
      <c r="C1424" s="455"/>
      <c r="D1424" s="504"/>
      <c r="E1424" s="455"/>
      <c r="F1424" s="504"/>
      <c r="G1424" s="455"/>
      <c r="H1424" s="504"/>
      <c r="I1424" s="455"/>
      <c r="J1424" s="504"/>
      <c r="L1424" s="472"/>
      <c r="M1424" s="468"/>
      <c r="N1424" s="468"/>
      <c r="O1424" s="468"/>
      <c r="P1424" s="468"/>
      <c r="Q1424" s="473"/>
      <c r="R1424" s="477" t="str">
        <f>IF(AND(COUNTIF('Start Character'!$I$63:$M$77,"Twilight Prone")=1,NOT(ISERROR(FIND("Magical Botch",M1424)))),"Yes",IF(P1424&gt;1,"Yes","No"))</f>
        <v>No</v>
      </c>
      <c r="S1424" s="501"/>
      <c r="T1424" s="478"/>
      <c r="U1424" s="501"/>
      <c r="V1424" s="479" t="str">
        <f>IF(R1424="No","No Twilight",IF(T1424="Yes","Uncomprehended Twilight",IF((Character!$B$14+IF(Character!$B$53="Yes",0,Character!$B$53)+IF(Magic!$C$5="Yes",2,0)+ROUNDUP((Magic!$B$30+IF(Magic!$C$30="Yes",3,0))/5,0)+S1424)&gt;=($D$3+P1424+SUMIF(Character!$I$62:$I$66,"Enigmatic Wisdom",Character!$J$62:$J$66)+Q1424+U1424),"No Twilight","Twilight")))</f>
        <v>No Twilight</v>
      </c>
      <c r="W1424" s="483"/>
      <c r="X1424" s="478"/>
      <c r="Y1424" s="484"/>
      <c r="Z1424" s="478"/>
      <c r="AA1424" s="485" t="str">
        <f>IF(V1424="Uncomprehended Twilight","Failed",IF(OR(ISBLANK(W1424),ISBLANK(Y1424))," ",IF(NOT(ISBLANK(X1424)),"Failed",IF((W1424+Character!$B$9+SUMIF(Character!$I$62:$I$66,"Enigmatic Wisdom",Character!$J$62:$J$66))&gt;=IF(Z1424="Yes",0,(Y1424+D1419)),"Succeeded","Failed"))))</f>
        <v xml:space="preserve"> </v>
      </c>
      <c r="AB1424" s="477" t="str">
        <f>IF(AA1424=" "," ",IF(NOT(ISBLANK(X1424)),VLOOKUP($D$3+X1424,Calcs!$A$110:$C$122,3,TRUE),IF(AA1424="Failed",VLOOKUP($D$3,Calcs!$A$110:$C$122,3,TRUE),VLOOKUP($D$3-(IF((Character!$B$9+W1424)&gt;($D$3+Y1424),(Character!$B$9+W1424)-($D$3+Y1424),0)),Calcs!$A$110:$C$122,3,TRUE))))</f>
        <v xml:space="preserve"> </v>
      </c>
      <c r="AC1424" s="489"/>
      <c r="AD1424" s="489" t="str">
        <f>IF(IF(AA1424=" "," ",IF(NOT(ISBLANK(X1424)),VLOOKUP($D$3+X1424,Calcs!$A$110:$B$122,2,TRUE),IF(AA1424="Failed",VLOOKUP($D$3,Calcs!$A$110:$B$122,2,TRUE),VLOOKUP($D$3-(IF((Character!$B$9+W1424)&gt;($D$3+Y1424),(Character!$B$9+W1424)-($D$3+Y1424),0)),Calcs!$A$110:$B$122,2,TRUE))))=Calcs!$B$120,IF(ISBLANK(AC1424)," ",CONCATENATE(AC1424+7," Years")),IF(AA1424=" "," ",IF(NOT(ISBLANK(X1424)),VLOOKUP($D$3+X1424,Calcs!$A$110:$B$122,2,TRUE),IF(AA1424="Failed",VLOOKUP($D$3,Calcs!$A$110:$B$122,2,TRUE),VLOOKUP($D$3-(IF((Character!$B$9+W1424)&gt;($D$3+Y1424),(Character!$B$9+W1424)-($D$3+Y1424),0)),Calcs!$A$110:$B$122,2,TRUE)))))</f>
        <v xml:space="preserve"> </v>
      </c>
      <c r="AE1424" s="490"/>
      <c r="AF1424" s="879"/>
      <c r="AG1424" s="491"/>
    </row>
    <row r="1425" spans="1:33" x14ac:dyDescent="0.2">
      <c r="A1425" s="415">
        <f t="shared" si="42"/>
        <v>1566</v>
      </c>
      <c r="B1425" s="419" t="str">
        <f t="shared" si="43"/>
        <v>Spring</v>
      </c>
      <c r="C1425" s="455"/>
      <c r="D1425" s="504"/>
      <c r="E1425" s="455"/>
      <c r="F1425" s="504"/>
      <c r="G1425" s="455"/>
      <c r="H1425" s="504"/>
      <c r="I1425" s="455"/>
      <c r="J1425" s="504"/>
      <c r="L1425" s="472"/>
      <c r="M1425" s="468"/>
      <c r="N1425" s="468"/>
      <c r="O1425" s="468"/>
      <c r="P1425" s="468"/>
      <c r="Q1425" s="473"/>
      <c r="R1425" s="477" t="str">
        <f>IF(AND(COUNTIF('Start Character'!$I$63:$M$77,"Twilight Prone")=1,NOT(ISERROR(FIND("Magical Botch",M1425)))),"Yes",IF(P1425&gt;1,"Yes","No"))</f>
        <v>No</v>
      </c>
      <c r="S1425" s="501"/>
      <c r="T1425" s="478"/>
      <c r="U1425" s="501"/>
      <c r="V1425" s="479" t="str">
        <f>IF(R1425="No","No Twilight",IF(T1425="Yes","Uncomprehended Twilight",IF((Character!$B$14+IF(Character!$B$53="Yes",0,Character!$B$53)+IF(Magic!$C$5="Yes",2,0)+ROUNDUP((Magic!$B$30+IF(Magic!$C$30="Yes",3,0))/5,0)+S1425)&gt;=($D$3+P1425+SUMIF(Character!$I$62:$I$66,"Enigmatic Wisdom",Character!$J$62:$J$66)+Q1425+U1425),"No Twilight","Twilight")))</f>
        <v>No Twilight</v>
      </c>
      <c r="W1425" s="483"/>
      <c r="X1425" s="478"/>
      <c r="Y1425" s="484"/>
      <c r="Z1425" s="478"/>
      <c r="AA1425" s="485" t="str">
        <f>IF(V1425="Uncomprehended Twilight","Failed",IF(OR(ISBLANK(W1425),ISBLANK(Y1425))," ",IF(NOT(ISBLANK(X1425)),"Failed",IF((W1425+Character!$B$9+SUMIF(Character!$I$62:$I$66,"Enigmatic Wisdom",Character!$J$62:$J$66))&gt;=IF(Z1425="Yes",0,(Y1425+D1420)),"Succeeded","Failed"))))</f>
        <v xml:space="preserve"> </v>
      </c>
      <c r="AB1425" s="477" t="str">
        <f>IF(AA1425=" "," ",IF(NOT(ISBLANK(X1425)),VLOOKUP($D$3+X1425,Calcs!$A$110:$C$122,3,TRUE),IF(AA1425="Failed",VLOOKUP($D$3,Calcs!$A$110:$C$122,3,TRUE),VLOOKUP($D$3-(IF((Character!$B$9+W1425)&gt;($D$3+Y1425),(Character!$B$9+W1425)-($D$3+Y1425),0)),Calcs!$A$110:$C$122,3,TRUE))))</f>
        <v xml:space="preserve"> </v>
      </c>
      <c r="AC1425" s="489"/>
      <c r="AD1425" s="489" t="str">
        <f>IF(IF(AA1425=" "," ",IF(NOT(ISBLANK(X1425)),VLOOKUP($D$3+X1425,Calcs!$A$110:$B$122,2,TRUE),IF(AA1425="Failed",VLOOKUP($D$3,Calcs!$A$110:$B$122,2,TRUE),VLOOKUP($D$3-(IF((Character!$B$9+W1425)&gt;($D$3+Y1425),(Character!$B$9+W1425)-($D$3+Y1425),0)),Calcs!$A$110:$B$122,2,TRUE))))=Calcs!$B$120,IF(ISBLANK(AC1425)," ",CONCATENATE(AC1425+7," Years")),IF(AA1425=" "," ",IF(NOT(ISBLANK(X1425)),VLOOKUP($D$3+X1425,Calcs!$A$110:$B$122,2,TRUE),IF(AA1425="Failed",VLOOKUP($D$3,Calcs!$A$110:$B$122,2,TRUE),VLOOKUP($D$3-(IF((Character!$B$9+W1425)&gt;($D$3+Y1425),(Character!$B$9+W1425)-($D$3+Y1425),0)),Calcs!$A$110:$B$122,2,TRUE)))))</f>
        <v xml:space="preserve"> </v>
      </c>
      <c r="AE1425" s="490"/>
      <c r="AF1425" s="879"/>
      <c r="AG1425" s="491"/>
    </row>
    <row r="1426" spans="1:33" x14ac:dyDescent="0.2">
      <c r="A1426" s="415">
        <f t="shared" si="42"/>
        <v>1566</v>
      </c>
      <c r="B1426" s="419" t="str">
        <f t="shared" si="43"/>
        <v>Summer</v>
      </c>
      <c r="C1426" s="455"/>
      <c r="D1426" s="504"/>
      <c r="E1426" s="455"/>
      <c r="F1426" s="504"/>
      <c r="G1426" s="455"/>
      <c r="H1426" s="504"/>
      <c r="I1426" s="455"/>
      <c r="J1426" s="504"/>
      <c r="L1426" s="472"/>
      <c r="M1426" s="468"/>
      <c r="N1426" s="468"/>
      <c r="O1426" s="468"/>
      <c r="P1426" s="468"/>
      <c r="Q1426" s="473"/>
      <c r="R1426" s="477" t="str">
        <f>IF(AND(COUNTIF('Start Character'!$I$63:$M$77,"Twilight Prone")=1,NOT(ISERROR(FIND("Magical Botch",M1426)))),"Yes",IF(P1426&gt;1,"Yes","No"))</f>
        <v>No</v>
      </c>
      <c r="S1426" s="501"/>
      <c r="T1426" s="478"/>
      <c r="U1426" s="501"/>
      <c r="V1426" s="479" t="str">
        <f>IF(R1426="No","No Twilight",IF(T1426="Yes","Uncomprehended Twilight",IF((Character!$B$14+IF(Character!$B$53="Yes",0,Character!$B$53)+IF(Magic!$C$5="Yes",2,0)+ROUNDUP((Magic!$B$30+IF(Magic!$C$30="Yes",3,0))/5,0)+S1426)&gt;=($D$3+P1426+SUMIF(Character!$I$62:$I$66,"Enigmatic Wisdom",Character!$J$62:$J$66)+Q1426+U1426),"No Twilight","Twilight")))</f>
        <v>No Twilight</v>
      </c>
      <c r="W1426" s="483"/>
      <c r="X1426" s="478"/>
      <c r="Y1426" s="484"/>
      <c r="Z1426" s="478"/>
      <c r="AA1426" s="485" t="str">
        <f>IF(V1426="Uncomprehended Twilight","Failed",IF(OR(ISBLANK(W1426),ISBLANK(Y1426))," ",IF(NOT(ISBLANK(X1426)),"Failed",IF((W1426+Character!$B$9+SUMIF(Character!$I$62:$I$66,"Enigmatic Wisdom",Character!$J$62:$J$66))&gt;=IF(Z1426="Yes",0,(Y1426+D1421)),"Succeeded","Failed"))))</f>
        <v xml:space="preserve"> </v>
      </c>
      <c r="AB1426" s="477" t="str">
        <f>IF(AA1426=" "," ",IF(NOT(ISBLANK(X1426)),VLOOKUP($D$3+X1426,Calcs!$A$110:$C$122,3,TRUE),IF(AA1426="Failed",VLOOKUP($D$3,Calcs!$A$110:$C$122,3,TRUE),VLOOKUP($D$3-(IF((Character!$B$9+W1426)&gt;($D$3+Y1426),(Character!$B$9+W1426)-($D$3+Y1426),0)),Calcs!$A$110:$C$122,3,TRUE))))</f>
        <v xml:space="preserve"> </v>
      </c>
      <c r="AC1426" s="489"/>
      <c r="AD1426" s="489" t="str">
        <f>IF(IF(AA1426=" "," ",IF(NOT(ISBLANK(X1426)),VLOOKUP($D$3+X1426,Calcs!$A$110:$B$122,2,TRUE),IF(AA1426="Failed",VLOOKUP($D$3,Calcs!$A$110:$B$122,2,TRUE),VLOOKUP($D$3-(IF((Character!$B$9+W1426)&gt;($D$3+Y1426),(Character!$B$9+W1426)-($D$3+Y1426),0)),Calcs!$A$110:$B$122,2,TRUE))))=Calcs!$B$120,IF(ISBLANK(AC1426)," ",CONCATENATE(AC1426+7," Years")),IF(AA1426=" "," ",IF(NOT(ISBLANK(X1426)),VLOOKUP($D$3+X1426,Calcs!$A$110:$B$122,2,TRUE),IF(AA1426="Failed",VLOOKUP($D$3,Calcs!$A$110:$B$122,2,TRUE),VLOOKUP($D$3-(IF((Character!$B$9+W1426)&gt;($D$3+Y1426),(Character!$B$9+W1426)-($D$3+Y1426),0)),Calcs!$A$110:$B$122,2,TRUE)))))</f>
        <v xml:space="preserve"> </v>
      </c>
      <c r="AE1426" s="490"/>
      <c r="AF1426" s="879"/>
      <c r="AG1426" s="491"/>
    </row>
    <row r="1427" spans="1:33" x14ac:dyDescent="0.2">
      <c r="A1427" s="415">
        <f t="shared" si="42"/>
        <v>1566</v>
      </c>
      <c r="B1427" s="419" t="str">
        <f t="shared" si="43"/>
        <v>Autumn</v>
      </c>
      <c r="C1427" s="455"/>
      <c r="D1427" s="504"/>
      <c r="E1427" s="455"/>
      <c r="F1427" s="504"/>
      <c r="G1427" s="455"/>
      <c r="H1427" s="504"/>
      <c r="I1427" s="455"/>
      <c r="J1427" s="504"/>
      <c r="L1427" s="472"/>
      <c r="M1427" s="468"/>
      <c r="N1427" s="468"/>
      <c r="O1427" s="468"/>
      <c r="P1427" s="468"/>
      <c r="Q1427" s="473"/>
      <c r="R1427" s="477" t="str">
        <f>IF(AND(COUNTIF('Start Character'!$I$63:$M$77,"Twilight Prone")=1,NOT(ISERROR(FIND("Magical Botch",M1427)))),"Yes",IF(P1427&gt;1,"Yes","No"))</f>
        <v>No</v>
      </c>
      <c r="S1427" s="501"/>
      <c r="T1427" s="478"/>
      <c r="U1427" s="501"/>
      <c r="V1427" s="479" t="str">
        <f>IF(R1427="No","No Twilight",IF(T1427="Yes","Uncomprehended Twilight",IF((Character!$B$14+IF(Character!$B$53="Yes",0,Character!$B$53)+IF(Magic!$C$5="Yes",2,0)+ROUNDUP((Magic!$B$30+IF(Magic!$C$30="Yes",3,0))/5,0)+S1427)&gt;=($D$3+P1427+SUMIF(Character!$I$62:$I$66,"Enigmatic Wisdom",Character!$J$62:$J$66)+Q1427+U1427),"No Twilight","Twilight")))</f>
        <v>No Twilight</v>
      </c>
      <c r="W1427" s="483"/>
      <c r="X1427" s="478"/>
      <c r="Y1427" s="484"/>
      <c r="Z1427" s="478"/>
      <c r="AA1427" s="485" t="str">
        <f>IF(V1427="Uncomprehended Twilight","Failed",IF(OR(ISBLANK(W1427),ISBLANK(Y1427))," ",IF(NOT(ISBLANK(X1427)),"Failed",IF((W1427+Character!$B$9+SUMIF(Character!$I$62:$I$66,"Enigmatic Wisdom",Character!$J$62:$J$66))&gt;=IF(Z1427="Yes",0,(Y1427+D1422)),"Succeeded","Failed"))))</f>
        <v xml:space="preserve"> </v>
      </c>
      <c r="AB1427" s="477" t="str">
        <f>IF(AA1427=" "," ",IF(NOT(ISBLANK(X1427)),VLOOKUP($D$3+X1427,Calcs!$A$110:$C$122,3,TRUE),IF(AA1427="Failed",VLOOKUP($D$3,Calcs!$A$110:$C$122,3,TRUE),VLOOKUP($D$3-(IF((Character!$B$9+W1427)&gt;($D$3+Y1427),(Character!$B$9+W1427)-($D$3+Y1427),0)),Calcs!$A$110:$C$122,3,TRUE))))</f>
        <v xml:space="preserve"> </v>
      </c>
      <c r="AC1427" s="489"/>
      <c r="AD1427" s="489" t="str">
        <f>IF(IF(AA1427=" "," ",IF(NOT(ISBLANK(X1427)),VLOOKUP($D$3+X1427,Calcs!$A$110:$B$122,2,TRUE),IF(AA1427="Failed",VLOOKUP($D$3,Calcs!$A$110:$B$122,2,TRUE),VLOOKUP($D$3-(IF((Character!$B$9+W1427)&gt;($D$3+Y1427),(Character!$B$9+W1427)-($D$3+Y1427),0)),Calcs!$A$110:$B$122,2,TRUE))))=Calcs!$B$120,IF(ISBLANK(AC1427)," ",CONCATENATE(AC1427+7," Years")),IF(AA1427=" "," ",IF(NOT(ISBLANK(X1427)),VLOOKUP($D$3+X1427,Calcs!$A$110:$B$122,2,TRUE),IF(AA1427="Failed",VLOOKUP($D$3,Calcs!$A$110:$B$122,2,TRUE),VLOOKUP($D$3-(IF((Character!$B$9+W1427)&gt;($D$3+Y1427),(Character!$B$9+W1427)-($D$3+Y1427),0)),Calcs!$A$110:$B$122,2,TRUE)))))</f>
        <v xml:space="preserve"> </v>
      </c>
      <c r="AE1427" s="490"/>
      <c r="AF1427" s="879"/>
      <c r="AG1427" s="491"/>
    </row>
    <row r="1428" spans="1:33" x14ac:dyDescent="0.2">
      <c r="A1428" s="415">
        <f t="shared" si="42"/>
        <v>1567</v>
      </c>
      <c r="B1428" s="419" t="str">
        <f t="shared" si="43"/>
        <v>Winter</v>
      </c>
      <c r="C1428" s="455"/>
      <c r="D1428" s="504"/>
      <c r="E1428" s="455"/>
      <c r="F1428" s="504"/>
      <c r="G1428" s="455"/>
      <c r="H1428" s="504"/>
      <c r="I1428" s="455"/>
      <c r="J1428" s="504"/>
      <c r="L1428" s="472"/>
      <c r="M1428" s="468"/>
      <c r="N1428" s="468"/>
      <c r="O1428" s="468"/>
      <c r="P1428" s="468"/>
      <c r="Q1428" s="473"/>
      <c r="R1428" s="477" t="str">
        <f>IF(AND(COUNTIF('Start Character'!$I$63:$M$77,"Twilight Prone")=1,NOT(ISERROR(FIND("Magical Botch",M1428)))),"Yes",IF(P1428&gt;1,"Yes","No"))</f>
        <v>No</v>
      </c>
      <c r="S1428" s="501"/>
      <c r="T1428" s="478"/>
      <c r="U1428" s="501"/>
      <c r="V1428" s="479" t="str">
        <f>IF(R1428="No","No Twilight",IF(T1428="Yes","Uncomprehended Twilight",IF((Character!$B$14+IF(Character!$B$53="Yes",0,Character!$B$53)+IF(Magic!$C$5="Yes",2,0)+ROUNDUP((Magic!$B$30+IF(Magic!$C$30="Yes",3,0))/5,0)+S1428)&gt;=($D$3+P1428+SUMIF(Character!$I$62:$I$66,"Enigmatic Wisdom",Character!$J$62:$J$66)+Q1428+U1428),"No Twilight","Twilight")))</f>
        <v>No Twilight</v>
      </c>
      <c r="W1428" s="483"/>
      <c r="X1428" s="478"/>
      <c r="Y1428" s="484"/>
      <c r="Z1428" s="478"/>
      <c r="AA1428" s="485" t="str">
        <f>IF(V1428="Uncomprehended Twilight","Failed",IF(OR(ISBLANK(W1428),ISBLANK(Y1428))," ",IF(NOT(ISBLANK(X1428)),"Failed",IF((W1428+Character!$B$9+SUMIF(Character!$I$62:$I$66,"Enigmatic Wisdom",Character!$J$62:$J$66))&gt;=IF(Z1428="Yes",0,(Y1428+D1423)),"Succeeded","Failed"))))</f>
        <v xml:space="preserve"> </v>
      </c>
      <c r="AB1428" s="477" t="str">
        <f>IF(AA1428=" "," ",IF(NOT(ISBLANK(X1428)),VLOOKUP($D$3+X1428,Calcs!$A$110:$C$122,3,TRUE),IF(AA1428="Failed",VLOOKUP($D$3,Calcs!$A$110:$C$122,3,TRUE),VLOOKUP($D$3-(IF((Character!$B$9+W1428)&gt;($D$3+Y1428),(Character!$B$9+W1428)-($D$3+Y1428),0)),Calcs!$A$110:$C$122,3,TRUE))))</f>
        <v xml:space="preserve"> </v>
      </c>
      <c r="AC1428" s="489"/>
      <c r="AD1428" s="489" t="str">
        <f>IF(IF(AA1428=" "," ",IF(NOT(ISBLANK(X1428)),VLOOKUP($D$3+X1428,Calcs!$A$110:$B$122,2,TRUE),IF(AA1428="Failed",VLOOKUP($D$3,Calcs!$A$110:$B$122,2,TRUE),VLOOKUP($D$3-(IF((Character!$B$9+W1428)&gt;($D$3+Y1428),(Character!$B$9+W1428)-($D$3+Y1428),0)),Calcs!$A$110:$B$122,2,TRUE))))=Calcs!$B$120,IF(ISBLANK(AC1428)," ",CONCATENATE(AC1428+7," Years")),IF(AA1428=" "," ",IF(NOT(ISBLANK(X1428)),VLOOKUP($D$3+X1428,Calcs!$A$110:$B$122,2,TRUE),IF(AA1428="Failed",VLOOKUP($D$3,Calcs!$A$110:$B$122,2,TRUE),VLOOKUP($D$3-(IF((Character!$B$9+W1428)&gt;($D$3+Y1428),(Character!$B$9+W1428)-($D$3+Y1428),0)),Calcs!$A$110:$B$122,2,TRUE)))))</f>
        <v xml:space="preserve"> </v>
      </c>
      <c r="AE1428" s="490"/>
      <c r="AF1428" s="879"/>
      <c r="AG1428" s="491"/>
    </row>
    <row r="1429" spans="1:33" x14ac:dyDescent="0.2">
      <c r="A1429" s="415">
        <f t="shared" si="42"/>
        <v>1567</v>
      </c>
      <c r="B1429" s="419" t="str">
        <f t="shared" si="43"/>
        <v>Spring</v>
      </c>
      <c r="C1429" s="455"/>
      <c r="D1429" s="504"/>
      <c r="E1429" s="455"/>
      <c r="F1429" s="504"/>
      <c r="G1429" s="455"/>
      <c r="H1429" s="504"/>
      <c r="I1429" s="455"/>
      <c r="J1429" s="504"/>
      <c r="L1429" s="472"/>
      <c r="M1429" s="468"/>
      <c r="N1429" s="468"/>
      <c r="O1429" s="468"/>
      <c r="P1429" s="468"/>
      <c r="Q1429" s="473"/>
      <c r="R1429" s="477" t="str">
        <f>IF(AND(COUNTIF('Start Character'!$I$63:$M$77,"Twilight Prone")=1,NOT(ISERROR(FIND("Magical Botch",M1429)))),"Yes",IF(P1429&gt;1,"Yes","No"))</f>
        <v>No</v>
      </c>
      <c r="S1429" s="501"/>
      <c r="T1429" s="478"/>
      <c r="U1429" s="501"/>
      <c r="V1429" s="479" t="str">
        <f>IF(R1429="No","No Twilight",IF(T1429="Yes","Uncomprehended Twilight",IF((Character!$B$14+IF(Character!$B$53="Yes",0,Character!$B$53)+IF(Magic!$C$5="Yes",2,0)+ROUNDUP((Magic!$B$30+IF(Magic!$C$30="Yes",3,0))/5,0)+S1429)&gt;=($D$3+P1429+SUMIF(Character!$I$62:$I$66,"Enigmatic Wisdom",Character!$J$62:$J$66)+Q1429+U1429),"No Twilight","Twilight")))</f>
        <v>No Twilight</v>
      </c>
      <c r="W1429" s="483"/>
      <c r="X1429" s="478"/>
      <c r="Y1429" s="484"/>
      <c r="Z1429" s="478"/>
      <c r="AA1429" s="485" t="str">
        <f>IF(V1429="Uncomprehended Twilight","Failed",IF(OR(ISBLANK(W1429),ISBLANK(Y1429))," ",IF(NOT(ISBLANK(X1429)),"Failed",IF((W1429+Character!$B$9+SUMIF(Character!$I$62:$I$66,"Enigmatic Wisdom",Character!$J$62:$J$66))&gt;=IF(Z1429="Yes",0,(Y1429+D1424)),"Succeeded","Failed"))))</f>
        <v xml:space="preserve"> </v>
      </c>
      <c r="AB1429" s="477" t="str">
        <f>IF(AA1429=" "," ",IF(NOT(ISBLANK(X1429)),VLOOKUP($D$3+X1429,Calcs!$A$110:$C$122,3,TRUE),IF(AA1429="Failed",VLOOKUP($D$3,Calcs!$A$110:$C$122,3,TRUE),VLOOKUP($D$3-(IF((Character!$B$9+W1429)&gt;($D$3+Y1429),(Character!$B$9+W1429)-($D$3+Y1429),0)),Calcs!$A$110:$C$122,3,TRUE))))</f>
        <v xml:space="preserve"> </v>
      </c>
      <c r="AC1429" s="489"/>
      <c r="AD1429" s="489" t="str">
        <f>IF(IF(AA1429=" "," ",IF(NOT(ISBLANK(X1429)),VLOOKUP($D$3+X1429,Calcs!$A$110:$B$122,2,TRUE),IF(AA1429="Failed",VLOOKUP($D$3,Calcs!$A$110:$B$122,2,TRUE),VLOOKUP($D$3-(IF((Character!$B$9+W1429)&gt;($D$3+Y1429),(Character!$B$9+W1429)-($D$3+Y1429),0)),Calcs!$A$110:$B$122,2,TRUE))))=Calcs!$B$120,IF(ISBLANK(AC1429)," ",CONCATENATE(AC1429+7," Years")),IF(AA1429=" "," ",IF(NOT(ISBLANK(X1429)),VLOOKUP($D$3+X1429,Calcs!$A$110:$B$122,2,TRUE),IF(AA1429="Failed",VLOOKUP($D$3,Calcs!$A$110:$B$122,2,TRUE),VLOOKUP($D$3-(IF((Character!$B$9+W1429)&gt;($D$3+Y1429),(Character!$B$9+W1429)-($D$3+Y1429),0)),Calcs!$A$110:$B$122,2,TRUE)))))</f>
        <v xml:space="preserve"> </v>
      </c>
      <c r="AE1429" s="490"/>
      <c r="AF1429" s="879"/>
      <c r="AG1429" s="491"/>
    </row>
    <row r="1430" spans="1:33" x14ac:dyDescent="0.2">
      <c r="A1430" s="415">
        <f t="shared" si="42"/>
        <v>1567</v>
      </c>
      <c r="B1430" s="419" t="str">
        <f t="shared" si="43"/>
        <v>Summer</v>
      </c>
      <c r="C1430" s="455"/>
      <c r="D1430" s="504"/>
      <c r="E1430" s="455"/>
      <c r="F1430" s="504"/>
      <c r="G1430" s="455"/>
      <c r="H1430" s="504"/>
      <c r="I1430" s="455"/>
      <c r="J1430" s="504"/>
      <c r="L1430" s="472"/>
      <c r="M1430" s="468"/>
      <c r="N1430" s="468"/>
      <c r="O1430" s="468"/>
      <c r="P1430" s="468"/>
      <c r="Q1430" s="473"/>
      <c r="R1430" s="477" t="str">
        <f>IF(AND(COUNTIF('Start Character'!$I$63:$M$77,"Twilight Prone")=1,NOT(ISERROR(FIND("Magical Botch",M1430)))),"Yes",IF(P1430&gt;1,"Yes","No"))</f>
        <v>No</v>
      </c>
      <c r="S1430" s="501"/>
      <c r="T1430" s="478"/>
      <c r="U1430" s="501"/>
      <c r="V1430" s="479" t="str">
        <f>IF(R1430="No","No Twilight",IF(T1430="Yes","Uncomprehended Twilight",IF((Character!$B$14+IF(Character!$B$53="Yes",0,Character!$B$53)+IF(Magic!$C$5="Yes",2,0)+ROUNDUP((Magic!$B$30+IF(Magic!$C$30="Yes",3,0))/5,0)+S1430)&gt;=($D$3+P1430+SUMIF(Character!$I$62:$I$66,"Enigmatic Wisdom",Character!$J$62:$J$66)+Q1430+U1430),"No Twilight","Twilight")))</f>
        <v>No Twilight</v>
      </c>
      <c r="W1430" s="483"/>
      <c r="X1430" s="478"/>
      <c r="Y1430" s="484"/>
      <c r="Z1430" s="478"/>
      <c r="AA1430" s="485" t="str">
        <f>IF(V1430="Uncomprehended Twilight","Failed",IF(OR(ISBLANK(W1430),ISBLANK(Y1430))," ",IF(NOT(ISBLANK(X1430)),"Failed",IF((W1430+Character!$B$9+SUMIF(Character!$I$62:$I$66,"Enigmatic Wisdom",Character!$J$62:$J$66))&gt;=IF(Z1430="Yes",0,(Y1430+D1425)),"Succeeded","Failed"))))</f>
        <v xml:space="preserve"> </v>
      </c>
      <c r="AB1430" s="477" t="str">
        <f>IF(AA1430=" "," ",IF(NOT(ISBLANK(X1430)),VLOOKUP($D$3+X1430,Calcs!$A$110:$C$122,3,TRUE),IF(AA1430="Failed",VLOOKUP($D$3,Calcs!$A$110:$C$122,3,TRUE),VLOOKUP($D$3-(IF((Character!$B$9+W1430)&gt;($D$3+Y1430),(Character!$B$9+W1430)-($D$3+Y1430),0)),Calcs!$A$110:$C$122,3,TRUE))))</f>
        <v xml:space="preserve"> </v>
      </c>
      <c r="AC1430" s="489"/>
      <c r="AD1430" s="489" t="str">
        <f>IF(IF(AA1430=" "," ",IF(NOT(ISBLANK(X1430)),VLOOKUP($D$3+X1430,Calcs!$A$110:$B$122,2,TRUE),IF(AA1430="Failed",VLOOKUP($D$3,Calcs!$A$110:$B$122,2,TRUE),VLOOKUP($D$3-(IF((Character!$B$9+W1430)&gt;($D$3+Y1430),(Character!$B$9+W1430)-($D$3+Y1430),0)),Calcs!$A$110:$B$122,2,TRUE))))=Calcs!$B$120,IF(ISBLANK(AC1430)," ",CONCATENATE(AC1430+7," Years")),IF(AA1430=" "," ",IF(NOT(ISBLANK(X1430)),VLOOKUP($D$3+X1430,Calcs!$A$110:$B$122,2,TRUE),IF(AA1430="Failed",VLOOKUP($D$3,Calcs!$A$110:$B$122,2,TRUE),VLOOKUP($D$3-(IF((Character!$B$9+W1430)&gt;($D$3+Y1430),(Character!$B$9+W1430)-($D$3+Y1430),0)),Calcs!$A$110:$B$122,2,TRUE)))))</f>
        <v xml:space="preserve"> </v>
      </c>
      <c r="AE1430" s="490"/>
      <c r="AF1430" s="879"/>
      <c r="AG1430" s="491"/>
    </row>
    <row r="1431" spans="1:33" x14ac:dyDescent="0.2">
      <c r="A1431" s="415">
        <f t="shared" si="42"/>
        <v>1567</v>
      </c>
      <c r="B1431" s="419" t="str">
        <f t="shared" si="43"/>
        <v>Autumn</v>
      </c>
      <c r="C1431" s="455"/>
      <c r="D1431" s="504"/>
      <c r="E1431" s="455"/>
      <c r="F1431" s="504"/>
      <c r="G1431" s="455"/>
      <c r="H1431" s="504"/>
      <c r="I1431" s="455"/>
      <c r="J1431" s="504"/>
      <c r="L1431" s="472"/>
      <c r="M1431" s="468"/>
      <c r="N1431" s="468"/>
      <c r="O1431" s="468"/>
      <c r="P1431" s="468"/>
      <c r="Q1431" s="473"/>
      <c r="R1431" s="477" t="str">
        <f>IF(AND(COUNTIF('Start Character'!$I$63:$M$77,"Twilight Prone")=1,NOT(ISERROR(FIND("Magical Botch",M1431)))),"Yes",IF(P1431&gt;1,"Yes","No"))</f>
        <v>No</v>
      </c>
      <c r="S1431" s="501"/>
      <c r="T1431" s="478"/>
      <c r="U1431" s="501"/>
      <c r="V1431" s="479" t="str">
        <f>IF(R1431="No","No Twilight",IF(T1431="Yes","Uncomprehended Twilight",IF((Character!$B$14+IF(Character!$B$53="Yes",0,Character!$B$53)+IF(Magic!$C$5="Yes",2,0)+ROUNDUP((Magic!$B$30+IF(Magic!$C$30="Yes",3,0))/5,0)+S1431)&gt;=($D$3+P1431+SUMIF(Character!$I$62:$I$66,"Enigmatic Wisdom",Character!$J$62:$J$66)+Q1431+U1431),"No Twilight","Twilight")))</f>
        <v>No Twilight</v>
      </c>
      <c r="W1431" s="483"/>
      <c r="X1431" s="478"/>
      <c r="Y1431" s="484"/>
      <c r="Z1431" s="478"/>
      <c r="AA1431" s="485" t="str">
        <f>IF(V1431="Uncomprehended Twilight","Failed",IF(OR(ISBLANK(W1431),ISBLANK(Y1431))," ",IF(NOT(ISBLANK(X1431)),"Failed",IF((W1431+Character!$B$9+SUMIF(Character!$I$62:$I$66,"Enigmatic Wisdom",Character!$J$62:$J$66))&gt;=IF(Z1431="Yes",0,(Y1431+D1426)),"Succeeded","Failed"))))</f>
        <v xml:space="preserve"> </v>
      </c>
      <c r="AB1431" s="477" t="str">
        <f>IF(AA1431=" "," ",IF(NOT(ISBLANK(X1431)),VLOOKUP($D$3+X1431,Calcs!$A$110:$C$122,3,TRUE),IF(AA1431="Failed",VLOOKUP($D$3,Calcs!$A$110:$C$122,3,TRUE),VLOOKUP($D$3-(IF((Character!$B$9+W1431)&gt;($D$3+Y1431),(Character!$B$9+W1431)-($D$3+Y1431),0)),Calcs!$A$110:$C$122,3,TRUE))))</f>
        <v xml:space="preserve"> </v>
      </c>
      <c r="AC1431" s="489"/>
      <c r="AD1431" s="489" t="str">
        <f>IF(IF(AA1431=" "," ",IF(NOT(ISBLANK(X1431)),VLOOKUP($D$3+X1431,Calcs!$A$110:$B$122,2,TRUE),IF(AA1431="Failed",VLOOKUP($D$3,Calcs!$A$110:$B$122,2,TRUE),VLOOKUP($D$3-(IF((Character!$B$9+W1431)&gt;($D$3+Y1431),(Character!$B$9+W1431)-($D$3+Y1431),0)),Calcs!$A$110:$B$122,2,TRUE))))=Calcs!$B$120,IF(ISBLANK(AC1431)," ",CONCATENATE(AC1431+7," Years")),IF(AA1431=" "," ",IF(NOT(ISBLANK(X1431)),VLOOKUP($D$3+X1431,Calcs!$A$110:$B$122,2,TRUE),IF(AA1431="Failed",VLOOKUP($D$3,Calcs!$A$110:$B$122,2,TRUE),VLOOKUP($D$3-(IF((Character!$B$9+W1431)&gt;($D$3+Y1431),(Character!$B$9+W1431)-($D$3+Y1431),0)),Calcs!$A$110:$B$122,2,TRUE)))))</f>
        <v xml:space="preserve"> </v>
      </c>
      <c r="AE1431" s="490"/>
      <c r="AF1431" s="879"/>
      <c r="AG1431" s="491"/>
    </row>
    <row r="1432" spans="1:33" x14ac:dyDescent="0.2">
      <c r="A1432" s="415">
        <f t="shared" si="42"/>
        <v>1568</v>
      </c>
      <c r="B1432" s="419" t="str">
        <f t="shared" si="43"/>
        <v>Winter</v>
      </c>
      <c r="C1432" s="455"/>
      <c r="D1432" s="504"/>
      <c r="E1432" s="455"/>
      <c r="F1432" s="504"/>
      <c r="G1432" s="455"/>
      <c r="H1432" s="504"/>
      <c r="I1432" s="455"/>
      <c r="J1432" s="504"/>
      <c r="L1432" s="472"/>
      <c r="M1432" s="468"/>
      <c r="N1432" s="468"/>
      <c r="O1432" s="468"/>
      <c r="P1432" s="468"/>
      <c r="Q1432" s="473"/>
      <c r="R1432" s="477" t="str">
        <f>IF(AND(COUNTIF('Start Character'!$I$63:$M$77,"Twilight Prone")=1,NOT(ISERROR(FIND("Magical Botch",M1432)))),"Yes",IF(P1432&gt;1,"Yes","No"))</f>
        <v>No</v>
      </c>
      <c r="S1432" s="501"/>
      <c r="T1432" s="478"/>
      <c r="U1432" s="501"/>
      <c r="V1432" s="479" t="str">
        <f>IF(R1432="No","No Twilight",IF(T1432="Yes","Uncomprehended Twilight",IF((Character!$B$14+IF(Character!$B$53="Yes",0,Character!$B$53)+IF(Magic!$C$5="Yes",2,0)+ROUNDUP((Magic!$B$30+IF(Magic!$C$30="Yes",3,0))/5,0)+S1432)&gt;=($D$3+P1432+SUMIF(Character!$I$62:$I$66,"Enigmatic Wisdom",Character!$J$62:$J$66)+Q1432+U1432),"No Twilight","Twilight")))</f>
        <v>No Twilight</v>
      </c>
      <c r="W1432" s="483"/>
      <c r="X1432" s="478"/>
      <c r="Y1432" s="484"/>
      <c r="Z1432" s="478"/>
      <c r="AA1432" s="485" t="str">
        <f>IF(V1432="Uncomprehended Twilight","Failed",IF(OR(ISBLANK(W1432),ISBLANK(Y1432))," ",IF(NOT(ISBLANK(X1432)),"Failed",IF((W1432+Character!$B$9+SUMIF(Character!$I$62:$I$66,"Enigmatic Wisdom",Character!$J$62:$J$66))&gt;=IF(Z1432="Yes",0,(Y1432+D1427)),"Succeeded","Failed"))))</f>
        <v xml:space="preserve"> </v>
      </c>
      <c r="AB1432" s="477" t="str">
        <f>IF(AA1432=" "," ",IF(NOT(ISBLANK(X1432)),VLOOKUP($D$3+X1432,Calcs!$A$110:$C$122,3,TRUE),IF(AA1432="Failed",VLOOKUP($D$3,Calcs!$A$110:$C$122,3,TRUE),VLOOKUP($D$3-(IF((Character!$B$9+W1432)&gt;($D$3+Y1432),(Character!$B$9+W1432)-($D$3+Y1432),0)),Calcs!$A$110:$C$122,3,TRUE))))</f>
        <v xml:space="preserve"> </v>
      </c>
      <c r="AC1432" s="489"/>
      <c r="AD1432" s="489" t="str">
        <f>IF(IF(AA1432=" "," ",IF(NOT(ISBLANK(X1432)),VLOOKUP($D$3+X1432,Calcs!$A$110:$B$122,2,TRUE),IF(AA1432="Failed",VLOOKUP($D$3,Calcs!$A$110:$B$122,2,TRUE),VLOOKUP($D$3-(IF((Character!$B$9+W1432)&gt;($D$3+Y1432),(Character!$B$9+W1432)-($D$3+Y1432),0)),Calcs!$A$110:$B$122,2,TRUE))))=Calcs!$B$120,IF(ISBLANK(AC1432)," ",CONCATENATE(AC1432+7," Years")),IF(AA1432=" "," ",IF(NOT(ISBLANK(X1432)),VLOOKUP($D$3+X1432,Calcs!$A$110:$B$122,2,TRUE),IF(AA1432="Failed",VLOOKUP($D$3,Calcs!$A$110:$B$122,2,TRUE),VLOOKUP($D$3-(IF((Character!$B$9+W1432)&gt;($D$3+Y1432),(Character!$B$9+W1432)-($D$3+Y1432),0)),Calcs!$A$110:$B$122,2,TRUE)))))</f>
        <v xml:space="preserve"> </v>
      </c>
      <c r="AE1432" s="490"/>
      <c r="AF1432" s="879"/>
      <c r="AG1432" s="491"/>
    </row>
    <row r="1433" spans="1:33" x14ac:dyDescent="0.2">
      <c r="A1433" s="415">
        <f t="shared" si="42"/>
        <v>1568</v>
      </c>
      <c r="B1433" s="419" t="str">
        <f t="shared" si="43"/>
        <v>Spring</v>
      </c>
      <c r="C1433" s="455"/>
      <c r="D1433" s="504"/>
      <c r="E1433" s="455"/>
      <c r="F1433" s="504"/>
      <c r="G1433" s="455"/>
      <c r="H1433" s="504"/>
      <c r="I1433" s="455"/>
      <c r="J1433" s="504"/>
      <c r="L1433" s="472"/>
      <c r="M1433" s="468"/>
      <c r="N1433" s="468"/>
      <c r="O1433" s="468"/>
      <c r="P1433" s="468"/>
      <c r="Q1433" s="473"/>
      <c r="R1433" s="477" t="str">
        <f>IF(AND(COUNTIF('Start Character'!$I$63:$M$77,"Twilight Prone")=1,NOT(ISERROR(FIND("Magical Botch",M1433)))),"Yes",IF(P1433&gt;1,"Yes","No"))</f>
        <v>No</v>
      </c>
      <c r="S1433" s="501"/>
      <c r="T1433" s="478"/>
      <c r="U1433" s="501"/>
      <c r="V1433" s="479" t="str">
        <f>IF(R1433="No","No Twilight",IF(T1433="Yes","Uncomprehended Twilight",IF((Character!$B$14+IF(Character!$B$53="Yes",0,Character!$B$53)+IF(Magic!$C$5="Yes",2,0)+ROUNDUP((Magic!$B$30+IF(Magic!$C$30="Yes",3,0))/5,0)+S1433)&gt;=($D$3+P1433+SUMIF(Character!$I$62:$I$66,"Enigmatic Wisdom",Character!$J$62:$J$66)+Q1433+U1433),"No Twilight","Twilight")))</f>
        <v>No Twilight</v>
      </c>
      <c r="W1433" s="483"/>
      <c r="X1433" s="478"/>
      <c r="Y1433" s="484"/>
      <c r="Z1433" s="478"/>
      <c r="AA1433" s="485" t="str">
        <f>IF(V1433="Uncomprehended Twilight","Failed",IF(OR(ISBLANK(W1433),ISBLANK(Y1433))," ",IF(NOT(ISBLANK(X1433)),"Failed",IF((W1433+Character!$B$9+SUMIF(Character!$I$62:$I$66,"Enigmatic Wisdom",Character!$J$62:$J$66))&gt;=IF(Z1433="Yes",0,(Y1433+D1428)),"Succeeded","Failed"))))</f>
        <v xml:space="preserve"> </v>
      </c>
      <c r="AB1433" s="477" t="str">
        <f>IF(AA1433=" "," ",IF(NOT(ISBLANK(X1433)),VLOOKUP($D$3+X1433,Calcs!$A$110:$C$122,3,TRUE),IF(AA1433="Failed",VLOOKUP($D$3,Calcs!$A$110:$C$122,3,TRUE),VLOOKUP($D$3-(IF((Character!$B$9+W1433)&gt;($D$3+Y1433),(Character!$B$9+W1433)-($D$3+Y1433),0)),Calcs!$A$110:$C$122,3,TRUE))))</f>
        <v xml:space="preserve"> </v>
      </c>
      <c r="AC1433" s="489"/>
      <c r="AD1433" s="489" t="str">
        <f>IF(IF(AA1433=" "," ",IF(NOT(ISBLANK(X1433)),VLOOKUP($D$3+X1433,Calcs!$A$110:$B$122,2,TRUE),IF(AA1433="Failed",VLOOKUP($D$3,Calcs!$A$110:$B$122,2,TRUE),VLOOKUP($D$3-(IF((Character!$B$9+W1433)&gt;($D$3+Y1433),(Character!$B$9+W1433)-($D$3+Y1433),0)),Calcs!$A$110:$B$122,2,TRUE))))=Calcs!$B$120,IF(ISBLANK(AC1433)," ",CONCATENATE(AC1433+7," Years")),IF(AA1433=" "," ",IF(NOT(ISBLANK(X1433)),VLOOKUP($D$3+X1433,Calcs!$A$110:$B$122,2,TRUE),IF(AA1433="Failed",VLOOKUP($D$3,Calcs!$A$110:$B$122,2,TRUE),VLOOKUP($D$3-(IF((Character!$B$9+W1433)&gt;($D$3+Y1433),(Character!$B$9+W1433)-($D$3+Y1433),0)),Calcs!$A$110:$B$122,2,TRUE)))))</f>
        <v xml:space="preserve"> </v>
      </c>
      <c r="AE1433" s="490"/>
      <c r="AF1433" s="879"/>
      <c r="AG1433" s="491"/>
    </row>
    <row r="1434" spans="1:33" x14ac:dyDescent="0.2">
      <c r="A1434" s="415">
        <f t="shared" si="42"/>
        <v>1568</v>
      </c>
      <c r="B1434" s="419" t="str">
        <f t="shared" si="43"/>
        <v>Summer</v>
      </c>
      <c r="C1434" s="455"/>
      <c r="D1434" s="504"/>
      <c r="E1434" s="455"/>
      <c r="F1434" s="504"/>
      <c r="G1434" s="455"/>
      <c r="H1434" s="504"/>
      <c r="I1434" s="455"/>
      <c r="J1434" s="504"/>
      <c r="L1434" s="472"/>
      <c r="M1434" s="468"/>
      <c r="N1434" s="468"/>
      <c r="O1434" s="468"/>
      <c r="P1434" s="468"/>
      <c r="Q1434" s="473"/>
      <c r="R1434" s="477" t="str">
        <f>IF(AND(COUNTIF('Start Character'!$I$63:$M$77,"Twilight Prone")=1,NOT(ISERROR(FIND("Magical Botch",M1434)))),"Yes",IF(P1434&gt;1,"Yes","No"))</f>
        <v>No</v>
      </c>
      <c r="S1434" s="501"/>
      <c r="T1434" s="478"/>
      <c r="U1434" s="501"/>
      <c r="V1434" s="479" t="str">
        <f>IF(R1434="No","No Twilight",IF(T1434="Yes","Uncomprehended Twilight",IF((Character!$B$14+IF(Character!$B$53="Yes",0,Character!$B$53)+IF(Magic!$C$5="Yes",2,0)+ROUNDUP((Magic!$B$30+IF(Magic!$C$30="Yes",3,0))/5,0)+S1434)&gt;=($D$3+P1434+SUMIF(Character!$I$62:$I$66,"Enigmatic Wisdom",Character!$J$62:$J$66)+Q1434+U1434),"No Twilight","Twilight")))</f>
        <v>No Twilight</v>
      </c>
      <c r="W1434" s="483"/>
      <c r="X1434" s="478"/>
      <c r="Y1434" s="484"/>
      <c r="Z1434" s="478"/>
      <c r="AA1434" s="485" t="str">
        <f>IF(V1434="Uncomprehended Twilight","Failed",IF(OR(ISBLANK(W1434),ISBLANK(Y1434))," ",IF(NOT(ISBLANK(X1434)),"Failed",IF((W1434+Character!$B$9+SUMIF(Character!$I$62:$I$66,"Enigmatic Wisdom",Character!$J$62:$J$66))&gt;=IF(Z1434="Yes",0,(Y1434+D1429)),"Succeeded","Failed"))))</f>
        <v xml:space="preserve"> </v>
      </c>
      <c r="AB1434" s="477" t="str">
        <f>IF(AA1434=" "," ",IF(NOT(ISBLANK(X1434)),VLOOKUP($D$3+X1434,Calcs!$A$110:$C$122,3,TRUE),IF(AA1434="Failed",VLOOKUP($D$3,Calcs!$A$110:$C$122,3,TRUE),VLOOKUP($D$3-(IF((Character!$B$9+W1434)&gt;($D$3+Y1434),(Character!$B$9+W1434)-($D$3+Y1434),0)),Calcs!$A$110:$C$122,3,TRUE))))</f>
        <v xml:space="preserve"> </v>
      </c>
      <c r="AC1434" s="489"/>
      <c r="AD1434" s="489" t="str">
        <f>IF(IF(AA1434=" "," ",IF(NOT(ISBLANK(X1434)),VLOOKUP($D$3+X1434,Calcs!$A$110:$B$122,2,TRUE),IF(AA1434="Failed",VLOOKUP($D$3,Calcs!$A$110:$B$122,2,TRUE),VLOOKUP($D$3-(IF((Character!$B$9+W1434)&gt;($D$3+Y1434),(Character!$B$9+W1434)-($D$3+Y1434),0)),Calcs!$A$110:$B$122,2,TRUE))))=Calcs!$B$120,IF(ISBLANK(AC1434)," ",CONCATENATE(AC1434+7," Years")),IF(AA1434=" "," ",IF(NOT(ISBLANK(X1434)),VLOOKUP($D$3+X1434,Calcs!$A$110:$B$122,2,TRUE),IF(AA1434="Failed",VLOOKUP($D$3,Calcs!$A$110:$B$122,2,TRUE),VLOOKUP($D$3-(IF((Character!$B$9+W1434)&gt;($D$3+Y1434),(Character!$B$9+W1434)-($D$3+Y1434),0)),Calcs!$A$110:$B$122,2,TRUE)))))</f>
        <v xml:space="preserve"> </v>
      </c>
      <c r="AE1434" s="490"/>
      <c r="AF1434" s="879"/>
      <c r="AG1434" s="491"/>
    </row>
    <row r="1435" spans="1:33" x14ac:dyDescent="0.2">
      <c r="A1435" s="415">
        <f t="shared" si="42"/>
        <v>1568</v>
      </c>
      <c r="B1435" s="419" t="str">
        <f t="shared" si="43"/>
        <v>Autumn</v>
      </c>
      <c r="C1435" s="455"/>
      <c r="D1435" s="504"/>
      <c r="E1435" s="455"/>
      <c r="F1435" s="504"/>
      <c r="G1435" s="455"/>
      <c r="H1435" s="504"/>
      <c r="I1435" s="455"/>
      <c r="J1435" s="504"/>
      <c r="L1435" s="472"/>
      <c r="M1435" s="468"/>
      <c r="N1435" s="468"/>
      <c r="O1435" s="468"/>
      <c r="P1435" s="468"/>
      <c r="Q1435" s="473"/>
      <c r="R1435" s="477" t="str">
        <f>IF(AND(COUNTIF('Start Character'!$I$63:$M$77,"Twilight Prone")=1,NOT(ISERROR(FIND("Magical Botch",M1435)))),"Yes",IF(P1435&gt;1,"Yes","No"))</f>
        <v>No</v>
      </c>
      <c r="S1435" s="501"/>
      <c r="T1435" s="478"/>
      <c r="U1435" s="501"/>
      <c r="V1435" s="479" t="str">
        <f>IF(R1435="No","No Twilight",IF(T1435="Yes","Uncomprehended Twilight",IF((Character!$B$14+IF(Character!$B$53="Yes",0,Character!$B$53)+IF(Magic!$C$5="Yes",2,0)+ROUNDUP((Magic!$B$30+IF(Magic!$C$30="Yes",3,0))/5,0)+S1435)&gt;=($D$3+P1435+SUMIF(Character!$I$62:$I$66,"Enigmatic Wisdom",Character!$J$62:$J$66)+Q1435+U1435),"No Twilight","Twilight")))</f>
        <v>No Twilight</v>
      </c>
      <c r="W1435" s="483"/>
      <c r="X1435" s="478"/>
      <c r="Y1435" s="484"/>
      <c r="Z1435" s="478"/>
      <c r="AA1435" s="485" t="str">
        <f>IF(V1435="Uncomprehended Twilight","Failed",IF(OR(ISBLANK(W1435),ISBLANK(Y1435))," ",IF(NOT(ISBLANK(X1435)),"Failed",IF((W1435+Character!$B$9+SUMIF(Character!$I$62:$I$66,"Enigmatic Wisdom",Character!$J$62:$J$66))&gt;=IF(Z1435="Yes",0,(Y1435+D1430)),"Succeeded","Failed"))))</f>
        <v xml:space="preserve"> </v>
      </c>
      <c r="AB1435" s="477" t="str">
        <f>IF(AA1435=" "," ",IF(NOT(ISBLANK(X1435)),VLOOKUP($D$3+X1435,Calcs!$A$110:$C$122,3,TRUE),IF(AA1435="Failed",VLOOKUP($D$3,Calcs!$A$110:$C$122,3,TRUE),VLOOKUP($D$3-(IF((Character!$B$9+W1435)&gt;($D$3+Y1435),(Character!$B$9+W1435)-($D$3+Y1435),0)),Calcs!$A$110:$C$122,3,TRUE))))</f>
        <v xml:space="preserve"> </v>
      </c>
      <c r="AC1435" s="489"/>
      <c r="AD1435" s="489" t="str">
        <f>IF(IF(AA1435=" "," ",IF(NOT(ISBLANK(X1435)),VLOOKUP($D$3+X1435,Calcs!$A$110:$B$122,2,TRUE),IF(AA1435="Failed",VLOOKUP($D$3,Calcs!$A$110:$B$122,2,TRUE),VLOOKUP($D$3-(IF((Character!$B$9+W1435)&gt;($D$3+Y1435),(Character!$B$9+W1435)-($D$3+Y1435),0)),Calcs!$A$110:$B$122,2,TRUE))))=Calcs!$B$120,IF(ISBLANK(AC1435)," ",CONCATENATE(AC1435+7," Years")),IF(AA1435=" "," ",IF(NOT(ISBLANK(X1435)),VLOOKUP($D$3+X1435,Calcs!$A$110:$B$122,2,TRUE),IF(AA1435="Failed",VLOOKUP($D$3,Calcs!$A$110:$B$122,2,TRUE),VLOOKUP($D$3-(IF((Character!$B$9+W1435)&gt;($D$3+Y1435),(Character!$B$9+W1435)-($D$3+Y1435),0)),Calcs!$A$110:$B$122,2,TRUE)))))</f>
        <v xml:space="preserve"> </v>
      </c>
      <c r="AE1435" s="490"/>
      <c r="AF1435" s="879"/>
      <c r="AG1435" s="491"/>
    </row>
    <row r="1436" spans="1:33" x14ac:dyDescent="0.2">
      <c r="A1436" s="415">
        <f t="shared" si="42"/>
        <v>1569</v>
      </c>
      <c r="B1436" s="419" t="str">
        <f t="shared" si="43"/>
        <v>Winter</v>
      </c>
      <c r="C1436" s="455"/>
      <c r="D1436" s="504"/>
      <c r="E1436" s="455"/>
      <c r="F1436" s="504"/>
      <c r="G1436" s="455"/>
      <c r="H1436" s="504"/>
      <c r="I1436" s="455"/>
      <c r="J1436" s="504"/>
      <c r="L1436" s="472"/>
      <c r="M1436" s="468"/>
      <c r="N1436" s="468"/>
      <c r="O1436" s="468"/>
      <c r="P1436" s="468"/>
      <c r="Q1436" s="473"/>
      <c r="R1436" s="477" t="str">
        <f>IF(AND(COUNTIF('Start Character'!$I$63:$M$77,"Twilight Prone")=1,NOT(ISERROR(FIND("Magical Botch",M1436)))),"Yes",IF(P1436&gt;1,"Yes","No"))</f>
        <v>No</v>
      </c>
      <c r="S1436" s="501"/>
      <c r="T1436" s="478"/>
      <c r="U1436" s="501"/>
      <c r="V1436" s="479" t="str">
        <f>IF(R1436="No","No Twilight",IF(T1436="Yes","Uncomprehended Twilight",IF((Character!$B$14+IF(Character!$B$53="Yes",0,Character!$B$53)+IF(Magic!$C$5="Yes",2,0)+ROUNDUP((Magic!$B$30+IF(Magic!$C$30="Yes",3,0))/5,0)+S1436)&gt;=($D$3+P1436+SUMIF(Character!$I$62:$I$66,"Enigmatic Wisdom",Character!$J$62:$J$66)+Q1436+U1436),"No Twilight","Twilight")))</f>
        <v>No Twilight</v>
      </c>
      <c r="W1436" s="483"/>
      <c r="X1436" s="478"/>
      <c r="Y1436" s="484"/>
      <c r="Z1436" s="478"/>
      <c r="AA1436" s="485" t="str">
        <f>IF(V1436="Uncomprehended Twilight","Failed",IF(OR(ISBLANK(W1436),ISBLANK(Y1436))," ",IF(NOT(ISBLANK(X1436)),"Failed",IF((W1436+Character!$B$9+SUMIF(Character!$I$62:$I$66,"Enigmatic Wisdom",Character!$J$62:$J$66))&gt;=IF(Z1436="Yes",0,(Y1436+D1431)),"Succeeded","Failed"))))</f>
        <v xml:space="preserve"> </v>
      </c>
      <c r="AB1436" s="477" t="str">
        <f>IF(AA1436=" "," ",IF(NOT(ISBLANK(X1436)),VLOOKUP($D$3+X1436,Calcs!$A$110:$C$122,3,TRUE),IF(AA1436="Failed",VLOOKUP($D$3,Calcs!$A$110:$C$122,3,TRUE),VLOOKUP($D$3-(IF((Character!$B$9+W1436)&gt;($D$3+Y1436),(Character!$B$9+W1436)-($D$3+Y1436),0)),Calcs!$A$110:$C$122,3,TRUE))))</f>
        <v xml:space="preserve"> </v>
      </c>
      <c r="AC1436" s="489"/>
      <c r="AD1436" s="489" t="str">
        <f>IF(IF(AA1436=" "," ",IF(NOT(ISBLANK(X1436)),VLOOKUP($D$3+X1436,Calcs!$A$110:$B$122,2,TRUE),IF(AA1436="Failed",VLOOKUP($D$3,Calcs!$A$110:$B$122,2,TRUE),VLOOKUP($D$3-(IF((Character!$B$9+W1436)&gt;($D$3+Y1436),(Character!$B$9+W1436)-($D$3+Y1436),0)),Calcs!$A$110:$B$122,2,TRUE))))=Calcs!$B$120,IF(ISBLANK(AC1436)," ",CONCATENATE(AC1436+7," Years")),IF(AA1436=" "," ",IF(NOT(ISBLANK(X1436)),VLOOKUP($D$3+X1436,Calcs!$A$110:$B$122,2,TRUE),IF(AA1436="Failed",VLOOKUP($D$3,Calcs!$A$110:$B$122,2,TRUE),VLOOKUP($D$3-(IF((Character!$B$9+W1436)&gt;($D$3+Y1436),(Character!$B$9+W1436)-($D$3+Y1436),0)),Calcs!$A$110:$B$122,2,TRUE)))))</f>
        <v xml:space="preserve"> </v>
      </c>
      <c r="AE1436" s="490"/>
      <c r="AF1436" s="879"/>
      <c r="AG1436" s="491"/>
    </row>
    <row r="1437" spans="1:33" x14ac:dyDescent="0.2">
      <c r="A1437" s="415">
        <f t="shared" ref="A1437:A1500" si="44">IF(B1436="Autumn",A1436+1,A1436)</f>
        <v>1569</v>
      </c>
      <c r="B1437" s="419" t="str">
        <f t="shared" ref="B1437:B1500" si="45">IF(B1436="spring","Summer",IF(B1436="Summer","Autumn",IF(B1436="Autumn","Winter",IF(B1436="Winter","Spring"," "))))</f>
        <v>Spring</v>
      </c>
      <c r="C1437" s="455"/>
      <c r="D1437" s="504"/>
      <c r="E1437" s="455"/>
      <c r="F1437" s="504"/>
      <c r="G1437" s="455"/>
      <c r="H1437" s="504"/>
      <c r="I1437" s="455"/>
      <c r="J1437" s="504"/>
      <c r="L1437" s="472"/>
      <c r="M1437" s="468"/>
      <c r="N1437" s="468"/>
      <c r="O1437" s="468"/>
      <c r="P1437" s="468"/>
      <c r="Q1437" s="473"/>
      <c r="R1437" s="477" t="str">
        <f>IF(AND(COUNTIF('Start Character'!$I$63:$M$77,"Twilight Prone")=1,NOT(ISERROR(FIND("Magical Botch",M1437)))),"Yes",IF(P1437&gt;1,"Yes","No"))</f>
        <v>No</v>
      </c>
      <c r="S1437" s="501"/>
      <c r="T1437" s="478"/>
      <c r="U1437" s="501"/>
      <c r="V1437" s="479" t="str">
        <f>IF(R1437="No","No Twilight",IF(T1437="Yes","Uncomprehended Twilight",IF((Character!$B$14+IF(Character!$B$53="Yes",0,Character!$B$53)+IF(Magic!$C$5="Yes",2,0)+ROUNDUP((Magic!$B$30+IF(Magic!$C$30="Yes",3,0))/5,0)+S1437)&gt;=($D$3+P1437+SUMIF(Character!$I$62:$I$66,"Enigmatic Wisdom",Character!$J$62:$J$66)+Q1437+U1437),"No Twilight","Twilight")))</f>
        <v>No Twilight</v>
      </c>
      <c r="W1437" s="483"/>
      <c r="X1437" s="478"/>
      <c r="Y1437" s="484"/>
      <c r="Z1437" s="478"/>
      <c r="AA1437" s="485" t="str">
        <f>IF(V1437="Uncomprehended Twilight","Failed",IF(OR(ISBLANK(W1437),ISBLANK(Y1437))," ",IF(NOT(ISBLANK(X1437)),"Failed",IF((W1437+Character!$B$9+SUMIF(Character!$I$62:$I$66,"Enigmatic Wisdom",Character!$J$62:$J$66))&gt;=IF(Z1437="Yes",0,(Y1437+D1432)),"Succeeded","Failed"))))</f>
        <v xml:space="preserve"> </v>
      </c>
      <c r="AB1437" s="477" t="str">
        <f>IF(AA1437=" "," ",IF(NOT(ISBLANK(X1437)),VLOOKUP($D$3+X1437,Calcs!$A$110:$C$122,3,TRUE),IF(AA1437="Failed",VLOOKUP($D$3,Calcs!$A$110:$C$122,3,TRUE),VLOOKUP($D$3-(IF((Character!$B$9+W1437)&gt;($D$3+Y1437),(Character!$B$9+W1437)-($D$3+Y1437),0)),Calcs!$A$110:$C$122,3,TRUE))))</f>
        <v xml:space="preserve"> </v>
      </c>
      <c r="AC1437" s="489"/>
      <c r="AD1437" s="489" t="str">
        <f>IF(IF(AA1437=" "," ",IF(NOT(ISBLANK(X1437)),VLOOKUP($D$3+X1437,Calcs!$A$110:$B$122,2,TRUE),IF(AA1437="Failed",VLOOKUP($D$3,Calcs!$A$110:$B$122,2,TRUE),VLOOKUP($D$3-(IF((Character!$B$9+W1437)&gt;($D$3+Y1437),(Character!$B$9+W1437)-($D$3+Y1437),0)),Calcs!$A$110:$B$122,2,TRUE))))=Calcs!$B$120,IF(ISBLANK(AC1437)," ",CONCATENATE(AC1437+7," Years")),IF(AA1437=" "," ",IF(NOT(ISBLANK(X1437)),VLOOKUP($D$3+X1437,Calcs!$A$110:$B$122,2,TRUE),IF(AA1437="Failed",VLOOKUP($D$3,Calcs!$A$110:$B$122,2,TRUE),VLOOKUP($D$3-(IF((Character!$B$9+W1437)&gt;($D$3+Y1437),(Character!$B$9+W1437)-($D$3+Y1437),0)),Calcs!$A$110:$B$122,2,TRUE)))))</f>
        <v xml:space="preserve"> </v>
      </c>
      <c r="AE1437" s="490"/>
      <c r="AF1437" s="879"/>
      <c r="AG1437" s="491"/>
    </row>
    <row r="1438" spans="1:33" x14ac:dyDescent="0.2">
      <c r="A1438" s="415">
        <f t="shared" si="44"/>
        <v>1569</v>
      </c>
      <c r="B1438" s="419" t="str">
        <f t="shared" si="45"/>
        <v>Summer</v>
      </c>
      <c r="C1438" s="455"/>
      <c r="D1438" s="504"/>
      <c r="E1438" s="455"/>
      <c r="F1438" s="504"/>
      <c r="G1438" s="455"/>
      <c r="H1438" s="504"/>
      <c r="I1438" s="455"/>
      <c r="J1438" s="504"/>
      <c r="L1438" s="472"/>
      <c r="M1438" s="468"/>
      <c r="N1438" s="468"/>
      <c r="O1438" s="468"/>
      <c r="P1438" s="468"/>
      <c r="Q1438" s="473"/>
      <c r="R1438" s="477" t="str">
        <f>IF(AND(COUNTIF('Start Character'!$I$63:$M$77,"Twilight Prone")=1,NOT(ISERROR(FIND("Magical Botch",M1438)))),"Yes",IF(P1438&gt;1,"Yes","No"))</f>
        <v>No</v>
      </c>
      <c r="S1438" s="501"/>
      <c r="T1438" s="478"/>
      <c r="U1438" s="501"/>
      <c r="V1438" s="479" t="str">
        <f>IF(R1438="No","No Twilight",IF(T1438="Yes","Uncomprehended Twilight",IF((Character!$B$14+IF(Character!$B$53="Yes",0,Character!$B$53)+IF(Magic!$C$5="Yes",2,0)+ROUNDUP((Magic!$B$30+IF(Magic!$C$30="Yes",3,0))/5,0)+S1438)&gt;=($D$3+P1438+SUMIF(Character!$I$62:$I$66,"Enigmatic Wisdom",Character!$J$62:$J$66)+Q1438+U1438),"No Twilight","Twilight")))</f>
        <v>No Twilight</v>
      </c>
      <c r="W1438" s="483"/>
      <c r="X1438" s="478"/>
      <c r="Y1438" s="484"/>
      <c r="Z1438" s="478"/>
      <c r="AA1438" s="485" t="str">
        <f>IF(V1438="Uncomprehended Twilight","Failed",IF(OR(ISBLANK(W1438),ISBLANK(Y1438))," ",IF(NOT(ISBLANK(X1438)),"Failed",IF((W1438+Character!$B$9+SUMIF(Character!$I$62:$I$66,"Enigmatic Wisdom",Character!$J$62:$J$66))&gt;=IF(Z1438="Yes",0,(Y1438+D1433)),"Succeeded","Failed"))))</f>
        <v xml:space="preserve"> </v>
      </c>
      <c r="AB1438" s="477" t="str">
        <f>IF(AA1438=" "," ",IF(NOT(ISBLANK(X1438)),VLOOKUP($D$3+X1438,Calcs!$A$110:$C$122,3,TRUE),IF(AA1438="Failed",VLOOKUP($D$3,Calcs!$A$110:$C$122,3,TRUE),VLOOKUP($D$3-(IF((Character!$B$9+W1438)&gt;($D$3+Y1438),(Character!$B$9+W1438)-($D$3+Y1438),0)),Calcs!$A$110:$C$122,3,TRUE))))</f>
        <v xml:space="preserve"> </v>
      </c>
      <c r="AC1438" s="489"/>
      <c r="AD1438" s="489" t="str">
        <f>IF(IF(AA1438=" "," ",IF(NOT(ISBLANK(X1438)),VLOOKUP($D$3+X1438,Calcs!$A$110:$B$122,2,TRUE),IF(AA1438="Failed",VLOOKUP($D$3,Calcs!$A$110:$B$122,2,TRUE),VLOOKUP($D$3-(IF((Character!$B$9+W1438)&gt;($D$3+Y1438),(Character!$B$9+W1438)-($D$3+Y1438),0)),Calcs!$A$110:$B$122,2,TRUE))))=Calcs!$B$120,IF(ISBLANK(AC1438)," ",CONCATENATE(AC1438+7," Years")),IF(AA1438=" "," ",IF(NOT(ISBLANK(X1438)),VLOOKUP($D$3+X1438,Calcs!$A$110:$B$122,2,TRUE),IF(AA1438="Failed",VLOOKUP($D$3,Calcs!$A$110:$B$122,2,TRUE),VLOOKUP($D$3-(IF((Character!$B$9+W1438)&gt;($D$3+Y1438),(Character!$B$9+W1438)-($D$3+Y1438),0)),Calcs!$A$110:$B$122,2,TRUE)))))</f>
        <v xml:space="preserve"> </v>
      </c>
      <c r="AE1438" s="490"/>
      <c r="AF1438" s="879"/>
      <c r="AG1438" s="491"/>
    </row>
    <row r="1439" spans="1:33" x14ac:dyDescent="0.2">
      <c r="A1439" s="415">
        <f t="shared" si="44"/>
        <v>1569</v>
      </c>
      <c r="B1439" s="419" t="str">
        <f t="shared" si="45"/>
        <v>Autumn</v>
      </c>
      <c r="C1439" s="455"/>
      <c r="D1439" s="504"/>
      <c r="E1439" s="455"/>
      <c r="F1439" s="504"/>
      <c r="G1439" s="455"/>
      <c r="H1439" s="504"/>
      <c r="I1439" s="455"/>
      <c r="J1439" s="504"/>
      <c r="L1439" s="472"/>
      <c r="M1439" s="468"/>
      <c r="N1439" s="468"/>
      <c r="O1439" s="468"/>
      <c r="P1439" s="468"/>
      <c r="Q1439" s="473"/>
      <c r="R1439" s="477" t="str">
        <f>IF(AND(COUNTIF('Start Character'!$I$63:$M$77,"Twilight Prone")=1,NOT(ISERROR(FIND("Magical Botch",M1439)))),"Yes",IF(P1439&gt;1,"Yes","No"))</f>
        <v>No</v>
      </c>
      <c r="S1439" s="501"/>
      <c r="T1439" s="478"/>
      <c r="U1439" s="501"/>
      <c r="V1439" s="479" t="str">
        <f>IF(R1439="No","No Twilight",IF(T1439="Yes","Uncomprehended Twilight",IF((Character!$B$14+IF(Character!$B$53="Yes",0,Character!$B$53)+IF(Magic!$C$5="Yes",2,0)+ROUNDUP((Magic!$B$30+IF(Magic!$C$30="Yes",3,0))/5,0)+S1439)&gt;=($D$3+P1439+SUMIF(Character!$I$62:$I$66,"Enigmatic Wisdom",Character!$J$62:$J$66)+Q1439+U1439),"No Twilight","Twilight")))</f>
        <v>No Twilight</v>
      </c>
      <c r="W1439" s="483"/>
      <c r="X1439" s="478"/>
      <c r="Y1439" s="484"/>
      <c r="Z1439" s="478"/>
      <c r="AA1439" s="485" t="str">
        <f>IF(V1439="Uncomprehended Twilight","Failed",IF(OR(ISBLANK(W1439),ISBLANK(Y1439))," ",IF(NOT(ISBLANK(X1439)),"Failed",IF((W1439+Character!$B$9+SUMIF(Character!$I$62:$I$66,"Enigmatic Wisdom",Character!$J$62:$J$66))&gt;=IF(Z1439="Yes",0,(Y1439+D1434)),"Succeeded","Failed"))))</f>
        <v xml:space="preserve"> </v>
      </c>
      <c r="AB1439" s="477" t="str">
        <f>IF(AA1439=" "," ",IF(NOT(ISBLANK(X1439)),VLOOKUP($D$3+X1439,Calcs!$A$110:$C$122,3,TRUE),IF(AA1439="Failed",VLOOKUP($D$3,Calcs!$A$110:$C$122,3,TRUE),VLOOKUP($D$3-(IF((Character!$B$9+W1439)&gt;($D$3+Y1439),(Character!$B$9+W1439)-($D$3+Y1439),0)),Calcs!$A$110:$C$122,3,TRUE))))</f>
        <v xml:space="preserve"> </v>
      </c>
      <c r="AC1439" s="489"/>
      <c r="AD1439" s="489" t="str">
        <f>IF(IF(AA1439=" "," ",IF(NOT(ISBLANK(X1439)),VLOOKUP($D$3+X1439,Calcs!$A$110:$B$122,2,TRUE),IF(AA1439="Failed",VLOOKUP($D$3,Calcs!$A$110:$B$122,2,TRUE),VLOOKUP($D$3-(IF((Character!$B$9+W1439)&gt;($D$3+Y1439),(Character!$B$9+W1439)-($D$3+Y1439),0)),Calcs!$A$110:$B$122,2,TRUE))))=Calcs!$B$120,IF(ISBLANK(AC1439)," ",CONCATENATE(AC1439+7," Years")),IF(AA1439=" "," ",IF(NOT(ISBLANK(X1439)),VLOOKUP($D$3+X1439,Calcs!$A$110:$B$122,2,TRUE),IF(AA1439="Failed",VLOOKUP($D$3,Calcs!$A$110:$B$122,2,TRUE),VLOOKUP($D$3-(IF((Character!$B$9+W1439)&gt;($D$3+Y1439),(Character!$B$9+W1439)-($D$3+Y1439),0)),Calcs!$A$110:$B$122,2,TRUE)))))</f>
        <v xml:space="preserve"> </v>
      </c>
      <c r="AE1439" s="490"/>
      <c r="AF1439" s="879"/>
      <c r="AG1439" s="491"/>
    </row>
    <row r="1440" spans="1:33" x14ac:dyDescent="0.2">
      <c r="A1440" s="415">
        <f t="shared" si="44"/>
        <v>1570</v>
      </c>
      <c r="B1440" s="419" t="str">
        <f t="shared" si="45"/>
        <v>Winter</v>
      </c>
      <c r="C1440" s="455"/>
      <c r="D1440" s="504"/>
      <c r="E1440" s="455"/>
      <c r="F1440" s="504"/>
      <c r="G1440" s="455"/>
      <c r="H1440" s="504"/>
      <c r="I1440" s="455"/>
      <c r="J1440" s="504"/>
      <c r="L1440" s="472"/>
      <c r="M1440" s="468"/>
      <c r="N1440" s="468"/>
      <c r="O1440" s="468"/>
      <c r="P1440" s="468"/>
      <c r="Q1440" s="473"/>
      <c r="R1440" s="477" t="str">
        <f>IF(AND(COUNTIF('Start Character'!$I$63:$M$77,"Twilight Prone")=1,NOT(ISERROR(FIND("Magical Botch",M1440)))),"Yes",IF(P1440&gt;1,"Yes","No"))</f>
        <v>No</v>
      </c>
      <c r="S1440" s="501"/>
      <c r="T1440" s="478"/>
      <c r="U1440" s="501"/>
      <c r="V1440" s="479" t="str">
        <f>IF(R1440="No","No Twilight",IF(T1440="Yes","Uncomprehended Twilight",IF((Character!$B$14+IF(Character!$B$53="Yes",0,Character!$B$53)+IF(Magic!$C$5="Yes",2,0)+ROUNDUP((Magic!$B$30+IF(Magic!$C$30="Yes",3,0))/5,0)+S1440)&gt;=($D$3+P1440+SUMIF(Character!$I$62:$I$66,"Enigmatic Wisdom",Character!$J$62:$J$66)+Q1440+U1440),"No Twilight","Twilight")))</f>
        <v>No Twilight</v>
      </c>
      <c r="W1440" s="483"/>
      <c r="X1440" s="478"/>
      <c r="Y1440" s="484"/>
      <c r="Z1440" s="478"/>
      <c r="AA1440" s="485" t="str">
        <f>IF(V1440="Uncomprehended Twilight","Failed",IF(OR(ISBLANK(W1440),ISBLANK(Y1440))," ",IF(NOT(ISBLANK(X1440)),"Failed",IF((W1440+Character!$B$9+SUMIF(Character!$I$62:$I$66,"Enigmatic Wisdom",Character!$J$62:$J$66))&gt;=IF(Z1440="Yes",0,(Y1440+D1435)),"Succeeded","Failed"))))</f>
        <v xml:space="preserve"> </v>
      </c>
      <c r="AB1440" s="477" t="str">
        <f>IF(AA1440=" "," ",IF(NOT(ISBLANK(X1440)),VLOOKUP($D$3+X1440,Calcs!$A$110:$C$122,3,TRUE),IF(AA1440="Failed",VLOOKUP($D$3,Calcs!$A$110:$C$122,3,TRUE),VLOOKUP($D$3-(IF((Character!$B$9+W1440)&gt;($D$3+Y1440),(Character!$B$9+W1440)-($D$3+Y1440),0)),Calcs!$A$110:$C$122,3,TRUE))))</f>
        <v xml:space="preserve"> </v>
      </c>
      <c r="AC1440" s="489"/>
      <c r="AD1440" s="489" t="str">
        <f>IF(IF(AA1440=" "," ",IF(NOT(ISBLANK(X1440)),VLOOKUP($D$3+X1440,Calcs!$A$110:$B$122,2,TRUE),IF(AA1440="Failed",VLOOKUP($D$3,Calcs!$A$110:$B$122,2,TRUE),VLOOKUP($D$3-(IF((Character!$B$9+W1440)&gt;($D$3+Y1440),(Character!$B$9+W1440)-($D$3+Y1440),0)),Calcs!$A$110:$B$122,2,TRUE))))=Calcs!$B$120,IF(ISBLANK(AC1440)," ",CONCATENATE(AC1440+7," Years")),IF(AA1440=" "," ",IF(NOT(ISBLANK(X1440)),VLOOKUP($D$3+X1440,Calcs!$A$110:$B$122,2,TRUE),IF(AA1440="Failed",VLOOKUP($D$3,Calcs!$A$110:$B$122,2,TRUE),VLOOKUP($D$3-(IF((Character!$B$9+W1440)&gt;($D$3+Y1440),(Character!$B$9+W1440)-($D$3+Y1440),0)),Calcs!$A$110:$B$122,2,TRUE)))))</f>
        <v xml:space="preserve"> </v>
      </c>
      <c r="AE1440" s="490"/>
      <c r="AF1440" s="879"/>
      <c r="AG1440" s="491"/>
    </row>
    <row r="1441" spans="1:33" x14ac:dyDescent="0.2">
      <c r="A1441" s="415">
        <f t="shared" si="44"/>
        <v>1570</v>
      </c>
      <c r="B1441" s="419" t="str">
        <f t="shared" si="45"/>
        <v>Spring</v>
      </c>
      <c r="C1441" s="455"/>
      <c r="D1441" s="504"/>
      <c r="E1441" s="455"/>
      <c r="F1441" s="504"/>
      <c r="G1441" s="455"/>
      <c r="H1441" s="504"/>
      <c r="I1441" s="455"/>
      <c r="J1441" s="504"/>
      <c r="L1441" s="472"/>
      <c r="M1441" s="468"/>
      <c r="N1441" s="468"/>
      <c r="O1441" s="468"/>
      <c r="P1441" s="468"/>
      <c r="Q1441" s="473"/>
      <c r="R1441" s="477" t="str">
        <f>IF(AND(COUNTIF('Start Character'!$I$63:$M$77,"Twilight Prone")=1,NOT(ISERROR(FIND("Magical Botch",M1441)))),"Yes",IF(P1441&gt;1,"Yes","No"))</f>
        <v>No</v>
      </c>
      <c r="S1441" s="501"/>
      <c r="T1441" s="478"/>
      <c r="U1441" s="501"/>
      <c r="V1441" s="479" t="str">
        <f>IF(R1441="No","No Twilight",IF(T1441="Yes","Uncomprehended Twilight",IF((Character!$B$14+IF(Character!$B$53="Yes",0,Character!$B$53)+IF(Magic!$C$5="Yes",2,0)+ROUNDUP((Magic!$B$30+IF(Magic!$C$30="Yes",3,0))/5,0)+S1441)&gt;=($D$3+P1441+SUMIF(Character!$I$62:$I$66,"Enigmatic Wisdom",Character!$J$62:$J$66)+Q1441+U1441),"No Twilight","Twilight")))</f>
        <v>No Twilight</v>
      </c>
      <c r="W1441" s="483"/>
      <c r="X1441" s="478"/>
      <c r="Y1441" s="484"/>
      <c r="Z1441" s="478"/>
      <c r="AA1441" s="485" t="str">
        <f>IF(V1441="Uncomprehended Twilight","Failed",IF(OR(ISBLANK(W1441),ISBLANK(Y1441))," ",IF(NOT(ISBLANK(X1441)),"Failed",IF((W1441+Character!$B$9+SUMIF(Character!$I$62:$I$66,"Enigmatic Wisdom",Character!$J$62:$J$66))&gt;=IF(Z1441="Yes",0,(Y1441+D1436)),"Succeeded","Failed"))))</f>
        <v xml:space="preserve"> </v>
      </c>
      <c r="AB1441" s="477" t="str">
        <f>IF(AA1441=" "," ",IF(NOT(ISBLANK(X1441)),VLOOKUP($D$3+X1441,Calcs!$A$110:$C$122,3,TRUE),IF(AA1441="Failed",VLOOKUP($D$3,Calcs!$A$110:$C$122,3,TRUE),VLOOKUP($D$3-(IF((Character!$B$9+W1441)&gt;($D$3+Y1441),(Character!$B$9+W1441)-($D$3+Y1441),0)),Calcs!$A$110:$C$122,3,TRUE))))</f>
        <v xml:space="preserve"> </v>
      </c>
      <c r="AC1441" s="489"/>
      <c r="AD1441" s="489" t="str">
        <f>IF(IF(AA1441=" "," ",IF(NOT(ISBLANK(X1441)),VLOOKUP($D$3+X1441,Calcs!$A$110:$B$122,2,TRUE),IF(AA1441="Failed",VLOOKUP($D$3,Calcs!$A$110:$B$122,2,TRUE),VLOOKUP($D$3-(IF((Character!$B$9+W1441)&gt;($D$3+Y1441),(Character!$B$9+W1441)-($D$3+Y1441),0)),Calcs!$A$110:$B$122,2,TRUE))))=Calcs!$B$120,IF(ISBLANK(AC1441)," ",CONCATENATE(AC1441+7," Years")),IF(AA1441=" "," ",IF(NOT(ISBLANK(X1441)),VLOOKUP($D$3+X1441,Calcs!$A$110:$B$122,2,TRUE),IF(AA1441="Failed",VLOOKUP($D$3,Calcs!$A$110:$B$122,2,TRUE),VLOOKUP($D$3-(IF((Character!$B$9+W1441)&gt;($D$3+Y1441),(Character!$B$9+W1441)-($D$3+Y1441),0)),Calcs!$A$110:$B$122,2,TRUE)))))</f>
        <v xml:space="preserve"> </v>
      </c>
      <c r="AE1441" s="490"/>
      <c r="AF1441" s="879"/>
      <c r="AG1441" s="491"/>
    </row>
    <row r="1442" spans="1:33" x14ac:dyDescent="0.2">
      <c r="A1442" s="415">
        <f t="shared" si="44"/>
        <v>1570</v>
      </c>
      <c r="B1442" s="419" t="str">
        <f t="shared" si="45"/>
        <v>Summer</v>
      </c>
      <c r="C1442" s="455"/>
      <c r="D1442" s="504"/>
      <c r="E1442" s="455"/>
      <c r="F1442" s="504"/>
      <c r="G1442" s="455"/>
      <c r="H1442" s="504"/>
      <c r="I1442" s="455"/>
      <c r="J1442" s="504"/>
      <c r="L1442" s="472"/>
      <c r="M1442" s="468"/>
      <c r="N1442" s="468"/>
      <c r="O1442" s="468"/>
      <c r="P1442" s="468"/>
      <c r="Q1442" s="473"/>
      <c r="R1442" s="477" t="str">
        <f>IF(AND(COUNTIF('Start Character'!$I$63:$M$77,"Twilight Prone")=1,NOT(ISERROR(FIND("Magical Botch",M1442)))),"Yes",IF(P1442&gt;1,"Yes","No"))</f>
        <v>No</v>
      </c>
      <c r="S1442" s="501"/>
      <c r="T1442" s="478"/>
      <c r="U1442" s="501"/>
      <c r="V1442" s="479" t="str">
        <f>IF(R1442="No","No Twilight",IF(T1442="Yes","Uncomprehended Twilight",IF((Character!$B$14+IF(Character!$B$53="Yes",0,Character!$B$53)+IF(Magic!$C$5="Yes",2,0)+ROUNDUP((Magic!$B$30+IF(Magic!$C$30="Yes",3,0))/5,0)+S1442)&gt;=($D$3+P1442+SUMIF(Character!$I$62:$I$66,"Enigmatic Wisdom",Character!$J$62:$J$66)+Q1442+U1442),"No Twilight","Twilight")))</f>
        <v>No Twilight</v>
      </c>
      <c r="W1442" s="483"/>
      <c r="X1442" s="478"/>
      <c r="Y1442" s="484"/>
      <c r="Z1442" s="478"/>
      <c r="AA1442" s="485" t="str">
        <f>IF(V1442="Uncomprehended Twilight","Failed",IF(OR(ISBLANK(W1442),ISBLANK(Y1442))," ",IF(NOT(ISBLANK(X1442)),"Failed",IF((W1442+Character!$B$9+SUMIF(Character!$I$62:$I$66,"Enigmatic Wisdom",Character!$J$62:$J$66))&gt;=IF(Z1442="Yes",0,(Y1442+D1437)),"Succeeded","Failed"))))</f>
        <v xml:space="preserve"> </v>
      </c>
      <c r="AB1442" s="477" t="str">
        <f>IF(AA1442=" "," ",IF(NOT(ISBLANK(X1442)),VLOOKUP($D$3+X1442,Calcs!$A$110:$C$122,3,TRUE),IF(AA1442="Failed",VLOOKUP($D$3,Calcs!$A$110:$C$122,3,TRUE),VLOOKUP($D$3-(IF((Character!$B$9+W1442)&gt;($D$3+Y1442),(Character!$B$9+W1442)-($D$3+Y1442),0)),Calcs!$A$110:$C$122,3,TRUE))))</f>
        <v xml:space="preserve"> </v>
      </c>
      <c r="AC1442" s="489"/>
      <c r="AD1442" s="489" t="str">
        <f>IF(IF(AA1442=" "," ",IF(NOT(ISBLANK(X1442)),VLOOKUP($D$3+X1442,Calcs!$A$110:$B$122,2,TRUE),IF(AA1442="Failed",VLOOKUP($D$3,Calcs!$A$110:$B$122,2,TRUE),VLOOKUP($D$3-(IF((Character!$B$9+W1442)&gt;($D$3+Y1442),(Character!$B$9+W1442)-($D$3+Y1442),0)),Calcs!$A$110:$B$122,2,TRUE))))=Calcs!$B$120,IF(ISBLANK(AC1442)," ",CONCATENATE(AC1442+7," Years")),IF(AA1442=" "," ",IF(NOT(ISBLANK(X1442)),VLOOKUP($D$3+X1442,Calcs!$A$110:$B$122,2,TRUE),IF(AA1442="Failed",VLOOKUP($D$3,Calcs!$A$110:$B$122,2,TRUE),VLOOKUP($D$3-(IF((Character!$B$9+W1442)&gt;($D$3+Y1442),(Character!$B$9+W1442)-($D$3+Y1442),0)),Calcs!$A$110:$B$122,2,TRUE)))))</f>
        <v xml:space="preserve"> </v>
      </c>
      <c r="AE1442" s="490"/>
      <c r="AF1442" s="879"/>
      <c r="AG1442" s="491"/>
    </row>
    <row r="1443" spans="1:33" x14ac:dyDescent="0.2">
      <c r="A1443" s="415">
        <f t="shared" si="44"/>
        <v>1570</v>
      </c>
      <c r="B1443" s="419" t="str">
        <f t="shared" si="45"/>
        <v>Autumn</v>
      </c>
      <c r="C1443" s="455"/>
      <c r="D1443" s="504"/>
      <c r="E1443" s="455"/>
      <c r="F1443" s="504"/>
      <c r="G1443" s="455"/>
      <c r="H1443" s="504"/>
      <c r="I1443" s="455"/>
      <c r="J1443" s="504"/>
      <c r="L1443" s="472"/>
      <c r="M1443" s="468"/>
      <c r="N1443" s="468"/>
      <c r="O1443" s="468"/>
      <c r="P1443" s="468"/>
      <c r="Q1443" s="473"/>
      <c r="R1443" s="477" t="str">
        <f>IF(AND(COUNTIF('Start Character'!$I$63:$M$77,"Twilight Prone")=1,NOT(ISERROR(FIND("Magical Botch",M1443)))),"Yes",IF(P1443&gt;1,"Yes","No"))</f>
        <v>No</v>
      </c>
      <c r="S1443" s="501"/>
      <c r="T1443" s="478"/>
      <c r="U1443" s="501"/>
      <c r="V1443" s="479" t="str">
        <f>IF(R1443="No","No Twilight",IF(T1443="Yes","Uncomprehended Twilight",IF((Character!$B$14+IF(Character!$B$53="Yes",0,Character!$B$53)+IF(Magic!$C$5="Yes",2,0)+ROUNDUP((Magic!$B$30+IF(Magic!$C$30="Yes",3,0))/5,0)+S1443)&gt;=($D$3+P1443+SUMIF(Character!$I$62:$I$66,"Enigmatic Wisdom",Character!$J$62:$J$66)+Q1443+U1443),"No Twilight","Twilight")))</f>
        <v>No Twilight</v>
      </c>
      <c r="W1443" s="483"/>
      <c r="X1443" s="478"/>
      <c r="Y1443" s="484"/>
      <c r="Z1443" s="478"/>
      <c r="AA1443" s="485" t="str">
        <f>IF(V1443="Uncomprehended Twilight","Failed",IF(OR(ISBLANK(W1443),ISBLANK(Y1443))," ",IF(NOT(ISBLANK(X1443)),"Failed",IF((W1443+Character!$B$9+SUMIF(Character!$I$62:$I$66,"Enigmatic Wisdom",Character!$J$62:$J$66))&gt;=IF(Z1443="Yes",0,(Y1443+D1438)),"Succeeded","Failed"))))</f>
        <v xml:space="preserve"> </v>
      </c>
      <c r="AB1443" s="477" t="str">
        <f>IF(AA1443=" "," ",IF(NOT(ISBLANK(X1443)),VLOOKUP($D$3+X1443,Calcs!$A$110:$C$122,3,TRUE),IF(AA1443="Failed",VLOOKUP($D$3,Calcs!$A$110:$C$122,3,TRUE),VLOOKUP($D$3-(IF((Character!$B$9+W1443)&gt;($D$3+Y1443),(Character!$B$9+W1443)-($D$3+Y1443),0)),Calcs!$A$110:$C$122,3,TRUE))))</f>
        <v xml:space="preserve"> </v>
      </c>
      <c r="AC1443" s="489"/>
      <c r="AD1443" s="489" t="str">
        <f>IF(IF(AA1443=" "," ",IF(NOT(ISBLANK(X1443)),VLOOKUP($D$3+X1443,Calcs!$A$110:$B$122,2,TRUE),IF(AA1443="Failed",VLOOKUP($D$3,Calcs!$A$110:$B$122,2,TRUE),VLOOKUP($D$3-(IF((Character!$B$9+W1443)&gt;($D$3+Y1443),(Character!$B$9+W1443)-($D$3+Y1443),0)),Calcs!$A$110:$B$122,2,TRUE))))=Calcs!$B$120,IF(ISBLANK(AC1443)," ",CONCATENATE(AC1443+7," Years")),IF(AA1443=" "," ",IF(NOT(ISBLANK(X1443)),VLOOKUP($D$3+X1443,Calcs!$A$110:$B$122,2,TRUE),IF(AA1443="Failed",VLOOKUP($D$3,Calcs!$A$110:$B$122,2,TRUE),VLOOKUP($D$3-(IF((Character!$B$9+W1443)&gt;($D$3+Y1443),(Character!$B$9+W1443)-($D$3+Y1443),0)),Calcs!$A$110:$B$122,2,TRUE)))))</f>
        <v xml:space="preserve"> </v>
      </c>
      <c r="AE1443" s="490"/>
      <c r="AF1443" s="879"/>
      <c r="AG1443" s="491"/>
    </row>
    <row r="1444" spans="1:33" x14ac:dyDescent="0.2">
      <c r="A1444" s="415">
        <f t="shared" si="44"/>
        <v>1571</v>
      </c>
      <c r="B1444" s="419" t="str">
        <f t="shared" si="45"/>
        <v>Winter</v>
      </c>
      <c r="C1444" s="455"/>
      <c r="D1444" s="504"/>
      <c r="E1444" s="455"/>
      <c r="F1444" s="504"/>
      <c r="G1444" s="455"/>
      <c r="H1444" s="504"/>
      <c r="I1444" s="455"/>
      <c r="J1444" s="504"/>
      <c r="L1444" s="472"/>
      <c r="M1444" s="468"/>
      <c r="N1444" s="468"/>
      <c r="O1444" s="468"/>
      <c r="P1444" s="468"/>
      <c r="Q1444" s="473"/>
      <c r="R1444" s="477" t="str">
        <f>IF(AND(COUNTIF('Start Character'!$I$63:$M$77,"Twilight Prone")=1,NOT(ISERROR(FIND("Magical Botch",M1444)))),"Yes",IF(P1444&gt;1,"Yes","No"))</f>
        <v>No</v>
      </c>
      <c r="S1444" s="501"/>
      <c r="T1444" s="478"/>
      <c r="U1444" s="501"/>
      <c r="V1444" s="479" t="str">
        <f>IF(R1444="No","No Twilight",IF(T1444="Yes","Uncomprehended Twilight",IF((Character!$B$14+IF(Character!$B$53="Yes",0,Character!$B$53)+IF(Magic!$C$5="Yes",2,0)+ROUNDUP((Magic!$B$30+IF(Magic!$C$30="Yes",3,0))/5,0)+S1444)&gt;=($D$3+P1444+SUMIF(Character!$I$62:$I$66,"Enigmatic Wisdom",Character!$J$62:$J$66)+Q1444+U1444),"No Twilight","Twilight")))</f>
        <v>No Twilight</v>
      </c>
      <c r="W1444" s="483"/>
      <c r="X1444" s="478"/>
      <c r="Y1444" s="484"/>
      <c r="Z1444" s="478"/>
      <c r="AA1444" s="485" t="str">
        <f>IF(V1444="Uncomprehended Twilight","Failed",IF(OR(ISBLANK(W1444),ISBLANK(Y1444))," ",IF(NOT(ISBLANK(X1444)),"Failed",IF((W1444+Character!$B$9+SUMIF(Character!$I$62:$I$66,"Enigmatic Wisdom",Character!$J$62:$J$66))&gt;=IF(Z1444="Yes",0,(Y1444+D1439)),"Succeeded","Failed"))))</f>
        <v xml:space="preserve"> </v>
      </c>
      <c r="AB1444" s="477" t="str">
        <f>IF(AA1444=" "," ",IF(NOT(ISBLANK(X1444)),VLOOKUP($D$3+X1444,Calcs!$A$110:$C$122,3,TRUE),IF(AA1444="Failed",VLOOKUP($D$3,Calcs!$A$110:$C$122,3,TRUE),VLOOKUP($D$3-(IF((Character!$B$9+W1444)&gt;($D$3+Y1444),(Character!$B$9+W1444)-($D$3+Y1444),0)),Calcs!$A$110:$C$122,3,TRUE))))</f>
        <v xml:space="preserve"> </v>
      </c>
      <c r="AC1444" s="489"/>
      <c r="AD1444" s="489" t="str">
        <f>IF(IF(AA1444=" "," ",IF(NOT(ISBLANK(X1444)),VLOOKUP($D$3+X1444,Calcs!$A$110:$B$122,2,TRUE),IF(AA1444="Failed",VLOOKUP($D$3,Calcs!$A$110:$B$122,2,TRUE),VLOOKUP($D$3-(IF((Character!$B$9+W1444)&gt;($D$3+Y1444),(Character!$B$9+W1444)-($D$3+Y1444),0)),Calcs!$A$110:$B$122,2,TRUE))))=Calcs!$B$120,IF(ISBLANK(AC1444)," ",CONCATENATE(AC1444+7," Years")),IF(AA1444=" "," ",IF(NOT(ISBLANK(X1444)),VLOOKUP($D$3+X1444,Calcs!$A$110:$B$122,2,TRUE),IF(AA1444="Failed",VLOOKUP($D$3,Calcs!$A$110:$B$122,2,TRUE),VLOOKUP($D$3-(IF((Character!$B$9+W1444)&gt;($D$3+Y1444),(Character!$B$9+W1444)-($D$3+Y1444),0)),Calcs!$A$110:$B$122,2,TRUE)))))</f>
        <v xml:space="preserve"> </v>
      </c>
      <c r="AE1444" s="490"/>
      <c r="AF1444" s="879"/>
      <c r="AG1444" s="491"/>
    </row>
    <row r="1445" spans="1:33" x14ac:dyDescent="0.2">
      <c r="A1445" s="415">
        <f t="shared" si="44"/>
        <v>1571</v>
      </c>
      <c r="B1445" s="419" t="str">
        <f t="shared" si="45"/>
        <v>Spring</v>
      </c>
      <c r="C1445" s="455"/>
      <c r="D1445" s="504"/>
      <c r="E1445" s="455"/>
      <c r="F1445" s="504"/>
      <c r="G1445" s="455"/>
      <c r="H1445" s="504"/>
      <c r="I1445" s="455"/>
      <c r="J1445" s="504"/>
      <c r="L1445" s="472"/>
      <c r="M1445" s="468"/>
      <c r="N1445" s="468"/>
      <c r="O1445" s="468"/>
      <c r="P1445" s="468"/>
      <c r="Q1445" s="473"/>
      <c r="R1445" s="477" t="str">
        <f>IF(AND(COUNTIF('Start Character'!$I$63:$M$77,"Twilight Prone")=1,NOT(ISERROR(FIND("Magical Botch",M1445)))),"Yes",IF(P1445&gt;1,"Yes","No"))</f>
        <v>No</v>
      </c>
      <c r="S1445" s="501"/>
      <c r="T1445" s="478"/>
      <c r="U1445" s="501"/>
      <c r="V1445" s="479" t="str">
        <f>IF(R1445="No","No Twilight",IF(T1445="Yes","Uncomprehended Twilight",IF((Character!$B$14+IF(Character!$B$53="Yes",0,Character!$B$53)+IF(Magic!$C$5="Yes",2,0)+ROUNDUP((Magic!$B$30+IF(Magic!$C$30="Yes",3,0))/5,0)+S1445)&gt;=($D$3+P1445+SUMIF(Character!$I$62:$I$66,"Enigmatic Wisdom",Character!$J$62:$J$66)+Q1445+U1445),"No Twilight","Twilight")))</f>
        <v>No Twilight</v>
      </c>
      <c r="W1445" s="483"/>
      <c r="X1445" s="478"/>
      <c r="Y1445" s="484"/>
      <c r="Z1445" s="478"/>
      <c r="AA1445" s="485" t="str">
        <f>IF(V1445="Uncomprehended Twilight","Failed",IF(OR(ISBLANK(W1445),ISBLANK(Y1445))," ",IF(NOT(ISBLANK(X1445)),"Failed",IF((W1445+Character!$B$9+SUMIF(Character!$I$62:$I$66,"Enigmatic Wisdom",Character!$J$62:$J$66))&gt;=IF(Z1445="Yes",0,(Y1445+D1440)),"Succeeded","Failed"))))</f>
        <v xml:space="preserve"> </v>
      </c>
      <c r="AB1445" s="477" t="str">
        <f>IF(AA1445=" "," ",IF(NOT(ISBLANK(X1445)),VLOOKUP($D$3+X1445,Calcs!$A$110:$C$122,3,TRUE),IF(AA1445="Failed",VLOOKUP($D$3,Calcs!$A$110:$C$122,3,TRUE),VLOOKUP($D$3-(IF((Character!$B$9+W1445)&gt;($D$3+Y1445),(Character!$B$9+W1445)-($D$3+Y1445),0)),Calcs!$A$110:$C$122,3,TRUE))))</f>
        <v xml:space="preserve"> </v>
      </c>
      <c r="AC1445" s="489"/>
      <c r="AD1445" s="489" t="str">
        <f>IF(IF(AA1445=" "," ",IF(NOT(ISBLANK(X1445)),VLOOKUP($D$3+X1445,Calcs!$A$110:$B$122,2,TRUE),IF(AA1445="Failed",VLOOKUP($D$3,Calcs!$A$110:$B$122,2,TRUE),VLOOKUP($D$3-(IF((Character!$B$9+W1445)&gt;($D$3+Y1445),(Character!$B$9+W1445)-($D$3+Y1445),0)),Calcs!$A$110:$B$122,2,TRUE))))=Calcs!$B$120,IF(ISBLANK(AC1445)," ",CONCATENATE(AC1445+7," Years")),IF(AA1445=" "," ",IF(NOT(ISBLANK(X1445)),VLOOKUP($D$3+X1445,Calcs!$A$110:$B$122,2,TRUE),IF(AA1445="Failed",VLOOKUP($D$3,Calcs!$A$110:$B$122,2,TRUE),VLOOKUP($D$3-(IF((Character!$B$9+W1445)&gt;($D$3+Y1445),(Character!$B$9+W1445)-($D$3+Y1445),0)),Calcs!$A$110:$B$122,2,TRUE)))))</f>
        <v xml:space="preserve"> </v>
      </c>
      <c r="AE1445" s="490"/>
      <c r="AF1445" s="879"/>
      <c r="AG1445" s="491"/>
    </row>
    <row r="1446" spans="1:33" x14ac:dyDescent="0.2">
      <c r="A1446" s="415">
        <f t="shared" si="44"/>
        <v>1571</v>
      </c>
      <c r="B1446" s="419" t="str">
        <f t="shared" si="45"/>
        <v>Summer</v>
      </c>
      <c r="C1446" s="455"/>
      <c r="D1446" s="504"/>
      <c r="E1446" s="455"/>
      <c r="F1446" s="504"/>
      <c r="G1446" s="455"/>
      <c r="H1446" s="504"/>
      <c r="I1446" s="455"/>
      <c r="J1446" s="504"/>
      <c r="L1446" s="472"/>
      <c r="M1446" s="468"/>
      <c r="N1446" s="468"/>
      <c r="O1446" s="468"/>
      <c r="P1446" s="468"/>
      <c r="Q1446" s="473"/>
      <c r="R1446" s="477" t="str">
        <f>IF(AND(COUNTIF('Start Character'!$I$63:$M$77,"Twilight Prone")=1,NOT(ISERROR(FIND("Magical Botch",M1446)))),"Yes",IF(P1446&gt;1,"Yes","No"))</f>
        <v>No</v>
      </c>
      <c r="S1446" s="501"/>
      <c r="T1446" s="478"/>
      <c r="U1446" s="501"/>
      <c r="V1446" s="479" t="str">
        <f>IF(R1446="No","No Twilight",IF(T1446="Yes","Uncomprehended Twilight",IF((Character!$B$14+IF(Character!$B$53="Yes",0,Character!$B$53)+IF(Magic!$C$5="Yes",2,0)+ROUNDUP((Magic!$B$30+IF(Magic!$C$30="Yes",3,0))/5,0)+S1446)&gt;=($D$3+P1446+SUMIF(Character!$I$62:$I$66,"Enigmatic Wisdom",Character!$J$62:$J$66)+Q1446+U1446),"No Twilight","Twilight")))</f>
        <v>No Twilight</v>
      </c>
      <c r="W1446" s="483"/>
      <c r="X1446" s="478"/>
      <c r="Y1446" s="484"/>
      <c r="Z1446" s="478"/>
      <c r="AA1446" s="485" t="str">
        <f>IF(V1446="Uncomprehended Twilight","Failed",IF(OR(ISBLANK(W1446),ISBLANK(Y1446))," ",IF(NOT(ISBLANK(X1446)),"Failed",IF((W1446+Character!$B$9+SUMIF(Character!$I$62:$I$66,"Enigmatic Wisdom",Character!$J$62:$J$66))&gt;=IF(Z1446="Yes",0,(Y1446+D1441)),"Succeeded","Failed"))))</f>
        <v xml:space="preserve"> </v>
      </c>
      <c r="AB1446" s="477" t="str">
        <f>IF(AA1446=" "," ",IF(NOT(ISBLANK(X1446)),VLOOKUP($D$3+X1446,Calcs!$A$110:$C$122,3,TRUE),IF(AA1446="Failed",VLOOKUP($D$3,Calcs!$A$110:$C$122,3,TRUE),VLOOKUP($D$3-(IF((Character!$B$9+W1446)&gt;($D$3+Y1446),(Character!$B$9+W1446)-($D$3+Y1446),0)),Calcs!$A$110:$C$122,3,TRUE))))</f>
        <v xml:space="preserve"> </v>
      </c>
      <c r="AC1446" s="489"/>
      <c r="AD1446" s="489" t="str">
        <f>IF(IF(AA1446=" "," ",IF(NOT(ISBLANK(X1446)),VLOOKUP($D$3+X1446,Calcs!$A$110:$B$122,2,TRUE),IF(AA1446="Failed",VLOOKUP($D$3,Calcs!$A$110:$B$122,2,TRUE),VLOOKUP($D$3-(IF((Character!$B$9+W1446)&gt;($D$3+Y1446),(Character!$B$9+W1446)-($D$3+Y1446),0)),Calcs!$A$110:$B$122,2,TRUE))))=Calcs!$B$120,IF(ISBLANK(AC1446)," ",CONCATENATE(AC1446+7," Years")),IF(AA1446=" "," ",IF(NOT(ISBLANK(X1446)),VLOOKUP($D$3+X1446,Calcs!$A$110:$B$122,2,TRUE),IF(AA1446="Failed",VLOOKUP($D$3,Calcs!$A$110:$B$122,2,TRUE),VLOOKUP($D$3-(IF((Character!$B$9+W1446)&gt;($D$3+Y1446),(Character!$B$9+W1446)-($D$3+Y1446),0)),Calcs!$A$110:$B$122,2,TRUE)))))</f>
        <v xml:space="preserve"> </v>
      </c>
      <c r="AE1446" s="490"/>
      <c r="AF1446" s="879"/>
      <c r="AG1446" s="491"/>
    </row>
    <row r="1447" spans="1:33" x14ac:dyDescent="0.2">
      <c r="A1447" s="415">
        <f t="shared" si="44"/>
        <v>1571</v>
      </c>
      <c r="B1447" s="419" t="str">
        <f t="shared" si="45"/>
        <v>Autumn</v>
      </c>
      <c r="C1447" s="455"/>
      <c r="D1447" s="504"/>
      <c r="E1447" s="455"/>
      <c r="F1447" s="504"/>
      <c r="G1447" s="455"/>
      <c r="H1447" s="504"/>
      <c r="I1447" s="455"/>
      <c r="J1447" s="504"/>
      <c r="L1447" s="472"/>
      <c r="M1447" s="468"/>
      <c r="N1447" s="468"/>
      <c r="O1447" s="468"/>
      <c r="P1447" s="468"/>
      <c r="Q1447" s="473"/>
      <c r="R1447" s="477" t="str">
        <f>IF(AND(COUNTIF('Start Character'!$I$63:$M$77,"Twilight Prone")=1,NOT(ISERROR(FIND("Magical Botch",M1447)))),"Yes",IF(P1447&gt;1,"Yes","No"))</f>
        <v>No</v>
      </c>
      <c r="S1447" s="501"/>
      <c r="T1447" s="478"/>
      <c r="U1447" s="501"/>
      <c r="V1447" s="479" t="str">
        <f>IF(R1447="No","No Twilight",IF(T1447="Yes","Uncomprehended Twilight",IF((Character!$B$14+IF(Character!$B$53="Yes",0,Character!$B$53)+IF(Magic!$C$5="Yes",2,0)+ROUNDUP((Magic!$B$30+IF(Magic!$C$30="Yes",3,0))/5,0)+S1447)&gt;=($D$3+P1447+SUMIF(Character!$I$62:$I$66,"Enigmatic Wisdom",Character!$J$62:$J$66)+Q1447+U1447),"No Twilight","Twilight")))</f>
        <v>No Twilight</v>
      </c>
      <c r="W1447" s="483"/>
      <c r="X1447" s="478"/>
      <c r="Y1447" s="484"/>
      <c r="Z1447" s="478"/>
      <c r="AA1447" s="485" t="str">
        <f>IF(V1447="Uncomprehended Twilight","Failed",IF(OR(ISBLANK(W1447),ISBLANK(Y1447))," ",IF(NOT(ISBLANK(X1447)),"Failed",IF((W1447+Character!$B$9+SUMIF(Character!$I$62:$I$66,"Enigmatic Wisdom",Character!$J$62:$J$66))&gt;=IF(Z1447="Yes",0,(Y1447+D1442)),"Succeeded","Failed"))))</f>
        <v xml:space="preserve"> </v>
      </c>
      <c r="AB1447" s="477" t="str">
        <f>IF(AA1447=" "," ",IF(NOT(ISBLANK(X1447)),VLOOKUP($D$3+X1447,Calcs!$A$110:$C$122,3,TRUE),IF(AA1447="Failed",VLOOKUP($D$3,Calcs!$A$110:$C$122,3,TRUE),VLOOKUP($D$3-(IF((Character!$B$9+W1447)&gt;($D$3+Y1447),(Character!$B$9+W1447)-($D$3+Y1447),0)),Calcs!$A$110:$C$122,3,TRUE))))</f>
        <v xml:space="preserve"> </v>
      </c>
      <c r="AC1447" s="489"/>
      <c r="AD1447" s="489" t="str">
        <f>IF(IF(AA1447=" "," ",IF(NOT(ISBLANK(X1447)),VLOOKUP($D$3+X1447,Calcs!$A$110:$B$122,2,TRUE),IF(AA1447="Failed",VLOOKUP($D$3,Calcs!$A$110:$B$122,2,TRUE),VLOOKUP($D$3-(IF((Character!$B$9+W1447)&gt;($D$3+Y1447),(Character!$B$9+W1447)-($D$3+Y1447),0)),Calcs!$A$110:$B$122,2,TRUE))))=Calcs!$B$120,IF(ISBLANK(AC1447)," ",CONCATENATE(AC1447+7," Years")),IF(AA1447=" "," ",IF(NOT(ISBLANK(X1447)),VLOOKUP($D$3+X1447,Calcs!$A$110:$B$122,2,TRUE),IF(AA1447="Failed",VLOOKUP($D$3,Calcs!$A$110:$B$122,2,TRUE),VLOOKUP($D$3-(IF((Character!$B$9+W1447)&gt;($D$3+Y1447),(Character!$B$9+W1447)-($D$3+Y1447),0)),Calcs!$A$110:$B$122,2,TRUE)))))</f>
        <v xml:space="preserve"> </v>
      </c>
      <c r="AE1447" s="490"/>
      <c r="AF1447" s="879"/>
      <c r="AG1447" s="491"/>
    </row>
    <row r="1448" spans="1:33" x14ac:dyDescent="0.2">
      <c r="A1448" s="415">
        <f t="shared" si="44"/>
        <v>1572</v>
      </c>
      <c r="B1448" s="419" t="str">
        <f t="shared" si="45"/>
        <v>Winter</v>
      </c>
      <c r="C1448" s="455"/>
      <c r="D1448" s="504"/>
      <c r="E1448" s="455"/>
      <c r="F1448" s="504"/>
      <c r="G1448" s="455"/>
      <c r="H1448" s="504"/>
      <c r="I1448" s="455"/>
      <c r="J1448" s="504"/>
      <c r="L1448" s="472"/>
      <c r="M1448" s="468"/>
      <c r="N1448" s="468"/>
      <c r="O1448" s="468"/>
      <c r="P1448" s="468"/>
      <c r="Q1448" s="473"/>
      <c r="R1448" s="477" t="str">
        <f>IF(AND(COUNTIF('Start Character'!$I$63:$M$77,"Twilight Prone")=1,NOT(ISERROR(FIND("Magical Botch",M1448)))),"Yes",IF(P1448&gt;1,"Yes","No"))</f>
        <v>No</v>
      </c>
      <c r="S1448" s="501"/>
      <c r="T1448" s="478"/>
      <c r="U1448" s="501"/>
      <c r="V1448" s="479" t="str">
        <f>IF(R1448="No","No Twilight",IF(T1448="Yes","Uncomprehended Twilight",IF((Character!$B$14+IF(Character!$B$53="Yes",0,Character!$B$53)+IF(Magic!$C$5="Yes",2,0)+ROUNDUP((Magic!$B$30+IF(Magic!$C$30="Yes",3,0))/5,0)+S1448)&gt;=($D$3+P1448+SUMIF(Character!$I$62:$I$66,"Enigmatic Wisdom",Character!$J$62:$J$66)+Q1448+U1448),"No Twilight","Twilight")))</f>
        <v>No Twilight</v>
      </c>
      <c r="W1448" s="483"/>
      <c r="X1448" s="478"/>
      <c r="Y1448" s="484"/>
      <c r="Z1448" s="478"/>
      <c r="AA1448" s="485" t="str">
        <f>IF(V1448="Uncomprehended Twilight","Failed",IF(OR(ISBLANK(W1448),ISBLANK(Y1448))," ",IF(NOT(ISBLANK(X1448)),"Failed",IF((W1448+Character!$B$9+SUMIF(Character!$I$62:$I$66,"Enigmatic Wisdom",Character!$J$62:$J$66))&gt;=IF(Z1448="Yes",0,(Y1448+D1443)),"Succeeded","Failed"))))</f>
        <v xml:space="preserve"> </v>
      </c>
      <c r="AB1448" s="477" t="str">
        <f>IF(AA1448=" "," ",IF(NOT(ISBLANK(X1448)),VLOOKUP($D$3+X1448,Calcs!$A$110:$C$122,3,TRUE),IF(AA1448="Failed",VLOOKUP($D$3,Calcs!$A$110:$C$122,3,TRUE),VLOOKUP($D$3-(IF((Character!$B$9+W1448)&gt;($D$3+Y1448),(Character!$B$9+W1448)-($D$3+Y1448),0)),Calcs!$A$110:$C$122,3,TRUE))))</f>
        <v xml:space="preserve"> </v>
      </c>
      <c r="AC1448" s="489"/>
      <c r="AD1448" s="489" t="str">
        <f>IF(IF(AA1448=" "," ",IF(NOT(ISBLANK(X1448)),VLOOKUP($D$3+X1448,Calcs!$A$110:$B$122,2,TRUE),IF(AA1448="Failed",VLOOKUP($D$3,Calcs!$A$110:$B$122,2,TRUE),VLOOKUP($D$3-(IF((Character!$B$9+W1448)&gt;($D$3+Y1448),(Character!$B$9+W1448)-($D$3+Y1448),0)),Calcs!$A$110:$B$122,2,TRUE))))=Calcs!$B$120,IF(ISBLANK(AC1448)," ",CONCATENATE(AC1448+7," Years")),IF(AA1448=" "," ",IF(NOT(ISBLANK(X1448)),VLOOKUP($D$3+X1448,Calcs!$A$110:$B$122,2,TRUE),IF(AA1448="Failed",VLOOKUP($D$3,Calcs!$A$110:$B$122,2,TRUE),VLOOKUP($D$3-(IF((Character!$B$9+W1448)&gt;($D$3+Y1448),(Character!$B$9+W1448)-($D$3+Y1448),0)),Calcs!$A$110:$B$122,2,TRUE)))))</f>
        <v xml:space="preserve"> </v>
      </c>
      <c r="AE1448" s="490"/>
      <c r="AF1448" s="879"/>
      <c r="AG1448" s="491"/>
    </row>
    <row r="1449" spans="1:33" x14ac:dyDescent="0.2">
      <c r="A1449" s="415">
        <f t="shared" si="44"/>
        <v>1572</v>
      </c>
      <c r="B1449" s="419" t="str">
        <f t="shared" si="45"/>
        <v>Spring</v>
      </c>
      <c r="C1449" s="455"/>
      <c r="D1449" s="504"/>
      <c r="E1449" s="455"/>
      <c r="F1449" s="504"/>
      <c r="G1449" s="455"/>
      <c r="H1449" s="504"/>
      <c r="I1449" s="455"/>
      <c r="J1449" s="504"/>
      <c r="L1449" s="472"/>
      <c r="M1449" s="468"/>
      <c r="N1449" s="468"/>
      <c r="O1449" s="468"/>
      <c r="P1449" s="468"/>
      <c r="Q1449" s="473"/>
      <c r="R1449" s="477" t="str">
        <f>IF(AND(COUNTIF('Start Character'!$I$63:$M$77,"Twilight Prone")=1,NOT(ISERROR(FIND("Magical Botch",M1449)))),"Yes",IF(P1449&gt;1,"Yes","No"))</f>
        <v>No</v>
      </c>
      <c r="S1449" s="501"/>
      <c r="T1449" s="478"/>
      <c r="U1449" s="501"/>
      <c r="V1449" s="479" t="str">
        <f>IF(R1449="No","No Twilight",IF(T1449="Yes","Uncomprehended Twilight",IF((Character!$B$14+IF(Character!$B$53="Yes",0,Character!$B$53)+IF(Magic!$C$5="Yes",2,0)+ROUNDUP((Magic!$B$30+IF(Magic!$C$30="Yes",3,0))/5,0)+S1449)&gt;=($D$3+P1449+SUMIF(Character!$I$62:$I$66,"Enigmatic Wisdom",Character!$J$62:$J$66)+Q1449+U1449),"No Twilight","Twilight")))</f>
        <v>No Twilight</v>
      </c>
      <c r="W1449" s="483"/>
      <c r="X1449" s="478"/>
      <c r="Y1449" s="484"/>
      <c r="Z1449" s="478"/>
      <c r="AA1449" s="485" t="str">
        <f>IF(V1449="Uncomprehended Twilight","Failed",IF(OR(ISBLANK(W1449),ISBLANK(Y1449))," ",IF(NOT(ISBLANK(X1449)),"Failed",IF((W1449+Character!$B$9+SUMIF(Character!$I$62:$I$66,"Enigmatic Wisdom",Character!$J$62:$J$66))&gt;=IF(Z1449="Yes",0,(Y1449+D1444)),"Succeeded","Failed"))))</f>
        <v xml:space="preserve"> </v>
      </c>
      <c r="AB1449" s="477" t="str">
        <f>IF(AA1449=" "," ",IF(NOT(ISBLANK(X1449)),VLOOKUP($D$3+X1449,Calcs!$A$110:$C$122,3,TRUE),IF(AA1449="Failed",VLOOKUP($D$3,Calcs!$A$110:$C$122,3,TRUE),VLOOKUP($D$3-(IF((Character!$B$9+W1449)&gt;($D$3+Y1449),(Character!$B$9+W1449)-($D$3+Y1449),0)),Calcs!$A$110:$C$122,3,TRUE))))</f>
        <v xml:space="preserve"> </v>
      </c>
      <c r="AC1449" s="489"/>
      <c r="AD1449" s="489" t="str">
        <f>IF(IF(AA1449=" "," ",IF(NOT(ISBLANK(X1449)),VLOOKUP($D$3+X1449,Calcs!$A$110:$B$122,2,TRUE),IF(AA1449="Failed",VLOOKUP($D$3,Calcs!$A$110:$B$122,2,TRUE),VLOOKUP($D$3-(IF((Character!$B$9+W1449)&gt;($D$3+Y1449),(Character!$B$9+W1449)-($D$3+Y1449),0)),Calcs!$A$110:$B$122,2,TRUE))))=Calcs!$B$120,IF(ISBLANK(AC1449)," ",CONCATENATE(AC1449+7," Years")),IF(AA1449=" "," ",IF(NOT(ISBLANK(X1449)),VLOOKUP($D$3+X1449,Calcs!$A$110:$B$122,2,TRUE),IF(AA1449="Failed",VLOOKUP($D$3,Calcs!$A$110:$B$122,2,TRUE),VLOOKUP($D$3-(IF((Character!$B$9+W1449)&gt;($D$3+Y1449),(Character!$B$9+W1449)-($D$3+Y1449),0)),Calcs!$A$110:$B$122,2,TRUE)))))</f>
        <v xml:space="preserve"> </v>
      </c>
      <c r="AE1449" s="490"/>
      <c r="AF1449" s="879"/>
      <c r="AG1449" s="491"/>
    </row>
    <row r="1450" spans="1:33" x14ac:dyDescent="0.2">
      <c r="A1450" s="415">
        <f t="shared" si="44"/>
        <v>1572</v>
      </c>
      <c r="B1450" s="419" t="str">
        <f t="shared" si="45"/>
        <v>Summer</v>
      </c>
      <c r="C1450" s="455"/>
      <c r="D1450" s="504"/>
      <c r="E1450" s="455"/>
      <c r="F1450" s="504"/>
      <c r="G1450" s="455"/>
      <c r="H1450" s="504"/>
      <c r="I1450" s="455"/>
      <c r="J1450" s="504"/>
      <c r="L1450" s="472"/>
      <c r="M1450" s="468"/>
      <c r="N1450" s="468"/>
      <c r="O1450" s="468"/>
      <c r="P1450" s="468"/>
      <c r="Q1450" s="473"/>
      <c r="R1450" s="477" t="str">
        <f>IF(AND(COUNTIF('Start Character'!$I$63:$M$77,"Twilight Prone")=1,NOT(ISERROR(FIND("Magical Botch",M1450)))),"Yes",IF(P1450&gt;1,"Yes","No"))</f>
        <v>No</v>
      </c>
      <c r="S1450" s="501"/>
      <c r="T1450" s="478"/>
      <c r="U1450" s="501"/>
      <c r="V1450" s="479" t="str">
        <f>IF(R1450="No","No Twilight",IF(T1450="Yes","Uncomprehended Twilight",IF((Character!$B$14+IF(Character!$B$53="Yes",0,Character!$B$53)+IF(Magic!$C$5="Yes",2,0)+ROUNDUP((Magic!$B$30+IF(Magic!$C$30="Yes",3,0))/5,0)+S1450)&gt;=($D$3+P1450+SUMIF(Character!$I$62:$I$66,"Enigmatic Wisdom",Character!$J$62:$J$66)+Q1450+U1450),"No Twilight","Twilight")))</f>
        <v>No Twilight</v>
      </c>
      <c r="W1450" s="483"/>
      <c r="X1450" s="478"/>
      <c r="Y1450" s="484"/>
      <c r="Z1450" s="478"/>
      <c r="AA1450" s="485" t="str">
        <f>IF(V1450="Uncomprehended Twilight","Failed",IF(OR(ISBLANK(W1450),ISBLANK(Y1450))," ",IF(NOT(ISBLANK(X1450)),"Failed",IF((W1450+Character!$B$9+SUMIF(Character!$I$62:$I$66,"Enigmatic Wisdom",Character!$J$62:$J$66))&gt;=IF(Z1450="Yes",0,(Y1450+D1445)),"Succeeded","Failed"))))</f>
        <v xml:space="preserve"> </v>
      </c>
      <c r="AB1450" s="477" t="str">
        <f>IF(AA1450=" "," ",IF(NOT(ISBLANK(X1450)),VLOOKUP($D$3+X1450,Calcs!$A$110:$C$122,3,TRUE),IF(AA1450="Failed",VLOOKUP($D$3,Calcs!$A$110:$C$122,3,TRUE),VLOOKUP($D$3-(IF((Character!$B$9+W1450)&gt;($D$3+Y1450),(Character!$B$9+W1450)-($D$3+Y1450),0)),Calcs!$A$110:$C$122,3,TRUE))))</f>
        <v xml:space="preserve"> </v>
      </c>
      <c r="AC1450" s="489"/>
      <c r="AD1450" s="489" t="str">
        <f>IF(IF(AA1450=" "," ",IF(NOT(ISBLANK(X1450)),VLOOKUP($D$3+X1450,Calcs!$A$110:$B$122,2,TRUE),IF(AA1450="Failed",VLOOKUP($D$3,Calcs!$A$110:$B$122,2,TRUE),VLOOKUP($D$3-(IF((Character!$B$9+W1450)&gt;($D$3+Y1450),(Character!$B$9+W1450)-($D$3+Y1450),0)),Calcs!$A$110:$B$122,2,TRUE))))=Calcs!$B$120,IF(ISBLANK(AC1450)," ",CONCATENATE(AC1450+7," Years")),IF(AA1450=" "," ",IF(NOT(ISBLANK(X1450)),VLOOKUP($D$3+X1450,Calcs!$A$110:$B$122,2,TRUE),IF(AA1450="Failed",VLOOKUP($D$3,Calcs!$A$110:$B$122,2,TRUE),VLOOKUP($D$3-(IF((Character!$B$9+W1450)&gt;($D$3+Y1450),(Character!$B$9+W1450)-($D$3+Y1450),0)),Calcs!$A$110:$B$122,2,TRUE)))))</f>
        <v xml:space="preserve"> </v>
      </c>
      <c r="AE1450" s="490"/>
      <c r="AF1450" s="879"/>
      <c r="AG1450" s="491"/>
    </row>
    <row r="1451" spans="1:33" x14ac:dyDescent="0.2">
      <c r="A1451" s="415">
        <f t="shared" si="44"/>
        <v>1572</v>
      </c>
      <c r="B1451" s="419" t="str">
        <f t="shared" si="45"/>
        <v>Autumn</v>
      </c>
      <c r="C1451" s="455"/>
      <c r="D1451" s="504"/>
      <c r="E1451" s="455"/>
      <c r="F1451" s="504"/>
      <c r="G1451" s="455"/>
      <c r="H1451" s="504"/>
      <c r="I1451" s="455"/>
      <c r="J1451" s="504"/>
      <c r="L1451" s="472"/>
      <c r="M1451" s="468"/>
      <c r="N1451" s="468"/>
      <c r="O1451" s="468"/>
      <c r="P1451" s="468"/>
      <c r="Q1451" s="473"/>
      <c r="R1451" s="477" t="str">
        <f>IF(AND(COUNTIF('Start Character'!$I$63:$M$77,"Twilight Prone")=1,NOT(ISERROR(FIND("Magical Botch",M1451)))),"Yes",IF(P1451&gt;1,"Yes","No"))</f>
        <v>No</v>
      </c>
      <c r="S1451" s="501"/>
      <c r="T1451" s="478"/>
      <c r="U1451" s="501"/>
      <c r="V1451" s="479" t="str">
        <f>IF(R1451="No","No Twilight",IF(T1451="Yes","Uncomprehended Twilight",IF((Character!$B$14+IF(Character!$B$53="Yes",0,Character!$B$53)+IF(Magic!$C$5="Yes",2,0)+ROUNDUP((Magic!$B$30+IF(Magic!$C$30="Yes",3,0))/5,0)+S1451)&gt;=($D$3+P1451+SUMIF(Character!$I$62:$I$66,"Enigmatic Wisdom",Character!$J$62:$J$66)+Q1451+U1451),"No Twilight","Twilight")))</f>
        <v>No Twilight</v>
      </c>
      <c r="W1451" s="483"/>
      <c r="X1451" s="478"/>
      <c r="Y1451" s="484"/>
      <c r="Z1451" s="478"/>
      <c r="AA1451" s="485" t="str">
        <f>IF(V1451="Uncomprehended Twilight","Failed",IF(OR(ISBLANK(W1451),ISBLANK(Y1451))," ",IF(NOT(ISBLANK(X1451)),"Failed",IF((W1451+Character!$B$9+SUMIF(Character!$I$62:$I$66,"Enigmatic Wisdom",Character!$J$62:$J$66))&gt;=IF(Z1451="Yes",0,(Y1451+D1446)),"Succeeded","Failed"))))</f>
        <v xml:space="preserve"> </v>
      </c>
      <c r="AB1451" s="477" t="str">
        <f>IF(AA1451=" "," ",IF(NOT(ISBLANK(X1451)),VLOOKUP($D$3+X1451,Calcs!$A$110:$C$122,3,TRUE),IF(AA1451="Failed",VLOOKUP($D$3,Calcs!$A$110:$C$122,3,TRUE),VLOOKUP($D$3-(IF((Character!$B$9+W1451)&gt;($D$3+Y1451),(Character!$B$9+W1451)-($D$3+Y1451),0)),Calcs!$A$110:$C$122,3,TRUE))))</f>
        <v xml:space="preserve"> </v>
      </c>
      <c r="AC1451" s="489"/>
      <c r="AD1451" s="489" t="str">
        <f>IF(IF(AA1451=" "," ",IF(NOT(ISBLANK(X1451)),VLOOKUP($D$3+X1451,Calcs!$A$110:$B$122,2,TRUE),IF(AA1451="Failed",VLOOKUP($D$3,Calcs!$A$110:$B$122,2,TRUE),VLOOKUP($D$3-(IF((Character!$B$9+W1451)&gt;($D$3+Y1451),(Character!$B$9+W1451)-($D$3+Y1451),0)),Calcs!$A$110:$B$122,2,TRUE))))=Calcs!$B$120,IF(ISBLANK(AC1451)," ",CONCATENATE(AC1451+7," Years")),IF(AA1451=" "," ",IF(NOT(ISBLANK(X1451)),VLOOKUP($D$3+X1451,Calcs!$A$110:$B$122,2,TRUE),IF(AA1451="Failed",VLOOKUP($D$3,Calcs!$A$110:$B$122,2,TRUE),VLOOKUP($D$3-(IF((Character!$B$9+W1451)&gt;($D$3+Y1451),(Character!$B$9+W1451)-($D$3+Y1451),0)),Calcs!$A$110:$B$122,2,TRUE)))))</f>
        <v xml:space="preserve"> </v>
      </c>
      <c r="AE1451" s="490"/>
      <c r="AF1451" s="879"/>
      <c r="AG1451" s="491"/>
    </row>
    <row r="1452" spans="1:33" x14ac:dyDescent="0.2">
      <c r="A1452" s="415">
        <f t="shared" si="44"/>
        <v>1573</v>
      </c>
      <c r="B1452" s="419" t="str">
        <f t="shared" si="45"/>
        <v>Winter</v>
      </c>
      <c r="C1452" s="455"/>
      <c r="D1452" s="504"/>
      <c r="E1452" s="455"/>
      <c r="F1452" s="504"/>
      <c r="G1452" s="455"/>
      <c r="H1452" s="504"/>
      <c r="I1452" s="455"/>
      <c r="J1452" s="504"/>
      <c r="L1452" s="472"/>
      <c r="M1452" s="468"/>
      <c r="N1452" s="468"/>
      <c r="O1452" s="468"/>
      <c r="P1452" s="468"/>
      <c r="Q1452" s="473"/>
      <c r="R1452" s="477" t="str">
        <f>IF(AND(COUNTIF('Start Character'!$I$63:$M$77,"Twilight Prone")=1,NOT(ISERROR(FIND("Magical Botch",M1452)))),"Yes",IF(P1452&gt;1,"Yes","No"))</f>
        <v>No</v>
      </c>
      <c r="S1452" s="501"/>
      <c r="T1452" s="478"/>
      <c r="U1452" s="501"/>
      <c r="V1452" s="479" t="str">
        <f>IF(R1452="No","No Twilight",IF(T1452="Yes","Uncomprehended Twilight",IF((Character!$B$14+IF(Character!$B$53="Yes",0,Character!$B$53)+IF(Magic!$C$5="Yes",2,0)+ROUNDUP((Magic!$B$30+IF(Magic!$C$30="Yes",3,0))/5,0)+S1452)&gt;=($D$3+P1452+SUMIF(Character!$I$62:$I$66,"Enigmatic Wisdom",Character!$J$62:$J$66)+Q1452+U1452),"No Twilight","Twilight")))</f>
        <v>No Twilight</v>
      </c>
      <c r="W1452" s="483"/>
      <c r="X1452" s="478"/>
      <c r="Y1452" s="484"/>
      <c r="Z1452" s="478"/>
      <c r="AA1452" s="485" t="str">
        <f>IF(V1452="Uncomprehended Twilight","Failed",IF(OR(ISBLANK(W1452),ISBLANK(Y1452))," ",IF(NOT(ISBLANK(X1452)),"Failed",IF((W1452+Character!$B$9+SUMIF(Character!$I$62:$I$66,"Enigmatic Wisdom",Character!$J$62:$J$66))&gt;=IF(Z1452="Yes",0,(Y1452+D1447)),"Succeeded","Failed"))))</f>
        <v xml:space="preserve"> </v>
      </c>
      <c r="AB1452" s="477" t="str">
        <f>IF(AA1452=" "," ",IF(NOT(ISBLANK(X1452)),VLOOKUP($D$3+X1452,Calcs!$A$110:$C$122,3,TRUE),IF(AA1452="Failed",VLOOKUP($D$3,Calcs!$A$110:$C$122,3,TRUE),VLOOKUP($D$3-(IF((Character!$B$9+W1452)&gt;($D$3+Y1452),(Character!$B$9+W1452)-($D$3+Y1452),0)),Calcs!$A$110:$C$122,3,TRUE))))</f>
        <v xml:space="preserve"> </v>
      </c>
      <c r="AC1452" s="489"/>
      <c r="AD1452" s="489" t="str">
        <f>IF(IF(AA1452=" "," ",IF(NOT(ISBLANK(X1452)),VLOOKUP($D$3+X1452,Calcs!$A$110:$B$122,2,TRUE),IF(AA1452="Failed",VLOOKUP($D$3,Calcs!$A$110:$B$122,2,TRUE),VLOOKUP($D$3-(IF((Character!$B$9+W1452)&gt;($D$3+Y1452),(Character!$B$9+W1452)-($D$3+Y1452),0)),Calcs!$A$110:$B$122,2,TRUE))))=Calcs!$B$120,IF(ISBLANK(AC1452)," ",CONCATENATE(AC1452+7," Years")),IF(AA1452=" "," ",IF(NOT(ISBLANK(X1452)),VLOOKUP($D$3+X1452,Calcs!$A$110:$B$122,2,TRUE),IF(AA1452="Failed",VLOOKUP($D$3,Calcs!$A$110:$B$122,2,TRUE),VLOOKUP($D$3-(IF((Character!$B$9+W1452)&gt;($D$3+Y1452),(Character!$B$9+W1452)-($D$3+Y1452),0)),Calcs!$A$110:$B$122,2,TRUE)))))</f>
        <v xml:space="preserve"> </v>
      </c>
      <c r="AE1452" s="490"/>
      <c r="AF1452" s="879"/>
      <c r="AG1452" s="491"/>
    </row>
    <row r="1453" spans="1:33" x14ac:dyDescent="0.2">
      <c r="A1453" s="415">
        <f t="shared" si="44"/>
        <v>1573</v>
      </c>
      <c r="B1453" s="419" t="str">
        <f t="shared" si="45"/>
        <v>Spring</v>
      </c>
      <c r="C1453" s="455"/>
      <c r="D1453" s="504"/>
      <c r="E1453" s="455"/>
      <c r="F1453" s="504"/>
      <c r="G1453" s="455"/>
      <c r="H1453" s="504"/>
      <c r="I1453" s="455"/>
      <c r="J1453" s="504"/>
      <c r="L1453" s="472"/>
      <c r="M1453" s="468"/>
      <c r="N1453" s="468"/>
      <c r="O1453" s="468"/>
      <c r="P1453" s="468"/>
      <c r="Q1453" s="473"/>
      <c r="R1453" s="477" t="str">
        <f>IF(AND(COUNTIF('Start Character'!$I$63:$M$77,"Twilight Prone")=1,NOT(ISERROR(FIND("Magical Botch",M1453)))),"Yes",IF(P1453&gt;1,"Yes","No"))</f>
        <v>No</v>
      </c>
      <c r="S1453" s="501"/>
      <c r="T1453" s="478"/>
      <c r="U1453" s="501"/>
      <c r="V1453" s="479" t="str">
        <f>IF(R1453="No","No Twilight",IF(T1453="Yes","Uncomprehended Twilight",IF((Character!$B$14+IF(Character!$B$53="Yes",0,Character!$B$53)+IF(Magic!$C$5="Yes",2,0)+ROUNDUP((Magic!$B$30+IF(Magic!$C$30="Yes",3,0))/5,0)+S1453)&gt;=($D$3+P1453+SUMIF(Character!$I$62:$I$66,"Enigmatic Wisdom",Character!$J$62:$J$66)+Q1453+U1453),"No Twilight","Twilight")))</f>
        <v>No Twilight</v>
      </c>
      <c r="W1453" s="483"/>
      <c r="X1453" s="478"/>
      <c r="Y1453" s="484"/>
      <c r="Z1453" s="478"/>
      <c r="AA1453" s="485" t="str">
        <f>IF(V1453="Uncomprehended Twilight","Failed",IF(OR(ISBLANK(W1453),ISBLANK(Y1453))," ",IF(NOT(ISBLANK(X1453)),"Failed",IF((W1453+Character!$B$9+SUMIF(Character!$I$62:$I$66,"Enigmatic Wisdom",Character!$J$62:$J$66))&gt;=IF(Z1453="Yes",0,(Y1453+D1448)),"Succeeded","Failed"))))</f>
        <v xml:space="preserve"> </v>
      </c>
      <c r="AB1453" s="477" t="str">
        <f>IF(AA1453=" "," ",IF(NOT(ISBLANK(X1453)),VLOOKUP($D$3+X1453,Calcs!$A$110:$C$122,3,TRUE),IF(AA1453="Failed",VLOOKUP($D$3,Calcs!$A$110:$C$122,3,TRUE),VLOOKUP($D$3-(IF((Character!$B$9+W1453)&gt;($D$3+Y1453),(Character!$B$9+W1453)-($D$3+Y1453),0)),Calcs!$A$110:$C$122,3,TRUE))))</f>
        <v xml:space="preserve"> </v>
      </c>
      <c r="AC1453" s="489"/>
      <c r="AD1453" s="489" t="str">
        <f>IF(IF(AA1453=" "," ",IF(NOT(ISBLANK(X1453)),VLOOKUP($D$3+X1453,Calcs!$A$110:$B$122,2,TRUE),IF(AA1453="Failed",VLOOKUP($D$3,Calcs!$A$110:$B$122,2,TRUE),VLOOKUP($D$3-(IF((Character!$B$9+W1453)&gt;($D$3+Y1453),(Character!$B$9+W1453)-($D$3+Y1453),0)),Calcs!$A$110:$B$122,2,TRUE))))=Calcs!$B$120,IF(ISBLANK(AC1453)," ",CONCATENATE(AC1453+7," Years")),IF(AA1453=" "," ",IF(NOT(ISBLANK(X1453)),VLOOKUP($D$3+X1453,Calcs!$A$110:$B$122,2,TRUE),IF(AA1453="Failed",VLOOKUP($D$3,Calcs!$A$110:$B$122,2,TRUE),VLOOKUP($D$3-(IF((Character!$B$9+W1453)&gt;($D$3+Y1453),(Character!$B$9+W1453)-($D$3+Y1453),0)),Calcs!$A$110:$B$122,2,TRUE)))))</f>
        <v xml:space="preserve"> </v>
      </c>
      <c r="AE1453" s="490"/>
      <c r="AF1453" s="879"/>
      <c r="AG1453" s="491"/>
    </row>
    <row r="1454" spans="1:33" x14ac:dyDescent="0.2">
      <c r="A1454" s="415">
        <f t="shared" si="44"/>
        <v>1573</v>
      </c>
      <c r="B1454" s="419" t="str">
        <f t="shared" si="45"/>
        <v>Summer</v>
      </c>
      <c r="C1454" s="455"/>
      <c r="D1454" s="504"/>
      <c r="E1454" s="455"/>
      <c r="F1454" s="504"/>
      <c r="G1454" s="455"/>
      <c r="H1454" s="504"/>
      <c r="I1454" s="455"/>
      <c r="J1454" s="504"/>
      <c r="L1454" s="472"/>
      <c r="M1454" s="468"/>
      <c r="N1454" s="468"/>
      <c r="O1454" s="468"/>
      <c r="P1454" s="468"/>
      <c r="Q1454" s="473"/>
      <c r="R1454" s="477" t="str">
        <f>IF(AND(COUNTIF('Start Character'!$I$63:$M$77,"Twilight Prone")=1,NOT(ISERROR(FIND("Magical Botch",M1454)))),"Yes",IF(P1454&gt;1,"Yes","No"))</f>
        <v>No</v>
      </c>
      <c r="S1454" s="501"/>
      <c r="T1454" s="478"/>
      <c r="U1454" s="501"/>
      <c r="V1454" s="479" t="str">
        <f>IF(R1454="No","No Twilight",IF(T1454="Yes","Uncomprehended Twilight",IF((Character!$B$14+IF(Character!$B$53="Yes",0,Character!$B$53)+IF(Magic!$C$5="Yes",2,0)+ROUNDUP((Magic!$B$30+IF(Magic!$C$30="Yes",3,0))/5,0)+S1454)&gt;=($D$3+P1454+SUMIF(Character!$I$62:$I$66,"Enigmatic Wisdom",Character!$J$62:$J$66)+Q1454+U1454),"No Twilight","Twilight")))</f>
        <v>No Twilight</v>
      </c>
      <c r="W1454" s="483"/>
      <c r="X1454" s="478"/>
      <c r="Y1454" s="484"/>
      <c r="Z1454" s="478"/>
      <c r="AA1454" s="485" t="str">
        <f>IF(V1454="Uncomprehended Twilight","Failed",IF(OR(ISBLANK(W1454),ISBLANK(Y1454))," ",IF(NOT(ISBLANK(X1454)),"Failed",IF((W1454+Character!$B$9+SUMIF(Character!$I$62:$I$66,"Enigmatic Wisdom",Character!$J$62:$J$66))&gt;=IF(Z1454="Yes",0,(Y1454+D1449)),"Succeeded","Failed"))))</f>
        <v xml:space="preserve"> </v>
      </c>
      <c r="AB1454" s="477" t="str">
        <f>IF(AA1454=" "," ",IF(NOT(ISBLANK(X1454)),VLOOKUP($D$3+X1454,Calcs!$A$110:$C$122,3,TRUE),IF(AA1454="Failed",VLOOKUP($D$3,Calcs!$A$110:$C$122,3,TRUE),VLOOKUP($D$3-(IF((Character!$B$9+W1454)&gt;($D$3+Y1454),(Character!$B$9+W1454)-($D$3+Y1454),0)),Calcs!$A$110:$C$122,3,TRUE))))</f>
        <v xml:space="preserve"> </v>
      </c>
      <c r="AC1454" s="489"/>
      <c r="AD1454" s="489" t="str">
        <f>IF(IF(AA1454=" "," ",IF(NOT(ISBLANK(X1454)),VLOOKUP($D$3+X1454,Calcs!$A$110:$B$122,2,TRUE),IF(AA1454="Failed",VLOOKUP($D$3,Calcs!$A$110:$B$122,2,TRUE),VLOOKUP($D$3-(IF((Character!$B$9+W1454)&gt;($D$3+Y1454),(Character!$B$9+W1454)-($D$3+Y1454),0)),Calcs!$A$110:$B$122,2,TRUE))))=Calcs!$B$120,IF(ISBLANK(AC1454)," ",CONCATENATE(AC1454+7," Years")),IF(AA1454=" "," ",IF(NOT(ISBLANK(X1454)),VLOOKUP($D$3+X1454,Calcs!$A$110:$B$122,2,TRUE),IF(AA1454="Failed",VLOOKUP($D$3,Calcs!$A$110:$B$122,2,TRUE),VLOOKUP($D$3-(IF((Character!$B$9+W1454)&gt;($D$3+Y1454),(Character!$B$9+W1454)-($D$3+Y1454),0)),Calcs!$A$110:$B$122,2,TRUE)))))</f>
        <v xml:space="preserve"> </v>
      </c>
      <c r="AE1454" s="490"/>
      <c r="AF1454" s="879"/>
      <c r="AG1454" s="491"/>
    </row>
    <row r="1455" spans="1:33" x14ac:dyDescent="0.2">
      <c r="A1455" s="415">
        <f t="shared" si="44"/>
        <v>1573</v>
      </c>
      <c r="B1455" s="419" t="str">
        <f t="shared" si="45"/>
        <v>Autumn</v>
      </c>
      <c r="C1455" s="455"/>
      <c r="D1455" s="504"/>
      <c r="E1455" s="455"/>
      <c r="F1455" s="504"/>
      <c r="G1455" s="455"/>
      <c r="H1455" s="504"/>
      <c r="I1455" s="455"/>
      <c r="J1455" s="504"/>
      <c r="L1455" s="472"/>
      <c r="M1455" s="468"/>
      <c r="N1455" s="468"/>
      <c r="O1455" s="468"/>
      <c r="P1455" s="468"/>
      <c r="Q1455" s="473"/>
      <c r="R1455" s="477" t="str">
        <f>IF(AND(COUNTIF('Start Character'!$I$63:$M$77,"Twilight Prone")=1,NOT(ISERROR(FIND("Magical Botch",M1455)))),"Yes",IF(P1455&gt;1,"Yes","No"))</f>
        <v>No</v>
      </c>
      <c r="S1455" s="501"/>
      <c r="T1455" s="478"/>
      <c r="U1455" s="501"/>
      <c r="V1455" s="479" t="str">
        <f>IF(R1455="No","No Twilight",IF(T1455="Yes","Uncomprehended Twilight",IF((Character!$B$14+IF(Character!$B$53="Yes",0,Character!$B$53)+IF(Magic!$C$5="Yes",2,0)+ROUNDUP((Magic!$B$30+IF(Magic!$C$30="Yes",3,0))/5,0)+S1455)&gt;=($D$3+P1455+SUMIF(Character!$I$62:$I$66,"Enigmatic Wisdom",Character!$J$62:$J$66)+Q1455+U1455),"No Twilight","Twilight")))</f>
        <v>No Twilight</v>
      </c>
      <c r="W1455" s="483"/>
      <c r="X1455" s="478"/>
      <c r="Y1455" s="484"/>
      <c r="Z1455" s="478"/>
      <c r="AA1455" s="485" t="str">
        <f>IF(V1455="Uncomprehended Twilight","Failed",IF(OR(ISBLANK(W1455),ISBLANK(Y1455))," ",IF(NOT(ISBLANK(X1455)),"Failed",IF((W1455+Character!$B$9+SUMIF(Character!$I$62:$I$66,"Enigmatic Wisdom",Character!$J$62:$J$66))&gt;=IF(Z1455="Yes",0,(Y1455+D1450)),"Succeeded","Failed"))))</f>
        <v xml:space="preserve"> </v>
      </c>
      <c r="AB1455" s="477" t="str">
        <f>IF(AA1455=" "," ",IF(NOT(ISBLANK(X1455)),VLOOKUP($D$3+X1455,Calcs!$A$110:$C$122,3,TRUE),IF(AA1455="Failed",VLOOKUP($D$3,Calcs!$A$110:$C$122,3,TRUE),VLOOKUP($D$3-(IF((Character!$B$9+W1455)&gt;($D$3+Y1455),(Character!$B$9+W1455)-($D$3+Y1455),0)),Calcs!$A$110:$C$122,3,TRUE))))</f>
        <v xml:space="preserve"> </v>
      </c>
      <c r="AC1455" s="489"/>
      <c r="AD1455" s="489" t="str">
        <f>IF(IF(AA1455=" "," ",IF(NOT(ISBLANK(X1455)),VLOOKUP($D$3+X1455,Calcs!$A$110:$B$122,2,TRUE),IF(AA1455="Failed",VLOOKUP($D$3,Calcs!$A$110:$B$122,2,TRUE),VLOOKUP($D$3-(IF((Character!$B$9+W1455)&gt;($D$3+Y1455),(Character!$B$9+W1455)-($D$3+Y1455),0)),Calcs!$A$110:$B$122,2,TRUE))))=Calcs!$B$120,IF(ISBLANK(AC1455)," ",CONCATENATE(AC1455+7," Years")),IF(AA1455=" "," ",IF(NOT(ISBLANK(X1455)),VLOOKUP($D$3+X1455,Calcs!$A$110:$B$122,2,TRUE),IF(AA1455="Failed",VLOOKUP($D$3,Calcs!$A$110:$B$122,2,TRUE),VLOOKUP($D$3-(IF((Character!$B$9+W1455)&gt;($D$3+Y1455),(Character!$B$9+W1455)-($D$3+Y1455),0)),Calcs!$A$110:$B$122,2,TRUE)))))</f>
        <v xml:space="preserve"> </v>
      </c>
      <c r="AE1455" s="490"/>
      <c r="AF1455" s="879"/>
      <c r="AG1455" s="491"/>
    </row>
    <row r="1456" spans="1:33" x14ac:dyDescent="0.2">
      <c r="A1456" s="415">
        <f t="shared" si="44"/>
        <v>1574</v>
      </c>
      <c r="B1456" s="419" t="str">
        <f t="shared" si="45"/>
        <v>Winter</v>
      </c>
      <c r="C1456" s="455"/>
      <c r="D1456" s="504"/>
      <c r="E1456" s="455"/>
      <c r="F1456" s="504"/>
      <c r="G1456" s="455"/>
      <c r="H1456" s="504"/>
      <c r="I1456" s="455"/>
      <c r="J1456" s="504"/>
      <c r="L1456" s="472"/>
      <c r="M1456" s="468"/>
      <c r="N1456" s="468"/>
      <c r="O1456" s="468"/>
      <c r="P1456" s="468"/>
      <c r="Q1456" s="473"/>
      <c r="R1456" s="477" t="str">
        <f>IF(AND(COUNTIF('Start Character'!$I$63:$M$77,"Twilight Prone")=1,NOT(ISERROR(FIND("Magical Botch",M1456)))),"Yes",IF(P1456&gt;1,"Yes","No"))</f>
        <v>No</v>
      </c>
      <c r="S1456" s="501"/>
      <c r="T1456" s="478"/>
      <c r="U1456" s="501"/>
      <c r="V1456" s="479" t="str">
        <f>IF(R1456="No","No Twilight",IF(T1456="Yes","Uncomprehended Twilight",IF((Character!$B$14+IF(Character!$B$53="Yes",0,Character!$B$53)+IF(Magic!$C$5="Yes",2,0)+ROUNDUP((Magic!$B$30+IF(Magic!$C$30="Yes",3,0))/5,0)+S1456)&gt;=($D$3+P1456+SUMIF(Character!$I$62:$I$66,"Enigmatic Wisdom",Character!$J$62:$J$66)+Q1456+U1456),"No Twilight","Twilight")))</f>
        <v>No Twilight</v>
      </c>
      <c r="W1456" s="483"/>
      <c r="X1456" s="478"/>
      <c r="Y1456" s="484"/>
      <c r="Z1456" s="478"/>
      <c r="AA1456" s="485" t="str">
        <f>IF(V1456="Uncomprehended Twilight","Failed",IF(OR(ISBLANK(W1456),ISBLANK(Y1456))," ",IF(NOT(ISBLANK(X1456)),"Failed",IF((W1456+Character!$B$9+SUMIF(Character!$I$62:$I$66,"Enigmatic Wisdom",Character!$J$62:$J$66))&gt;=IF(Z1456="Yes",0,(Y1456+D1451)),"Succeeded","Failed"))))</f>
        <v xml:space="preserve"> </v>
      </c>
      <c r="AB1456" s="477" t="str">
        <f>IF(AA1456=" "," ",IF(NOT(ISBLANK(X1456)),VLOOKUP($D$3+X1456,Calcs!$A$110:$C$122,3,TRUE),IF(AA1456="Failed",VLOOKUP($D$3,Calcs!$A$110:$C$122,3,TRUE),VLOOKUP($D$3-(IF((Character!$B$9+W1456)&gt;($D$3+Y1456),(Character!$B$9+W1456)-($D$3+Y1456),0)),Calcs!$A$110:$C$122,3,TRUE))))</f>
        <v xml:space="preserve"> </v>
      </c>
      <c r="AC1456" s="489"/>
      <c r="AD1456" s="489" t="str">
        <f>IF(IF(AA1456=" "," ",IF(NOT(ISBLANK(X1456)),VLOOKUP($D$3+X1456,Calcs!$A$110:$B$122,2,TRUE),IF(AA1456="Failed",VLOOKUP($D$3,Calcs!$A$110:$B$122,2,TRUE),VLOOKUP($D$3-(IF((Character!$B$9+W1456)&gt;($D$3+Y1456),(Character!$B$9+W1456)-($D$3+Y1456),0)),Calcs!$A$110:$B$122,2,TRUE))))=Calcs!$B$120,IF(ISBLANK(AC1456)," ",CONCATENATE(AC1456+7," Years")),IF(AA1456=" "," ",IF(NOT(ISBLANK(X1456)),VLOOKUP($D$3+X1456,Calcs!$A$110:$B$122,2,TRUE),IF(AA1456="Failed",VLOOKUP($D$3,Calcs!$A$110:$B$122,2,TRUE),VLOOKUP($D$3-(IF((Character!$B$9+W1456)&gt;($D$3+Y1456),(Character!$B$9+W1456)-($D$3+Y1456),0)),Calcs!$A$110:$B$122,2,TRUE)))))</f>
        <v xml:space="preserve"> </v>
      </c>
      <c r="AE1456" s="490"/>
      <c r="AF1456" s="879"/>
      <c r="AG1456" s="491"/>
    </row>
    <row r="1457" spans="1:33" x14ac:dyDescent="0.2">
      <c r="A1457" s="415">
        <f t="shared" si="44"/>
        <v>1574</v>
      </c>
      <c r="B1457" s="419" t="str">
        <f t="shared" si="45"/>
        <v>Spring</v>
      </c>
      <c r="C1457" s="455"/>
      <c r="D1457" s="504"/>
      <c r="E1457" s="455"/>
      <c r="F1457" s="504"/>
      <c r="G1457" s="455"/>
      <c r="H1457" s="504"/>
      <c r="I1457" s="455"/>
      <c r="J1457" s="504"/>
      <c r="L1457" s="472"/>
      <c r="M1457" s="468"/>
      <c r="N1457" s="468"/>
      <c r="O1457" s="468"/>
      <c r="P1457" s="468"/>
      <c r="Q1457" s="473"/>
      <c r="R1457" s="477" t="str">
        <f>IF(AND(COUNTIF('Start Character'!$I$63:$M$77,"Twilight Prone")=1,NOT(ISERROR(FIND("Magical Botch",M1457)))),"Yes",IF(P1457&gt;1,"Yes","No"))</f>
        <v>No</v>
      </c>
      <c r="S1457" s="501"/>
      <c r="T1457" s="478"/>
      <c r="U1457" s="501"/>
      <c r="V1457" s="479" t="str">
        <f>IF(R1457="No","No Twilight",IF(T1457="Yes","Uncomprehended Twilight",IF((Character!$B$14+IF(Character!$B$53="Yes",0,Character!$B$53)+IF(Magic!$C$5="Yes",2,0)+ROUNDUP((Magic!$B$30+IF(Magic!$C$30="Yes",3,0))/5,0)+S1457)&gt;=($D$3+P1457+SUMIF(Character!$I$62:$I$66,"Enigmatic Wisdom",Character!$J$62:$J$66)+Q1457+U1457),"No Twilight","Twilight")))</f>
        <v>No Twilight</v>
      </c>
      <c r="W1457" s="483"/>
      <c r="X1457" s="478"/>
      <c r="Y1457" s="484"/>
      <c r="Z1457" s="478"/>
      <c r="AA1457" s="485" t="str">
        <f>IF(V1457="Uncomprehended Twilight","Failed",IF(OR(ISBLANK(W1457),ISBLANK(Y1457))," ",IF(NOT(ISBLANK(X1457)),"Failed",IF((W1457+Character!$B$9+SUMIF(Character!$I$62:$I$66,"Enigmatic Wisdom",Character!$J$62:$J$66))&gt;=IF(Z1457="Yes",0,(Y1457+D1452)),"Succeeded","Failed"))))</f>
        <v xml:space="preserve"> </v>
      </c>
      <c r="AB1457" s="477" t="str">
        <f>IF(AA1457=" "," ",IF(NOT(ISBLANK(X1457)),VLOOKUP($D$3+X1457,Calcs!$A$110:$C$122,3,TRUE),IF(AA1457="Failed",VLOOKUP($D$3,Calcs!$A$110:$C$122,3,TRUE),VLOOKUP($D$3-(IF((Character!$B$9+W1457)&gt;($D$3+Y1457),(Character!$B$9+W1457)-($D$3+Y1457),0)),Calcs!$A$110:$C$122,3,TRUE))))</f>
        <v xml:space="preserve"> </v>
      </c>
      <c r="AC1457" s="489"/>
      <c r="AD1457" s="489" t="str">
        <f>IF(IF(AA1457=" "," ",IF(NOT(ISBLANK(X1457)),VLOOKUP($D$3+X1457,Calcs!$A$110:$B$122,2,TRUE),IF(AA1457="Failed",VLOOKUP($D$3,Calcs!$A$110:$B$122,2,TRUE),VLOOKUP($D$3-(IF((Character!$B$9+W1457)&gt;($D$3+Y1457),(Character!$B$9+W1457)-($D$3+Y1457),0)),Calcs!$A$110:$B$122,2,TRUE))))=Calcs!$B$120,IF(ISBLANK(AC1457)," ",CONCATENATE(AC1457+7," Years")),IF(AA1457=" "," ",IF(NOT(ISBLANK(X1457)),VLOOKUP($D$3+X1457,Calcs!$A$110:$B$122,2,TRUE),IF(AA1457="Failed",VLOOKUP($D$3,Calcs!$A$110:$B$122,2,TRUE),VLOOKUP($D$3-(IF((Character!$B$9+W1457)&gt;($D$3+Y1457),(Character!$B$9+W1457)-($D$3+Y1457),0)),Calcs!$A$110:$B$122,2,TRUE)))))</f>
        <v xml:space="preserve"> </v>
      </c>
      <c r="AE1457" s="490"/>
      <c r="AF1457" s="879"/>
      <c r="AG1457" s="491"/>
    </row>
    <row r="1458" spans="1:33" x14ac:dyDescent="0.2">
      <c r="A1458" s="415">
        <f t="shared" si="44"/>
        <v>1574</v>
      </c>
      <c r="B1458" s="419" t="str">
        <f t="shared" si="45"/>
        <v>Summer</v>
      </c>
      <c r="C1458" s="455"/>
      <c r="D1458" s="504"/>
      <c r="E1458" s="455"/>
      <c r="F1458" s="504"/>
      <c r="G1458" s="455"/>
      <c r="H1458" s="504"/>
      <c r="I1458" s="455"/>
      <c r="J1458" s="504"/>
      <c r="L1458" s="472"/>
      <c r="M1458" s="468"/>
      <c r="N1458" s="468"/>
      <c r="O1458" s="468"/>
      <c r="P1458" s="468"/>
      <c r="Q1458" s="473"/>
      <c r="R1458" s="477" t="str">
        <f>IF(AND(COUNTIF('Start Character'!$I$63:$M$77,"Twilight Prone")=1,NOT(ISERROR(FIND("Magical Botch",M1458)))),"Yes",IF(P1458&gt;1,"Yes","No"))</f>
        <v>No</v>
      </c>
      <c r="S1458" s="501"/>
      <c r="T1458" s="478"/>
      <c r="U1458" s="501"/>
      <c r="V1458" s="479" t="str">
        <f>IF(R1458="No","No Twilight",IF(T1458="Yes","Uncomprehended Twilight",IF((Character!$B$14+IF(Character!$B$53="Yes",0,Character!$B$53)+IF(Magic!$C$5="Yes",2,0)+ROUNDUP((Magic!$B$30+IF(Magic!$C$30="Yes",3,0))/5,0)+S1458)&gt;=($D$3+P1458+SUMIF(Character!$I$62:$I$66,"Enigmatic Wisdom",Character!$J$62:$J$66)+Q1458+U1458),"No Twilight","Twilight")))</f>
        <v>No Twilight</v>
      </c>
      <c r="W1458" s="483"/>
      <c r="X1458" s="478"/>
      <c r="Y1458" s="484"/>
      <c r="Z1458" s="478"/>
      <c r="AA1458" s="485" t="str">
        <f>IF(V1458="Uncomprehended Twilight","Failed",IF(OR(ISBLANK(W1458),ISBLANK(Y1458))," ",IF(NOT(ISBLANK(X1458)),"Failed",IF((W1458+Character!$B$9+SUMIF(Character!$I$62:$I$66,"Enigmatic Wisdom",Character!$J$62:$J$66))&gt;=IF(Z1458="Yes",0,(Y1458+D1453)),"Succeeded","Failed"))))</f>
        <v xml:space="preserve"> </v>
      </c>
      <c r="AB1458" s="477" t="str">
        <f>IF(AA1458=" "," ",IF(NOT(ISBLANK(X1458)),VLOOKUP($D$3+X1458,Calcs!$A$110:$C$122,3,TRUE),IF(AA1458="Failed",VLOOKUP($D$3,Calcs!$A$110:$C$122,3,TRUE),VLOOKUP($D$3-(IF((Character!$B$9+W1458)&gt;($D$3+Y1458),(Character!$B$9+W1458)-($D$3+Y1458),0)),Calcs!$A$110:$C$122,3,TRUE))))</f>
        <v xml:space="preserve"> </v>
      </c>
      <c r="AC1458" s="489"/>
      <c r="AD1458" s="489" t="str">
        <f>IF(IF(AA1458=" "," ",IF(NOT(ISBLANK(X1458)),VLOOKUP($D$3+X1458,Calcs!$A$110:$B$122,2,TRUE),IF(AA1458="Failed",VLOOKUP($D$3,Calcs!$A$110:$B$122,2,TRUE),VLOOKUP($D$3-(IF((Character!$B$9+W1458)&gt;($D$3+Y1458),(Character!$B$9+W1458)-($D$3+Y1458),0)),Calcs!$A$110:$B$122,2,TRUE))))=Calcs!$B$120,IF(ISBLANK(AC1458)," ",CONCATENATE(AC1458+7," Years")),IF(AA1458=" "," ",IF(NOT(ISBLANK(X1458)),VLOOKUP($D$3+X1458,Calcs!$A$110:$B$122,2,TRUE),IF(AA1458="Failed",VLOOKUP($D$3,Calcs!$A$110:$B$122,2,TRUE),VLOOKUP($D$3-(IF((Character!$B$9+W1458)&gt;($D$3+Y1458),(Character!$B$9+W1458)-($D$3+Y1458),0)),Calcs!$A$110:$B$122,2,TRUE)))))</f>
        <v xml:space="preserve"> </v>
      </c>
      <c r="AE1458" s="490"/>
      <c r="AF1458" s="879"/>
      <c r="AG1458" s="491"/>
    </row>
    <row r="1459" spans="1:33" x14ac:dyDescent="0.2">
      <c r="A1459" s="415">
        <f t="shared" si="44"/>
        <v>1574</v>
      </c>
      <c r="B1459" s="419" t="str">
        <f t="shared" si="45"/>
        <v>Autumn</v>
      </c>
      <c r="C1459" s="455"/>
      <c r="D1459" s="504"/>
      <c r="E1459" s="455"/>
      <c r="F1459" s="504"/>
      <c r="G1459" s="455"/>
      <c r="H1459" s="504"/>
      <c r="I1459" s="455"/>
      <c r="J1459" s="504"/>
      <c r="L1459" s="472"/>
      <c r="M1459" s="468"/>
      <c r="N1459" s="468"/>
      <c r="O1459" s="468"/>
      <c r="P1459" s="468"/>
      <c r="Q1459" s="473"/>
      <c r="R1459" s="477" t="str">
        <f>IF(AND(COUNTIF('Start Character'!$I$63:$M$77,"Twilight Prone")=1,NOT(ISERROR(FIND("Magical Botch",M1459)))),"Yes",IF(P1459&gt;1,"Yes","No"))</f>
        <v>No</v>
      </c>
      <c r="S1459" s="501"/>
      <c r="T1459" s="478"/>
      <c r="U1459" s="501"/>
      <c r="V1459" s="479" t="str">
        <f>IF(R1459="No","No Twilight",IF(T1459="Yes","Uncomprehended Twilight",IF((Character!$B$14+IF(Character!$B$53="Yes",0,Character!$B$53)+IF(Magic!$C$5="Yes",2,0)+ROUNDUP((Magic!$B$30+IF(Magic!$C$30="Yes",3,0))/5,0)+S1459)&gt;=($D$3+P1459+SUMIF(Character!$I$62:$I$66,"Enigmatic Wisdom",Character!$J$62:$J$66)+Q1459+U1459),"No Twilight","Twilight")))</f>
        <v>No Twilight</v>
      </c>
      <c r="W1459" s="483"/>
      <c r="X1459" s="478"/>
      <c r="Y1459" s="484"/>
      <c r="Z1459" s="478"/>
      <c r="AA1459" s="485" t="str">
        <f>IF(V1459="Uncomprehended Twilight","Failed",IF(OR(ISBLANK(W1459),ISBLANK(Y1459))," ",IF(NOT(ISBLANK(X1459)),"Failed",IF((W1459+Character!$B$9+SUMIF(Character!$I$62:$I$66,"Enigmatic Wisdom",Character!$J$62:$J$66))&gt;=IF(Z1459="Yes",0,(Y1459+D1454)),"Succeeded","Failed"))))</f>
        <v xml:space="preserve"> </v>
      </c>
      <c r="AB1459" s="477" t="str">
        <f>IF(AA1459=" "," ",IF(NOT(ISBLANK(X1459)),VLOOKUP($D$3+X1459,Calcs!$A$110:$C$122,3,TRUE),IF(AA1459="Failed",VLOOKUP($D$3,Calcs!$A$110:$C$122,3,TRUE),VLOOKUP($D$3-(IF((Character!$B$9+W1459)&gt;($D$3+Y1459),(Character!$B$9+W1459)-($D$3+Y1459),0)),Calcs!$A$110:$C$122,3,TRUE))))</f>
        <v xml:space="preserve"> </v>
      </c>
      <c r="AC1459" s="489"/>
      <c r="AD1459" s="489" t="str">
        <f>IF(IF(AA1459=" "," ",IF(NOT(ISBLANK(X1459)),VLOOKUP($D$3+X1459,Calcs!$A$110:$B$122,2,TRUE),IF(AA1459="Failed",VLOOKUP($D$3,Calcs!$A$110:$B$122,2,TRUE),VLOOKUP($D$3-(IF((Character!$B$9+W1459)&gt;($D$3+Y1459),(Character!$B$9+W1459)-($D$3+Y1459),0)),Calcs!$A$110:$B$122,2,TRUE))))=Calcs!$B$120,IF(ISBLANK(AC1459)," ",CONCATENATE(AC1459+7," Years")),IF(AA1459=" "," ",IF(NOT(ISBLANK(X1459)),VLOOKUP($D$3+X1459,Calcs!$A$110:$B$122,2,TRUE),IF(AA1459="Failed",VLOOKUP($D$3,Calcs!$A$110:$B$122,2,TRUE),VLOOKUP($D$3-(IF((Character!$B$9+W1459)&gt;($D$3+Y1459),(Character!$B$9+W1459)-($D$3+Y1459),0)),Calcs!$A$110:$B$122,2,TRUE)))))</f>
        <v xml:space="preserve"> </v>
      </c>
      <c r="AE1459" s="490"/>
      <c r="AF1459" s="879"/>
      <c r="AG1459" s="491"/>
    </row>
    <row r="1460" spans="1:33" x14ac:dyDescent="0.2">
      <c r="A1460" s="415">
        <f t="shared" si="44"/>
        <v>1575</v>
      </c>
      <c r="B1460" s="419" t="str">
        <f t="shared" si="45"/>
        <v>Winter</v>
      </c>
      <c r="C1460" s="455"/>
      <c r="D1460" s="504"/>
      <c r="E1460" s="455"/>
      <c r="F1460" s="504"/>
      <c r="G1460" s="455"/>
      <c r="H1460" s="504"/>
      <c r="I1460" s="455"/>
      <c r="J1460" s="504"/>
      <c r="L1460" s="472"/>
      <c r="M1460" s="468"/>
      <c r="N1460" s="468"/>
      <c r="O1460" s="468"/>
      <c r="P1460" s="468"/>
      <c r="Q1460" s="473"/>
      <c r="R1460" s="477" t="str">
        <f>IF(AND(COUNTIF('Start Character'!$I$63:$M$77,"Twilight Prone")=1,NOT(ISERROR(FIND("Magical Botch",M1460)))),"Yes",IF(P1460&gt;1,"Yes","No"))</f>
        <v>No</v>
      </c>
      <c r="S1460" s="501"/>
      <c r="T1460" s="478"/>
      <c r="U1460" s="501"/>
      <c r="V1460" s="479" t="str">
        <f>IF(R1460="No","No Twilight",IF(T1460="Yes","Uncomprehended Twilight",IF((Character!$B$14+IF(Character!$B$53="Yes",0,Character!$B$53)+IF(Magic!$C$5="Yes",2,0)+ROUNDUP((Magic!$B$30+IF(Magic!$C$30="Yes",3,0))/5,0)+S1460)&gt;=($D$3+P1460+SUMIF(Character!$I$62:$I$66,"Enigmatic Wisdom",Character!$J$62:$J$66)+Q1460+U1460),"No Twilight","Twilight")))</f>
        <v>No Twilight</v>
      </c>
      <c r="W1460" s="483"/>
      <c r="X1460" s="478"/>
      <c r="Y1460" s="484"/>
      <c r="Z1460" s="478"/>
      <c r="AA1460" s="485" t="str">
        <f>IF(V1460="Uncomprehended Twilight","Failed",IF(OR(ISBLANK(W1460),ISBLANK(Y1460))," ",IF(NOT(ISBLANK(X1460)),"Failed",IF((W1460+Character!$B$9+SUMIF(Character!$I$62:$I$66,"Enigmatic Wisdom",Character!$J$62:$J$66))&gt;=IF(Z1460="Yes",0,(Y1460+D1455)),"Succeeded","Failed"))))</f>
        <v xml:space="preserve"> </v>
      </c>
      <c r="AB1460" s="477" t="str">
        <f>IF(AA1460=" "," ",IF(NOT(ISBLANK(X1460)),VLOOKUP($D$3+X1460,Calcs!$A$110:$C$122,3,TRUE),IF(AA1460="Failed",VLOOKUP($D$3,Calcs!$A$110:$C$122,3,TRUE),VLOOKUP($D$3-(IF((Character!$B$9+W1460)&gt;($D$3+Y1460),(Character!$B$9+W1460)-($D$3+Y1460),0)),Calcs!$A$110:$C$122,3,TRUE))))</f>
        <v xml:space="preserve"> </v>
      </c>
      <c r="AC1460" s="489"/>
      <c r="AD1460" s="489" t="str">
        <f>IF(IF(AA1460=" "," ",IF(NOT(ISBLANK(X1460)),VLOOKUP($D$3+X1460,Calcs!$A$110:$B$122,2,TRUE),IF(AA1460="Failed",VLOOKUP($D$3,Calcs!$A$110:$B$122,2,TRUE),VLOOKUP($D$3-(IF((Character!$B$9+W1460)&gt;($D$3+Y1460),(Character!$B$9+W1460)-($D$3+Y1460),0)),Calcs!$A$110:$B$122,2,TRUE))))=Calcs!$B$120,IF(ISBLANK(AC1460)," ",CONCATENATE(AC1460+7," Years")),IF(AA1460=" "," ",IF(NOT(ISBLANK(X1460)),VLOOKUP($D$3+X1460,Calcs!$A$110:$B$122,2,TRUE),IF(AA1460="Failed",VLOOKUP($D$3,Calcs!$A$110:$B$122,2,TRUE),VLOOKUP($D$3-(IF((Character!$B$9+W1460)&gt;($D$3+Y1460),(Character!$B$9+W1460)-($D$3+Y1460),0)),Calcs!$A$110:$B$122,2,TRUE)))))</f>
        <v xml:space="preserve"> </v>
      </c>
      <c r="AE1460" s="490"/>
      <c r="AF1460" s="879"/>
      <c r="AG1460" s="491"/>
    </row>
    <row r="1461" spans="1:33" x14ac:dyDescent="0.2">
      <c r="A1461" s="415">
        <f t="shared" si="44"/>
        <v>1575</v>
      </c>
      <c r="B1461" s="419" t="str">
        <f t="shared" si="45"/>
        <v>Spring</v>
      </c>
      <c r="C1461" s="455"/>
      <c r="D1461" s="504"/>
      <c r="E1461" s="455"/>
      <c r="F1461" s="504"/>
      <c r="G1461" s="455"/>
      <c r="H1461" s="504"/>
      <c r="I1461" s="455"/>
      <c r="J1461" s="504"/>
      <c r="L1461" s="472"/>
      <c r="M1461" s="468"/>
      <c r="N1461" s="468"/>
      <c r="O1461" s="468"/>
      <c r="P1461" s="468"/>
      <c r="Q1461" s="473"/>
      <c r="R1461" s="477" t="str">
        <f>IF(AND(COUNTIF('Start Character'!$I$63:$M$77,"Twilight Prone")=1,NOT(ISERROR(FIND("Magical Botch",M1461)))),"Yes",IF(P1461&gt;1,"Yes","No"))</f>
        <v>No</v>
      </c>
      <c r="S1461" s="501"/>
      <c r="T1461" s="478"/>
      <c r="U1461" s="501"/>
      <c r="V1461" s="479" t="str">
        <f>IF(R1461="No","No Twilight",IF(T1461="Yes","Uncomprehended Twilight",IF((Character!$B$14+IF(Character!$B$53="Yes",0,Character!$B$53)+IF(Magic!$C$5="Yes",2,0)+ROUNDUP((Magic!$B$30+IF(Magic!$C$30="Yes",3,0))/5,0)+S1461)&gt;=($D$3+P1461+SUMIF(Character!$I$62:$I$66,"Enigmatic Wisdom",Character!$J$62:$J$66)+Q1461+U1461),"No Twilight","Twilight")))</f>
        <v>No Twilight</v>
      </c>
      <c r="W1461" s="483"/>
      <c r="X1461" s="478"/>
      <c r="Y1461" s="484"/>
      <c r="Z1461" s="478"/>
      <c r="AA1461" s="485" t="str">
        <f>IF(V1461="Uncomprehended Twilight","Failed",IF(OR(ISBLANK(W1461),ISBLANK(Y1461))," ",IF(NOT(ISBLANK(X1461)),"Failed",IF((W1461+Character!$B$9+SUMIF(Character!$I$62:$I$66,"Enigmatic Wisdom",Character!$J$62:$J$66))&gt;=IF(Z1461="Yes",0,(Y1461+D1456)),"Succeeded","Failed"))))</f>
        <v xml:space="preserve"> </v>
      </c>
      <c r="AB1461" s="477" t="str">
        <f>IF(AA1461=" "," ",IF(NOT(ISBLANK(X1461)),VLOOKUP($D$3+X1461,Calcs!$A$110:$C$122,3,TRUE),IF(AA1461="Failed",VLOOKUP($D$3,Calcs!$A$110:$C$122,3,TRUE),VLOOKUP($D$3-(IF((Character!$B$9+W1461)&gt;($D$3+Y1461),(Character!$B$9+W1461)-($D$3+Y1461),0)),Calcs!$A$110:$C$122,3,TRUE))))</f>
        <v xml:space="preserve"> </v>
      </c>
      <c r="AC1461" s="489"/>
      <c r="AD1461" s="489" t="str">
        <f>IF(IF(AA1461=" "," ",IF(NOT(ISBLANK(X1461)),VLOOKUP($D$3+X1461,Calcs!$A$110:$B$122,2,TRUE),IF(AA1461="Failed",VLOOKUP($D$3,Calcs!$A$110:$B$122,2,TRUE),VLOOKUP($D$3-(IF((Character!$B$9+W1461)&gt;($D$3+Y1461),(Character!$B$9+W1461)-($D$3+Y1461),0)),Calcs!$A$110:$B$122,2,TRUE))))=Calcs!$B$120,IF(ISBLANK(AC1461)," ",CONCATENATE(AC1461+7," Years")),IF(AA1461=" "," ",IF(NOT(ISBLANK(X1461)),VLOOKUP($D$3+X1461,Calcs!$A$110:$B$122,2,TRUE),IF(AA1461="Failed",VLOOKUP($D$3,Calcs!$A$110:$B$122,2,TRUE),VLOOKUP($D$3-(IF((Character!$B$9+W1461)&gt;($D$3+Y1461),(Character!$B$9+W1461)-($D$3+Y1461),0)),Calcs!$A$110:$B$122,2,TRUE)))))</f>
        <v xml:space="preserve"> </v>
      </c>
      <c r="AE1461" s="490"/>
      <c r="AF1461" s="879"/>
      <c r="AG1461" s="491"/>
    </row>
    <row r="1462" spans="1:33" x14ac:dyDescent="0.2">
      <c r="A1462" s="415">
        <f t="shared" si="44"/>
        <v>1575</v>
      </c>
      <c r="B1462" s="419" t="str">
        <f t="shared" si="45"/>
        <v>Summer</v>
      </c>
      <c r="C1462" s="455"/>
      <c r="D1462" s="504"/>
      <c r="E1462" s="455"/>
      <c r="F1462" s="504"/>
      <c r="G1462" s="455"/>
      <c r="H1462" s="504"/>
      <c r="I1462" s="455"/>
      <c r="J1462" s="504"/>
      <c r="L1462" s="472"/>
      <c r="M1462" s="468"/>
      <c r="N1462" s="468"/>
      <c r="O1462" s="468"/>
      <c r="P1462" s="468"/>
      <c r="Q1462" s="473"/>
      <c r="R1462" s="477" t="str">
        <f>IF(AND(COUNTIF('Start Character'!$I$63:$M$77,"Twilight Prone")=1,NOT(ISERROR(FIND("Magical Botch",M1462)))),"Yes",IF(P1462&gt;1,"Yes","No"))</f>
        <v>No</v>
      </c>
      <c r="S1462" s="501"/>
      <c r="T1462" s="478"/>
      <c r="U1462" s="501"/>
      <c r="V1462" s="479" t="str">
        <f>IF(R1462="No","No Twilight",IF(T1462="Yes","Uncomprehended Twilight",IF((Character!$B$14+IF(Character!$B$53="Yes",0,Character!$B$53)+IF(Magic!$C$5="Yes",2,0)+ROUNDUP((Magic!$B$30+IF(Magic!$C$30="Yes",3,0))/5,0)+S1462)&gt;=($D$3+P1462+SUMIF(Character!$I$62:$I$66,"Enigmatic Wisdom",Character!$J$62:$J$66)+Q1462+U1462),"No Twilight","Twilight")))</f>
        <v>No Twilight</v>
      </c>
      <c r="W1462" s="483"/>
      <c r="X1462" s="478"/>
      <c r="Y1462" s="484"/>
      <c r="Z1462" s="478"/>
      <c r="AA1462" s="485" t="str">
        <f>IF(V1462="Uncomprehended Twilight","Failed",IF(OR(ISBLANK(W1462),ISBLANK(Y1462))," ",IF(NOT(ISBLANK(X1462)),"Failed",IF((W1462+Character!$B$9+SUMIF(Character!$I$62:$I$66,"Enigmatic Wisdom",Character!$J$62:$J$66))&gt;=IF(Z1462="Yes",0,(Y1462+D1457)),"Succeeded","Failed"))))</f>
        <v xml:space="preserve"> </v>
      </c>
      <c r="AB1462" s="477" t="str">
        <f>IF(AA1462=" "," ",IF(NOT(ISBLANK(X1462)),VLOOKUP($D$3+X1462,Calcs!$A$110:$C$122,3,TRUE),IF(AA1462="Failed",VLOOKUP($D$3,Calcs!$A$110:$C$122,3,TRUE),VLOOKUP($D$3-(IF((Character!$B$9+W1462)&gt;($D$3+Y1462),(Character!$B$9+W1462)-($D$3+Y1462),0)),Calcs!$A$110:$C$122,3,TRUE))))</f>
        <v xml:space="preserve"> </v>
      </c>
      <c r="AC1462" s="489"/>
      <c r="AD1462" s="489" t="str">
        <f>IF(IF(AA1462=" "," ",IF(NOT(ISBLANK(X1462)),VLOOKUP($D$3+X1462,Calcs!$A$110:$B$122,2,TRUE),IF(AA1462="Failed",VLOOKUP($D$3,Calcs!$A$110:$B$122,2,TRUE),VLOOKUP($D$3-(IF((Character!$B$9+W1462)&gt;($D$3+Y1462),(Character!$B$9+W1462)-($D$3+Y1462),0)),Calcs!$A$110:$B$122,2,TRUE))))=Calcs!$B$120,IF(ISBLANK(AC1462)," ",CONCATENATE(AC1462+7," Years")),IF(AA1462=" "," ",IF(NOT(ISBLANK(X1462)),VLOOKUP($D$3+X1462,Calcs!$A$110:$B$122,2,TRUE),IF(AA1462="Failed",VLOOKUP($D$3,Calcs!$A$110:$B$122,2,TRUE),VLOOKUP($D$3-(IF((Character!$B$9+W1462)&gt;($D$3+Y1462),(Character!$B$9+W1462)-($D$3+Y1462),0)),Calcs!$A$110:$B$122,2,TRUE)))))</f>
        <v xml:space="preserve"> </v>
      </c>
      <c r="AE1462" s="490"/>
      <c r="AF1462" s="879"/>
      <c r="AG1462" s="491"/>
    </row>
    <row r="1463" spans="1:33" x14ac:dyDescent="0.2">
      <c r="A1463" s="415">
        <f t="shared" si="44"/>
        <v>1575</v>
      </c>
      <c r="B1463" s="419" t="str">
        <f t="shared" si="45"/>
        <v>Autumn</v>
      </c>
      <c r="C1463" s="455"/>
      <c r="D1463" s="504"/>
      <c r="E1463" s="455"/>
      <c r="F1463" s="504"/>
      <c r="G1463" s="455"/>
      <c r="H1463" s="504"/>
      <c r="I1463" s="455"/>
      <c r="J1463" s="504"/>
      <c r="L1463" s="472"/>
      <c r="M1463" s="468"/>
      <c r="N1463" s="468"/>
      <c r="O1463" s="468"/>
      <c r="P1463" s="468"/>
      <c r="Q1463" s="473"/>
      <c r="R1463" s="477" t="str">
        <f>IF(AND(COUNTIF('Start Character'!$I$63:$M$77,"Twilight Prone")=1,NOT(ISERROR(FIND("Magical Botch",M1463)))),"Yes",IF(P1463&gt;1,"Yes","No"))</f>
        <v>No</v>
      </c>
      <c r="S1463" s="501"/>
      <c r="T1463" s="478"/>
      <c r="U1463" s="501"/>
      <c r="V1463" s="479" t="str">
        <f>IF(R1463="No","No Twilight",IF(T1463="Yes","Uncomprehended Twilight",IF((Character!$B$14+IF(Character!$B$53="Yes",0,Character!$B$53)+IF(Magic!$C$5="Yes",2,0)+ROUNDUP((Magic!$B$30+IF(Magic!$C$30="Yes",3,0))/5,0)+S1463)&gt;=($D$3+P1463+SUMIF(Character!$I$62:$I$66,"Enigmatic Wisdom",Character!$J$62:$J$66)+Q1463+U1463),"No Twilight","Twilight")))</f>
        <v>No Twilight</v>
      </c>
      <c r="W1463" s="483"/>
      <c r="X1463" s="478"/>
      <c r="Y1463" s="484"/>
      <c r="Z1463" s="478"/>
      <c r="AA1463" s="485" t="str">
        <f>IF(V1463="Uncomprehended Twilight","Failed",IF(OR(ISBLANK(W1463),ISBLANK(Y1463))," ",IF(NOT(ISBLANK(X1463)),"Failed",IF((W1463+Character!$B$9+SUMIF(Character!$I$62:$I$66,"Enigmatic Wisdom",Character!$J$62:$J$66))&gt;=IF(Z1463="Yes",0,(Y1463+D1458)),"Succeeded","Failed"))))</f>
        <v xml:space="preserve"> </v>
      </c>
      <c r="AB1463" s="477" t="str">
        <f>IF(AA1463=" "," ",IF(NOT(ISBLANK(X1463)),VLOOKUP($D$3+X1463,Calcs!$A$110:$C$122,3,TRUE),IF(AA1463="Failed",VLOOKUP($D$3,Calcs!$A$110:$C$122,3,TRUE),VLOOKUP($D$3-(IF((Character!$B$9+W1463)&gt;($D$3+Y1463),(Character!$B$9+W1463)-($D$3+Y1463),0)),Calcs!$A$110:$C$122,3,TRUE))))</f>
        <v xml:space="preserve"> </v>
      </c>
      <c r="AC1463" s="489"/>
      <c r="AD1463" s="489" t="str">
        <f>IF(IF(AA1463=" "," ",IF(NOT(ISBLANK(X1463)),VLOOKUP($D$3+X1463,Calcs!$A$110:$B$122,2,TRUE),IF(AA1463="Failed",VLOOKUP($D$3,Calcs!$A$110:$B$122,2,TRUE),VLOOKUP($D$3-(IF((Character!$B$9+W1463)&gt;($D$3+Y1463),(Character!$B$9+W1463)-($D$3+Y1463),0)),Calcs!$A$110:$B$122,2,TRUE))))=Calcs!$B$120,IF(ISBLANK(AC1463)," ",CONCATENATE(AC1463+7," Years")),IF(AA1463=" "," ",IF(NOT(ISBLANK(X1463)),VLOOKUP($D$3+X1463,Calcs!$A$110:$B$122,2,TRUE),IF(AA1463="Failed",VLOOKUP($D$3,Calcs!$A$110:$B$122,2,TRUE),VLOOKUP($D$3-(IF((Character!$B$9+W1463)&gt;($D$3+Y1463),(Character!$B$9+W1463)-($D$3+Y1463),0)),Calcs!$A$110:$B$122,2,TRUE)))))</f>
        <v xml:space="preserve"> </v>
      </c>
      <c r="AE1463" s="490"/>
      <c r="AF1463" s="879"/>
      <c r="AG1463" s="491"/>
    </row>
    <row r="1464" spans="1:33" x14ac:dyDescent="0.2">
      <c r="A1464" s="415">
        <f t="shared" si="44"/>
        <v>1576</v>
      </c>
      <c r="B1464" s="419" t="str">
        <f t="shared" si="45"/>
        <v>Winter</v>
      </c>
      <c r="C1464" s="455"/>
      <c r="D1464" s="504"/>
      <c r="E1464" s="455"/>
      <c r="F1464" s="504"/>
      <c r="G1464" s="455"/>
      <c r="H1464" s="504"/>
      <c r="I1464" s="455"/>
      <c r="J1464" s="504"/>
      <c r="L1464" s="472"/>
      <c r="M1464" s="468"/>
      <c r="N1464" s="468"/>
      <c r="O1464" s="468"/>
      <c r="P1464" s="468"/>
      <c r="Q1464" s="473"/>
      <c r="R1464" s="477" t="str">
        <f>IF(AND(COUNTIF('Start Character'!$I$63:$M$77,"Twilight Prone")=1,NOT(ISERROR(FIND("Magical Botch",M1464)))),"Yes",IF(P1464&gt;1,"Yes","No"))</f>
        <v>No</v>
      </c>
      <c r="S1464" s="501"/>
      <c r="T1464" s="478"/>
      <c r="U1464" s="501"/>
      <c r="V1464" s="479" t="str">
        <f>IF(R1464="No","No Twilight",IF(T1464="Yes","Uncomprehended Twilight",IF((Character!$B$14+IF(Character!$B$53="Yes",0,Character!$B$53)+IF(Magic!$C$5="Yes",2,0)+ROUNDUP((Magic!$B$30+IF(Magic!$C$30="Yes",3,0))/5,0)+S1464)&gt;=($D$3+P1464+SUMIF(Character!$I$62:$I$66,"Enigmatic Wisdom",Character!$J$62:$J$66)+Q1464+U1464),"No Twilight","Twilight")))</f>
        <v>No Twilight</v>
      </c>
      <c r="W1464" s="483"/>
      <c r="X1464" s="478"/>
      <c r="Y1464" s="484"/>
      <c r="Z1464" s="478"/>
      <c r="AA1464" s="485" t="str">
        <f>IF(V1464="Uncomprehended Twilight","Failed",IF(OR(ISBLANK(W1464),ISBLANK(Y1464))," ",IF(NOT(ISBLANK(X1464)),"Failed",IF((W1464+Character!$B$9+SUMIF(Character!$I$62:$I$66,"Enigmatic Wisdom",Character!$J$62:$J$66))&gt;=IF(Z1464="Yes",0,(Y1464+D1459)),"Succeeded","Failed"))))</f>
        <v xml:space="preserve"> </v>
      </c>
      <c r="AB1464" s="477" t="str">
        <f>IF(AA1464=" "," ",IF(NOT(ISBLANK(X1464)),VLOOKUP($D$3+X1464,Calcs!$A$110:$C$122,3,TRUE),IF(AA1464="Failed",VLOOKUP($D$3,Calcs!$A$110:$C$122,3,TRUE),VLOOKUP($D$3-(IF((Character!$B$9+W1464)&gt;($D$3+Y1464),(Character!$B$9+W1464)-($D$3+Y1464),0)),Calcs!$A$110:$C$122,3,TRUE))))</f>
        <v xml:space="preserve"> </v>
      </c>
      <c r="AC1464" s="489"/>
      <c r="AD1464" s="489" t="str">
        <f>IF(IF(AA1464=" "," ",IF(NOT(ISBLANK(X1464)),VLOOKUP($D$3+X1464,Calcs!$A$110:$B$122,2,TRUE),IF(AA1464="Failed",VLOOKUP($D$3,Calcs!$A$110:$B$122,2,TRUE),VLOOKUP($D$3-(IF((Character!$B$9+W1464)&gt;($D$3+Y1464),(Character!$B$9+W1464)-($D$3+Y1464),0)),Calcs!$A$110:$B$122,2,TRUE))))=Calcs!$B$120,IF(ISBLANK(AC1464)," ",CONCATENATE(AC1464+7," Years")),IF(AA1464=" "," ",IF(NOT(ISBLANK(X1464)),VLOOKUP($D$3+X1464,Calcs!$A$110:$B$122,2,TRUE),IF(AA1464="Failed",VLOOKUP($D$3,Calcs!$A$110:$B$122,2,TRUE),VLOOKUP($D$3-(IF((Character!$B$9+W1464)&gt;($D$3+Y1464),(Character!$B$9+W1464)-($D$3+Y1464),0)),Calcs!$A$110:$B$122,2,TRUE)))))</f>
        <v xml:space="preserve"> </v>
      </c>
      <c r="AE1464" s="490"/>
      <c r="AF1464" s="879"/>
      <c r="AG1464" s="491"/>
    </row>
    <row r="1465" spans="1:33" x14ac:dyDescent="0.2">
      <c r="A1465" s="415">
        <f t="shared" si="44"/>
        <v>1576</v>
      </c>
      <c r="B1465" s="419" t="str">
        <f t="shared" si="45"/>
        <v>Spring</v>
      </c>
      <c r="C1465" s="455"/>
      <c r="D1465" s="504"/>
      <c r="E1465" s="455"/>
      <c r="F1465" s="504"/>
      <c r="G1465" s="455"/>
      <c r="H1465" s="504"/>
      <c r="I1465" s="455"/>
      <c r="J1465" s="504"/>
      <c r="L1465" s="472"/>
      <c r="M1465" s="468"/>
      <c r="N1465" s="468"/>
      <c r="O1465" s="468"/>
      <c r="P1465" s="468"/>
      <c r="Q1465" s="473"/>
      <c r="R1465" s="477" t="str">
        <f>IF(AND(COUNTIF('Start Character'!$I$63:$M$77,"Twilight Prone")=1,NOT(ISERROR(FIND("Magical Botch",M1465)))),"Yes",IF(P1465&gt;1,"Yes","No"))</f>
        <v>No</v>
      </c>
      <c r="S1465" s="501"/>
      <c r="T1465" s="478"/>
      <c r="U1465" s="501"/>
      <c r="V1465" s="479" t="str">
        <f>IF(R1465="No","No Twilight",IF(T1465="Yes","Uncomprehended Twilight",IF((Character!$B$14+IF(Character!$B$53="Yes",0,Character!$B$53)+IF(Magic!$C$5="Yes",2,0)+ROUNDUP((Magic!$B$30+IF(Magic!$C$30="Yes",3,0))/5,0)+S1465)&gt;=($D$3+P1465+SUMIF(Character!$I$62:$I$66,"Enigmatic Wisdom",Character!$J$62:$J$66)+Q1465+U1465),"No Twilight","Twilight")))</f>
        <v>No Twilight</v>
      </c>
      <c r="W1465" s="483"/>
      <c r="X1465" s="478"/>
      <c r="Y1465" s="484"/>
      <c r="Z1465" s="478"/>
      <c r="AA1465" s="485" t="str">
        <f>IF(V1465="Uncomprehended Twilight","Failed",IF(OR(ISBLANK(W1465),ISBLANK(Y1465))," ",IF(NOT(ISBLANK(X1465)),"Failed",IF((W1465+Character!$B$9+SUMIF(Character!$I$62:$I$66,"Enigmatic Wisdom",Character!$J$62:$J$66))&gt;=IF(Z1465="Yes",0,(Y1465+D1460)),"Succeeded","Failed"))))</f>
        <v xml:space="preserve"> </v>
      </c>
      <c r="AB1465" s="477" t="str">
        <f>IF(AA1465=" "," ",IF(NOT(ISBLANK(X1465)),VLOOKUP($D$3+X1465,Calcs!$A$110:$C$122,3,TRUE),IF(AA1465="Failed",VLOOKUP($D$3,Calcs!$A$110:$C$122,3,TRUE),VLOOKUP($D$3-(IF((Character!$B$9+W1465)&gt;($D$3+Y1465),(Character!$B$9+W1465)-($D$3+Y1465),0)),Calcs!$A$110:$C$122,3,TRUE))))</f>
        <v xml:space="preserve"> </v>
      </c>
      <c r="AC1465" s="489"/>
      <c r="AD1465" s="489" t="str">
        <f>IF(IF(AA1465=" "," ",IF(NOT(ISBLANK(X1465)),VLOOKUP($D$3+X1465,Calcs!$A$110:$B$122,2,TRUE),IF(AA1465="Failed",VLOOKUP($D$3,Calcs!$A$110:$B$122,2,TRUE),VLOOKUP($D$3-(IF((Character!$B$9+W1465)&gt;($D$3+Y1465),(Character!$B$9+W1465)-($D$3+Y1465),0)),Calcs!$A$110:$B$122,2,TRUE))))=Calcs!$B$120,IF(ISBLANK(AC1465)," ",CONCATENATE(AC1465+7," Years")),IF(AA1465=" "," ",IF(NOT(ISBLANK(X1465)),VLOOKUP($D$3+X1465,Calcs!$A$110:$B$122,2,TRUE),IF(AA1465="Failed",VLOOKUP($D$3,Calcs!$A$110:$B$122,2,TRUE),VLOOKUP($D$3-(IF((Character!$B$9+W1465)&gt;($D$3+Y1465),(Character!$B$9+W1465)-($D$3+Y1465),0)),Calcs!$A$110:$B$122,2,TRUE)))))</f>
        <v xml:space="preserve"> </v>
      </c>
      <c r="AE1465" s="490"/>
      <c r="AF1465" s="879"/>
      <c r="AG1465" s="491"/>
    </row>
    <row r="1466" spans="1:33" x14ac:dyDescent="0.2">
      <c r="A1466" s="415">
        <f t="shared" si="44"/>
        <v>1576</v>
      </c>
      <c r="B1466" s="419" t="str">
        <f t="shared" si="45"/>
        <v>Summer</v>
      </c>
      <c r="C1466" s="455"/>
      <c r="D1466" s="504"/>
      <c r="E1466" s="455"/>
      <c r="F1466" s="504"/>
      <c r="G1466" s="455"/>
      <c r="H1466" s="504"/>
      <c r="I1466" s="455"/>
      <c r="J1466" s="504"/>
      <c r="L1466" s="472"/>
      <c r="M1466" s="468"/>
      <c r="N1466" s="468"/>
      <c r="O1466" s="468"/>
      <c r="P1466" s="468"/>
      <c r="Q1466" s="473"/>
      <c r="R1466" s="477" t="str">
        <f>IF(AND(COUNTIF('Start Character'!$I$63:$M$77,"Twilight Prone")=1,NOT(ISERROR(FIND("Magical Botch",M1466)))),"Yes",IF(P1466&gt;1,"Yes","No"))</f>
        <v>No</v>
      </c>
      <c r="S1466" s="501"/>
      <c r="T1466" s="478"/>
      <c r="U1466" s="501"/>
      <c r="V1466" s="479" t="str">
        <f>IF(R1466="No","No Twilight",IF(T1466="Yes","Uncomprehended Twilight",IF((Character!$B$14+IF(Character!$B$53="Yes",0,Character!$B$53)+IF(Magic!$C$5="Yes",2,0)+ROUNDUP((Magic!$B$30+IF(Magic!$C$30="Yes",3,0))/5,0)+S1466)&gt;=($D$3+P1466+SUMIF(Character!$I$62:$I$66,"Enigmatic Wisdom",Character!$J$62:$J$66)+Q1466+U1466),"No Twilight","Twilight")))</f>
        <v>No Twilight</v>
      </c>
      <c r="W1466" s="483"/>
      <c r="X1466" s="478"/>
      <c r="Y1466" s="484"/>
      <c r="Z1466" s="478"/>
      <c r="AA1466" s="485" t="str">
        <f>IF(V1466="Uncomprehended Twilight","Failed",IF(OR(ISBLANK(W1466),ISBLANK(Y1466))," ",IF(NOT(ISBLANK(X1466)),"Failed",IF((W1466+Character!$B$9+SUMIF(Character!$I$62:$I$66,"Enigmatic Wisdom",Character!$J$62:$J$66))&gt;=IF(Z1466="Yes",0,(Y1466+D1461)),"Succeeded","Failed"))))</f>
        <v xml:space="preserve"> </v>
      </c>
      <c r="AB1466" s="477" t="str">
        <f>IF(AA1466=" "," ",IF(NOT(ISBLANK(X1466)),VLOOKUP($D$3+X1466,Calcs!$A$110:$C$122,3,TRUE),IF(AA1466="Failed",VLOOKUP($D$3,Calcs!$A$110:$C$122,3,TRUE),VLOOKUP($D$3-(IF((Character!$B$9+W1466)&gt;($D$3+Y1466),(Character!$B$9+W1466)-($D$3+Y1466),0)),Calcs!$A$110:$C$122,3,TRUE))))</f>
        <v xml:space="preserve"> </v>
      </c>
      <c r="AC1466" s="489"/>
      <c r="AD1466" s="489" t="str">
        <f>IF(IF(AA1466=" "," ",IF(NOT(ISBLANK(X1466)),VLOOKUP($D$3+X1466,Calcs!$A$110:$B$122,2,TRUE),IF(AA1466="Failed",VLOOKUP($D$3,Calcs!$A$110:$B$122,2,TRUE),VLOOKUP($D$3-(IF((Character!$B$9+W1466)&gt;($D$3+Y1466),(Character!$B$9+W1466)-($D$3+Y1466),0)),Calcs!$A$110:$B$122,2,TRUE))))=Calcs!$B$120,IF(ISBLANK(AC1466)," ",CONCATENATE(AC1466+7," Years")),IF(AA1466=" "," ",IF(NOT(ISBLANK(X1466)),VLOOKUP($D$3+X1466,Calcs!$A$110:$B$122,2,TRUE),IF(AA1466="Failed",VLOOKUP($D$3,Calcs!$A$110:$B$122,2,TRUE),VLOOKUP($D$3-(IF((Character!$B$9+W1466)&gt;($D$3+Y1466),(Character!$B$9+W1466)-($D$3+Y1466),0)),Calcs!$A$110:$B$122,2,TRUE)))))</f>
        <v xml:space="preserve"> </v>
      </c>
      <c r="AE1466" s="490"/>
      <c r="AF1466" s="879"/>
      <c r="AG1466" s="491"/>
    </row>
    <row r="1467" spans="1:33" x14ac:dyDescent="0.2">
      <c r="A1467" s="415">
        <f t="shared" si="44"/>
        <v>1576</v>
      </c>
      <c r="B1467" s="419" t="str">
        <f t="shared" si="45"/>
        <v>Autumn</v>
      </c>
      <c r="C1467" s="455"/>
      <c r="D1467" s="504"/>
      <c r="E1467" s="455"/>
      <c r="F1467" s="504"/>
      <c r="G1467" s="455"/>
      <c r="H1467" s="504"/>
      <c r="I1467" s="455"/>
      <c r="J1467" s="504"/>
      <c r="L1467" s="472"/>
      <c r="M1467" s="468"/>
      <c r="N1467" s="468"/>
      <c r="O1467" s="468"/>
      <c r="P1467" s="468"/>
      <c r="Q1467" s="473"/>
      <c r="R1467" s="477" t="str">
        <f>IF(AND(COUNTIF('Start Character'!$I$63:$M$77,"Twilight Prone")=1,NOT(ISERROR(FIND("Magical Botch",M1467)))),"Yes",IF(P1467&gt;1,"Yes","No"))</f>
        <v>No</v>
      </c>
      <c r="S1467" s="501"/>
      <c r="T1467" s="478"/>
      <c r="U1467" s="501"/>
      <c r="V1467" s="479" t="str">
        <f>IF(R1467="No","No Twilight",IF(T1467="Yes","Uncomprehended Twilight",IF((Character!$B$14+IF(Character!$B$53="Yes",0,Character!$B$53)+IF(Magic!$C$5="Yes",2,0)+ROUNDUP((Magic!$B$30+IF(Magic!$C$30="Yes",3,0))/5,0)+S1467)&gt;=($D$3+P1467+SUMIF(Character!$I$62:$I$66,"Enigmatic Wisdom",Character!$J$62:$J$66)+Q1467+U1467),"No Twilight","Twilight")))</f>
        <v>No Twilight</v>
      </c>
      <c r="W1467" s="483"/>
      <c r="X1467" s="478"/>
      <c r="Y1467" s="484"/>
      <c r="Z1467" s="478"/>
      <c r="AA1467" s="485" t="str">
        <f>IF(V1467="Uncomprehended Twilight","Failed",IF(OR(ISBLANK(W1467),ISBLANK(Y1467))," ",IF(NOT(ISBLANK(X1467)),"Failed",IF((W1467+Character!$B$9+SUMIF(Character!$I$62:$I$66,"Enigmatic Wisdom",Character!$J$62:$J$66))&gt;=IF(Z1467="Yes",0,(Y1467+D1462)),"Succeeded","Failed"))))</f>
        <v xml:space="preserve"> </v>
      </c>
      <c r="AB1467" s="477" t="str">
        <f>IF(AA1467=" "," ",IF(NOT(ISBLANK(X1467)),VLOOKUP($D$3+X1467,Calcs!$A$110:$C$122,3,TRUE),IF(AA1467="Failed",VLOOKUP($D$3,Calcs!$A$110:$C$122,3,TRUE),VLOOKUP($D$3-(IF((Character!$B$9+W1467)&gt;($D$3+Y1467),(Character!$B$9+W1467)-($D$3+Y1467),0)),Calcs!$A$110:$C$122,3,TRUE))))</f>
        <v xml:space="preserve"> </v>
      </c>
      <c r="AC1467" s="489"/>
      <c r="AD1467" s="489" t="str">
        <f>IF(IF(AA1467=" "," ",IF(NOT(ISBLANK(X1467)),VLOOKUP($D$3+X1467,Calcs!$A$110:$B$122,2,TRUE),IF(AA1467="Failed",VLOOKUP($D$3,Calcs!$A$110:$B$122,2,TRUE),VLOOKUP($D$3-(IF((Character!$B$9+W1467)&gt;($D$3+Y1467),(Character!$B$9+W1467)-($D$3+Y1467),0)),Calcs!$A$110:$B$122,2,TRUE))))=Calcs!$B$120,IF(ISBLANK(AC1467)," ",CONCATENATE(AC1467+7," Years")),IF(AA1467=" "," ",IF(NOT(ISBLANK(X1467)),VLOOKUP($D$3+X1467,Calcs!$A$110:$B$122,2,TRUE),IF(AA1467="Failed",VLOOKUP($D$3,Calcs!$A$110:$B$122,2,TRUE),VLOOKUP($D$3-(IF((Character!$B$9+W1467)&gt;($D$3+Y1467),(Character!$B$9+W1467)-($D$3+Y1467),0)),Calcs!$A$110:$B$122,2,TRUE)))))</f>
        <v xml:space="preserve"> </v>
      </c>
      <c r="AE1467" s="490"/>
      <c r="AF1467" s="879"/>
      <c r="AG1467" s="491"/>
    </row>
    <row r="1468" spans="1:33" x14ac:dyDescent="0.2">
      <c r="A1468" s="415">
        <f t="shared" si="44"/>
        <v>1577</v>
      </c>
      <c r="B1468" s="419" t="str">
        <f t="shared" si="45"/>
        <v>Winter</v>
      </c>
      <c r="C1468" s="455"/>
      <c r="D1468" s="504"/>
      <c r="E1468" s="455"/>
      <c r="F1468" s="504"/>
      <c r="G1468" s="455"/>
      <c r="H1468" s="504"/>
      <c r="I1468" s="455"/>
      <c r="J1468" s="504"/>
      <c r="L1468" s="472"/>
      <c r="M1468" s="468"/>
      <c r="N1468" s="468"/>
      <c r="O1468" s="468"/>
      <c r="P1468" s="468"/>
      <c r="Q1468" s="473"/>
      <c r="R1468" s="477" t="str">
        <f>IF(AND(COUNTIF('Start Character'!$I$63:$M$77,"Twilight Prone")=1,NOT(ISERROR(FIND("Magical Botch",M1468)))),"Yes",IF(P1468&gt;1,"Yes","No"))</f>
        <v>No</v>
      </c>
      <c r="S1468" s="501"/>
      <c r="T1468" s="478"/>
      <c r="U1468" s="501"/>
      <c r="V1468" s="479" t="str">
        <f>IF(R1468="No","No Twilight",IF(T1468="Yes","Uncomprehended Twilight",IF((Character!$B$14+IF(Character!$B$53="Yes",0,Character!$B$53)+IF(Magic!$C$5="Yes",2,0)+ROUNDUP((Magic!$B$30+IF(Magic!$C$30="Yes",3,0))/5,0)+S1468)&gt;=($D$3+P1468+SUMIF(Character!$I$62:$I$66,"Enigmatic Wisdom",Character!$J$62:$J$66)+Q1468+U1468),"No Twilight","Twilight")))</f>
        <v>No Twilight</v>
      </c>
      <c r="W1468" s="483"/>
      <c r="X1468" s="478"/>
      <c r="Y1468" s="484"/>
      <c r="Z1468" s="478"/>
      <c r="AA1468" s="485" t="str">
        <f>IF(V1468="Uncomprehended Twilight","Failed",IF(OR(ISBLANK(W1468),ISBLANK(Y1468))," ",IF(NOT(ISBLANK(X1468)),"Failed",IF((W1468+Character!$B$9+SUMIF(Character!$I$62:$I$66,"Enigmatic Wisdom",Character!$J$62:$J$66))&gt;=IF(Z1468="Yes",0,(Y1468+D1463)),"Succeeded","Failed"))))</f>
        <v xml:space="preserve"> </v>
      </c>
      <c r="AB1468" s="477" t="str">
        <f>IF(AA1468=" "," ",IF(NOT(ISBLANK(X1468)),VLOOKUP($D$3+X1468,Calcs!$A$110:$C$122,3,TRUE),IF(AA1468="Failed",VLOOKUP($D$3,Calcs!$A$110:$C$122,3,TRUE),VLOOKUP($D$3-(IF((Character!$B$9+W1468)&gt;($D$3+Y1468),(Character!$B$9+W1468)-($D$3+Y1468),0)),Calcs!$A$110:$C$122,3,TRUE))))</f>
        <v xml:space="preserve"> </v>
      </c>
      <c r="AC1468" s="489"/>
      <c r="AD1468" s="489" t="str">
        <f>IF(IF(AA1468=" "," ",IF(NOT(ISBLANK(X1468)),VLOOKUP($D$3+X1468,Calcs!$A$110:$B$122,2,TRUE),IF(AA1468="Failed",VLOOKUP($D$3,Calcs!$A$110:$B$122,2,TRUE),VLOOKUP($D$3-(IF((Character!$B$9+W1468)&gt;($D$3+Y1468),(Character!$B$9+W1468)-($D$3+Y1468),0)),Calcs!$A$110:$B$122,2,TRUE))))=Calcs!$B$120,IF(ISBLANK(AC1468)," ",CONCATENATE(AC1468+7," Years")),IF(AA1468=" "," ",IF(NOT(ISBLANK(X1468)),VLOOKUP($D$3+X1468,Calcs!$A$110:$B$122,2,TRUE),IF(AA1468="Failed",VLOOKUP($D$3,Calcs!$A$110:$B$122,2,TRUE),VLOOKUP($D$3-(IF((Character!$B$9+W1468)&gt;($D$3+Y1468),(Character!$B$9+W1468)-($D$3+Y1468),0)),Calcs!$A$110:$B$122,2,TRUE)))))</f>
        <v xml:space="preserve"> </v>
      </c>
      <c r="AE1468" s="490"/>
      <c r="AF1468" s="879"/>
      <c r="AG1468" s="491"/>
    </row>
    <row r="1469" spans="1:33" x14ac:dyDescent="0.2">
      <c r="A1469" s="415">
        <f t="shared" si="44"/>
        <v>1577</v>
      </c>
      <c r="B1469" s="419" t="str">
        <f t="shared" si="45"/>
        <v>Spring</v>
      </c>
      <c r="C1469" s="455"/>
      <c r="D1469" s="504"/>
      <c r="E1469" s="455"/>
      <c r="F1469" s="504"/>
      <c r="G1469" s="455"/>
      <c r="H1469" s="504"/>
      <c r="I1469" s="455"/>
      <c r="J1469" s="504"/>
      <c r="L1469" s="472"/>
      <c r="M1469" s="468"/>
      <c r="N1469" s="468"/>
      <c r="O1469" s="468"/>
      <c r="P1469" s="468"/>
      <c r="Q1469" s="473"/>
      <c r="R1469" s="477" t="str">
        <f>IF(AND(COUNTIF('Start Character'!$I$63:$M$77,"Twilight Prone")=1,NOT(ISERROR(FIND("Magical Botch",M1469)))),"Yes",IF(P1469&gt;1,"Yes","No"))</f>
        <v>No</v>
      </c>
      <c r="S1469" s="501"/>
      <c r="T1469" s="478"/>
      <c r="U1469" s="501"/>
      <c r="V1469" s="479" t="str">
        <f>IF(R1469="No","No Twilight",IF(T1469="Yes","Uncomprehended Twilight",IF((Character!$B$14+IF(Character!$B$53="Yes",0,Character!$B$53)+IF(Magic!$C$5="Yes",2,0)+ROUNDUP((Magic!$B$30+IF(Magic!$C$30="Yes",3,0))/5,0)+S1469)&gt;=($D$3+P1469+SUMIF(Character!$I$62:$I$66,"Enigmatic Wisdom",Character!$J$62:$J$66)+Q1469+U1469),"No Twilight","Twilight")))</f>
        <v>No Twilight</v>
      </c>
      <c r="W1469" s="483"/>
      <c r="X1469" s="478"/>
      <c r="Y1469" s="484"/>
      <c r="Z1469" s="478"/>
      <c r="AA1469" s="485" t="str">
        <f>IF(V1469="Uncomprehended Twilight","Failed",IF(OR(ISBLANK(W1469),ISBLANK(Y1469))," ",IF(NOT(ISBLANK(X1469)),"Failed",IF((W1469+Character!$B$9+SUMIF(Character!$I$62:$I$66,"Enigmatic Wisdom",Character!$J$62:$J$66))&gt;=IF(Z1469="Yes",0,(Y1469+D1464)),"Succeeded","Failed"))))</f>
        <v xml:space="preserve"> </v>
      </c>
      <c r="AB1469" s="477" t="str">
        <f>IF(AA1469=" "," ",IF(NOT(ISBLANK(X1469)),VLOOKUP($D$3+X1469,Calcs!$A$110:$C$122,3,TRUE),IF(AA1469="Failed",VLOOKUP($D$3,Calcs!$A$110:$C$122,3,TRUE),VLOOKUP($D$3-(IF((Character!$B$9+W1469)&gt;($D$3+Y1469),(Character!$B$9+W1469)-($D$3+Y1469),0)),Calcs!$A$110:$C$122,3,TRUE))))</f>
        <v xml:space="preserve"> </v>
      </c>
      <c r="AC1469" s="489"/>
      <c r="AD1469" s="489" t="str">
        <f>IF(IF(AA1469=" "," ",IF(NOT(ISBLANK(X1469)),VLOOKUP($D$3+X1469,Calcs!$A$110:$B$122,2,TRUE),IF(AA1469="Failed",VLOOKUP($D$3,Calcs!$A$110:$B$122,2,TRUE),VLOOKUP($D$3-(IF((Character!$B$9+W1469)&gt;($D$3+Y1469),(Character!$B$9+W1469)-($D$3+Y1469),0)),Calcs!$A$110:$B$122,2,TRUE))))=Calcs!$B$120,IF(ISBLANK(AC1469)," ",CONCATENATE(AC1469+7," Years")),IF(AA1469=" "," ",IF(NOT(ISBLANK(X1469)),VLOOKUP($D$3+X1469,Calcs!$A$110:$B$122,2,TRUE),IF(AA1469="Failed",VLOOKUP($D$3,Calcs!$A$110:$B$122,2,TRUE),VLOOKUP($D$3-(IF((Character!$B$9+W1469)&gt;($D$3+Y1469),(Character!$B$9+W1469)-($D$3+Y1469),0)),Calcs!$A$110:$B$122,2,TRUE)))))</f>
        <v xml:space="preserve"> </v>
      </c>
      <c r="AE1469" s="490"/>
      <c r="AF1469" s="879"/>
      <c r="AG1469" s="491"/>
    </row>
    <row r="1470" spans="1:33" x14ac:dyDescent="0.2">
      <c r="A1470" s="415">
        <f t="shared" si="44"/>
        <v>1577</v>
      </c>
      <c r="B1470" s="419" t="str">
        <f t="shared" si="45"/>
        <v>Summer</v>
      </c>
      <c r="C1470" s="455"/>
      <c r="D1470" s="504"/>
      <c r="E1470" s="455"/>
      <c r="F1470" s="504"/>
      <c r="G1470" s="455"/>
      <c r="H1470" s="504"/>
      <c r="I1470" s="455"/>
      <c r="J1470" s="504"/>
      <c r="L1470" s="472"/>
      <c r="M1470" s="468"/>
      <c r="N1470" s="468"/>
      <c r="O1470" s="468"/>
      <c r="P1470" s="468"/>
      <c r="Q1470" s="473"/>
      <c r="R1470" s="477" t="str">
        <f>IF(AND(COUNTIF('Start Character'!$I$63:$M$77,"Twilight Prone")=1,NOT(ISERROR(FIND("Magical Botch",M1470)))),"Yes",IF(P1470&gt;1,"Yes","No"))</f>
        <v>No</v>
      </c>
      <c r="S1470" s="501"/>
      <c r="T1470" s="478"/>
      <c r="U1470" s="501"/>
      <c r="V1470" s="479" t="str">
        <f>IF(R1470="No","No Twilight",IF(T1470="Yes","Uncomprehended Twilight",IF((Character!$B$14+IF(Character!$B$53="Yes",0,Character!$B$53)+IF(Magic!$C$5="Yes",2,0)+ROUNDUP((Magic!$B$30+IF(Magic!$C$30="Yes",3,0))/5,0)+S1470)&gt;=($D$3+P1470+SUMIF(Character!$I$62:$I$66,"Enigmatic Wisdom",Character!$J$62:$J$66)+Q1470+U1470),"No Twilight","Twilight")))</f>
        <v>No Twilight</v>
      </c>
      <c r="W1470" s="483"/>
      <c r="X1470" s="478"/>
      <c r="Y1470" s="484"/>
      <c r="Z1470" s="478"/>
      <c r="AA1470" s="485" t="str">
        <f>IF(V1470="Uncomprehended Twilight","Failed",IF(OR(ISBLANK(W1470),ISBLANK(Y1470))," ",IF(NOT(ISBLANK(X1470)),"Failed",IF((W1470+Character!$B$9+SUMIF(Character!$I$62:$I$66,"Enigmatic Wisdom",Character!$J$62:$J$66))&gt;=IF(Z1470="Yes",0,(Y1470+D1465)),"Succeeded","Failed"))))</f>
        <v xml:space="preserve"> </v>
      </c>
      <c r="AB1470" s="477" t="str">
        <f>IF(AA1470=" "," ",IF(NOT(ISBLANK(X1470)),VLOOKUP($D$3+X1470,Calcs!$A$110:$C$122,3,TRUE),IF(AA1470="Failed",VLOOKUP($D$3,Calcs!$A$110:$C$122,3,TRUE),VLOOKUP($D$3-(IF((Character!$B$9+W1470)&gt;($D$3+Y1470),(Character!$B$9+W1470)-($D$3+Y1470),0)),Calcs!$A$110:$C$122,3,TRUE))))</f>
        <v xml:space="preserve"> </v>
      </c>
      <c r="AC1470" s="489"/>
      <c r="AD1470" s="489" t="str">
        <f>IF(IF(AA1470=" "," ",IF(NOT(ISBLANK(X1470)),VLOOKUP($D$3+X1470,Calcs!$A$110:$B$122,2,TRUE),IF(AA1470="Failed",VLOOKUP($D$3,Calcs!$A$110:$B$122,2,TRUE),VLOOKUP($D$3-(IF((Character!$B$9+W1470)&gt;($D$3+Y1470),(Character!$B$9+W1470)-($D$3+Y1470),0)),Calcs!$A$110:$B$122,2,TRUE))))=Calcs!$B$120,IF(ISBLANK(AC1470)," ",CONCATENATE(AC1470+7," Years")),IF(AA1470=" "," ",IF(NOT(ISBLANK(X1470)),VLOOKUP($D$3+X1470,Calcs!$A$110:$B$122,2,TRUE),IF(AA1470="Failed",VLOOKUP($D$3,Calcs!$A$110:$B$122,2,TRUE),VLOOKUP($D$3-(IF((Character!$B$9+W1470)&gt;($D$3+Y1470),(Character!$B$9+W1470)-($D$3+Y1470),0)),Calcs!$A$110:$B$122,2,TRUE)))))</f>
        <v xml:space="preserve"> </v>
      </c>
      <c r="AE1470" s="490"/>
      <c r="AF1470" s="879"/>
      <c r="AG1470" s="491"/>
    </row>
    <row r="1471" spans="1:33" x14ac:dyDescent="0.2">
      <c r="A1471" s="415">
        <f t="shared" si="44"/>
        <v>1577</v>
      </c>
      <c r="B1471" s="419" t="str">
        <f t="shared" si="45"/>
        <v>Autumn</v>
      </c>
      <c r="C1471" s="455"/>
      <c r="D1471" s="504"/>
      <c r="E1471" s="455"/>
      <c r="F1471" s="504"/>
      <c r="G1471" s="455"/>
      <c r="H1471" s="504"/>
      <c r="I1471" s="455"/>
      <c r="J1471" s="504"/>
      <c r="L1471" s="472"/>
      <c r="M1471" s="468"/>
      <c r="N1471" s="468"/>
      <c r="O1471" s="468"/>
      <c r="P1471" s="468"/>
      <c r="Q1471" s="473"/>
      <c r="R1471" s="477" t="str">
        <f>IF(AND(COUNTIF('Start Character'!$I$63:$M$77,"Twilight Prone")=1,NOT(ISERROR(FIND("Magical Botch",M1471)))),"Yes",IF(P1471&gt;1,"Yes","No"))</f>
        <v>No</v>
      </c>
      <c r="S1471" s="501"/>
      <c r="T1471" s="478"/>
      <c r="U1471" s="501"/>
      <c r="V1471" s="479" t="str">
        <f>IF(R1471="No","No Twilight",IF(T1471="Yes","Uncomprehended Twilight",IF((Character!$B$14+IF(Character!$B$53="Yes",0,Character!$B$53)+IF(Magic!$C$5="Yes",2,0)+ROUNDUP((Magic!$B$30+IF(Magic!$C$30="Yes",3,0))/5,0)+S1471)&gt;=($D$3+P1471+SUMIF(Character!$I$62:$I$66,"Enigmatic Wisdom",Character!$J$62:$J$66)+Q1471+U1471),"No Twilight","Twilight")))</f>
        <v>No Twilight</v>
      </c>
      <c r="W1471" s="483"/>
      <c r="X1471" s="478"/>
      <c r="Y1471" s="484"/>
      <c r="Z1471" s="478"/>
      <c r="AA1471" s="485" t="str">
        <f>IF(V1471="Uncomprehended Twilight","Failed",IF(OR(ISBLANK(W1471),ISBLANK(Y1471))," ",IF(NOT(ISBLANK(X1471)),"Failed",IF((W1471+Character!$B$9+SUMIF(Character!$I$62:$I$66,"Enigmatic Wisdom",Character!$J$62:$J$66))&gt;=IF(Z1471="Yes",0,(Y1471+D1466)),"Succeeded","Failed"))))</f>
        <v xml:space="preserve"> </v>
      </c>
      <c r="AB1471" s="477" t="str">
        <f>IF(AA1471=" "," ",IF(NOT(ISBLANK(X1471)),VLOOKUP($D$3+X1471,Calcs!$A$110:$C$122,3,TRUE),IF(AA1471="Failed",VLOOKUP($D$3,Calcs!$A$110:$C$122,3,TRUE),VLOOKUP($D$3-(IF((Character!$B$9+W1471)&gt;($D$3+Y1471),(Character!$B$9+W1471)-($D$3+Y1471),0)),Calcs!$A$110:$C$122,3,TRUE))))</f>
        <v xml:space="preserve"> </v>
      </c>
      <c r="AC1471" s="489"/>
      <c r="AD1471" s="489" t="str">
        <f>IF(IF(AA1471=" "," ",IF(NOT(ISBLANK(X1471)),VLOOKUP($D$3+X1471,Calcs!$A$110:$B$122,2,TRUE),IF(AA1471="Failed",VLOOKUP($D$3,Calcs!$A$110:$B$122,2,TRUE),VLOOKUP($D$3-(IF((Character!$B$9+W1471)&gt;($D$3+Y1471),(Character!$B$9+W1471)-($D$3+Y1471),0)),Calcs!$A$110:$B$122,2,TRUE))))=Calcs!$B$120,IF(ISBLANK(AC1471)," ",CONCATENATE(AC1471+7," Years")),IF(AA1471=" "," ",IF(NOT(ISBLANK(X1471)),VLOOKUP($D$3+X1471,Calcs!$A$110:$B$122,2,TRUE),IF(AA1471="Failed",VLOOKUP($D$3,Calcs!$A$110:$B$122,2,TRUE),VLOOKUP($D$3-(IF((Character!$B$9+W1471)&gt;($D$3+Y1471),(Character!$B$9+W1471)-($D$3+Y1471),0)),Calcs!$A$110:$B$122,2,TRUE)))))</f>
        <v xml:space="preserve"> </v>
      </c>
      <c r="AE1471" s="490"/>
      <c r="AF1471" s="879"/>
      <c r="AG1471" s="491"/>
    </row>
    <row r="1472" spans="1:33" x14ac:dyDescent="0.2">
      <c r="A1472" s="415">
        <f t="shared" si="44"/>
        <v>1578</v>
      </c>
      <c r="B1472" s="419" t="str">
        <f t="shared" si="45"/>
        <v>Winter</v>
      </c>
      <c r="C1472" s="455"/>
      <c r="D1472" s="504"/>
      <c r="E1472" s="455"/>
      <c r="F1472" s="504"/>
      <c r="G1472" s="455"/>
      <c r="H1472" s="504"/>
      <c r="I1472" s="455"/>
      <c r="J1472" s="504"/>
      <c r="L1472" s="472"/>
      <c r="M1472" s="468"/>
      <c r="N1472" s="468"/>
      <c r="O1472" s="468"/>
      <c r="P1472" s="468"/>
      <c r="Q1472" s="473"/>
      <c r="R1472" s="477" t="str">
        <f>IF(AND(COUNTIF('Start Character'!$I$63:$M$77,"Twilight Prone")=1,NOT(ISERROR(FIND("Magical Botch",M1472)))),"Yes",IF(P1472&gt;1,"Yes","No"))</f>
        <v>No</v>
      </c>
      <c r="S1472" s="501"/>
      <c r="T1472" s="478"/>
      <c r="U1472" s="501"/>
      <c r="V1472" s="479" t="str">
        <f>IF(R1472="No","No Twilight",IF(T1472="Yes","Uncomprehended Twilight",IF((Character!$B$14+IF(Character!$B$53="Yes",0,Character!$B$53)+IF(Magic!$C$5="Yes",2,0)+ROUNDUP((Magic!$B$30+IF(Magic!$C$30="Yes",3,0))/5,0)+S1472)&gt;=($D$3+P1472+SUMIF(Character!$I$62:$I$66,"Enigmatic Wisdom",Character!$J$62:$J$66)+Q1472+U1472),"No Twilight","Twilight")))</f>
        <v>No Twilight</v>
      </c>
      <c r="W1472" s="483"/>
      <c r="X1472" s="478"/>
      <c r="Y1472" s="484"/>
      <c r="Z1472" s="478"/>
      <c r="AA1472" s="485" t="str">
        <f>IF(V1472="Uncomprehended Twilight","Failed",IF(OR(ISBLANK(W1472),ISBLANK(Y1472))," ",IF(NOT(ISBLANK(X1472)),"Failed",IF((W1472+Character!$B$9+SUMIF(Character!$I$62:$I$66,"Enigmatic Wisdom",Character!$J$62:$J$66))&gt;=IF(Z1472="Yes",0,(Y1472+D1467)),"Succeeded","Failed"))))</f>
        <v xml:space="preserve"> </v>
      </c>
      <c r="AB1472" s="477" t="str">
        <f>IF(AA1472=" "," ",IF(NOT(ISBLANK(X1472)),VLOOKUP($D$3+X1472,Calcs!$A$110:$C$122,3,TRUE),IF(AA1472="Failed",VLOOKUP($D$3,Calcs!$A$110:$C$122,3,TRUE),VLOOKUP($D$3-(IF((Character!$B$9+W1472)&gt;($D$3+Y1472),(Character!$B$9+W1472)-($D$3+Y1472),0)),Calcs!$A$110:$C$122,3,TRUE))))</f>
        <v xml:space="preserve"> </v>
      </c>
      <c r="AC1472" s="489"/>
      <c r="AD1472" s="489" t="str">
        <f>IF(IF(AA1472=" "," ",IF(NOT(ISBLANK(X1472)),VLOOKUP($D$3+X1472,Calcs!$A$110:$B$122,2,TRUE),IF(AA1472="Failed",VLOOKUP($D$3,Calcs!$A$110:$B$122,2,TRUE),VLOOKUP($D$3-(IF((Character!$B$9+W1472)&gt;($D$3+Y1472),(Character!$B$9+W1472)-($D$3+Y1472),0)),Calcs!$A$110:$B$122,2,TRUE))))=Calcs!$B$120,IF(ISBLANK(AC1472)," ",CONCATENATE(AC1472+7," Years")),IF(AA1472=" "," ",IF(NOT(ISBLANK(X1472)),VLOOKUP($D$3+X1472,Calcs!$A$110:$B$122,2,TRUE),IF(AA1472="Failed",VLOOKUP($D$3,Calcs!$A$110:$B$122,2,TRUE),VLOOKUP($D$3-(IF((Character!$B$9+W1472)&gt;($D$3+Y1472),(Character!$B$9+W1472)-($D$3+Y1472),0)),Calcs!$A$110:$B$122,2,TRUE)))))</f>
        <v xml:space="preserve"> </v>
      </c>
      <c r="AE1472" s="490"/>
      <c r="AF1472" s="879"/>
      <c r="AG1472" s="491"/>
    </row>
    <row r="1473" spans="1:33" x14ac:dyDescent="0.2">
      <c r="A1473" s="415">
        <f t="shared" si="44"/>
        <v>1578</v>
      </c>
      <c r="B1473" s="419" t="str">
        <f t="shared" si="45"/>
        <v>Spring</v>
      </c>
      <c r="C1473" s="455"/>
      <c r="D1473" s="504"/>
      <c r="E1473" s="455"/>
      <c r="F1473" s="504"/>
      <c r="G1473" s="455"/>
      <c r="H1473" s="504"/>
      <c r="I1473" s="455"/>
      <c r="J1473" s="504"/>
      <c r="L1473" s="472"/>
      <c r="M1473" s="468"/>
      <c r="N1473" s="468"/>
      <c r="O1473" s="468"/>
      <c r="P1473" s="468"/>
      <c r="Q1473" s="473"/>
      <c r="R1473" s="477" t="str">
        <f>IF(AND(COUNTIF('Start Character'!$I$63:$M$77,"Twilight Prone")=1,NOT(ISERROR(FIND("Magical Botch",M1473)))),"Yes",IF(P1473&gt;1,"Yes","No"))</f>
        <v>No</v>
      </c>
      <c r="S1473" s="501"/>
      <c r="T1473" s="478"/>
      <c r="U1473" s="501"/>
      <c r="V1473" s="479" t="str">
        <f>IF(R1473="No","No Twilight",IF(T1473="Yes","Uncomprehended Twilight",IF((Character!$B$14+IF(Character!$B$53="Yes",0,Character!$B$53)+IF(Magic!$C$5="Yes",2,0)+ROUNDUP((Magic!$B$30+IF(Magic!$C$30="Yes",3,0))/5,0)+S1473)&gt;=($D$3+P1473+SUMIF(Character!$I$62:$I$66,"Enigmatic Wisdom",Character!$J$62:$J$66)+Q1473+U1473),"No Twilight","Twilight")))</f>
        <v>No Twilight</v>
      </c>
      <c r="W1473" s="483"/>
      <c r="X1473" s="478"/>
      <c r="Y1473" s="484"/>
      <c r="Z1473" s="478"/>
      <c r="AA1473" s="485" t="str">
        <f>IF(V1473="Uncomprehended Twilight","Failed",IF(OR(ISBLANK(W1473),ISBLANK(Y1473))," ",IF(NOT(ISBLANK(X1473)),"Failed",IF((W1473+Character!$B$9+SUMIF(Character!$I$62:$I$66,"Enigmatic Wisdom",Character!$J$62:$J$66))&gt;=IF(Z1473="Yes",0,(Y1473+D1468)),"Succeeded","Failed"))))</f>
        <v xml:space="preserve"> </v>
      </c>
      <c r="AB1473" s="477" t="str">
        <f>IF(AA1473=" "," ",IF(NOT(ISBLANK(X1473)),VLOOKUP($D$3+X1473,Calcs!$A$110:$C$122,3,TRUE),IF(AA1473="Failed",VLOOKUP($D$3,Calcs!$A$110:$C$122,3,TRUE),VLOOKUP($D$3-(IF((Character!$B$9+W1473)&gt;($D$3+Y1473),(Character!$B$9+W1473)-($D$3+Y1473),0)),Calcs!$A$110:$C$122,3,TRUE))))</f>
        <v xml:space="preserve"> </v>
      </c>
      <c r="AC1473" s="489"/>
      <c r="AD1473" s="489" t="str">
        <f>IF(IF(AA1473=" "," ",IF(NOT(ISBLANK(X1473)),VLOOKUP($D$3+X1473,Calcs!$A$110:$B$122,2,TRUE),IF(AA1473="Failed",VLOOKUP($D$3,Calcs!$A$110:$B$122,2,TRUE),VLOOKUP($D$3-(IF((Character!$B$9+W1473)&gt;($D$3+Y1473),(Character!$B$9+W1473)-($D$3+Y1473),0)),Calcs!$A$110:$B$122,2,TRUE))))=Calcs!$B$120,IF(ISBLANK(AC1473)," ",CONCATENATE(AC1473+7," Years")),IF(AA1473=" "," ",IF(NOT(ISBLANK(X1473)),VLOOKUP($D$3+X1473,Calcs!$A$110:$B$122,2,TRUE),IF(AA1473="Failed",VLOOKUP($D$3,Calcs!$A$110:$B$122,2,TRUE),VLOOKUP($D$3-(IF((Character!$B$9+W1473)&gt;($D$3+Y1473),(Character!$B$9+W1473)-($D$3+Y1473),0)),Calcs!$A$110:$B$122,2,TRUE)))))</f>
        <v xml:space="preserve"> </v>
      </c>
      <c r="AE1473" s="490"/>
      <c r="AF1473" s="879"/>
      <c r="AG1473" s="491"/>
    </row>
    <row r="1474" spans="1:33" x14ac:dyDescent="0.2">
      <c r="A1474" s="415">
        <f t="shared" si="44"/>
        <v>1578</v>
      </c>
      <c r="B1474" s="419" t="str">
        <f t="shared" si="45"/>
        <v>Summer</v>
      </c>
      <c r="C1474" s="455"/>
      <c r="D1474" s="504"/>
      <c r="E1474" s="455"/>
      <c r="F1474" s="504"/>
      <c r="G1474" s="455"/>
      <c r="H1474" s="504"/>
      <c r="I1474" s="455"/>
      <c r="J1474" s="504"/>
      <c r="L1474" s="472"/>
      <c r="M1474" s="468"/>
      <c r="N1474" s="468"/>
      <c r="O1474" s="468"/>
      <c r="P1474" s="468"/>
      <c r="Q1474" s="473"/>
      <c r="R1474" s="477" t="str">
        <f>IF(AND(COUNTIF('Start Character'!$I$63:$M$77,"Twilight Prone")=1,NOT(ISERROR(FIND("Magical Botch",M1474)))),"Yes",IF(P1474&gt;1,"Yes","No"))</f>
        <v>No</v>
      </c>
      <c r="S1474" s="501"/>
      <c r="T1474" s="478"/>
      <c r="U1474" s="501"/>
      <c r="V1474" s="479" t="str">
        <f>IF(R1474="No","No Twilight",IF(T1474="Yes","Uncomprehended Twilight",IF((Character!$B$14+IF(Character!$B$53="Yes",0,Character!$B$53)+IF(Magic!$C$5="Yes",2,0)+ROUNDUP((Magic!$B$30+IF(Magic!$C$30="Yes",3,0))/5,0)+S1474)&gt;=($D$3+P1474+SUMIF(Character!$I$62:$I$66,"Enigmatic Wisdom",Character!$J$62:$J$66)+Q1474+U1474),"No Twilight","Twilight")))</f>
        <v>No Twilight</v>
      </c>
      <c r="W1474" s="483"/>
      <c r="X1474" s="478"/>
      <c r="Y1474" s="484"/>
      <c r="Z1474" s="478"/>
      <c r="AA1474" s="485" t="str">
        <f>IF(V1474="Uncomprehended Twilight","Failed",IF(OR(ISBLANK(W1474),ISBLANK(Y1474))," ",IF(NOT(ISBLANK(X1474)),"Failed",IF((W1474+Character!$B$9+SUMIF(Character!$I$62:$I$66,"Enigmatic Wisdom",Character!$J$62:$J$66))&gt;=IF(Z1474="Yes",0,(Y1474+D1469)),"Succeeded","Failed"))))</f>
        <v xml:space="preserve"> </v>
      </c>
      <c r="AB1474" s="477" t="str">
        <f>IF(AA1474=" "," ",IF(NOT(ISBLANK(X1474)),VLOOKUP($D$3+X1474,Calcs!$A$110:$C$122,3,TRUE),IF(AA1474="Failed",VLOOKUP($D$3,Calcs!$A$110:$C$122,3,TRUE),VLOOKUP($D$3-(IF((Character!$B$9+W1474)&gt;($D$3+Y1474),(Character!$B$9+W1474)-($D$3+Y1474),0)),Calcs!$A$110:$C$122,3,TRUE))))</f>
        <v xml:space="preserve"> </v>
      </c>
      <c r="AC1474" s="489"/>
      <c r="AD1474" s="489" t="str">
        <f>IF(IF(AA1474=" "," ",IF(NOT(ISBLANK(X1474)),VLOOKUP($D$3+X1474,Calcs!$A$110:$B$122,2,TRUE),IF(AA1474="Failed",VLOOKUP($D$3,Calcs!$A$110:$B$122,2,TRUE),VLOOKUP($D$3-(IF((Character!$B$9+W1474)&gt;($D$3+Y1474),(Character!$B$9+W1474)-($D$3+Y1474),0)),Calcs!$A$110:$B$122,2,TRUE))))=Calcs!$B$120,IF(ISBLANK(AC1474)," ",CONCATENATE(AC1474+7," Years")),IF(AA1474=" "," ",IF(NOT(ISBLANK(X1474)),VLOOKUP($D$3+X1474,Calcs!$A$110:$B$122,2,TRUE),IF(AA1474="Failed",VLOOKUP($D$3,Calcs!$A$110:$B$122,2,TRUE),VLOOKUP($D$3-(IF((Character!$B$9+W1474)&gt;($D$3+Y1474),(Character!$B$9+W1474)-($D$3+Y1474),0)),Calcs!$A$110:$B$122,2,TRUE)))))</f>
        <v xml:space="preserve"> </v>
      </c>
      <c r="AE1474" s="490"/>
      <c r="AF1474" s="879"/>
      <c r="AG1474" s="491"/>
    </row>
    <row r="1475" spans="1:33" x14ac:dyDescent="0.2">
      <c r="A1475" s="415">
        <f t="shared" si="44"/>
        <v>1578</v>
      </c>
      <c r="B1475" s="419" t="str">
        <f t="shared" si="45"/>
        <v>Autumn</v>
      </c>
      <c r="C1475" s="455"/>
      <c r="D1475" s="504"/>
      <c r="E1475" s="455"/>
      <c r="F1475" s="504"/>
      <c r="G1475" s="455"/>
      <c r="H1475" s="504"/>
      <c r="I1475" s="455"/>
      <c r="J1475" s="504"/>
      <c r="L1475" s="472"/>
      <c r="M1475" s="468"/>
      <c r="N1475" s="468"/>
      <c r="O1475" s="468"/>
      <c r="P1475" s="468"/>
      <c r="Q1475" s="473"/>
      <c r="R1475" s="477" t="str">
        <f>IF(AND(COUNTIF('Start Character'!$I$63:$M$77,"Twilight Prone")=1,NOT(ISERROR(FIND("Magical Botch",M1475)))),"Yes",IF(P1475&gt;1,"Yes","No"))</f>
        <v>No</v>
      </c>
      <c r="S1475" s="501"/>
      <c r="T1475" s="478"/>
      <c r="U1475" s="501"/>
      <c r="V1475" s="479" t="str">
        <f>IF(R1475="No","No Twilight",IF(T1475="Yes","Uncomprehended Twilight",IF((Character!$B$14+IF(Character!$B$53="Yes",0,Character!$B$53)+IF(Magic!$C$5="Yes",2,0)+ROUNDUP((Magic!$B$30+IF(Magic!$C$30="Yes",3,0))/5,0)+S1475)&gt;=($D$3+P1475+SUMIF(Character!$I$62:$I$66,"Enigmatic Wisdom",Character!$J$62:$J$66)+Q1475+U1475),"No Twilight","Twilight")))</f>
        <v>No Twilight</v>
      </c>
      <c r="W1475" s="483"/>
      <c r="X1475" s="478"/>
      <c r="Y1475" s="484"/>
      <c r="Z1475" s="478"/>
      <c r="AA1475" s="485" t="str">
        <f>IF(V1475="Uncomprehended Twilight","Failed",IF(OR(ISBLANK(W1475),ISBLANK(Y1475))," ",IF(NOT(ISBLANK(X1475)),"Failed",IF((W1475+Character!$B$9+SUMIF(Character!$I$62:$I$66,"Enigmatic Wisdom",Character!$J$62:$J$66))&gt;=IF(Z1475="Yes",0,(Y1475+D1470)),"Succeeded","Failed"))))</f>
        <v xml:space="preserve"> </v>
      </c>
      <c r="AB1475" s="477" t="str">
        <f>IF(AA1475=" "," ",IF(NOT(ISBLANK(X1475)),VLOOKUP($D$3+X1475,Calcs!$A$110:$C$122,3,TRUE),IF(AA1475="Failed",VLOOKUP($D$3,Calcs!$A$110:$C$122,3,TRUE),VLOOKUP($D$3-(IF((Character!$B$9+W1475)&gt;($D$3+Y1475),(Character!$B$9+W1475)-($D$3+Y1475),0)),Calcs!$A$110:$C$122,3,TRUE))))</f>
        <v xml:space="preserve"> </v>
      </c>
      <c r="AC1475" s="489"/>
      <c r="AD1475" s="489" t="str">
        <f>IF(IF(AA1475=" "," ",IF(NOT(ISBLANK(X1475)),VLOOKUP($D$3+X1475,Calcs!$A$110:$B$122,2,TRUE),IF(AA1475="Failed",VLOOKUP($D$3,Calcs!$A$110:$B$122,2,TRUE),VLOOKUP($D$3-(IF((Character!$B$9+W1475)&gt;($D$3+Y1475),(Character!$B$9+W1475)-($D$3+Y1475),0)),Calcs!$A$110:$B$122,2,TRUE))))=Calcs!$B$120,IF(ISBLANK(AC1475)," ",CONCATENATE(AC1475+7," Years")),IF(AA1475=" "," ",IF(NOT(ISBLANK(X1475)),VLOOKUP($D$3+X1475,Calcs!$A$110:$B$122,2,TRUE),IF(AA1475="Failed",VLOOKUP($D$3,Calcs!$A$110:$B$122,2,TRUE),VLOOKUP($D$3-(IF((Character!$B$9+W1475)&gt;($D$3+Y1475),(Character!$B$9+W1475)-($D$3+Y1475),0)),Calcs!$A$110:$B$122,2,TRUE)))))</f>
        <v xml:space="preserve"> </v>
      </c>
      <c r="AE1475" s="490"/>
      <c r="AF1475" s="879"/>
      <c r="AG1475" s="491"/>
    </row>
    <row r="1476" spans="1:33" x14ac:dyDescent="0.2">
      <c r="A1476" s="415">
        <f t="shared" si="44"/>
        <v>1579</v>
      </c>
      <c r="B1476" s="419" t="str">
        <f t="shared" si="45"/>
        <v>Winter</v>
      </c>
      <c r="C1476" s="455"/>
      <c r="D1476" s="504"/>
      <c r="E1476" s="455"/>
      <c r="F1476" s="504"/>
      <c r="G1476" s="455"/>
      <c r="H1476" s="504"/>
      <c r="I1476" s="455"/>
      <c r="J1476" s="504"/>
      <c r="L1476" s="472"/>
      <c r="M1476" s="468"/>
      <c r="N1476" s="468"/>
      <c r="O1476" s="468"/>
      <c r="P1476" s="468"/>
      <c r="Q1476" s="473"/>
      <c r="R1476" s="477" t="str">
        <f>IF(AND(COUNTIF('Start Character'!$I$63:$M$77,"Twilight Prone")=1,NOT(ISERROR(FIND("Magical Botch",M1476)))),"Yes",IF(P1476&gt;1,"Yes","No"))</f>
        <v>No</v>
      </c>
      <c r="S1476" s="501"/>
      <c r="T1476" s="478"/>
      <c r="U1476" s="501"/>
      <c r="V1476" s="479" t="str">
        <f>IF(R1476="No","No Twilight",IF(T1476="Yes","Uncomprehended Twilight",IF((Character!$B$14+IF(Character!$B$53="Yes",0,Character!$B$53)+IF(Magic!$C$5="Yes",2,0)+ROUNDUP((Magic!$B$30+IF(Magic!$C$30="Yes",3,0))/5,0)+S1476)&gt;=($D$3+P1476+SUMIF(Character!$I$62:$I$66,"Enigmatic Wisdom",Character!$J$62:$J$66)+Q1476+U1476),"No Twilight","Twilight")))</f>
        <v>No Twilight</v>
      </c>
      <c r="W1476" s="483"/>
      <c r="X1476" s="478"/>
      <c r="Y1476" s="484"/>
      <c r="Z1476" s="478"/>
      <c r="AA1476" s="485" t="str">
        <f>IF(V1476="Uncomprehended Twilight","Failed",IF(OR(ISBLANK(W1476),ISBLANK(Y1476))," ",IF(NOT(ISBLANK(X1476)),"Failed",IF((W1476+Character!$B$9+SUMIF(Character!$I$62:$I$66,"Enigmatic Wisdom",Character!$J$62:$J$66))&gt;=IF(Z1476="Yes",0,(Y1476+D1471)),"Succeeded","Failed"))))</f>
        <v xml:space="preserve"> </v>
      </c>
      <c r="AB1476" s="477" t="str">
        <f>IF(AA1476=" "," ",IF(NOT(ISBLANK(X1476)),VLOOKUP($D$3+X1476,Calcs!$A$110:$C$122,3,TRUE),IF(AA1476="Failed",VLOOKUP($D$3,Calcs!$A$110:$C$122,3,TRUE),VLOOKUP($D$3-(IF((Character!$B$9+W1476)&gt;($D$3+Y1476),(Character!$B$9+W1476)-($D$3+Y1476),0)),Calcs!$A$110:$C$122,3,TRUE))))</f>
        <v xml:space="preserve"> </v>
      </c>
      <c r="AC1476" s="489"/>
      <c r="AD1476" s="489" t="str">
        <f>IF(IF(AA1476=" "," ",IF(NOT(ISBLANK(X1476)),VLOOKUP($D$3+X1476,Calcs!$A$110:$B$122,2,TRUE),IF(AA1476="Failed",VLOOKUP($D$3,Calcs!$A$110:$B$122,2,TRUE),VLOOKUP($D$3-(IF((Character!$B$9+W1476)&gt;($D$3+Y1476),(Character!$B$9+W1476)-($D$3+Y1476),0)),Calcs!$A$110:$B$122,2,TRUE))))=Calcs!$B$120,IF(ISBLANK(AC1476)," ",CONCATENATE(AC1476+7," Years")),IF(AA1476=" "," ",IF(NOT(ISBLANK(X1476)),VLOOKUP($D$3+X1476,Calcs!$A$110:$B$122,2,TRUE),IF(AA1476="Failed",VLOOKUP($D$3,Calcs!$A$110:$B$122,2,TRUE),VLOOKUP($D$3-(IF((Character!$B$9+W1476)&gt;($D$3+Y1476),(Character!$B$9+W1476)-($D$3+Y1476),0)),Calcs!$A$110:$B$122,2,TRUE)))))</f>
        <v xml:space="preserve"> </v>
      </c>
      <c r="AE1476" s="490"/>
      <c r="AF1476" s="879"/>
      <c r="AG1476" s="491"/>
    </row>
    <row r="1477" spans="1:33" x14ac:dyDescent="0.2">
      <c r="A1477" s="415">
        <f t="shared" si="44"/>
        <v>1579</v>
      </c>
      <c r="B1477" s="419" t="str">
        <f t="shared" si="45"/>
        <v>Spring</v>
      </c>
      <c r="C1477" s="455"/>
      <c r="D1477" s="504"/>
      <c r="E1477" s="455"/>
      <c r="F1477" s="504"/>
      <c r="G1477" s="455"/>
      <c r="H1477" s="504"/>
      <c r="I1477" s="455"/>
      <c r="J1477" s="504"/>
      <c r="L1477" s="472"/>
      <c r="M1477" s="468"/>
      <c r="N1477" s="468"/>
      <c r="O1477" s="468"/>
      <c r="P1477" s="468"/>
      <c r="Q1477" s="473"/>
      <c r="R1477" s="477" t="str">
        <f>IF(AND(COUNTIF('Start Character'!$I$63:$M$77,"Twilight Prone")=1,NOT(ISERROR(FIND("Magical Botch",M1477)))),"Yes",IF(P1477&gt;1,"Yes","No"))</f>
        <v>No</v>
      </c>
      <c r="S1477" s="501"/>
      <c r="T1477" s="478"/>
      <c r="U1477" s="501"/>
      <c r="V1477" s="479" t="str">
        <f>IF(R1477="No","No Twilight",IF(T1477="Yes","Uncomprehended Twilight",IF((Character!$B$14+IF(Character!$B$53="Yes",0,Character!$B$53)+IF(Magic!$C$5="Yes",2,0)+ROUNDUP((Magic!$B$30+IF(Magic!$C$30="Yes",3,0))/5,0)+S1477)&gt;=($D$3+P1477+SUMIF(Character!$I$62:$I$66,"Enigmatic Wisdom",Character!$J$62:$J$66)+Q1477+U1477),"No Twilight","Twilight")))</f>
        <v>No Twilight</v>
      </c>
      <c r="W1477" s="483"/>
      <c r="X1477" s="478"/>
      <c r="Y1477" s="484"/>
      <c r="Z1477" s="478"/>
      <c r="AA1477" s="485" t="str">
        <f>IF(V1477="Uncomprehended Twilight","Failed",IF(OR(ISBLANK(W1477),ISBLANK(Y1477))," ",IF(NOT(ISBLANK(X1477)),"Failed",IF((W1477+Character!$B$9+SUMIF(Character!$I$62:$I$66,"Enigmatic Wisdom",Character!$J$62:$J$66))&gt;=IF(Z1477="Yes",0,(Y1477+D1472)),"Succeeded","Failed"))))</f>
        <v xml:space="preserve"> </v>
      </c>
      <c r="AB1477" s="477" t="str">
        <f>IF(AA1477=" "," ",IF(NOT(ISBLANK(X1477)),VLOOKUP($D$3+X1477,Calcs!$A$110:$C$122,3,TRUE),IF(AA1477="Failed",VLOOKUP($D$3,Calcs!$A$110:$C$122,3,TRUE),VLOOKUP($D$3-(IF((Character!$B$9+W1477)&gt;($D$3+Y1477),(Character!$B$9+W1477)-($D$3+Y1477),0)),Calcs!$A$110:$C$122,3,TRUE))))</f>
        <v xml:space="preserve"> </v>
      </c>
      <c r="AC1477" s="489"/>
      <c r="AD1477" s="489" t="str">
        <f>IF(IF(AA1477=" "," ",IF(NOT(ISBLANK(X1477)),VLOOKUP($D$3+X1477,Calcs!$A$110:$B$122,2,TRUE),IF(AA1477="Failed",VLOOKUP($D$3,Calcs!$A$110:$B$122,2,TRUE),VLOOKUP($D$3-(IF((Character!$B$9+W1477)&gt;($D$3+Y1477),(Character!$B$9+W1477)-($D$3+Y1477),0)),Calcs!$A$110:$B$122,2,TRUE))))=Calcs!$B$120,IF(ISBLANK(AC1477)," ",CONCATENATE(AC1477+7," Years")),IF(AA1477=" "," ",IF(NOT(ISBLANK(X1477)),VLOOKUP($D$3+X1477,Calcs!$A$110:$B$122,2,TRUE),IF(AA1477="Failed",VLOOKUP($D$3,Calcs!$A$110:$B$122,2,TRUE),VLOOKUP($D$3-(IF((Character!$B$9+W1477)&gt;($D$3+Y1477),(Character!$B$9+W1477)-($D$3+Y1477),0)),Calcs!$A$110:$B$122,2,TRUE)))))</f>
        <v xml:space="preserve"> </v>
      </c>
      <c r="AE1477" s="490"/>
      <c r="AF1477" s="879"/>
      <c r="AG1477" s="491"/>
    </row>
    <row r="1478" spans="1:33" x14ac:dyDescent="0.2">
      <c r="A1478" s="415">
        <f t="shared" si="44"/>
        <v>1579</v>
      </c>
      <c r="B1478" s="419" t="str">
        <f t="shared" si="45"/>
        <v>Summer</v>
      </c>
      <c r="C1478" s="455"/>
      <c r="D1478" s="504"/>
      <c r="E1478" s="455"/>
      <c r="F1478" s="504"/>
      <c r="G1478" s="455"/>
      <c r="H1478" s="504"/>
      <c r="I1478" s="455"/>
      <c r="J1478" s="504"/>
      <c r="L1478" s="472"/>
      <c r="M1478" s="468"/>
      <c r="N1478" s="468"/>
      <c r="O1478" s="468"/>
      <c r="P1478" s="468"/>
      <c r="Q1478" s="473"/>
      <c r="R1478" s="477" t="str">
        <f>IF(AND(COUNTIF('Start Character'!$I$63:$M$77,"Twilight Prone")=1,NOT(ISERROR(FIND("Magical Botch",M1478)))),"Yes",IF(P1478&gt;1,"Yes","No"))</f>
        <v>No</v>
      </c>
      <c r="S1478" s="501"/>
      <c r="T1478" s="478"/>
      <c r="U1478" s="501"/>
      <c r="V1478" s="479" t="str">
        <f>IF(R1478="No","No Twilight",IF(T1478="Yes","Uncomprehended Twilight",IF((Character!$B$14+IF(Character!$B$53="Yes",0,Character!$B$53)+IF(Magic!$C$5="Yes",2,0)+ROUNDUP((Magic!$B$30+IF(Magic!$C$30="Yes",3,0))/5,0)+S1478)&gt;=($D$3+P1478+SUMIF(Character!$I$62:$I$66,"Enigmatic Wisdom",Character!$J$62:$J$66)+Q1478+U1478),"No Twilight","Twilight")))</f>
        <v>No Twilight</v>
      </c>
      <c r="W1478" s="483"/>
      <c r="X1478" s="478"/>
      <c r="Y1478" s="484"/>
      <c r="Z1478" s="478"/>
      <c r="AA1478" s="485" t="str">
        <f>IF(V1478="Uncomprehended Twilight","Failed",IF(OR(ISBLANK(W1478),ISBLANK(Y1478))," ",IF(NOT(ISBLANK(X1478)),"Failed",IF((W1478+Character!$B$9+SUMIF(Character!$I$62:$I$66,"Enigmatic Wisdom",Character!$J$62:$J$66))&gt;=IF(Z1478="Yes",0,(Y1478+D1473)),"Succeeded","Failed"))))</f>
        <v xml:space="preserve"> </v>
      </c>
      <c r="AB1478" s="477" t="str">
        <f>IF(AA1478=" "," ",IF(NOT(ISBLANK(X1478)),VLOOKUP($D$3+X1478,Calcs!$A$110:$C$122,3,TRUE),IF(AA1478="Failed",VLOOKUP($D$3,Calcs!$A$110:$C$122,3,TRUE),VLOOKUP($D$3-(IF((Character!$B$9+W1478)&gt;($D$3+Y1478),(Character!$B$9+W1478)-($D$3+Y1478),0)),Calcs!$A$110:$C$122,3,TRUE))))</f>
        <v xml:space="preserve"> </v>
      </c>
      <c r="AC1478" s="489"/>
      <c r="AD1478" s="489" t="str">
        <f>IF(IF(AA1478=" "," ",IF(NOT(ISBLANK(X1478)),VLOOKUP($D$3+X1478,Calcs!$A$110:$B$122,2,TRUE),IF(AA1478="Failed",VLOOKUP($D$3,Calcs!$A$110:$B$122,2,TRUE),VLOOKUP($D$3-(IF((Character!$B$9+W1478)&gt;($D$3+Y1478),(Character!$B$9+W1478)-($D$3+Y1478),0)),Calcs!$A$110:$B$122,2,TRUE))))=Calcs!$B$120,IF(ISBLANK(AC1478)," ",CONCATENATE(AC1478+7," Years")),IF(AA1478=" "," ",IF(NOT(ISBLANK(X1478)),VLOOKUP($D$3+X1478,Calcs!$A$110:$B$122,2,TRUE),IF(AA1478="Failed",VLOOKUP($D$3,Calcs!$A$110:$B$122,2,TRUE),VLOOKUP($D$3-(IF((Character!$B$9+W1478)&gt;($D$3+Y1478),(Character!$B$9+W1478)-($D$3+Y1478),0)),Calcs!$A$110:$B$122,2,TRUE)))))</f>
        <v xml:space="preserve"> </v>
      </c>
      <c r="AE1478" s="490"/>
      <c r="AF1478" s="879"/>
      <c r="AG1478" s="491"/>
    </row>
    <row r="1479" spans="1:33" x14ac:dyDescent="0.2">
      <c r="A1479" s="415">
        <f t="shared" si="44"/>
        <v>1579</v>
      </c>
      <c r="B1479" s="419" t="str">
        <f t="shared" si="45"/>
        <v>Autumn</v>
      </c>
      <c r="C1479" s="455"/>
      <c r="D1479" s="504"/>
      <c r="E1479" s="455"/>
      <c r="F1479" s="504"/>
      <c r="G1479" s="455"/>
      <c r="H1479" s="504"/>
      <c r="I1479" s="455"/>
      <c r="J1479" s="504"/>
      <c r="L1479" s="472"/>
      <c r="M1479" s="468"/>
      <c r="N1479" s="468"/>
      <c r="O1479" s="468"/>
      <c r="P1479" s="468"/>
      <c r="Q1479" s="473"/>
      <c r="R1479" s="477" t="str">
        <f>IF(AND(COUNTIF('Start Character'!$I$63:$M$77,"Twilight Prone")=1,NOT(ISERROR(FIND("Magical Botch",M1479)))),"Yes",IF(P1479&gt;1,"Yes","No"))</f>
        <v>No</v>
      </c>
      <c r="S1479" s="501"/>
      <c r="T1479" s="478"/>
      <c r="U1479" s="501"/>
      <c r="V1479" s="479" t="str">
        <f>IF(R1479="No","No Twilight",IF(T1479="Yes","Uncomprehended Twilight",IF((Character!$B$14+IF(Character!$B$53="Yes",0,Character!$B$53)+IF(Magic!$C$5="Yes",2,0)+ROUNDUP((Magic!$B$30+IF(Magic!$C$30="Yes",3,0))/5,0)+S1479)&gt;=($D$3+P1479+SUMIF(Character!$I$62:$I$66,"Enigmatic Wisdom",Character!$J$62:$J$66)+Q1479+U1479),"No Twilight","Twilight")))</f>
        <v>No Twilight</v>
      </c>
      <c r="W1479" s="483"/>
      <c r="X1479" s="478"/>
      <c r="Y1479" s="484"/>
      <c r="Z1479" s="478"/>
      <c r="AA1479" s="485" t="str">
        <f>IF(V1479="Uncomprehended Twilight","Failed",IF(OR(ISBLANK(W1479),ISBLANK(Y1479))," ",IF(NOT(ISBLANK(X1479)),"Failed",IF((W1479+Character!$B$9+SUMIF(Character!$I$62:$I$66,"Enigmatic Wisdom",Character!$J$62:$J$66))&gt;=IF(Z1479="Yes",0,(Y1479+D1474)),"Succeeded","Failed"))))</f>
        <v xml:space="preserve"> </v>
      </c>
      <c r="AB1479" s="477" t="str">
        <f>IF(AA1479=" "," ",IF(NOT(ISBLANK(X1479)),VLOOKUP($D$3+X1479,Calcs!$A$110:$C$122,3,TRUE),IF(AA1479="Failed",VLOOKUP($D$3,Calcs!$A$110:$C$122,3,TRUE),VLOOKUP($D$3-(IF((Character!$B$9+W1479)&gt;($D$3+Y1479),(Character!$B$9+W1479)-($D$3+Y1479),0)),Calcs!$A$110:$C$122,3,TRUE))))</f>
        <v xml:space="preserve"> </v>
      </c>
      <c r="AC1479" s="489"/>
      <c r="AD1479" s="489" t="str">
        <f>IF(IF(AA1479=" "," ",IF(NOT(ISBLANK(X1479)),VLOOKUP($D$3+X1479,Calcs!$A$110:$B$122,2,TRUE),IF(AA1479="Failed",VLOOKUP($D$3,Calcs!$A$110:$B$122,2,TRUE),VLOOKUP($D$3-(IF((Character!$B$9+W1479)&gt;($D$3+Y1479),(Character!$B$9+W1479)-($D$3+Y1479),0)),Calcs!$A$110:$B$122,2,TRUE))))=Calcs!$B$120,IF(ISBLANK(AC1479)," ",CONCATENATE(AC1479+7," Years")),IF(AA1479=" "," ",IF(NOT(ISBLANK(X1479)),VLOOKUP($D$3+X1479,Calcs!$A$110:$B$122,2,TRUE),IF(AA1479="Failed",VLOOKUP($D$3,Calcs!$A$110:$B$122,2,TRUE),VLOOKUP($D$3-(IF((Character!$B$9+W1479)&gt;($D$3+Y1479),(Character!$B$9+W1479)-($D$3+Y1479),0)),Calcs!$A$110:$B$122,2,TRUE)))))</f>
        <v xml:space="preserve"> </v>
      </c>
      <c r="AE1479" s="490"/>
      <c r="AF1479" s="879"/>
      <c r="AG1479" s="491"/>
    </row>
    <row r="1480" spans="1:33" x14ac:dyDescent="0.2">
      <c r="A1480" s="415">
        <f t="shared" si="44"/>
        <v>1580</v>
      </c>
      <c r="B1480" s="419" t="str">
        <f t="shared" si="45"/>
        <v>Winter</v>
      </c>
      <c r="C1480" s="455"/>
      <c r="D1480" s="504"/>
      <c r="E1480" s="455"/>
      <c r="F1480" s="504"/>
      <c r="G1480" s="455"/>
      <c r="H1480" s="504"/>
      <c r="I1480" s="455"/>
      <c r="J1480" s="504"/>
      <c r="L1480" s="472"/>
      <c r="M1480" s="468"/>
      <c r="N1480" s="468"/>
      <c r="O1480" s="468"/>
      <c r="P1480" s="468"/>
      <c r="Q1480" s="473"/>
      <c r="R1480" s="477" t="str">
        <f>IF(AND(COUNTIF('Start Character'!$I$63:$M$77,"Twilight Prone")=1,NOT(ISERROR(FIND("Magical Botch",M1480)))),"Yes",IF(P1480&gt;1,"Yes","No"))</f>
        <v>No</v>
      </c>
      <c r="S1480" s="501"/>
      <c r="T1480" s="478"/>
      <c r="U1480" s="501"/>
      <c r="V1480" s="479" t="str">
        <f>IF(R1480="No","No Twilight",IF(T1480="Yes","Uncomprehended Twilight",IF((Character!$B$14+IF(Character!$B$53="Yes",0,Character!$B$53)+IF(Magic!$C$5="Yes",2,0)+ROUNDUP((Magic!$B$30+IF(Magic!$C$30="Yes",3,0))/5,0)+S1480)&gt;=($D$3+P1480+SUMIF(Character!$I$62:$I$66,"Enigmatic Wisdom",Character!$J$62:$J$66)+Q1480+U1480),"No Twilight","Twilight")))</f>
        <v>No Twilight</v>
      </c>
      <c r="W1480" s="483"/>
      <c r="X1480" s="478"/>
      <c r="Y1480" s="484"/>
      <c r="Z1480" s="478"/>
      <c r="AA1480" s="485" t="str">
        <f>IF(V1480="Uncomprehended Twilight","Failed",IF(OR(ISBLANK(W1480),ISBLANK(Y1480))," ",IF(NOT(ISBLANK(X1480)),"Failed",IF((W1480+Character!$B$9+SUMIF(Character!$I$62:$I$66,"Enigmatic Wisdom",Character!$J$62:$J$66))&gt;=IF(Z1480="Yes",0,(Y1480+D1475)),"Succeeded","Failed"))))</f>
        <v xml:space="preserve"> </v>
      </c>
      <c r="AB1480" s="477" t="str">
        <f>IF(AA1480=" "," ",IF(NOT(ISBLANK(X1480)),VLOOKUP($D$3+X1480,Calcs!$A$110:$C$122,3,TRUE),IF(AA1480="Failed",VLOOKUP($D$3,Calcs!$A$110:$C$122,3,TRUE),VLOOKUP($D$3-(IF((Character!$B$9+W1480)&gt;($D$3+Y1480),(Character!$B$9+W1480)-($D$3+Y1480),0)),Calcs!$A$110:$C$122,3,TRUE))))</f>
        <v xml:space="preserve"> </v>
      </c>
      <c r="AC1480" s="489"/>
      <c r="AD1480" s="489" t="str">
        <f>IF(IF(AA1480=" "," ",IF(NOT(ISBLANK(X1480)),VLOOKUP($D$3+X1480,Calcs!$A$110:$B$122,2,TRUE),IF(AA1480="Failed",VLOOKUP($D$3,Calcs!$A$110:$B$122,2,TRUE),VLOOKUP($D$3-(IF((Character!$B$9+W1480)&gt;($D$3+Y1480),(Character!$B$9+W1480)-($D$3+Y1480),0)),Calcs!$A$110:$B$122,2,TRUE))))=Calcs!$B$120,IF(ISBLANK(AC1480)," ",CONCATENATE(AC1480+7," Years")),IF(AA1480=" "," ",IF(NOT(ISBLANK(X1480)),VLOOKUP($D$3+X1480,Calcs!$A$110:$B$122,2,TRUE),IF(AA1480="Failed",VLOOKUP($D$3,Calcs!$A$110:$B$122,2,TRUE),VLOOKUP($D$3-(IF((Character!$B$9+W1480)&gt;($D$3+Y1480),(Character!$B$9+W1480)-($D$3+Y1480),0)),Calcs!$A$110:$B$122,2,TRUE)))))</f>
        <v xml:space="preserve"> </v>
      </c>
      <c r="AE1480" s="490"/>
      <c r="AF1480" s="879"/>
      <c r="AG1480" s="491"/>
    </row>
    <row r="1481" spans="1:33" x14ac:dyDescent="0.2">
      <c r="A1481" s="415">
        <f t="shared" si="44"/>
        <v>1580</v>
      </c>
      <c r="B1481" s="419" t="str">
        <f t="shared" si="45"/>
        <v>Spring</v>
      </c>
      <c r="C1481" s="455"/>
      <c r="D1481" s="504"/>
      <c r="E1481" s="455"/>
      <c r="F1481" s="504"/>
      <c r="G1481" s="455"/>
      <c r="H1481" s="504"/>
      <c r="I1481" s="455"/>
      <c r="J1481" s="504"/>
      <c r="L1481" s="472"/>
      <c r="M1481" s="468"/>
      <c r="N1481" s="468"/>
      <c r="O1481" s="468"/>
      <c r="P1481" s="468"/>
      <c r="Q1481" s="473"/>
      <c r="R1481" s="477" t="str">
        <f>IF(AND(COUNTIF('Start Character'!$I$63:$M$77,"Twilight Prone")=1,NOT(ISERROR(FIND("Magical Botch",M1481)))),"Yes",IF(P1481&gt;1,"Yes","No"))</f>
        <v>No</v>
      </c>
      <c r="S1481" s="501"/>
      <c r="T1481" s="478"/>
      <c r="U1481" s="501"/>
      <c r="V1481" s="479" t="str">
        <f>IF(R1481="No","No Twilight",IF(T1481="Yes","Uncomprehended Twilight",IF((Character!$B$14+IF(Character!$B$53="Yes",0,Character!$B$53)+IF(Magic!$C$5="Yes",2,0)+ROUNDUP((Magic!$B$30+IF(Magic!$C$30="Yes",3,0))/5,0)+S1481)&gt;=($D$3+P1481+SUMIF(Character!$I$62:$I$66,"Enigmatic Wisdom",Character!$J$62:$J$66)+Q1481+U1481),"No Twilight","Twilight")))</f>
        <v>No Twilight</v>
      </c>
      <c r="W1481" s="483"/>
      <c r="X1481" s="478"/>
      <c r="Y1481" s="484"/>
      <c r="Z1481" s="478"/>
      <c r="AA1481" s="485" t="str">
        <f>IF(V1481="Uncomprehended Twilight","Failed",IF(OR(ISBLANK(W1481),ISBLANK(Y1481))," ",IF(NOT(ISBLANK(X1481)),"Failed",IF((W1481+Character!$B$9+SUMIF(Character!$I$62:$I$66,"Enigmatic Wisdom",Character!$J$62:$J$66))&gt;=IF(Z1481="Yes",0,(Y1481+D1476)),"Succeeded","Failed"))))</f>
        <v xml:space="preserve"> </v>
      </c>
      <c r="AB1481" s="477" t="str">
        <f>IF(AA1481=" "," ",IF(NOT(ISBLANK(X1481)),VLOOKUP($D$3+X1481,Calcs!$A$110:$C$122,3,TRUE),IF(AA1481="Failed",VLOOKUP($D$3,Calcs!$A$110:$C$122,3,TRUE),VLOOKUP($D$3-(IF((Character!$B$9+W1481)&gt;($D$3+Y1481),(Character!$B$9+W1481)-($D$3+Y1481),0)),Calcs!$A$110:$C$122,3,TRUE))))</f>
        <v xml:space="preserve"> </v>
      </c>
      <c r="AC1481" s="489"/>
      <c r="AD1481" s="489" t="str">
        <f>IF(IF(AA1481=" "," ",IF(NOT(ISBLANK(X1481)),VLOOKUP($D$3+X1481,Calcs!$A$110:$B$122,2,TRUE),IF(AA1481="Failed",VLOOKUP($D$3,Calcs!$A$110:$B$122,2,TRUE),VLOOKUP($D$3-(IF((Character!$B$9+W1481)&gt;($D$3+Y1481),(Character!$B$9+W1481)-($D$3+Y1481),0)),Calcs!$A$110:$B$122,2,TRUE))))=Calcs!$B$120,IF(ISBLANK(AC1481)," ",CONCATENATE(AC1481+7," Years")),IF(AA1481=" "," ",IF(NOT(ISBLANK(X1481)),VLOOKUP($D$3+X1481,Calcs!$A$110:$B$122,2,TRUE),IF(AA1481="Failed",VLOOKUP($D$3,Calcs!$A$110:$B$122,2,TRUE),VLOOKUP($D$3-(IF((Character!$B$9+W1481)&gt;($D$3+Y1481),(Character!$B$9+W1481)-($D$3+Y1481),0)),Calcs!$A$110:$B$122,2,TRUE)))))</f>
        <v xml:space="preserve"> </v>
      </c>
      <c r="AE1481" s="490"/>
      <c r="AF1481" s="879"/>
      <c r="AG1481" s="491"/>
    </row>
    <row r="1482" spans="1:33" x14ac:dyDescent="0.2">
      <c r="A1482" s="415">
        <f t="shared" si="44"/>
        <v>1580</v>
      </c>
      <c r="B1482" s="419" t="str">
        <f t="shared" si="45"/>
        <v>Summer</v>
      </c>
      <c r="C1482" s="455"/>
      <c r="D1482" s="504"/>
      <c r="E1482" s="455"/>
      <c r="F1482" s="504"/>
      <c r="G1482" s="455"/>
      <c r="H1482" s="504"/>
      <c r="I1482" s="455"/>
      <c r="J1482" s="504"/>
      <c r="L1482" s="472"/>
      <c r="M1482" s="468"/>
      <c r="N1482" s="468"/>
      <c r="O1482" s="468"/>
      <c r="P1482" s="468"/>
      <c r="Q1482" s="473"/>
      <c r="R1482" s="477" t="str">
        <f>IF(AND(COUNTIF('Start Character'!$I$63:$M$77,"Twilight Prone")=1,NOT(ISERROR(FIND("Magical Botch",M1482)))),"Yes",IF(P1482&gt;1,"Yes","No"))</f>
        <v>No</v>
      </c>
      <c r="S1482" s="501"/>
      <c r="T1482" s="478"/>
      <c r="U1482" s="501"/>
      <c r="V1482" s="479" t="str">
        <f>IF(R1482="No","No Twilight",IF(T1482="Yes","Uncomprehended Twilight",IF((Character!$B$14+IF(Character!$B$53="Yes",0,Character!$B$53)+IF(Magic!$C$5="Yes",2,0)+ROUNDUP((Magic!$B$30+IF(Magic!$C$30="Yes",3,0))/5,0)+S1482)&gt;=($D$3+P1482+SUMIF(Character!$I$62:$I$66,"Enigmatic Wisdom",Character!$J$62:$J$66)+Q1482+U1482),"No Twilight","Twilight")))</f>
        <v>No Twilight</v>
      </c>
      <c r="W1482" s="483"/>
      <c r="X1482" s="478"/>
      <c r="Y1482" s="484"/>
      <c r="Z1482" s="478"/>
      <c r="AA1482" s="485" t="str">
        <f>IF(V1482="Uncomprehended Twilight","Failed",IF(OR(ISBLANK(W1482),ISBLANK(Y1482))," ",IF(NOT(ISBLANK(X1482)),"Failed",IF((W1482+Character!$B$9+SUMIF(Character!$I$62:$I$66,"Enigmatic Wisdom",Character!$J$62:$J$66))&gt;=IF(Z1482="Yes",0,(Y1482+D1477)),"Succeeded","Failed"))))</f>
        <v xml:space="preserve"> </v>
      </c>
      <c r="AB1482" s="477" t="str">
        <f>IF(AA1482=" "," ",IF(NOT(ISBLANK(X1482)),VLOOKUP($D$3+X1482,Calcs!$A$110:$C$122,3,TRUE),IF(AA1482="Failed",VLOOKUP($D$3,Calcs!$A$110:$C$122,3,TRUE),VLOOKUP($D$3-(IF((Character!$B$9+W1482)&gt;($D$3+Y1482),(Character!$B$9+W1482)-($D$3+Y1482),0)),Calcs!$A$110:$C$122,3,TRUE))))</f>
        <v xml:space="preserve"> </v>
      </c>
      <c r="AC1482" s="489"/>
      <c r="AD1482" s="489" t="str">
        <f>IF(IF(AA1482=" "," ",IF(NOT(ISBLANK(X1482)),VLOOKUP($D$3+X1482,Calcs!$A$110:$B$122,2,TRUE),IF(AA1482="Failed",VLOOKUP($D$3,Calcs!$A$110:$B$122,2,TRUE),VLOOKUP($D$3-(IF((Character!$B$9+W1482)&gt;($D$3+Y1482),(Character!$B$9+W1482)-($D$3+Y1482),0)),Calcs!$A$110:$B$122,2,TRUE))))=Calcs!$B$120,IF(ISBLANK(AC1482)," ",CONCATENATE(AC1482+7," Years")),IF(AA1482=" "," ",IF(NOT(ISBLANK(X1482)),VLOOKUP($D$3+X1482,Calcs!$A$110:$B$122,2,TRUE),IF(AA1482="Failed",VLOOKUP($D$3,Calcs!$A$110:$B$122,2,TRUE),VLOOKUP($D$3-(IF((Character!$B$9+W1482)&gt;($D$3+Y1482),(Character!$B$9+W1482)-($D$3+Y1482),0)),Calcs!$A$110:$B$122,2,TRUE)))))</f>
        <v xml:space="preserve"> </v>
      </c>
      <c r="AE1482" s="490"/>
      <c r="AF1482" s="879"/>
      <c r="AG1482" s="491"/>
    </row>
    <row r="1483" spans="1:33" x14ac:dyDescent="0.2">
      <c r="A1483" s="415">
        <f t="shared" si="44"/>
        <v>1580</v>
      </c>
      <c r="B1483" s="419" t="str">
        <f t="shared" si="45"/>
        <v>Autumn</v>
      </c>
      <c r="C1483" s="455"/>
      <c r="D1483" s="504"/>
      <c r="E1483" s="455"/>
      <c r="F1483" s="504"/>
      <c r="G1483" s="455"/>
      <c r="H1483" s="504"/>
      <c r="I1483" s="455"/>
      <c r="J1483" s="504"/>
      <c r="L1483" s="472"/>
      <c r="M1483" s="468"/>
      <c r="N1483" s="468"/>
      <c r="O1483" s="468"/>
      <c r="P1483" s="468"/>
      <c r="Q1483" s="473"/>
      <c r="R1483" s="477" t="str">
        <f>IF(AND(COUNTIF('Start Character'!$I$63:$M$77,"Twilight Prone")=1,NOT(ISERROR(FIND("Magical Botch",M1483)))),"Yes",IF(P1483&gt;1,"Yes","No"))</f>
        <v>No</v>
      </c>
      <c r="S1483" s="501"/>
      <c r="T1483" s="478"/>
      <c r="U1483" s="501"/>
      <c r="V1483" s="479" t="str">
        <f>IF(R1483="No","No Twilight",IF(T1483="Yes","Uncomprehended Twilight",IF((Character!$B$14+IF(Character!$B$53="Yes",0,Character!$B$53)+IF(Magic!$C$5="Yes",2,0)+ROUNDUP((Magic!$B$30+IF(Magic!$C$30="Yes",3,0))/5,0)+S1483)&gt;=($D$3+P1483+SUMIF(Character!$I$62:$I$66,"Enigmatic Wisdom",Character!$J$62:$J$66)+Q1483+U1483),"No Twilight","Twilight")))</f>
        <v>No Twilight</v>
      </c>
      <c r="W1483" s="483"/>
      <c r="X1483" s="478"/>
      <c r="Y1483" s="484"/>
      <c r="Z1483" s="478"/>
      <c r="AA1483" s="485" t="str">
        <f>IF(V1483="Uncomprehended Twilight","Failed",IF(OR(ISBLANK(W1483),ISBLANK(Y1483))," ",IF(NOT(ISBLANK(X1483)),"Failed",IF((W1483+Character!$B$9+SUMIF(Character!$I$62:$I$66,"Enigmatic Wisdom",Character!$J$62:$J$66))&gt;=IF(Z1483="Yes",0,(Y1483+D1478)),"Succeeded","Failed"))))</f>
        <v xml:space="preserve"> </v>
      </c>
      <c r="AB1483" s="477" t="str">
        <f>IF(AA1483=" "," ",IF(NOT(ISBLANK(X1483)),VLOOKUP($D$3+X1483,Calcs!$A$110:$C$122,3,TRUE),IF(AA1483="Failed",VLOOKUP($D$3,Calcs!$A$110:$C$122,3,TRUE),VLOOKUP($D$3-(IF((Character!$B$9+W1483)&gt;($D$3+Y1483),(Character!$B$9+W1483)-($D$3+Y1483),0)),Calcs!$A$110:$C$122,3,TRUE))))</f>
        <v xml:space="preserve"> </v>
      </c>
      <c r="AC1483" s="489"/>
      <c r="AD1483" s="489" t="str">
        <f>IF(IF(AA1483=" "," ",IF(NOT(ISBLANK(X1483)),VLOOKUP($D$3+X1483,Calcs!$A$110:$B$122,2,TRUE),IF(AA1483="Failed",VLOOKUP($D$3,Calcs!$A$110:$B$122,2,TRUE),VLOOKUP($D$3-(IF((Character!$B$9+W1483)&gt;($D$3+Y1483),(Character!$B$9+W1483)-($D$3+Y1483),0)),Calcs!$A$110:$B$122,2,TRUE))))=Calcs!$B$120,IF(ISBLANK(AC1483)," ",CONCATENATE(AC1483+7," Years")),IF(AA1483=" "," ",IF(NOT(ISBLANK(X1483)),VLOOKUP($D$3+X1483,Calcs!$A$110:$B$122,2,TRUE),IF(AA1483="Failed",VLOOKUP($D$3,Calcs!$A$110:$B$122,2,TRUE),VLOOKUP($D$3-(IF((Character!$B$9+W1483)&gt;($D$3+Y1483),(Character!$B$9+W1483)-($D$3+Y1483),0)),Calcs!$A$110:$B$122,2,TRUE)))))</f>
        <v xml:space="preserve"> </v>
      </c>
      <c r="AE1483" s="490"/>
      <c r="AF1483" s="879"/>
      <c r="AG1483" s="491"/>
    </row>
    <row r="1484" spans="1:33" x14ac:dyDescent="0.2">
      <c r="A1484" s="415">
        <f t="shared" si="44"/>
        <v>1581</v>
      </c>
      <c r="B1484" s="419" t="str">
        <f t="shared" si="45"/>
        <v>Winter</v>
      </c>
      <c r="C1484" s="455"/>
      <c r="D1484" s="504"/>
      <c r="E1484" s="455"/>
      <c r="F1484" s="504"/>
      <c r="G1484" s="455"/>
      <c r="H1484" s="504"/>
      <c r="I1484" s="455"/>
      <c r="J1484" s="504"/>
      <c r="L1484" s="472"/>
      <c r="M1484" s="468"/>
      <c r="N1484" s="468"/>
      <c r="O1484" s="468"/>
      <c r="P1484" s="468"/>
      <c r="Q1484" s="473"/>
      <c r="R1484" s="477" t="str">
        <f>IF(AND(COUNTIF('Start Character'!$I$63:$M$77,"Twilight Prone")=1,NOT(ISERROR(FIND("Magical Botch",M1484)))),"Yes",IF(P1484&gt;1,"Yes","No"))</f>
        <v>No</v>
      </c>
      <c r="S1484" s="501"/>
      <c r="T1484" s="478"/>
      <c r="U1484" s="501"/>
      <c r="V1484" s="479" t="str">
        <f>IF(R1484="No","No Twilight",IF(T1484="Yes","Uncomprehended Twilight",IF((Character!$B$14+IF(Character!$B$53="Yes",0,Character!$B$53)+IF(Magic!$C$5="Yes",2,0)+ROUNDUP((Magic!$B$30+IF(Magic!$C$30="Yes",3,0))/5,0)+S1484)&gt;=($D$3+P1484+SUMIF(Character!$I$62:$I$66,"Enigmatic Wisdom",Character!$J$62:$J$66)+Q1484+U1484),"No Twilight","Twilight")))</f>
        <v>No Twilight</v>
      </c>
      <c r="W1484" s="483"/>
      <c r="X1484" s="478"/>
      <c r="Y1484" s="484"/>
      <c r="Z1484" s="478"/>
      <c r="AA1484" s="485" t="str">
        <f>IF(V1484="Uncomprehended Twilight","Failed",IF(OR(ISBLANK(W1484),ISBLANK(Y1484))," ",IF(NOT(ISBLANK(X1484)),"Failed",IF((W1484+Character!$B$9+SUMIF(Character!$I$62:$I$66,"Enigmatic Wisdom",Character!$J$62:$J$66))&gt;=IF(Z1484="Yes",0,(Y1484+D1479)),"Succeeded","Failed"))))</f>
        <v xml:space="preserve"> </v>
      </c>
      <c r="AB1484" s="477" t="str">
        <f>IF(AA1484=" "," ",IF(NOT(ISBLANK(X1484)),VLOOKUP($D$3+X1484,Calcs!$A$110:$C$122,3,TRUE),IF(AA1484="Failed",VLOOKUP($D$3,Calcs!$A$110:$C$122,3,TRUE),VLOOKUP($D$3-(IF((Character!$B$9+W1484)&gt;($D$3+Y1484),(Character!$B$9+W1484)-($D$3+Y1484),0)),Calcs!$A$110:$C$122,3,TRUE))))</f>
        <v xml:space="preserve"> </v>
      </c>
      <c r="AC1484" s="489"/>
      <c r="AD1484" s="489" t="str">
        <f>IF(IF(AA1484=" "," ",IF(NOT(ISBLANK(X1484)),VLOOKUP($D$3+X1484,Calcs!$A$110:$B$122,2,TRUE),IF(AA1484="Failed",VLOOKUP($D$3,Calcs!$A$110:$B$122,2,TRUE),VLOOKUP($D$3-(IF((Character!$B$9+W1484)&gt;($D$3+Y1484),(Character!$B$9+W1484)-($D$3+Y1484),0)),Calcs!$A$110:$B$122,2,TRUE))))=Calcs!$B$120,IF(ISBLANK(AC1484)," ",CONCATENATE(AC1484+7," Years")),IF(AA1484=" "," ",IF(NOT(ISBLANK(X1484)),VLOOKUP($D$3+X1484,Calcs!$A$110:$B$122,2,TRUE),IF(AA1484="Failed",VLOOKUP($D$3,Calcs!$A$110:$B$122,2,TRUE),VLOOKUP($D$3-(IF((Character!$B$9+W1484)&gt;($D$3+Y1484),(Character!$B$9+W1484)-($D$3+Y1484),0)),Calcs!$A$110:$B$122,2,TRUE)))))</f>
        <v xml:space="preserve"> </v>
      </c>
      <c r="AE1484" s="490"/>
      <c r="AF1484" s="879"/>
      <c r="AG1484" s="491"/>
    </row>
    <row r="1485" spans="1:33" x14ac:dyDescent="0.2">
      <c r="A1485" s="415">
        <f t="shared" si="44"/>
        <v>1581</v>
      </c>
      <c r="B1485" s="419" t="str">
        <f t="shared" si="45"/>
        <v>Spring</v>
      </c>
      <c r="C1485" s="455"/>
      <c r="D1485" s="504"/>
      <c r="E1485" s="455"/>
      <c r="F1485" s="504"/>
      <c r="G1485" s="455"/>
      <c r="H1485" s="504"/>
      <c r="I1485" s="455"/>
      <c r="J1485" s="504"/>
      <c r="L1485" s="472"/>
      <c r="M1485" s="468"/>
      <c r="N1485" s="468"/>
      <c r="O1485" s="468"/>
      <c r="P1485" s="468"/>
      <c r="Q1485" s="473"/>
      <c r="R1485" s="477" t="str">
        <f>IF(AND(COUNTIF('Start Character'!$I$63:$M$77,"Twilight Prone")=1,NOT(ISERROR(FIND("Magical Botch",M1485)))),"Yes",IF(P1485&gt;1,"Yes","No"))</f>
        <v>No</v>
      </c>
      <c r="S1485" s="501"/>
      <c r="T1485" s="478"/>
      <c r="U1485" s="501"/>
      <c r="V1485" s="479" t="str">
        <f>IF(R1485="No","No Twilight",IF(T1485="Yes","Uncomprehended Twilight",IF((Character!$B$14+IF(Character!$B$53="Yes",0,Character!$B$53)+IF(Magic!$C$5="Yes",2,0)+ROUNDUP((Magic!$B$30+IF(Magic!$C$30="Yes",3,0))/5,0)+S1485)&gt;=($D$3+P1485+SUMIF(Character!$I$62:$I$66,"Enigmatic Wisdom",Character!$J$62:$J$66)+Q1485+U1485),"No Twilight","Twilight")))</f>
        <v>No Twilight</v>
      </c>
      <c r="W1485" s="483"/>
      <c r="X1485" s="478"/>
      <c r="Y1485" s="484"/>
      <c r="Z1485" s="478"/>
      <c r="AA1485" s="485" t="str">
        <f>IF(V1485="Uncomprehended Twilight","Failed",IF(OR(ISBLANK(W1485),ISBLANK(Y1485))," ",IF(NOT(ISBLANK(X1485)),"Failed",IF((W1485+Character!$B$9+SUMIF(Character!$I$62:$I$66,"Enigmatic Wisdom",Character!$J$62:$J$66))&gt;=IF(Z1485="Yes",0,(Y1485+D1480)),"Succeeded","Failed"))))</f>
        <v xml:space="preserve"> </v>
      </c>
      <c r="AB1485" s="477" t="str">
        <f>IF(AA1485=" "," ",IF(NOT(ISBLANK(X1485)),VLOOKUP($D$3+X1485,Calcs!$A$110:$C$122,3,TRUE),IF(AA1485="Failed",VLOOKUP($D$3,Calcs!$A$110:$C$122,3,TRUE),VLOOKUP($D$3-(IF((Character!$B$9+W1485)&gt;($D$3+Y1485),(Character!$B$9+W1485)-($D$3+Y1485),0)),Calcs!$A$110:$C$122,3,TRUE))))</f>
        <v xml:space="preserve"> </v>
      </c>
      <c r="AC1485" s="489"/>
      <c r="AD1485" s="489" t="str">
        <f>IF(IF(AA1485=" "," ",IF(NOT(ISBLANK(X1485)),VLOOKUP($D$3+X1485,Calcs!$A$110:$B$122,2,TRUE),IF(AA1485="Failed",VLOOKUP($D$3,Calcs!$A$110:$B$122,2,TRUE),VLOOKUP($D$3-(IF((Character!$B$9+W1485)&gt;($D$3+Y1485),(Character!$B$9+W1485)-($D$3+Y1485),0)),Calcs!$A$110:$B$122,2,TRUE))))=Calcs!$B$120,IF(ISBLANK(AC1485)," ",CONCATENATE(AC1485+7," Years")),IF(AA1485=" "," ",IF(NOT(ISBLANK(X1485)),VLOOKUP($D$3+X1485,Calcs!$A$110:$B$122,2,TRUE),IF(AA1485="Failed",VLOOKUP($D$3,Calcs!$A$110:$B$122,2,TRUE),VLOOKUP($D$3-(IF((Character!$B$9+W1485)&gt;($D$3+Y1485),(Character!$B$9+W1485)-($D$3+Y1485),0)),Calcs!$A$110:$B$122,2,TRUE)))))</f>
        <v xml:space="preserve"> </v>
      </c>
      <c r="AE1485" s="490"/>
      <c r="AF1485" s="879"/>
      <c r="AG1485" s="491"/>
    </row>
    <row r="1486" spans="1:33" x14ac:dyDescent="0.2">
      <c r="A1486" s="415">
        <f t="shared" si="44"/>
        <v>1581</v>
      </c>
      <c r="B1486" s="419" t="str">
        <f t="shared" si="45"/>
        <v>Summer</v>
      </c>
      <c r="C1486" s="455"/>
      <c r="D1486" s="504"/>
      <c r="E1486" s="455"/>
      <c r="F1486" s="504"/>
      <c r="G1486" s="455"/>
      <c r="H1486" s="504"/>
      <c r="I1486" s="455"/>
      <c r="J1486" s="504"/>
      <c r="L1486" s="472"/>
      <c r="M1486" s="468"/>
      <c r="N1486" s="468"/>
      <c r="O1486" s="468"/>
      <c r="P1486" s="468"/>
      <c r="Q1486" s="473"/>
      <c r="R1486" s="477" t="str">
        <f>IF(AND(COUNTIF('Start Character'!$I$63:$M$77,"Twilight Prone")=1,NOT(ISERROR(FIND("Magical Botch",M1486)))),"Yes",IF(P1486&gt;1,"Yes","No"))</f>
        <v>No</v>
      </c>
      <c r="S1486" s="501"/>
      <c r="T1486" s="478"/>
      <c r="U1486" s="501"/>
      <c r="V1486" s="479" t="str">
        <f>IF(R1486="No","No Twilight",IF(T1486="Yes","Uncomprehended Twilight",IF((Character!$B$14+IF(Character!$B$53="Yes",0,Character!$B$53)+IF(Magic!$C$5="Yes",2,0)+ROUNDUP((Magic!$B$30+IF(Magic!$C$30="Yes",3,0))/5,0)+S1486)&gt;=($D$3+P1486+SUMIF(Character!$I$62:$I$66,"Enigmatic Wisdom",Character!$J$62:$J$66)+Q1486+U1486),"No Twilight","Twilight")))</f>
        <v>No Twilight</v>
      </c>
      <c r="W1486" s="483"/>
      <c r="X1486" s="478"/>
      <c r="Y1486" s="484"/>
      <c r="Z1486" s="478"/>
      <c r="AA1486" s="485" t="str">
        <f>IF(V1486="Uncomprehended Twilight","Failed",IF(OR(ISBLANK(W1486),ISBLANK(Y1486))," ",IF(NOT(ISBLANK(X1486)),"Failed",IF((W1486+Character!$B$9+SUMIF(Character!$I$62:$I$66,"Enigmatic Wisdom",Character!$J$62:$J$66))&gt;=IF(Z1486="Yes",0,(Y1486+D1481)),"Succeeded","Failed"))))</f>
        <v xml:space="preserve"> </v>
      </c>
      <c r="AB1486" s="477" t="str">
        <f>IF(AA1486=" "," ",IF(NOT(ISBLANK(X1486)),VLOOKUP($D$3+X1486,Calcs!$A$110:$C$122,3,TRUE),IF(AA1486="Failed",VLOOKUP($D$3,Calcs!$A$110:$C$122,3,TRUE),VLOOKUP($D$3-(IF((Character!$B$9+W1486)&gt;($D$3+Y1486),(Character!$B$9+W1486)-($D$3+Y1486),0)),Calcs!$A$110:$C$122,3,TRUE))))</f>
        <v xml:space="preserve"> </v>
      </c>
      <c r="AC1486" s="489"/>
      <c r="AD1486" s="489" t="str">
        <f>IF(IF(AA1486=" "," ",IF(NOT(ISBLANK(X1486)),VLOOKUP($D$3+X1486,Calcs!$A$110:$B$122,2,TRUE),IF(AA1486="Failed",VLOOKUP($D$3,Calcs!$A$110:$B$122,2,TRUE),VLOOKUP($D$3-(IF((Character!$B$9+W1486)&gt;($D$3+Y1486),(Character!$B$9+W1486)-($D$3+Y1486),0)),Calcs!$A$110:$B$122,2,TRUE))))=Calcs!$B$120,IF(ISBLANK(AC1486)," ",CONCATENATE(AC1486+7," Years")),IF(AA1486=" "," ",IF(NOT(ISBLANK(X1486)),VLOOKUP($D$3+X1486,Calcs!$A$110:$B$122,2,TRUE),IF(AA1486="Failed",VLOOKUP($D$3,Calcs!$A$110:$B$122,2,TRUE),VLOOKUP($D$3-(IF((Character!$B$9+W1486)&gt;($D$3+Y1486),(Character!$B$9+W1486)-($D$3+Y1486),0)),Calcs!$A$110:$B$122,2,TRUE)))))</f>
        <v xml:space="preserve"> </v>
      </c>
      <c r="AE1486" s="490"/>
      <c r="AF1486" s="879"/>
      <c r="AG1486" s="491"/>
    </row>
    <row r="1487" spans="1:33" x14ac:dyDescent="0.2">
      <c r="A1487" s="415">
        <f t="shared" si="44"/>
        <v>1581</v>
      </c>
      <c r="B1487" s="419" t="str">
        <f t="shared" si="45"/>
        <v>Autumn</v>
      </c>
      <c r="C1487" s="455"/>
      <c r="D1487" s="504"/>
      <c r="E1487" s="455"/>
      <c r="F1487" s="504"/>
      <c r="G1487" s="455"/>
      <c r="H1487" s="504"/>
      <c r="I1487" s="455"/>
      <c r="J1487" s="504"/>
      <c r="L1487" s="472"/>
      <c r="M1487" s="468"/>
      <c r="N1487" s="468"/>
      <c r="O1487" s="468"/>
      <c r="P1487" s="468"/>
      <c r="Q1487" s="473"/>
      <c r="R1487" s="477" t="str">
        <f>IF(AND(COUNTIF('Start Character'!$I$63:$M$77,"Twilight Prone")=1,NOT(ISERROR(FIND("Magical Botch",M1487)))),"Yes",IF(P1487&gt;1,"Yes","No"))</f>
        <v>No</v>
      </c>
      <c r="S1487" s="501"/>
      <c r="T1487" s="478"/>
      <c r="U1487" s="501"/>
      <c r="V1487" s="479" t="str">
        <f>IF(R1487="No","No Twilight",IF(T1487="Yes","Uncomprehended Twilight",IF((Character!$B$14+IF(Character!$B$53="Yes",0,Character!$B$53)+IF(Magic!$C$5="Yes",2,0)+ROUNDUP((Magic!$B$30+IF(Magic!$C$30="Yes",3,0))/5,0)+S1487)&gt;=($D$3+P1487+SUMIF(Character!$I$62:$I$66,"Enigmatic Wisdom",Character!$J$62:$J$66)+Q1487+U1487),"No Twilight","Twilight")))</f>
        <v>No Twilight</v>
      </c>
      <c r="W1487" s="483"/>
      <c r="X1487" s="478"/>
      <c r="Y1487" s="484"/>
      <c r="Z1487" s="478"/>
      <c r="AA1487" s="485" t="str">
        <f>IF(V1487="Uncomprehended Twilight","Failed",IF(OR(ISBLANK(W1487),ISBLANK(Y1487))," ",IF(NOT(ISBLANK(X1487)),"Failed",IF((W1487+Character!$B$9+SUMIF(Character!$I$62:$I$66,"Enigmatic Wisdom",Character!$J$62:$J$66))&gt;=IF(Z1487="Yes",0,(Y1487+D1482)),"Succeeded","Failed"))))</f>
        <v xml:space="preserve"> </v>
      </c>
      <c r="AB1487" s="477" t="str">
        <f>IF(AA1487=" "," ",IF(NOT(ISBLANK(X1487)),VLOOKUP($D$3+X1487,Calcs!$A$110:$C$122,3,TRUE),IF(AA1487="Failed",VLOOKUP($D$3,Calcs!$A$110:$C$122,3,TRUE),VLOOKUP($D$3-(IF((Character!$B$9+W1487)&gt;($D$3+Y1487),(Character!$B$9+W1487)-($D$3+Y1487),0)),Calcs!$A$110:$C$122,3,TRUE))))</f>
        <v xml:space="preserve"> </v>
      </c>
      <c r="AC1487" s="489"/>
      <c r="AD1487" s="489" t="str">
        <f>IF(IF(AA1487=" "," ",IF(NOT(ISBLANK(X1487)),VLOOKUP($D$3+X1487,Calcs!$A$110:$B$122,2,TRUE),IF(AA1487="Failed",VLOOKUP($D$3,Calcs!$A$110:$B$122,2,TRUE),VLOOKUP($D$3-(IF((Character!$B$9+W1487)&gt;($D$3+Y1487),(Character!$B$9+W1487)-($D$3+Y1487),0)),Calcs!$A$110:$B$122,2,TRUE))))=Calcs!$B$120,IF(ISBLANK(AC1487)," ",CONCATENATE(AC1487+7," Years")),IF(AA1487=" "," ",IF(NOT(ISBLANK(X1487)),VLOOKUP($D$3+X1487,Calcs!$A$110:$B$122,2,TRUE),IF(AA1487="Failed",VLOOKUP($D$3,Calcs!$A$110:$B$122,2,TRUE),VLOOKUP($D$3-(IF((Character!$B$9+W1487)&gt;($D$3+Y1487),(Character!$B$9+W1487)-($D$3+Y1487),0)),Calcs!$A$110:$B$122,2,TRUE)))))</f>
        <v xml:space="preserve"> </v>
      </c>
      <c r="AE1487" s="490"/>
      <c r="AF1487" s="879"/>
      <c r="AG1487" s="491"/>
    </row>
    <row r="1488" spans="1:33" x14ac:dyDescent="0.2">
      <c r="A1488" s="415">
        <f t="shared" si="44"/>
        <v>1582</v>
      </c>
      <c r="B1488" s="419" t="str">
        <f t="shared" si="45"/>
        <v>Winter</v>
      </c>
      <c r="C1488" s="455"/>
      <c r="D1488" s="504"/>
      <c r="E1488" s="455"/>
      <c r="F1488" s="504"/>
      <c r="G1488" s="455"/>
      <c r="H1488" s="504"/>
      <c r="I1488" s="455"/>
      <c r="J1488" s="504"/>
      <c r="L1488" s="472"/>
      <c r="M1488" s="468"/>
      <c r="N1488" s="468"/>
      <c r="O1488" s="468"/>
      <c r="P1488" s="468"/>
      <c r="Q1488" s="473"/>
      <c r="R1488" s="477" t="str">
        <f>IF(AND(COUNTIF('Start Character'!$I$63:$M$77,"Twilight Prone")=1,NOT(ISERROR(FIND("Magical Botch",M1488)))),"Yes",IF(P1488&gt;1,"Yes","No"))</f>
        <v>No</v>
      </c>
      <c r="S1488" s="501"/>
      <c r="T1488" s="478"/>
      <c r="U1488" s="501"/>
      <c r="V1488" s="479" t="str">
        <f>IF(R1488="No","No Twilight",IF(T1488="Yes","Uncomprehended Twilight",IF((Character!$B$14+IF(Character!$B$53="Yes",0,Character!$B$53)+IF(Magic!$C$5="Yes",2,0)+ROUNDUP((Magic!$B$30+IF(Magic!$C$30="Yes",3,0))/5,0)+S1488)&gt;=($D$3+P1488+SUMIF(Character!$I$62:$I$66,"Enigmatic Wisdom",Character!$J$62:$J$66)+Q1488+U1488),"No Twilight","Twilight")))</f>
        <v>No Twilight</v>
      </c>
      <c r="W1488" s="483"/>
      <c r="X1488" s="478"/>
      <c r="Y1488" s="484"/>
      <c r="Z1488" s="478"/>
      <c r="AA1488" s="485" t="str">
        <f>IF(V1488="Uncomprehended Twilight","Failed",IF(OR(ISBLANK(W1488),ISBLANK(Y1488))," ",IF(NOT(ISBLANK(X1488)),"Failed",IF((W1488+Character!$B$9+SUMIF(Character!$I$62:$I$66,"Enigmatic Wisdom",Character!$J$62:$J$66))&gt;=IF(Z1488="Yes",0,(Y1488+D1483)),"Succeeded","Failed"))))</f>
        <v xml:space="preserve"> </v>
      </c>
      <c r="AB1488" s="477" t="str">
        <f>IF(AA1488=" "," ",IF(NOT(ISBLANK(X1488)),VLOOKUP($D$3+X1488,Calcs!$A$110:$C$122,3,TRUE),IF(AA1488="Failed",VLOOKUP($D$3,Calcs!$A$110:$C$122,3,TRUE),VLOOKUP($D$3-(IF((Character!$B$9+W1488)&gt;($D$3+Y1488),(Character!$B$9+W1488)-($D$3+Y1488),0)),Calcs!$A$110:$C$122,3,TRUE))))</f>
        <v xml:space="preserve"> </v>
      </c>
      <c r="AC1488" s="489"/>
      <c r="AD1488" s="489" t="str">
        <f>IF(IF(AA1488=" "," ",IF(NOT(ISBLANK(X1488)),VLOOKUP($D$3+X1488,Calcs!$A$110:$B$122,2,TRUE),IF(AA1488="Failed",VLOOKUP($D$3,Calcs!$A$110:$B$122,2,TRUE),VLOOKUP($D$3-(IF((Character!$B$9+W1488)&gt;($D$3+Y1488),(Character!$B$9+W1488)-($D$3+Y1488),0)),Calcs!$A$110:$B$122,2,TRUE))))=Calcs!$B$120,IF(ISBLANK(AC1488)," ",CONCATENATE(AC1488+7," Years")),IF(AA1488=" "," ",IF(NOT(ISBLANK(X1488)),VLOOKUP($D$3+X1488,Calcs!$A$110:$B$122,2,TRUE),IF(AA1488="Failed",VLOOKUP($D$3,Calcs!$A$110:$B$122,2,TRUE),VLOOKUP($D$3-(IF((Character!$B$9+W1488)&gt;($D$3+Y1488),(Character!$B$9+W1488)-($D$3+Y1488),0)),Calcs!$A$110:$B$122,2,TRUE)))))</f>
        <v xml:space="preserve"> </v>
      </c>
      <c r="AE1488" s="490"/>
      <c r="AF1488" s="879"/>
      <c r="AG1488" s="491"/>
    </row>
    <row r="1489" spans="1:33" x14ac:dyDescent="0.2">
      <c r="A1489" s="415">
        <f t="shared" si="44"/>
        <v>1582</v>
      </c>
      <c r="B1489" s="419" t="str">
        <f t="shared" si="45"/>
        <v>Spring</v>
      </c>
      <c r="C1489" s="455"/>
      <c r="D1489" s="504"/>
      <c r="E1489" s="455"/>
      <c r="F1489" s="504"/>
      <c r="G1489" s="455"/>
      <c r="H1489" s="504"/>
      <c r="I1489" s="455"/>
      <c r="J1489" s="504"/>
      <c r="L1489" s="472"/>
      <c r="M1489" s="468"/>
      <c r="N1489" s="468"/>
      <c r="O1489" s="468"/>
      <c r="P1489" s="468"/>
      <c r="Q1489" s="473"/>
      <c r="R1489" s="477" t="str">
        <f>IF(AND(COUNTIF('Start Character'!$I$63:$M$77,"Twilight Prone")=1,NOT(ISERROR(FIND("Magical Botch",M1489)))),"Yes",IF(P1489&gt;1,"Yes","No"))</f>
        <v>No</v>
      </c>
      <c r="S1489" s="501"/>
      <c r="T1489" s="478"/>
      <c r="U1489" s="501"/>
      <c r="V1489" s="479" t="str">
        <f>IF(R1489="No","No Twilight",IF(T1489="Yes","Uncomprehended Twilight",IF((Character!$B$14+IF(Character!$B$53="Yes",0,Character!$B$53)+IF(Magic!$C$5="Yes",2,0)+ROUNDUP((Magic!$B$30+IF(Magic!$C$30="Yes",3,0))/5,0)+S1489)&gt;=($D$3+P1489+SUMIF(Character!$I$62:$I$66,"Enigmatic Wisdom",Character!$J$62:$J$66)+Q1489+U1489),"No Twilight","Twilight")))</f>
        <v>No Twilight</v>
      </c>
      <c r="W1489" s="483"/>
      <c r="X1489" s="478"/>
      <c r="Y1489" s="484"/>
      <c r="Z1489" s="478"/>
      <c r="AA1489" s="485" t="str">
        <f>IF(V1489="Uncomprehended Twilight","Failed",IF(OR(ISBLANK(W1489),ISBLANK(Y1489))," ",IF(NOT(ISBLANK(X1489)),"Failed",IF((W1489+Character!$B$9+SUMIF(Character!$I$62:$I$66,"Enigmatic Wisdom",Character!$J$62:$J$66))&gt;=IF(Z1489="Yes",0,(Y1489+D1484)),"Succeeded","Failed"))))</f>
        <v xml:space="preserve"> </v>
      </c>
      <c r="AB1489" s="477" t="str">
        <f>IF(AA1489=" "," ",IF(NOT(ISBLANK(X1489)),VLOOKUP($D$3+X1489,Calcs!$A$110:$C$122,3,TRUE),IF(AA1489="Failed",VLOOKUP($D$3,Calcs!$A$110:$C$122,3,TRUE),VLOOKUP($D$3-(IF((Character!$B$9+W1489)&gt;($D$3+Y1489),(Character!$B$9+W1489)-($D$3+Y1489),0)),Calcs!$A$110:$C$122,3,TRUE))))</f>
        <v xml:space="preserve"> </v>
      </c>
      <c r="AC1489" s="489"/>
      <c r="AD1489" s="489" t="str">
        <f>IF(IF(AA1489=" "," ",IF(NOT(ISBLANK(X1489)),VLOOKUP($D$3+X1489,Calcs!$A$110:$B$122,2,TRUE),IF(AA1489="Failed",VLOOKUP($D$3,Calcs!$A$110:$B$122,2,TRUE),VLOOKUP($D$3-(IF((Character!$B$9+W1489)&gt;($D$3+Y1489),(Character!$B$9+W1489)-($D$3+Y1489),0)),Calcs!$A$110:$B$122,2,TRUE))))=Calcs!$B$120,IF(ISBLANK(AC1489)," ",CONCATENATE(AC1489+7," Years")),IF(AA1489=" "," ",IF(NOT(ISBLANK(X1489)),VLOOKUP($D$3+X1489,Calcs!$A$110:$B$122,2,TRUE),IF(AA1489="Failed",VLOOKUP($D$3,Calcs!$A$110:$B$122,2,TRUE),VLOOKUP($D$3-(IF((Character!$B$9+W1489)&gt;($D$3+Y1489),(Character!$B$9+W1489)-($D$3+Y1489),0)),Calcs!$A$110:$B$122,2,TRUE)))))</f>
        <v xml:space="preserve"> </v>
      </c>
      <c r="AE1489" s="490"/>
      <c r="AF1489" s="879"/>
      <c r="AG1489" s="491"/>
    </row>
    <row r="1490" spans="1:33" x14ac:dyDescent="0.2">
      <c r="A1490" s="415">
        <f t="shared" si="44"/>
        <v>1582</v>
      </c>
      <c r="B1490" s="419" t="str">
        <f t="shared" si="45"/>
        <v>Summer</v>
      </c>
      <c r="C1490" s="455"/>
      <c r="D1490" s="504"/>
      <c r="E1490" s="455"/>
      <c r="F1490" s="504"/>
      <c r="G1490" s="455"/>
      <c r="H1490" s="504"/>
      <c r="I1490" s="455"/>
      <c r="J1490" s="504"/>
      <c r="L1490" s="472"/>
      <c r="M1490" s="468"/>
      <c r="N1490" s="468"/>
      <c r="O1490" s="468"/>
      <c r="P1490" s="468"/>
      <c r="Q1490" s="473"/>
      <c r="R1490" s="477" t="str">
        <f>IF(AND(COUNTIF('Start Character'!$I$63:$M$77,"Twilight Prone")=1,NOT(ISERROR(FIND("Magical Botch",M1490)))),"Yes",IF(P1490&gt;1,"Yes","No"))</f>
        <v>No</v>
      </c>
      <c r="S1490" s="501"/>
      <c r="T1490" s="478"/>
      <c r="U1490" s="501"/>
      <c r="V1490" s="479" t="str">
        <f>IF(R1490="No","No Twilight",IF(T1490="Yes","Uncomprehended Twilight",IF((Character!$B$14+IF(Character!$B$53="Yes",0,Character!$B$53)+IF(Magic!$C$5="Yes",2,0)+ROUNDUP((Magic!$B$30+IF(Magic!$C$30="Yes",3,0))/5,0)+S1490)&gt;=($D$3+P1490+SUMIF(Character!$I$62:$I$66,"Enigmatic Wisdom",Character!$J$62:$J$66)+Q1490+U1490),"No Twilight","Twilight")))</f>
        <v>No Twilight</v>
      </c>
      <c r="W1490" s="483"/>
      <c r="X1490" s="478"/>
      <c r="Y1490" s="484"/>
      <c r="Z1490" s="478"/>
      <c r="AA1490" s="485" t="str">
        <f>IF(V1490="Uncomprehended Twilight","Failed",IF(OR(ISBLANK(W1490),ISBLANK(Y1490))," ",IF(NOT(ISBLANK(X1490)),"Failed",IF((W1490+Character!$B$9+SUMIF(Character!$I$62:$I$66,"Enigmatic Wisdom",Character!$J$62:$J$66))&gt;=IF(Z1490="Yes",0,(Y1490+D1485)),"Succeeded","Failed"))))</f>
        <v xml:space="preserve"> </v>
      </c>
      <c r="AB1490" s="477" t="str">
        <f>IF(AA1490=" "," ",IF(NOT(ISBLANK(X1490)),VLOOKUP($D$3+X1490,Calcs!$A$110:$C$122,3,TRUE),IF(AA1490="Failed",VLOOKUP($D$3,Calcs!$A$110:$C$122,3,TRUE),VLOOKUP($D$3-(IF((Character!$B$9+W1490)&gt;($D$3+Y1490),(Character!$B$9+W1490)-($D$3+Y1490),0)),Calcs!$A$110:$C$122,3,TRUE))))</f>
        <v xml:space="preserve"> </v>
      </c>
      <c r="AC1490" s="489"/>
      <c r="AD1490" s="489" t="str">
        <f>IF(IF(AA1490=" "," ",IF(NOT(ISBLANK(X1490)),VLOOKUP($D$3+X1490,Calcs!$A$110:$B$122,2,TRUE),IF(AA1490="Failed",VLOOKUP($D$3,Calcs!$A$110:$B$122,2,TRUE),VLOOKUP($D$3-(IF((Character!$B$9+W1490)&gt;($D$3+Y1490),(Character!$B$9+W1490)-($D$3+Y1490),0)),Calcs!$A$110:$B$122,2,TRUE))))=Calcs!$B$120,IF(ISBLANK(AC1490)," ",CONCATENATE(AC1490+7," Years")),IF(AA1490=" "," ",IF(NOT(ISBLANK(X1490)),VLOOKUP($D$3+X1490,Calcs!$A$110:$B$122,2,TRUE),IF(AA1490="Failed",VLOOKUP($D$3,Calcs!$A$110:$B$122,2,TRUE),VLOOKUP($D$3-(IF((Character!$B$9+W1490)&gt;($D$3+Y1490),(Character!$B$9+W1490)-($D$3+Y1490),0)),Calcs!$A$110:$B$122,2,TRUE)))))</f>
        <v xml:space="preserve"> </v>
      </c>
      <c r="AE1490" s="490"/>
      <c r="AF1490" s="879"/>
      <c r="AG1490" s="491"/>
    </row>
    <row r="1491" spans="1:33" x14ac:dyDescent="0.2">
      <c r="A1491" s="415">
        <f t="shared" si="44"/>
        <v>1582</v>
      </c>
      <c r="B1491" s="419" t="str">
        <f t="shared" si="45"/>
        <v>Autumn</v>
      </c>
      <c r="C1491" s="455"/>
      <c r="D1491" s="504"/>
      <c r="E1491" s="455"/>
      <c r="F1491" s="504"/>
      <c r="G1491" s="455"/>
      <c r="H1491" s="504"/>
      <c r="I1491" s="455"/>
      <c r="J1491" s="504"/>
      <c r="L1491" s="472"/>
      <c r="M1491" s="468"/>
      <c r="N1491" s="468"/>
      <c r="O1491" s="468"/>
      <c r="P1491" s="468"/>
      <c r="Q1491" s="473"/>
      <c r="R1491" s="477" t="str">
        <f>IF(AND(COUNTIF('Start Character'!$I$63:$M$77,"Twilight Prone")=1,NOT(ISERROR(FIND("Magical Botch",M1491)))),"Yes",IF(P1491&gt;1,"Yes","No"))</f>
        <v>No</v>
      </c>
      <c r="S1491" s="501"/>
      <c r="T1491" s="478"/>
      <c r="U1491" s="501"/>
      <c r="V1491" s="479" t="str">
        <f>IF(R1491="No","No Twilight",IF(T1491="Yes","Uncomprehended Twilight",IF((Character!$B$14+IF(Character!$B$53="Yes",0,Character!$B$53)+IF(Magic!$C$5="Yes",2,0)+ROUNDUP((Magic!$B$30+IF(Magic!$C$30="Yes",3,0))/5,0)+S1491)&gt;=($D$3+P1491+SUMIF(Character!$I$62:$I$66,"Enigmatic Wisdom",Character!$J$62:$J$66)+Q1491+U1491),"No Twilight","Twilight")))</f>
        <v>No Twilight</v>
      </c>
      <c r="W1491" s="483"/>
      <c r="X1491" s="478"/>
      <c r="Y1491" s="484"/>
      <c r="Z1491" s="478"/>
      <c r="AA1491" s="485" t="str">
        <f>IF(V1491="Uncomprehended Twilight","Failed",IF(OR(ISBLANK(W1491),ISBLANK(Y1491))," ",IF(NOT(ISBLANK(X1491)),"Failed",IF((W1491+Character!$B$9+SUMIF(Character!$I$62:$I$66,"Enigmatic Wisdom",Character!$J$62:$J$66))&gt;=IF(Z1491="Yes",0,(Y1491+D1486)),"Succeeded","Failed"))))</f>
        <v xml:space="preserve"> </v>
      </c>
      <c r="AB1491" s="477" t="str">
        <f>IF(AA1491=" "," ",IF(NOT(ISBLANK(X1491)),VLOOKUP($D$3+X1491,Calcs!$A$110:$C$122,3,TRUE),IF(AA1491="Failed",VLOOKUP($D$3,Calcs!$A$110:$C$122,3,TRUE),VLOOKUP($D$3-(IF((Character!$B$9+W1491)&gt;($D$3+Y1491),(Character!$B$9+W1491)-($D$3+Y1491),0)),Calcs!$A$110:$C$122,3,TRUE))))</f>
        <v xml:space="preserve"> </v>
      </c>
      <c r="AC1491" s="489"/>
      <c r="AD1491" s="489" t="str">
        <f>IF(IF(AA1491=" "," ",IF(NOT(ISBLANK(X1491)),VLOOKUP($D$3+X1491,Calcs!$A$110:$B$122,2,TRUE),IF(AA1491="Failed",VLOOKUP($D$3,Calcs!$A$110:$B$122,2,TRUE),VLOOKUP($D$3-(IF((Character!$B$9+W1491)&gt;($D$3+Y1491),(Character!$B$9+W1491)-($D$3+Y1491),0)),Calcs!$A$110:$B$122,2,TRUE))))=Calcs!$B$120,IF(ISBLANK(AC1491)," ",CONCATENATE(AC1491+7," Years")),IF(AA1491=" "," ",IF(NOT(ISBLANK(X1491)),VLOOKUP($D$3+X1491,Calcs!$A$110:$B$122,2,TRUE),IF(AA1491="Failed",VLOOKUP($D$3,Calcs!$A$110:$B$122,2,TRUE),VLOOKUP($D$3-(IF((Character!$B$9+W1491)&gt;($D$3+Y1491),(Character!$B$9+W1491)-($D$3+Y1491),0)),Calcs!$A$110:$B$122,2,TRUE)))))</f>
        <v xml:space="preserve"> </v>
      </c>
      <c r="AE1491" s="490"/>
      <c r="AF1491" s="879"/>
      <c r="AG1491" s="491"/>
    </row>
    <row r="1492" spans="1:33" x14ac:dyDescent="0.2">
      <c r="A1492" s="415">
        <f t="shared" si="44"/>
        <v>1583</v>
      </c>
      <c r="B1492" s="419" t="str">
        <f t="shared" si="45"/>
        <v>Winter</v>
      </c>
      <c r="C1492" s="455"/>
      <c r="D1492" s="504"/>
      <c r="E1492" s="455"/>
      <c r="F1492" s="504"/>
      <c r="G1492" s="455"/>
      <c r="H1492" s="504"/>
      <c r="I1492" s="455"/>
      <c r="J1492" s="504"/>
      <c r="L1492" s="472"/>
      <c r="M1492" s="468"/>
      <c r="N1492" s="468"/>
      <c r="O1492" s="468"/>
      <c r="P1492" s="468"/>
      <c r="Q1492" s="473"/>
      <c r="R1492" s="477" t="str">
        <f>IF(AND(COUNTIF('Start Character'!$I$63:$M$77,"Twilight Prone")=1,NOT(ISERROR(FIND("Magical Botch",M1492)))),"Yes",IF(P1492&gt;1,"Yes","No"))</f>
        <v>No</v>
      </c>
      <c r="S1492" s="501"/>
      <c r="T1492" s="478"/>
      <c r="U1492" s="501"/>
      <c r="V1492" s="479" t="str">
        <f>IF(R1492="No","No Twilight",IF(T1492="Yes","Uncomprehended Twilight",IF((Character!$B$14+IF(Character!$B$53="Yes",0,Character!$B$53)+IF(Magic!$C$5="Yes",2,0)+ROUNDUP((Magic!$B$30+IF(Magic!$C$30="Yes",3,0))/5,0)+S1492)&gt;=($D$3+P1492+SUMIF(Character!$I$62:$I$66,"Enigmatic Wisdom",Character!$J$62:$J$66)+Q1492+U1492),"No Twilight","Twilight")))</f>
        <v>No Twilight</v>
      </c>
      <c r="W1492" s="483"/>
      <c r="X1492" s="478"/>
      <c r="Y1492" s="484"/>
      <c r="Z1492" s="478"/>
      <c r="AA1492" s="485" t="str">
        <f>IF(V1492="Uncomprehended Twilight","Failed",IF(OR(ISBLANK(W1492),ISBLANK(Y1492))," ",IF(NOT(ISBLANK(X1492)),"Failed",IF((W1492+Character!$B$9+SUMIF(Character!$I$62:$I$66,"Enigmatic Wisdom",Character!$J$62:$J$66))&gt;=IF(Z1492="Yes",0,(Y1492+D1487)),"Succeeded","Failed"))))</f>
        <v xml:space="preserve"> </v>
      </c>
      <c r="AB1492" s="477" t="str">
        <f>IF(AA1492=" "," ",IF(NOT(ISBLANK(X1492)),VLOOKUP($D$3+X1492,Calcs!$A$110:$C$122,3,TRUE),IF(AA1492="Failed",VLOOKUP($D$3,Calcs!$A$110:$C$122,3,TRUE),VLOOKUP($D$3-(IF((Character!$B$9+W1492)&gt;($D$3+Y1492),(Character!$B$9+W1492)-($D$3+Y1492),0)),Calcs!$A$110:$C$122,3,TRUE))))</f>
        <v xml:space="preserve"> </v>
      </c>
      <c r="AC1492" s="489"/>
      <c r="AD1492" s="489" t="str">
        <f>IF(IF(AA1492=" "," ",IF(NOT(ISBLANK(X1492)),VLOOKUP($D$3+X1492,Calcs!$A$110:$B$122,2,TRUE),IF(AA1492="Failed",VLOOKUP($D$3,Calcs!$A$110:$B$122,2,TRUE),VLOOKUP($D$3-(IF((Character!$B$9+W1492)&gt;($D$3+Y1492),(Character!$B$9+W1492)-($D$3+Y1492),0)),Calcs!$A$110:$B$122,2,TRUE))))=Calcs!$B$120,IF(ISBLANK(AC1492)," ",CONCATENATE(AC1492+7," Years")),IF(AA1492=" "," ",IF(NOT(ISBLANK(X1492)),VLOOKUP($D$3+X1492,Calcs!$A$110:$B$122,2,TRUE),IF(AA1492="Failed",VLOOKUP($D$3,Calcs!$A$110:$B$122,2,TRUE),VLOOKUP($D$3-(IF((Character!$B$9+W1492)&gt;($D$3+Y1492),(Character!$B$9+W1492)-($D$3+Y1492),0)),Calcs!$A$110:$B$122,2,TRUE)))))</f>
        <v xml:space="preserve"> </v>
      </c>
      <c r="AE1492" s="490"/>
      <c r="AF1492" s="879"/>
      <c r="AG1492" s="491"/>
    </row>
    <row r="1493" spans="1:33" x14ac:dyDescent="0.2">
      <c r="A1493" s="415">
        <f t="shared" si="44"/>
        <v>1583</v>
      </c>
      <c r="B1493" s="419" t="str">
        <f t="shared" si="45"/>
        <v>Spring</v>
      </c>
      <c r="C1493" s="455"/>
      <c r="D1493" s="504"/>
      <c r="E1493" s="455"/>
      <c r="F1493" s="504"/>
      <c r="G1493" s="455"/>
      <c r="H1493" s="504"/>
      <c r="I1493" s="455"/>
      <c r="J1493" s="504"/>
      <c r="L1493" s="472"/>
      <c r="M1493" s="468"/>
      <c r="N1493" s="468"/>
      <c r="O1493" s="468"/>
      <c r="P1493" s="468"/>
      <c r="Q1493" s="473"/>
      <c r="R1493" s="477" t="str">
        <f>IF(AND(COUNTIF('Start Character'!$I$63:$M$77,"Twilight Prone")=1,NOT(ISERROR(FIND("Magical Botch",M1493)))),"Yes",IF(P1493&gt;1,"Yes","No"))</f>
        <v>No</v>
      </c>
      <c r="S1493" s="501"/>
      <c r="T1493" s="478"/>
      <c r="U1493" s="501"/>
      <c r="V1493" s="479" t="str">
        <f>IF(R1493="No","No Twilight",IF(T1493="Yes","Uncomprehended Twilight",IF((Character!$B$14+IF(Character!$B$53="Yes",0,Character!$B$53)+IF(Magic!$C$5="Yes",2,0)+ROUNDUP((Magic!$B$30+IF(Magic!$C$30="Yes",3,0))/5,0)+S1493)&gt;=($D$3+P1493+SUMIF(Character!$I$62:$I$66,"Enigmatic Wisdom",Character!$J$62:$J$66)+Q1493+U1493),"No Twilight","Twilight")))</f>
        <v>No Twilight</v>
      </c>
      <c r="W1493" s="483"/>
      <c r="X1493" s="478"/>
      <c r="Y1493" s="484"/>
      <c r="Z1493" s="478"/>
      <c r="AA1493" s="485" t="str">
        <f>IF(V1493="Uncomprehended Twilight","Failed",IF(OR(ISBLANK(W1493),ISBLANK(Y1493))," ",IF(NOT(ISBLANK(X1493)),"Failed",IF((W1493+Character!$B$9+SUMIF(Character!$I$62:$I$66,"Enigmatic Wisdom",Character!$J$62:$J$66))&gt;=IF(Z1493="Yes",0,(Y1493+D1488)),"Succeeded","Failed"))))</f>
        <v xml:space="preserve"> </v>
      </c>
      <c r="AB1493" s="477" t="str">
        <f>IF(AA1493=" "," ",IF(NOT(ISBLANK(X1493)),VLOOKUP($D$3+X1493,Calcs!$A$110:$C$122,3,TRUE),IF(AA1493="Failed",VLOOKUP($D$3,Calcs!$A$110:$C$122,3,TRUE),VLOOKUP($D$3-(IF((Character!$B$9+W1493)&gt;($D$3+Y1493),(Character!$B$9+W1493)-($D$3+Y1493),0)),Calcs!$A$110:$C$122,3,TRUE))))</f>
        <v xml:space="preserve"> </v>
      </c>
      <c r="AC1493" s="489"/>
      <c r="AD1493" s="489" t="str">
        <f>IF(IF(AA1493=" "," ",IF(NOT(ISBLANK(X1493)),VLOOKUP($D$3+X1493,Calcs!$A$110:$B$122,2,TRUE),IF(AA1493="Failed",VLOOKUP($D$3,Calcs!$A$110:$B$122,2,TRUE),VLOOKUP($D$3-(IF((Character!$B$9+W1493)&gt;($D$3+Y1493),(Character!$B$9+W1493)-($D$3+Y1493),0)),Calcs!$A$110:$B$122,2,TRUE))))=Calcs!$B$120,IF(ISBLANK(AC1493)," ",CONCATENATE(AC1493+7," Years")),IF(AA1493=" "," ",IF(NOT(ISBLANK(X1493)),VLOOKUP($D$3+X1493,Calcs!$A$110:$B$122,2,TRUE),IF(AA1493="Failed",VLOOKUP($D$3,Calcs!$A$110:$B$122,2,TRUE),VLOOKUP($D$3-(IF((Character!$B$9+W1493)&gt;($D$3+Y1493),(Character!$B$9+W1493)-($D$3+Y1493),0)),Calcs!$A$110:$B$122,2,TRUE)))))</f>
        <v xml:space="preserve"> </v>
      </c>
      <c r="AE1493" s="490"/>
      <c r="AF1493" s="879"/>
      <c r="AG1493" s="491"/>
    </row>
    <row r="1494" spans="1:33" x14ac:dyDescent="0.2">
      <c r="A1494" s="415">
        <f t="shared" si="44"/>
        <v>1583</v>
      </c>
      <c r="B1494" s="419" t="str">
        <f t="shared" si="45"/>
        <v>Summer</v>
      </c>
      <c r="C1494" s="455"/>
      <c r="D1494" s="504"/>
      <c r="E1494" s="455"/>
      <c r="F1494" s="504"/>
      <c r="G1494" s="455"/>
      <c r="H1494" s="504"/>
      <c r="I1494" s="455"/>
      <c r="J1494" s="504"/>
      <c r="L1494" s="472"/>
      <c r="M1494" s="468"/>
      <c r="N1494" s="468"/>
      <c r="O1494" s="468"/>
      <c r="P1494" s="468"/>
      <c r="Q1494" s="473"/>
      <c r="R1494" s="477" t="str">
        <f>IF(AND(COUNTIF('Start Character'!$I$63:$M$77,"Twilight Prone")=1,NOT(ISERROR(FIND("Magical Botch",M1494)))),"Yes",IF(P1494&gt;1,"Yes","No"))</f>
        <v>No</v>
      </c>
      <c r="S1494" s="501"/>
      <c r="T1494" s="478"/>
      <c r="U1494" s="501"/>
      <c r="V1494" s="479" t="str">
        <f>IF(R1494="No","No Twilight",IF(T1494="Yes","Uncomprehended Twilight",IF((Character!$B$14+IF(Character!$B$53="Yes",0,Character!$B$53)+IF(Magic!$C$5="Yes",2,0)+ROUNDUP((Magic!$B$30+IF(Magic!$C$30="Yes",3,0))/5,0)+S1494)&gt;=($D$3+P1494+SUMIF(Character!$I$62:$I$66,"Enigmatic Wisdom",Character!$J$62:$J$66)+Q1494+U1494),"No Twilight","Twilight")))</f>
        <v>No Twilight</v>
      </c>
      <c r="W1494" s="483"/>
      <c r="X1494" s="478"/>
      <c r="Y1494" s="484"/>
      <c r="Z1494" s="478"/>
      <c r="AA1494" s="485" t="str">
        <f>IF(V1494="Uncomprehended Twilight","Failed",IF(OR(ISBLANK(W1494),ISBLANK(Y1494))," ",IF(NOT(ISBLANK(X1494)),"Failed",IF((W1494+Character!$B$9+SUMIF(Character!$I$62:$I$66,"Enigmatic Wisdom",Character!$J$62:$J$66))&gt;=IF(Z1494="Yes",0,(Y1494+D1489)),"Succeeded","Failed"))))</f>
        <v xml:space="preserve"> </v>
      </c>
      <c r="AB1494" s="477" t="str">
        <f>IF(AA1494=" "," ",IF(NOT(ISBLANK(X1494)),VLOOKUP($D$3+X1494,Calcs!$A$110:$C$122,3,TRUE),IF(AA1494="Failed",VLOOKUP($D$3,Calcs!$A$110:$C$122,3,TRUE),VLOOKUP($D$3-(IF((Character!$B$9+W1494)&gt;($D$3+Y1494),(Character!$B$9+W1494)-($D$3+Y1494),0)),Calcs!$A$110:$C$122,3,TRUE))))</f>
        <v xml:space="preserve"> </v>
      </c>
      <c r="AC1494" s="489"/>
      <c r="AD1494" s="489" t="str">
        <f>IF(IF(AA1494=" "," ",IF(NOT(ISBLANK(X1494)),VLOOKUP($D$3+X1494,Calcs!$A$110:$B$122,2,TRUE),IF(AA1494="Failed",VLOOKUP($D$3,Calcs!$A$110:$B$122,2,TRUE),VLOOKUP($D$3-(IF((Character!$B$9+W1494)&gt;($D$3+Y1494),(Character!$B$9+W1494)-($D$3+Y1494),0)),Calcs!$A$110:$B$122,2,TRUE))))=Calcs!$B$120,IF(ISBLANK(AC1494)," ",CONCATENATE(AC1494+7," Years")),IF(AA1494=" "," ",IF(NOT(ISBLANK(X1494)),VLOOKUP($D$3+X1494,Calcs!$A$110:$B$122,2,TRUE),IF(AA1494="Failed",VLOOKUP($D$3,Calcs!$A$110:$B$122,2,TRUE),VLOOKUP($D$3-(IF((Character!$B$9+W1494)&gt;($D$3+Y1494),(Character!$B$9+W1494)-($D$3+Y1494),0)),Calcs!$A$110:$B$122,2,TRUE)))))</f>
        <v xml:space="preserve"> </v>
      </c>
      <c r="AE1494" s="490"/>
      <c r="AF1494" s="879"/>
      <c r="AG1494" s="491"/>
    </row>
    <row r="1495" spans="1:33" x14ac:dyDescent="0.2">
      <c r="A1495" s="415">
        <f t="shared" si="44"/>
        <v>1583</v>
      </c>
      <c r="B1495" s="419" t="str">
        <f t="shared" si="45"/>
        <v>Autumn</v>
      </c>
      <c r="C1495" s="455"/>
      <c r="D1495" s="504"/>
      <c r="E1495" s="455"/>
      <c r="F1495" s="504"/>
      <c r="G1495" s="455"/>
      <c r="H1495" s="504"/>
      <c r="I1495" s="455"/>
      <c r="J1495" s="504"/>
      <c r="L1495" s="472"/>
      <c r="M1495" s="468"/>
      <c r="N1495" s="468"/>
      <c r="O1495" s="468"/>
      <c r="P1495" s="468"/>
      <c r="Q1495" s="473"/>
      <c r="R1495" s="477" t="str">
        <f>IF(AND(COUNTIF('Start Character'!$I$63:$M$77,"Twilight Prone")=1,NOT(ISERROR(FIND("Magical Botch",M1495)))),"Yes",IF(P1495&gt;1,"Yes","No"))</f>
        <v>No</v>
      </c>
      <c r="S1495" s="501"/>
      <c r="T1495" s="478"/>
      <c r="U1495" s="501"/>
      <c r="V1495" s="479" t="str">
        <f>IF(R1495="No","No Twilight",IF(T1495="Yes","Uncomprehended Twilight",IF((Character!$B$14+IF(Character!$B$53="Yes",0,Character!$B$53)+IF(Magic!$C$5="Yes",2,0)+ROUNDUP((Magic!$B$30+IF(Magic!$C$30="Yes",3,0))/5,0)+S1495)&gt;=($D$3+P1495+SUMIF(Character!$I$62:$I$66,"Enigmatic Wisdom",Character!$J$62:$J$66)+Q1495+U1495),"No Twilight","Twilight")))</f>
        <v>No Twilight</v>
      </c>
      <c r="W1495" s="483"/>
      <c r="X1495" s="478"/>
      <c r="Y1495" s="484"/>
      <c r="Z1495" s="478"/>
      <c r="AA1495" s="485" t="str">
        <f>IF(V1495="Uncomprehended Twilight","Failed",IF(OR(ISBLANK(W1495),ISBLANK(Y1495))," ",IF(NOT(ISBLANK(X1495)),"Failed",IF((W1495+Character!$B$9+SUMIF(Character!$I$62:$I$66,"Enigmatic Wisdom",Character!$J$62:$J$66))&gt;=IF(Z1495="Yes",0,(Y1495+D1490)),"Succeeded","Failed"))))</f>
        <v xml:space="preserve"> </v>
      </c>
      <c r="AB1495" s="477" t="str">
        <f>IF(AA1495=" "," ",IF(NOT(ISBLANK(X1495)),VLOOKUP($D$3+X1495,Calcs!$A$110:$C$122,3,TRUE),IF(AA1495="Failed",VLOOKUP($D$3,Calcs!$A$110:$C$122,3,TRUE),VLOOKUP($D$3-(IF((Character!$B$9+W1495)&gt;($D$3+Y1495),(Character!$B$9+W1495)-($D$3+Y1495),0)),Calcs!$A$110:$C$122,3,TRUE))))</f>
        <v xml:space="preserve"> </v>
      </c>
      <c r="AC1495" s="489"/>
      <c r="AD1495" s="489" t="str">
        <f>IF(IF(AA1495=" "," ",IF(NOT(ISBLANK(X1495)),VLOOKUP($D$3+X1495,Calcs!$A$110:$B$122,2,TRUE),IF(AA1495="Failed",VLOOKUP($D$3,Calcs!$A$110:$B$122,2,TRUE),VLOOKUP($D$3-(IF((Character!$B$9+W1495)&gt;($D$3+Y1495),(Character!$B$9+W1495)-($D$3+Y1495),0)),Calcs!$A$110:$B$122,2,TRUE))))=Calcs!$B$120,IF(ISBLANK(AC1495)," ",CONCATENATE(AC1495+7," Years")),IF(AA1495=" "," ",IF(NOT(ISBLANK(X1495)),VLOOKUP($D$3+X1495,Calcs!$A$110:$B$122,2,TRUE),IF(AA1495="Failed",VLOOKUP($D$3,Calcs!$A$110:$B$122,2,TRUE),VLOOKUP($D$3-(IF((Character!$B$9+W1495)&gt;($D$3+Y1495),(Character!$B$9+W1495)-($D$3+Y1495),0)),Calcs!$A$110:$B$122,2,TRUE)))))</f>
        <v xml:space="preserve"> </v>
      </c>
      <c r="AE1495" s="490"/>
      <c r="AF1495" s="879"/>
      <c r="AG1495" s="491"/>
    </row>
    <row r="1496" spans="1:33" x14ac:dyDescent="0.2">
      <c r="A1496" s="415">
        <f t="shared" si="44"/>
        <v>1584</v>
      </c>
      <c r="B1496" s="419" t="str">
        <f t="shared" si="45"/>
        <v>Winter</v>
      </c>
      <c r="C1496" s="455"/>
      <c r="D1496" s="504"/>
      <c r="E1496" s="455"/>
      <c r="F1496" s="504"/>
      <c r="G1496" s="455"/>
      <c r="H1496" s="504"/>
      <c r="I1496" s="455"/>
      <c r="J1496" s="504"/>
      <c r="L1496" s="472"/>
      <c r="M1496" s="468"/>
      <c r="N1496" s="468"/>
      <c r="O1496" s="468"/>
      <c r="P1496" s="468"/>
      <c r="Q1496" s="473"/>
      <c r="R1496" s="477" t="str">
        <f>IF(AND(COUNTIF('Start Character'!$I$63:$M$77,"Twilight Prone")=1,NOT(ISERROR(FIND("Magical Botch",M1496)))),"Yes",IF(P1496&gt;1,"Yes","No"))</f>
        <v>No</v>
      </c>
      <c r="S1496" s="501"/>
      <c r="T1496" s="478"/>
      <c r="U1496" s="501"/>
      <c r="V1496" s="479" t="str">
        <f>IF(R1496="No","No Twilight",IF(T1496="Yes","Uncomprehended Twilight",IF((Character!$B$14+IF(Character!$B$53="Yes",0,Character!$B$53)+IF(Magic!$C$5="Yes",2,0)+ROUNDUP((Magic!$B$30+IF(Magic!$C$30="Yes",3,0))/5,0)+S1496)&gt;=($D$3+P1496+SUMIF(Character!$I$62:$I$66,"Enigmatic Wisdom",Character!$J$62:$J$66)+Q1496+U1496),"No Twilight","Twilight")))</f>
        <v>No Twilight</v>
      </c>
      <c r="W1496" s="483"/>
      <c r="X1496" s="478"/>
      <c r="Y1496" s="484"/>
      <c r="Z1496" s="478"/>
      <c r="AA1496" s="485" t="str">
        <f>IF(V1496="Uncomprehended Twilight","Failed",IF(OR(ISBLANK(W1496),ISBLANK(Y1496))," ",IF(NOT(ISBLANK(X1496)),"Failed",IF((W1496+Character!$B$9+SUMIF(Character!$I$62:$I$66,"Enigmatic Wisdom",Character!$J$62:$J$66))&gt;=IF(Z1496="Yes",0,(Y1496+D1491)),"Succeeded","Failed"))))</f>
        <v xml:space="preserve"> </v>
      </c>
      <c r="AB1496" s="477" t="str">
        <f>IF(AA1496=" "," ",IF(NOT(ISBLANK(X1496)),VLOOKUP($D$3+X1496,Calcs!$A$110:$C$122,3,TRUE),IF(AA1496="Failed",VLOOKUP($D$3,Calcs!$A$110:$C$122,3,TRUE),VLOOKUP($D$3-(IF((Character!$B$9+W1496)&gt;($D$3+Y1496),(Character!$B$9+W1496)-($D$3+Y1496),0)),Calcs!$A$110:$C$122,3,TRUE))))</f>
        <v xml:space="preserve"> </v>
      </c>
      <c r="AC1496" s="489"/>
      <c r="AD1496" s="489" t="str">
        <f>IF(IF(AA1496=" "," ",IF(NOT(ISBLANK(X1496)),VLOOKUP($D$3+X1496,Calcs!$A$110:$B$122,2,TRUE),IF(AA1496="Failed",VLOOKUP($D$3,Calcs!$A$110:$B$122,2,TRUE),VLOOKUP($D$3-(IF((Character!$B$9+W1496)&gt;($D$3+Y1496),(Character!$B$9+W1496)-($D$3+Y1496),0)),Calcs!$A$110:$B$122,2,TRUE))))=Calcs!$B$120,IF(ISBLANK(AC1496)," ",CONCATENATE(AC1496+7," Years")),IF(AA1496=" "," ",IF(NOT(ISBLANK(X1496)),VLOOKUP($D$3+X1496,Calcs!$A$110:$B$122,2,TRUE),IF(AA1496="Failed",VLOOKUP($D$3,Calcs!$A$110:$B$122,2,TRUE),VLOOKUP($D$3-(IF((Character!$B$9+W1496)&gt;($D$3+Y1496),(Character!$B$9+W1496)-($D$3+Y1496),0)),Calcs!$A$110:$B$122,2,TRUE)))))</f>
        <v xml:space="preserve"> </v>
      </c>
      <c r="AE1496" s="490"/>
      <c r="AF1496" s="879"/>
      <c r="AG1496" s="491"/>
    </row>
    <row r="1497" spans="1:33" x14ac:dyDescent="0.2">
      <c r="A1497" s="415">
        <f t="shared" si="44"/>
        <v>1584</v>
      </c>
      <c r="B1497" s="419" t="str">
        <f t="shared" si="45"/>
        <v>Spring</v>
      </c>
      <c r="C1497" s="455"/>
      <c r="D1497" s="504"/>
      <c r="E1497" s="455"/>
      <c r="F1497" s="504"/>
      <c r="G1497" s="455"/>
      <c r="H1497" s="504"/>
      <c r="I1497" s="455"/>
      <c r="J1497" s="504"/>
      <c r="L1497" s="472"/>
      <c r="M1497" s="468"/>
      <c r="N1497" s="468"/>
      <c r="O1497" s="468"/>
      <c r="P1497" s="468"/>
      <c r="Q1497" s="473"/>
      <c r="R1497" s="477" t="str">
        <f>IF(AND(COUNTIF('Start Character'!$I$63:$M$77,"Twilight Prone")=1,NOT(ISERROR(FIND("Magical Botch",M1497)))),"Yes",IF(P1497&gt;1,"Yes","No"))</f>
        <v>No</v>
      </c>
      <c r="S1497" s="501"/>
      <c r="T1497" s="478"/>
      <c r="U1497" s="501"/>
      <c r="V1497" s="479" t="str">
        <f>IF(R1497="No","No Twilight",IF(T1497="Yes","Uncomprehended Twilight",IF((Character!$B$14+IF(Character!$B$53="Yes",0,Character!$B$53)+IF(Magic!$C$5="Yes",2,0)+ROUNDUP((Magic!$B$30+IF(Magic!$C$30="Yes",3,0))/5,0)+S1497)&gt;=($D$3+P1497+SUMIF(Character!$I$62:$I$66,"Enigmatic Wisdom",Character!$J$62:$J$66)+Q1497+U1497),"No Twilight","Twilight")))</f>
        <v>No Twilight</v>
      </c>
      <c r="W1497" s="483"/>
      <c r="X1497" s="478"/>
      <c r="Y1497" s="484"/>
      <c r="Z1497" s="478"/>
      <c r="AA1497" s="485" t="str">
        <f>IF(V1497="Uncomprehended Twilight","Failed",IF(OR(ISBLANK(W1497),ISBLANK(Y1497))," ",IF(NOT(ISBLANK(X1497)),"Failed",IF((W1497+Character!$B$9+SUMIF(Character!$I$62:$I$66,"Enigmatic Wisdom",Character!$J$62:$J$66))&gt;=IF(Z1497="Yes",0,(Y1497+D1492)),"Succeeded","Failed"))))</f>
        <v xml:space="preserve"> </v>
      </c>
      <c r="AB1497" s="477" t="str">
        <f>IF(AA1497=" "," ",IF(NOT(ISBLANK(X1497)),VLOOKUP($D$3+X1497,Calcs!$A$110:$C$122,3,TRUE),IF(AA1497="Failed",VLOOKUP($D$3,Calcs!$A$110:$C$122,3,TRUE),VLOOKUP($D$3-(IF((Character!$B$9+W1497)&gt;($D$3+Y1497),(Character!$B$9+W1497)-($D$3+Y1497),0)),Calcs!$A$110:$C$122,3,TRUE))))</f>
        <v xml:space="preserve"> </v>
      </c>
      <c r="AC1497" s="489"/>
      <c r="AD1497" s="489" t="str">
        <f>IF(IF(AA1497=" "," ",IF(NOT(ISBLANK(X1497)),VLOOKUP($D$3+X1497,Calcs!$A$110:$B$122,2,TRUE),IF(AA1497="Failed",VLOOKUP($D$3,Calcs!$A$110:$B$122,2,TRUE),VLOOKUP($D$3-(IF((Character!$B$9+W1497)&gt;($D$3+Y1497),(Character!$B$9+W1497)-($D$3+Y1497),0)),Calcs!$A$110:$B$122,2,TRUE))))=Calcs!$B$120,IF(ISBLANK(AC1497)," ",CONCATENATE(AC1497+7," Years")),IF(AA1497=" "," ",IF(NOT(ISBLANK(X1497)),VLOOKUP($D$3+X1497,Calcs!$A$110:$B$122,2,TRUE),IF(AA1497="Failed",VLOOKUP($D$3,Calcs!$A$110:$B$122,2,TRUE),VLOOKUP($D$3-(IF((Character!$B$9+W1497)&gt;($D$3+Y1497),(Character!$B$9+W1497)-($D$3+Y1497),0)),Calcs!$A$110:$B$122,2,TRUE)))))</f>
        <v xml:space="preserve"> </v>
      </c>
      <c r="AE1497" s="490"/>
      <c r="AF1497" s="879"/>
      <c r="AG1497" s="491"/>
    </row>
    <row r="1498" spans="1:33" x14ac:dyDescent="0.2">
      <c r="A1498" s="415">
        <f t="shared" si="44"/>
        <v>1584</v>
      </c>
      <c r="B1498" s="419" t="str">
        <f t="shared" si="45"/>
        <v>Summer</v>
      </c>
      <c r="C1498" s="455"/>
      <c r="D1498" s="504"/>
      <c r="E1498" s="455"/>
      <c r="F1498" s="504"/>
      <c r="G1498" s="455"/>
      <c r="H1498" s="504"/>
      <c r="I1498" s="455"/>
      <c r="J1498" s="504"/>
      <c r="L1498" s="472"/>
      <c r="M1498" s="468"/>
      <c r="N1498" s="468"/>
      <c r="O1498" s="468"/>
      <c r="P1498" s="468"/>
      <c r="Q1498" s="473"/>
      <c r="R1498" s="477" t="str">
        <f>IF(AND(COUNTIF('Start Character'!$I$63:$M$77,"Twilight Prone")=1,NOT(ISERROR(FIND("Magical Botch",M1498)))),"Yes",IF(P1498&gt;1,"Yes","No"))</f>
        <v>No</v>
      </c>
      <c r="S1498" s="501"/>
      <c r="T1498" s="478"/>
      <c r="U1498" s="501"/>
      <c r="V1498" s="479" t="str">
        <f>IF(R1498="No","No Twilight",IF(T1498="Yes","Uncomprehended Twilight",IF((Character!$B$14+IF(Character!$B$53="Yes",0,Character!$B$53)+IF(Magic!$C$5="Yes",2,0)+ROUNDUP((Magic!$B$30+IF(Magic!$C$30="Yes",3,0))/5,0)+S1498)&gt;=($D$3+P1498+SUMIF(Character!$I$62:$I$66,"Enigmatic Wisdom",Character!$J$62:$J$66)+Q1498+U1498),"No Twilight","Twilight")))</f>
        <v>No Twilight</v>
      </c>
      <c r="W1498" s="483"/>
      <c r="X1498" s="478"/>
      <c r="Y1498" s="484"/>
      <c r="Z1498" s="478"/>
      <c r="AA1498" s="485" t="str">
        <f>IF(V1498="Uncomprehended Twilight","Failed",IF(OR(ISBLANK(W1498),ISBLANK(Y1498))," ",IF(NOT(ISBLANK(X1498)),"Failed",IF((W1498+Character!$B$9+SUMIF(Character!$I$62:$I$66,"Enigmatic Wisdom",Character!$J$62:$J$66))&gt;=IF(Z1498="Yes",0,(Y1498+D1493)),"Succeeded","Failed"))))</f>
        <v xml:space="preserve"> </v>
      </c>
      <c r="AB1498" s="477" t="str">
        <f>IF(AA1498=" "," ",IF(NOT(ISBLANK(X1498)),VLOOKUP($D$3+X1498,Calcs!$A$110:$C$122,3,TRUE),IF(AA1498="Failed",VLOOKUP($D$3,Calcs!$A$110:$C$122,3,TRUE),VLOOKUP($D$3-(IF((Character!$B$9+W1498)&gt;($D$3+Y1498),(Character!$B$9+W1498)-($D$3+Y1498),0)),Calcs!$A$110:$C$122,3,TRUE))))</f>
        <v xml:space="preserve"> </v>
      </c>
      <c r="AC1498" s="489"/>
      <c r="AD1498" s="489" t="str">
        <f>IF(IF(AA1498=" "," ",IF(NOT(ISBLANK(X1498)),VLOOKUP($D$3+X1498,Calcs!$A$110:$B$122,2,TRUE),IF(AA1498="Failed",VLOOKUP($D$3,Calcs!$A$110:$B$122,2,TRUE),VLOOKUP($D$3-(IF((Character!$B$9+W1498)&gt;($D$3+Y1498),(Character!$B$9+W1498)-($D$3+Y1498),0)),Calcs!$A$110:$B$122,2,TRUE))))=Calcs!$B$120,IF(ISBLANK(AC1498)," ",CONCATENATE(AC1498+7," Years")),IF(AA1498=" "," ",IF(NOT(ISBLANK(X1498)),VLOOKUP($D$3+X1498,Calcs!$A$110:$B$122,2,TRUE),IF(AA1498="Failed",VLOOKUP($D$3,Calcs!$A$110:$B$122,2,TRUE),VLOOKUP($D$3-(IF((Character!$B$9+W1498)&gt;($D$3+Y1498),(Character!$B$9+W1498)-($D$3+Y1498),0)),Calcs!$A$110:$B$122,2,TRUE)))))</f>
        <v xml:space="preserve"> </v>
      </c>
      <c r="AE1498" s="490"/>
      <c r="AF1498" s="879"/>
      <c r="AG1498" s="491"/>
    </row>
    <row r="1499" spans="1:33" x14ac:dyDescent="0.2">
      <c r="A1499" s="415">
        <f t="shared" si="44"/>
        <v>1584</v>
      </c>
      <c r="B1499" s="419" t="str">
        <f t="shared" si="45"/>
        <v>Autumn</v>
      </c>
      <c r="C1499" s="455"/>
      <c r="D1499" s="504"/>
      <c r="E1499" s="455"/>
      <c r="F1499" s="504"/>
      <c r="G1499" s="455"/>
      <c r="H1499" s="504"/>
      <c r="I1499" s="455"/>
      <c r="J1499" s="504"/>
      <c r="L1499" s="472"/>
      <c r="M1499" s="468"/>
      <c r="N1499" s="468"/>
      <c r="O1499" s="468"/>
      <c r="P1499" s="468"/>
      <c r="Q1499" s="473"/>
      <c r="R1499" s="477" t="str">
        <f>IF(AND(COUNTIF('Start Character'!$I$63:$M$77,"Twilight Prone")=1,NOT(ISERROR(FIND("Magical Botch",M1499)))),"Yes",IF(P1499&gt;1,"Yes","No"))</f>
        <v>No</v>
      </c>
      <c r="S1499" s="501"/>
      <c r="T1499" s="478"/>
      <c r="U1499" s="501"/>
      <c r="V1499" s="479" t="str">
        <f>IF(R1499="No","No Twilight",IF(T1499="Yes","Uncomprehended Twilight",IF((Character!$B$14+IF(Character!$B$53="Yes",0,Character!$B$53)+IF(Magic!$C$5="Yes",2,0)+ROUNDUP((Magic!$B$30+IF(Magic!$C$30="Yes",3,0))/5,0)+S1499)&gt;=($D$3+P1499+SUMIF(Character!$I$62:$I$66,"Enigmatic Wisdom",Character!$J$62:$J$66)+Q1499+U1499),"No Twilight","Twilight")))</f>
        <v>No Twilight</v>
      </c>
      <c r="W1499" s="483"/>
      <c r="X1499" s="478"/>
      <c r="Y1499" s="484"/>
      <c r="Z1499" s="478"/>
      <c r="AA1499" s="485" t="str">
        <f>IF(V1499="Uncomprehended Twilight","Failed",IF(OR(ISBLANK(W1499),ISBLANK(Y1499))," ",IF(NOT(ISBLANK(X1499)),"Failed",IF((W1499+Character!$B$9+SUMIF(Character!$I$62:$I$66,"Enigmatic Wisdom",Character!$J$62:$J$66))&gt;=IF(Z1499="Yes",0,(Y1499+D1494)),"Succeeded","Failed"))))</f>
        <v xml:space="preserve"> </v>
      </c>
      <c r="AB1499" s="477" t="str">
        <f>IF(AA1499=" "," ",IF(NOT(ISBLANK(X1499)),VLOOKUP($D$3+X1499,Calcs!$A$110:$C$122,3,TRUE),IF(AA1499="Failed",VLOOKUP($D$3,Calcs!$A$110:$C$122,3,TRUE),VLOOKUP($D$3-(IF((Character!$B$9+W1499)&gt;($D$3+Y1499),(Character!$B$9+W1499)-($D$3+Y1499),0)),Calcs!$A$110:$C$122,3,TRUE))))</f>
        <v xml:space="preserve"> </v>
      </c>
      <c r="AC1499" s="489"/>
      <c r="AD1499" s="489" t="str">
        <f>IF(IF(AA1499=" "," ",IF(NOT(ISBLANK(X1499)),VLOOKUP($D$3+X1499,Calcs!$A$110:$B$122,2,TRUE),IF(AA1499="Failed",VLOOKUP($D$3,Calcs!$A$110:$B$122,2,TRUE),VLOOKUP($D$3-(IF((Character!$B$9+W1499)&gt;($D$3+Y1499),(Character!$B$9+W1499)-($D$3+Y1499),0)),Calcs!$A$110:$B$122,2,TRUE))))=Calcs!$B$120,IF(ISBLANK(AC1499)," ",CONCATENATE(AC1499+7," Years")),IF(AA1499=" "," ",IF(NOT(ISBLANK(X1499)),VLOOKUP($D$3+X1499,Calcs!$A$110:$B$122,2,TRUE),IF(AA1499="Failed",VLOOKUP($D$3,Calcs!$A$110:$B$122,2,TRUE),VLOOKUP($D$3-(IF((Character!$B$9+W1499)&gt;($D$3+Y1499),(Character!$B$9+W1499)-($D$3+Y1499),0)),Calcs!$A$110:$B$122,2,TRUE)))))</f>
        <v xml:space="preserve"> </v>
      </c>
      <c r="AE1499" s="490"/>
      <c r="AF1499" s="879"/>
      <c r="AG1499" s="491"/>
    </row>
    <row r="1500" spans="1:33" x14ac:dyDescent="0.2">
      <c r="A1500" s="415">
        <f t="shared" si="44"/>
        <v>1585</v>
      </c>
      <c r="B1500" s="419" t="str">
        <f t="shared" si="45"/>
        <v>Winter</v>
      </c>
      <c r="C1500" s="455"/>
      <c r="D1500" s="504"/>
      <c r="E1500" s="455"/>
      <c r="F1500" s="504"/>
      <c r="G1500" s="455"/>
      <c r="H1500" s="504"/>
      <c r="I1500" s="455"/>
      <c r="J1500" s="504"/>
      <c r="L1500" s="472"/>
      <c r="M1500" s="468"/>
      <c r="N1500" s="468"/>
      <c r="O1500" s="468"/>
      <c r="P1500" s="468"/>
      <c r="Q1500" s="473"/>
      <c r="R1500" s="477" t="str">
        <f>IF(AND(COUNTIF('Start Character'!$I$63:$M$77,"Twilight Prone")=1,NOT(ISERROR(FIND("Magical Botch",M1500)))),"Yes",IF(P1500&gt;1,"Yes","No"))</f>
        <v>No</v>
      </c>
      <c r="S1500" s="501"/>
      <c r="T1500" s="478"/>
      <c r="U1500" s="501"/>
      <c r="V1500" s="479" t="str">
        <f>IF(R1500="No","No Twilight",IF(T1500="Yes","Uncomprehended Twilight",IF((Character!$B$14+IF(Character!$B$53="Yes",0,Character!$B$53)+IF(Magic!$C$5="Yes",2,0)+ROUNDUP((Magic!$B$30+IF(Magic!$C$30="Yes",3,0))/5,0)+S1500)&gt;=($D$3+P1500+SUMIF(Character!$I$62:$I$66,"Enigmatic Wisdom",Character!$J$62:$J$66)+Q1500+U1500),"No Twilight","Twilight")))</f>
        <v>No Twilight</v>
      </c>
      <c r="W1500" s="483"/>
      <c r="X1500" s="478"/>
      <c r="Y1500" s="484"/>
      <c r="Z1500" s="478"/>
      <c r="AA1500" s="485" t="str">
        <f>IF(V1500="Uncomprehended Twilight","Failed",IF(OR(ISBLANK(W1500),ISBLANK(Y1500))," ",IF(NOT(ISBLANK(X1500)),"Failed",IF((W1500+Character!$B$9+SUMIF(Character!$I$62:$I$66,"Enigmatic Wisdom",Character!$J$62:$J$66))&gt;=IF(Z1500="Yes",0,(Y1500+D1495)),"Succeeded","Failed"))))</f>
        <v xml:space="preserve"> </v>
      </c>
      <c r="AB1500" s="477" t="str">
        <f>IF(AA1500=" "," ",IF(NOT(ISBLANK(X1500)),VLOOKUP($D$3+X1500,Calcs!$A$110:$C$122,3,TRUE),IF(AA1500="Failed",VLOOKUP($D$3,Calcs!$A$110:$C$122,3,TRUE),VLOOKUP($D$3-(IF((Character!$B$9+W1500)&gt;($D$3+Y1500),(Character!$B$9+W1500)-($D$3+Y1500),0)),Calcs!$A$110:$C$122,3,TRUE))))</f>
        <v xml:space="preserve"> </v>
      </c>
      <c r="AC1500" s="489"/>
      <c r="AD1500" s="489" t="str">
        <f>IF(IF(AA1500=" "," ",IF(NOT(ISBLANK(X1500)),VLOOKUP($D$3+X1500,Calcs!$A$110:$B$122,2,TRUE),IF(AA1500="Failed",VLOOKUP($D$3,Calcs!$A$110:$B$122,2,TRUE),VLOOKUP($D$3-(IF((Character!$B$9+W1500)&gt;($D$3+Y1500),(Character!$B$9+W1500)-($D$3+Y1500),0)),Calcs!$A$110:$B$122,2,TRUE))))=Calcs!$B$120,IF(ISBLANK(AC1500)," ",CONCATENATE(AC1500+7," Years")),IF(AA1500=" "," ",IF(NOT(ISBLANK(X1500)),VLOOKUP($D$3+X1500,Calcs!$A$110:$B$122,2,TRUE),IF(AA1500="Failed",VLOOKUP($D$3,Calcs!$A$110:$B$122,2,TRUE),VLOOKUP($D$3-(IF((Character!$B$9+W1500)&gt;($D$3+Y1500),(Character!$B$9+W1500)-($D$3+Y1500),0)),Calcs!$A$110:$B$122,2,TRUE)))))</f>
        <v xml:space="preserve"> </v>
      </c>
      <c r="AE1500" s="490"/>
      <c r="AF1500" s="879"/>
      <c r="AG1500" s="491"/>
    </row>
    <row r="1501" spans="1:33" x14ac:dyDescent="0.2">
      <c r="A1501" s="415">
        <f t="shared" ref="A1501:A1524" si="46">IF(B1500="Autumn",A1500+1,A1500)</f>
        <v>1585</v>
      </c>
      <c r="B1501" s="419" t="str">
        <f t="shared" ref="B1501:B1524" si="47">IF(B1500="spring","Summer",IF(B1500="Summer","Autumn",IF(B1500="Autumn","Winter",IF(B1500="Winter","Spring"," "))))</f>
        <v>Spring</v>
      </c>
      <c r="C1501" s="455"/>
      <c r="D1501" s="504"/>
      <c r="E1501" s="455"/>
      <c r="F1501" s="504"/>
      <c r="G1501" s="455"/>
      <c r="H1501" s="504"/>
      <c r="I1501" s="455"/>
      <c r="J1501" s="504"/>
      <c r="L1501" s="472"/>
      <c r="M1501" s="468"/>
      <c r="N1501" s="468"/>
      <c r="O1501" s="468"/>
      <c r="P1501" s="468"/>
      <c r="Q1501" s="473"/>
      <c r="R1501" s="477" t="str">
        <f>IF(AND(COUNTIF('Start Character'!$I$63:$M$77,"Twilight Prone")=1,NOT(ISERROR(FIND("Magical Botch",M1501)))),"Yes",IF(P1501&gt;1,"Yes","No"))</f>
        <v>No</v>
      </c>
      <c r="S1501" s="501"/>
      <c r="T1501" s="478"/>
      <c r="U1501" s="501"/>
      <c r="V1501" s="479" t="str">
        <f>IF(R1501="No","No Twilight",IF(T1501="Yes","Uncomprehended Twilight",IF((Character!$B$14+IF(Character!$B$53="Yes",0,Character!$B$53)+IF(Magic!$C$5="Yes",2,0)+ROUNDUP((Magic!$B$30+IF(Magic!$C$30="Yes",3,0))/5,0)+S1501)&gt;=($D$3+P1501+SUMIF(Character!$I$62:$I$66,"Enigmatic Wisdom",Character!$J$62:$J$66)+Q1501+U1501),"No Twilight","Twilight")))</f>
        <v>No Twilight</v>
      </c>
      <c r="W1501" s="483"/>
      <c r="X1501" s="478"/>
      <c r="Y1501" s="484"/>
      <c r="Z1501" s="478"/>
      <c r="AA1501" s="485" t="str">
        <f>IF(V1501="Uncomprehended Twilight","Failed",IF(OR(ISBLANK(W1501),ISBLANK(Y1501))," ",IF(NOT(ISBLANK(X1501)),"Failed",IF((W1501+Character!$B$9+SUMIF(Character!$I$62:$I$66,"Enigmatic Wisdom",Character!$J$62:$J$66))&gt;=IF(Z1501="Yes",0,(Y1501+D1496)),"Succeeded","Failed"))))</f>
        <v xml:space="preserve"> </v>
      </c>
      <c r="AB1501" s="477" t="str">
        <f>IF(AA1501=" "," ",IF(NOT(ISBLANK(X1501)),VLOOKUP($D$3+X1501,Calcs!$A$110:$C$122,3,TRUE),IF(AA1501="Failed",VLOOKUP($D$3,Calcs!$A$110:$C$122,3,TRUE),VLOOKUP($D$3-(IF((Character!$B$9+W1501)&gt;($D$3+Y1501),(Character!$B$9+W1501)-($D$3+Y1501),0)),Calcs!$A$110:$C$122,3,TRUE))))</f>
        <v xml:space="preserve"> </v>
      </c>
      <c r="AC1501" s="489"/>
      <c r="AD1501" s="489" t="str">
        <f>IF(IF(AA1501=" "," ",IF(NOT(ISBLANK(X1501)),VLOOKUP($D$3+X1501,Calcs!$A$110:$B$122,2,TRUE),IF(AA1501="Failed",VLOOKUP($D$3,Calcs!$A$110:$B$122,2,TRUE),VLOOKUP($D$3-(IF((Character!$B$9+W1501)&gt;($D$3+Y1501),(Character!$B$9+W1501)-($D$3+Y1501),0)),Calcs!$A$110:$B$122,2,TRUE))))=Calcs!$B$120,IF(ISBLANK(AC1501)," ",CONCATENATE(AC1501+7," Years")),IF(AA1501=" "," ",IF(NOT(ISBLANK(X1501)),VLOOKUP($D$3+X1501,Calcs!$A$110:$B$122,2,TRUE),IF(AA1501="Failed",VLOOKUP($D$3,Calcs!$A$110:$B$122,2,TRUE),VLOOKUP($D$3-(IF((Character!$B$9+W1501)&gt;($D$3+Y1501),(Character!$B$9+W1501)-($D$3+Y1501),0)),Calcs!$A$110:$B$122,2,TRUE)))))</f>
        <v xml:space="preserve"> </v>
      </c>
      <c r="AE1501" s="490"/>
      <c r="AF1501" s="879"/>
      <c r="AG1501" s="491"/>
    </row>
    <row r="1502" spans="1:33" x14ac:dyDescent="0.2">
      <c r="A1502" s="415">
        <f t="shared" si="46"/>
        <v>1585</v>
      </c>
      <c r="B1502" s="419" t="str">
        <f t="shared" si="47"/>
        <v>Summer</v>
      </c>
      <c r="C1502" s="455"/>
      <c r="D1502" s="504"/>
      <c r="E1502" s="455"/>
      <c r="F1502" s="504"/>
      <c r="G1502" s="455"/>
      <c r="H1502" s="504"/>
      <c r="I1502" s="455"/>
      <c r="J1502" s="504"/>
      <c r="L1502" s="472"/>
      <c r="M1502" s="468"/>
      <c r="N1502" s="468"/>
      <c r="O1502" s="468"/>
      <c r="P1502" s="468"/>
      <c r="Q1502" s="473"/>
      <c r="R1502" s="477" t="str">
        <f>IF(AND(COUNTIF('Start Character'!$I$63:$M$77,"Twilight Prone")=1,NOT(ISERROR(FIND("Magical Botch",M1502)))),"Yes",IF(P1502&gt;1,"Yes","No"))</f>
        <v>No</v>
      </c>
      <c r="S1502" s="501"/>
      <c r="T1502" s="478"/>
      <c r="U1502" s="501"/>
      <c r="V1502" s="479" t="str">
        <f>IF(R1502="No","No Twilight",IF(T1502="Yes","Uncomprehended Twilight",IF((Character!$B$14+IF(Character!$B$53="Yes",0,Character!$B$53)+IF(Magic!$C$5="Yes",2,0)+ROUNDUP((Magic!$B$30+IF(Magic!$C$30="Yes",3,0))/5,0)+S1502)&gt;=($D$3+P1502+SUMIF(Character!$I$62:$I$66,"Enigmatic Wisdom",Character!$J$62:$J$66)+Q1502+U1502),"No Twilight","Twilight")))</f>
        <v>No Twilight</v>
      </c>
      <c r="W1502" s="483"/>
      <c r="X1502" s="478"/>
      <c r="Y1502" s="484"/>
      <c r="Z1502" s="478"/>
      <c r="AA1502" s="485" t="str">
        <f>IF(V1502="Uncomprehended Twilight","Failed",IF(OR(ISBLANK(W1502),ISBLANK(Y1502))," ",IF(NOT(ISBLANK(X1502)),"Failed",IF((W1502+Character!$B$9+SUMIF(Character!$I$62:$I$66,"Enigmatic Wisdom",Character!$J$62:$J$66))&gt;=IF(Z1502="Yes",0,(Y1502+D1497)),"Succeeded","Failed"))))</f>
        <v xml:space="preserve"> </v>
      </c>
      <c r="AB1502" s="477" t="str">
        <f>IF(AA1502=" "," ",IF(NOT(ISBLANK(X1502)),VLOOKUP($D$3+X1502,Calcs!$A$110:$C$122,3,TRUE),IF(AA1502="Failed",VLOOKUP($D$3,Calcs!$A$110:$C$122,3,TRUE),VLOOKUP($D$3-(IF((Character!$B$9+W1502)&gt;($D$3+Y1502),(Character!$B$9+W1502)-($D$3+Y1502),0)),Calcs!$A$110:$C$122,3,TRUE))))</f>
        <v xml:space="preserve"> </v>
      </c>
      <c r="AC1502" s="489"/>
      <c r="AD1502" s="489" t="str">
        <f>IF(IF(AA1502=" "," ",IF(NOT(ISBLANK(X1502)),VLOOKUP($D$3+X1502,Calcs!$A$110:$B$122,2,TRUE),IF(AA1502="Failed",VLOOKUP($D$3,Calcs!$A$110:$B$122,2,TRUE),VLOOKUP($D$3-(IF((Character!$B$9+W1502)&gt;($D$3+Y1502),(Character!$B$9+W1502)-($D$3+Y1502),0)),Calcs!$A$110:$B$122,2,TRUE))))=Calcs!$B$120,IF(ISBLANK(AC1502)," ",CONCATENATE(AC1502+7," Years")),IF(AA1502=" "," ",IF(NOT(ISBLANK(X1502)),VLOOKUP($D$3+X1502,Calcs!$A$110:$B$122,2,TRUE),IF(AA1502="Failed",VLOOKUP($D$3,Calcs!$A$110:$B$122,2,TRUE),VLOOKUP($D$3-(IF((Character!$B$9+W1502)&gt;($D$3+Y1502),(Character!$B$9+W1502)-($D$3+Y1502),0)),Calcs!$A$110:$B$122,2,TRUE)))))</f>
        <v xml:space="preserve"> </v>
      </c>
      <c r="AE1502" s="490"/>
      <c r="AF1502" s="879"/>
      <c r="AG1502" s="491"/>
    </row>
    <row r="1503" spans="1:33" x14ac:dyDescent="0.2">
      <c r="A1503" s="415">
        <f t="shared" si="46"/>
        <v>1585</v>
      </c>
      <c r="B1503" s="419" t="str">
        <f t="shared" si="47"/>
        <v>Autumn</v>
      </c>
      <c r="C1503" s="455"/>
      <c r="D1503" s="504"/>
      <c r="E1503" s="455"/>
      <c r="F1503" s="504"/>
      <c r="G1503" s="455"/>
      <c r="H1503" s="504"/>
      <c r="I1503" s="455"/>
      <c r="J1503" s="504"/>
      <c r="L1503" s="472"/>
      <c r="M1503" s="468"/>
      <c r="N1503" s="468"/>
      <c r="O1503" s="468"/>
      <c r="P1503" s="468"/>
      <c r="Q1503" s="473"/>
      <c r="R1503" s="477" t="str">
        <f>IF(AND(COUNTIF('Start Character'!$I$63:$M$77,"Twilight Prone")=1,NOT(ISERROR(FIND("Magical Botch",M1503)))),"Yes",IF(P1503&gt;1,"Yes","No"))</f>
        <v>No</v>
      </c>
      <c r="S1503" s="501"/>
      <c r="T1503" s="478"/>
      <c r="U1503" s="501"/>
      <c r="V1503" s="479" t="str">
        <f>IF(R1503="No","No Twilight",IF(T1503="Yes","Uncomprehended Twilight",IF((Character!$B$14+IF(Character!$B$53="Yes",0,Character!$B$53)+IF(Magic!$C$5="Yes",2,0)+ROUNDUP((Magic!$B$30+IF(Magic!$C$30="Yes",3,0))/5,0)+S1503)&gt;=($D$3+P1503+SUMIF(Character!$I$62:$I$66,"Enigmatic Wisdom",Character!$J$62:$J$66)+Q1503+U1503),"No Twilight","Twilight")))</f>
        <v>No Twilight</v>
      </c>
      <c r="W1503" s="483"/>
      <c r="X1503" s="478"/>
      <c r="Y1503" s="484"/>
      <c r="Z1503" s="478"/>
      <c r="AA1503" s="485" t="str">
        <f>IF(V1503="Uncomprehended Twilight","Failed",IF(OR(ISBLANK(W1503),ISBLANK(Y1503))," ",IF(NOT(ISBLANK(X1503)),"Failed",IF((W1503+Character!$B$9+SUMIF(Character!$I$62:$I$66,"Enigmatic Wisdom",Character!$J$62:$J$66))&gt;=IF(Z1503="Yes",0,(Y1503+D1498)),"Succeeded","Failed"))))</f>
        <v xml:space="preserve"> </v>
      </c>
      <c r="AB1503" s="477" t="str">
        <f>IF(AA1503=" "," ",IF(NOT(ISBLANK(X1503)),VLOOKUP($D$3+X1503,Calcs!$A$110:$C$122,3,TRUE),IF(AA1503="Failed",VLOOKUP($D$3,Calcs!$A$110:$C$122,3,TRUE),VLOOKUP($D$3-(IF((Character!$B$9+W1503)&gt;($D$3+Y1503),(Character!$B$9+W1503)-($D$3+Y1503),0)),Calcs!$A$110:$C$122,3,TRUE))))</f>
        <v xml:space="preserve"> </v>
      </c>
      <c r="AC1503" s="489"/>
      <c r="AD1503" s="489" t="str">
        <f>IF(IF(AA1503=" "," ",IF(NOT(ISBLANK(X1503)),VLOOKUP($D$3+X1503,Calcs!$A$110:$B$122,2,TRUE),IF(AA1503="Failed",VLOOKUP($D$3,Calcs!$A$110:$B$122,2,TRUE),VLOOKUP($D$3-(IF((Character!$B$9+W1503)&gt;($D$3+Y1503),(Character!$B$9+W1503)-($D$3+Y1503),0)),Calcs!$A$110:$B$122,2,TRUE))))=Calcs!$B$120,IF(ISBLANK(AC1503)," ",CONCATENATE(AC1503+7," Years")),IF(AA1503=" "," ",IF(NOT(ISBLANK(X1503)),VLOOKUP($D$3+X1503,Calcs!$A$110:$B$122,2,TRUE),IF(AA1503="Failed",VLOOKUP($D$3,Calcs!$A$110:$B$122,2,TRUE),VLOOKUP($D$3-(IF((Character!$B$9+W1503)&gt;($D$3+Y1503),(Character!$B$9+W1503)-($D$3+Y1503),0)),Calcs!$A$110:$B$122,2,TRUE)))))</f>
        <v xml:space="preserve"> </v>
      </c>
      <c r="AE1503" s="490"/>
      <c r="AF1503" s="879"/>
      <c r="AG1503" s="491"/>
    </row>
    <row r="1504" spans="1:33" x14ac:dyDescent="0.2">
      <c r="A1504" s="415">
        <f t="shared" si="46"/>
        <v>1586</v>
      </c>
      <c r="B1504" s="419" t="str">
        <f t="shared" si="47"/>
        <v>Winter</v>
      </c>
      <c r="C1504" s="455"/>
      <c r="D1504" s="504"/>
      <c r="E1504" s="455"/>
      <c r="F1504" s="504"/>
      <c r="G1504" s="455"/>
      <c r="H1504" s="504"/>
      <c r="I1504" s="455"/>
      <c r="J1504" s="504"/>
      <c r="L1504" s="472"/>
      <c r="M1504" s="468"/>
      <c r="N1504" s="468"/>
      <c r="O1504" s="468"/>
      <c r="P1504" s="468"/>
      <c r="Q1504" s="473"/>
      <c r="R1504" s="477" t="str">
        <f>IF(AND(COUNTIF('Start Character'!$I$63:$M$77,"Twilight Prone")=1,NOT(ISERROR(FIND("Magical Botch",M1504)))),"Yes",IF(P1504&gt;1,"Yes","No"))</f>
        <v>No</v>
      </c>
      <c r="S1504" s="501"/>
      <c r="T1504" s="478"/>
      <c r="U1504" s="501"/>
      <c r="V1504" s="479" t="str">
        <f>IF(R1504="No","No Twilight",IF(T1504="Yes","Uncomprehended Twilight",IF((Character!$B$14+IF(Character!$B$53="Yes",0,Character!$B$53)+IF(Magic!$C$5="Yes",2,0)+ROUNDUP((Magic!$B$30+IF(Magic!$C$30="Yes",3,0))/5,0)+S1504)&gt;=($D$3+P1504+SUMIF(Character!$I$62:$I$66,"Enigmatic Wisdom",Character!$J$62:$J$66)+Q1504+U1504),"No Twilight","Twilight")))</f>
        <v>No Twilight</v>
      </c>
      <c r="W1504" s="483"/>
      <c r="X1504" s="478"/>
      <c r="Y1504" s="484"/>
      <c r="Z1504" s="478"/>
      <c r="AA1504" s="485" t="str">
        <f>IF(V1504="Uncomprehended Twilight","Failed",IF(OR(ISBLANK(W1504),ISBLANK(Y1504))," ",IF(NOT(ISBLANK(X1504)),"Failed",IF((W1504+Character!$B$9+SUMIF(Character!$I$62:$I$66,"Enigmatic Wisdom",Character!$J$62:$J$66))&gt;=IF(Z1504="Yes",0,(Y1504+D1499)),"Succeeded","Failed"))))</f>
        <v xml:space="preserve"> </v>
      </c>
      <c r="AB1504" s="477" t="str">
        <f>IF(AA1504=" "," ",IF(NOT(ISBLANK(X1504)),VLOOKUP($D$3+X1504,Calcs!$A$110:$C$122,3,TRUE),IF(AA1504="Failed",VLOOKUP($D$3,Calcs!$A$110:$C$122,3,TRUE),VLOOKUP($D$3-(IF((Character!$B$9+W1504)&gt;($D$3+Y1504),(Character!$B$9+W1504)-($D$3+Y1504),0)),Calcs!$A$110:$C$122,3,TRUE))))</f>
        <v xml:space="preserve"> </v>
      </c>
      <c r="AC1504" s="489"/>
      <c r="AD1504" s="489" t="str">
        <f>IF(IF(AA1504=" "," ",IF(NOT(ISBLANK(X1504)),VLOOKUP($D$3+X1504,Calcs!$A$110:$B$122,2,TRUE),IF(AA1504="Failed",VLOOKUP($D$3,Calcs!$A$110:$B$122,2,TRUE),VLOOKUP($D$3-(IF((Character!$B$9+W1504)&gt;($D$3+Y1504),(Character!$B$9+W1504)-($D$3+Y1504),0)),Calcs!$A$110:$B$122,2,TRUE))))=Calcs!$B$120,IF(ISBLANK(AC1504)," ",CONCATENATE(AC1504+7," Years")),IF(AA1504=" "," ",IF(NOT(ISBLANK(X1504)),VLOOKUP($D$3+X1504,Calcs!$A$110:$B$122,2,TRUE),IF(AA1504="Failed",VLOOKUP($D$3,Calcs!$A$110:$B$122,2,TRUE),VLOOKUP($D$3-(IF((Character!$B$9+W1504)&gt;($D$3+Y1504),(Character!$B$9+W1504)-($D$3+Y1504),0)),Calcs!$A$110:$B$122,2,TRUE)))))</f>
        <v xml:space="preserve"> </v>
      </c>
      <c r="AE1504" s="490"/>
      <c r="AF1504" s="879"/>
      <c r="AG1504" s="491"/>
    </row>
    <row r="1505" spans="1:33" x14ac:dyDescent="0.2">
      <c r="A1505" s="415">
        <f t="shared" si="46"/>
        <v>1586</v>
      </c>
      <c r="B1505" s="419" t="str">
        <f t="shared" si="47"/>
        <v>Spring</v>
      </c>
      <c r="C1505" s="455"/>
      <c r="D1505" s="504"/>
      <c r="E1505" s="455"/>
      <c r="F1505" s="504"/>
      <c r="G1505" s="455"/>
      <c r="H1505" s="504"/>
      <c r="I1505" s="455"/>
      <c r="J1505" s="504"/>
      <c r="L1505" s="472"/>
      <c r="M1505" s="468"/>
      <c r="N1505" s="468"/>
      <c r="O1505" s="468"/>
      <c r="P1505" s="468"/>
      <c r="Q1505" s="473"/>
      <c r="R1505" s="477" t="str">
        <f>IF(AND(COUNTIF('Start Character'!$I$63:$M$77,"Twilight Prone")=1,NOT(ISERROR(FIND("Magical Botch",M1505)))),"Yes",IF(P1505&gt;1,"Yes","No"))</f>
        <v>No</v>
      </c>
      <c r="S1505" s="501"/>
      <c r="T1505" s="478"/>
      <c r="U1505" s="501"/>
      <c r="V1505" s="479" t="str">
        <f>IF(R1505="No","No Twilight",IF(T1505="Yes","Uncomprehended Twilight",IF((Character!$B$14+IF(Character!$B$53="Yes",0,Character!$B$53)+IF(Magic!$C$5="Yes",2,0)+ROUNDUP((Magic!$B$30+IF(Magic!$C$30="Yes",3,0))/5,0)+S1505)&gt;=($D$3+P1505+SUMIF(Character!$I$62:$I$66,"Enigmatic Wisdom",Character!$J$62:$J$66)+Q1505+U1505),"No Twilight","Twilight")))</f>
        <v>No Twilight</v>
      </c>
      <c r="W1505" s="483"/>
      <c r="X1505" s="478"/>
      <c r="Y1505" s="484"/>
      <c r="Z1505" s="478"/>
      <c r="AA1505" s="485" t="str">
        <f>IF(V1505="Uncomprehended Twilight","Failed",IF(OR(ISBLANK(W1505),ISBLANK(Y1505))," ",IF(NOT(ISBLANK(X1505)),"Failed",IF((W1505+Character!$B$9+SUMIF(Character!$I$62:$I$66,"Enigmatic Wisdom",Character!$J$62:$J$66))&gt;=IF(Z1505="Yes",0,(Y1505+D1500)),"Succeeded","Failed"))))</f>
        <v xml:space="preserve"> </v>
      </c>
      <c r="AB1505" s="477" t="str">
        <f>IF(AA1505=" "," ",IF(NOT(ISBLANK(X1505)),VLOOKUP($D$3+X1505,Calcs!$A$110:$C$122,3,TRUE),IF(AA1505="Failed",VLOOKUP($D$3,Calcs!$A$110:$C$122,3,TRUE),VLOOKUP($D$3-(IF((Character!$B$9+W1505)&gt;($D$3+Y1505),(Character!$B$9+W1505)-($D$3+Y1505),0)),Calcs!$A$110:$C$122,3,TRUE))))</f>
        <v xml:space="preserve"> </v>
      </c>
      <c r="AC1505" s="489"/>
      <c r="AD1505" s="489" t="str">
        <f>IF(IF(AA1505=" "," ",IF(NOT(ISBLANK(X1505)),VLOOKUP($D$3+X1505,Calcs!$A$110:$B$122,2,TRUE),IF(AA1505="Failed",VLOOKUP($D$3,Calcs!$A$110:$B$122,2,TRUE),VLOOKUP($D$3-(IF((Character!$B$9+W1505)&gt;($D$3+Y1505),(Character!$B$9+W1505)-($D$3+Y1505),0)),Calcs!$A$110:$B$122,2,TRUE))))=Calcs!$B$120,IF(ISBLANK(AC1505)," ",CONCATENATE(AC1505+7," Years")),IF(AA1505=" "," ",IF(NOT(ISBLANK(X1505)),VLOOKUP($D$3+X1505,Calcs!$A$110:$B$122,2,TRUE),IF(AA1505="Failed",VLOOKUP($D$3,Calcs!$A$110:$B$122,2,TRUE),VLOOKUP($D$3-(IF((Character!$B$9+W1505)&gt;($D$3+Y1505),(Character!$B$9+W1505)-($D$3+Y1505),0)),Calcs!$A$110:$B$122,2,TRUE)))))</f>
        <v xml:space="preserve"> </v>
      </c>
      <c r="AE1505" s="490"/>
      <c r="AF1505" s="879"/>
      <c r="AG1505" s="491"/>
    </row>
    <row r="1506" spans="1:33" x14ac:dyDescent="0.2">
      <c r="A1506" s="415">
        <f t="shared" si="46"/>
        <v>1586</v>
      </c>
      <c r="B1506" s="419" t="str">
        <f t="shared" si="47"/>
        <v>Summer</v>
      </c>
      <c r="C1506" s="455"/>
      <c r="D1506" s="504"/>
      <c r="E1506" s="455"/>
      <c r="F1506" s="504"/>
      <c r="G1506" s="455"/>
      <c r="H1506" s="504"/>
      <c r="I1506" s="455"/>
      <c r="J1506" s="504"/>
      <c r="L1506" s="472"/>
      <c r="M1506" s="468"/>
      <c r="N1506" s="468"/>
      <c r="O1506" s="468"/>
      <c r="P1506" s="468"/>
      <c r="Q1506" s="473"/>
      <c r="R1506" s="477" t="str">
        <f>IF(AND(COUNTIF('Start Character'!$I$63:$M$77,"Twilight Prone")=1,NOT(ISERROR(FIND("Magical Botch",M1506)))),"Yes",IF(P1506&gt;1,"Yes","No"))</f>
        <v>No</v>
      </c>
      <c r="S1506" s="501"/>
      <c r="T1506" s="478"/>
      <c r="U1506" s="501"/>
      <c r="V1506" s="479" t="str">
        <f>IF(R1506="No","No Twilight",IF(T1506="Yes","Uncomprehended Twilight",IF((Character!$B$14+IF(Character!$B$53="Yes",0,Character!$B$53)+IF(Magic!$C$5="Yes",2,0)+ROUNDUP((Magic!$B$30+IF(Magic!$C$30="Yes",3,0))/5,0)+S1506)&gt;=($D$3+P1506+SUMIF(Character!$I$62:$I$66,"Enigmatic Wisdom",Character!$J$62:$J$66)+Q1506+U1506),"No Twilight","Twilight")))</f>
        <v>No Twilight</v>
      </c>
      <c r="W1506" s="483"/>
      <c r="X1506" s="478"/>
      <c r="Y1506" s="484"/>
      <c r="Z1506" s="478"/>
      <c r="AA1506" s="485" t="str">
        <f>IF(V1506="Uncomprehended Twilight","Failed",IF(OR(ISBLANK(W1506),ISBLANK(Y1506))," ",IF(NOT(ISBLANK(X1506)),"Failed",IF((W1506+Character!$B$9+SUMIF(Character!$I$62:$I$66,"Enigmatic Wisdom",Character!$J$62:$J$66))&gt;=IF(Z1506="Yes",0,(Y1506+D1501)),"Succeeded","Failed"))))</f>
        <v xml:space="preserve"> </v>
      </c>
      <c r="AB1506" s="477" t="str">
        <f>IF(AA1506=" "," ",IF(NOT(ISBLANK(X1506)),VLOOKUP($D$3+X1506,Calcs!$A$110:$C$122,3,TRUE),IF(AA1506="Failed",VLOOKUP($D$3,Calcs!$A$110:$C$122,3,TRUE),VLOOKUP($D$3-(IF((Character!$B$9+W1506)&gt;($D$3+Y1506),(Character!$B$9+W1506)-($D$3+Y1506),0)),Calcs!$A$110:$C$122,3,TRUE))))</f>
        <v xml:space="preserve"> </v>
      </c>
      <c r="AC1506" s="489"/>
      <c r="AD1506" s="489" t="str">
        <f>IF(IF(AA1506=" "," ",IF(NOT(ISBLANK(X1506)),VLOOKUP($D$3+X1506,Calcs!$A$110:$B$122,2,TRUE),IF(AA1506="Failed",VLOOKUP($D$3,Calcs!$A$110:$B$122,2,TRUE),VLOOKUP($D$3-(IF((Character!$B$9+W1506)&gt;($D$3+Y1506),(Character!$B$9+W1506)-($D$3+Y1506),0)),Calcs!$A$110:$B$122,2,TRUE))))=Calcs!$B$120,IF(ISBLANK(AC1506)," ",CONCATENATE(AC1506+7," Years")),IF(AA1506=" "," ",IF(NOT(ISBLANK(X1506)),VLOOKUP($D$3+X1506,Calcs!$A$110:$B$122,2,TRUE),IF(AA1506="Failed",VLOOKUP($D$3,Calcs!$A$110:$B$122,2,TRUE),VLOOKUP($D$3-(IF((Character!$B$9+W1506)&gt;($D$3+Y1506),(Character!$B$9+W1506)-($D$3+Y1506),0)),Calcs!$A$110:$B$122,2,TRUE)))))</f>
        <v xml:space="preserve"> </v>
      </c>
      <c r="AE1506" s="490"/>
      <c r="AF1506" s="879"/>
      <c r="AG1506" s="491"/>
    </row>
    <row r="1507" spans="1:33" x14ac:dyDescent="0.2">
      <c r="A1507" s="415">
        <f t="shared" si="46"/>
        <v>1586</v>
      </c>
      <c r="B1507" s="419" t="str">
        <f t="shared" si="47"/>
        <v>Autumn</v>
      </c>
      <c r="C1507" s="455"/>
      <c r="D1507" s="504"/>
      <c r="E1507" s="455"/>
      <c r="F1507" s="504"/>
      <c r="G1507" s="455"/>
      <c r="H1507" s="504"/>
      <c r="I1507" s="455"/>
      <c r="J1507" s="504"/>
      <c r="L1507" s="472"/>
      <c r="M1507" s="468"/>
      <c r="N1507" s="468"/>
      <c r="O1507" s="468"/>
      <c r="P1507" s="468"/>
      <c r="Q1507" s="473"/>
      <c r="R1507" s="477" t="str">
        <f>IF(AND(COUNTIF('Start Character'!$I$63:$M$77,"Twilight Prone")=1,NOT(ISERROR(FIND("Magical Botch",M1507)))),"Yes",IF(P1507&gt;1,"Yes","No"))</f>
        <v>No</v>
      </c>
      <c r="S1507" s="501"/>
      <c r="T1507" s="478"/>
      <c r="U1507" s="501"/>
      <c r="V1507" s="479" t="str">
        <f>IF(R1507="No","No Twilight",IF(T1507="Yes","Uncomprehended Twilight",IF((Character!$B$14+IF(Character!$B$53="Yes",0,Character!$B$53)+IF(Magic!$C$5="Yes",2,0)+ROUNDUP((Magic!$B$30+IF(Magic!$C$30="Yes",3,0))/5,0)+S1507)&gt;=($D$3+P1507+SUMIF(Character!$I$62:$I$66,"Enigmatic Wisdom",Character!$J$62:$J$66)+Q1507+U1507),"No Twilight","Twilight")))</f>
        <v>No Twilight</v>
      </c>
      <c r="W1507" s="483"/>
      <c r="X1507" s="478"/>
      <c r="Y1507" s="484"/>
      <c r="Z1507" s="478"/>
      <c r="AA1507" s="485" t="str">
        <f>IF(V1507="Uncomprehended Twilight","Failed",IF(OR(ISBLANK(W1507),ISBLANK(Y1507))," ",IF(NOT(ISBLANK(X1507)),"Failed",IF((W1507+Character!$B$9+SUMIF(Character!$I$62:$I$66,"Enigmatic Wisdom",Character!$J$62:$J$66))&gt;=IF(Z1507="Yes",0,(Y1507+D1502)),"Succeeded","Failed"))))</f>
        <v xml:space="preserve"> </v>
      </c>
      <c r="AB1507" s="477" t="str">
        <f>IF(AA1507=" "," ",IF(NOT(ISBLANK(X1507)),VLOOKUP($D$3+X1507,Calcs!$A$110:$C$122,3,TRUE),IF(AA1507="Failed",VLOOKUP($D$3,Calcs!$A$110:$C$122,3,TRUE),VLOOKUP($D$3-(IF((Character!$B$9+W1507)&gt;($D$3+Y1507),(Character!$B$9+W1507)-($D$3+Y1507),0)),Calcs!$A$110:$C$122,3,TRUE))))</f>
        <v xml:space="preserve"> </v>
      </c>
      <c r="AC1507" s="489"/>
      <c r="AD1507" s="489" t="str">
        <f>IF(IF(AA1507=" "," ",IF(NOT(ISBLANK(X1507)),VLOOKUP($D$3+X1507,Calcs!$A$110:$B$122,2,TRUE),IF(AA1507="Failed",VLOOKUP($D$3,Calcs!$A$110:$B$122,2,TRUE),VLOOKUP($D$3-(IF((Character!$B$9+W1507)&gt;($D$3+Y1507),(Character!$B$9+W1507)-($D$3+Y1507),0)),Calcs!$A$110:$B$122,2,TRUE))))=Calcs!$B$120,IF(ISBLANK(AC1507)," ",CONCATENATE(AC1507+7," Years")),IF(AA1507=" "," ",IF(NOT(ISBLANK(X1507)),VLOOKUP($D$3+X1507,Calcs!$A$110:$B$122,2,TRUE),IF(AA1507="Failed",VLOOKUP($D$3,Calcs!$A$110:$B$122,2,TRUE),VLOOKUP($D$3-(IF((Character!$B$9+W1507)&gt;($D$3+Y1507),(Character!$B$9+W1507)-($D$3+Y1507),0)),Calcs!$A$110:$B$122,2,TRUE)))))</f>
        <v xml:space="preserve"> </v>
      </c>
      <c r="AE1507" s="490"/>
      <c r="AF1507" s="879"/>
      <c r="AG1507" s="491"/>
    </row>
    <row r="1508" spans="1:33" x14ac:dyDescent="0.2">
      <c r="A1508" s="415">
        <f t="shared" si="46"/>
        <v>1587</v>
      </c>
      <c r="B1508" s="419" t="str">
        <f t="shared" si="47"/>
        <v>Winter</v>
      </c>
      <c r="C1508" s="455"/>
      <c r="D1508" s="504"/>
      <c r="E1508" s="455"/>
      <c r="F1508" s="504"/>
      <c r="G1508" s="455"/>
      <c r="H1508" s="504"/>
      <c r="I1508" s="455"/>
      <c r="J1508" s="504"/>
      <c r="L1508" s="472"/>
      <c r="M1508" s="468"/>
      <c r="N1508" s="468"/>
      <c r="O1508" s="468"/>
      <c r="P1508" s="468"/>
      <c r="Q1508" s="473"/>
      <c r="R1508" s="477" t="str">
        <f>IF(AND(COUNTIF('Start Character'!$I$63:$M$77,"Twilight Prone")=1,NOT(ISERROR(FIND("Magical Botch",M1508)))),"Yes",IF(P1508&gt;1,"Yes","No"))</f>
        <v>No</v>
      </c>
      <c r="S1508" s="501"/>
      <c r="T1508" s="478"/>
      <c r="U1508" s="501"/>
      <c r="V1508" s="479" t="str">
        <f>IF(R1508="No","No Twilight",IF(T1508="Yes","Uncomprehended Twilight",IF((Character!$B$14+IF(Character!$B$53="Yes",0,Character!$B$53)+IF(Magic!$C$5="Yes",2,0)+ROUNDUP((Magic!$B$30+IF(Magic!$C$30="Yes",3,0))/5,0)+S1508)&gt;=($D$3+P1508+SUMIF(Character!$I$62:$I$66,"Enigmatic Wisdom",Character!$J$62:$J$66)+Q1508+U1508),"No Twilight","Twilight")))</f>
        <v>No Twilight</v>
      </c>
      <c r="W1508" s="483"/>
      <c r="X1508" s="478"/>
      <c r="Y1508" s="484"/>
      <c r="Z1508" s="478"/>
      <c r="AA1508" s="485" t="str">
        <f>IF(V1508="Uncomprehended Twilight","Failed",IF(OR(ISBLANK(W1508),ISBLANK(Y1508))," ",IF(NOT(ISBLANK(X1508)),"Failed",IF((W1508+Character!$B$9+SUMIF(Character!$I$62:$I$66,"Enigmatic Wisdom",Character!$J$62:$J$66))&gt;=IF(Z1508="Yes",0,(Y1508+D1503)),"Succeeded","Failed"))))</f>
        <v xml:space="preserve"> </v>
      </c>
      <c r="AB1508" s="477" t="str">
        <f>IF(AA1508=" "," ",IF(NOT(ISBLANK(X1508)),VLOOKUP($D$3+X1508,Calcs!$A$110:$C$122,3,TRUE),IF(AA1508="Failed",VLOOKUP($D$3,Calcs!$A$110:$C$122,3,TRUE),VLOOKUP($D$3-(IF((Character!$B$9+W1508)&gt;($D$3+Y1508),(Character!$B$9+W1508)-($D$3+Y1508),0)),Calcs!$A$110:$C$122,3,TRUE))))</f>
        <v xml:space="preserve"> </v>
      </c>
      <c r="AC1508" s="489"/>
      <c r="AD1508" s="489" t="str">
        <f>IF(IF(AA1508=" "," ",IF(NOT(ISBLANK(X1508)),VLOOKUP($D$3+X1508,Calcs!$A$110:$B$122,2,TRUE),IF(AA1508="Failed",VLOOKUP($D$3,Calcs!$A$110:$B$122,2,TRUE),VLOOKUP($D$3-(IF((Character!$B$9+W1508)&gt;($D$3+Y1508),(Character!$B$9+W1508)-($D$3+Y1508),0)),Calcs!$A$110:$B$122,2,TRUE))))=Calcs!$B$120,IF(ISBLANK(AC1508)," ",CONCATENATE(AC1508+7," Years")),IF(AA1508=" "," ",IF(NOT(ISBLANK(X1508)),VLOOKUP($D$3+X1508,Calcs!$A$110:$B$122,2,TRUE),IF(AA1508="Failed",VLOOKUP($D$3,Calcs!$A$110:$B$122,2,TRUE),VLOOKUP($D$3-(IF((Character!$B$9+W1508)&gt;($D$3+Y1508),(Character!$B$9+W1508)-($D$3+Y1508),0)),Calcs!$A$110:$B$122,2,TRUE)))))</f>
        <v xml:space="preserve"> </v>
      </c>
      <c r="AE1508" s="490"/>
      <c r="AF1508" s="879"/>
      <c r="AG1508" s="491"/>
    </row>
    <row r="1509" spans="1:33" x14ac:dyDescent="0.2">
      <c r="A1509" s="415">
        <f t="shared" si="46"/>
        <v>1587</v>
      </c>
      <c r="B1509" s="419" t="str">
        <f t="shared" si="47"/>
        <v>Spring</v>
      </c>
      <c r="C1509" s="455"/>
      <c r="D1509" s="504"/>
      <c r="E1509" s="455"/>
      <c r="F1509" s="504"/>
      <c r="G1509" s="455"/>
      <c r="H1509" s="504"/>
      <c r="I1509" s="455"/>
      <c r="J1509" s="504"/>
      <c r="L1509" s="472"/>
      <c r="M1509" s="468"/>
      <c r="N1509" s="468"/>
      <c r="O1509" s="468"/>
      <c r="P1509" s="468"/>
      <c r="Q1509" s="473"/>
      <c r="R1509" s="477" t="str">
        <f>IF(AND(COUNTIF('Start Character'!$I$63:$M$77,"Twilight Prone")=1,NOT(ISERROR(FIND("Magical Botch",M1509)))),"Yes",IF(P1509&gt;1,"Yes","No"))</f>
        <v>No</v>
      </c>
      <c r="S1509" s="501"/>
      <c r="T1509" s="478"/>
      <c r="U1509" s="501"/>
      <c r="V1509" s="479" t="str">
        <f>IF(R1509="No","No Twilight",IF(T1509="Yes","Uncomprehended Twilight",IF((Character!$B$14+IF(Character!$B$53="Yes",0,Character!$B$53)+IF(Magic!$C$5="Yes",2,0)+ROUNDUP((Magic!$B$30+IF(Magic!$C$30="Yes",3,0))/5,0)+S1509)&gt;=($D$3+P1509+SUMIF(Character!$I$62:$I$66,"Enigmatic Wisdom",Character!$J$62:$J$66)+Q1509+U1509),"No Twilight","Twilight")))</f>
        <v>No Twilight</v>
      </c>
      <c r="W1509" s="483"/>
      <c r="X1509" s="478"/>
      <c r="Y1509" s="484"/>
      <c r="Z1509" s="478"/>
      <c r="AA1509" s="485" t="str">
        <f>IF(V1509="Uncomprehended Twilight","Failed",IF(OR(ISBLANK(W1509),ISBLANK(Y1509))," ",IF(NOT(ISBLANK(X1509)),"Failed",IF((W1509+Character!$B$9+SUMIF(Character!$I$62:$I$66,"Enigmatic Wisdom",Character!$J$62:$J$66))&gt;=IF(Z1509="Yes",0,(Y1509+D1504)),"Succeeded","Failed"))))</f>
        <v xml:space="preserve"> </v>
      </c>
      <c r="AB1509" s="477" t="str">
        <f>IF(AA1509=" "," ",IF(NOT(ISBLANK(X1509)),VLOOKUP($D$3+X1509,Calcs!$A$110:$C$122,3,TRUE),IF(AA1509="Failed",VLOOKUP($D$3,Calcs!$A$110:$C$122,3,TRUE),VLOOKUP($D$3-(IF((Character!$B$9+W1509)&gt;($D$3+Y1509),(Character!$B$9+W1509)-($D$3+Y1509),0)),Calcs!$A$110:$C$122,3,TRUE))))</f>
        <v xml:space="preserve"> </v>
      </c>
      <c r="AC1509" s="489"/>
      <c r="AD1509" s="489" t="str">
        <f>IF(IF(AA1509=" "," ",IF(NOT(ISBLANK(X1509)),VLOOKUP($D$3+X1509,Calcs!$A$110:$B$122,2,TRUE),IF(AA1509="Failed",VLOOKUP($D$3,Calcs!$A$110:$B$122,2,TRUE),VLOOKUP($D$3-(IF((Character!$B$9+W1509)&gt;($D$3+Y1509),(Character!$B$9+W1509)-($D$3+Y1509),0)),Calcs!$A$110:$B$122,2,TRUE))))=Calcs!$B$120,IF(ISBLANK(AC1509)," ",CONCATENATE(AC1509+7," Years")),IF(AA1509=" "," ",IF(NOT(ISBLANK(X1509)),VLOOKUP($D$3+X1509,Calcs!$A$110:$B$122,2,TRUE),IF(AA1509="Failed",VLOOKUP($D$3,Calcs!$A$110:$B$122,2,TRUE),VLOOKUP($D$3-(IF((Character!$B$9+W1509)&gt;($D$3+Y1509),(Character!$B$9+W1509)-($D$3+Y1509),0)),Calcs!$A$110:$B$122,2,TRUE)))))</f>
        <v xml:space="preserve"> </v>
      </c>
      <c r="AE1509" s="490"/>
      <c r="AF1509" s="879"/>
      <c r="AG1509" s="491"/>
    </row>
    <row r="1510" spans="1:33" x14ac:dyDescent="0.2">
      <c r="A1510" s="415">
        <f t="shared" si="46"/>
        <v>1587</v>
      </c>
      <c r="B1510" s="419" t="str">
        <f t="shared" si="47"/>
        <v>Summer</v>
      </c>
      <c r="C1510" s="455"/>
      <c r="D1510" s="504"/>
      <c r="E1510" s="455"/>
      <c r="F1510" s="504"/>
      <c r="G1510" s="455"/>
      <c r="H1510" s="504"/>
      <c r="I1510" s="455"/>
      <c r="J1510" s="504"/>
      <c r="L1510" s="472"/>
      <c r="M1510" s="468"/>
      <c r="N1510" s="468"/>
      <c r="O1510" s="468"/>
      <c r="P1510" s="468"/>
      <c r="Q1510" s="473"/>
      <c r="R1510" s="477" t="str">
        <f>IF(AND(COUNTIF('Start Character'!$I$63:$M$77,"Twilight Prone")=1,NOT(ISERROR(FIND("Magical Botch",M1510)))),"Yes",IF(P1510&gt;1,"Yes","No"))</f>
        <v>No</v>
      </c>
      <c r="S1510" s="501"/>
      <c r="T1510" s="478"/>
      <c r="U1510" s="501"/>
      <c r="V1510" s="479" t="str">
        <f>IF(R1510="No","No Twilight",IF(T1510="Yes","Uncomprehended Twilight",IF((Character!$B$14+IF(Character!$B$53="Yes",0,Character!$B$53)+IF(Magic!$C$5="Yes",2,0)+ROUNDUP((Magic!$B$30+IF(Magic!$C$30="Yes",3,0))/5,0)+S1510)&gt;=($D$3+P1510+SUMIF(Character!$I$62:$I$66,"Enigmatic Wisdom",Character!$J$62:$J$66)+Q1510+U1510),"No Twilight","Twilight")))</f>
        <v>No Twilight</v>
      </c>
      <c r="W1510" s="483"/>
      <c r="X1510" s="478"/>
      <c r="Y1510" s="484"/>
      <c r="Z1510" s="478"/>
      <c r="AA1510" s="485" t="str">
        <f>IF(V1510="Uncomprehended Twilight","Failed",IF(OR(ISBLANK(W1510),ISBLANK(Y1510))," ",IF(NOT(ISBLANK(X1510)),"Failed",IF((W1510+Character!$B$9+SUMIF(Character!$I$62:$I$66,"Enigmatic Wisdom",Character!$J$62:$J$66))&gt;=IF(Z1510="Yes",0,(Y1510+D1505)),"Succeeded","Failed"))))</f>
        <v xml:space="preserve"> </v>
      </c>
      <c r="AB1510" s="477" t="str">
        <f>IF(AA1510=" "," ",IF(NOT(ISBLANK(X1510)),VLOOKUP($D$3+X1510,Calcs!$A$110:$C$122,3,TRUE),IF(AA1510="Failed",VLOOKUP($D$3,Calcs!$A$110:$C$122,3,TRUE),VLOOKUP($D$3-(IF((Character!$B$9+W1510)&gt;($D$3+Y1510),(Character!$B$9+W1510)-($D$3+Y1510),0)),Calcs!$A$110:$C$122,3,TRUE))))</f>
        <v xml:space="preserve"> </v>
      </c>
      <c r="AC1510" s="489"/>
      <c r="AD1510" s="489" t="str">
        <f>IF(IF(AA1510=" "," ",IF(NOT(ISBLANK(X1510)),VLOOKUP($D$3+X1510,Calcs!$A$110:$B$122,2,TRUE),IF(AA1510="Failed",VLOOKUP($D$3,Calcs!$A$110:$B$122,2,TRUE),VLOOKUP($D$3-(IF((Character!$B$9+W1510)&gt;($D$3+Y1510),(Character!$B$9+W1510)-($D$3+Y1510),0)),Calcs!$A$110:$B$122,2,TRUE))))=Calcs!$B$120,IF(ISBLANK(AC1510)," ",CONCATENATE(AC1510+7," Years")),IF(AA1510=" "," ",IF(NOT(ISBLANK(X1510)),VLOOKUP($D$3+X1510,Calcs!$A$110:$B$122,2,TRUE),IF(AA1510="Failed",VLOOKUP($D$3,Calcs!$A$110:$B$122,2,TRUE),VLOOKUP($D$3-(IF((Character!$B$9+W1510)&gt;($D$3+Y1510),(Character!$B$9+W1510)-($D$3+Y1510),0)),Calcs!$A$110:$B$122,2,TRUE)))))</f>
        <v xml:space="preserve"> </v>
      </c>
      <c r="AE1510" s="490"/>
      <c r="AF1510" s="879"/>
      <c r="AG1510" s="491"/>
    </row>
    <row r="1511" spans="1:33" x14ac:dyDescent="0.2">
      <c r="A1511" s="415">
        <f t="shared" si="46"/>
        <v>1587</v>
      </c>
      <c r="B1511" s="419" t="str">
        <f t="shared" si="47"/>
        <v>Autumn</v>
      </c>
      <c r="C1511" s="455"/>
      <c r="D1511" s="504"/>
      <c r="E1511" s="455"/>
      <c r="F1511" s="504"/>
      <c r="G1511" s="455"/>
      <c r="H1511" s="504"/>
      <c r="I1511" s="455"/>
      <c r="J1511" s="504"/>
      <c r="L1511" s="472"/>
      <c r="M1511" s="468"/>
      <c r="N1511" s="468"/>
      <c r="O1511" s="468"/>
      <c r="P1511" s="468"/>
      <c r="Q1511" s="473"/>
      <c r="R1511" s="477" t="str">
        <f>IF(AND(COUNTIF('Start Character'!$I$63:$M$77,"Twilight Prone")=1,NOT(ISERROR(FIND("Magical Botch",M1511)))),"Yes",IF(P1511&gt;1,"Yes","No"))</f>
        <v>No</v>
      </c>
      <c r="S1511" s="501"/>
      <c r="T1511" s="478"/>
      <c r="U1511" s="501"/>
      <c r="V1511" s="479" t="str">
        <f>IF(R1511="No","No Twilight",IF(T1511="Yes","Uncomprehended Twilight",IF((Character!$B$14+IF(Character!$B$53="Yes",0,Character!$B$53)+IF(Magic!$C$5="Yes",2,0)+ROUNDUP((Magic!$B$30+IF(Magic!$C$30="Yes",3,0))/5,0)+S1511)&gt;=($D$3+P1511+SUMIF(Character!$I$62:$I$66,"Enigmatic Wisdom",Character!$J$62:$J$66)+Q1511+U1511),"No Twilight","Twilight")))</f>
        <v>No Twilight</v>
      </c>
      <c r="W1511" s="483"/>
      <c r="X1511" s="478"/>
      <c r="Y1511" s="484"/>
      <c r="Z1511" s="478"/>
      <c r="AA1511" s="485" t="str">
        <f>IF(V1511="Uncomprehended Twilight","Failed",IF(OR(ISBLANK(W1511),ISBLANK(Y1511))," ",IF(NOT(ISBLANK(X1511)),"Failed",IF((W1511+Character!$B$9+SUMIF(Character!$I$62:$I$66,"Enigmatic Wisdom",Character!$J$62:$J$66))&gt;=IF(Z1511="Yes",0,(Y1511+D1506)),"Succeeded","Failed"))))</f>
        <v xml:space="preserve"> </v>
      </c>
      <c r="AB1511" s="477" t="str">
        <f>IF(AA1511=" "," ",IF(NOT(ISBLANK(X1511)),VLOOKUP($D$3+X1511,Calcs!$A$110:$C$122,3,TRUE),IF(AA1511="Failed",VLOOKUP($D$3,Calcs!$A$110:$C$122,3,TRUE),VLOOKUP($D$3-(IF((Character!$B$9+W1511)&gt;($D$3+Y1511),(Character!$B$9+W1511)-($D$3+Y1511),0)),Calcs!$A$110:$C$122,3,TRUE))))</f>
        <v xml:space="preserve"> </v>
      </c>
      <c r="AC1511" s="489"/>
      <c r="AD1511" s="489" t="str">
        <f>IF(IF(AA1511=" "," ",IF(NOT(ISBLANK(X1511)),VLOOKUP($D$3+X1511,Calcs!$A$110:$B$122,2,TRUE),IF(AA1511="Failed",VLOOKUP($D$3,Calcs!$A$110:$B$122,2,TRUE),VLOOKUP($D$3-(IF((Character!$B$9+W1511)&gt;($D$3+Y1511),(Character!$B$9+W1511)-($D$3+Y1511),0)),Calcs!$A$110:$B$122,2,TRUE))))=Calcs!$B$120,IF(ISBLANK(AC1511)," ",CONCATENATE(AC1511+7," Years")),IF(AA1511=" "," ",IF(NOT(ISBLANK(X1511)),VLOOKUP($D$3+X1511,Calcs!$A$110:$B$122,2,TRUE),IF(AA1511="Failed",VLOOKUP($D$3,Calcs!$A$110:$B$122,2,TRUE),VLOOKUP($D$3-(IF((Character!$B$9+W1511)&gt;($D$3+Y1511),(Character!$B$9+W1511)-($D$3+Y1511),0)),Calcs!$A$110:$B$122,2,TRUE)))))</f>
        <v xml:space="preserve"> </v>
      </c>
      <c r="AE1511" s="490"/>
      <c r="AF1511" s="879"/>
      <c r="AG1511" s="491"/>
    </row>
    <row r="1512" spans="1:33" x14ac:dyDescent="0.2">
      <c r="A1512" s="415">
        <f t="shared" si="46"/>
        <v>1588</v>
      </c>
      <c r="B1512" s="419" t="str">
        <f t="shared" si="47"/>
        <v>Winter</v>
      </c>
      <c r="C1512" s="455"/>
      <c r="D1512" s="504"/>
      <c r="E1512" s="455"/>
      <c r="F1512" s="504"/>
      <c r="G1512" s="455"/>
      <c r="H1512" s="504"/>
      <c r="I1512" s="455"/>
      <c r="J1512" s="504"/>
      <c r="L1512" s="472"/>
      <c r="M1512" s="468"/>
      <c r="N1512" s="468"/>
      <c r="O1512" s="468"/>
      <c r="P1512" s="468"/>
      <c r="Q1512" s="473"/>
      <c r="R1512" s="477" t="str">
        <f>IF(AND(COUNTIF('Start Character'!$I$63:$M$77,"Twilight Prone")=1,NOT(ISERROR(FIND("Magical Botch",M1512)))),"Yes",IF(P1512&gt;1,"Yes","No"))</f>
        <v>No</v>
      </c>
      <c r="S1512" s="501"/>
      <c r="T1512" s="478"/>
      <c r="U1512" s="501"/>
      <c r="V1512" s="479" t="str">
        <f>IF(R1512="No","No Twilight",IF(T1512="Yes","Uncomprehended Twilight",IF((Character!$B$14+IF(Character!$B$53="Yes",0,Character!$B$53)+IF(Magic!$C$5="Yes",2,0)+ROUNDUP((Magic!$B$30+IF(Magic!$C$30="Yes",3,0))/5,0)+S1512)&gt;=($D$3+P1512+SUMIF(Character!$I$62:$I$66,"Enigmatic Wisdom",Character!$J$62:$J$66)+Q1512+U1512),"No Twilight","Twilight")))</f>
        <v>No Twilight</v>
      </c>
      <c r="W1512" s="483"/>
      <c r="X1512" s="478"/>
      <c r="Y1512" s="484"/>
      <c r="Z1512" s="478"/>
      <c r="AA1512" s="485" t="str">
        <f>IF(V1512="Uncomprehended Twilight","Failed",IF(OR(ISBLANK(W1512),ISBLANK(Y1512))," ",IF(NOT(ISBLANK(X1512)),"Failed",IF((W1512+Character!$B$9+SUMIF(Character!$I$62:$I$66,"Enigmatic Wisdom",Character!$J$62:$J$66))&gt;=IF(Z1512="Yes",0,(Y1512+D1507)),"Succeeded","Failed"))))</f>
        <v xml:space="preserve"> </v>
      </c>
      <c r="AB1512" s="477" t="str">
        <f>IF(AA1512=" "," ",IF(NOT(ISBLANK(X1512)),VLOOKUP($D$3+X1512,Calcs!$A$110:$C$122,3,TRUE),IF(AA1512="Failed",VLOOKUP($D$3,Calcs!$A$110:$C$122,3,TRUE),VLOOKUP($D$3-(IF((Character!$B$9+W1512)&gt;($D$3+Y1512),(Character!$B$9+W1512)-($D$3+Y1512),0)),Calcs!$A$110:$C$122,3,TRUE))))</f>
        <v xml:space="preserve"> </v>
      </c>
      <c r="AC1512" s="489"/>
      <c r="AD1512" s="489" t="str">
        <f>IF(IF(AA1512=" "," ",IF(NOT(ISBLANK(X1512)),VLOOKUP($D$3+X1512,Calcs!$A$110:$B$122,2,TRUE),IF(AA1512="Failed",VLOOKUP($D$3,Calcs!$A$110:$B$122,2,TRUE),VLOOKUP($D$3-(IF((Character!$B$9+W1512)&gt;($D$3+Y1512),(Character!$B$9+W1512)-($D$3+Y1512),0)),Calcs!$A$110:$B$122,2,TRUE))))=Calcs!$B$120,IF(ISBLANK(AC1512)," ",CONCATENATE(AC1512+7," Years")),IF(AA1512=" "," ",IF(NOT(ISBLANK(X1512)),VLOOKUP($D$3+X1512,Calcs!$A$110:$B$122,2,TRUE),IF(AA1512="Failed",VLOOKUP($D$3,Calcs!$A$110:$B$122,2,TRUE),VLOOKUP($D$3-(IF((Character!$B$9+W1512)&gt;($D$3+Y1512),(Character!$B$9+W1512)-($D$3+Y1512),0)),Calcs!$A$110:$B$122,2,TRUE)))))</f>
        <v xml:space="preserve"> </v>
      </c>
      <c r="AE1512" s="490"/>
      <c r="AF1512" s="879"/>
      <c r="AG1512" s="491"/>
    </row>
    <row r="1513" spans="1:33" x14ac:dyDescent="0.2">
      <c r="A1513" s="415">
        <f t="shared" si="46"/>
        <v>1588</v>
      </c>
      <c r="B1513" s="419" t="str">
        <f t="shared" si="47"/>
        <v>Spring</v>
      </c>
      <c r="C1513" s="455"/>
      <c r="D1513" s="504"/>
      <c r="E1513" s="455"/>
      <c r="F1513" s="504"/>
      <c r="G1513" s="455"/>
      <c r="H1513" s="504"/>
      <c r="I1513" s="455"/>
      <c r="J1513" s="504"/>
      <c r="L1513" s="472"/>
      <c r="M1513" s="468"/>
      <c r="N1513" s="468"/>
      <c r="O1513" s="468"/>
      <c r="P1513" s="468"/>
      <c r="Q1513" s="473"/>
      <c r="R1513" s="477" t="str">
        <f>IF(AND(COUNTIF('Start Character'!$I$63:$M$77,"Twilight Prone")=1,NOT(ISERROR(FIND("Magical Botch",M1513)))),"Yes",IF(P1513&gt;1,"Yes","No"))</f>
        <v>No</v>
      </c>
      <c r="S1513" s="501"/>
      <c r="T1513" s="478"/>
      <c r="U1513" s="501"/>
      <c r="V1513" s="479" t="str">
        <f>IF(R1513="No","No Twilight",IF(T1513="Yes","Uncomprehended Twilight",IF((Character!$B$14+IF(Character!$B$53="Yes",0,Character!$B$53)+IF(Magic!$C$5="Yes",2,0)+ROUNDUP((Magic!$B$30+IF(Magic!$C$30="Yes",3,0))/5,0)+S1513)&gt;=($D$3+P1513+SUMIF(Character!$I$62:$I$66,"Enigmatic Wisdom",Character!$J$62:$J$66)+Q1513+U1513),"No Twilight","Twilight")))</f>
        <v>No Twilight</v>
      </c>
      <c r="W1513" s="483"/>
      <c r="X1513" s="478"/>
      <c r="Y1513" s="484"/>
      <c r="Z1513" s="478"/>
      <c r="AA1513" s="485" t="str">
        <f>IF(V1513="Uncomprehended Twilight","Failed",IF(OR(ISBLANK(W1513),ISBLANK(Y1513))," ",IF(NOT(ISBLANK(X1513)),"Failed",IF((W1513+Character!$B$9+SUMIF(Character!$I$62:$I$66,"Enigmatic Wisdom",Character!$J$62:$J$66))&gt;=IF(Z1513="Yes",0,(Y1513+D1508)),"Succeeded","Failed"))))</f>
        <v xml:space="preserve"> </v>
      </c>
      <c r="AB1513" s="477" t="str">
        <f>IF(AA1513=" "," ",IF(NOT(ISBLANK(X1513)),VLOOKUP($D$3+X1513,Calcs!$A$110:$C$122,3,TRUE),IF(AA1513="Failed",VLOOKUP($D$3,Calcs!$A$110:$C$122,3,TRUE),VLOOKUP($D$3-(IF((Character!$B$9+W1513)&gt;($D$3+Y1513),(Character!$B$9+W1513)-($D$3+Y1513),0)),Calcs!$A$110:$C$122,3,TRUE))))</f>
        <v xml:space="preserve"> </v>
      </c>
      <c r="AC1513" s="489"/>
      <c r="AD1513" s="489" t="str">
        <f>IF(IF(AA1513=" "," ",IF(NOT(ISBLANK(X1513)),VLOOKUP($D$3+X1513,Calcs!$A$110:$B$122,2,TRUE),IF(AA1513="Failed",VLOOKUP($D$3,Calcs!$A$110:$B$122,2,TRUE),VLOOKUP($D$3-(IF((Character!$B$9+W1513)&gt;($D$3+Y1513),(Character!$B$9+W1513)-($D$3+Y1513),0)),Calcs!$A$110:$B$122,2,TRUE))))=Calcs!$B$120,IF(ISBLANK(AC1513)," ",CONCATENATE(AC1513+7," Years")),IF(AA1513=" "," ",IF(NOT(ISBLANK(X1513)),VLOOKUP($D$3+X1513,Calcs!$A$110:$B$122,2,TRUE),IF(AA1513="Failed",VLOOKUP($D$3,Calcs!$A$110:$B$122,2,TRUE),VLOOKUP($D$3-(IF((Character!$B$9+W1513)&gt;($D$3+Y1513),(Character!$B$9+W1513)-($D$3+Y1513),0)),Calcs!$A$110:$B$122,2,TRUE)))))</f>
        <v xml:space="preserve"> </v>
      </c>
      <c r="AE1513" s="490"/>
      <c r="AF1513" s="879"/>
      <c r="AG1513" s="491"/>
    </row>
    <row r="1514" spans="1:33" x14ac:dyDescent="0.2">
      <c r="A1514" s="415">
        <f t="shared" si="46"/>
        <v>1588</v>
      </c>
      <c r="B1514" s="419" t="str">
        <f t="shared" si="47"/>
        <v>Summer</v>
      </c>
      <c r="C1514" s="455"/>
      <c r="D1514" s="504"/>
      <c r="E1514" s="455"/>
      <c r="F1514" s="504"/>
      <c r="G1514" s="455"/>
      <c r="H1514" s="504"/>
      <c r="I1514" s="455"/>
      <c r="J1514" s="504"/>
      <c r="L1514" s="472"/>
      <c r="M1514" s="468"/>
      <c r="N1514" s="468"/>
      <c r="O1514" s="468"/>
      <c r="P1514" s="468"/>
      <c r="Q1514" s="473"/>
      <c r="R1514" s="477" t="str">
        <f>IF(AND(COUNTIF('Start Character'!$I$63:$M$77,"Twilight Prone")=1,NOT(ISERROR(FIND("Magical Botch",M1514)))),"Yes",IF(P1514&gt;1,"Yes","No"))</f>
        <v>No</v>
      </c>
      <c r="S1514" s="501"/>
      <c r="T1514" s="478"/>
      <c r="U1514" s="501"/>
      <c r="V1514" s="479" t="str">
        <f>IF(R1514="No","No Twilight",IF(T1514="Yes","Uncomprehended Twilight",IF((Character!$B$14+IF(Character!$B$53="Yes",0,Character!$B$53)+IF(Magic!$C$5="Yes",2,0)+ROUNDUP((Magic!$B$30+IF(Magic!$C$30="Yes",3,0))/5,0)+S1514)&gt;=($D$3+P1514+SUMIF(Character!$I$62:$I$66,"Enigmatic Wisdom",Character!$J$62:$J$66)+Q1514+U1514),"No Twilight","Twilight")))</f>
        <v>No Twilight</v>
      </c>
      <c r="W1514" s="483"/>
      <c r="X1514" s="478"/>
      <c r="Y1514" s="484"/>
      <c r="Z1514" s="478"/>
      <c r="AA1514" s="485" t="str">
        <f>IF(V1514="Uncomprehended Twilight","Failed",IF(OR(ISBLANK(W1514),ISBLANK(Y1514))," ",IF(NOT(ISBLANK(X1514)),"Failed",IF((W1514+Character!$B$9+SUMIF(Character!$I$62:$I$66,"Enigmatic Wisdom",Character!$J$62:$J$66))&gt;=IF(Z1514="Yes",0,(Y1514+D1509)),"Succeeded","Failed"))))</f>
        <v xml:space="preserve"> </v>
      </c>
      <c r="AB1514" s="477" t="str">
        <f>IF(AA1514=" "," ",IF(NOT(ISBLANK(X1514)),VLOOKUP($D$3+X1514,Calcs!$A$110:$C$122,3,TRUE),IF(AA1514="Failed",VLOOKUP($D$3,Calcs!$A$110:$C$122,3,TRUE),VLOOKUP($D$3-(IF((Character!$B$9+W1514)&gt;($D$3+Y1514),(Character!$B$9+W1514)-($D$3+Y1514),0)),Calcs!$A$110:$C$122,3,TRUE))))</f>
        <v xml:space="preserve"> </v>
      </c>
      <c r="AC1514" s="489"/>
      <c r="AD1514" s="489" t="str">
        <f>IF(IF(AA1514=" "," ",IF(NOT(ISBLANK(X1514)),VLOOKUP($D$3+X1514,Calcs!$A$110:$B$122,2,TRUE),IF(AA1514="Failed",VLOOKUP($D$3,Calcs!$A$110:$B$122,2,TRUE),VLOOKUP($D$3-(IF((Character!$B$9+W1514)&gt;($D$3+Y1514),(Character!$B$9+W1514)-($D$3+Y1514),0)),Calcs!$A$110:$B$122,2,TRUE))))=Calcs!$B$120,IF(ISBLANK(AC1514)," ",CONCATENATE(AC1514+7," Years")),IF(AA1514=" "," ",IF(NOT(ISBLANK(X1514)),VLOOKUP($D$3+X1514,Calcs!$A$110:$B$122,2,TRUE),IF(AA1514="Failed",VLOOKUP($D$3,Calcs!$A$110:$B$122,2,TRUE),VLOOKUP($D$3-(IF((Character!$B$9+W1514)&gt;($D$3+Y1514),(Character!$B$9+W1514)-($D$3+Y1514),0)),Calcs!$A$110:$B$122,2,TRUE)))))</f>
        <v xml:space="preserve"> </v>
      </c>
      <c r="AE1514" s="490"/>
      <c r="AF1514" s="879"/>
      <c r="AG1514" s="491"/>
    </row>
    <row r="1515" spans="1:33" x14ac:dyDescent="0.2">
      <c r="A1515" s="415">
        <f t="shared" si="46"/>
        <v>1588</v>
      </c>
      <c r="B1515" s="419" t="str">
        <f t="shared" si="47"/>
        <v>Autumn</v>
      </c>
      <c r="C1515" s="455"/>
      <c r="D1515" s="504"/>
      <c r="E1515" s="455"/>
      <c r="F1515" s="504"/>
      <c r="G1515" s="455"/>
      <c r="H1515" s="504"/>
      <c r="I1515" s="455"/>
      <c r="J1515" s="504"/>
      <c r="L1515" s="472"/>
      <c r="M1515" s="468"/>
      <c r="N1515" s="468"/>
      <c r="O1515" s="468"/>
      <c r="P1515" s="468"/>
      <c r="Q1515" s="473"/>
      <c r="R1515" s="477" t="str">
        <f>IF(AND(COUNTIF('Start Character'!$I$63:$M$77,"Twilight Prone")=1,NOT(ISERROR(FIND("Magical Botch",M1515)))),"Yes",IF(P1515&gt;1,"Yes","No"))</f>
        <v>No</v>
      </c>
      <c r="S1515" s="501"/>
      <c r="T1515" s="478"/>
      <c r="U1515" s="501"/>
      <c r="V1515" s="479" t="str">
        <f>IF(R1515="No","No Twilight",IF(T1515="Yes","Uncomprehended Twilight",IF((Character!$B$14+IF(Character!$B$53="Yes",0,Character!$B$53)+IF(Magic!$C$5="Yes",2,0)+ROUNDUP((Magic!$B$30+IF(Magic!$C$30="Yes",3,0))/5,0)+S1515)&gt;=($D$3+P1515+SUMIF(Character!$I$62:$I$66,"Enigmatic Wisdom",Character!$J$62:$J$66)+Q1515+U1515),"No Twilight","Twilight")))</f>
        <v>No Twilight</v>
      </c>
      <c r="W1515" s="483"/>
      <c r="X1515" s="478"/>
      <c r="Y1515" s="484"/>
      <c r="Z1515" s="478"/>
      <c r="AA1515" s="485" t="str">
        <f>IF(V1515="Uncomprehended Twilight","Failed",IF(OR(ISBLANK(W1515),ISBLANK(Y1515))," ",IF(NOT(ISBLANK(X1515)),"Failed",IF((W1515+Character!$B$9+SUMIF(Character!$I$62:$I$66,"Enigmatic Wisdom",Character!$J$62:$J$66))&gt;=IF(Z1515="Yes",0,(Y1515+D1510)),"Succeeded","Failed"))))</f>
        <v xml:space="preserve"> </v>
      </c>
      <c r="AB1515" s="477" t="str">
        <f>IF(AA1515=" "," ",IF(NOT(ISBLANK(X1515)),VLOOKUP($D$3+X1515,Calcs!$A$110:$C$122,3,TRUE),IF(AA1515="Failed",VLOOKUP($D$3,Calcs!$A$110:$C$122,3,TRUE),VLOOKUP($D$3-(IF((Character!$B$9+W1515)&gt;($D$3+Y1515),(Character!$B$9+W1515)-($D$3+Y1515),0)),Calcs!$A$110:$C$122,3,TRUE))))</f>
        <v xml:space="preserve"> </v>
      </c>
      <c r="AC1515" s="489"/>
      <c r="AD1515" s="489" t="str">
        <f>IF(IF(AA1515=" "," ",IF(NOT(ISBLANK(X1515)),VLOOKUP($D$3+X1515,Calcs!$A$110:$B$122,2,TRUE),IF(AA1515="Failed",VLOOKUP($D$3,Calcs!$A$110:$B$122,2,TRUE),VLOOKUP($D$3-(IF((Character!$B$9+W1515)&gt;($D$3+Y1515),(Character!$B$9+W1515)-($D$3+Y1515),0)),Calcs!$A$110:$B$122,2,TRUE))))=Calcs!$B$120,IF(ISBLANK(AC1515)," ",CONCATENATE(AC1515+7," Years")),IF(AA1515=" "," ",IF(NOT(ISBLANK(X1515)),VLOOKUP($D$3+X1515,Calcs!$A$110:$B$122,2,TRUE),IF(AA1515="Failed",VLOOKUP($D$3,Calcs!$A$110:$B$122,2,TRUE),VLOOKUP($D$3-(IF((Character!$B$9+W1515)&gt;($D$3+Y1515),(Character!$B$9+W1515)-($D$3+Y1515),0)),Calcs!$A$110:$B$122,2,TRUE)))))</f>
        <v xml:space="preserve"> </v>
      </c>
      <c r="AE1515" s="490"/>
      <c r="AF1515" s="879"/>
      <c r="AG1515" s="491"/>
    </row>
    <row r="1516" spans="1:33" x14ac:dyDescent="0.2">
      <c r="A1516" s="415">
        <f t="shared" si="46"/>
        <v>1589</v>
      </c>
      <c r="B1516" s="419" t="str">
        <f t="shared" si="47"/>
        <v>Winter</v>
      </c>
      <c r="C1516" s="455"/>
      <c r="D1516" s="504"/>
      <c r="E1516" s="455"/>
      <c r="F1516" s="504"/>
      <c r="G1516" s="455"/>
      <c r="H1516" s="504"/>
      <c r="I1516" s="455"/>
      <c r="J1516" s="504"/>
      <c r="L1516" s="472"/>
      <c r="M1516" s="468"/>
      <c r="N1516" s="468"/>
      <c r="O1516" s="468"/>
      <c r="P1516" s="468"/>
      <c r="Q1516" s="473"/>
      <c r="R1516" s="477" t="str">
        <f>IF(AND(COUNTIF('Start Character'!$I$63:$M$77,"Twilight Prone")=1,NOT(ISERROR(FIND("Magical Botch",M1516)))),"Yes",IF(P1516&gt;1,"Yes","No"))</f>
        <v>No</v>
      </c>
      <c r="S1516" s="501"/>
      <c r="T1516" s="478"/>
      <c r="U1516" s="501"/>
      <c r="V1516" s="479" t="str">
        <f>IF(R1516="No","No Twilight",IF(T1516="Yes","Uncomprehended Twilight",IF((Character!$B$14+IF(Character!$B$53="Yes",0,Character!$B$53)+IF(Magic!$C$5="Yes",2,0)+ROUNDUP((Magic!$B$30+IF(Magic!$C$30="Yes",3,0))/5,0)+S1516)&gt;=($D$3+P1516+SUMIF(Character!$I$62:$I$66,"Enigmatic Wisdom",Character!$J$62:$J$66)+Q1516+U1516),"No Twilight","Twilight")))</f>
        <v>No Twilight</v>
      </c>
      <c r="W1516" s="483"/>
      <c r="X1516" s="478"/>
      <c r="Y1516" s="484"/>
      <c r="Z1516" s="478"/>
      <c r="AA1516" s="485" t="str">
        <f>IF(V1516="Uncomprehended Twilight","Failed",IF(OR(ISBLANK(W1516),ISBLANK(Y1516))," ",IF(NOT(ISBLANK(X1516)),"Failed",IF((W1516+Character!$B$9+SUMIF(Character!$I$62:$I$66,"Enigmatic Wisdom",Character!$J$62:$J$66))&gt;=IF(Z1516="Yes",0,(Y1516+D1511)),"Succeeded","Failed"))))</f>
        <v xml:space="preserve"> </v>
      </c>
      <c r="AB1516" s="477" t="str">
        <f>IF(AA1516=" "," ",IF(NOT(ISBLANK(X1516)),VLOOKUP($D$3+X1516,Calcs!$A$110:$C$122,3,TRUE),IF(AA1516="Failed",VLOOKUP($D$3,Calcs!$A$110:$C$122,3,TRUE),VLOOKUP($D$3-(IF((Character!$B$9+W1516)&gt;($D$3+Y1516),(Character!$B$9+W1516)-($D$3+Y1516),0)),Calcs!$A$110:$C$122,3,TRUE))))</f>
        <v xml:space="preserve"> </v>
      </c>
      <c r="AC1516" s="489"/>
      <c r="AD1516" s="489" t="str">
        <f>IF(IF(AA1516=" "," ",IF(NOT(ISBLANK(X1516)),VLOOKUP($D$3+X1516,Calcs!$A$110:$B$122,2,TRUE),IF(AA1516="Failed",VLOOKUP($D$3,Calcs!$A$110:$B$122,2,TRUE),VLOOKUP($D$3-(IF((Character!$B$9+W1516)&gt;($D$3+Y1516),(Character!$B$9+W1516)-($D$3+Y1516),0)),Calcs!$A$110:$B$122,2,TRUE))))=Calcs!$B$120,IF(ISBLANK(AC1516)," ",CONCATENATE(AC1516+7," Years")),IF(AA1516=" "," ",IF(NOT(ISBLANK(X1516)),VLOOKUP($D$3+X1516,Calcs!$A$110:$B$122,2,TRUE),IF(AA1516="Failed",VLOOKUP($D$3,Calcs!$A$110:$B$122,2,TRUE),VLOOKUP($D$3-(IF((Character!$B$9+W1516)&gt;($D$3+Y1516),(Character!$B$9+W1516)-($D$3+Y1516),0)),Calcs!$A$110:$B$122,2,TRUE)))))</f>
        <v xml:space="preserve"> </v>
      </c>
      <c r="AE1516" s="490"/>
      <c r="AF1516" s="879"/>
      <c r="AG1516" s="491"/>
    </row>
    <row r="1517" spans="1:33" x14ac:dyDescent="0.2">
      <c r="A1517" s="415">
        <f t="shared" si="46"/>
        <v>1589</v>
      </c>
      <c r="B1517" s="419" t="str">
        <f t="shared" si="47"/>
        <v>Spring</v>
      </c>
      <c r="C1517" s="455"/>
      <c r="D1517" s="504"/>
      <c r="E1517" s="455"/>
      <c r="F1517" s="504"/>
      <c r="G1517" s="455"/>
      <c r="H1517" s="504"/>
      <c r="I1517" s="455"/>
      <c r="J1517" s="504"/>
      <c r="L1517" s="472"/>
      <c r="M1517" s="468"/>
      <c r="N1517" s="468"/>
      <c r="O1517" s="468"/>
      <c r="P1517" s="468"/>
      <c r="Q1517" s="473"/>
      <c r="R1517" s="477" t="str">
        <f>IF(AND(COUNTIF('Start Character'!$I$63:$M$77,"Twilight Prone")=1,NOT(ISERROR(FIND("Magical Botch",M1517)))),"Yes",IF(P1517&gt;1,"Yes","No"))</f>
        <v>No</v>
      </c>
      <c r="S1517" s="501"/>
      <c r="T1517" s="478"/>
      <c r="U1517" s="501"/>
      <c r="V1517" s="479" t="str">
        <f>IF(R1517="No","No Twilight",IF(T1517="Yes","Uncomprehended Twilight",IF((Character!$B$14+IF(Character!$B$53="Yes",0,Character!$B$53)+IF(Magic!$C$5="Yes",2,0)+ROUNDUP((Magic!$B$30+IF(Magic!$C$30="Yes",3,0))/5,0)+S1517)&gt;=($D$3+P1517+SUMIF(Character!$I$62:$I$66,"Enigmatic Wisdom",Character!$J$62:$J$66)+Q1517+U1517),"No Twilight","Twilight")))</f>
        <v>No Twilight</v>
      </c>
      <c r="W1517" s="483"/>
      <c r="X1517" s="478"/>
      <c r="Y1517" s="484"/>
      <c r="Z1517" s="478"/>
      <c r="AA1517" s="485" t="str">
        <f>IF(V1517="Uncomprehended Twilight","Failed",IF(OR(ISBLANK(W1517),ISBLANK(Y1517))," ",IF(NOT(ISBLANK(X1517)),"Failed",IF((W1517+Character!$B$9+SUMIF(Character!$I$62:$I$66,"Enigmatic Wisdom",Character!$J$62:$J$66))&gt;=IF(Z1517="Yes",0,(Y1517+D1512)),"Succeeded","Failed"))))</f>
        <v xml:space="preserve"> </v>
      </c>
      <c r="AB1517" s="477" t="str">
        <f>IF(AA1517=" "," ",IF(NOT(ISBLANK(X1517)),VLOOKUP($D$3+X1517,Calcs!$A$110:$C$122,3,TRUE),IF(AA1517="Failed",VLOOKUP($D$3,Calcs!$A$110:$C$122,3,TRUE),VLOOKUP($D$3-(IF((Character!$B$9+W1517)&gt;($D$3+Y1517),(Character!$B$9+W1517)-($D$3+Y1517),0)),Calcs!$A$110:$C$122,3,TRUE))))</f>
        <v xml:space="preserve"> </v>
      </c>
      <c r="AC1517" s="489"/>
      <c r="AD1517" s="489" t="str">
        <f>IF(IF(AA1517=" "," ",IF(NOT(ISBLANK(X1517)),VLOOKUP($D$3+X1517,Calcs!$A$110:$B$122,2,TRUE),IF(AA1517="Failed",VLOOKUP($D$3,Calcs!$A$110:$B$122,2,TRUE),VLOOKUP($D$3-(IF((Character!$B$9+W1517)&gt;($D$3+Y1517),(Character!$B$9+W1517)-($D$3+Y1517),0)),Calcs!$A$110:$B$122,2,TRUE))))=Calcs!$B$120,IF(ISBLANK(AC1517)," ",CONCATENATE(AC1517+7," Years")),IF(AA1517=" "," ",IF(NOT(ISBLANK(X1517)),VLOOKUP($D$3+X1517,Calcs!$A$110:$B$122,2,TRUE),IF(AA1517="Failed",VLOOKUP($D$3,Calcs!$A$110:$B$122,2,TRUE),VLOOKUP($D$3-(IF((Character!$B$9+W1517)&gt;($D$3+Y1517),(Character!$B$9+W1517)-($D$3+Y1517),0)),Calcs!$A$110:$B$122,2,TRUE)))))</f>
        <v xml:space="preserve"> </v>
      </c>
      <c r="AE1517" s="490"/>
      <c r="AF1517" s="879"/>
      <c r="AG1517" s="491"/>
    </row>
    <row r="1518" spans="1:33" x14ac:dyDescent="0.2">
      <c r="A1518" s="415">
        <f t="shared" si="46"/>
        <v>1589</v>
      </c>
      <c r="B1518" s="419" t="str">
        <f t="shared" si="47"/>
        <v>Summer</v>
      </c>
      <c r="C1518" s="455"/>
      <c r="D1518" s="504"/>
      <c r="E1518" s="455"/>
      <c r="F1518" s="504"/>
      <c r="G1518" s="455"/>
      <c r="H1518" s="504"/>
      <c r="I1518" s="455"/>
      <c r="J1518" s="504"/>
      <c r="L1518" s="472"/>
      <c r="M1518" s="468"/>
      <c r="N1518" s="468"/>
      <c r="O1518" s="468"/>
      <c r="P1518" s="468"/>
      <c r="Q1518" s="473"/>
      <c r="R1518" s="477" t="str">
        <f>IF(AND(COUNTIF('Start Character'!$I$63:$M$77,"Twilight Prone")=1,NOT(ISERROR(FIND("Magical Botch",M1518)))),"Yes",IF(P1518&gt;1,"Yes","No"))</f>
        <v>No</v>
      </c>
      <c r="S1518" s="501"/>
      <c r="T1518" s="478"/>
      <c r="U1518" s="501"/>
      <c r="V1518" s="479" t="str">
        <f>IF(R1518="No","No Twilight",IF(T1518="Yes","Uncomprehended Twilight",IF((Character!$B$14+IF(Character!$B$53="Yes",0,Character!$B$53)+IF(Magic!$C$5="Yes",2,0)+ROUNDUP((Magic!$B$30+IF(Magic!$C$30="Yes",3,0))/5,0)+S1518)&gt;=($D$3+P1518+SUMIF(Character!$I$62:$I$66,"Enigmatic Wisdom",Character!$J$62:$J$66)+Q1518+U1518),"No Twilight","Twilight")))</f>
        <v>No Twilight</v>
      </c>
      <c r="W1518" s="483"/>
      <c r="X1518" s="478"/>
      <c r="Y1518" s="484"/>
      <c r="Z1518" s="478"/>
      <c r="AA1518" s="485" t="str">
        <f>IF(V1518="Uncomprehended Twilight","Failed",IF(OR(ISBLANK(W1518),ISBLANK(Y1518))," ",IF(NOT(ISBLANK(X1518)),"Failed",IF((W1518+Character!$B$9+SUMIF(Character!$I$62:$I$66,"Enigmatic Wisdom",Character!$J$62:$J$66))&gt;=IF(Z1518="Yes",0,(Y1518+D1513)),"Succeeded","Failed"))))</f>
        <v xml:space="preserve"> </v>
      </c>
      <c r="AB1518" s="477" t="str">
        <f>IF(AA1518=" "," ",IF(NOT(ISBLANK(X1518)),VLOOKUP($D$3+X1518,Calcs!$A$110:$C$122,3,TRUE),IF(AA1518="Failed",VLOOKUP($D$3,Calcs!$A$110:$C$122,3,TRUE),VLOOKUP($D$3-(IF((Character!$B$9+W1518)&gt;($D$3+Y1518),(Character!$B$9+W1518)-($D$3+Y1518),0)),Calcs!$A$110:$C$122,3,TRUE))))</f>
        <v xml:space="preserve"> </v>
      </c>
      <c r="AC1518" s="489"/>
      <c r="AD1518" s="489" t="str">
        <f>IF(IF(AA1518=" "," ",IF(NOT(ISBLANK(X1518)),VLOOKUP($D$3+X1518,Calcs!$A$110:$B$122,2,TRUE),IF(AA1518="Failed",VLOOKUP($D$3,Calcs!$A$110:$B$122,2,TRUE),VLOOKUP($D$3-(IF((Character!$B$9+W1518)&gt;($D$3+Y1518),(Character!$B$9+W1518)-($D$3+Y1518),0)),Calcs!$A$110:$B$122,2,TRUE))))=Calcs!$B$120,IF(ISBLANK(AC1518)," ",CONCATENATE(AC1518+7," Years")),IF(AA1518=" "," ",IF(NOT(ISBLANK(X1518)),VLOOKUP($D$3+X1518,Calcs!$A$110:$B$122,2,TRUE),IF(AA1518="Failed",VLOOKUP($D$3,Calcs!$A$110:$B$122,2,TRUE),VLOOKUP($D$3-(IF((Character!$B$9+W1518)&gt;($D$3+Y1518),(Character!$B$9+W1518)-($D$3+Y1518),0)),Calcs!$A$110:$B$122,2,TRUE)))))</f>
        <v xml:space="preserve"> </v>
      </c>
      <c r="AE1518" s="490"/>
      <c r="AF1518" s="879"/>
      <c r="AG1518" s="491"/>
    </row>
    <row r="1519" spans="1:33" x14ac:dyDescent="0.2">
      <c r="A1519" s="415">
        <f t="shared" si="46"/>
        <v>1589</v>
      </c>
      <c r="B1519" s="419" t="str">
        <f t="shared" si="47"/>
        <v>Autumn</v>
      </c>
      <c r="C1519" s="455"/>
      <c r="D1519" s="504"/>
      <c r="E1519" s="455"/>
      <c r="F1519" s="504"/>
      <c r="G1519" s="455"/>
      <c r="H1519" s="504"/>
      <c r="I1519" s="455"/>
      <c r="J1519" s="504"/>
      <c r="L1519" s="472"/>
      <c r="M1519" s="468"/>
      <c r="N1519" s="468"/>
      <c r="O1519" s="468"/>
      <c r="P1519" s="468"/>
      <c r="Q1519" s="473"/>
      <c r="R1519" s="477" t="str">
        <f>IF(AND(COUNTIF('Start Character'!$I$63:$M$77,"Twilight Prone")=1,NOT(ISERROR(FIND("Magical Botch",M1519)))),"Yes",IF(P1519&gt;1,"Yes","No"))</f>
        <v>No</v>
      </c>
      <c r="S1519" s="501"/>
      <c r="T1519" s="478"/>
      <c r="U1519" s="501"/>
      <c r="V1519" s="479" t="str">
        <f>IF(R1519="No","No Twilight",IF(T1519="Yes","Uncomprehended Twilight",IF((Character!$B$14+IF(Character!$B$53="Yes",0,Character!$B$53)+IF(Magic!$C$5="Yes",2,0)+ROUNDUP((Magic!$B$30+IF(Magic!$C$30="Yes",3,0))/5,0)+S1519)&gt;=($D$3+P1519+SUMIF(Character!$I$62:$I$66,"Enigmatic Wisdom",Character!$J$62:$J$66)+Q1519+U1519),"No Twilight","Twilight")))</f>
        <v>No Twilight</v>
      </c>
      <c r="W1519" s="483"/>
      <c r="X1519" s="478"/>
      <c r="Y1519" s="484"/>
      <c r="Z1519" s="478"/>
      <c r="AA1519" s="485" t="str">
        <f>IF(V1519="Uncomprehended Twilight","Failed",IF(OR(ISBLANK(W1519),ISBLANK(Y1519))," ",IF(NOT(ISBLANK(X1519)),"Failed",IF((W1519+Character!$B$9+SUMIF(Character!$I$62:$I$66,"Enigmatic Wisdom",Character!$J$62:$J$66))&gt;=IF(Z1519="Yes",0,(Y1519+D1514)),"Succeeded","Failed"))))</f>
        <v xml:space="preserve"> </v>
      </c>
      <c r="AB1519" s="477" t="str">
        <f>IF(AA1519=" "," ",IF(NOT(ISBLANK(X1519)),VLOOKUP($D$3+X1519,Calcs!$A$110:$C$122,3,TRUE),IF(AA1519="Failed",VLOOKUP($D$3,Calcs!$A$110:$C$122,3,TRUE),VLOOKUP($D$3-(IF((Character!$B$9+W1519)&gt;($D$3+Y1519),(Character!$B$9+W1519)-($D$3+Y1519),0)),Calcs!$A$110:$C$122,3,TRUE))))</f>
        <v xml:space="preserve"> </v>
      </c>
      <c r="AC1519" s="489"/>
      <c r="AD1519" s="489" t="str">
        <f>IF(IF(AA1519=" "," ",IF(NOT(ISBLANK(X1519)),VLOOKUP($D$3+X1519,Calcs!$A$110:$B$122,2,TRUE),IF(AA1519="Failed",VLOOKUP($D$3,Calcs!$A$110:$B$122,2,TRUE),VLOOKUP($D$3-(IF((Character!$B$9+W1519)&gt;($D$3+Y1519),(Character!$B$9+W1519)-($D$3+Y1519),0)),Calcs!$A$110:$B$122,2,TRUE))))=Calcs!$B$120,IF(ISBLANK(AC1519)," ",CONCATENATE(AC1519+7," Years")),IF(AA1519=" "," ",IF(NOT(ISBLANK(X1519)),VLOOKUP($D$3+X1519,Calcs!$A$110:$B$122,2,TRUE),IF(AA1519="Failed",VLOOKUP($D$3,Calcs!$A$110:$B$122,2,TRUE),VLOOKUP($D$3-(IF((Character!$B$9+W1519)&gt;($D$3+Y1519),(Character!$B$9+W1519)-($D$3+Y1519),0)),Calcs!$A$110:$B$122,2,TRUE)))))</f>
        <v xml:space="preserve"> </v>
      </c>
      <c r="AE1519" s="490"/>
      <c r="AF1519" s="879"/>
      <c r="AG1519" s="491"/>
    </row>
    <row r="1520" spans="1:33" x14ac:dyDescent="0.2">
      <c r="A1520" s="415">
        <f t="shared" si="46"/>
        <v>1590</v>
      </c>
      <c r="B1520" s="419" t="str">
        <f t="shared" si="47"/>
        <v>Winter</v>
      </c>
      <c r="C1520" s="455"/>
      <c r="D1520" s="504"/>
      <c r="E1520" s="455"/>
      <c r="F1520" s="504"/>
      <c r="G1520" s="455"/>
      <c r="H1520" s="504"/>
      <c r="I1520" s="455"/>
      <c r="J1520" s="504"/>
      <c r="L1520" s="472"/>
      <c r="M1520" s="468"/>
      <c r="N1520" s="468"/>
      <c r="O1520" s="468"/>
      <c r="P1520" s="468"/>
      <c r="Q1520" s="473"/>
      <c r="R1520" s="477" t="str">
        <f>IF(AND(COUNTIF('Start Character'!$I$63:$M$77,"Twilight Prone")=1,NOT(ISERROR(FIND("Magical Botch",M1520)))),"Yes",IF(P1520&gt;1,"Yes","No"))</f>
        <v>No</v>
      </c>
      <c r="S1520" s="501"/>
      <c r="T1520" s="478"/>
      <c r="U1520" s="501"/>
      <c r="V1520" s="479" t="str">
        <f>IF(R1520="No","No Twilight",IF(T1520="Yes","Uncomprehended Twilight",IF((Character!$B$14+IF(Character!$B$53="Yes",0,Character!$B$53)+IF(Magic!$C$5="Yes",2,0)+ROUNDUP((Magic!$B$30+IF(Magic!$C$30="Yes",3,0))/5,0)+S1520)&gt;=($D$3+P1520+SUMIF(Character!$I$62:$I$66,"Enigmatic Wisdom",Character!$J$62:$J$66)+Q1520+U1520),"No Twilight","Twilight")))</f>
        <v>No Twilight</v>
      </c>
      <c r="W1520" s="483"/>
      <c r="X1520" s="478"/>
      <c r="Y1520" s="484"/>
      <c r="Z1520" s="478"/>
      <c r="AA1520" s="485" t="str">
        <f>IF(V1520="Uncomprehended Twilight","Failed",IF(OR(ISBLANK(W1520),ISBLANK(Y1520))," ",IF(NOT(ISBLANK(X1520)),"Failed",IF((W1520+Character!$B$9+SUMIF(Character!$I$62:$I$66,"Enigmatic Wisdom",Character!$J$62:$J$66))&gt;=IF(Z1520="Yes",0,(Y1520+D1515)),"Succeeded","Failed"))))</f>
        <v xml:space="preserve"> </v>
      </c>
      <c r="AB1520" s="477" t="str">
        <f>IF(AA1520=" "," ",IF(NOT(ISBLANK(X1520)),VLOOKUP($D$3+X1520,Calcs!$A$110:$C$122,3,TRUE),IF(AA1520="Failed",VLOOKUP($D$3,Calcs!$A$110:$C$122,3,TRUE),VLOOKUP($D$3-(IF((Character!$B$9+W1520)&gt;($D$3+Y1520),(Character!$B$9+W1520)-($D$3+Y1520),0)),Calcs!$A$110:$C$122,3,TRUE))))</f>
        <v xml:space="preserve"> </v>
      </c>
      <c r="AC1520" s="489"/>
      <c r="AD1520" s="489" t="str">
        <f>IF(IF(AA1520=" "," ",IF(NOT(ISBLANK(X1520)),VLOOKUP($D$3+X1520,Calcs!$A$110:$B$122,2,TRUE),IF(AA1520="Failed",VLOOKUP($D$3,Calcs!$A$110:$B$122,2,TRUE),VLOOKUP($D$3-(IF((Character!$B$9+W1520)&gt;($D$3+Y1520),(Character!$B$9+W1520)-($D$3+Y1520),0)),Calcs!$A$110:$B$122,2,TRUE))))=Calcs!$B$120,IF(ISBLANK(AC1520)," ",CONCATENATE(AC1520+7," Years")),IF(AA1520=" "," ",IF(NOT(ISBLANK(X1520)),VLOOKUP($D$3+X1520,Calcs!$A$110:$B$122,2,TRUE),IF(AA1520="Failed",VLOOKUP($D$3,Calcs!$A$110:$B$122,2,TRUE),VLOOKUP($D$3-(IF((Character!$B$9+W1520)&gt;($D$3+Y1520),(Character!$B$9+W1520)-($D$3+Y1520),0)),Calcs!$A$110:$B$122,2,TRUE)))))</f>
        <v xml:space="preserve"> </v>
      </c>
      <c r="AE1520" s="490"/>
      <c r="AF1520" s="879"/>
      <c r="AG1520" s="491"/>
    </row>
    <row r="1521" spans="1:33" x14ac:dyDescent="0.2">
      <c r="A1521" s="415">
        <f t="shared" si="46"/>
        <v>1590</v>
      </c>
      <c r="B1521" s="419" t="str">
        <f t="shared" si="47"/>
        <v>Spring</v>
      </c>
      <c r="C1521" s="455"/>
      <c r="D1521" s="504"/>
      <c r="E1521" s="455"/>
      <c r="F1521" s="504"/>
      <c r="G1521" s="455"/>
      <c r="H1521" s="504"/>
      <c r="I1521" s="455"/>
      <c r="J1521" s="504"/>
      <c r="L1521" s="472"/>
      <c r="M1521" s="468"/>
      <c r="N1521" s="468"/>
      <c r="O1521" s="468"/>
      <c r="P1521" s="468"/>
      <c r="Q1521" s="473"/>
      <c r="R1521" s="477" t="str">
        <f>IF(AND(COUNTIF('Start Character'!$I$63:$M$77,"Twilight Prone")=1,NOT(ISERROR(FIND("Magical Botch",M1521)))),"Yes",IF(P1521&gt;1,"Yes","No"))</f>
        <v>No</v>
      </c>
      <c r="S1521" s="501"/>
      <c r="T1521" s="478"/>
      <c r="U1521" s="501"/>
      <c r="V1521" s="479" t="str">
        <f>IF(R1521="No","No Twilight",IF(T1521="Yes","Uncomprehended Twilight",IF((Character!$B$14+IF(Character!$B$53="Yes",0,Character!$B$53)+IF(Magic!$C$5="Yes",2,0)+ROUNDUP((Magic!$B$30+IF(Magic!$C$30="Yes",3,0))/5,0)+S1521)&gt;=($D$3+P1521+SUMIF(Character!$I$62:$I$66,"Enigmatic Wisdom",Character!$J$62:$J$66)+Q1521+U1521),"No Twilight","Twilight")))</f>
        <v>No Twilight</v>
      </c>
      <c r="W1521" s="483"/>
      <c r="X1521" s="478"/>
      <c r="Y1521" s="484"/>
      <c r="Z1521" s="478"/>
      <c r="AA1521" s="485" t="str">
        <f>IF(V1521="Uncomprehended Twilight","Failed",IF(OR(ISBLANK(W1521),ISBLANK(Y1521))," ",IF(NOT(ISBLANK(X1521)),"Failed",IF((W1521+Character!$B$9+SUMIF(Character!$I$62:$I$66,"Enigmatic Wisdom",Character!$J$62:$J$66))&gt;=IF(Z1521="Yes",0,(Y1521+D1516)),"Succeeded","Failed"))))</f>
        <v xml:space="preserve"> </v>
      </c>
      <c r="AB1521" s="477" t="str">
        <f>IF(AA1521=" "," ",IF(NOT(ISBLANK(X1521)),VLOOKUP($D$3+X1521,Calcs!$A$110:$C$122,3,TRUE),IF(AA1521="Failed",VLOOKUP($D$3,Calcs!$A$110:$C$122,3,TRUE),VLOOKUP($D$3-(IF((Character!$B$9+W1521)&gt;($D$3+Y1521),(Character!$B$9+W1521)-($D$3+Y1521),0)),Calcs!$A$110:$C$122,3,TRUE))))</f>
        <v xml:space="preserve"> </v>
      </c>
      <c r="AC1521" s="489"/>
      <c r="AD1521" s="489" t="str">
        <f>IF(IF(AA1521=" "," ",IF(NOT(ISBLANK(X1521)),VLOOKUP($D$3+X1521,Calcs!$A$110:$B$122,2,TRUE),IF(AA1521="Failed",VLOOKUP($D$3,Calcs!$A$110:$B$122,2,TRUE),VLOOKUP($D$3-(IF((Character!$B$9+W1521)&gt;($D$3+Y1521),(Character!$B$9+W1521)-($D$3+Y1521),0)),Calcs!$A$110:$B$122,2,TRUE))))=Calcs!$B$120,IF(ISBLANK(AC1521)," ",CONCATENATE(AC1521+7," Years")),IF(AA1521=" "," ",IF(NOT(ISBLANK(X1521)),VLOOKUP($D$3+X1521,Calcs!$A$110:$B$122,2,TRUE),IF(AA1521="Failed",VLOOKUP($D$3,Calcs!$A$110:$B$122,2,TRUE),VLOOKUP($D$3-(IF((Character!$B$9+W1521)&gt;($D$3+Y1521),(Character!$B$9+W1521)-($D$3+Y1521),0)),Calcs!$A$110:$B$122,2,TRUE)))))</f>
        <v xml:space="preserve"> </v>
      </c>
      <c r="AE1521" s="490"/>
      <c r="AF1521" s="879"/>
      <c r="AG1521" s="491"/>
    </row>
    <row r="1522" spans="1:33" x14ac:dyDescent="0.2">
      <c r="A1522" s="415">
        <f t="shared" si="46"/>
        <v>1590</v>
      </c>
      <c r="B1522" s="419" t="str">
        <f t="shared" si="47"/>
        <v>Summer</v>
      </c>
      <c r="C1522" s="455"/>
      <c r="D1522" s="504"/>
      <c r="E1522" s="455"/>
      <c r="F1522" s="504"/>
      <c r="G1522" s="455"/>
      <c r="H1522" s="504"/>
      <c r="I1522" s="455"/>
      <c r="J1522" s="504"/>
      <c r="L1522" s="472"/>
      <c r="M1522" s="468"/>
      <c r="N1522" s="468"/>
      <c r="O1522" s="468"/>
      <c r="P1522" s="468"/>
      <c r="Q1522" s="473"/>
      <c r="R1522" s="477" t="str">
        <f>IF(AND(COUNTIF('Start Character'!$I$63:$M$77,"Twilight Prone")=1,NOT(ISERROR(FIND("Magical Botch",M1522)))),"Yes",IF(P1522&gt;1,"Yes","No"))</f>
        <v>No</v>
      </c>
      <c r="S1522" s="501"/>
      <c r="T1522" s="478"/>
      <c r="U1522" s="501"/>
      <c r="V1522" s="479" t="str">
        <f>IF(R1522="No","No Twilight",IF(T1522="Yes","Uncomprehended Twilight",IF((Character!$B$14+IF(Character!$B$53="Yes",0,Character!$B$53)+IF(Magic!$C$5="Yes",2,0)+ROUNDUP((Magic!$B$30+IF(Magic!$C$30="Yes",3,0))/5,0)+S1522)&gt;=($D$3+P1522+SUMIF(Character!$I$62:$I$66,"Enigmatic Wisdom",Character!$J$62:$J$66)+Q1522+U1522),"No Twilight","Twilight")))</f>
        <v>No Twilight</v>
      </c>
      <c r="W1522" s="483"/>
      <c r="X1522" s="478"/>
      <c r="Y1522" s="484"/>
      <c r="Z1522" s="478"/>
      <c r="AA1522" s="485" t="str">
        <f>IF(V1522="Uncomprehended Twilight","Failed",IF(OR(ISBLANK(W1522),ISBLANK(Y1522))," ",IF(NOT(ISBLANK(X1522)),"Failed",IF((W1522+Character!$B$9+SUMIF(Character!$I$62:$I$66,"Enigmatic Wisdom",Character!$J$62:$J$66))&gt;=IF(Z1522="Yes",0,(Y1522+D1517)),"Succeeded","Failed"))))</f>
        <v xml:space="preserve"> </v>
      </c>
      <c r="AB1522" s="477" t="str">
        <f>IF(AA1522=" "," ",IF(NOT(ISBLANK(X1522)),VLOOKUP($D$3+X1522,Calcs!$A$110:$C$122,3,TRUE),IF(AA1522="Failed",VLOOKUP($D$3,Calcs!$A$110:$C$122,3,TRUE),VLOOKUP($D$3-(IF((Character!$B$9+W1522)&gt;($D$3+Y1522),(Character!$B$9+W1522)-($D$3+Y1522),0)),Calcs!$A$110:$C$122,3,TRUE))))</f>
        <v xml:space="preserve"> </v>
      </c>
      <c r="AC1522" s="489"/>
      <c r="AD1522" s="489" t="str">
        <f>IF(IF(AA1522=" "," ",IF(NOT(ISBLANK(X1522)),VLOOKUP($D$3+X1522,Calcs!$A$110:$B$122,2,TRUE),IF(AA1522="Failed",VLOOKUP($D$3,Calcs!$A$110:$B$122,2,TRUE),VLOOKUP($D$3-(IF((Character!$B$9+W1522)&gt;($D$3+Y1522),(Character!$B$9+W1522)-($D$3+Y1522),0)),Calcs!$A$110:$B$122,2,TRUE))))=Calcs!$B$120,IF(ISBLANK(AC1522)," ",CONCATENATE(AC1522+7," Years")),IF(AA1522=" "," ",IF(NOT(ISBLANK(X1522)),VLOOKUP($D$3+X1522,Calcs!$A$110:$B$122,2,TRUE),IF(AA1522="Failed",VLOOKUP($D$3,Calcs!$A$110:$B$122,2,TRUE),VLOOKUP($D$3-(IF((Character!$B$9+W1522)&gt;($D$3+Y1522),(Character!$B$9+W1522)-($D$3+Y1522),0)),Calcs!$A$110:$B$122,2,TRUE)))))</f>
        <v xml:space="preserve"> </v>
      </c>
      <c r="AE1522" s="490"/>
      <c r="AF1522" s="879"/>
      <c r="AG1522" s="491"/>
    </row>
    <row r="1523" spans="1:33" x14ac:dyDescent="0.2">
      <c r="A1523" s="415">
        <f t="shared" si="46"/>
        <v>1590</v>
      </c>
      <c r="B1523" s="419" t="str">
        <f t="shared" si="47"/>
        <v>Autumn</v>
      </c>
      <c r="C1523" s="455"/>
      <c r="D1523" s="504"/>
      <c r="E1523" s="455"/>
      <c r="F1523" s="504"/>
      <c r="G1523" s="455"/>
      <c r="H1523" s="504"/>
      <c r="I1523" s="455"/>
      <c r="J1523" s="504"/>
      <c r="L1523" s="472"/>
      <c r="M1523" s="468"/>
      <c r="N1523" s="468"/>
      <c r="O1523" s="468"/>
      <c r="P1523" s="468"/>
      <c r="Q1523" s="473"/>
      <c r="R1523" s="477" t="str">
        <f>IF(AND(COUNTIF('Start Character'!$I$63:$M$77,"Twilight Prone")=1,NOT(ISERROR(FIND("Magical Botch",M1523)))),"Yes",IF(P1523&gt;1,"Yes","No"))</f>
        <v>No</v>
      </c>
      <c r="S1523" s="501"/>
      <c r="T1523" s="478"/>
      <c r="U1523" s="501"/>
      <c r="V1523" s="479" t="str">
        <f>IF(R1523="No","No Twilight",IF(T1523="Yes","Uncomprehended Twilight",IF((Character!$B$14+IF(Character!$B$53="Yes",0,Character!$B$53)+IF(Magic!$C$5="Yes",2,0)+ROUNDUP((Magic!$B$30+IF(Magic!$C$30="Yes",3,0))/5,0)+S1523)&gt;=($D$3+P1523+SUMIF(Character!$I$62:$I$66,"Enigmatic Wisdom",Character!$J$62:$J$66)+Q1523+U1523),"No Twilight","Twilight")))</f>
        <v>No Twilight</v>
      </c>
      <c r="W1523" s="483"/>
      <c r="X1523" s="478"/>
      <c r="Y1523" s="484"/>
      <c r="Z1523" s="478"/>
      <c r="AA1523" s="485" t="str">
        <f>IF(V1523="Uncomprehended Twilight","Failed",IF(OR(ISBLANK(W1523),ISBLANK(Y1523))," ",IF(NOT(ISBLANK(X1523)),"Failed",IF((W1523+Character!$B$9+SUMIF(Character!$I$62:$I$66,"Enigmatic Wisdom",Character!$J$62:$J$66))&gt;=IF(Z1523="Yes",0,(Y1523+D1518)),"Succeeded","Failed"))))</f>
        <v xml:space="preserve"> </v>
      </c>
      <c r="AB1523" s="477" t="str">
        <f>IF(AA1523=" "," ",IF(NOT(ISBLANK(X1523)),VLOOKUP($D$3+X1523,Calcs!$A$110:$C$122,3,TRUE),IF(AA1523="Failed",VLOOKUP($D$3,Calcs!$A$110:$C$122,3,TRUE),VLOOKUP($D$3-(IF((Character!$B$9+W1523)&gt;($D$3+Y1523),(Character!$B$9+W1523)-($D$3+Y1523),0)),Calcs!$A$110:$C$122,3,TRUE))))</f>
        <v xml:space="preserve"> </v>
      </c>
      <c r="AC1523" s="489"/>
      <c r="AD1523" s="489" t="str">
        <f>IF(IF(AA1523=" "," ",IF(NOT(ISBLANK(X1523)),VLOOKUP($D$3+X1523,Calcs!$A$110:$B$122,2,TRUE),IF(AA1523="Failed",VLOOKUP($D$3,Calcs!$A$110:$B$122,2,TRUE),VLOOKUP($D$3-(IF((Character!$B$9+W1523)&gt;($D$3+Y1523),(Character!$B$9+W1523)-($D$3+Y1523),0)),Calcs!$A$110:$B$122,2,TRUE))))=Calcs!$B$120,IF(ISBLANK(AC1523)," ",CONCATENATE(AC1523+7," Years")),IF(AA1523=" "," ",IF(NOT(ISBLANK(X1523)),VLOOKUP($D$3+X1523,Calcs!$A$110:$B$122,2,TRUE),IF(AA1523="Failed",VLOOKUP($D$3,Calcs!$A$110:$B$122,2,TRUE),VLOOKUP($D$3-(IF((Character!$B$9+W1523)&gt;($D$3+Y1523),(Character!$B$9+W1523)-($D$3+Y1523),0)),Calcs!$A$110:$B$122,2,TRUE)))))</f>
        <v xml:space="preserve"> </v>
      </c>
      <c r="AE1523" s="490"/>
      <c r="AF1523" s="879"/>
      <c r="AG1523" s="491"/>
    </row>
    <row r="1524" spans="1:33" ht="13.5" thickBot="1" x14ac:dyDescent="0.25">
      <c r="A1524" s="417">
        <f t="shared" si="46"/>
        <v>1591</v>
      </c>
      <c r="B1524" s="420" t="str">
        <f t="shared" si="47"/>
        <v>Winter</v>
      </c>
      <c r="C1524" s="458"/>
      <c r="D1524" s="505"/>
      <c r="E1524" s="458"/>
      <c r="F1524" s="505"/>
      <c r="G1524" s="458"/>
      <c r="H1524" s="505"/>
      <c r="I1524" s="458"/>
      <c r="J1524" s="505"/>
      <c r="L1524" s="474"/>
      <c r="M1524" s="475"/>
      <c r="N1524" s="475"/>
      <c r="O1524" s="475"/>
      <c r="P1524" s="475"/>
      <c r="Q1524" s="476"/>
      <c r="R1524" s="480" t="str">
        <f>IF(AND(COUNTIF('Start Character'!$I$63:$M$77,"Twilight Prone")=1,NOT(ISERROR(FIND("Magical Botch",M1524)))),"Yes",IF(P1524&gt;1,"Yes","No"))</f>
        <v>No</v>
      </c>
      <c r="S1524" s="475"/>
      <c r="T1524" s="481"/>
      <c r="U1524" s="475"/>
      <c r="V1524" s="482" t="str">
        <f>IF(R1524="No","No Twilight",IF(T1524="Yes","Uncomprehended Twilight",IF((Character!$B$14+IF(Character!$B$53="Yes",0,Character!$B$53)+IF(Magic!$C$5="Yes",2,0)+ROUNDUP((Magic!$B$30+IF(Magic!$C$30="Yes",3,0))/5,0)+S1524)&gt;=($D$3+P1524+SUMIF(Character!$I$62:$I$66,"Enigmatic Wisdom",Character!$J$62:$J$66)+Q1524+U1524),"No Twilight","Twilight")))</f>
        <v>No Twilight</v>
      </c>
      <c r="W1524" s="486"/>
      <c r="X1524" s="481"/>
      <c r="Y1524" s="487"/>
      <c r="Z1524" s="481"/>
      <c r="AA1524" s="488" t="str">
        <f>IF(V1524="Uncomprehended Twilight","Failed",IF(OR(ISBLANK(W1524),ISBLANK(Y1524))," ",IF(NOT(ISBLANK(X1524)),"Failed",IF((W1524+Character!$B$9+SUMIF(Character!$I$62:$I$66,"Enigmatic Wisdom",Character!$J$62:$J$66))&gt;=IF(Z1524="Yes",0,(Y1524+D1519)),"Succeeded","Failed"))))</f>
        <v xml:space="preserve"> </v>
      </c>
      <c r="AB1524" s="480" t="str">
        <f>IF(AA1524=" "," ",IF(NOT(ISBLANK(X1524)),VLOOKUP($D$3+X1524,Calcs!$A$110:$C$122,3,TRUE),IF(AA1524="Failed",VLOOKUP($D$3,Calcs!$A$110:$C$122,3,TRUE),VLOOKUP($D$3-(IF((Character!$B$9+W1524)&gt;($D$3+Y1524),(Character!$B$9+W1524)-($D$3+Y1524),0)),Calcs!$A$110:$C$122,3,TRUE))))</f>
        <v xml:space="preserve"> </v>
      </c>
      <c r="AC1524" s="492"/>
      <c r="AD1524" s="492" t="str">
        <f>IF(IF(AA1524=" "," ",IF(NOT(ISBLANK(X1524)),VLOOKUP($D$3+X1524,Calcs!$A$110:$B$122,2,TRUE),IF(AA1524="Failed",VLOOKUP($D$3,Calcs!$A$110:$B$122,2,TRUE),VLOOKUP($D$3-(IF((Character!$B$9+W1524)&gt;($D$3+Y1524),(Character!$B$9+W1524)-($D$3+Y1524),0)),Calcs!$A$110:$B$122,2,TRUE))))=Calcs!$B$120,IF(ISBLANK(AC1524)," ",CONCATENATE(AC1524+7," Years")),IF(AA1524=" "," ",IF(NOT(ISBLANK(X1524)),VLOOKUP($D$3+X1524,Calcs!$A$110:$B$122,2,TRUE),IF(AA1524="Failed",VLOOKUP($D$3,Calcs!$A$110:$B$122,2,TRUE),VLOOKUP($D$3-(IF((Character!$B$9+W1524)&gt;($D$3+Y1524),(Character!$B$9+W1524)-($D$3+Y1524),0)),Calcs!$A$110:$B$122,2,TRUE)))))</f>
        <v xml:space="preserve"> </v>
      </c>
      <c r="AE1524" s="493"/>
      <c r="AF1524" s="880"/>
      <c r="AG1524" s="494"/>
    </row>
    <row r="1525" spans="1:33" x14ac:dyDescent="0.2">
      <c r="AG1525" t="s">
        <v>465</v>
      </c>
    </row>
  </sheetData>
  <mergeCells count="27">
    <mergeCell ref="A13:E13"/>
    <mergeCell ref="A8:E8"/>
    <mergeCell ref="A9:E9"/>
    <mergeCell ref="A10:E10"/>
    <mergeCell ref="A11:E11"/>
    <mergeCell ref="A12:E12"/>
    <mergeCell ref="A3:C3"/>
    <mergeCell ref="A4:C4"/>
    <mergeCell ref="A1:AQ1"/>
    <mergeCell ref="A25:J25"/>
    <mergeCell ref="A6:H6"/>
    <mergeCell ref="A20:E20"/>
    <mergeCell ref="A21:E21"/>
    <mergeCell ref="A22:E22"/>
    <mergeCell ref="A23:E23"/>
    <mergeCell ref="A7:E7"/>
    <mergeCell ref="A14:E14"/>
    <mergeCell ref="A15:E15"/>
    <mergeCell ref="A16:E16"/>
    <mergeCell ref="A17:E17"/>
    <mergeCell ref="A18:E18"/>
    <mergeCell ref="A19:E19"/>
    <mergeCell ref="R6:V6"/>
    <mergeCell ref="L6:Q6"/>
    <mergeCell ref="W6:AA6"/>
    <mergeCell ref="L5:AG5"/>
    <mergeCell ref="AB6:AG6"/>
  </mergeCells>
  <conditionalFormatting sqref="X8">
    <cfRule type="notContainsBlanks" dxfId="6" priority="5">
      <formula>LEN(TRIM(X8))&gt;0</formula>
    </cfRule>
  </conditionalFormatting>
  <conditionalFormatting sqref="X9:X1524">
    <cfRule type="notContainsBlanks" dxfId="5" priority="3">
      <formula>LEN(TRIM(X9))&gt;0</formula>
    </cfRule>
  </conditionalFormatting>
  <dataValidations count="2">
    <dataValidation type="list" showInputMessage="1" showErrorMessage="1" error="Pick One!" prompt="Pick One!" sqref="D27:D1524 F27:F1524 H27:H1524 J27:J1524">
      <formula1>$A$8:$A$23</formula1>
    </dataValidation>
    <dataValidation type="list" allowBlank="1" showInputMessage="1" showErrorMessage="1" error="Pick One" prompt="Pick One" sqref="Z8:Z1524">
      <formula1>$A$49:$A$50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6B329F-17E8-4762-B11A-C7705A6159A0}">
            <xm:f>AND(ISBLANK(C27),OR($A27&lt;Calcs!$F$21,AND($A27=Calcs!$F$21,VLOOKUP($B27,Calcs!$E$43:$F$46,2,FALSE)&lt;VLOOKUP(Calcs!$F$23,Calcs!$E$43:$F$46,2,FALSE))))</xm:f>
            <x14:dxf>
              <fill>
                <patternFill>
                  <bgColor rgb="FFE9E9FF"/>
                </patternFill>
              </fill>
            </x14:dxf>
          </x14:cfRule>
          <xm:sqref>C27:J1524</xm:sqref>
        </x14:conditionalFormatting>
        <x14:conditionalFormatting xmlns:xm="http://schemas.microsoft.com/office/excel/2006/main">
          <x14:cfRule type="expression" priority="534" id="{8DA98F1C-F962-44EF-9CFB-F24D6A6ABE2A}">
            <xm:f>$AB$8=Calcs!$C$120</xm:f>
            <x14:dxf>
              <fill>
                <patternFill>
                  <bgColor rgb="FFE9E9FF"/>
                </patternFill>
              </fill>
            </x14:dxf>
          </x14:cfRule>
          <xm:sqref>AC8:AC1524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error="Pick One" prompt="Pick One">
          <x14:formula1>
            <xm:f>Calcs!$A$49:$A$50</xm:f>
          </x14:formula1>
          <xm:sqref>T8:T1524</xm:sqref>
        </x14:dataValidation>
        <x14:dataValidation type="list" allowBlank="1" showInputMessage="1" showErrorMessage="1">
          <x14:formula1>
            <xm:f>Calcs!$E$43:$E$46</xm:f>
          </x14:formula1>
          <xm:sqref>O8:O1524</xm:sqref>
        </x14:dataValidation>
        <x14:dataValidation type="list" allowBlank="1" showInputMessage="1" showErrorMessage="1" error="Pick One" promptTitle="If you botched:" prompt="Choose the number of ZEROs you rolled">
          <x14:formula1>
            <xm:f>Calcs!$F$54:$F$63</xm:f>
          </x14:formula1>
          <xm:sqref>X8:X1524</xm:sqref>
        </x14:dataValidation>
        <x14:dataValidation type="list" allowBlank="1" showInputMessage="1" showErrorMessage="1" error="Pick One" prompt="Select Type of Effect">
          <x14:formula1>
            <xm:f>Calcs!$A$125:$A$133</xm:f>
          </x14:formula1>
          <xm:sqref>M8:M1524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00"/>
  <sheetViews>
    <sheetView workbookViewId="0">
      <selection activeCell="A3" sqref="A3"/>
    </sheetView>
  </sheetViews>
  <sheetFormatPr defaultColWidth="11.5703125" defaultRowHeight="12.75" x14ac:dyDescent="0.2"/>
  <cols>
    <col min="1" max="1" width="5.140625" bestFit="1" customWidth="1"/>
    <col min="2" max="2" width="8" bestFit="1" customWidth="1"/>
    <col min="3" max="3" width="22.5703125" customWidth="1"/>
    <col min="4" max="4" width="10" bestFit="1" customWidth="1"/>
    <col min="5" max="5" width="5.28515625" bestFit="1" customWidth="1"/>
    <col min="6" max="6" width="10" bestFit="1" customWidth="1"/>
    <col min="7" max="7" width="5.28515625" bestFit="1" customWidth="1"/>
    <col min="8" max="8" width="10" bestFit="1" customWidth="1"/>
    <col min="9" max="9" width="5.28515625" bestFit="1" customWidth="1"/>
    <col min="10" max="10" width="10" bestFit="1" customWidth="1"/>
    <col min="11" max="11" width="5.28515625" bestFit="1" customWidth="1"/>
    <col min="12" max="12" width="10" bestFit="1" customWidth="1"/>
    <col min="13" max="13" width="5.28515625" bestFit="1" customWidth="1"/>
    <col min="14" max="14" width="10" bestFit="1" customWidth="1"/>
    <col min="15" max="15" width="5.28515625" bestFit="1" customWidth="1"/>
    <col min="16" max="16" width="10" bestFit="1" customWidth="1"/>
    <col min="17" max="17" width="5.28515625" bestFit="1" customWidth="1"/>
    <col min="18" max="18" width="10" bestFit="1" customWidth="1"/>
    <col min="19" max="19" width="5.28515625" bestFit="1" customWidth="1"/>
    <col min="20" max="20" width="10" bestFit="1" customWidth="1"/>
    <col min="21" max="21" width="5.28515625" bestFit="1" customWidth="1"/>
    <col min="22" max="22" width="10" bestFit="1" customWidth="1"/>
    <col min="23" max="23" width="5.28515625" bestFit="1" customWidth="1"/>
    <col min="24" max="24" width="10" bestFit="1" customWidth="1"/>
    <col min="25" max="25" width="5.28515625" bestFit="1" customWidth="1"/>
    <col min="26" max="26" width="10" bestFit="1" customWidth="1"/>
    <col min="27" max="27" width="5.28515625" bestFit="1" customWidth="1"/>
    <col min="28" max="28" width="10" bestFit="1" customWidth="1"/>
    <col min="29" max="29" width="5.28515625" bestFit="1" customWidth="1"/>
    <col min="30" max="30" width="10" bestFit="1" customWidth="1"/>
    <col min="31" max="31" width="5.28515625" bestFit="1" customWidth="1"/>
    <col min="32" max="32" width="10" bestFit="1" customWidth="1"/>
    <col min="33" max="33" width="5.28515625" bestFit="1" customWidth="1"/>
  </cols>
  <sheetData>
    <row r="1" spans="1:33" ht="13.5" thickBot="1" x14ac:dyDescent="0.25">
      <c r="A1" s="783" t="s">
        <v>278</v>
      </c>
      <c r="B1" s="784"/>
      <c r="C1" s="784"/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784"/>
      <c r="O1" s="784"/>
      <c r="P1" s="784"/>
      <c r="Q1" s="784"/>
      <c r="R1" s="784"/>
      <c r="S1" s="784"/>
      <c r="T1" s="784"/>
      <c r="U1" s="784"/>
      <c r="V1" s="784"/>
      <c r="W1" s="784"/>
      <c r="X1" s="784"/>
      <c r="Y1" s="784"/>
      <c r="Z1" s="784"/>
      <c r="AA1" s="784"/>
      <c r="AB1" s="784"/>
      <c r="AC1" s="784"/>
      <c r="AD1" s="784"/>
      <c r="AE1" s="784"/>
      <c r="AF1" s="784"/>
      <c r="AG1" s="785"/>
    </row>
    <row r="2" spans="1:33" s="213" customFormat="1" ht="26.25" customHeight="1" thickBot="1" x14ac:dyDescent="0.25">
      <c r="A2" s="214" t="s">
        <v>166</v>
      </c>
      <c r="B2" s="215" t="s">
        <v>167</v>
      </c>
      <c r="C2" s="373" t="s">
        <v>371</v>
      </c>
      <c r="D2" s="214" t="s">
        <v>271</v>
      </c>
      <c r="E2" s="215" t="s">
        <v>270</v>
      </c>
      <c r="F2" s="214" t="s">
        <v>271</v>
      </c>
      <c r="G2" s="215" t="s">
        <v>270</v>
      </c>
      <c r="H2" s="214" t="s">
        <v>271</v>
      </c>
      <c r="I2" s="215" t="s">
        <v>270</v>
      </c>
      <c r="J2" s="214" t="s">
        <v>271</v>
      </c>
      <c r="K2" s="215" t="s">
        <v>270</v>
      </c>
      <c r="L2" s="214" t="s">
        <v>271</v>
      </c>
      <c r="M2" s="215" t="s">
        <v>270</v>
      </c>
      <c r="N2" s="214" t="s">
        <v>271</v>
      </c>
      <c r="O2" s="215" t="s">
        <v>270</v>
      </c>
      <c r="P2" s="214" t="s">
        <v>271</v>
      </c>
      <c r="Q2" s="215" t="s">
        <v>270</v>
      </c>
      <c r="R2" s="214" t="s">
        <v>271</v>
      </c>
      <c r="S2" s="215" t="s">
        <v>270</v>
      </c>
      <c r="T2" s="214" t="s">
        <v>271</v>
      </c>
      <c r="U2" s="215" t="s">
        <v>270</v>
      </c>
      <c r="V2" s="214" t="s">
        <v>271</v>
      </c>
      <c r="W2" s="215" t="s">
        <v>270</v>
      </c>
      <c r="X2" s="214" t="s">
        <v>271</v>
      </c>
      <c r="Y2" s="215" t="s">
        <v>270</v>
      </c>
      <c r="Z2" s="214" t="s">
        <v>271</v>
      </c>
      <c r="AA2" s="215" t="s">
        <v>270</v>
      </c>
      <c r="AB2" s="214" t="s">
        <v>271</v>
      </c>
      <c r="AC2" s="215" t="s">
        <v>270</v>
      </c>
      <c r="AD2" s="214" t="s">
        <v>271</v>
      </c>
      <c r="AE2" s="215" t="s">
        <v>270</v>
      </c>
      <c r="AF2" s="214" t="s">
        <v>271</v>
      </c>
      <c r="AG2" s="215" t="s">
        <v>270</v>
      </c>
    </row>
    <row r="3" spans="1:33" x14ac:dyDescent="0.2">
      <c r="A3" s="413">
        <f>'Start Character'!O6</f>
        <v>1216</v>
      </c>
      <c r="B3" s="414" t="str">
        <f>VLOOKUP('Start Character'!O7+3,Calcs!E30:F41,2,FALSE)</f>
        <v>Autumn</v>
      </c>
      <c r="C3" s="450"/>
      <c r="D3" s="451"/>
      <c r="E3" s="452"/>
      <c r="F3" s="451"/>
      <c r="G3" s="452"/>
      <c r="H3" s="451"/>
      <c r="I3" s="452"/>
      <c r="J3" s="451"/>
      <c r="K3" s="452"/>
      <c r="L3" s="451"/>
      <c r="M3" s="452"/>
      <c r="N3" s="451"/>
      <c r="O3" s="452"/>
      <c r="P3" s="451"/>
      <c r="Q3" s="452"/>
      <c r="R3" s="451"/>
      <c r="S3" s="452"/>
      <c r="T3" s="451"/>
      <c r="U3" s="452"/>
      <c r="V3" s="451"/>
      <c r="W3" s="452"/>
      <c r="X3" s="451"/>
      <c r="Y3" s="452"/>
      <c r="Z3" s="451"/>
      <c r="AA3" s="452"/>
      <c r="AB3" s="451"/>
      <c r="AC3" s="452"/>
      <c r="AD3" s="451"/>
      <c r="AE3" s="452"/>
      <c r="AF3" s="451"/>
      <c r="AG3" s="452"/>
    </row>
    <row r="4" spans="1:33" x14ac:dyDescent="0.2">
      <c r="A4" s="415">
        <f>IF(B3="Autumn",A3+1,A3)</f>
        <v>1217</v>
      </c>
      <c r="B4" s="416" t="str">
        <f>IF(B3="spring","Summer",IF(B3="Summer","Autumn",IF(B3="Autumn","Winter",IF(B3="Winter","Spring"," "))))</f>
        <v>Winter</v>
      </c>
      <c r="C4" s="453"/>
      <c r="D4" s="454"/>
      <c r="E4" s="455"/>
      <c r="F4" s="454"/>
      <c r="G4" s="455"/>
      <c r="H4" s="454"/>
      <c r="I4" s="455"/>
      <c r="J4" s="454"/>
      <c r="K4" s="455"/>
      <c r="L4" s="454"/>
      <c r="M4" s="455"/>
      <c r="N4" s="454"/>
      <c r="O4" s="455"/>
      <c r="P4" s="454"/>
      <c r="Q4" s="455"/>
      <c r="R4" s="454"/>
      <c r="S4" s="455"/>
      <c r="T4" s="454"/>
      <c r="U4" s="455"/>
      <c r="V4" s="454"/>
      <c r="W4" s="455"/>
      <c r="X4" s="454"/>
      <c r="Y4" s="455"/>
      <c r="Z4" s="454"/>
      <c r="AA4" s="455"/>
      <c r="AB4" s="454"/>
      <c r="AC4" s="455"/>
      <c r="AD4" s="454"/>
      <c r="AE4" s="455"/>
      <c r="AF4" s="454"/>
      <c r="AG4" s="455"/>
    </row>
    <row r="5" spans="1:33" x14ac:dyDescent="0.2">
      <c r="A5" s="415">
        <f t="shared" ref="A5:A68" si="0">IF(B4="Autumn",A4+1,A4)</f>
        <v>1217</v>
      </c>
      <c r="B5" s="416" t="str">
        <f t="shared" ref="B5:B42" si="1">IF(B4="spring","Summer",IF(B4="Summer","Autumn",IF(B4="Autumn","Winter",IF(B4="Winter","Spring"," "))))</f>
        <v>Spring</v>
      </c>
      <c r="C5" s="453"/>
      <c r="D5" s="454"/>
      <c r="E5" s="455"/>
      <c r="F5" s="454"/>
      <c r="G5" s="455"/>
      <c r="H5" s="454"/>
      <c r="I5" s="455"/>
      <c r="J5" s="454"/>
      <c r="K5" s="455"/>
      <c r="L5" s="454"/>
      <c r="M5" s="455"/>
      <c r="N5" s="454"/>
      <c r="O5" s="455"/>
      <c r="P5" s="454"/>
      <c r="Q5" s="455"/>
      <c r="R5" s="454"/>
      <c r="S5" s="455"/>
      <c r="T5" s="454"/>
      <c r="U5" s="455"/>
      <c r="V5" s="454"/>
      <c r="W5" s="455"/>
      <c r="X5" s="454"/>
      <c r="Y5" s="455"/>
      <c r="Z5" s="454"/>
      <c r="AA5" s="455"/>
      <c r="AB5" s="454"/>
      <c r="AC5" s="455"/>
      <c r="AD5" s="454"/>
      <c r="AE5" s="455"/>
      <c r="AF5" s="454"/>
      <c r="AG5" s="455"/>
    </row>
    <row r="6" spans="1:33" x14ac:dyDescent="0.2">
      <c r="A6" s="415">
        <f t="shared" si="0"/>
        <v>1217</v>
      </c>
      <c r="B6" s="416" t="str">
        <f t="shared" si="1"/>
        <v>Summer</v>
      </c>
      <c r="C6" s="453"/>
      <c r="D6" s="454"/>
      <c r="E6" s="455"/>
      <c r="F6" s="454"/>
      <c r="G6" s="455"/>
      <c r="H6" s="454"/>
      <c r="I6" s="455"/>
      <c r="J6" s="454"/>
      <c r="K6" s="455"/>
      <c r="L6" s="454"/>
      <c r="M6" s="455"/>
      <c r="N6" s="454"/>
      <c r="O6" s="455"/>
      <c r="P6" s="454"/>
      <c r="Q6" s="455"/>
      <c r="R6" s="454"/>
      <c r="S6" s="455"/>
      <c r="T6" s="454"/>
      <c r="U6" s="455"/>
      <c r="V6" s="454"/>
      <c r="W6" s="455"/>
      <c r="X6" s="454"/>
      <c r="Y6" s="455"/>
      <c r="Z6" s="454"/>
      <c r="AA6" s="455"/>
      <c r="AB6" s="454"/>
      <c r="AC6" s="455"/>
      <c r="AD6" s="454"/>
      <c r="AE6" s="455"/>
      <c r="AF6" s="454"/>
      <c r="AG6" s="455"/>
    </row>
    <row r="7" spans="1:33" x14ac:dyDescent="0.2">
      <c r="A7" s="415">
        <f t="shared" si="0"/>
        <v>1217</v>
      </c>
      <c r="B7" s="416" t="str">
        <f t="shared" si="1"/>
        <v>Autumn</v>
      </c>
      <c r="C7" s="453"/>
      <c r="D7" s="454"/>
      <c r="E7" s="455"/>
      <c r="F7" s="454"/>
      <c r="G7" s="455"/>
      <c r="H7" s="454"/>
      <c r="I7" s="455"/>
      <c r="J7" s="454"/>
      <c r="K7" s="455"/>
      <c r="L7" s="454"/>
      <c r="M7" s="455"/>
      <c r="N7" s="454"/>
      <c r="O7" s="455"/>
      <c r="P7" s="454"/>
      <c r="Q7" s="455"/>
      <c r="R7" s="454"/>
      <c r="S7" s="455"/>
      <c r="T7" s="454"/>
      <c r="U7" s="455"/>
      <c r="V7" s="454"/>
      <c r="W7" s="455"/>
      <c r="X7" s="454"/>
      <c r="Y7" s="455"/>
      <c r="Z7" s="454"/>
      <c r="AA7" s="455"/>
      <c r="AB7" s="454"/>
      <c r="AC7" s="455"/>
      <c r="AD7" s="454"/>
      <c r="AE7" s="455"/>
      <c r="AF7" s="454"/>
      <c r="AG7" s="455"/>
    </row>
    <row r="8" spans="1:33" x14ac:dyDescent="0.2">
      <c r="A8" s="415">
        <f t="shared" si="0"/>
        <v>1218</v>
      </c>
      <c r="B8" s="416" t="str">
        <f t="shared" si="1"/>
        <v>Winter</v>
      </c>
      <c r="C8" s="453"/>
      <c r="D8" s="454"/>
      <c r="E8" s="455"/>
      <c r="F8" s="454"/>
      <c r="G8" s="455"/>
      <c r="H8" s="454"/>
      <c r="I8" s="455"/>
      <c r="J8" s="454"/>
      <c r="K8" s="455"/>
      <c r="L8" s="454"/>
      <c r="M8" s="455"/>
      <c r="N8" s="454"/>
      <c r="O8" s="455"/>
      <c r="P8" s="454"/>
      <c r="Q8" s="455"/>
      <c r="R8" s="454"/>
      <c r="S8" s="455"/>
      <c r="T8" s="454"/>
      <c r="U8" s="455"/>
      <c r="V8" s="454"/>
      <c r="W8" s="455"/>
      <c r="X8" s="454"/>
      <c r="Y8" s="455"/>
      <c r="Z8" s="454"/>
      <c r="AA8" s="455"/>
      <c r="AB8" s="454"/>
      <c r="AC8" s="455"/>
      <c r="AD8" s="454"/>
      <c r="AE8" s="455"/>
      <c r="AF8" s="454"/>
      <c r="AG8" s="455"/>
    </row>
    <row r="9" spans="1:33" x14ac:dyDescent="0.2">
      <c r="A9" s="415">
        <f t="shared" si="0"/>
        <v>1218</v>
      </c>
      <c r="B9" s="416" t="str">
        <f t="shared" si="1"/>
        <v>Spring</v>
      </c>
      <c r="C9" s="453"/>
      <c r="D9" s="454"/>
      <c r="E9" s="455"/>
      <c r="F9" s="454"/>
      <c r="G9" s="455"/>
      <c r="H9" s="454"/>
      <c r="I9" s="455"/>
      <c r="J9" s="454"/>
      <c r="K9" s="455"/>
      <c r="L9" s="454"/>
      <c r="M9" s="455"/>
      <c r="N9" s="454"/>
      <c r="O9" s="455"/>
      <c r="P9" s="454"/>
      <c r="Q9" s="455"/>
      <c r="R9" s="454"/>
      <c r="S9" s="455"/>
      <c r="T9" s="454"/>
      <c r="U9" s="455"/>
      <c r="V9" s="454"/>
      <c r="W9" s="455"/>
      <c r="X9" s="454"/>
      <c r="Y9" s="455"/>
      <c r="Z9" s="454"/>
      <c r="AA9" s="455"/>
      <c r="AB9" s="454"/>
      <c r="AC9" s="455"/>
      <c r="AD9" s="454"/>
      <c r="AE9" s="455"/>
      <c r="AF9" s="454"/>
      <c r="AG9" s="455"/>
    </row>
    <row r="10" spans="1:33" x14ac:dyDescent="0.2">
      <c r="A10" s="415">
        <f t="shared" si="0"/>
        <v>1218</v>
      </c>
      <c r="B10" s="416" t="str">
        <f t="shared" si="1"/>
        <v>Summer</v>
      </c>
      <c r="C10" s="453"/>
      <c r="D10" s="454"/>
      <c r="E10" s="455"/>
      <c r="F10" s="454"/>
      <c r="G10" s="455"/>
      <c r="H10" s="454"/>
      <c r="I10" s="455"/>
      <c r="J10" s="454"/>
      <c r="K10" s="455"/>
      <c r="L10" s="454"/>
      <c r="M10" s="455"/>
      <c r="N10" s="454"/>
      <c r="O10" s="455"/>
      <c r="P10" s="454"/>
      <c r="Q10" s="455"/>
      <c r="R10" s="454"/>
      <c r="S10" s="455"/>
      <c r="T10" s="454"/>
      <c r="U10" s="455"/>
      <c r="V10" s="454"/>
      <c r="W10" s="455"/>
      <c r="X10" s="454"/>
      <c r="Y10" s="455"/>
      <c r="Z10" s="454"/>
      <c r="AA10" s="455"/>
      <c r="AB10" s="454"/>
      <c r="AC10" s="455"/>
      <c r="AD10" s="454"/>
      <c r="AE10" s="455"/>
      <c r="AF10" s="454"/>
      <c r="AG10" s="455"/>
    </row>
    <row r="11" spans="1:33" x14ac:dyDescent="0.2">
      <c r="A11" s="415">
        <f t="shared" si="0"/>
        <v>1218</v>
      </c>
      <c r="B11" s="416" t="str">
        <f t="shared" si="1"/>
        <v>Autumn</v>
      </c>
      <c r="C11" s="453"/>
      <c r="D11" s="454"/>
      <c r="E11" s="455"/>
      <c r="F11" s="454"/>
      <c r="G11" s="455"/>
      <c r="H11" s="454"/>
      <c r="I11" s="455"/>
      <c r="J11" s="454"/>
      <c r="K11" s="455"/>
      <c r="L11" s="454"/>
      <c r="M11" s="455"/>
      <c r="N11" s="454"/>
      <c r="O11" s="455"/>
      <c r="P11" s="454"/>
      <c r="Q11" s="455"/>
      <c r="R11" s="454"/>
      <c r="S11" s="455"/>
      <c r="T11" s="454"/>
      <c r="U11" s="455"/>
      <c r="V11" s="454"/>
      <c r="W11" s="455"/>
      <c r="X11" s="454"/>
      <c r="Y11" s="455"/>
      <c r="Z11" s="454"/>
      <c r="AA11" s="455"/>
      <c r="AB11" s="454"/>
      <c r="AC11" s="455"/>
      <c r="AD11" s="454"/>
      <c r="AE11" s="455"/>
      <c r="AF11" s="454"/>
      <c r="AG11" s="455"/>
    </row>
    <row r="12" spans="1:33" x14ac:dyDescent="0.2">
      <c r="A12" s="415">
        <f t="shared" si="0"/>
        <v>1219</v>
      </c>
      <c r="B12" s="416" t="str">
        <f t="shared" si="1"/>
        <v>Winter</v>
      </c>
      <c r="C12" s="453"/>
      <c r="D12" s="454"/>
      <c r="E12" s="455"/>
      <c r="F12" s="454"/>
      <c r="G12" s="455"/>
      <c r="H12" s="454"/>
      <c r="I12" s="455"/>
      <c r="J12" s="454"/>
      <c r="K12" s="455"/>
      <c r="L12" s="454"/>
      <c r="M12" s="455"/>
      <c r="N12" s="454"/>
      <c r="O12" s="455"/>
      <c r="P12" s="454"/>
      <c r="Q12" s="455"/>
      <c r="R12" s="454"/>
      <c r="S12" s="455"/>
      <c r="T12" s="454"/>
      <c r="U12" s="455"/>
      <c r="V12" s="454"/>
      <c r="W12" s="455"/>
      <c r="X12" s="454"/>
      <c r="Y12" s="455"/>
      <c r="Z12" s="454"/>
      <c r="AA12" s="455"/>
      <c r="AB12" s="454"/>
      <c r="AC12" s="455"/>
      <c r="AD12" s="454"/>
      <c r="AE12" s="455"/>
      <c r="AF12" s="454"/>
      <c r="AG12" s="455"/>
    </row>
    <row r="13" spans="1:33" x14ac:dyDescent="0.2">
      <c r="A13" s="415">
        <f t="shared" si="0"/>
        <v>1219</v>
      </c>
      <c r="B13" s="416" t="str">
        <f t="shared" si="1"/>
        <v>Spring</v>
      </c>
      <c r="C13" s="453"/>
      <c r="D13" s="454"/>
      <c r="E13" s="455"/>
      <c r="F13" s="454"/>
      <c r="G13" s="455"/>
      <c r="H13" s="454"/>
      <c r="I13" s="455"/>
      <c r="J13" s="454"/>
      <c r="K13" s="455"/>
      <c r="L13" s="454"/>
      <c r="M13" s="455"/>
      <c r="N13" s="454"/>
      <c r="O13" s="455"/>
      <c r="P13" s="454"/>
      <c r="Q13" s="455"/>
      <c r="R13" s="454"/>
      <c r="S13" s="455"/>
      <c r="T13" s="454"/>
      <c r="U13" s="455"/>
      <c r="V13" s="454"/>
      <c r="W13" s="455"/>
      <c r="X13" s="454"/>
      <c r="Y13" s="455"/>
      <c r="Z13" s="454"/>
      <c r="AA13" s="455"/>
      <c r="AB13" s="454"/>
      <c r="AC13" s="455"/>
      <c r="AD13" s="454"/>
      <c r="AE13" s="455"/>
      <c r="AF13" s="454"/>
      <c r="AG13" s="455"/>
    </row>
    <row r="14" spans="1:33" x14ac:dyDescent="0.2">
      <c r="A14" s="415">
        <f t="shared" si="0"/>
        <v>1219</v>
      </c>
      <c r="B14" s="416" t="str">
        <f t="shared" si="1"/>
        <v>Summer</v>
      </c>
      <c r="C14" s="453"/>
      <c r="D14" s="454"/>
      <c r="E14" s="455"/>
      <c r="F14" s="454"/>
      <c r="G14" s="455"/>
      <c r="H14" s="454"/>
      <c r="I14" s="455"/>
      <c r="J14" s="454"/>
      <c r="K14" s="455"/>
      <c r="L14" s="454"/>
      <c r="M14" s="455"/>
      <c r="N14" s="454"/>
      <c r="O14" s="455"/>
      <c r="P14" s="454"/>
      <c r="Q14" s="455"/>
      <c r="R14" s="454"/>
      <c r="S14" s="455"/>
      <c r="T14" s="454"/>
      <c r="U14" s="455"/>
      <c r="V14" s="454"/>
      <c r="W14" s="455"/>
      <c r="X14" s="454"/>
      <c r="Y14" s="455"/>
      <c r="Z14" s="454"/>
      <c r="AA14" s="455"/>
      <c r="AB14" s="454"/>
      <c r="AC14" s="455"/>
      <c r="AD14" s="454"/>
      <c r="AE14" s="455"/>
      <c r="AF14" s="454"/>
      <c r="AG14" s="455"/>
    </row>
    <row r="15" spans="1:33" x14ac:dyDescent="0.2">
      <c r="A15" s="415">
        <f t="shared" si="0"/>
        <v>1219</v>
      </c>
      <c r="B15" s="416" t="str">
        <f t="shared" si="1"/>
        <v>Autumn</v>
      </c>
      <c r="C15" s="453"/>
      <c r="D15" s="454"/>
      <c r="E15" s="455"/>
      <c r="F15" s="454"/>
      <c r="G15" s="455"/>
      <c r="H15" s="454"/>
      <c r="I15" s="455"/>
      <c r="J15" s="454"/>
      <c r="K15" s="455"/>
      <c r="L15" s="454"/>
      <c r="M15" s="455"/>
      <c r="N15" s="454"/>
      <c r="O15" s="455"/>
      <c r="P15" s="454"/>
      <c r="Q15" s="455"/>
      <c r="R15" s="454"/>
      <c r="S15" s="455"/>
      <c r="T15" s="454"/>
      <c r="U15" s="455"/>
      <c r="V15" s="454"/>
      <c r="W15" s="455"/>
      <c r="X15" s="454"/>
      <c r="Y15" s="455"/>
      <c r="Z15" s="454"/>
      <c r="AA15" s="455"/>
      <c r="AB15" s="454"/>
      <c r="AC15" s="455"/>
      <c r="AD15" s="454"/>
      <c r="AE15" s="455"/>
      <c r="AF15" s="454"/>
      <c r="AG15" s="455"/>
    </row>
    <row r="16" spans="1:33" x14ac:dyDescent="0.2">
      <c r="A16" s="415">
        <f t="shared" si="0"/>
        <v>1220</v>
      </c>
      <c r="B16" s="416" t="str">
        <f t="shared" si="1"/>
        <v>Winter</v>
      </c>
      <c r="C16" s="453"/>
      <c r="D16" s="454"/>
      <c r="E16" s="455"/>
      <c r="F16" s="454"/>
      <c r="G16" s="455"/>
      <c r="H16" s="454"/>
      <c r="I16" s="455"/>
      <c r="J16" s="454"/>
      <c r="K16" s="455"/>
      <c r="L16" s="454"/>
      <c r="M16" s="455"/>
      <c r="N16" s="454"/>
      <c r="O16" s="455"/>
      <c r="P16" s="454"/>
      <c r="Q16" s="455"/>
      <c r="R16" s="454"/>
      <c r="S16" s="455"/>
      <c r="T16" s="454"/>
      <c r="U16" s="455"/>
      <c r="V16" s="454"/>
      <c r="W16" s="455"/>
      <c r="X16" s="454"/>
      <c r="Y16" s="455"/>
      <c r="Z16" s="454"/>
      <c r="AA16" s="455"/>
      <c r="AB16" s="454"/>
      <c r="AC16" s="455"/>
      <c r="AD16" s="454"/>
      <c r="AE16" s="455"/>
      <c r="AF16" s="454"/>
      <c r="AG16" s="455"/>
    </row>
    <row r="17" spans="1:33" x14ac:dyDescent="0.2">
      <c r="A17" s="415">
        <f t="shared" si="0"/>
        <v>1220</v>
      </c>
      <c r="B17" s="416" t="str">
        <f t="shared" si="1"/>
        <v>Spring</v>
      </c>
      <c r="C17" s="453"/>
      <c r="D17" s="454"/>
      <c r="E17" s="455"/>
      <c r="F17" s="454"/>
      <c r="G17" s="455"/>
      <c r="H17" s="454"/>
      <c r="I17" s="455"/>
      <c r="J17" s="454"/>
      <c r="K17" s="455"/>
      <c r="L17" s="454"/>
      <c r="M17" s="455"/>
      <c r="N17" s="454"/>
      <c r="O17" s="455"/>
      <c r="P17" s="454"/>
      <c r="Q17" s="455"/>
      <c r="R17" s="454"/>
      <c r="S17" s="455"/>
      <c r="T17" s="454"/>
      <c r="U17" s="455"/>
      <c r="V17" s="454"/>
      <c r="W17" s="455"/>
      <c r="X17" s="454"/>
      <c r="Y17" s="455"/>
      <c r="Z17" s="454"/>
      <c r="AA17" s="455"/>
      <c r="AB17" s="454"/>
      <c r="AC17" s="455"/>
      <c r="AD17" s="454"/>
      <c r="AE17" s="455"/>
      <c r="AF17" s="454"/>
      <c r="AG17" s="455"/>
    </row>
    <row r="18" spans="1:33" x14ac:dyDescent="0.2">
      <c r="A18" s="415">
        <f t="shared" si="0"/>
        <v>1220</v>
      </c>
      <c r="B18" s="416" t="str">
        <f t="shared" si="1"/>
        <v>Summer</v>
      </c>
      <c r="C18" s="453"/>
      <c r="D18" s="454"/>
      <c r="E18" s="455"/>
      <c r="F18" s="454"/>
      <c r="G18" s="455"/>
      <c r="H18" s="454"/>
      <c r="I18" s="455"/>
      <c r="J18" s="454"/>
      <c r="K18" s="455"/>
      <c r="L18" s="454"/>
      <c r="M18" s="455"/>
      <c r="N18" s="454"/>
      <c r="O18" s="455"/>
      <c r="P18" s="454"/>
      <c r="Q18" s="455"/>
      <c r="R18" s="454"/>
      <c r="S18" s="455"/>
      <c r="T18" s="454"/>
      <c r="U18" s="455"/>
      <c r="V18" s="454"/>
      <c r="W18" s="455"/>
      <c r="X18" s="454"/>
      <c r="Y18" s="455"/>
      <c r="Z18" s="454"/>
      <c r="AA18" s="455"/>
      <c r="AB18" s="454"/>
      <c r="AC18" s="455"/>
      <c r="AD18" s="454"/>
      <c r="AE18" s="455"/>
      <c r="AF18" s="454"/>
      <c r="AG18" s="455"/>
    </row>
    <row r="19" spans="1:33" x14ac:dyDescent="0.2">
      <c r="A19" s="415">
        <f t="shared" si="0"/>
        <v>1220</v>
      </c>
      <c r="B19" s="416" t="str">
        <f t="shared" si="1"/>
        <v>Autumn</v>
      </c>
      <c r="C19" s="453"/>
      <c r="D19" s="454"/>
      <c r="E19" s="455"/>
      <c r="F19" s="454"/>
      <c r="G19" s="455"/>
      <c r="H19" s="454"/>
      <c r="I19" s="455"/>
      <c r="J19" s="454"/>
      <c r="K19" s="455"/>
      <c r="L19" s="454"/>
      <c r="M19" s="455"/>
      <c r="N19" s="454"/>
      <c r="O19" s="455"/>
      <c r="P19" s="454"/>
      <c r="Q19" s="455"/>
      <c r="R19" s="454"/>
      <c r="S19" s="455"/>
      <c r="T19" s="454"/>
      <c r="U19" s="455"/>
      <c r="V19" s="454"/>
      <c r="W19" s="455"/>
      <c r="X19" s="454"/>
      <c r="Y19" s="455"/>
      <c r="Z19" s="454"/>
      <c r="AA19" s="455"/>
      <c r="AB19" s="454"/>
      <c r="AC19" s="455"/>
      <c r="AD19" s="454"/>
      <c r="AE19" s="455"/>
      <c r="AF19" s="454"/>
      <c r="AG19" s="455"/>
    </row>
    <row r="20" spans="1:33" x14ac:dyDescent="0.2">
      <c r="A20" s="415">
        <f t="shared" si="0"/>
        <v>1221</v>
      </c>
      <c r="B20" s="416" t="str">
        <f t="shared" si="1"/>
        <v>Winter</v>
      </c>
      <c r="C20" s="453"/>
      <c r="D20" s="454"/>
      <c r="E20" s="455"/>
      <c r="F20" s="454"/>
      <c r="G20" s="455"/>
      <c r="H20" s="454"/>
      <c r="I20" s="455"/>
      <c r="J20" s="454"/>
      <c r="K20" s="455"/>
      <c r="L20" s="454"/>
      <c r="M20" s="455"/>
      <c r="N20" s="454"/>
      <c r="O20" s="455"/>
      <c r="P20" s="454"/>
      <c r="Q20" s="455"/>
      <c r="R20" s="454"/>
      <c r="S20" s="455"/>
      <c r="T20" s="454"/>
      <c r="U20" s="455"/>
      <c r="V20" s="454"/>
      <c r="W20" s="455"/>
      <c r="X20" s="454"/>
      <c r="Y20" s="455"/>
      <c r="Z20" s="454"/>
      <c r="AA20" s="455"/>
      <c r="AB20" s="454"/>
      <c r="AC20" s="455"/>
      <c r="AD20" s="454"/>
      <c r="AE20" s="455"/>
      <c r="AF20" s="454"/>
      <c r="AG20" s="455"/>
    </row>
    <row r="21" spans="1:33" x14ac:dyDescent="0.2">
      <c r="A21" s="415">
        <f t="shared" si="0"/>
        <v>1221</v>
      </c>
      <c r="B21" s="416" t="str">
        <f t="shared" si="1"/>
        <v>Spring</v>
      </c>
      <c r="C21" s="453"/>
      <c r="D21" s="454"/>
      <c r="E21" s="455"/>
      <c r="F21" s="454"/>
      <c r="G21" s="455"/>
      <c r="H21" s="454"/>
      <c r="I21" s="455"/>
      <c r="J21" s="454"/>
      <c r="K21" s="455"/>
      <c r="L21" s="454"/>
      <c r="M21" s="455"/>
      <c r="N21" s="454"/>
      <c r="O21" s="455"/>
      <c r="P21" s="454"/>
      <c r="Q21" s="455"/>
      <c r="R21" s="454"/>
      <c r="S21" s="455"/>
      <c r="T21" s="454"/>
      <c r="U21" s="455"/>
      <c r="V21" s="454"/>
      <c r="W21" s="455"/>
      <c r="X21" s="454"/>
      <c r="Y21" s="455"/>
      <c r="Z21" s="454"/>
      <c r="AA21" s="455"/>
      <c r="AB21" s="454"/>
      <c r="AC21" s="455"/>
      <c r="AD21" s="454"/>
      <c r="AE21" s="455"/>
      <c r="AF21" s="454"/>
      <c r="AG21" s="455"/>
    </row>
    <row r="22" spans="1:33" x14ac:dyDescent="0.2">
      <c r="A22" s="415">
        <f t="shared" si="0"/>
        <v>1221</v>
      </c>
      <c r="B22" s="416" t="str">
        <f t="shared" si="1"/>
        <v>Summer</v>
      </c>
      <c r="C22" s="453"/>
      <c r="D22" s="454"/>
      <c r="E22" s="455"/>
      <c r="F22" s="454"/>
      <c r="G22" s="455"/>
      <c r="H22" s="454"/>
      <c r="I22" s="455"/>
      <c r="J22" s="454"/>
      <c r="K22" s="455"/>
      <c r="L22" s="454"/>
      <c r="M22" s="455"/>
      <c r="N22" s="454"/>
      <c r="O22" s="455"/>
      <c r="P22" s="454"/>
      <c r="Q22" s="455"/>
      <c r="R22" s="454"/>
      <c r="S22" s="455"/>
      <c r="T22" s="454"/>
      <c r="U22" s="455"/>
      <c r="V22" s="454"/>
      <c r="W22" s="455"/>
      <c r="X22" s="454"/>
      <c r="Y22" s="455"/>
      <c r="Z22" s="454"/>
      <c r="AA22" s="455"/>
      <c r="AB22" s="454"/>
      <c r="AC22" s="455"/>
      <c r="AD22" s="454"/>
      <c r="AE22" s="455"/>
      <c r="AF22" s="454"/>
      <c r="AG22" s="455"/>
    </row>
    <row r="23" spans="1:33" x14ac:dyDescent="0.2">
      <c r="A23" s="415">
        <f t="shared" si="0"/>
        <v>1221</v>
      </c>
      <c r="B23" s="416" t="str">
        <f t="shared" si="1"/>
        <v>Autumn</v>
      </c>
      <c r="C23" s="453"/>
      <c r="D23" s="454"/>
      <c r="E23" s="455"/>
      <c r="F23" s="454"/>
      <c r="G23" s="455"/>
      <c r="H23" s="454"/>
      <c r="I23" s="455"/>
      <c r="J23" s="454"/>
      <c r="K23" s="455"/>
      <c r="L23" s="454"/>
      <c r="M23" s="455"/>
      <c r="N23" s="454"/>
      <c r="O23" s="455"/>
      <c r="P23" s="454"/>
      <c r="Q23" s="455"/>
      <c r="R23" s="454"/>
      <c r="S23" s="455"/>
      <c r="T23" s="454"/>
      <c r="U23" s="455"/>
      <c r="V23" s="454"/>
      <c r="W23" s="455"/>
      <c r="X23" s="454"/>
      <c r="Y23" s="455"/>
      <c r="Z23" s="454"/>
      <c r="AA23" s="455"/>
      <c r="AB23" s="454"/>
      <c r="AC23" s="455"/>
      <c r="AD23" s="454"/>
      <c r="AE23" s="455"/>
      <c r="AF23" s="454"/>
      <c r="AG23" s="455"/>
    </row>
    <row r="24" spans="1:33" x14ac:dyDescent="0.2">
      <c r="A24" s="415">
        <f t="shared" si="0"/>
        <v>1222</v>
      </c>
      <c r="B24" s="416" t="str">
        <f t="shared" si="1"/>
        <v>Winter</v>
      </c>
      <c r="C24" s="453"/>
      <c r="D24" s="454"/>
      <c r="E24" s="455"/>
      <c r="F24" s="454"/>
      <c r="G24" s="455"/>
      <c r="H24" s="454"/>
      <c r="I24" s="455"/>
      <c r="J24" s="454"/>
      <c r="K24" s="455"/>
      <c r="L24" s="454"/>
      <c r="M24" s="455"/>
      <c r="N24" s="454"/>
      <c r="O24" s="455"/>
      <c r="P24" s="454"/>
      <c r="Q24" s="455"/>
      <c r="R24" s="454"/>
      <c r="S24" s="455"/>
      <c r="T24" s="454"/>
      <c r="U24" s="455"/>
      <c r="V24" s="454"/>
      <c r="W24" s="455"/>
      <c r="X24" s="454"/>
      <c r="Y24" s="455"/>
      <c r="Z24" s="454"/>
      <c r="AA24" s="455"/>
      <c r="AB24" s="454"/>
      <c r="AC24" s="455"/>
      <c r="AD24" s="454"/>
      <c r="AE24" s="455"/>
      <c r="AF24" s="454"/>
      <c r="AG24" s="455"/>
    </row>
    <row r="25" spans="1:33" x14ac:dyDescent="0.2">
      <c r="A25" s="415">
        <f t="shared" si="0"/>
        <v>1222</v>
      </c>
      <c r="B25" s="416" t="str">
        <f t="shared" si="1"/>
        <v>Spring</v>
      </c>
      <c r="C25" s="453"/>
      <c r="D25" s="454"/>
      <c r="E25" s="455"/>
      <c r="F25" s="454"/>
      <c r="G25" s="455"/>
      <c r="H25" s="454"/>
      <c r="I25" s="455"/>
      <c r="J25" s="454"/>
      <c r="K25" s="455"/>
      <c r="L25" s="454"/>
      <c r="M25" s="455"/>
      <c r="N25" s="454"/>
      <c r="O25" s="455"/>
      <c r="P25" s="454"/>
      <c r="Q25" s="455"/>
      <c r="R25" s="454"/>
      <c r="S25" s="455"/>
      <c r="T25" s="454"/>
      <c r="U25" s="455"/>
      <c r="V25" s="454"/>
      <c r="W25" s="455"/>
      <c r="X25" s="454"/>
      <c r="Y25" s="455"/>
      <c r="Z25" s="454"/>
      <c r="AA25" s="455"/>
      <c r="AB25" s="454"/>
      <c r="AC25" s="455"/>
      <c r="AD25" s="454"/>
      <c r="AE25" s="455"/>
      <c r="AF25" s="454"/>
      <c r="AG25" s="455"/>
    </row>
    <row r="26" spans="1:33" x14ac:dyDescent="0.2">
      <c r="A26" s="415">
        <f t="shared" si="0"/>
        <v>1222</v>
      </c>
      <c r="B26" s="416" t="str">
        <f t="shared" si="1"/>
        <v>Summer</v>
      </c>
      <c r="C26" s="453"/>
      <c r="D26" s="454"/>
      <c r="E26" s="455"/>
      <c r="F26" s="454"/>
      <c r="G26" s="455"/>
      <c r="H26" s="454"/>
      <c r="I26" s="455"/>
      <c r="J26" s="454"/>
      <c r="K26" s="455"/>
      <c r="L26" s="454"/>
      <c r="M26" s="455"/>
      <c r="N26" s="454"/>
      <c r="O26" s="455"/>
      <c r="P26" s="454"/>
      <c r="Q26" s="455"/>
      <c r="R26" s="454"/>
      <c r="S26" s="455"/>
      <c r="T26" s="454"/>
      <c r="U26" s="455"/>
      <c r="V26" s="454"/>
      <c r="W26" s="455"/>
      <c r="X26" s="454"/>
      <c r="Y26" s="455"/>
      <c r="Z26" s="454"/>
      <c r="AA26" s="455"/>
      <c r="AB26" s="454"/>
      <c r="AC26" s="455"/>
      <c r="AD26" s="454"/>
      <c r="AE26" s="455"/>
      <c r="AF26" s="454"/>
      <c r="AG26" s="455"/>
    </row>
    <row r="27" spans="1:33" x14ac:dyDescent="0.2">
      <c r="A27" s="415">
        <f t="shared" si="0"/>
        <v>1222</v>
      </c>
      <c r="B27" s="416" t="str">
        <f t="shared" si="1"/>
        <v>Autumn</v>
      </c>
      <c r="C27" s="453"/>
      <c r="D27" s="454"/>
      <c r="E27" s="455"/>
      <c r="F27" s="454"/>
      <c r="G27" s="455"/>
      <c r="H27" s="454"/>
      <c r="I27" s="455"/>
      <c r="J27" s="454"/>
      <c r="K27" s="455"/>
      <c r="L27" s="454"/>
      <c r="M27" s="455"/>
      <c r="N27" s="454"/>
      <c r="O27" s="455"/>
      <c r="P27" s="454"/>
      <c r="Q27" s="455"/>
      <c r="R27" s="454"/>
      <c r="S27" s="455"/>
      <c r="T27" s="454"/>
      <c r="U27" s="455"/>
      <c r="V27" s="454"/>
      <c r="W27" s="455"/>
      <c r="X27" s="454"/>
      <c r="Y27" s="455"/>
      <c r="Z27" s="454"/>
      <c r="AA27" s="455"/>
      <c r="AB27" s="454"/>
      <c r="AC27" s="455"/>
      <c r="AD27" s="454"/>
      <c r="AE27" s="455"/>
      <c r="AF27" s="454"/>
      <c r="AG27" s="455"/>
    </row>
    <row r="28" spans="1:33" x14ac:dyDescent="0.2">
      <c r="A28" s="415">
        <f t="shared" si="0"/>
        <v>1223</v>
      </c>
      <c r="B28" s="416" t="str">
        <f t="shared" si="1"/>
        <v>Winter</v>
      </c>
      <c r="C28" s="453"/>
      <c r="D28" s="454"/>
      <c r="E28" s="455"/>
      <c r="F28" s="454"/>
      <c r="G28" s="455"/>
      <c r="H28" s="454"/>
      <c r="I28" s="455"/>
      <c r="J28" s="454"/>
      <c r="K28" s="455"/>
      <c r="L28" s="454"/>
      <c r="M28" s="455"/>
      <c r="N28" s="454"/>
      <c r="O28" s="455"/>
      <c r="P28" s="454"/>
      <c r="Q28" s="455"/>
      <c r="R28" s="454"/>
      <c r="S28" s="455"/>
      <c r="T28" s="454"/>
      <c r="U28" s="455"/>
      <c r="V28" s="454"/>
      <c r="W28" s="455"/>
      <c r="X28" s="454"/>
      <c r="Y28" s="455"/>
      <c r="Z28" s="454"/>
      <c r="AA28" s="455"/>
      <c r="AB28" s="454"/>
      <c r="AC28" s="455"/>
      <c r="AD28" s="454"/>
      <c r="AE28" s="455"/>
      <c r="AF28" s="454"/>
      <c r="AG28" s="455"/>
    </row>
    <row r="29" spans="1:33" x14ac:dyDescent="0.2">
      <c r="A29" s="415">
        <f t="shared" si="0"/>
        <v>1223</v>
      </c>
      <c r="B29" s="416" t="str">
        <f t="shared" si="1"/>
        <v>Spring</v>
      </c>
      <c r="C29" s="453"/>
      <c r="D29" s="454"/>
      <c r="E29" s="455"/>
      <c r="F29" s="454"/>
      <c r="G29" s="455"/>
      <c r="H29" s="454"/>
      <c r="I29" s="455"/>
      <c r="J29" s="454"/>
      <c r="K29" s="455"/>
      <c r="L29" s="454"/>
      <c r="M29" s="455"/>
      <c r="N29" s="454"/>
      <c r="O29" s="455"/>
      <c r="P29" s="454"/>
      <c r="Q29" s="455"/>
      <c r="R29" s="454"/>
      <c r="S29" s="455"/>
      <c r="T29" s="454"/>
      <c r="U29" s="455"/>
      <c r="V29" s="454"/>
      <c r="W29" s="455"/>
      <c r="X29" s="454"/>
      <c r="Y29" s="455"/>
      <c r="Z29" s="454"/>
      <c r="AA29" s="455"/>
      <c r="AB29" s="454"/>
      <c r="AC29" s="455"/>
      <c r="AD29" s="454"/>
      <c r="AE29" s="455"/>
      <c r="AF29" s="454"/>
      <c r="AG29" s="455"/>
    </row>
    <row r="30" spans="1:33" x14ac:dyDescent="0.2">
      <c r="A30" s="415">
        <f t="shared" si="0"/>
        <v>1223</v>
      </c>
      <c r="B30" s="416" t="str">
        <f t="shared" si="1"/>
        <v>Summer</v>
      </c>
      <c r="C30" s="453"/>
      <c r="D30" s="454"/>
      <c r="E30" s="455"/>
      <c r="F30" s="454"/>
      <c r="G30" s="455"/>
      <c r="H30" s="454"/>
      <c r="I30" s="455"/>
      <c r="J30" s="454"/>
      <c r="K30" s="455"/>
      <c r="L30" s="454"/>
      <c r="M30" s="455"/>
      <c r="N30" s="454"/>
      <c r="O30" s="455"/>
      <c r="P30" s="454"/>
      <c r="Q30" s="455"/>
      <c r="R30" s="454"/>
      <c r="S30" s="455"/>
      <c r="T30" s="454"/>
      <c r="U30" s="455"/>
      <c r="V30" s="454"/>
      <c r="W30" s="455"/>
      <c r="X30" s="454"/>
      <c r="Y30" s="455"/>
      <c r="Z30" s="454"/>
      <c r="AA30" s="455"/>
      <c r="AB30" s="454"/>
      <c r="AC30" s="455"/>
      <c r="AD30" s="454"/>
      <c r="AE30" s="455"/>
      <c r="AF30" s="454"/>
      <c r="AG30" s="455"/>
    </row>
    <row r="31" spans="1:33" x14ac:dyDescent="0.2">
      <c r="A31" s="415">
        <f t="shared" si="0"/>
        <v>1223</v>
      </c>
      <c r="B31" s="416" t="str">
        <f t="shared" si="1"/>
        <v>Autumn</v>
      </c>
      <c r="C31" s="453"/>
      <c r="D31" s="454"/>
      <c r="E31" s="455"/>
      <c r="F31" s="454"/>
      <c r="G31" s="455"/>
      <c r="H31" s="454"/>
      <c r="I31" s="455"/>
      <c r="J31" s="454"/>
      <c r="K31" s="455"/>
      <c r="L31" s="454"/>
      <c r="M31" s="455"/>
      <c r="N31" s="454"/>
      <c r="O31" s="455"/>
      <c r="P31" s="454"/>
      <c r="Q31" s="455"/>
      <c r="R31" s="454"/>
      <c r="S31" s="455"/>
      <c r="T31" s="454"/>
      <c r="U31" s="455"/>
      <c r="V31" s="454"/>
      <c r="W31" s="455"/>
      <c r="X31" s="454"/>
      <c r="Y31" s="455"/>
      <c r="Z31" s="454"/>
      <c r="AA31" s="455"/>
      <c r="AB31" s="454"/>
      <c r="AC31" s="455"/>
      <c r="AD31" s="454"/>
      <c r="AE31" s="455"/>
      <c r="AF31" s="454"/>
      <c r="AG31" s="455"/>
    </row>
    <row r="32" spans="1:33" x14ac:dyDescent="0.2">
      <c r="A32" s="415">
        <f t="shared" si="0"/>
        <v>1224</v>
      </c>
      <c r="B32" s="416" t="str">
        <f t="shared" si="1"/>
        <v>Winter</v>
      </c>
      <c r="C32" s="453"/>
      <c r="D32" s="454"/>
      <c r="E32" s="455"/>
      <c r="F32" s="454"/>
      <c r="G32" s="455"/>
      <c r="H32" s="454"/>
      <c r="I32" s="455"/>
      <c r="J32" s="454"/>
      <c r="K32" s="455"/>
      <c r="L32" s="454"/>
      <c r="M32" s="455"/>
      <c r="N32" s="454"/>
      <c r="O32" s="455"/>
      <c r="P32" s="454"/>
      <c r="Q32" s="455"/>
      <c r="R32" s="454"/>
      <c r="S32" s="455"/>
      <c r="T32" s="454"/>
      <c r="U32" s="455"/>
      <c r="V32" s="454"/>
      <c r="W32" s="455"/>
      <c r="X32" s="454"/>
      <c r="Y32" s="455"/>
      <c r="Z32" s="454"/>
      <c r="AA32" s="455"/>
      <c r="AB32" s="454"/>
      <c r="AC32" s="455"/>
      <c r="AD32" s="454"/>
      <c r="AE32" s="455"/>
      <c r="AF32" s="454"/>
      <c r="AG32" s="455"/>
    </row>
    <row r="33" spans="1:33" x14ac:dyDescent="0.2">
      <c r="A33" s="415">
        <f t="shared" si="0"/>
        <v>1224</v>
      </c>
      <c r="B33" s="416" t="str">
        <f t="shared" si="1"/>
        <v>Spring</v>
      </c>
      <c r="C33" s="453"/>
      <c r="D33" s="454"/>
      <c r="E33" s="455"/>
      <c r="F33" s="454"/>
      <c r="G33" s="455"/>
      <c r="H33" s="454"/>
      <c r="I33" s="455"/>
      <c r="J33" s="454"/>
      <c r="K33" s="455"/>
      <c r="L33" s="454"/>
      <c r="M33" s="455"/>
      <c r="N33" s="454"/>
      <c r="O33" s="455"/>
      <c r="P33" s="454"/>
      <c r="Q33" s="455"/>
      <c r="R33" s="454"/>
      <c r="S33" s="455"/>
      <c r="T33" s="454"/>
      <c r="U33" s="455"/>
      <c r="V33" s="454"/>
      <c r="W33" s="455"/>
      <c r="X33" s="454"/>
      <c r="Y33" s="455"/>
      <c r="Z33" s="454"/>
      <c r="AA33" s="455"/>
      <c r="AB33" s="454"/>
      <c r="AC33" s="455"/>
      <c r="AD33" s="454"/>
      <c r="AE33" s="455"/>
      <c r="AF33" s="454"/>
      <c r="AG33" s="455"/>
    </row>
    <row r="34" spans="1:33" x14ac:dyDescent="0.2">
      <c r="A34" s="415">
        <f t="shared" si="0"/>
        <v>1224</v>
      </c>
      <c r="B34" s="416" t="str">
        <f t="shared" si="1"/>
        <v>Summer</v>
      </c>
      <c r="C34" s="453"/>
      <c r="D34" s="454"/>
      <c r="E34" s="455"/>
      <c r="F34" s="454"/>
      <c r="G34" s="455"/>
      <c r="H34" s="454"/>
      <c r="I34" s="455"/>
      <c r="J34" s="454"/>
      <c r="K34" s="455"/>
      <c r="L34" s="454"/>
      <c r="M34" s="455"/>
      <c r="N34" s="454"/>
      <c r="O34" s="455"/>
      <c r="P34" s="454"/>
      <c r="Q34" s="455"/>
      <c r="R34" s="454"/>
      <c r="S34" s="455"/>
      <c r="T34" s="454"/>
      <c r="U34" s="455"/>
      <c r="V34" s="454"/>
      <c r="W34" s="455"/>
      <c r="X34" s="454"/>
      <c r="Y34" s="455"/>
      <c r="Z34" s="454"/>
      <c r="AA34" s="455"/>
      <c r="AB34" s="454"/>
      <c r="AC34" s="455"/>
      <c r="AD34" s="454"/>
      <c r="AE34" s="455"/>
      <c r="AF34" s="454"/>
      <c r="AG34" s="455"/>
    </row>
    <row r="35" spans="1:33" x14ac:dyDescent="0.2">
      <c r="A35" s="415">
        <f t="shared" si="0"/>
        <v>1224</v>
      </c>
      <c r="B35" s="416" t="str">
        <f t="shared" si="1"/>
        <v>Autumn</v>
      </c>
      <c r="C35" s="453"/>
      <c r="D35" s="454"/>
      <c r="E35" s="455"/>
      <c r="F35" s="454"/>
      <c r="G35" s="455"/>
      <c r="H35" s="454"/>
      <c r="I35" s="455"/>
      <c r="J35" s="454"/>
      <c r="K35" s="455"/>
      <c r="L35" s="454"/>
      <c r="M35" s="455"/>
      <c r="N35" s="454"/>
      <c r="O35" s="455"/>
      <c r="P35" s="454"/>
      <c r="Q35" s="455"/>
      <c r="R35" s="454"/>
      <c r="S35" s="455"/>
      <c r="T35" s="454"/>
      <c r="U35" s="455"/>
      <c r="V35" s="454"/>
      <c r="W35" s="455"/>
      <c r="X35" s="454"/>
      <c r="Y35" s="455"/>
      <c r="Z35" s="454"/>
      <c r="AA35" s="455"/>
      <c r="AB35" s="454"/>
      <c r="AC35" s="455"/>
      <c r="AD35" s="454"/>
      <c r="AE35" s="455"/>
      <c r="AF35" s="454"/>
      <c r="AG35" s="455"/>
    </row>
    <row r="36" spans="1:33" x14ac:dyDescent="0.2">
      <c r="A36" s="415">
        <f t="shared" si="0"/>
        <v>1225</v>
      </c>
      <c r="B36" s="416" t="str">
        <f t="shared" si="1"/>
        <v>Winter</v>
      </c>
      <c r="C36" s="453"/>
      <c r="D36" s="454"/>
      <c r="E36" s="455"/>
      <c r="F36" s="454"/>
      <c r="G36" s="455"/>
      <c r="H36" s="454"/>
      <c r="I36" s="455"/>
      <c r="J36" s="454"/>
      <c r="K36" s="455"/>
      <c r="L36" s="454"/>
      <c r="M36" s="455"/>
      <c r="N36" s="454"/>
      <c r="O36" s="455"/>
      <c r="P36" s="454"/>
      <c r="Q36" s="455"/>
      <c r="R36" s="454"/>
      <c r="S36" s="455"/>
      <c r="T36" s="454"/>
      <c r="U36" s="455"/>
      <c r="V36" s="454"/>
      <c r="W36" s="455"/>
      <c r="X36" s="454"/>
      <c r="Y36" s="455"/>
      <c r="Z36" s="454"/>
      <c r="AA36" s="455"/>
      <c r="AB36" s="454"/>
      <c r="AC36" s="455"/>
      <c r="AD36" s="454"/>
      <c r="AE36" s="455"/>
      <c r="AF36" s="454"/>
      <c r="AG36" s="455"/>
    </row>
    <row r="37" spans="1:33" x14ac:dyDescent="0.2">
      <c r="A37" s="415">
        <f t="shared" si="0"/>
        <v>1225</v>
      </c>
      <c r="B37" s="416" t="str">
        <f t="shared" si="1"/>
        <v>Spring</v>
      </c>
      <c r="C37" s="453"/>
      <c r="D37" s="454"/>
      <c r="E37" s="455"/>
      <c r="F37" s="454"/>
      <c r="G37" s="455"/>
      <c r="H37" s="454"/>
      <c r="I37" s="455"/>
      <c r="J37" s="454"/>
      <c r="K37" s="455"/>
      <c r="L37" s="454"/>
      <c r="M37" s="455"/>
      <c r="N37" s="454"/>
      <c r="O37" s="455"/>
      <c r="P37" s="454"/>
      <c r="Q37" s="455"/>
      <c r="R37" s="454"/>
      <c r="S37" s="455"/>
      <c r="T37" s="454"/>
      <c r="U37" s="455"/>
      <c r="V37" s="454"/>
      <c r="W37" s="455"/>
      <c r="X37" s="454"/>
      <c r="Y37" s="455"/>
      <c r="Z37" s="454"/>
      <c r="AA37" s="455"/>
      <c r="AB37" s="454"/>
      <c r="AC37" s="455"/>
      <c r="AD37" s="454"/>
      <c r="AE37" s="455"/>
      <c r="AF37" s="454"/>
      <c r="AG37" s="455"/>
    </row>
    <row r="38" spans="1:33" x14ac:dyDescent="0.2">
      <c r="A38" s="415">
        <f t="shared" si="0"/>
        <v>1225</v>
      </c>
      <c r="B38" s="416" t="str">
        <f t="shared" si="1"/>
        <v>Summer</v>
      </c>
      <c r="C38" s="453"/>
      <c r="D38" s="454"/>
      <c r="E38" s="455"/>
      <c r="F38" s="454"/>
      <c r="G38" s="455"/>
      <c r="H38" s="454"/>
      <c r="I38" s="455"/>
      <c r="J38" s="454"/>
      <c r="K38" s="455"/>
      <c r="L38" s="454"/>
      <c r="M38" s="455"/>
      <c r="N38" s="454"/>
      <c r="O38" s="455"/>
      <c r="P38" s="454"/>
      <c r="Q38" s="455"/>
      <c r="R38" s="454"/>
      <c r="S38" s="455"/>
      <c r="T38" s="454"/>
      <c r="U38" s="455"/>
      <c r="V38" s="454"/>
      <c r="W38" s="455"/>
      <c r="X38" s="454"/>
      <c r="Y38" s="455"/>
      <c r="Z38" s="454"/>
      <c r="AA38" s="455"/>
      <c r="AB38" s="454"/>
      <c r="AC38" s="455"/>
      <c r="AD38" s="454"/>
      <c r="AE38" s="455"/>
      <c r="AF38" s="454"/>
      <c r="AG38" s="455"/>
    </row>
    <row r="39" spans="1:33" x14ac:dyDescent="0.2">
      <c r="A39" s="415">
        <f t="shared" si="0"/>
        <v>1225</v>
      </c>
      <c r="B39" s="416" t="str">
        <f t="shared" si="1"/>
        <v>Autumn</v>
      </c>
      <c r="C39" s="453"/>
      <c r="D39" s="454"/>
      <c r="E39" s="455"/>
      <c r="F39" s="454"/>
      <c r="G39" s="455"/>
      <c r="H39" s="454"/>
      <c r="I39" s="455"/>
      <c r="J39" s="454"/>
      <c r="K39" s="455"/>
      <c r="L39" s="454"/>
      <c r="M39" s="455"/>
      <c r="N39" s="454"/>
      <c r="O39" s="455"/>
      <c r="P39" s="454"/>
      <c r="Q39" s="455"/>
      <c r="R39" s="454"/>
      <c r="S39" s="455"/>
      <c r="T39" s="454"/>
      <c r="U39" s="455"/>
      <c r="V39" s="454"/>
      <c r="W39" s="455"/>
      <c r="X39" s="454"/>
      <c r="Y39" s="455"/>
      <c r="Z39" s="454"/>
      <c r="AA39" s="455"/>
      <c r="AB39" s="454"/>
      <c r="AC39" s="455"/>
      <c r="AD39" s="454"/>
      <c r="AE39" s="455"/>
      <c r="AF39" s="454"/>
      <c r="AG39" s="455"/>
    </row>
    <row r="40" spans="1:33" x14ac:dyDescent="0.2">
      <c r="A40" s="415">
        <f t="shared" si="0"/>
        <v>1226</v>
      </c>
      <c r="B40" s="416" t="str">
        <f t="shared" si="1"/>
        <v>Winter</v>
      </c>
      <c r="C40" s="453"/>
      <c r="D40" s="454"/>
      <c r="E40" s="455"/>
      <c r="F40" s="454"/>
      <c r="G40" s="455"/>
      <c r="H40" s="454"/>
      <c r="I40" s="455"/>
      <c r="J40" s="454"/>
      <c r="K40" s="455"/>
      <c r="L40" s="454"/>
      <c r="M40" s="455"/>
      <c r="N40" s="454"/>
      <c r="O40" s="455"/>
      <c r="P40" s="454"/>
      <c r="Q40" s="455"/>
      <c r="R40" s="454"/>
      <c r="S40" s="455"/>
      <c r="T40" s="454"/>
      <c r="U40" s="455"/>
      <c r="V40" s="454"/>
      <c r="W40" s="455"/>
      <c r="X40" s="454"/>
      <c r="Y40" s="455"/>
      <c r="Z40" s="454"/>
      <c r="AA40" s="455"/>
      <c r="AB40" s="454"/>
      <c r="AC40" s="455"/>
      <c r="AD40" s="454"/>
      <c r="AE40" s="455"/>
      <c r="AF40" s="454"/>
      <c r="AG40" s="455"/>
    </row>
    <row r="41" spans="1:33" x14ac:dyDescent="0.2">
      <c r="A41" s="415">
        <f t="shared" si="0"/>
        <v>1226</v>
      </c>
      <c r="B41" s="416" t="str">
        <f t="shared" si="1"/>
        <v>Spring</v>
      </c>
      <c r="C41" s="453"/>
      <c r="D41" s="454"/>
      <c r="E41" s="455"/>
      <c r="F41" s="454"/>
      <c r="G41" s="455"/>
      <c r="H41" s="454"/>
      <c r="I41" s="455"/>
      <c r="J41" s="454"/>
      <c r="K41" s="455"/>
      <c r="L41" s="454"/>
      <c r="M41" s="455"/>
      <c r="N41" s="454"/>
      <c r="O41" s="455"/>
      <c r="P41" s="454"/>
      <c r="Q41" s="455"/>
      <c r="R41" s="454"/>
      <c r="S41" s="455"/>
      <c r="T41" s="454"/>
      <c r="U41" s="455"/>
      <c r="V41" s="454"/>
      <c r="W41" s="455"/>
      <c r="X41" s="454"/>
      <c r="Y41" s="455"/>
      <c r="Z41" s="454"/>
      <c r="AA41" s="455"/>
      <c r="AB41" s="454"/>
      <c r="AC41" s="455"/>
      <c r="AD41" s="454"/>
      <c r="AE41" s="455"/>
      <c r="AF41" s="454"/>
      <c r="AG41" s="455"/>
    </row>
    <row r="42" spans="1:33" x14ac:dyDescent="0.2">
      <c r="A42" s="415">
        <f t="shared" si="0"/>
        <v>1226</v>
      </c>
      <c r="B42" s="416" t="str">
        <f t="shared" si="1"/>
        <v>Summer</v>
      </c>
      <c r="C42" s="453"/>
      <c r="D42" s="454"/>
      <c r="E42" s="455"/>
      <c r="F42" s="454"/>
      <c r="G42" s="455"/>
      <c r="H42" s="454"/>
      <c r="I42" s="455"/>
      <c r="J42" s="454"/>
      <c r="K42" s="455"/>
      <c r="L42" s="454"/>
      <c r="M42" s="455"/>
      <c r="N42" s="454"/>
      <c r="O42" s="455"/>
      <c r="P42" s="454"/>
      <c r="Q42" s="455"/>
      <c r="R42" s="454"/>
      <c r="S42" s="455"/>
      <c r="T42" s="454"/>
      <c r="U42" s="455"/>
      <c r="V42" s="454"/>
      <c r="W42" s="455"/>
      <c r="X42" s="454"/>
      <c r="Y42" s="455"/>
      <c r="Z42" s="454"/>
      <c r="AA42" s="455"/>
      <c r="AB42" s="454"/>
      <c r="AC42" s="455"/>
      <c r="AD42" s="454"/>
      <c r="AE42" s="455"/>
      <c r="AF42" s="454"/>
      <c r="AG42" s="455"/>
    </row>
    <row r="43" spans="1:33" x14ac:dyDescent="0.2">
      <c r="A43" s="415">
        <f t="shared" si="0"/>
        <v>1226</v>
      </c>
      <c r="B43" s="416" t="str">
        <f t="shared" ref="B43:B106" si="2">IF(B42="spring","Summer",IF(B42="Summer","Autumn",IF(B42="Autumn","Winter",IF(B42="Winter","Spring"," "))))</f>
        <v>Autumn</v>
      </c>
      <c r="C43" s="453"/>
      <c r="D43" s="454"/>
      <c r="E43" s="455"/>
      <c r="F43" s="454"/>
      <c r="G43" s="455"/>
      <c r="H43" s="454"/>
      <c r="I43" s="455"/>
      <c r="J43" s="454"/>
      <c r="K43" s="455"/>
      <c r="L43" s="454"/>
      <c r="M43" s="455"/>
      <c r="N43" s="454"/>
      <c r="O43" s="455"/>
      <c r="P43" s="454"/>
      <c r="Q43" s="455"/>
      <c r="R43" s="454"/>
      <c r="S43" s="455"/>
      <c r="T43" s="454"/>
      <c r="U43" s="455"/>
      <c r="V43" s="454"/>
      <c r="W43" s="455"/>
      <c r="X43" s="454"/>
      <c r="Y43" s="455"/>
      <c r="Z43" s="454"/>
      <c r="AA43" s="455"/>
      <c r="AB43" s="454"/>
      <c r="AC43" s="455"/>
      <c r="AD43" s="454"/>
      <c r="AE43" s="455"/>
      <c r="AF43" s="454"/>
      <c r="AG43" s="455"/>
    </row>
    <row r="44" spans="1:33" x14ac:dyDescent="0.2">
      <c r="A44" s="415">
        <f t="shared" si="0"/>
        <v>1227</v>
      </c>
      <c r="B44" s="416" t="str">
        <f t="shared" si="2"/>
        <v>Winter</v>
      </c>
      <c r="C44" s="453"/>
      <c r="D44" s="454"/>
      <c r="E44" s="455"/>
      <c r="F44" s="454"/>
      <c r="G44" s="455"/>
      <c r="H44" s="454"/>
      <c r="I44" s="455"/>
      <c r="J44" s="454"/>
      <c r="K44" s="455"/>
      <c r="L44" s="454"/>
      <c r="M44" s="455"/>
      <c r="N44" s="454"/>
      <c r="O44" s="455"/>
      <c r="P44" s="454"/>
      <c r="Q44" s="455"/>
      <c r="R44" s="454"/>
      <c r="S44" s="455"/>
      <c r="T44" s="454"/>
      <c r="U44" s="455"/>
      <c r="V44" s="454"/>
      <c r="W44" s="455"/>
      <c r="X44" s="454"/>
      <c r="Y44" s="455"/>
      <c r="Z44" s="454"/>
      <c r="AA44" s="455"/>
      <c r="AB44" s="454"/>
      <c r="AC44" s="455"/>
      <c r="AD44" s="454"/>
      <c r="AE44" s="455"/>
      <c r="AF44" s="454"/>
      <c r="AG44" s="455"/>
    </row>
    <row r="45" spans="1:33" x14ac:dyDescent="0.2">
      <c r="A45" s="415">
        <f t="shared" si="0"/>
        <v>1227</v>
      </c>
      <c r="B45" s="416" t="str">
        <f t="shared" si="2"/>
        <v>Spring</v>
      </c>
      <c r="C45" s="453"/>
      <c r="D45" s="454"/>
      <c r="E45" s="455"/>
      <c r="F45" s="454"/>
      <c r="G45" s="455"/>
      <c r="H45" s="454"/>
      <c r="I45" s="455"/>
      <c r="J45" s="454"/>
      <c r="K45" s="455"/>
      <c r="L45" s="454"/>
      <c r="M45" s="455"/>
      <c r="N45" s="454"/>
      <c r="O45" s="455"/>
      <c r="P45" s="454"/>
      <c r="Q45" s="455"/>
      <c r="R45" s="454"/>
      <c r="S45" s="455"/>
      <c r="T45" s="454"/>
      <c r="U45" s="455"/>
      <c r="V45" s="454"/>
      <c r="W45" s="455"/>
      <c r="X45" s="454"/>
      <c r="Y45" s="455"/>
      <c r="Z45" s="454"/>
      <c r="AA45" s="455"/>
      <c r="AB45" s="454"/>
      <c r="AC45" s="455"/>
      <c r="AD45" s="454"/>
      <c r="AE45" s="455"/>
      <c r="AF45" s="454"/>
      <c r="AG45" s="455"/>
    </row>
    <row r="46" spans="1:33" x14ac:dyDescent="0.2">
      <c r="A46" s="415">
        <f t="shared" si="0"/>
        <v>1227</v>
      </c>
      <c r="B46" s="416" t="str">
        <f t="shared" si="2"/>
        <v>Summer</v>
      </c>
      <c r="C46" s="453"/>
      <c r="D46" s="454"/>
      <c r="E46" s="455"/>
      <c r="F46" s="454"/>
      <c r="G46" s="455"/>
      <c r="H46" s="454"/>
      <c r="I46" s="455"/>
      <c r="J46" s="454"/>
      <c r="K46" s="455"/>
      <c r="L46" s="454"/>
      <c r="M46" s="455"/>
      <c r="N46" s="454"/>
      <c r="O46" s="455"/>
      <c r="P46" s="454"/>
      <c r="Q46" s="455"/>
      <c r="R46" s="454"/>
      <c r="S46" s="455"/>
      <c r="T46" s="454"/>
      <c r="U46" s="455"/>
      <c r="V46" s="454"/>
      <c r="W46" s="455"/>
      <c r="X46" s="454"/>
      <c r="Y46" s="455"/>
      <c r="Z46" s="454"/>
      <c r="AA46" s="455"/>
      <c r="AB46" s="454"/>
      <c r="AC46" s="455"/>
      <c r="AD46" s="454"/>
      <c r="AE46" s="455"/>
      <c r="AF46" s="454"/>
      <c r="AG46" s="455"/>
    </row>
    <row r="47" spans="1:33" x14ac:dyDescent="0.2">
      <c r="A47" s="415">
        <f t="shared" si="0"/>
        <v>1227</v>
      </c>
      <c r="B47" s="416" t="str">
        <f t="shared" si="2"/>
        <v>Autumn</v>
      </c>
      <c r="C47" s="453"/>
      <c r="D47" s="454"/>
      <c r="E47" s="455"/>
      <c r="F47" s="454"/>
      <c r="G47" s="455"/>
      <c r="H47" s="454"/>
      <c r="I47" s="455"/>
      <c r="J47" s="454"/>
      <c r="K47" s="455"/>
      <c r="L47" s="454"/>
      <c r="M47" s="455"/>
      <c r="N47" s="454"/>
      <c r="O47" s="455"/>
      <c r="P47" s="454"/>
      <c r="Q47" s="455"/>
      <c r="R47" s="454"/>
      <c r="S47" s="455"/>
      <c r="T47" s="454"/>
      <c r="U47" s="455"/>
      <c r="V47" s="454"/>
      <c r="W47" s="455"/>
      <c r="X47" s="454"/>
      <c r="Y47" s="455"/>
      <c r="Z47" s="454"/>
      <c r="AA47" s="455"/>
      <c r="AB47" s="454"/>
      <c r="AC47" s="455"/>
      <c r="AD47" s="454"/>
      <c r="AE47" s="455"/>
      <c r="AF47" s="454"/>
      <c r="AG47" s="455"/>
    </row>
    <row r="48" spans="1:33" x14ac:dyDescent="0.2">
      <c r="A48" s="415">
        <f t="shared" si="0"/>
        <v>1228</v>
      </c>
      <c r="B48" s="416" t="str">
        <f t="shared" si="2"/>
        <v>Winter</v>
      </c>
      <c r="C48" s="453"/>
      <c r="D48" s="454"/>
      <c r="E48" s="455"/>
      <c r="F48" s="454"/>
      <c r="G48" s="455"/>
      <c r="H48" s="454"/>
      <c r="I48" s="455"/>
      <c r="J48" s="454"/>
      <c r="K48" s="455"/>
      <c r="L48" s="454"/>
      <c r="M48" s="455"/>
      <c r="N48" s="454"/>
      <c r="O48" s="455"/>
      <c r="P48" s="454"/>
      <c r="Q48" s="455"/>
      <c r="R48" s="454"/>
      <c r="S48" s="455"/>
      <c r="T48" s="454"/>
      <c r="U48" s="455"/>
      <c r="V48" s="454"/>
      <c r="W48" s="455"/>
      <c r="X48" s="454"/>
      <c r="Y48" s="455"/>
      <c r="Z48" s="454"/>
      <c r="AA48" s="455"/>
      <c r="AB48" s="454"/>
      <c r="AC48" s="455"/>
      <c r="AD48" s="454"/>
      <c r="AE48" s="455"/>
      <c r="AF48" s="454"/>
      <c r="AG48" s="455"/>
    </row>
    <row r="49" spans="1:33" x14ac:dyDescent="0.2">
      <c r="A49" s="415">
        <f t="shared" si="0"/>
        <v>1228</v>
      </c>
      <c r="B49" s="416" t="str">
        <f t="shared" si="2"/>
        <v>Spring</v>
      </c>
      <c r="C49" s="453"/>
      <c r="D49" s="454"/>
      <c r="E49" s="455"/>
      <c r="F49" s="454"/>
      <c r="G49" s="455"/>
      <c r="H49" s="454"/>
      <c r="I49" s="455"/>
      <c r="J49" s="454"/>
      <c r="K49" s="455"/>
      <c r="L49" s="454"/>
      <c r="M49" s="455"/>
      <c r="N49" s="454"/>
      <c r="O49" s="455"/>
      <c r="P49" s="454"/>
      <c r="Q49" s="455"/>
      <c r="R49" s="454"/>
      <c r="S49" s="455"/>
      <c r="T49" s="454"/>
      <c r="U49" s="455"/>
      <c r="V49" s="454"/>
      <c r="W49" s="455"/>
      <c r="X49" s="454"/>
      <c r="Y49" s="455"/>
      <c r="Z49" s="454"/>
      <c r="AA49" s="455"/>
      <c r="AB49" s="454"/>
      <c r="AC49" s="455"/>
      <c r="AD49" s="454"/>
      <c r="AE49" s="455"/>
      <c r="AF49" s="454"/>
      <c r="AG49" s="455"/>
    </row>
    <row r="50" spans="1:33" x14ac:dyDescent="0.2">
      <c r="A50" s="415">
        <f t="shared" si="0"/>
        <v>1228</v>
      </c>
      <c r="B50" s="416" t="str">
        <f t="shared" si="2"/>
        <v>Summer</v>
      </c>
      <c r="C50" s="453"/>
      <c r="D50" s="454"/>
      <c r="E50" s="455"/>
      <c r="F50" s="454"/>
      <c r="G50" s="455"/>
      <c r="H50" s="454"/>
      <c r="I50" s="455"/>
      <c r="J50" s="454"/>
      <c r="K50" s="455"/>
      <c r="L50" s="454"/>
      <c r="M50" s="455"/>
      <c r="N50" s="454"/>
      <c r="O50" s="455"/>
      <c r="P50" s="454"/>
      <c r="Q50" s="455"/>
      <c r="R50" s="454"/>
      <c r="S50" s="455"/>
      <c r="T50" s="454"/>
      <c r="U50" s="455"/>
      <c r="V50" s="454"/>
      <c r="W50" s="455"/>
      <c r="X50" s="454"/>
      <c r="Y50" s="455"/>
      <c r="Z50" s="454"/>
      <c r="AA50" s="455"/>
      <c r="AB50" s="454"/>
      <c r="AC50" s="455"/>
      <c r="AD50" s="454"/>
      <c r="AE50" s="455"/>
      <c r="AF50" s="454"/>
      <c r="AG50" s="455"/>
    </row>
    <row r="51" spans="1:33" x14ac:dyDescent="0.2">
      <c r="A51" s="415">
        <f t="shared" si="0"/>
        <v>1228</v>
      </c>
      <c r="B51" s="416" t="str">
        <f t="shared" si="2"/>
        <v>Autumn</v>
      </c>
      <c r="C51" s="453"/>
      <c r="D51" s="454"/>
      <c r="E51" s="455"/>
      <c r="F51" s="454"/>
      <c r="G51" s="455"/>
      <c r="H51" s="454"/>
      <c r="I51" s="455"/>
      <c r="J51" s="454"/>
      <c r="K51" s="455"/>
      <c r="L51" s="454"/>
      <c r="M51" s="455"/>
      <c r="N51" s="454"/>
      <c r="O51" s="455"/>
      <c r="P51" s="454"/>
      <c r="Q51" s="455"/>
      <c r="R51" s="454"/>
      <c r="S51" s="455"/>
      <c r="T51" s="454"/>
      <c r="U51" s="455"/>
      <c r="V51" s="454"/>
      <c r="W51" s="455"/>
      <c r="X51" s="454"/>
      <c r="Y51" s="455"/>
      <c r="Z51" s="454"/>
      <c r="AA51" s="455"/>
      <c r="AB51" s="454"/>
      <c r="AC51" s="455"/>
      <c r="AD51" s="454"/>
      <c r="AE51" s="455"/>
      <c r="AF51" s="454"/>
      <c r="AG51" s="455"/>
    </row>
    <row r="52" spans="1:33" x14ac:dyDescent="0.2">
      <c r="A52" s="415">
        <f t="shared" si="0"/>
        <v>1229</v>
      </c>
      <c r="B52" s="416" t="str">
        <f t="shared" si="2"/>
        <v>Winter</v>
      </c>
      <c r="C52" s="453"/>
      <c r="D52" s="454"/>
      <c r="E52" s="455"/>
      <c r="F52" s="454"/>
      <c r="G52" s="455"/>
      <c r="H52" s="454"/>
      <c r="I52" s="455"/>
      <c r="J52" s="454"/>
      <c r="K52" s="455"/>
      <c r="L52" s="454"/>
      <c r="M52" s="455"/>
      <c r="N52" s="454"/>
      <c r="O52" s="455"/>
      <c r="P52" s="454"/>
      <c r="Q52" s="455"/>
      <c r="R52" s="454"/>
      <c r="S52" s="455"/>
      <c r="T52" s="454"/>
      <c r="U52" s="455"/>
      <c r="V52" s="454"/>
      <c r="W52" s="455"/>
      <c r="X52" s="454"/>
      <c r="Y52" s="455"/>
      <c r="Z52" s="454"/>
      <c r="AA52" s="455"/>
      <c r="AB52" s="454"/>
      <c r="AC52" s="455"/>
      <c r="AD52" s="454"/>
      <c r="AE52" s="455"/>
      <c r="AF52" s="454"/>
      <c r="AG52" s="455"/>
    </row>
    <row r="53" spans="1:33" x14ac:dyDescent="0.2">
      <c r="A53" s="415">
        <f t="shared" si="0"/>
        <v>1229</v>
      </c>
      <c r="B53" s="416" t="str">
        <f t="shared" si="2"/>
        <v>Spring</v>
      </c>
      <c r="C53" s="453"/>
      <c r="D53" s="454"/>
      <c r="E53" s="455"/>
      <c r="F53" s="454"/>
      <c r="G53" s="455"/>
      <c r="H53" s="454"/>
      <c r="I53" s="455"/>
      <c r="J53" s="454"/>
      <c r="K53" s="455"/>
      <c r="L53" s="454"/>
      <c r="M53" s="455"/>
      <c r="N53" s="454"/>
      <c r="O53" s="455"/>
      <c r="P53" s="454"/>
      <c r="Q53" s="455"/>
      <c r="R53" s="454"/>
      <c r="S53" s="455"/>
      <c r="T53" s="454"/>
      <c r="U53" s="455"/>
      <c r="V53" s="454"/>
      <c r="W53" s="455"/>
      <c r="X53" s="454"/>
      <c r="Y53" s="455"/>
      <c r="Z53" s="454"/>
      <c r="AA53" s="455"/>
      <c r="AB53" s="454"/>
      <c r="AC53" s="455"/>
      <c r="AD53" s="454"/>
      <c r="AE53" s="455"/>
      <c r="AF53" s="454"/>
      <c r="AG53" s="455"/>
    </row>
    <row r="54" spans="1:33" x14ac:dyDescent="0.2">
      <c r="A54" s="415">
        <f t="shared" si="0"/>
        <v>1229</v>
      </c>
      <c r="B54" s="416" t="str">
        <f t="shared" si="2"/>
        <v>Summer</v>
      </c>
      <c r="C54" s="453"/>
      <c r="D54" s="454"/>
      <c r="E54" s="455"/>
      <c r="F54" s="454"/>
      <c r="G54" s="455"/>
      <c r="H54" s="454"/>
      <c r="I54" s="455"/>
      <c r="J54" s="454"/>
      <c r="K54" s="455"/>
      <c r="L54" s="454"/>
      <c r="M54" s="455"/>
      <c r="N54" s="454"/>
      <c r="O54" s="455"/>
      <c r="P54" s="454"/>
      <c r="Q54" s="455"/>
      <c r="R54" s="454"/>
      <c r="S54" s="455"/>
      <c r="T54" s="454"/>
      <c r="U54" s="455"/>
      <c r="V54" s="454"/>
      <c r="W54" s="455"/>
      <c r="X54" s="454"/>
      <c r="Y54" s="455"/>
      <c r="Z54" s="454"/>
      <c r="AA54" s="455"/>
      <c r="AB54" s="454"/>
      <c r="AC54" s="455"/>
      <c r="AD54" s="454"/>
      <c r="AE54" s="455"/>
      <c r="AF54" s="454"/>
      <c r="AG54" s="455"/>
    </row>
    <row r="55" spans="1:33" x14ac:dyDescent="0.2">
      <c r="A55" s="415">
        <f t="shared" si="0"/>
        <v>1229</v>
      </c>
      <c r="B55" s="416" t="str">
        <f t="shared" si="2"/>
        <v>Autumn</v>
      </c>
      <c r="C55" s="453"/>
      <c r="D55" s="454"/>
      <c r="E55" s="455"/>
      <c r="F55" s="454"/>
      <c r="G55" s="455"/>
      <c r="H55" s="454"/>
      <c r="I55" s="455"/>
      <c r="J55" s="454"/>
      <c r="K55" s="455"/>
      <c r="L55" s="454"/>
      <c r="M55" s="455"/>
      <c r="N55" s="454"/>
      <c r="O55" s="455"/>
      <c r="P55" s="454"/>
      <c r="Q55" s="455"/>
      <c r="R55" s="454"/>
      <c r="S55" s="455"/>
      <c r="T55" s="454"/>
      <c r="U55" s="455"/>
      <c r="V55" s="454"/>
      <c r="W55" s="455"/>
      <c r="X55" s="454"/>
      <c r="Y55" s="455"/>
      <c r="Z55" s="454"/>
      <c r="AA55" s="455"/>
      <c r="AB55" s="454"/>
      <c r="AC55" s="455"/>
      <c r="AD55" s="454"/>
      <c r="AE55" s="455"/>
      <c r="AF55" s="454"/>
      <c r="AG55" s="455"/>
    </row>
    <row r="56" spans="1:33" x14ac:dyDescent="0.2">
      <c r="A56" s="415">
        <f t="shared" si="0"/>
        <v>1230</v>
      </c>
      <c r="B56" s="416" t="str">
        <f t="shared" si="2"/>
        <v>Winter</v>
      </c>
      <c r="C56" s="453"/>
      <c r="D56" s="454"/>
      <c r="E56" s="455"/>
      <c r="F56" s="454"/>
      <c r="G56" s="455"/>
      <c r="H56" s="454"/>
      <c r="I56" s="455"/>
      <c r="J56" s="454"/>
      <c r="K56" s="455"/>
      <c r="L56" s="454"/>
      <c r="M56" s="455"/>
      <c r="N56" s="454"/>
      <c r="O56" s="455"/>
      <c r="P56" s="454"/>
      <c r="Q56" s="455"/>
      <c r="R56" s="454"/>
      <c r="S56" s="455"/>
      <c r="T56" s="454"/>
      <c r="U56" s="455"/>
      <c r="V56" s="454"/>
      <c r="W56" s="455"/>
      <c r="X56" s="454"/>
      <c r="Y56" s="455"/>
      <c r="Z56" s="454"/>
      <c r="AA56" s="455"/>
      <c r="AB56" s="454"/>
      <c r="AC56" s="455"/>
      <c r="AD56" s="454"/>
      <c r="AE56" s="455"/>
      <c r="AF56" s="454"/>
      <c r="AG56" s="455"/>
    </row>
    <row r="57" spans="1:33" x14ac:dyDescent="0.2">
      <c r="A57" s="415">
        <f t="shared" si="0"/>
        <v>1230</v>
      </c>
      <c r="B57" s="416" t="str">
        <f t="shared" si="2"/>
        <v>Spring</v>
      </c>
      <c r="C57" s="453"/>
      <c r="D57" s="454"/>
      <c r="E57" s="455"/>
      <c r="F57" s="454"/>
      <c r="G57" s="455"/>
      <c r="H57" s="454"/>
      <c r="I57" s="455"/>
      <c r="J57" s="454"/>
      <c r="K57" s="455"/>
      <c r="L57" s="454"/>
      <c r="M57" s="455"/>
      <c r="N57" s="454"/>
      <c r="O57" s="455"/>
      <c r="P57" s="454"/>
      <c r="Q57" s="455"/>
      <c r="R57" s="454"/>
      <c r="S57" s="455"/>
      <c r="T57" s="454"/>
      <c r="U57" s="455"/>
      <c r="V57" s="454"/>
      <c r="W57" s="455"/>
      <c r="X57" s="454"/>
      <c r="Y57" s="455"/>
      <c r="Z57" s="454"/>
      <c r="AA57" s="455"/>
      <c r="AB57" s="454"/>
      <c r="AC57" s="455"/>
      <c r="AD57" s="454"/>
      <c r="AE57" s="455"/>
      <c r="AF57" s="454"/>
      <c r="AG57" s="455"/>
    </row>
    <row r="58" spans="1:33" x14ac:dyDescent="0.2">
      <c r="A58" s="415">
        <f t="shared" si="0"/>
        <v>1230</v>
      </c>
      <c r="B58" s="416" t="str">
        <f t="shared" si="2"/>
        <v>Summer</v>
      </c>
      <c r="C58" s="453"/>
      <c r="D58" s="454"/>
      <c r="E58" s="455"/>
      <c r="F58" s="454"/>
      <c r="G58" s="455"/>
      <c r="H58" s="454"/>
      <c r="I58" s="455"/>
      <c r="J58" s="454"/>
      <c r="K58" s="455"/>
      <c r="L58" s="454"/>
      <c r="M58" s="455"/>
      <c r="N58" s="454"/>
      <c r="O58" s="455"/>
      <c r="P58" s="454"/>
      <c r="Q58" s="455"/>
      <c r="R58" s="454"/>
      <c r="S58" s="455"/>
      <c r="T58" s="454"/>
      <c r="U58" s="455"/>
      <c r="V58" s="454"/>
      <c r="W58" s="455"/>
      <c r="X58" s="454"/>
      <c r="Y58" s="455"/>
      <c r="Z58" s="454"/>
      <c r="AA58" s="455"/>
      <c r="AB58" s="454"/>
      <c r="AC58" s="455"/>
      <c r="AD58" s="454"/>
      <c r="AE58" s="455"/>
      <c r="AF58" s="454"/>
      <c r="AG58" s="455"/>
    </row>
    <row r="59" spans="1:33" x14ac:dyDescent="0.2">
      <c r="A59" s="415">
        <f t="shared" si="0"/>
        <v>1230</v>
      </c>
      <c r="B59" s="416" t="str">
        <f t="shared" si="2"/>
        <v>Autumn</v>
      </c>
      <c r="C59" s="453"/>
      <c r="D59" s="454"/>
      <c r="E59" s="455"/>
      <c r="F59" s="454"/>
      <c r="G59" s="455"/>
      <c r="H59" s="454"/>
      <c r="I59" s="455"/>
      <c r="J59" s="454"/>
      <c r="K59" s="455"/>
      <c r="L59" s="454"/>
      <c r="M59" s="455"/>
      <c r="N59" s="454"/>
      <c r="O59" s="455"/>
      <c r="P59" s="454"/>
      <c r="Q59" s="455"/>
      <c r="R59" s="454"/>
      <c r="S59" s="455"/>
      <c r="T59" s="454"/>
      <c r="U59" s="455"/>
      <c r="V59" s="454"/>
      <c r="W59" s="455"/>
      <c r="X59" s="454"/>
      <c r="Y59" s="455"/>
      <c r="Z59" s="454"/>
      <c r="AA59" s="455"/>
      <c r="AB59" s="454"/>
      <c r="AC59" s="455"/>
      <c r="AD59" s="454"/>
      <c r="AE59" s="455"/>
      <c r="AF59" s="454"/>
      <c r="AG59" s="455"/>
    </row>
    <row r="60" spans="1:33" x14ac:dyDescent="0.2">
      <c r="A60" s="415">
        <f t="shared" si="0"/>
        <v>1231</v>
      </c>
      <c r="B60" s="416" t="str">
        <f t="shared" si="2"/>
        <v>Winter</v>
      </c>
      <c r="C60" s="453"/>
      <c r="D60" s="454"/>
      <c r="E60" s="455"/>
      <c r="F60" s="454"/>
      <c r="G60" s="455"/>
      <c r="H60" s="454"/>
      <c r="I60" s="455"/>
      <c r="J60" s="454"/>
      <c r="K60" s="455"/>
      <c r="L60" s="454"/>
      <c r="M60" s="455"/>
      <c r="N60" s="454"/>
      <c r="O60" s="455"/>
      <c r="P60" s="454"/>
      <c r="Q60" s="455"/>
      <c r="R60" s="454"/>
      <c r="S60" s="455"/>
      <c r="T60" s="454"/>
      <c r="U60" s="455"/>
      <c r="V60" s="454"/>
      <c r="W60" s="455"/>
      <c r="X60" s="454"/>
      <c r="Y60" s="455"/>
      <c r="Z60" s="454"/>
      <c r="AA60" s="455"/>
      <c r="AB60" s="454"/>
      <c r="AC60" s="455"/>
      <c r="AD60" s="454"/>
      <c r="AE60" s="455"/>
      <c r="AF60" s="454"/>
      <c r="AG60" s="455"/>
    </row>
    <row r="61" spans="1:33" x14ac:dyDescent="0.2">
      <c r="A61" s="415">
        <f t="shared" si="0"/>
        <v>1231</v>
      </c>
      <c r="B61" s="416" t="str">
        <f t="shared" si="2"/>
        <v>Spring</v>
      </c>
      <c r="C61" s="453"/>
      <c r="D61" s="454"/>
      <c r="E61" s="455"/>
      <c r="F61" s="454"/>
      <c r="G61" s="455"/>
      <c r="H61" s="454"/>
      <c r="I61" s="455"/>
      <c r="J61" s="454"/>
      <c r="K61" s="455"/>
      <c r="L61" s="454"/>
      <c r="M61" s="455"/>
      <c r="N61" s="454"/>
      <c r="O61" s="455"/>
      <c r="P61" s="454"/>
      <c r="Q61" s="455"/>
      <c r="R61" s="454"/>
      <c r="S61" s="455"/>
      <c r="T61" s="454"/>
      <c r="U61" s="455"/>
      <c r="V61" s="454"/>
      <c r="W61" s="455"/>
      <c r="X61" s="454"/>
      <c r="Y61" s="455"/>
      <c r="Z61" s="454"/>
      <c r="AA61" s="455"/>
      <c r="AB61" s="454"/>
      <c r="AC61" s="455"/>
      <c r="AD61" s="454"/>
      <c r="AE61" s="455"/>
      <c r="AF61" s="454"/>
      <c r="AG61" s="455"/>
    </row>
    <row r="62" spans="1:33" x14ac:dyDescent="0.2">
      <c r="A62" s="415">
        <f t="shared" si="0"/>
        <v>1231</v>
      </c>
      <c r="B62" s="416" t="str">
        <f t="shared" si="2"/>
        <v>Summer</v>
      </c>
      <c r="C62" s="453"/>
      <c r="D62" s="454"/>
      <c r="E62" s="455"/>
      <c r="F62" s="454"/>
      <c r="G62" s="455"/>
      <c r="H62" s="454"/>
      <c r="I62" s="455"/>
      <c r="J62" s="454"/>
      <c r="K62" s="455"/>
      <c r="L62" s="454"/>
      <c r="M62" s="455"/>
      <c r="N62" s="454"/>
      <c r="O62" s="455"/>
      <c r="P62" s="454"/>
      <c r="Q62" s="455"/>
      <c r="R62" s="454"/>
      <c r="S62" s="455"/>
      <c r="T62" s="454"/>
      <c r="U62" s="455"/>
      <c r="V62" s="454"/>
      <c r="W62" s="455"/>
      <c r="X62" s="454"/>
      <c r="Y62" s="455"/>
      <c r="Z62" s="454"/>
      <c r="AA62" s="455"/>
      <c r="AB62" s="454"/>
      <c r="AC62" s="455"/>
      <c r="AD62" s="454"/>
      <c r="AE62" s="455"/>
      <c r="AF62" s="454"/>
      <c r="AG62" s="455"/>
    </row>
    <row r="63" spans="1:33" x14ac:dyDescent="0.2">
      <c r="A63" s="415">
        <f t="shared" si="0"/>
        <v>1231</v>
      </c>
      <c r="B63" s="416" t="str">
        <f t="shared" si="2"/>
        <v>Autumn</v>
      </c>
      <c r="C63" s="453"/>
      <c r="D63" s="454"/>
      <c r="E63" s="455"/>
      <c r="F63" s="454"/>
      <c r="G63" s="455"/>
      <c r="H63" s="454"/>
      <c r="I63" s="455"/>
      <c r="J63" s="454"/>
      <c r="K63" s="455"/>
      <c r="L63" s="454"/>
      <c r="M63" s="455"/>
      <c r="N63" s="454"/>
      <c r="O63" s="455"/>
      <c r="P63" s="454"/>
      <c r="Q63" s="455"/>
      <c r="R63" s="454"/>
      <c r="S63" s="455"/>
      <c r="T63" s="454"/>
      <c r="U63" s="455"/>
      <c r="V63" s="454"/>
      <c r="W63" s="455"/>
      <c r="X63" s="454"/>
      <c r="Y63" s="455"/>
      <c r="Z63" s="454"/>
      <c r="AA63" s="455"/>
      <c r="AB63" s="454"/>
      <c r="AC63" s="455"/>
      <c r="AD63" s="454"/>
      <c r="AE63" s="455"/>
      <c r="AF63" s="454"/>
      <c r="AG63" s="455"/>
    </row>
    <row r="64" spans="1:33" x14ac:dyDescent="0.2">
      <c r="A64" s="415">
        <f t="shared" si="0"/>
        <v>1232</v>
      </c>
      <c r="B64" s="416" t="str">
        <f t="shared" si="2"/>
        <v>Winter</v>
      </c>
      <c r="C64" s="453"/>
      <c r="D64" s="454"/>
      <c r="E64" s="455"/>
      <c r="F64" s="454"/>
      <c r="G64" s="455"/>
      <c r="H64" s="454"/>
      <c r="I64" s="455"/>
      <c r="J64" s="454"/>
      <c r="K64" s="455"/>
      <c r="L64" s="454"/>
      <c r="M64" s="455"/>
      <c r="N64" s="454"/>
      <c r="O64" s="455"/>
      <c r="P64" s="454"/>
      <c r="Q64" s="455"/>
      <c r="R64" s="454"/>
      <c r="S64" s="455"/>
      <c r="T64" s="454"/>
      <c r="U64" s="455"/>
      <c r="V64" s="454"/>
      <c r="W64" s="455"/>
      <c r="X64" s="454"/>
      <c r="Y64" s="455"/>
      <c r="Z64" s="454"/>
      <c r="AA64" s="455"/>
      <c r="AB64" s="454"/>
      <c r="AC64" s="455"/>
      <c r="AD64" s="454"/>
      <c r="AE64" s="455"/>
      <c r="AF64" s="454"/>
      <c r="AG64" s="455"/>
    </row>
    <row r="65" spans="1:33" x14ac:dyDescent="0.2">
      <c r="A65" s="415">
        <f t="shared" si="0"/>
        <v>1232</v>
      </c>
      <c r="B65" s="416" t="str">
        <f t="shared" si="2"/>
        <v>Spring</v>
      </c>
      <c r="C65" s="453"/>
      <c r="D65" s="454"/>
      <c r="E65" s="455"/>
      <c r="F65" s="454"/>
      <c r="G65" s="455"/>
      <c r="H65" s="454"/>
      <c r="I65" s="455"/>
      <c r="J65" s="454"/>
      <c r="K65" s="455"/>
      <c r="L65" s="454"/>
      <c r="M65" s="455"/>
      <c r="N65" s="454"/>
      <c r="O65" s="455"/>
      <c r="P65" s="454"/>
      <c r="Q65" s="455"/>
      <c r="R65" s="454"/>
      <c r="S65" s="455"/>
      <c r="T65" s="454"/>
      <c r="U65" s="455"/>
      <c r="V65" s="454"/>
      <c r="W65" s="455"/>
      <c r="X65" s="454"/>
      <c r="Y65" s="455"/>
      <c r="Z65" s="454"/>
      <c r="AA65" s="455"/>
      <c r="AB65" s="454"/>
      <c r="AC65" s="455"/>
      <c r="AD65" s="454"/>
      <c r="AE65" s="455"/>
      <c r="AF65" s="454"/>
      <c r="AG65" s="455"/>
    </row>
    <row r="66" spans="1:33" x14ac:dyDescent="0.2">
      <c r="A66" s="415">
        <f t="shared" si="0"/>
        <v>1232</v>
      </c>
      <c r="B66" s="416" t="str">
        <f t="shared" si="2"/>
        <v>Summer</v>
      </c>
      <c r="C66" s="453"/>
      <c r="D66" s="454"/>
      <c r="E66" s="455"/>
      <c r="F66" s="454"/>
      <c r="G66" s="455"/>
      <c r="H66" s="454"/>
      <c r="I66" s="455"/>
      <c r="J66" s="454"/>
      <c r="K66" s="455"/>
      <c r="L66" s="454"/>
      <c r="M66" s="455"/>
      <c r="N66" s="454"/>
      <c r="O66" s="455"/>
      <c r="P66" s="454"/>
      <c r="Q66" s="455"/>
      <c r="R66" s="454"/>
      <c r="S66" s="455"/>
      <c r="T66" s="454"/>
      <c r="U66" s="455"/>
      <c r="V66" s="454"/>
      <c r="W66" s="455"/>
      <c r="X66" s="454"/>
      <c r="Y66" s="455"/>
      <c r="Z66" s="454"/>
      <c r="AA66" s="455"/>
      <c r="AB66" s="454"/>
      <c r="AC66" s="455"/>
      <c r="AD66" s="454"/>
      <c r="AE66" s="455"/>
      <c r="AF66" s="454"/>
      <c r="AG66" s="455"/>
    </row>
    <row r="67" spans="1:33" x14ac:dyDescent="0.2">
      <c r="A67" s="415">
        <f t="shared" si="0"/>
        <v>1232</v>
      </c>
      <c r="B67" s="416" t="str">
        <f t="shared" si="2"/>
        <v>Autumn</v>
      </c>
      <c r="C67" s="453"/>
      <c r="D67" s="454"/>
      <c r="E67" s="455"/>
      <c r="F67" s="454"/>
      <c r="G67" s="455"/>
      <c r="H67" s="454"/>
      <c r="I67" s="455"/>
      <c r="J67" s="454"/>
      <c r="K67" s="455"/>
      <c r="L67" s="454"/>
      <c r="M67" s="455"/>
      <c r="N67" s="454"/>
      <c r="O67" s="455"/>
      <c r="P67" s="454"/>
      <c r="Q67" s="455"/>
      <c r="R67" s="454"/>
      <c r="S67" s="455"/>
      <c r="T67" s="454"/>
      <c r="U67" s="455"/>
      <c r="V67" s="454"/>
      <c r="W67" s="455"/>
      <c r="X67" s="454"/>
      <c r="Y67" s="455"/>
      <c r="Z67" s="454"/>
      <c r="AA67" s="455"/>
      <c r="AB67" s="454"/>
      <c r="AC67" s="455"/>
      <c r="AD67" s="454"/>
      <c r="AE67" s="455"/>
      <c r="AF67" s="454"/>
      <c r="AG67" s="455"/>
    </row>
    <row r="68" spans="1:33" x14ac:dyDescent="0.2">
      <c r="A68" s="415">
        <f t="shared" si="0"/>
        <v>1233</v>
      </c>
      <c r="B68" s="416" t="str">
        <f t="shared" si="2"/>
        <v>Winter</v>
      </c>
      <c r="C68" s="453"/>
      <c r="D68" s="454"/>
      <c r="E68" s="455"/>
      <c r="F68" s="454"/>
      <c r="G68" s="455"/>
      <c r="H68" s="454"/>
      <c r="I68" s="455"/>
      <c r="J68" s="454"/>
      <c r="K68" s="455"/>
      <c r="L68" s="454"/>
      <c r="M68" s="455"/>
      <c r="N68" s="454"/>
      <c r="O68" s="455"/>
      <c r="P68" s="454"/>
      <c r="Q68" s="455"/>
      <c r="R68" s="454"/>
      <c r="S68" s="455"/>
      <c r="T68" s="454"/>
      <c r="U68" s="455"/>
      <c r="V68" s="454"/>
      <c r="W68" s="455"/>
      <c r="X68" s="454"/>
      <c r="Y68" s="455"/>
      <c r="Z68" s="454"/>
      <c r="AA68" s="455"/>
      <c r="AB68" s="454"/>
      <c r="AC68" s="455"/>
      <c r="AD68" s="454"/>
      <c r="AE68" s="455"/>
      <c r="AF68" s="454"/>
      <c r="AG68" s="455"/>
    </row>
    <row r="69" spans="1:33" x14ac:dyDescent="0.2">
      <c r="A69" s="415">
        <f t="shared" ref="A69:A132" si="3">IF(B68="Autumn",A68+1,A68)</f>
        <v>1233</v>
      </c>
      <c r="B69" s="416" t="str">
        <f t="shared" si="2"/>
        <v>Spring</v>
      </c>
      <c r="C69" s="453"/>
      <c r="D69" s="454"/>
      <c r="E69" s="455"/>
      <c r="F69" s="454"/>
      <c r="G69" s="455"/>
      <c r="H69" s="454"/>
      <c r="I69" s="455"/>
      <c r="J69" s="454"/>
      <c r="K69" s="455"/>
      <c r="L69" s="454"/>
      <c r="M69" s="455"/>
      <c r="N69" s="454"/>
      <c r="O69" s="455"/>
      <c r="P69" s="454"/>
      <c r="Q69" s="455"/>
      <c r="R69" s="454"/>
      <c r="S69" s="455"/>
      <c r="T69" s="454"/>
      <c r="U69" s="455"/>
      <c r="V69" s="454"/>
      <c r="W69" s="455"/>
      <c r="X69" s="454"/>
      <c r="Y69" s="455"/>
      <c r="Z69" s="454"/>
      <c r="AA69" s="455"/>
      <c r="AB69" s="454"/>
      <c r="AC69" s="455"/>
      <c r="AD69" s="454"/>
      <c r="AE69" s="455"/>
      <c r="AF69" s="454"/>
      <c r="AG69" s="455"/>
    </row>
    <row r="70" spans="1:33" x14ac:dyDescent="0.2">
      <c r="A70" s="415">
        <f t="shared" si="3"/>
        <v>1233</v>
      </c>
      <c r="B70" s="416" t="str">
        <f t="shared" si="2"/>
        <v>Summer</v>
      </c>
      <c r="C70" s="453"/>
      <c r="D70" s="454"/>
      <c r="E70" s="455"/>
      <c r="F70" s="454"/>
      <c r="G70" s="455"/>
      <c r="H70" s="454"/>
      <c r="I70" s="455"/>
      <c r="J70" s="454"/>
      <c r="K70" s="455"/>
      <c r="L70" s="454"/>
      <c r="M70" s="455"/>
      <c r="N70" s="454"/>
      <c r="O70" s="455"/>
      <c r="P70" s="454"/>
      <c r="Q70" s="455"/>
      <c r="R70" s="454"/>
      <c r="S70" s="455"/>
      <c r="T70" s="454"/>
      <c r="U70" s="455"/>
      <c r="V70" s="454"/>
      <c r="W70" s="455"/>
      <c r="X70" s="454"/>
      <c r="Y70" s="455"/>
      <c r="Z70" s="454"/>
      <c r="AA70" s="455"/>
      <c r="AB70" s="454"/>
      <c r="AC70" s="455"/>
      <c r="AD70" s="454"/>
      <c r="AE70" s="455"/>
      <c r="AF70" s="454"/>
      <c r="AG70" s="455"/>
    </row>
    <row r="71" spans="1:33" x14ac:dyDescent="0.2">
      <c r="A71" s="415">
        <f t="shared" si="3"/>
        <v>1233</v>
      </c>
      <c r="B71" s="416" t="str">
        <f t="shared" si="2"/>
        <v>Autumn</v>
      </c>
      <c r="C71" s="453"/>
      <c r="D71" s="454"/>
      <c r="E71" s="455"/>
      <c r="F71" s="454"/>
      <c r="G71" s="455"/>
      <c r="H71" s="454"/>
      <c r="I71" s="455"/>
      <c r="J71" s="454"/>
      <c r="K71" s="455"/>
      <c r="L71" s="454"/>
      <c r="M71" s="455"/>
      <c r="N71" s="454"/>
      <c r="O71" s="455"/>
      <c r="P71" s="454"/>
      <c r="Q71" s="455"/>
      <c r="R71" s="454"/>
      <c r="S71" s="455"/>
      <c r="T71" s="454"/>
      <c r="U71" s="455"/>
      <c r="V71" s="454"/>
      <c r="W71" s="455"/>
      <c r="X71" s="454"/>
      <c r="Y71" s="455"/>
      <c r="Z71" s="454"/>
      <c r="AA71" s="455"/>
      <c r="AB71" s="454"/>
      <c r="AC71" s="455"/>
      <c r="AD71" s="454"/>
      <c r="AE71" s="455"/>
      <c r="AF71" s="454"/>
      <c r="AG71" s="455"/>
    </row>
    <row r="72" spans="1:33" x14ac:dyDescent="0.2">
      <c r="A72" s="415">
        <f t="shared" si="3"/>
        <v>1234</v>
      </c>
      <c r="B72" s="416" t="str">
        <f t="shared" si="2"/>
        <v>Winter</v>
      </c>
      <c r="C72" s="453"/>
      <c r="D72" s="454"/>
      <c r="E72" s="455"/>
      <c r="F72" s="454"/>
      <c r="G72" s="455"/>
      <c r="H72" s="454"/>
      <c r="I72" s="455"/>
      <c r="J72" s="454"/>
      <c r="K72" s="455"/>
      <c r="L72" s="454"/>
      <c r="M72" s="455"/>
      <c r="N72" s="454"/>
      <c r="O72" s="455"/>
      <c r="P72" s="454"/>
      <c r="Q72" s="455"/>
      <c r="R72" s="454"/>
      <c r="S72" s="455"/>
      <c r="T72" s="454"/>
      <c r="U72" s="455"/>
      <c r="V72" s="454"/>
      <c r="W72" s="455"/>
      <c r="X72" s="454"/>
      <c r="Y72" s="455"/>
      <c r="Z72" s="454"/>
      <c r="AA72" s="455"/>
      <c r="AB72" s="454"/>
      <c r="AC72" s="455"/>
      <c r="AD72" s="454"/>
      <c r="AE72" s="455"/>
      <c r="AF72" s="454"/>
      <c r="AG72" s="455"/>
    </row>
    <row r="73" spans="1:33" x14ac:dyDescent="0.2">
      <c r="A73" s="415">
        <f t="shared" si="3"/>
        <v>1234</v>
      </c>
      <c r="B73" s="416" t="str">
        <f t="shared" si="2"/>
        <v>Spring</v>
      </c>
      <c r="C73" s="453"/>
      <c r="D73" s="454"/>
      <c r="E73" s="455"/>
      <c r="F73" s="454"/>
      <c r="G73" s="455"/>
      <c r="H73" s="454"/>
      <c r="I73" s="455"/>
      <c r="J73" s="454"/>
      <c r="K73" s="455"/>
      <c r="L73" s="454"/>
      <c r="M73" s="455"/>
      <c r="N73" s="454"/>
      <c r="O73" s="455"/>
      <c r="P73" s="454"/>
      <c r="Q73" s="455"/>
      <c r="R73" s="454"/>
      <c r="S73" s="455"/>
      <c r="T73" s="454"/>
      <c r="U73" s="455"/>
      <c r="V73" s="454"/>
      <c r="W73" s="455"/>
      <c r="X73" s="454"/>
      <c r="Y73" s="455"/>
      <c r="Z73" s="454"/>
      <c r="AA73" s="455"/>
      <c r="AB73" s="454"/>
      <c r="AC73" s="455"/>
      <c r="AD73" s="454"/>
      <c r="AE73" s="455"/>
      <c r="AF73" s="454"/>
      <c r="AG73" s="455"/>
    </row>
    <row r="74" spans="1:33" x14ac:dyDescent="0.2">
      <c r="A74" s="415">
        <f t="shared" si="3"/>
        <v>1234</v>
      </c>
      <c r="B74" s="416" t="str">
        <f t="shared" si="2"/>
        <v>Summer</v>
      </c>
      <c r="C74" s="453"/>
      <c r="D74" s="454"/>
      <c r="E74" s="455"/>
      <c r="F74" s="454"/>
      <c r="G74" s="455"/>
      <c r="H74" s="454"/>
      <c r="I74" s="455"/>
      <c r="J74" s="454"/>
      <c r="K74" s="455"/>
      <c r="L74" s="454"/>
      <c r="M74" s="455"/>
      <c r="N74" s="454"/>
      <c r="O74" s="455"/>
      <c r="P74" s="454"/>
      <c r="Q74" s="455"/>
      <c r="R74" s="454"/>
      <c r="S74" s="455"/>
      <c r="T74" s="454"/>
      <c r="U74" s="455"/>
      <c r="V74" s="454"/>
      <c r="W74" s="455"/>
      <c r="X74" s="454"/>
      <c r="Y74" s="455"/>
      <c r="Z74" s="454"/>
      <c r="AA74" s="455"/>
      <c r="AB74" s="454"/>
      <c r="AC74" s="455"/>
      <c r="AD74" s="454"/>
      <c r="AE74" s="455"/>
      <c r="AF74" s="454"/>
      <c r="AG74" s="455"/>
    </row>
    <row r="75" spans="1:33" x14ac:dyDescent="0.2">
      <c r="A75" s="415">
        <f t="shared" si="3"/>
        <v>1234</v>
      </c>
      <c r="B75" s="416" t="str">
        <f t="shared" si="2"/>
        <v>Autumn</v>
      </c>
      <c r="C75" s="453"/>
      <c r="D75" s="454"/>
      <c r="E75" s="455"/>
      <c r="F75" s="454"/>
      <c r="G75" s="455"/>
      <c r="H75" s="454"/>
      <c r="I75" s="455"/>
      <c r="J75" s="454"/>
      <c r="K75" s="455"/>
      <c r="L75" s="454"/>
      <c r="M75" s="455"/>
      <c r="N75" s="454"/>
      <c r="O75" s="455"/>
      <c r="P75" s="454"/>
      <c r="Q75" s="455"/>
      <c r="R75" s="454"/>
      <c r="S75" s="455"/>
      <c r="T75" s="454"/>
      <c r="U75" s="455"/>
      <c r="V75" s="454"/>
      <c r="W75" s="455"/>
      <c r="X75" s="454"/>
      <c r="Y75" s="455"/>
      <c r="Z75" s="454"/>
      <c r="AA75" s="455"/>
      <c r="AB75" s="454"/>
      <c r="AC75" s="455"/>
      <c r="AD75" s="454"/>
      <c r="AE75" s="455"/>
      <c r="AF75" s="454"/>
      <c r="AG75" s="455"/>
    </row>
    <row r="76" spans="1:33" x14ac:dyDescent="0.2">
      <c r="A76" s="415">
        <f t="shared" si="3"/>
        <v>1235</v>
      </c>
      <c r="B76" s="416" t="str">
        <f t="shared" si="2"/>
        <v>Winter</v>
      </c>
      <c r="C76" s="453"/>
      <c r="D76" s="454"/>
      <c r="E76" s="455"/>
      <c r="F76" s="454"/>
      <c r="G76" s="455"/>
      <c r="H76" s="454"/>
      <c r="I76" s="455"/>
      <c r="J76" s="454"/>
      <c r="K76" s="455"/>
      <c r="L76" s="454"/>
      <c r="M76" s="455"/>
      <c r="N76" s="454"/>
      <c r="O76" s="455"/>
      <c r="P76" s="454"/>
      <c r="Q76" s="455"/>
      <c r="R76" s="454"/>
      <c r="S76" s="455"/>
      <c r="T76" s="454"/>
      <c r="U76" s="455"/>
      <c r="V76" s="454"/>
      <c r="W76" s="455"/>
      <c r="X76" s="454"/>
      <c r="Y76" s="455"/>
      <c r="Z76" s="454"/>
      <c r="AA76" s="455"/>
      <c r="AB76" s="454"/>
      <c r="AC76" s="455"/>
      <c r="AD76" s="454"/>
      <c r="AE76" s="455"/>
      <c r="AF76" s="454"/>
      <c r="AG76" s="455"/>
    </row>
    <row r="77" spans="1:33" x14ac:dyDescent="0.2">
      <c r="A77" s="415">
        <f t="shared" si="3"/>
        <v>1235</v>
      </c>
      <c r="B77" s="416" t="str">
        <f t="shared" si="2"/>
        <v>Spring</v>
      </c>
      <c r="C77" s="453"/>
      <c r="D77" s="454"/>
      <c r="E77" s="455"/>
      <c r="F77" s="454"/>
      <c r="G77" s="455"/>
      <c r="H77" s="454"/>
      <c r="I77" s="455"/>
      <c r="J77" s="454"/>
      <c r="K77" s="455"/>
      <c r="L77" s="454"/>
      <c r="M77" s="455"/>
      <c r="N77" s="454"/>
      <c r="O77" s="455"/>
      <c r="P77" s="454"/>
      <c r="Q77" s="455"/>
      <c r="R77" s="454"/>
      <c r="S77" s="455"/>
      <c r="T77" s="454"/>
      <c r="U77" s="455"/>
      <c r="V77" s="454"/>
      <c r="W77" s="455"/>
      <c r="X77" s="454"/>
      <c r="Y77" s="455"/>
      <c r="Z77" s="454"/>
      <c r="AA77" s="455"/>
      <c r="AB77" s="454"/>
      <c r="AC77" s="455"/>
      <c r="AD77" s="454"/>
      <c r="AE77" s="455"/>
      <c r="AF77" s="454"/>
      <c r="AG77" s="455"/>
    </row>
    <row r="78" spans="1:33" x14ac:dyDescent="0.2">
      <c r="A78" s="415">
        <f t="shared" si="3"/>
        <v>1235</v>
      </c>
      <c r="B78" s="416" t="str">
        <f t="shared" si="2"/>
        <v>Summer</v>
      </c>
      <c r="C78" s="453"/>
      <c r="D78" s="454"/>
      <c r="E78" s="455"/>
      <c r="F78" s="454"/>
      <c r="G78" s="455"/>
      <c r="H78" s="454"/>
      <c r="I78" s="455"/>
      <c r="J78" s="454"/>
      <c r="K78" s="455"/>
      <c r="L78" s="454"/>
      <c r="M78" s="455"/>
      <c r="N78" s="454"/>
      <c r="O78" s="455"/>
      <c r="P78" s="454"/>
      <c r="Q78" s="455"/>
      <c r="R78" s="454"/>
      <c r="S78" s="455"/>
      <c r="T78" s="454"/>
      <c r="U78" s="455"/>
      <c r="V78" s="454"/>
      <c r="W78" s="455"/>
      <c r="X78" s="454"/>
      <c r="Y78" s="455"/>
      <c r="Z78" s="454"/>
      <c r="AA78" s="455"/>
      <c r="AB78" s="454"/>
      <c r="AC78" s="455"/>
      <c r="AD78" s="454"/>
      <c r="AE78" s="455"/>
      <c r="AF78" s="454"/>
      <c r="AG78" s="455"/>
    </row>
    <row r="79" spans="1:33" x14ac:dyDescent="0.2">
      <c r="A79" s="415">
        <f t="shared" si="3"/>
        <v>1235</v>
      </c>
      <c r="B79" s="416" t="str">
        <f t="shared" si="2"/>
        <v>Autumn</v>
      </c>
      <c r="C79" s="453"/>
      <c r="D79" s="454"/>
      <c r="E79" s="455"/>
      <c r="F79" s="454"/>
      <c r="G79" s="455"/>
      <c r="H79" s="454"/>
      <c r="I79" s="455"/>
      <c r="J79" s="454"/>
      <c r="K79" s="455"/>
      <c r="L79" s="454"/>
      <c r="M79" s="455"/>
      <c r="N79" s="454"/>
      <c r="O79" s="455"/>
      <c r="P79" s="454"/>
      <c r="Q79" s="455"/>
      <c r="R79" s="454"/>
      <c r="S79" s="455"/>
      <c r="T79" s="454"/>
      <c r="U79" s="455"/>
      <c r="V79" s="454"/>
      <c r="W79" s="455"/>
      <c r="X79" s="454"/>
      <c r="Y79" s="455"/>
      <c r="Z79" s="454"/>
      <c r="AA79" s="455"/>
      <c r="AB79" s="454"/>
      <c r="AC79" s="455"/>
      <c r="AD79" s="454"/>
      <c r="AE79" s="455"/>
      <c r="AF79" s="454"/>
      <c r="AG79" s="455"/>
    </row>
    <row r="80" spans="1:33" x14ac:dyDescent="0.2">
      <c r="A80" s="415">
        <f t="shared" si="3"/>
        <v>1236</v>
      </c>
      <c r="B80" s="416" t="str">
        <f t="shared" si="2"/>
        <v>Winter</v>
      </c>
      <c r="C80" s="453"/>
      <c r="D80" s="454"/>
      <c r="E80" s="455"/>
      <c r="F80" s="454"/>
      <c r="G80" s="455"/>
      <c r="H80" s="454"/>
      <c r="I80" s="455"/>
      <c r="J80" s="454"/>
      <c r="K80" s="455"/>
      <c r="L80" s="454"/>
      <c r="M80" s="455"/>
      <c r="N80" s="454"/>
      <c r="O80" s="455"/>
      <c r="P80" s="454"/>
      <c r="Q80" s="455"/>
      <c r="R80" s="454"/>
      <c r="S80" s="455"/>
      <c r="T80" s="454"/>
      <c r="U80" s="455"/>
      <c r="V80" s="454"/>
      <c r="W80" s="455"/>
      <c r="X80" s="454"/>
      <c r="Y80" s="455"/>
      <c r="Z80" s="454"/>
      <c r="AA80" s="455"/>
      <c r="AB80" s="454"/>
      <c r="AC80" s="455"/>
      <c r="AD80" s="454"/>
      <c r="AE80" s="455"/>
      <c r="AF80" s="454"/>
      <c r="AG80" s="455"/>
    </row>
    <row r="81" spans="1:33" x14ac:dyDescent="0.2">
      <c r="A81" s="415">
        <f t="shared" si="3"/>
        <v>1236</v>
      </c>
      <c r="B81" s="416" t="str">
        <f t="shared" si="2"/>
        <v>Spring</v>
      </c>
      <c r="C81" s="453"/>
      <c r="D81" s="454"/>
      <c r="E81" s="455"/>
      <c r="F81" s="454"/>
      <c r="G81" s="455"/>
      <c r="H81" s="454"/>
      <c r="I81" s="455"/>
      <c r="J81" s="454"/>
      <c r="K81" s="455"/>
      <c r="L81" s="454"/>
      <c r="M81" s="455"/>
      <c r="N81" s="454"/>
      <c r="O81" s="455"/>
      <c r="P81" s="454"/>
      <c r="Q81" s="455"/>
      <c r="R81" s="454"/>
      <c r="S81" s="455"/>
      <c r="T81" s="454"/>
      <c r="U81" s="455"/>
      <c r="V81" s="454"/>
      <c r="W81" s="455"/>
      <c r="X81" s="454"/>
      <c r="Y81" s="455"/>
      <c r="Z81" s="454"/>
      <c r="AA81" s="455"/>
      <c r="AB81" s="454"/>
      <c r="AC81" s="455"/>
      <c r="AD81" s="454"/>
      <c r="AE81" s="455"/>
      <c r="AF81" s="454"/>
      <c r="AG81" s="455"/>
    </row>
    <row r="82" spans="1:33" x14ac:dyDescent="0.2">
      <c r="A82" s="415">
        <f t="shared" si="3"/>
        <v>1236</v>
      </c>
      <c r="B82" s="416" t="str">
        <f t="shared" si="2"/>
        <v>Summer</v>
      </c>
      <c r="C82" s="453"/>
      <c r="D82" s="454"/>
      <c r="E82" s="455"/>
      <c r="F82" s="454"/>
      <c r="G82" s="455"/>
      <c r="H82" s="454"/>
      <c r="I82" s="455"/>
      <c r="J82" s="454"/>
      <c r="K82" s="455"/>
      <c r="L82" s="454"/>
      <c r="M82" s="455"/>
      <c r="N82" s="454"/>
      <c r="O82" s="455"/>
      <c r="P82" s="454"/>
      <c r="Q82" s="455"/>
      <c r="R82" s="454"/>
      <c r="S82" s="455"/>
      <c r="T82" s="454"/>
      <c r="U82" s="455"/>
      <c r="V82" s="454"/>
      <c r="W82" s="455"/>
      <c r="X82" s="454"/>
      <c r="Y82" s="455"/>
      <c r="Z82" s="454"/>
      <c r="AA82" s="455"/>
      <c r="AB82" s="454"/>
      <c r="AC82" s="455"/>
      <c r="AD82" s="454"/>
      <c r="AE82" s="455"/>
      <c r="AF82" s="454"/>
      <c r="AG82" s="455"/>
    </row>
    <row r="83" spans="1:33" x14ac:dyDescent="0.2">
      <c r="A83" s="415">
        <f t="shared" si="3"/>
        <v>1236</v>
      </c>
      <c r="B83" s="416" t="str">
        <f t="shared" si="2"/>
        <v>Autumn</v>
      </c>
      <c r="C83" s="453"/>
      <c r="D83" s="454"/>
      <c r="E83" s="455"/>
      <c r="F83" s="454"/>
      <c r="G83" s="455"/>
      <c r="H83" s="454"/>
      <c r="I83" s="455"/>
      <c r="J83" s="454"/>
      <c r="K83" s="455"/>
      <c r="L83" s="454"/>
      <c r="M83" s="455"/>
      <c r="N83" s="454"/>
      <c r="O83" s="455"/>
      <c r="P83" s="454"/>
      <c r="Q83" s="455"/>
      <c r="R83" s="454"/>
      <c r="S83" s="455"/>
      <c r="T83" s="454"/>
      <c r="U83" s="455"/>
      <c r="V83" s="454"/>
      <c r="W83" s="455"/>
      <c r="X83" s="454"/>
      <c r="Y83" s="455"/>
      <c r="Z83" s="454"/>
      <c r="AA83" s="455"/>
      <c r="AB83" s="454"/>
      <c r="AC83" s="455"/>
      <c r="AD83" s="454"/>
      <c r="AE83" s="455"/>
      <c r="AF83" s="454"/>
      <c r="AG83" s="455"/>
    </row>
    <row r="84" spans="1:33" x14ac:dyDescent="0.2">
      <c r="A84" s="415">
        <f t="shared" si="3"/>
        <v>1237</v>
      </c>
      <c r="B84" s="416" t="str">
        <f t="shared" si="2"/>
        <v>Winter</v>
      </c>
      <c r="C84" s="453"/>
      <c r="D84" s="454"/>
      <c r="E84" s="455"/>
      <c r="F84" s="454"/>
      <c r="G84" s="455"/>
      <c r="H84" s="454"/>
      <c r="I84" s="455"/>
      <c r="J84" s="454"/>
      <c r="K84" s="455"/>
      <c r="L84" s="454"/>
      <c r="M84" s="455"/>
      <c r="N84" s="454"/>
      <c r="O84" s="455"/>
      <c r="P84" s="454"/>
      <c r="Q84" s="455"/>
      <c r="R84" s="454"/>
      <c r="S84" s="455"/>
      <c r="T84" s="454"/>
      <c r="U84" s="455"/>
      <c r="V84" s="454"/>
      <c r="W84" s="455"/>
      <c r="X84" s="454"/>
      <c r="Y84" s="455"/>
      <c r="Z84" s="454"/>
      <c r="AA84" s="455"/>
      <c r="AB84" s="454"/>
      <c r="AC84" s="455"/>
      <c r="AD84" s="454"/>
      <c r="AE84" s="455"/>
      <c r="AF84" s="454"/>
      <c r="AG84" s="455"/>
    </row>
    <row r="85" spans="1:33" x14ac:dyDescent="0.2">
      <c r="A85" s="415">
        <f t="shared" si="3"/>
        <v>1237</v>
      </c>
      <c r="B85" s="416" t="str">
        <f t="shared" si="2"/>
        <v>Spring</v>
      </c>
      <c r="C85" s="453"/>
      <c r="D85" s="454"/>
      <c r="E85" s="455"/>
      <c r="F85" s="454"/>
      <c r="G85" s="455"/>
      <c r="H85" s="454"/>
      <c r="I85" s="455"/>
      <c r="J85" s="454"/>
      <c r="K85" s="455"/>
      <c r="L85" s="454"/>
      <c r="M85" s="455"/>
      <c r="N85" s="454"/>
      <c r="O85" s="455"/>
      <c r="P85" s="454"/>
      <c r="Q85" s="455"/>
      <c r="R85" s="454"/>
      <c r="S85" s="455"/>
      <c r="T85" s="454"/>
      <c r="U85" s="455"/>
      <c r="V85" s="454"/>
      <c r="W85" s="455"/>
      <c r="X85" s="454"/>
      <c r="Y85" s="455"/>
      <c r="Z85" s="454"/>
      <c r="AA85" s="455"/>
      <c r="AB85" s="454"/>
      <c r="AC85" s="455"/>
      <c r="AD85" s="454"/>
      <c r="AE85" s="455"/>
      <c r="AF85" s="454"/>
      <c r="AG85" s="455"/>
    </row>
    <row r="86" spans="1:33" x14ac:dyDescent="0.2">
      <c r="A86" s="415">
        <f t="shared" si="3"/>
        <v>1237</v>
      </c>
      <c r="B86" s="416" t="str">
        <f t="shared" si="2"/>
        <v>Summer</v>
      </c>
      <c r="C86" s="453"/>
      <c r="D86" s="454"/>
      <c r="E86" s="455"/>
      <c r="F86" s="454"/>
      <c r="G86" s="455"/>
      <c r="H86" s="454"/>
      <c r="I86" s="455"/>
      <c r="J86" s="454"/>
      <c r="K86" s="455"/>
      <c r="L86" s="454"/>
      <c r="M86" s="455"/>
      <c r="N86" s="454"/>
      <c r="O86" s="455"/>
      <c r="P86" s="454"/>
      <c r="Q86" s="455"/>
      <c r="R86" s="454"/>
      <c r="S86" s="455"/>
      <c r="T86" s="454"/>
      <c r="U86" s="455"/>
      <c r="V86" s="454"/>
      <c r="W86" s="455"/>
      <c r="X86" s="454"/>
      <c r="Y86" s="455"/>
      <c r="Z86" s="454"/>
      <c r="AA86" s="455"/>
      <c r="AB86" s="454"/>
      <c r="AC86" s="455"/>
      <c r="AD86" s="454"/>
      <c r="AE86" s="455"/>
      <c r="AF86" s="454"/>
      <c r="AG86" s="455"/>
    </row>
    <row r="87" spans="1:33" x14ac:dyDescent="0.2">
      <c r="A87" s="415">
        <f t="shared" si="3"/>
        <v>1237</v>
      </c>
      <c r="B87" s="416" t="str">
        <f t="shared" si="2"/>
        <v>Autumn</v>
      </c>
      <c r="C87" s="453"/>
      <c r="D87" s="454"/>
      <c r="E87" s="455"/>
      <c r="F87" s="454"/>
      <c r="G87" s="455"/>
      <c r="H87" s="454"/>
      <c r="I87" s="455"/>
      <c r="J87" s="454"/>
      <c r="K87" s="455"/>
      <c r="L87" s="454"/>
      <c r="M87" s="455"/>
      <c r="N87" s="454"/>
      <c r="O87" s="455"/>
      <c r="P87" s="454"/>
      <c r="Q87" s="455"/>
      <c r="R87" s="454"/>
      <c r="S87" s="455"/>
      <c r="T87" s="454"/>
      <c r="U87" s="455"/>
      <c r="V87" s="454"/>
      <c r="W87" s="455"/>
      <c r="X87" s="454"/>
      <c r="Y87" s="455"/>
      <c r="Z87" s="454"/>
      <c r="AA87" s="455"/>
      <c r="AB87" s="454"/>
      <c r="AC87" s="455"/>
      <c r="AD87" s="454"/>
      <c r="AE87" s="455"/>
      <c r="AF87" s="454"/>
      <c r="AG87" s="455"/>
    </row>
    <row r="88" spans="1:33" x14ac:dyDescent="0.2">
      <c r="A88" s="415">
        <f t="shared" si="3"/>
        <v>1238</v>
      </c>
      <c r="B88" s="416" t="str">
        <f t="shared" si="2"/>
        <v>Winter</v>
      </c>
      <c r="C88" s="453"/>
      <c r="D88" s="454"/>
      <c r="E88" s="455"/>
      <c r="F88" s="454"/>
      <c r="G88" s="455"/>
      <c r="H88" s="454"/>
      <c r="I88" s="455"/>
      <c r="J88" s="454"/>
      <c r="K88" s="455"/>
      <c r="L88" s="454"/>
      <c r="M88" s="455"/>
      <c r="N88" s="454"/>
      <c r="O88" s="455"/>
      <c r="P88" s="454"/>
      <c r="Q88" s="455"/>
      <c r="R88" s="454"/>
      <c r="S88" s="455"/>
      <c r="T88" s="454"/>
      <c r="U88" s="455"/>
      <c r="V88" s="454"/>
      <c r="W88" s="455"/>
      <c r="X88" s="454"/>
      <c r="Y88" s="455"/>
      <c r="Z88" s="454"/>
      <c r="AA88" s="455"/>
      <c r="AB88" s="454"/>
      <c r="AC88" s="455"/>
      <c r="AD88" s="454"/>
      <c r="AE88" s="455"/>
      <c r="AF88" s="454"/>
      <c r="AG88" s="455"/>
    </row>
    <row r="89" spans="1:33" x14ac:dyDescent="0.2">
      <c r="A89" s="415">
        <f t="shared" si="3"/>
        <v>1238</v>
      </c>
      <c r="B89" s="416" t="str">
        <f t="shared" si="2"/>
        <v>Spring</v>
      </c>
      <c r="C89" s="453"/>
      <c r="D89" s="454"/>
      <c r="E89" s="455"/>
      <c r="F89" s="454"/>
      <c r="G89" s="455"/>
      <c r="H89" s="454"/>
      <c r="I89" s="455"/>
      <c r="J89" s="454"/>
      <c r="K89" s="455"/>
      <c r="L89" s="454"/>
      <c r="M89" s="455"/>
      <c r="N89" s="454"/>
      <c r="O89" s="455"/>
      <c r="P89" s="454"/>
      <c r="Q89" s="455"/>
      <c r="R89" s="454"/>
      <c r="S89" s="455"/>
      <c r="T89" s="454"/>
      <c r="U89" s="455"/>
      <c r="V89" s="454"/>
      <c r="W89" s="455"/>
      <c r="X89" s="454"/>
      <c r="Y89" s="455"/>
      <c r="Z89" s="454"/>
      <c r="AA89" s="455"/>
      <c r="AB89" s="454"/>
      <c r="AC89" s="455"/>
      <c r="AD89" s="454"/>
      <c r="AE89" s="455"/>
      <c r="AF89" s="454"/>
      <c r="AG89" s="455"/>
    </row>
    <row r="90" spans="1:33" x14ac:dyDescent="0.2">
      <c r="A90" s="415">
        <f t="shared" si="3"/>
        <v>1238</v>
      </c>
      <c r="B90" s="416" t="str">
        <f t="shared" si="2"/>
        <v>Summer</v>
      </c>
      <c r="C90" s="453"/>
      <c r="D90" s="454"/>
      <c r="E90" s="455"/>
      <c r="F90" s="454"/>
      <c r="G90" s="455"/>
      <c r="H90" s="454"/>
      <c r="I90" s="455"/>
      <c r="J90" s="454"/>
      <c r="K90" s="455"/>
      <c r="L90" s="454"/>
      <c r="M90" s="455"/>
      <c r="N90" s="454"/>
      <c r="O90" s="455"/>
      <c r="P90" s="454"/>
      <c r="Q90" s="455"/>
      <c r="R90" s="454"/>
      <c r="S90" s="455"/>
      <c r="T90" s="454"/>
      <c r="U90" s="455"/>
      <c r="V90" s="454"/>
      <c r="W90" s="455"/>
      <c r="X90" s="454"/>
      <c r="Y90" s="455"/>
      <c r="Z90" s="454"/>
      <c r="AA90" s="455"/>
      <c r="AB90" s="454"/>
      <c r="AC90" s="455"/>
      <c r="AD90" s="454"/>
      <c r="AE90" s="455"/>
      <c r="AF90" s="454"/>
      <c r="AG90" s="455"/>
    </row>
    <row r="91" spans="1:33" x14ac:dyDescent="0.2">
      <c r="A91" s="415">
        <f t="shared" si="3"/>
        <v>1238</v>
      </c>
      <c r="B91" s="416" t="str">
        <f t="shared" si="2"/>
        <v>Autumn</v>
      </c>
      <c r="C91" s="453"/>
      <c r="D91" s="454"/>
      <c r="E91" s="455"/>
      <c r="F91" s="454"/>
      <c r="G91" s="455"/>
      <c r="H91" s="454"/>
      <c r="I91" s="455"/>
      <c r="J91" s="454"/>
      <c r="K91" s="455"/>
      <c r="L91" s="454"/>
      <c r="M91" s="455"/>
      <c r="N91" s="454"/>
      <c r="O91" s="455"/>
      <c r="P91" s="454"/>
      <c r="Q91" s="455"/>
      <c r="R91" s="454"/>
      <c r="S91" s="455"/>
      <c r="T91" s="454"/>
      <c r="U91" s="455"/>
      <c r="V91" s="454"/>
      <c r="W91" s="455"/>
      <c r="X91" s="454"/>
      <c r="Y91" s="455"/>
      <c r="Z91" s="454"/>
      <c r="AA91" s="455"/>
      <c r="AB91" s="454"/>
      <c r="AC91" s="455"/>
      <c r="AD91" s="454"/>
      <c r="AE91" s="455"/>
      <c r="AF91" s="454"/>
      <c r="AG91" s="455"/>
    </row>
    <row r="92" spans="1:33" x14ac:dyDescent="0.2">
      <c r="A92" s="415">
        <f t="shared" si="3"/>
        <v>1239</v>
      </c>
      <c r="B92" s="416" t="str">
        <f t="shared" si="2"/>
        <v>Winter</v>
      </c>
      <c r="C92" s="453"/>
      <c r="D92" s="454"/>
      <c r="E92" s="455"/>
      <c r="F92" s="454"/>
      <c r="G92" s="455"/>
      <c r="H92" s="454"/>
      <c r="I92" s="455"/>
      <c r="J92" s="454"/>
      <c r="K92" s="455"/>
      <c r="L92" s="454"/>
      <c r="M92" s="455"/>
      <c r="N92" s="454"/>
      <c r="O92" s="455"/>
      <c r="P92" s="454"/>
      <c r="Q92" s="455"/>
      <c r="R92" s="454"/>
      <c r="S92" s="455"/>
      <c r="T92" s="454"/>
      <c r="U92" s="455"/>
      <c r="V92" s="454"/>
      <c r="W92" s="455"/>
      <c r="X92" s="454"/>
      <c r="Y92" s="455"/>
      <c r="Z92" s="454"/>
      <c r="AA92" s="455"/>
      <c r="AB92" s="454"/>
      <c r="AC92" s="455"/>
      <c r="AD92" s="454"/>
      <c r="AE92" s="455"/>
      <c r="AF92" s="454"/>
      <c r="AG92" s="455"/>
    </row>
    <row r="93" spans="1:33" x14ac:dyDescent="0.2">
      <c r="A93" s="415">
        <f t="shared" si="3"/>
        <v>1239</v>
      </c>
      <c r="B93" s="416" t="str">
        <f t="shared" si="2"/>
        <v>Spring</v>
      </c>
      <c r="C93" s="453"/>
      <c r="D93" s="454"/>
      <c r="E93" s="455"/>
      <c r="F93" s="454"/>
      <c r="G93" s="455"/>
      <c r="H93" s="454"/>
      <c r="I93" s="455"/>
      <c r="J93" s="454"/>
      <c r="K93" s="455"/>
      <c r="L93" s="454"/>
      <c r="M93" s="455"/>
      <c r="N93" s="454"/>
      <c r="O93" s="455"/>
      <c r="P93" s="454"/>
      <c r="Q93" s="455"/>
      <c r="R93" s="454"/>
      <c r="S93" s="455"/>
      <c r="T93" s="454"/>
      <c r="U93" s="455"/>
      <c r="V93" s="454"/>
      <c r="W93" s="455"/>
      <c r="X93" s="454"/>
      <c r="Y93" s="455"/>
      <c r="Z93" s="454"/>
      <c r="AA93" s="455"/>
      <c r="AB93" s="454"/>
      <c r="AC93" s="455"/>
      <c r="AD93" s="454"/>
      <c r="AE93" s="455"/>
      <c r="AF93" s="454"/>
      <c r="AG93" s="455"/>
    </row>
    <row r="94" spans="1:33" x14ac:dyDescent="0.2">
      <c r="A94" s="415">
        <f t="shared" si="3"/>
        <v>1239</v>
      </c>
      <c r="B94" s="416" t="str">
        <f t="shared" si="2"/>
        <v>Summer</v>
      </c>
      <c r="C94" s="453"/>
      <c r="D94" s="454"/>
      <c r="E94" s="455"/>
      <c r="F94" s="454"/>
      <c r="G94" s="455"/>
      <c r="H94" s="454"/>
      <c r="I94" s="455"/>
      <c r="J94" s="454"/>
      <c r="K94" s="455"/>
      <c r="L94" s="454"/>
      <c r="M94" s="455"/>
      <c r="N94" s="454"/>
      <c r="O94" s="455"/>
      <c r="P94" s="454"/>
      <c r="Q94" s="455"/>
      <c r="R94" s="454"/>
      <c r="S94" s="455"/>
      <c r="T94" s="454"/>
      <c r="U94" s="455"/>
      <c r="V94" s="454"/>
      <c r="W94" s="455"/>
      <c r="X94" s="454"/>
      <c r="Y94" s="455"/>
      <c r="Z94" s="454"/>
      <c r="AA94" s="455"/>
      <c r="AB94" s="454"/>
      <c r="AC94" s="455"/>
      <c r="AD94" s="454"/>
      <c r="AE94" s="455"/>
      <c r="AF94" s="454"/>
      <c r="AG94" s="455"/>
    </row>
    <row r="95" spans="1:33" x14ac:dyDescent="0.2">
      <c r="A95" s="415">
        <f t="shared" si="3"/>
        <v>1239</v>
      </c>
      <c r="B95" s="416" t="str">
        <f t="shared" si="2"/>
        <v>Autumn</v>
      </c>
      <c r="C95" s="453"/>
      <c r="D95" s="454"/>
      <c r="E95" s="455"/>
      <c r="F95" s="454"/>
      <c r="G95" s="455"/>
      <c r="H95" s="454"/>
      <c r="I95" s="455"/>
      <c r="J95" s="454"/>
      <c r="K95" s="455"/>
      <c r="L95" s="454"/>
      <c r="M95" s="455"/>
      <c r="N95" s="454"/>
      <c r="O95" s="455"/>
      <c r="P95" s="454"/>
      <c r="Q95" s="455"/>
      <c r="R95" s="454"/>
      <c r="S95" s="455"/>
      <c r="T95" s="454"/>
      <c r="U95" s="455"/>
      <c r="V95" s="454"/>
      <c r="W95" s="455"/>
      <c r="X95" s="454"/>
      <c r="Y95" s="455"/>
      <c r="Z95" s="454"/>
      <c r="AA95" s="455"/>
      <c r="AB95" s="454"/>
      <c r="AC95" s="455"/>
      <c r="AD95" s="454"/>
      <c r="AE95" s="455"/>
      <c r="AF95" s="454"/>
      <c r="AG95" s="455"/>
    </row>
    <row r="96" spans="1:33" x14ac:dyDescent="0.2">
      <c r="A96" s="415">
        <f t="shared" si="3"/>
        <v>1240</v>
      </c>
      <c r="B96" s="416" t="str">
        <f t="shared" si="2"/>
        <v>Winter</v>
      </c>
      <c r="C96" s="453"/>
      <c r="D96" s="454"/>
      <c r="E96" s="455"/>
      <c r="F96" s="454"/>
      <c r="G96" s="455"/>
      <c r="H96" s="454"/>
      <c r="I96" s="455"/>
      <c r="J96" s="454"/>
      <c r="K96" s="455"/>
      <c r="L96" s="454"/>
      <c r="M96" s="455"/>
      <c r="N96" s="454"/>
      <c r="O96" s="455"/>
      <c r="P96" s="454"/>
      <c r="Q96" s="455"/>
      <c r="R96" s="454"/>
      <c r="S96" s="455"/>
      <c r="T96" s="454"/>
      <c r="U96" s="455"/>
      <c r="V96" s="454"/>
      <c r="W96" s="455"/>
      <c r="X96" s="454"/>
      <c r="Y96" s="455"/>
      <c r="Z96" s="454"/>
      <c r="AA96" s="455"/>
      <c r="AB96" s="454"/>
      <c r="AC96" s="455"/>
      <c r="AD96" s="454"/>
      <c r="AE96" s="455"/>
      <c r="AF96" s="454"/>
      <c r="AG96" s="455"/>
    </row>
    <row r="97" spans="1:33" x14ac:dyDescent="0.2">
      <c r="A97" s="415">
        <f t="shared" si="3"/>
        <v>1240</v>
      </c>
      <c r="B97" s="416" t="str">
        <f t="shared" si="2"/>
        <v>Spring</v>
      </c>
      <c r="C97" s="453"/>
      <c r="D97" s="454"/>
      <c r="E97" s="455"/>
      <c r="F97" s="454"/>
      <c r="G97" s="455"/>
      <c r="H97" s="454"/>
      <c r="I97" s="455"/>
      <c r="J97" s="454"/>
      <c r="K97" s="455"/>
      <c r="L97" s="454"/>
      <c r="M97" s="455"/>
      <c r="N97" s="454"/>
      <c r="O97" s="455"/>
      <c r="P97" s="454"/>
      <c r="Q97" s="455"/>
      <c r="R97" s="454"/>
      <c r="S97" s="455"/>
      <c r="T97" s="454"/>
      <c r="U97" s="455"/>
      <c r="V97" s="454"/>
      <c r="W97" s="455"/>
      <c r="X97" s="454"/>
      <c r="Y97" s="455"/>
      <c r="Z97" s="454"/>
      <c r="AA97" s="455"/>
      <c r="AB97" s="454"/>
      <c r="AC97" s="455"/>
      <c r="AD97" s="454"/>
      <c r="AE97" s="455"/>
      <c r="AF97" s="454"/>
      <c r="AG97" s="455"/>
    </row>
    <row r="98" spans="1:33" x14ac:dyDescent="0.2">
      <c r="A98" s="415">
        <f t="shared" si="3"/>
        <v>1240</v>
      </c>
      <c r="B98" s="416" t="str">
        <f t="shared" si="2"/>
        <v>Summer</v>
      </c>
      <c r="C98" s="453"/>
      <c r="D98" s="454"/>
      <c r="E98" s="455"/>
      <c r="F98" s="454"/>
      <c r="G98" s="455"/>
      <c r="H98" s="454"/>
      <c r="I98" s="455"/>
      <c r="J98" s="454"/>
      <c r="K98" s="455"/>
      <c r="L98" s="454"/>
      <c r="M98" s="455"/>
      <c r="N98" s="454"/>
      <c r="O98" s="455"/>
      <c r="P98" s="454"/>
      <c r="Q98" s="455"/>
      <c r="R98" s="454"/>
      <c r="S98" s="455"/>
      <c r="T98" s="454"/>
      <c r="U98" s="455"/>
      <c r="V98" s="454"/>
      <c r="W98" s="455"/>
      <c r="X98" s="454"/>
      <c r="Y98" s="455"/>
      <c r="Z98" s="454"/>
      <c r="AA98" s="455"/>
      <c r="AB98" s="454"/>
      <c r="AC98" s="455"/>
      <c r="AD98" s="454"/>
      <c r="AE98" s="455"/>
      <c r="AF98" s="454"/>
      <c r="AG98" s="455"/>
    </row>
    <row r="99" spans="1:33" x14ac:dyDescent="0.2">
      <c r="A99" s="415">
        <f t="shared" si="3"/>
        <v>1240</v>
      </c>
      <c r="B99" s="416" t="str">
        <f t="shared" si="2"/>
        <v>Autumn</v>
      </c>
      <c r="C99" s="453"/>
      <c r="D99" s="454"/>
      <c r="E99" s="455"/>
      <c r="F99" s="454"/>
      <c r="G99" s="455"/>
      <c r="H99" s="454"/>
      <c r="I99" s="455"/>
      <c r="J99" s="454"/>
      <c r="K99" s="455"/>
      <c r="L99" s="454"/>
      <c r="M99" s="455"/>
      <c r="N99" s="454"/>
      <c r="O99" s="455"/>
      <c r="P99" s="454"/>
      <c r="Q99" s="455"/>
      <c r="R99" s="454"/>
      <c r="S99" s="455"/>
      <c r="T99" s="454"/>
      <c r="U99" s="455"/>
      <c r="V99" s="454"/>
      <c r="W99" s="455"/>
      <c r="X99" s="454"/>
      <c r="Y99" s="455"/>
      <c r="Z99" s="454"/>
      <c r="AA99" s="455"/>
      <c r="AB99" s="454"/>
      <c r="AC99" s="455"/>
      <c r="AD99" s="454"/>
      <c r="AE99" s="455"/>
      <c r="AF99" s="454"/>
      <c r="AG99" s="455"/>
    </row>
    <row r="100" spans="1:33" x14ac:dyDescent="0.2">
      <c r="A100" s="415">
        <f t="shared" si="3"/>
        <v>1241</v>
      </c>
      <c r="B100" s="416" t="str">
        <f t="shared" si="2"/>
        <v>Winter</v>
      </c>
      <c r="C100" s="453"/>
      <c r="D100" s="454"/>
      <c r="E100" s="455"/>
      <c r="F100" s="454"/>
      <c r="G100" s="455"/>
      <c r="H100" s="454"/>
      <c r="I100" s="455"/>
      <c r="J100" s="454"/>
      <c r="K100" s="455"/>
      <c r="L100" s="454"/>
      <c r="M100" s="455"/>
      <c r="N100" s="454"/>
      <c r="O100" s="455"/>
      <c r="P100" s="454"/>
      <c r="Q100" s="455"/>
      <c r="R100" s="454"/>
      <c r="S100" s="455"/>
      <c r="T100" s="454"/>
      <c r="U100" s="455"/>
      <c r="V100" s="454"/>
      <c r="W100" s="455"/>
      <c r="X100" s="454"/>
      <c r="Y100" s="455"/>
      <c r="Z100" s="454"/>
      <c r="AA100" s="455"/>
      <c r="AB100" s="454"/>
      <c r="AC100" s="455"/>
      <c r="AD100" s="454"/>
      <c r="AE100" s="455"/>
      <c r="AF100" s="454"/>
      <c r="AG100" s="455"/>
    </row>
    <row r="101" spans="1:33" x14ac:dyDescent="0.2">
      <c r="A101" s="415">
        <f t="shared" si="3"/>
        <v>1241</v>
      </c>
      <c r="B101" s="416" t="str">
        <f t="shared" si="2"/>
        <v>Spring</v>
      </c>
      <c r="C101" s="453"/>
      <c r="D101" s="454"/>
      <c r="E101" s="455"/>
      <c r="F101" s="454"/>
      <c r="G101" s="455"/>
      <c r="H101" s="454"/>
      <c r="I101" s="455"/>
      <c r="J101" s="454"/>
      <c r="K101" s="455"/>
      <c r="L101" s="454"/>
      <c r="M101" s="455"/>
      <c r="N101" s="454"/>
      <c r="O101" s="455"/>
      <c r="P101" s="454"/>
      <c r="Q101" s="455"/>
      <c r="R101" s="454"/>
      <c r="S101" s="455"/>
      <c r="T101" s="454"/>
      <c r="U101" s="455"/>
      <c r="V101" s="454"/>
      <c r="W101" s="455"/>
      <c r="X101" s="454"/>
      <c r="Y101" s="455"/>
      <c r="Z101" s="454"/>
      <c r="AA101" s="455"/>
      <c r="AB101" s="454"/>
      <c r="AC101" s="455"/>
      <c r="AD101" s="454"/>
      <c r="AE101" s="455"/>
      <c r="AF101" s="454"/>
      <c r="AG101" s="455"/>
    </row>
    <row r="102" spans="1:33" x14ac:dyDescent="0.2">
      <c r="A102" s="415">
        <f t="shared" si="3"/>
        <v>1241</v>
      </c>
      <c r="B102" s="416" t="str">
        <f t="shared" si="2"/>
        <v>Summer</v>
      </c>
      <c r="C102" s="453"/>
      <c r="D102" s="454"/>
      <c r="E102" s="455"/>
      <c r="F102" s="454"/>
      <c r="G102" s="455"/>
      <c r="H102" s="454"/>
      <c r="I102" s="455"/>
      <c r="J102" s="454"/>
      <c r="K102" s="455"/>
      <c r="L102" s="454"/>
      <c r="M102" s="455"/>
      <c r="N102" s="454"/>
      <c r="O102" s="455"/>
      <c r="P102" s="454"/>
      <c r="Q102" s="455"/>
      <c r="R102" s="454"/>
      <c r="S102" s="455"/>
      <c r="T102" s="454"/>
      <c r="U102" s="455"/>
      <c r="V102" s="454"/>
      <c r="W102" s="455"/>
      <c r="X102" s="454"/>
      <c r="Y102" s="455"/>
      <c r="Z102" s="454"/>
      <c r="AA102" s="455"/>
      <c r="AB102" s="454"/>
      <c r="AC102" s="455"/>
      <c r="AD102" s="454"/>
      <c r="AE102" s="455"/>
      <c r="AF102" s="454"/>
      <c r="AG102" s="455"/>
    </row>
    <row r="103" spans="1:33" x14ac:dyDescent="0.2">
      <c r="A103" s="415">
        <f t="shared" si="3"/>
        <v>1241</v>
      </c>
      <c r="B103" s="416" t="str">
        <f t="shared" si="2"/>
        <v>Autumn</v>
      </c>
      <c r="C103" s="453"/>
      <c r="D103" s="454"/>
      <c r="E103" s="455"/>
      <c r="F103" s="454"/>
      <c r="G103" s="455"/>
      <c r="H103" s="454"/>
      <c r="I103" s="455"/>
      <c r="J103" s="454"/>
      <c r="K103" s="455"/>
      <c r="L103" s="454"/>
      <c r="M103" s="455"/>
      <c r="N103" s="454"/>
      <c r="O103" s="455"/>
      <c r="P103" s="454"/>
      <c r="Q103" s="455"/>
      <c r="R103" s="454"/>
      <c r="S103" s="455"/>
      <c r="T103" s="454"/>
      <c r="U103" s="455"/>
      <c r="V103" s="454"/>
      <c r="W103" s="455"/>
      <c r="X103" s="454"/>
      <c r="Y103" s="455"/>
      <c r="Z103" s="454"/>
      <c r="AA103" s="455"/>
      <c r="AB103" s="454"/>
      <c r="AC103" s="455"/>
      <c r="AD103" s="454"/>
      <c r="AE103" s="455"/>
      <c r="AF103" s="454"/>
      <c r="AG103" s="455"/>
    </row>
    <row r="104" spans="1:33" x14ac:dyDescent="0.2">
      <c r="A104" s="415">
        <f t="shared" si="3"/>
        <v>1242</v>
      </c>
      <c r="B104" s="416" t="str">
        <f t="shared" si="2"/>
        <v>Winter</v>
      </c>
      <c r="C104" s="453"/>
      <c r="D104" s="454"/>
      <c r="E104" s="455"/>
      <c r="F104" s="454"/>
      <c r="G104" s="455"/>
      <c r="H104" s="454"/>
      <c r="I104" s="455"/>
      <c r="J104" s="454"/>
      <c r="K104" s="455"/>
      <c r="L104" s="454"/>
      <c r="M104" s="455"/>
      <c r="N104" s="454"/>
      <c r="O104" s="455"/>
      <c r="P104" s="454"/>
      <c r="Q104" s="455"/>
      <c r="R104" s="454"/>
      <c r="S104" s="455"/>
      <c r="T104" s="454"/>
      <c r="U104" s="455"/>
      <c r="V104" s="454"/>
      <c r="W104" s="455"/>
      <c r="X104" s="454"/>
      <c r="Y104" s="455"/>
      <c r="Z104" s="454"/>
      <c r="AA104" s="455"/>
      <c r="AB104" s="454"/>
      <c r="AC104" s="455"/>
      <c r="AD104" s="454"/>
      <c r="AE104" s="455"/>
      <c r="AF104" s="454"/>
      <c r="AG104" s="455"/>
    </row>
    <row r="105" spans="1:33" x14ac:dyDescent="0.2">
      <c r="A105" s="415">
        <f t="shared" si="3"/>
        <v>1242</v>
      </c>
      <c r="B105" s="416" t="str">
        <f t="shared" si="2"/>
        <v>Spring</v>
      </c>
      <c r="C105" s="453"/>
      <c r="D105" s="454"/>
      <c r="E105" s="455"/>
      <c r="F105" s="454"/>
      <c r="G105" s="455"/>
      <c r="H105" s="454"/>
      <c r="I105" s="455"/>
      <c r="J105" s="454"/>
      <c r="K105" s="455"/>
      <c r="L105" s="454"/>
      <c r="M105" s="455"/>
      <c r="N105" s="454"/>
      <c r="O105" s="455"/>
      <c r="P105" s="454"/>
      <c r="Q105" s="455"/>
      <c r="R105" s="454"/>
      <c r="S105" s="455"/>
      <c r="T105" s="454"/>
      <c r="U105" s="455"/>
      <c r="V105" s="454"/>
      <c r="W105" s="455"/>
      <c r="X105" s="454"/>
      <c r="Y105" s="455"/>
      <c r="Z105" s="454"/>
      <c r="AA105" s="455"/>
      <c r="AB105" s="454"/>
      <c r="AC105" s="455"/>
      <c r="AD105" s="454"/>
      <c r="AE105" s="455"/>
      <c r="AF105" s="454"/>
      <c r="AG105" s="455"/>
    </row>
    <row r="106" spans="1:33" x14ac:dyDescent="0.2">
      <c r="A106" s="415">
        <f t="shared" si="3"/>
        <v>1242</v>
      </c>
      <c r="B106" s="416" t="str">
        <f t="shared" si="2"/>
        <v>Summer</v>
      </c>
      <c r="C106" s="453"/>
      <c r="D106" s="454"/>
      <c r="E106" s="455"/>
      <c r="F106" s="454"/>
      <c r="G106" s="455"/>
      <c r="H106" s="454"/>
      <c r="I106" s="455"/>
      <c r="J106" s="454"/>
      <c r="K106" s="455"/>
      <c r="L106" s="454"/>
      <c r="M106" s="455"/>
      <c r="N106" s="454"/>
      <c r="O106" s="455"/>
      <c r="P106" s="454"/>
      <c r="Q106" s="455"/>
      <c r="R106" s="454"/>
      <c r="S106" s="455"/>
      <c r="T106" s="454"/>
      <c r="U106" s="455"/>
      <c r="V106" s="454"/>
      <c r="W106" s="455"/>
      <c r="X106" s="454"/>
      <c r="Y106" s="455"/>
      <c r="Z106" s="454"/>
      <c r="AA106" s="455"/>
      <c r="AB106" s="454"/>
      <c r="AC106" s="455"/>
      <c r="AD106" s="454"/>
      <c r="AE106" s="455"/>
      <c r="AF106" s="454"/>
      <c r="AG106" s="455"/>
    </row>
    <row r="107" spans="1:33" x14ac:dyDescent="0.2">
      <c r="A107" s="415">
        <f t="shared" si="3"/>
        <v>1242</v>
      </c>
      <c r="B107" s="416" t="str">
        <f t="shared" ref="B107:B170" si="4">IF(B106="spring","Summer",IF(B106="Summer","Autumn",IF(B106="Autumn","Winter",IF(B106="Winter","Spring"," "))))</f>
        <v>Autumn</v>
      </c>
      <c r="C107" s="453"/>
      <c r="D107" s="454"/>
      <c r="E107" s="455"/>
      <c r="F107" s="454"/>
      <c r="G107" s="455"/>
      <c r="H107" s="454"/>
      <c r="I107" s="455"/>
      <c r="J107" s="454"/>
      <c r="K107" s="455"/>
      <c r="L107" s="454"/>
      <c r="M107" s="455"/>
      <c r="N107" s="454"/>
      <c r="O107" s="455"/>
      <c r="P107" s="454"/>
      <c r="Q107" s="455"/>
      <c r="R107" s="454"/>
      <c r="S107" s="455"/>
      <c r="T107" s="454"/>
      <c r="U107" s="455"/>
      <c r="V107" s="454"/>
      <c r="W107" s="455"/>
      <c r="X107" s="454"/>
      <c r="Y107" s="455"/>
      <c r="Z107" s="454"/>
      <c r="AA107" s="455"/>
      <c r="AB107" s="454"/>
      <c r="AC107" s="455"/>
      <c r="AD107" s="454"/>
      <c r="AE107" s="455"/>
      <c r="AF107" s="454"/>
      <c r="AG107" s="455"/>
    </row>
    <row r="108" spans="1:33" x14ac:dyDescent="0.2">
      <c r="A108" s="415">
        <f t="shared" si="3"/>
        <v>1243</v>
      </c>
      <c r="B108" s="416" t="str">
        <f t="shared" si="4"/>
        <v>Winter</v>
      </c>
      <c r="C108" s="453"/>
      <c r="D108" s="454"/>
      <c r="E108" s="455"/>
      <c r="F108" s="454"/>
      <c r="G108" s="455"/>
      <c r="H108" s="454"/>
      <c r="I108" s="455"/>
      <c r="J108" s="454"/>
      <c r="K108" s="455"/>
      <c r="L108" s="454"/>
      <c r="M108" s="455"/>
      <c r="N108" s="454"/>
      <c r="O108" s="455"/>
      <c r="P108" s="454"/>
      <c r="Q108" s="455"/>
      <c r="R108" s="454"/>
      <c r="S108" s="455"/>
      <c r="T108" s="454"/>
      <c r="U108" s="455"/>
      <c r="V108" s="454"/>
      <c r="W108" s="455"/>
      <c r="X108" s="454"/>
      <c r="Y108" s="455"/>
      <c r="Z108" s="454"/>
      <c r="AA108" s="455"/>
      <c r="AB108" s="454"/>
      <c r="AC108" s="455"/>
      <c r="AD108" s="454"/>
      <c r="AE108" s="455"/>
      <c r="AF108" s="454"/>
      <c r="AG108" s="455"/>
    </row>
    <row r="109" spans="1:33" x14ac:dyDescent="0.2">
      <c r="A109" s="415">
        <f t="shared" si="3"/>
        <v>1243</v>
      </c>
      <c r="B109" s="416" t="str">
        <f t="shared" si="4"/>
        <v>Spring</v>
      </c>
      <c r="C109" s="453"/>
      <c r="D109" s="454"/>
      <c r="E109" s="455"/>
      <c r="F109" s="454"/>
      <c r="G109" s="455"/>
      <c r="H109" s="454"/>
      <c r="I109" s="455"/>
      <c r="J109" s="454"/>
      <c r="K109" s="455"/>
      <c r="L109" s="454"/>
      <c r="M109" s="455"/>
      <c r="N109" s="454"/>
      <c r="O109" s="455"/>
      <c r="P109" s="454"/>
      <c r="Q109" s="455"/>
      <c r="R109" s="454"/>
      <c r="S109" s="455"/>
      <c r="T109" s="454"/>
      <c r="U109" s="455"/>
      <c r="V109" s="454"/>
      <c r="W109" s="455"/>
      <c r="X109" s="454"/>
      <c r="Y109" s="455"/>
      <c r="Z109" s="454"/>
      <c r="AA109" s="455"/>
      <c r="AB109" s="454"/>
      <c r="AC109" s="455"/>
      <c r="AD109" s="454"/>
      <c r="AE109" s="455"/>
      <c r="AF109" s="454"/>
      <c r="AG109" s="455"/>
    </row>
    <row r="110" spans="1:33" x14ac:dyDescent="0.2">
      <c r="A110" s="415">
        <f t="shared" si="3"/>
        <v>1243</v>
      </c>
      <c r="B110" s="416" t="str">
        <f t="shared" si="4"/>
        <v>Summer</v>
      </c>
      <c r="C110" s="453"/>
      <c r="D110" s="454"/>
      <c r="E110" s="455"/>
      <c r="F110" s="454"/>
      <c r="G110" s="455"/>
      <c r="H110" s="454"/>
      <c r="I110" s="455"/>
      <c r="J110" s="454"/>
      <c r="K110" s="455"/>
      <c r="L110" s="454"/>
      <c r="M110" s="455"/>
      <c r="N110" s="454"/>
      <c r="O110" s="455"/>
      <c r="P110" s="454"/>
      <c r="Q110" s="455"/>
      <c r="R110" s="454"/>
      <c r="S110" s="455"/>
      <c r="T110" s="454"/>
      <c r="U110" s="455"/>
      <c r="V110" s="454"/>
      <c r="W110" s="455"/>
      <c r="X110" s="454"/>
      <c r="Y110" s="455"/>
      <c r="Z110" s="454"/>
      <c r="AA110" s="455"/>
      <c r="AB110" s="454"/>
      <c r="AC110" s="455"/>
      <c r="AD110" s="454"/>
      <c r="AE110" s="455"/>
      <c r="AF110" s="454"/>
      <c r="AG110" s="455"/>
    </row>
    <row r="111" spans="1:33" x14ac:dyDescent="0.2">
      <c r="A111" s="415">
        <f t="shared" si="3"/>
        <v>1243</v>
      </c>
      <c r="B111" s="416" t="str">
        <f t="shared" si="4"/>
        <v>Autumn</v>
      </c>
      <c r="C111" s="453"/>
      <c r="D111" s="454"/>
      <c r="E111" s="455"/>
      <c r="F111" s="454"/>
      <c r="G111" s="455"/>
      <c r="H111" s="454"/>
      <c r="I111" s="455"/>
      <c r="J111" s="454"/>
      <c r="K111" s="455"/>
      <c r="L111" s="454"/>
      <c r="M111" s="455"/>
      <c r="N111" s="454"/>
      <c r="O111" s="455"/>
      <c r="P111" s="454"/>
      <c r="Q111" s="455"/>
      <c r="R111" s="454"/>
      <c r="S111" s="455"/>
      <c r="T111" s="454"/>
      <c r="U111" s="455"/>
      <c r="V111" s="454"/>
      <c r="W111" s="455"/>
      <c r="X111" s="454"/>
      <c r="Y111" s="455"/>
      <c r="Z111" s="454"/>
      <c r="AA111" s="455"/>
      <c r="AB111" s="454"/>
      <c r="AC111" s="455"/>
      <c r="AD111" s="454"/>
      <c r="AE111" s="455"/>
      <c r="AF111" s="454"/>
      <c r="AG111" s="455"/>
    </row>
    <row r="112" spans="1:33" x14ac:dyDescent="0.2">
      <c r="A112" s="415">
        <f t="shared" si="3"/>
        <v>1244</v>
      </c>
      <c r="B112" s="416" t="str">
        <f t="shared" si="4"/>
        <v>Winter</v>
      </c>
      <c r="C112" s="453"/>
      <c r="D112" s="454"/>
      <c r="E112" s="455"/>
      <c r="F112" s="454"/>
      <c r="G112" s="455"/>
      <c r="H112" s="454"/>
      <c r="I112" s="455"/>
      <c r="J112" s="454"/>
      <c r="K112" s="455"/>
      <c r="L112" s="454"/>
      <c r="M112" s="455"/>
      <c r="N112" s="454"/>
      <c r="O112" s="455"/>
      <c r="P112" s="454"/>
      <c r="Q112" s="455"/>
      <c r="R112" s="454"/>
      <c r="S112" s="455"/>
      <c r="T112" s="454"/>
      <c r="U112" s="455"/>
      <c r="V112" s="454"/>
      <c r="W112" s="455"/>
      <c r="X112" s="454"/>
      <c r="Y112" s="455"/>
      <c r="Z112" s="454"/>
      <c r="AA112" s="455"/>
      <c r="AB112" s="454"/>
      <c r="AC112" s="455"/>
      <c r="AD112" s="454"/>
      <c r="AE112" s="455"/>
      <c r="AF112" s="454"/>
      <c r="AG112" s="455"/>
    </row>
    <row r="113" spans="1:33" x14ac:dyDescent="0.2">
      <c r="A113" s="415">
        <f t="shared" si="3"/>
        <v>1244</v>
      </c>
      <c r="B113" s="416" t="str">
        <f t="shared" si="4"/>
        <v>Spring</v>
      </c>
      <c r="C113" s="453"/>
      <c r="D113" s="454"/>
      <c r="E113" s="455"/>
      <c r="F113" s="454"/>
      <c r="G113" s="455"/>
      <c r="H113" s="454"/>
      <c r="I113" s="455"/>
      <c r="J113" s="454"/>
      <c r="K113" s="455"/>
      <c r="L113" s="454"/>
      <c r="M113" s="455"/>
      <c r="N113" s="454"/>
      <c r="O113" s="455"/>
      <c r="P113" s="454"/>
      <c r="Q113" s="455"/>
      <c r="R113" s="454"/>
      <c r="S113" s="455"/>
      <c r="T113" s="454"/>
      <c r="U113" s="455"/>
      <c r="V113" s="454"/>
      <c r="W113" s="455"/>
      <c r="X113" s="454"/>
      <c r="Y113" s="455"/>
      <c r="Z113" s="454"/>
      <c r="AA113" s="455"/>
      <c r="AB113" s="454"/>
      <c r="AC113" s="455"/>
      <c r="AD113" s="454"/>
      <c r="AE113" s="455"/>
      <c r="AF113" s="454"/>
      <c r="AG113" s="455"/>
    </row>
    <row r="114" spans="1:33" x14ac:dyDescent="0.2">
      <c r="A114" s="415">
        <f t="shared" si="3"/>
        <v>1244</v>
      </c>
      <c r="B114" s="416" t="str">
        <f t="shared" si="4"/>
        <v>Summer</v>
      </c>
      <c r="C114" s="453"/>
      <c r="D114" s="454"/>
      <c r="E114" s="455"/>
      <c r="F114" s="454"/>
      <c r="G114" s="455"/>
      <c r="H114" s="454"/>
      <c r="I114" s="455"/>
      <c r="J114" s="454"/>
      <c r="K114" s="455"/>
      <c r="L114" s="454"/>
      <c r="M114" s="455"/>
      <c r="N114" s="454"/>
      <c r="O114" s="455"/>
      <c r="P114" s="454"/>
      <c r="Q114" s="455"/>
      <c r="R114" s="454"/>
      <c r="S114" s="455"/>
      <c r="T114" s="454"/>
      <c r="U114" s="455"/>
      <c r="V114" s="454"/>
      <c r="W114" s="455"/>
      <c r="X114" s="454"/>
      <c r="Y114" s="455"/>
      <c r="Z114" s="454"/>
      <c r="AA114" s="455"/>
      <c r="AB114" s="454"/>
      <c r="AC114" s="455"/>
      <c r="AD114" s="454"/>
      <c r="AE114" s="455"/>
      <c r="AF114" s="454"/>
      <c r="AG114" s="455"/>
    </row>
    <row r="115" spans="1:33" x14ac:dyDescent="0.2">
      <c r="A115" s="415">
        <f t="shared" si="3"/>
        <v>1244</v>
      </c>
      <c r="B115" s="416" t="str">
        <f t="shared" si="4"/>
        <v>Autumn</v>
      </c>
      <c r="C115" s="453"/>
      <c r="D115" s="454"/>
      <c r="E115" s="455"/>
      <c r="F115" s="454"/>
      <c r="G115" s="455"/>
      <c r="H115" s="454"/>
      <c r="I115" s="455"/>
      <c r="J115" s="454"/>
      <c r="K115" s="455"/>
      <c r="L115" s="454"/>
      <c r="M115" s="455"/>
      <c r="N115" s="454"/>
      <c r="O115" s="455"/>
      <c r="P115" s="454"/>
      <c r="Q115" s="455"/>
      <c r="R115" s="454"/>
      <c r="S115" s="455"/>
      <c r="T115" s="454"/>
      <c r="U115" s="455"/>
      <c r="V115" s="454"/>
      <c r="W115" s="455"/>
      <c r="X115" s="454"/>
      <c r="Y115" s="455"/>
      <c r="Z115" s="454"/>
      <c r="AA115" s="455"/>
      <c r="AB115" s="454"/>
      <c r="AC115" s="455"/>
      <c r="AD115" s="454"/>
      <c r="AE115" s="455"/>
      <c r="AF115" s="454"/>
      <c r="AG115" s="455"/>
    </row>
    <row r="116" spans="1:33" x14ac:dyDescent="0.2">
      <c r="A116" s="415">
        <f t="shared" si="3"/>
        <v>1245</v>
      </c>
      <c r="B116" s="416" t="str">
        <f t="shared" si="4"/>
        <v>Winter</v>
      </c>
      <c r="C116" s="453"/>
      <c r="D116" s="454"/>
      <c r="E116" s="455"/>
      <c r="F116" s="454"/>
      <c r="G116" s="455"/>
      <c r="H116" s="454"/>
      <c r="I116" s="455"/>
      <c r="J116" s="454"/>
      <c r="K116" s="455"/>
      <c r="L116" s="454"/>
      <c r="M116" s="455"/>
      <c r="N116" s="454"/>
      <c r="O116" s="455"/>
      <c r="P116" s="454"/>
      <c r="Q116" s="455"/>
      <c r="R116" s="454"/>
      <c r="S116" s="455"/>
      <c r="T116" s="454"/>
      <c r="U116" s="455"/>
      <c r="V116" s="454"/>
      <c r="W116" s="455"/>
      <c r="X116" s="454"/>
      <c r="Y116" s="455"/>
      <c r="Z116" s="454"/>
      <c r="AA116" s="455"/>
      <c r="AB116" s="454"/>
      <c r="AC116" s="455"/>
      <c r="AD116" s="454"/>
      <c r="AE116" s="455"/>
      <c r="AF116" s="454"/>
      <c r="AG116" s="455"/>
    </row>
    <row r="117" spans="1:33" x14ac:dyDescent="0.2">
      <c r="A117" s="415">
        <f t="shared" si="3"/>
        <v>1245</v>
      </c>
      <c r="B117" s="416" t="str">
        <f t="shared" si="4"/>
        <v>Spring</v>
      </c>
      <c r="C117" s="453"/>
      <c r="D117" s="454"/>
      <c r="E117" s="455"/>
      <c r="F117" s="454"/>
      <c r="G117" s="455"/>
      <c r="H117" s="454"/>
      <c r="I117" s="455"/>
      <c r="J117" s="454"/>
      <c r="K117" s="455"/>
      <c r="L117" s="454"/>
      <c r="M117" s="455"/>
      <c r="N117" s="454"/>
      <c r="O117" s="455"/>
      <c r="P117" s="454"/>
      <c r="Q117" s="455"/>
      <c r="R117" s="454"/>
      <c r="S117" s="455"/>
      <c r="T117" s="454"/>
      <c r="U117" s="455"/>
      <c r="V117" s="454"/>
      <c r="W117" s="455"/>
      <c r="X117" s="454"/>
      <c r="Y117" s="455"/>
      <c r="Z117" s="454"/>
      <c r="AA117" s="455"/>
      <c r="AB117" s="454"/>
      <c r="AC117" s="455"/>
      <c r="AD117" s="454"/>
      <c r="AE117" s="455"/>
      <c r="AF117" s="454"/>
      <c r="AG117" s="455"/>
    </row>
    <row r="118" spans="1:33" x14ac:dyDescent="0.2">
      <c r="A118" s="415">
        <f t="shared" si="3"/>
        <v>1245</v>
      </c>
      <c r="B118" s="416" t="str">
        <f t="shared" si="4"/>
        <v>Summer</v>
      </c>
      <c r="C118" s="453"/>
      <c r="D118" s="454"/>
      <c r="E118" s="455"/>
      <c r="F118" s="454"/>
      <c r="G118" s="455"/>
      <c r="H118" s="454"/>
      <c r="I118" s="455"/>
      <c r="J118" s="454"/>
      <c r="K118" s="455"/>
      <c r="L118" s="454"/>
      <c r="M118" s="455"/>
      <c r="N118" s="454"/>
      <c r="O118" s="455"/>
      <c r="P118" s="454"/>
      <c r="Q118" s="455"/>
      <c r="R118" s="454"/>
      <c r="S118" s="455"/>
      <c r="T118" s="454"/>
      <c r="U118" s="455"/>
      <c r="V118" s="454"/>
      <c r="W118" s="455"/>
      <c r="X118" s="454"/>
      <c r="Y118" s="455"/>
      <c r="Z118" s="454"/>
      <c r="AA118" s="455"/>
      <c r="AB118" s="454"/>
      <c r="AC118" s="455"/>
      <c r="AD118" s="454"/>
      <c r="AE118" s="455"/>
      <c r="AF118" s="454"/>
      <c r="AG118" s="455"/>
    </row>
    <row r="119" spans="1:33" x14ac:dyDescent="0.2">
      <c r="A119" s="415">
        <f t="shared" si="3"/>
        <v>1245</v>
      </c>
      <c r="B119" s="416" t="str">
        <f t="shared" si="4"/>
        <v>Autumn</v>
      </c>
      <c r="C119" s="453"/>
      <c r="D119" s="454"/>
      <c r="E119" s="455"/>
      <c r="F119" s="454"/>
      <c r="G119" s="455"/>
      <c r="H119" s="454"/>
      <c r="I119" s="455"/>
      <c r="J119" s="454"/>
      <c r="K119" s="455"/>
      <c r="L119" s="454"/>
      <c r="M119" s="455"/>
      <c r="N119" s="454"/>
      <c r="O119" s="455"/>
      <c r="P119" s="454"/>
      <c r="Q119" s="455"/>
      <c r="R119" s="454"/>
      <c r="S119" s="455"/>
      <c r="T119" s="454"/>
      <c r="U119" s="455"/>
      <c r="V119" s="454"/>
      <c r="W119" s="455"/>
      <c r="X119" s="454"/>
      <c r="Y119" s="455"/>
      <c r="Z119" s="454"/>
      <c r="AA119" s="455"/>
      <c r="AB119" s="454"/>
      <c r="AC119" s="455"/>
      <c r="AD119" s="454"/>
      <c r="AE119" s="455"/>
      <c r="AF119" s="454"/>
      <c r="AG119" s="455"/>
    </row>
    <row r="120" spans="1:33" x14ac:dyDescent="0.2">
      <c r="A120" s="415">
        <f t="shared" si="3"/>
        <v>1246</v>
      </c>
      <c r="B120" s="416" t="str">
        <f t="shared" si="4"/>
        <v>Winter</v>
      </c>
      <c r="C120" s="453"/>
      <c r="D120" s="454"/>
      <c r="E120" s="455"/>
      <c r="F120" s="454"/>
      <c r="G120" s="455"/>
      <c r="H120" s="454"/>
      <c r="I120" s="455"/>
      <c r="J120" s="454"/>
      <c r="K120" s="455"/>
      <c r="L120" s="454"/>
      <c r="M120" s="455"/>
      <c r="N120" s="454"/>
      <c r="O120" s="455"/>
      <c r="P120" s="454"/>
      <c r="Q120" s="455"/>
      <c r="R120" s="454"/>
      <c r="S120" s="455"/>
      <c r="T120" s="454"/>
      <c r="U120" s="455"/>
      <c r="V120" s="454"/>
      <c r="W120" s="455"/>
      <c r="X120" s="454"/>
      <c r="Y120" s="455"/>
      <c r="Z120" s="454"/>
      <c r="AA120" s="455"/>
      <c r="AB120" s="454"/>
      <c r="AC120" s="455"/>
      <c r="AD120" s="454"/>
      <c r="AE120" s="455"/>
      <c r="AF120" s="454"/>
      <c r="AG120" s="455"/>
    </row>
    <row r="121" spans="1:33" x14ac:dyDescent="0.2">
      <c r="A121" s="415">
        <f t="shared" si="3"/>
        <v>1246</v>
      </c>
      <c r="B121" s="416" t="str">
        <f t="shared" si="4"/>
        <v>Spring</v>
      </c>
      <c r="C121" s="453"/>
      <c r="D121" s="454"/>
      <c r="E121" s="455"/>
      <c r="F121" s="454"/>
      <c r="G121" s="455"/>
      <c r="H121" s="454"/>
      <c r="I121" s="455"/>
      <c r="J121" s="454"/>
      <c r="K121" s="455"/>
      <c r="L121" s="454"/>
      <c r="M121" s="455"/>
      <c r="N121" s="454"/>
      <c r="O121" s="455"/>
      <c r="P121" s="454"/>
      <c r="Q121" s="455"/>
      <c r="R121" s="454"/>
      <c r="S121" s="455"/>
      <c r="T121" s="454"/>
      <c r="U121" s="455"/>
      <c r="V121" s="454"/>
      <c r="W121" s="455"/>
      <c r="X121" s="454"/>
      <c r="Y121" s="455"/>
      <c r="Z121" s="454"/>
      <c r="AA121" s="455"/>
      <c r="AB121" s="454"/>
      <c r="AC121" s="455"/>
      <c r="AD121" s="454"/>
      <c r="AE121" s="455"/>
      <c r="AF121" s="454"/>
      <c r="AG121" s="455"/>
    </row>
    <row r="122" spans="1:33" x14ac:dyDescent="0.2">
      <c r="A122" s="415">
        <f t="shared" si="3"/>
        <v>1246</v>
      </c>
      <c r="B122" s="416" t="str">
        <f t="shared" si="4"/>
        <v>Summer</v>
      </c>
      <c r="C122" s="453"/>
      <c r="D122" s="454"/>
      <c r="E122" s="455"/>
      <c r="F122" s="454"/>
      <c r="G122" s="455"/>
      <c r="H122" s="454"/>
      <c r="I122" s="455"/>
      <c r="J122" s="454"/>
      <c r="K122" s="455"/>
      <c r="L122" s="454"/>
      <c r="M122" s="455"/>
      <c r="N122" s="454"/>
      <c r="O122" s="455"/>
      <c r="P122" s="454"/>
      <c r="Q122" s="455"/>
      <c r="R122" s="454"/>
      <c r="S122" s="455"/>
      <c r="T122" s="454"/>
      <c r="U122" s="455"/>
      <c r="V122" s="454"/>
      <c r="W122" s="455"/>
      <c r="X122" s="454"/>
      <c r="Y122" s="455"/>
      <c r="Z122" s="454"/>
      <c r="AA122" s="455"/>
      <c r="AB122" s="454"/>
      <c r="AC122" s="455"/>
      <c r="AD122" s="454"/>
      <c r="AE122" s="455"/>
      <c r="AF122" s="454"/>
      <c r="AG122" s="455"/>
    </row>
    <row r="123" spans="1:33" x14ac:dyDescent="0.2">
      <c r="A123" s="415">
        <f t="shared" si="3"/>
        <v>1246</v>
      </c>
      <c r="B123" s="416" t="str">
        <f t="shared" si="4"/>
        <v>Autumn</v>
      </c>
      <c r="C123" s="453"/>
      <c r="D123" s="454"/>
      <c r="E123" s="455"/>
      <c r="F123" s="454"/>
      <c r="G123" s="455"/>
      <c r="H123" s="454"/>
      <c r="I123" s="455"/>
      <c r="J123" s="454"/>
      <c r="K123" s="455"/>
      <c r="L123" s="454"/>
      <c r="M123" s="455"/>
      <c r="N123" s="454"/>
      <c r="O123" s="455"/>
      <c r="P123" s="454"/>
      <c r="Q123" s="455"/>
      <c r="R123" s="454"/>
      <c r="S123" s="455"/>
      <c r="T123" s="454"/>
      <c r="U123" s="455"/>
      <c r="V123" s="454"/>
      <c r="W123" s="455"/>
      <c r="X123" s="454"/>
      <c r="Y123" s="455"/>
      <c r="Z123" s="454"/>
      <c r="AA123" s="455"/>
      <c r="AB123" s="454"/>
      <c r="AC123" s="455"/>
      <c r="AD123" s="454"/>
      <c r="AE123" s="455"/>
      <c r="AF123" s="454"/>
      <c r="AG123" s="455"/>
    </row>
    <row r="124" spans="1:33" x14ac:dyDescent="0.2">
      <c r="A124" s="415">
        <f t="shared" si="3"/>
        <v>1247</v>
      </c>
      <c r="B124" s="416" t="str">
        <f t="shared" si="4"/>
        <v>Winter</v>
      </c>
      <c r="C124" s="453"/>
      <c r="D124" s="454"/>
      <c r="E124" s="455"/>
      <c r="F124" s="454"/>
      <c r="G124" s="455"/>
      <c r="H124" s="454"/>
      <c r="I124" s="455"/>
      <c r="J124" s="454"/>
      <c r="K124" s="455"/>
      <c r="L124" s="454"/>
      <c r="M124" s="455"/>
      <c r="N124" s="454"/>
      <c r="O124" s="455"/>
      <c r="P124" s="454"/>
      <c r="Q124" s="455"/>
      <c r="R124" s="454"/>
      <c r="S124" s="455"/>
      <c r="T124" s="454"/>
      <c r="U124" s="455"/>
      <c r="V124" s="454"/>
      <c r="W124" s="455"/>
      <c r="X124" s="454"/>
      <c r="Y124" s="455"/>
      <c r="Z124" s="454"/>
      <c r="AA124" s="455"/>
      <c r="AB124" s="454"/>
      <c r="AC124" s="455"/>
      <c r="AD124" s="454"/>
      <c r="AE124" s="455"/>
      <c r="AF124" s="454"/>
      <c r="AG124" s="455"/>
    </row>
    <row r="125" spans="1:33" x14ac:dyDescent="0.2">
      <c r="A125" s="415">
        <f t="shared" si="3"/>
        <v>1247</v>
      </c>
      <c r="B125" s="416" t="str">
        <f t="shared" si="4"/>
        <v>Spring</v>
      </c>
      <c r="C125" s="453"/>
      <c r="D125" s="454"/>
      <c r="E125" s="455"/>
      <c r="F125" s="454"/>
      <c r="G125" s="455"/>
      <c r="H125" s="454"/>
      <c r="I125" s="455"/>
      <c r="J125" s="454"/>
      <c r="K125" s="455"/>
      <c r="L125" s="454"/>
      <c r="M125" s="455"/>
      <c r="N125" s="454"/>
      <c r="O125" s="455"/>
      <c r="P125" s="454"/>
      <c r="Q125" s="455"/>
      <c r="R125" s="454"/>
      <c r="S125" s="455"/>
      <c r="T125" s="454"/>
      <c r="U125" s="455"/>
      <c r="V125" s="454"/>
      <c r="W125" s="455"/>
      <c r="X125" s="454"/>
      <c r="Y125" s="455"/>
      <c r="Z125" s="454"/>
      <c r="AA125" s="455"/>
      <c r="AB125" s="454"/>
      <c r="AC125" s="455"/>
      <c r="AD125" s="454"/>
      <c r="AE125" s="455"/>
      <c r="AF125" s="454"/>
      <c r="AG125" s="455"/>
    </row>
    <row r="126" spans="1:33" x14ac:dyDescent="0.2">
      <c r="A126" s="415">
        <f t="shared" si="3"/>
        <v>1247</v>
      </c>
      <c r="B126" s="416" t="str">
        <f t="shared" si="4"/>
        <v>Summer</v>
      </c>
      <c r="C126" s="453"/>
      <c r="D126" s="454"/>
      <c r="E126" s="455"/>
      <c r="F126" s="454"/>
      <c r="G126" s="455"/>
      <c r="H126" s="454"/>
      <c r="I126" s="455"/>
      <c r="J126" s="454"/>
      <c r="K126" s="455"/>
      <c r="L126" s="454"/>
      <c r="M126" s="455"/>
      <c r="N126" s="454"/>
      <c r="O126" s="455"/>
      <c r="P126" s="454"/>
      <c r="Q126" s="455"/>
      <c r="R126" s="454"/>
      <c r="S126" s="455"/>
      <c r="T126" s="454"/>
      <c r="U126" s="455"/>
      <c r="V126" s="454"/>
      <c r="W126" s="455"/>
      <c r="X126" s="454"/>
      <c r="Y126" s="455"/>
      <c r="Z126" s="454"/>
      <c r="AA126" s="455"/>
      <c r="AB126" s="454"/>
      <c r="AC126" s="455"/>
      <c r="AD126" s="454"/>
      <c r="AE126" s="455"/>
      <c r="AF126" s="454"/>
      <c r="AG126" s="455"/>
    </row>
    <row r="127" spans="1:33" x14ac:dyDescent="0.2">
      <c r="A127" s="415">
        <f t="shared" si="3"/>
        <v>1247</v>
      </c>
      <c r="B127" s="416" t="str">
        <f t="shared" si="4"/>
        <v>Autumn</v>
      </c>
      <c r="C127" s="453"/>
      <c r="D127" s="454"/>
      <c r="E127" s="455"/>
      <c r="F127" s="454"/>
      <c r="G127" s="455"/>
      <c r="H127" s="454"/>
      <c r="I127" s="455"/>
      <c r="J127" s="454"/>
      <c r="K127" s="455"/>
      <c r="L127" s="454"/>
      <c r="M127" s="455"/>
      <c r="N127" s="454"/>
      <c r="O127" s="455"/>
      <c r="P127" s="454"/>
      <c r="Q127" s="455"/>
      <c r="R127" s="454"/>
      <c r="S127" s="455"/>
      <c r="T127" s="454"/>
      <c r="U127" s="455"/>
      <c r="V127" s="454"/>
      <c r="W127" s="455"/>
      <c r="X127" s="454"/>
      <c r="Y127" s="455"/>
      <c r="Z127" s="454"/>
      <c r="AA127" s="455"/>
      <c r="AB127" s="454"/>
      <c r="AC127" s="455"/>
      <c r="AD127" s="454"/>
      <c r="AE127" s="455"/>
      <c r="AF127" s="454"/>
      <c r="AG127" s="455"/>
    </row>
    <row r="128" spans="1:33" x14ac:dyDescent="0.2">
      <c r="A128" s="415">
        <f t="shared" si="3"/>
        <v>1248</v>
      </c>
      <c r="B128" s="416" t="str">
        <f t="shared" si="4"/>
        <v>Winter</v>
      </c>
      <c r="C128" s="453"/>
      <c r="D128" s="454"/>
      <c r="E128" s="455"/>
      <c r="F128" s="454"/>
      <c r="G128" s="455"/>
      <c r="H128" s="454"/>
      <c r="I128" s="455"/>
      <c r="J128" s="454"/>
      <c r="K128" s="455"/>
      <c r="L128" s="454"/>
      <c r="M128" s="455"/>
      <c r="N128" s="454"/>
      <c r="O128" s="455"/>
      <c r="P128" s="454"/>
      <c r="Q128" s="455"/>
      <c r="R128" s="454"/>
      <c r="S128" s="455"/>
      <c r="T128" s="454"/>
      <c r="U128" s="455"/>
      <c r="V128" s="454"/>
      <c r="W128" s="455"/>
      <c r="X128" s="454"/>
      <c r="Y128" s="455"/>
      <c r="Z128" s="454"/>
      <c r="AA128" s="455"/>
      <c r="AB128" s="454"/>
      <c r="AC128" s="455"/>
      <c r="AD128" s="454"/>
      <c r="AE128" s="455"/>
      <c r="AF128" s="454"/>
      <c r="AG128" s="455"/>
    </row>
    <row r="129" spans="1:33" x14ac:dyDescent="0.2">
      <c r="A129" s="415">
        <f t="shared" si="3"/>
        <v>1248</v>
      </c>
      <c r="B129" s="416" t="str">
        <f t="shared" si="4"/>
        <v>Spring</v>
      </c>
      <c r="C129" s="453"/>
      <c r="D129" s="454"/>
      <c r="E129" s="455"/>
      <c r="F129" s="454"/>
      <c r="G129" s="455"/>
      <c r="H129" s="454"/>
      <c r="I129" s="455"/>
      <c r="J129" s="454"/>
      <c r="K129" s="455"/>
      <c r="L129" s="454"/>
      <c r="M129" s="455"/>
      <c r="N129" s="454"/>
      <c r="O129" s="455"/>
      <c r="P129" s="454"/>
      <c r="Q129" s="455"/>
      <c r="R129" s="454"/>
      <c r="S129" s="455"/>
      <c r="T129" s="454"/>
      <c r="U129" s="455"/>
      <c r="V129" s="454"/>
      <c r="W129" s="455"/>
      <c r="X129" s="454"/>
      <c r="Y129" s="455"/>
      <c r="Z129" s="454"/>
      <c r="AA129" s="455"/>
      <c r="AB129" s="454"/>
      <c r="AC129" s="455"/>
      <c r="AD129" s="454"/>
      <c r="AE129" s="455"/>
      <c r="AF129" s="454"/>
      <c r="AG129" s="455"/>
    </row>
    <row r="130" spans="1:33" x14ac:dyDescent="0.2">
      <c r="A130" s="415">
        <f t="shared" si="3"/>
        <v>1248</v>
      </c>
      <c r="B130" s="416" t="str">
        <f t="shared" si="4"/>
        <v>Summer</v>
      </c>
      <c r="C130" s="453"/>
      <c r="D130" s="454"/>
      <c r="E130" s="455"/>
      <c r="F130" s="454"/>
      <c r="G130" s="455"/>
      <c r="H130" s="454"/>
      <c r="I130" s="455"/>
      <c r="J130" s="454"/>
      <c r="K130" s="455"/>
      <c r="L130" s="454"/>
      <c r="M130" s="455"/>
      <c r="N130" s="454"/>
      <c r="O130" s="455"/>
      <c r="P130" s="454"/>
      <c r="Q130" s="455"/>
      <c r="R130" s="454"/>
      <c r="S130" s="455"/>
      <c r="T130" s="454"/>
      <c r="U130" s="455"/>
      <c r="V130" s="454"/>
      <c r="W130" s="455"/>
      <c r="X130" s="454"/>
      <c r="Y130" s="455"/>
      <c r="Z130" s="454"/>
      <c r="AA130" s="455"/>
      <c r="AB130" s="454"/>
      <c r="AC130" s="455"/>
      <c r="AD130" s="454"/>
      <c r="AE130" s="455"/>
      <c r="AF130" s="454"/>
      <c r="AG130" s="455"/>
    </row>
    <row r="131" spans="1:33" x14ac:dyDescent="0.2">
      <c r="A131" s="415">
        <f t="shared" si="3"/>
        <v>1248</v>
      </c>
      <c r="B131" s="416" t="str">
        <f t="shared" si="4"/>
        <v>Autumn</v>
      </c>
      <c r="C131" s="453"/>
      <c r="D131" s="454"/>
      <c r="E131" s="455"/>
      <c r="F131" s="454"/>
      <c r="G131" s="455"/>
      <c r="H131" s="454"/>
      <c r="I131" s="455"/>
      <c r="J131" s="454"/>
      <c r="K131" s="455"/>
      <c r="L131" s="454"/>
      <c r="M131" s="455"/>
      <c r="N131" s="454"/>
      <c r="O131" s="455"/>
      <c r="P131" s="454"/>
      <c r="Q131" s="455"/>
      <c r="R131" s="454"/>
      <c r="S131" s="455"/>
      <c r="T131" s="454"/>
      <c r="U131" s="455"/>
      <c r="V131" s="454"/>
      <c r="W131" s="455"/>
      <c r="X131" s="454"/>
      <c r="Y131" s="455"/>
      <c r="Z131" s="454"/>
      <c r="AA131" s="455"/>
      <c r="AB131" s="454"/>
      <c r="AC131" s="455"/>
      <c r="AD131" s="454"/>
      <c r="AE131" s="455"/>
      <c r="AF131" s="454"/>
      <c r="AG131" s="455"/>
    </row>
    <row r="132" spans="1:33" x14ac:dyDescent="0.2">
      <c r="A132" s="415">
        <f t="shared" si="3"/>
        <v>1249</v>
      </c>
      <c r="B132" s="416" t="str">
        <f t="shared" si="4"/>
        <v>Winter</v>
      </c>
      <c r="C132" s="453"/>
      <c r="D132" s="454"/>
      <c r="E132" s="455"/>
      <c r="F132" s="454"/>
      <c r="G132" s="455"/>
      <c r="H132" s="454"/>
      <c r="I132" s="455"/>
      <c r="J132" s="454"/>
      <c r="K132" s="455"/>
      <c r="L132" s="454"/>
      <c r="M132" s="455"/>
      <c r="N132" s="454"/>
      <c r="O132" s="455"/>
      <c r="P132" s="454"/>
      <c r="Q132" s="455"/>
      <c r="R132" s="454"/>
      <c r="S132" s="455"/>
      <c r="T132" s="454"/>
      <c r="U132" s="455"/>
      <c r="V132" s="454"/>
      <c r="W132" s="455"/>
      <c r="X132" s="454"/>
      <c r="Y132" s="455"/>
      <c r="Z132" s="454"/>
      <c r="AA132" s="455"/>
      <c r="AB132" s="454"/>
      <c r="AC132" s="455"/>
      <c r="AD132" s="454"/>
      <c r="AE132" s="455"/>
      <c r="AF132" s="454"/>
      <c r="AG132" s="455"/>
    </row>
    <row r="133" spans="1:33" x14ac:dyDescent="0.2">
      <c r="A133" s="415">
        <f t="shared" ref="A133:A196" si="5">IF(B132="Autumn",A132+1,A132)</f>
        <v>1249</v>
      </c>
      <c r="B133" s="416" t="str">
        <f t="shared" si="4"/>
        <v>Spring</v>
      </c>
      <c r="C133" s="453"/>
      <c r="D133" s="454"/>
      <c r="E133" s="455"/>
      <c r="F133" s="454"/>
      <c r="G133" s="455"/>
      <c r="H133" s="454"/>
      <c r="I133" s="455"/>
      <c r="J133" s="454"/>
      <c r="K133" s="455"/>
      <c r="L133" s="454"/>
      <c r="M133" s="455"/>
      <c r="N133" s="454"/>
      <c r="O133" s="455"/>
      <c r="P133" s="454"/>
      <c r="Q133" s="455"/>
      <c r="R133" s="454"/>
      <c r="S133" s="455"/>
      <c r="T133" s="454"/>
      <c r="U133" s="455"/>
      <c r="V133" s="454"/>
      <c r="W133" s="455"/>
      <c r="X133" s="454"/>
      <c r="Y133" s="455"/>
      <c r="Z133" s="454"/>
      <c r="AA133" s="455"/>
      <c r="AB133" s="454"/>
      <c r="AC133" s="455"/>
      <c r="AD133" s="454"/>
      <c r="AE133" s="455"/>
      <c r="AF133" s="454"/>
      <c r="AG133" s="455"/>
    </row>
    <row r="134" spans="1:33" x14ac:dyDescent="0.2">
      <c r="A134" s="415">
        <f t="shared" si="5"/>
        <v>1249</v>
      </c>
      <c r="B134" s="416" t="str">
        <f t="shared" si="4"/>
        <v>Summer</v>
      </c>
      <c r="C134" s="453"/>
      <c r="D134" s="454"/>
      <c r="E134" s="455"/>
      <c r="F134" s="454"/>
      <c r="G134" s="455"/>
      <c r="H134" s="454"/>
      <c r="I134" s="455"/>
      <c r="J134" s="454"/>
      <c r="K134" s="455"/>
      <c r="L134" s="454"/>
      <c r="M134" s="455"/>
      <c r="N134" s="454"/>
      <c r="O134" s="455"/>
      <c r="P134" s="454"/>
      <c r="Q134" s="455"/>
      <c r="R134" s="454"/>
      <c r="S134" s="455"/>
      <c r="T134" s="454"/>
      <c r="U134" s="455"/>
      <c r="V134" s="454"/>
      <c r="W134" s="455"/>
      <c r="X134" s="454"/>
      <c r="Y134" s="455"/>
      <c r="Z134" s="454"/>
      <c r="AA134" s="455"/>
      <c r="AB134" s="454"/>
      <c r="AC134" s="455"/>
      <c r="AD134" s="454"/>
      <c r="AE134" s="455"/>
      <c r="AF134" s="454"/>
      <c r="AG134" s="455"/>
    </row>
    <row r="135" spans="1:33" x14ac:dyDescent="0.2">
      <c r="A135" s="415">
        <f t="shared" si="5"/>
        <v>1249</v>
      </c>
      <c r="B135" s="416" t="str">
        <f t="shared" si="4"/>
        <v>Autumn</v>
      </c>
      <c r="C135" s="453"/>
      <c r="D135" s="454"/>
      <c r="E135" s="455"/>
      <c r="F135" s="454"/>
      <c r="G135" s="455"/>
      <c r="H135" s="454"/>
      <c r="I135" s="455"/>
      <c r="J135" s="454"/>
      <c r="K135" s="455"/>
      <c r="L135" s="454"/>
      <c r="M135" s="455"/>
      <c r="N135" s="454"/>
      <c r="O135" s="455"/>
      <c r="P135" s="454"/>
      <c r="Q135" s="455"/>
      <c r="R135" s="454"/>
      <c r="S135" s="455"/>
      <c r="T135" s="454"/>
      <c r="U135" s="455"/>
      <c r="V135" s="454"/>
      <c r="W135" s="455"/>
      <c r="X135" s="454"/>
      <c r="Y135" s="455"/>
      <c r="Z135" s="454"/>
      <c r="AA135" s="455"/>
      <c r="AB135" s="454"/>
      <c r="AC135" s="455"/>
      <c r="AD135" s="454"/>
      <c r="AE135" s="455"/>
      <c r="AF135" s="454"/>
      <c r="AG135" s="455"/>
    </row>
    <row r="136" spans="1:33" x14ac:dyDescent="0.2">
      <c r="A136" s="415">
        <f t="shared" si="5"/>
        <v>1250</v>
      </c>
      <c r="B136" s="416" t="str">
        <f t="shared" si="4"/>
        <v>Winter</v>
      </c>
      <c r="C136" s="453"/>
      <c r="D136" s="454"/>
      <c r="E136" s="455"/>
      <c r="F136" s="454"/>
      <c r="G136" s="455"/>
      <c r="H136" s="454"/>
      <c r="I136" s="455"/>
      <c r="J136" s="454"/>
      <c r="K136" s="455"/>
      <c r="L136" s="454"/>
      <c r="M136" s="455"/>
      <c r="N136" s="454"/>
      <c r="O136" s="455"/>
      <c r="P136" s="454"/>
      <c r="Q136" s="455"/>
      <c r="R136" s="454"/>
      <c r="S136" s="455"/>
      <c r="T136" s="454"/>
      <c r="U136" s="455"/>
      <c r="V136" s="454"/>
      <c r="W136" s="455"/>
      <c r="X136" s="454"/>
      <c r="Y136" s="455"/>
      <c r="Z136" s="454"/>
      <c r="AA136" s="455"/>
      <c r="AB136" s="454"/>
      <c r="AC136" s="455"/>
      <c r="AD136" s="454"/>
      <c r="AE136" s="455"/>
      <c r="AF136" s="454"/>
      <c r="AG136" s="455"/>
    </row>
    <row r="137" spans="1:33" x14ac:dyDescent="0.2">
      <c r="A137" s="415">
        <f t="shared" si="5"/>
        <v>1250</v>
      </c>
      <c r="B137" s="416" t="str">
        <f t="shared" si="4"/>
        <v>Spring</v>
      </c>
      <c r="C137" s="453"/>
      <c r="D137" s="454"/>
      <c r="E137" s="455"/>
      <c r="F137" s="454"/>
      <c r="G137" s="455"/>
      <c r="H137" s="454"/>
      <c r="I137" s="455"/>
      <c r="J137" s="454"/>
      <c r="K137" s="455"/>
      <c r="L137" s="454"/>
      <c r="M137" s="455"/>
      <c r="N137" s="454"/>
      <c r="O137" s="455"/>
      <c r="P137" s="454"/>
      <c r="Q137" s="455"/>
      <c r="R137" s="454"/>
      <c r="S137" s="455"/>
      <c r="T137" s="454"/>
      <c r="U137" s="455"/>
      <c r="V137" s="454"/>
      <c r="W137" s="455"/>
      <c r="X137" s="454"/>
      <c r="Y137" s="455"/>
      <c r="Z137" s="454"/>
      <c r="AA137" s="455"/>
      <c r="AB137" s="454"/>
      <c r="AC137" s="455"/>
      <c r="AD137" s="454"/>
      <c r="AE137" s="455"/>
      <c r="AF137" s="454"/>
      <c r="AG137" s="455"/>
    </row>
    <row r="138" spans="1:33" x14ac:dyDescent="0.2">
      <c r="A138" s="415">
        <f t="shared" si="5"/>
        <v>1250</v>
      </c>
      <c r="B138" s="416" t="str">
        <f t="shared" si="4"/>
        <v>Summer</v>
      </c>
      <c r="C138" s="453"/>
      <c r="D138" s="454"/>
      <c r="E138" s="455"/>
      <c r="F138" s="454"/>
      <c r="G138" s="455"/>
      <c r="H138" s="454"/>
      <c r="I138" s="455"/>
      <c r="J138" s="454"/>
      <c r="K138" s="455"/>
      <c r="L138" s="454"/>
      <c r="M138" s="455"/>
      <c r="N138" s="454"/>
      <c r="O138" s="455"/>
      <c r="P138" s="454"/>
      <c r="Q138" s="455"/>
      <c r="R138" s="454"/>
      <c r="S138" s="455"/>
      <c r="T138" s="454"/>
      <c r="U138" s="455"/>
      <c r="V138" s="454"/>
      <c r="W138" s="455"/>
      <c r="X138" s="454"/>
      <c r="Y138" s="455"/>
      <c r="Z138" s="454"/>
      <c r="AA138" s="455"/>
      <c r="AB138" s="454"/>
      <c r="AC138" s="455"/>
      <c r="AD138" s="454"/>
      <c r="AE138" s="455"/>
      <c r="AF138" s="454"/>
      <c r="AG138" s="455"/>
    </row>
    <row r="139" spans="1:33" x14ac:dyDescent="0.2">
      <c r="A139" s="415">
        <f t="shared" si="5"/>
        <v>1250</v>
      </c>
      <c r="B139" s="416" t="str">
        <f t="shared" si="4"/>
        <v>Autumn</v>
      </c>
      <c r="C139" s="453"/>
      <c r="D139" s="454"/>
      <c r="E139" s="455"/>
      <c r="F139" s="454"/>
      <c r="G139" s="455"/>
      <c r="H139" s="454"/>
      <c r="I139" s="455"/>
      <c r="J139" s="454"/>
      <c r="K139" s="455"/>
      <c r="L139" s="454"/>
      <c r="M139" s="455"/>
      <c r="N139" s="454"/>
      <c r="O139" s="455"/>
      <c r="P139" s="454"/>
      <c r="Q139" s="455"/>
      <c r="R139" s="454"/>
      <c r="S139" s="455"/>
      <c r="T139" s="454"/>
      <c r="U139" s="455"/>
      <c r="V139" s="454"/>
      <c r="W139" s="455"/>
      <c r="X139" s="454"/>
      <c r="Y139" s="455"/>
      <c r="Z139" s="454"/>
      <c r="AA139" s="455"/>
      <c r="AB139" s="454"/>
      <c r="AC139" s="455"/>
      <c r="AD139" s="454"/>
      <c r="AE139" s="455"/>
      <c r="AF139" s="454"/>
      <c r="AG139" s="455"/>
    </row>
    <row r="140" spans="1:33" x14ac:dyDescent="0.2">
      <c r="A140" s="415">
        <f t="shared" si="5"/>
        <v>1251</v>
      </c>
      <c r="B140" s="416" t="str">
        <f t="shared" si="4"/>
        <v>Winter</v>
      </c>
      <c r="C140" s="453"/>
      <c r="D140" s="454"/>
      <c r="E140" s="455"/>
      <c r="F140" s="454"/>
      <c r="G140" s="455"/>
      <c r="H140" s="454"/>
      <c r="I140" s="455"/>
      <c r="J140" s="454"/>
      <c r="K140" s="455"/>
      <c r="L140" s="454"/>
      <c r="M140" s="455"/>
      <c r="N140" s="454"/>
      <c r="O140" s="455"/>
      <c r="P140" s="454"/>
      <c r="Q140" s="455"/>
      <c r="R140" s="454"/>
      <c r="S140" s="455"/>
      <c r="T140" s="454"/>
      <c r="U140" s="455"/>
      <c r="V140" s="454"/>
      <c r="W140" s="455"/>
      <c r="X140" s="454"/>
      <c r="Y140" s="455"/>
      <c r="Z140" s="454"/>
      <c r="AA140" s="455"/>
      <c r="AB140" s="454"/>
      <c r="AC140" s="455"/>
      <c r="AD140" s="454"/>
      <c r="AE140" s="455"/>
      <c r="AF140" s="454"/>
      <c r="AG140" s="455"/>
    </row>
    <row r="141" spans="1:33" x14ac:dyDescent="0.2">
      <c r="A141" s="415">
        <f t="shared" si="5"/>
        <v>1251</v>
      </c>
      <c r="B141" s="416" t="str">
        <f t="shared" si="4"/>
        <v>Spring</v>
      </c>
      <c r="C141" s="453"/>
      <c r="D141" s="454"/>
      <c r="E141" s="455"/>
      <c r="F141" s="454"/>
      <c r="G141" s="455"/>
      <c r="H141" s="454"/>
      <c r="I141" s="455"/>
      <c r="J141" s="454"/>
      <c r="K141" s="455"/>
      <c r="L141" s="454"/>
      <c r="M141" s="455"/>
      <c r="N141" s="454"/>
      <c r="O141" s="455"/>
      <c r="P141" s="454"/>
      <c r="Q141" s="455"/>
      <c r="R141" s="454"/>
      <c r="S141" s="455"/>
      <c r="T141" s="454"/>
      <c r="U141" s="455"/>
      <c r="V141" s="454"/>
      <c r="W141" s="455"/>
      <c r="X141" s="454"/>
      <c r="Y141" s="455"/>
      <c r="Z141" s="454"/>
      <c r="AA141" s="455"/>
      <c r="AB141" s="454"/>
      <c r="AC141" s="455"/>
      <c r="AD141" s="454"/>
      <c r="AE141" s="455"/>
      <c r="AF141" s="454"/>
      <c r="AG141" s="455"/>
    </row>
    <row r="142" spans="1:33" x14ac:dyDescent="0.2">
      <c r="A142" s="415">
        <f t="shared" si="5"/>
        <v>1251</v>
      </c>
      <c r="B142" s="416" t="str">
        <f t="shared" si="4"/>
        <v>Summer</v>
      </c>
      <c r="C142" s="453"/>
      <c r="D142" s="454"/>
      <c r="E142" s="455"/>
      <c r="F142" s="454"/>
      <c r="G142" s="455"/>
      <c r="H142" s="454"/>
      <c r="I142" s="455"/>
      <c r="J142" s="454"/>
      <c r="K142" s="455"/>
      <c r="L142" s="454"/>
      <c r="M142" s="455"/>
      <c r="N142" s="454"/>
      <c r="O142" s="455"/>
      <c r="P142" s="454"/>
      <c r="Q142" s="455"/>
      <c r="R142" s="454"/>
      <c r="S142" s="455"/>
      <c r="T142" s="454"/>
      <c r="U142" s="455"/>
      <c r="V142" s="454"/>
      <c r="W142" s="455"/>
      <c r="X142" s="454"/>
      <c r="Y142" s="455"/>
      <c r="Z142" s="454"/>
      <c r="AA142" s="455"/>
      <c r="AB142" s="454"/>
      <c r="AC142" s="455"/>
      <c r="AD142" s="454"/>
      <c r="AE142" s="455"/>
      <c r="AF142" s="454"/>
      <c r="AG142" s="455"/>
    </row>
    <row r="143" spans="1:33" x14ac:dyDescent="0.2">
      <c r="A143" s="415">
        <f t="shared" si="5"/>
        <v>1251</v>
      </c>
      <c r="B143" s="416" t="str">
        <f t="shared" si="4"/>
        <v>Autumn</v>
      </c>
      <c r="C143" s="453"/>
      <c r="D143" s="454"/>
      <c r="E143" s="455"/>
      <c r="F143" s="454"/>
      <c r="G143" s="455"/>
      <c r="H143" s="454"/>
      <c r="I143" s="455"/>
      <c r="J143" s="454"/>
      <c r="K143" s="455"/>
      <c r="L143" s="454"/>
      <c r="M143" s="455"/>
      <c r="N143" s="454"/>
      <c r="O143" s="455"/>
      <c r="P143" s="454"/>
      <c r="Q143" s="455"/>
      <c r="R143" s="454"/>
      <c r="S143" s="455"/>
      <c r="T143" s="454"/>
      <c r="U143" s="455"/>
      <c r="V143" s="454"/>
      <c r="W143" s="455"/>
      <c r="X143" s="454"/>
      <c r="Y143" s="455"/>
      <c r="Z143" s="454"/>
      <c r="AA143" s="455"/>
      <c r="AB143" s="454"/>
      <c r="AC143" s="455"/>
      <c r="AD143" s="454"/>
      <c r="AE143" s="455"/>
      <c r="AF143" s="454"/>
      <c r="AG143" s="455"/>
    </row>
    <row r="144" spans="1:33" x14ac:dyDescent="0.2">
      <c r="A144" s="415">
        <f t="shared" si="5"/>
        <v>1252</v>
      </c>
      <c r="B144" s="416" t="str">
        <f t="shared" si="4"/>
        <v>Winter</v>
      </c>
      <c r="C144" s="453"/>
      <c r="D144" s="454"/>
      <c r="E144" s="455"/>
      <c r="F144" s="454"/>
      <c r="G144" s="455"/>
      <c r="H144" s="454"/>
      <c r="I144" s="455"/>
      <c r="J144" s="454"/>
      <c r="K144" s="455"/>
      <c r="L144" s="454"/>
      <c r="M144" s="455"/>
      <c r="N144" s="454"/>
      <c r="O144" s="455"/>
      <c r="P144" s="454"/>
      <c r="Q144" s="455"/>
      <c r="R144" s="454"/>
      <c r="S144" s="455"/>
      <c r="T144" s="454"/>
      <c r="U144" s="455"/>
      <c r="V144" s="454"/>
      <c r="W144" s="455"/>
      <c r="X144" s="454"/>
      <c r="Y144" s="455"/>
      <c r="Z144" s="454"/>
      <c r="AA144" s="455"/>
      <c r="AB144" s="454"/>
      <c r="AC144" s="455"/>
      <c r="AD144" s="454"/>
      <c r="AE144" s="455"/>
      <c r="AF144" s="454"/>
      <c r="AG144" s="455"/>
    </row>
    <row r="145" spans="1:33" x14ac:dyDescent="0.2">
      <c r="A145" s="415">
        <f t="shared" si="5"/>
        <v>1252</v>
      </c>
      <c r="B145" s="416" t="str">
        <f t="shared" si="4"/>
        <v>Spring</v>
      </c>
      <c r="C145" s="453"/>
      <c r="D145" s="454"/>
      <c r="E145" s="455"/>
      <c r="F145" s="454"/>
      <c r="G145" s="455"/>
      <c r="H145" s="454"/>
      <c r="I145" s="455"/>
      <c r="J145" s="454"/>
      <c r="K145" s="455"/>
      <c r="L145" s="454"/>
      <c r="M145" s="455"/>
      <c r="N145" s="454"/>
      <c r="O145" s="455"/>
      <c r="P145" s="454"/>
      <c r="Q145" s="455"/>
      <c r="R145" s="454"/>
      <c r="S145" s="455"/>
      <c r="T145" s="454"/>
      <c r="U145" s="455"/>
      <c r="V145" s="454"/>
      <c r="W145" s="455"/>
      <c r="X145" s="454"/>
      <c r="Y145" s="455"/>
      <c r="Z145" s="454"/>
      <c r="AA145" s="455"/>
      <c r="AB145" s="454"/>
      <c r="AC145" s="455"/>
      <c r="AD145" s="454"/>
      <c r="AE145" s="455"/>
      <c r="AF145" s="454"/>
      <c r="AG145" s="455"/>
    </row>
    <row r="146" spans="1:33" x14ac:dyDescent="0.2">
      <c r="A146" s="415">
        <f t="shared" si="5"/>
        <v>1252</v>
      </c>
      <c r="B146" s="416" t="str">
        <f t="shared" si="4"/>
        <v>Summer</v>
      </c>
      <c r="C146" s="453"/>
      <c r="D146" s="454"/>
      <c r="E146" s="455"/>
      <c r="F146" s="454"/>
      <c r="G146" s="455"/>
      <c r="H146" s="454"/>
      <c r="I146" s="455"/>
      <c r="J146" s="454"/>
      <c r="K146" s="455"/>
      <c r="L146" s="454"/>
      <c r="M146" s="455"/>
      <c r="N146" s="454"/>
      <c r="O146" s="455"/>
      <c r="P146" s="454"/>
      <c r="Q146" s="455"/>
      <c r="R146" s="454"/>
      <c r="S146" s="455"/>
      <c r="T146" s="454"/>
      <c r="U146" s="455"/>
      <c r="V146" s="454"/>
      <c r="W146" s="455"/>
      <c r="X146" s="454"/>
      <c r="Y146" s="455"/>
      <c r="Z146" s="454"/>
      <c r="AA146" s="455"/>
      <c r="AB146" s="454"/>
      <c r="AC146" s="455"/>
      <c r="AD146" s="454"/>
      <c r="AE146" s="455"/>
      <c r="AF146" s="454"/>
      <c r="AG146" s="455"/>
    </row>
    <row r="147" spans="1:33" x14ac:dyDescent="0.2">
      <c r="A147" s="415">
        <f t="shared" si="5"/>
        <v>1252</v>
      </c>
      <c r="B147" s="416" t="str">
        <f t="shared" si="4"/>
        <v>Autumn</v>
      </c>
      <c r="C147" s="453"/>
      <c r="D147" s="454"/>
      <c r="E147" s="455"/>
      <c r="F147" s="454"/>
      <c r="G147" s="455"/>
      <c r="H147" s="454"/>
      <c r="I147" s="455"/>
      <c r="J147" s="454"/>
      <c r="K147" s="455"/>
      <c r="L147" s="454"/>
      <c r="M147" s="455"/>
      <c r="N147" s="454"/>
      <c r="O147" s="455"/>
      <c r="P147" s="454"/>
      <c r="Q147" s="455"/>
      <c r="R147" s="454"/>
      <c r="S147" s="455"/>
      <c r="T147" s="454"/>
      <c r="U147" s="455"/>
      <c r="V147" s="454"/>
      <c r="W147" s="455"/>
      <c r="X147" s="454"/>
      <c r="Y147" s="455"/>
      <c r="Z147" s="454"/>
      <c r="AA147" s="455"/>
      <c r="AB147" s="454"/>
      <c r="AC147" s="455"/>
      <c r="AD147" s="454"/>
      <c r="AE147" s="455"/>
      <c r="AF147" s="454"/>
      <c r="AG147" s="455"/>
    </row>
    <row r="148" spans="1:33" x14ac:dyDescent="0.2">
      <c r="A148" s="415">
        <f t="shared" si="5"/>
        <v>1253</v>
      </c>
      <c r="B148" s="416" t="str">
        <f t="shared" si="4"/>
        <v>Winter</v>
      </c>
      <c r="C148" s="453"/>
      <c r="D148" s="454"/>
      <c r="E148" s="455"/>
      <c r="F148" s="454"/>
      <c r="G148" s="455"/>
      <c r="H148" s="454"/>
      <c r="I148" s="455"/>
      <c r="J148" s="454"/>
      <c r="K148" s="455"/>
      <c r="L148" s="454"/>
      <c r="M148" s="455"/>
      <c r="N148" s="454"/>
      <c r="O148" s="455"/>
      <c r="P148" s="454"/>
      <c r="Q148" s="455"/>
      <c r="R148" s="454"/>
      <c r="S148" s="455"/>
      <c r="T148" s="454"/>
      <c r="U148" s="455"/>
      <c r="V148" s="454"/>
      <c r="W148" s="455"/>
      <c r="X148" s="454"/>
      <c r="Y148" s="455"/>
      <c r="Z148" s="454"/>
      <c r="AA148" s="455"/>
      <c r="AB148" s="454"/>
      <c r="AC148" s="455"/>
      <c r="AD148" s="454"/>
      <c r="AE148" s="455"/>
      <c r="AF148" s="454"/>
      <c r="AG148" s="455"/>
    </row>
    <row r="149" spans="1:33" x14ac:dyDescent="0.2">
      <c r="A149" s="415">
        <f t="shared" si="5"/>
        <v>1253</v>
      </c>
      <c r="B149" s="416" t="str">
        <f t="shared" si="4"/>
        <v>Spring</v>
      </c>
      <c r="C149" s="453"/>
      <c r="D149" s="454"/>
      <c r="E149" s="455"/>
      <c r="F149" s="454"/>
      <c r="G149" s="455"/>
      <c r="H149" s="454"/>
      <c r="I149" s="455"/>
      <c r="J149" s="454"/>
      <c r="K149" s="455"/>
      <c r="L149" s="454"/>
      <c r="M149" s="455"/>
      <c r="N149" s="454"/>
      <c r="O149" s="455"/>
      <c r="P149" s="454"/>
      <c r="Q149" s="455"/>
      <c r="R149" s="454"/>
      <c r="S149" s="455"/>
      <c r="T149" s="454"/>
      <c r="U149" s="455"/>
      <c r="V149" s="454"/>
      <c r="W149" s="455"/>
      <c r="X149" s="454"/>
      <c r="Y149" s="455"/>
      <c r="Z149" s="454"/>
      <c r="AA149" s="455"/>
      <c r="AB149" s="454"/>
      <c r="AC149" s="455"/>
      <c r="AD149" s="454"/>
      <c r="AE149" s="455"/>
      <c r="AF149" s="454"/>
      <c r="AG149" s="455"/>
    </row>
    <row r="150" spans="1:33" x14ac:dyDescent="0.2">
      <c r="A150" s="415">
        <f t="shared" si="5"/>
        <v>1253</v>
      </c>
      <c r="B150" s="416" t="str">
        <f t="shared" si="4"/>
        <v>Summer</v>
      </c>
      <c r="C150" s="453"/>
      <c r="D150" s="454"/>
      <c r="E150" s="455"/>
      <c r="F150" s="454"/>
      <c r="G150" s="455"/>
      <c r="H150" s="454"/>
      <c r="I150" s="455"/>
      <c r="J150" s="454"/>
      <c r="K150" s="455"/>
      <c r="L150" s="454"/>
      <c r="M150" s="455"/>
      <c r="N150" s="454"/>
      <c r="O150" s="455"/>
      <c r="P150" s="454"/>
      <c r="Q150" s="455"/>
      <c r="R150" s="454"/>
      <c r="S150" s="455"/>
      <c r="T150" s="454"/>
      <c r="U150" s="455"/>
      <c r="V150" s="454"/>
      <c r="W150" s="455"/>
      <c r="X150" s="454"/>
      <c r="Y150" s="455"/>
      <c r="Z150" s="454"/>
      <c r="AA150" s="455"/>
      <c r="AB150" s="454"/>
      <c r="AC150" s="455"/>
      <c r="AD150" s="454"/>
      <c r="AE150" s="455"/>
      <c r="AF150" s="454"/>
      <c r="AG150" s="455"/>
    </row>
    <row r="151" spans="1:33" x14ac:dyDescent="0.2">
      <c r="A151" s="415">
        <f t="shared" si="5"/>
        <v>1253</v>
      </c>
      <c r="B151" s="416" t="str">
        <f t="shared" si="4"/>
        <v>Autumn</v>
      </c>
      <c r="C151" s="453"/>
      <c r="D151" s="454"/>
      <c r="E151" s="455"/>
      <c r="F151" s="454"/>
      <c r="G151" s="455"/>
      <c r="H151" s="454"/>
      <c r="I151" s="455"/>
      <c r="J151" s="454"/>
      <c r="K151" s="455"/>
      <c r="L151" s="454"/>
      <c r="M151" s="455"/>
      <c r="N151" s="454"/>
      <c r="O151" s="455"/>
      <c r="P151" s="454"/>
      <c r="Q151" s="455"/>
      <c r="R151" s="454"/>
      <c r="S151" s="455"/>
      <c r="T151" s="454"/>
      <c r="U151" s="455"/>
      <c r="V151" s="454"/>
      <c r="W151" s="455"/>
      <c r="X151" s="454"/>
      <c r="Y151" s="455"/>
      <c r="Z151" s="454"/>
      <c r="AA151" s="455"/>
      <c r="AB151" s="454"/>
      <c r="AC151" s="455"/>
      <c r="AD151" s="454"/>
      <c r="AE151" s="455"/>
      <c r="AF151" s="454"/>
      <c r="AG151" s="455"/>
    </row>
    <row r="152" spans="1:33" x14ac:dyDescent="0.2">
      <c r="A152" s="415">
        <f t="shared" si="5"/>
        <v>1254</v>
      </c>
      <c r="B152" s="416" t="str">
        <f t="shared" si="4"/>
        <v>Winter</v>
      </c>
      <c r="C152" s="453"/>
      <c r="D152" s="454"/>
      <c r="E152" s="455"/>
      <c r="F152" s="454"/>
      <c r="G152" s="455"/>
      <c r="H152" s="454"/>
      <c r="I152" s="455"/>
      <c r="J152" s="454"/>
      <c r="K152" s="455"/>
      <c r="L152" s="454"/>
      <c r="M152" s="455"/>
      <c r="N152" s="454"/>
      <c r="O152" s="455"/>
      <c r="P152" s="454"/>
      <c r="Q152" s="455"/>
      <c r="R152" s="454"/>
      <c r="S152" s="455"/>
      <c r="T152" s="454"/>
      <c r="U152" s="455"/>
      <c r="V152" s="454"/>
      <c r="W152" s="455"/>
      <c r="X152" s="454"/>
      <c r="Y152" s="455"/>
      <c r="Z152" s="454"/>
      <c r="AA152" s="455"/>
      <c r="AB152" s="454"/>
      <c r="AC152" s="455"/>
      <c r="AD152" s="454"/>
      <c r="AE152" s="455"/>
      <c r="AF152" s="454"/>
      <c r="AG152" s="455"/>
    </row>
    <row r="153" spans="1:33" x14ac:dyDescent="0.2">
      <c r="A153" s="415">
        <f t="shared" si="5"/>
        <v>1254</v>
      </c>
      <c r="B153" s="416" t="str">
        <f t="shared" si="4"/>
        <v>Spring</v>
      </c>
      <c r="C153" s="453"/>
      <c r="D153" s="454"/>
      <c r="E153" s="455"/>
      <c r="F153" s="454"/>
      <c r="G153" s="455"/>
      <c r="H153" s="454"/>
      <c r="I153" s="455"/>
      <c r="J153" s="454"/>
      <c r="K153" s="455"/>
      <c r="L153" s="454"/>
      <c r="M153" s="455"/>
      <c r="N153" s="454"/>
      <c r="O153" s="455"/>
      <c r="P153" s="454"/>
      <c r="Q153" s="455"/>
      <c r="R153" s="454"/>
      <c r="S153" s="455"/>
      <c r="T153" s="454"/>
      <c r="U153" s="455"/>
      <c r="V153" s="454"/>
      <c r="W153" s="455"/>
      <c r="X153" s="454"/>
      <c r="Y153" s="455"/>
      <c r="Z153" s="454"/>
      <c r="AA153" s="455"/>
      <c r="AB153" s="454"/>
      <c r="AC153" s="455"/>
      <c r="AD153" s="454"/>
      <c r="AE153" s="455"/>
      <c r="AF153" s="454"/>
      <c r="AG153" s="455"/>
    </row>
    <row r="154" spans="1:33" x14ac:dyDescent="0.2">
      <c r="A154" s="415">
        <f t="shared" si="5"/>
        <v>1254</v>
      </c>
      <c r="B154" s="416" t="str">
        <f t="shared" si="4"/>
        <v>Summer</v>
      </c>
      <c r="C154" s="453"/>
      <c r="D154" s="454"/>
      <c r="E154" s="455"/>
      <c r="F154" s="454"/>
      <c r="G154" s="455"/>
      <c r="H154" s="454"/>
      <c r="I154" s="455"/>
      <c r="J154" s="454"/>
      <c r="K154" s="455"/>
      <c r="L154" s="454"/>
      <c r="M154" s="455"/>
      <c r="N154" s="454"/>
      <c r="O154" s="455"/>
      <c r="P154" s="454"/>
      <c r="Q154" s="455"/>
      <c r="R154" s="454"/>
      <c r="S154" s="455"/>
      <c r="T154" s="454"/>
      <c r="U154" s="455"/>
      <c r="V154" s="454"/>
      <c r="W154" s="455"/>
      <c r="X154" s="454"/>
      <c r="Y154" s="455"/>
      <c r="Z154" s="454"/>
      <c r="AA154" s="455"/>
      <c r="AB154" s="454"/>
      <c r="AC154" s="455"/>
      <c r="AD154" s="454"/>
      <c r="AE154" s="455"/>
      <c r="AF154" s="454"/>
      <c r="AG154" s="455"/>
    </row>
    <row r="155" spans="1:33" x14ac:dyDescent="0.2">
      <c r="A155" s="415">
        <f t="shared" si="5"/>
        <v>1254</v>
      </c>
      <c r="B155" s="416" t="str">
        <f t="shared" si="4"/>
        <v>Autumn</v>
      </c>
      <c r="C155" s="453"/>
      <c r="D155" s="454"/>
      <c r="E155" s="455"/>
      <c r="F155" s="454"/>
      <c r="G155" s="455"/>
      <c r="H155" s="454"/>
      <c r="I155" s="455"/>
      <c r="J155" s="454"/>
      <c r="K155" s="455"/>
      <c r="L155" s="454"/>
      <c r="M155" s="455"/>
      <c r="N155" s="454"/>
      <c r="O155" s="455"/>
      <c r="P155" s="454"/>
      <c r="Q155" s="455"/>
      <c r="R155" s="454"/>
      <c r="S155" s="455"/>
      <c r="T155" s="454"/>
      <c r="U155" s="455"/>
      <c r="V155" s="454"/>
      <c r="W155" s="455"/>
      <c r="X155" s="454"/>
      <c r="Y155" s="455"/>
      <c r="Z155" s="454"/>
      <c r="AA155" s="455"/>
      <c r="AB155" s="454"/>
      <c r="AC155" s="455"/>
      <c r="AD155" s="454"/>
      <c r="AE155" s="455"/>
      <c r="AF155" s="454"/>
      <c r="AG155" s="455"/>
    </row>
    <row r="156" spans="1:33" x14ac:dyDescent="0.2">
      <c r="A156" s="415">
        <f t="shared" si="5"/>
        <v>1255</v>
      </c>
      <c r="B156" s="416" t="str">
        <f t="shared" si="4"/>
        <v>Winter</v>
      </c>
      <c r="C156" s="453"/>
      <c r="D156" s="454"/>
      <c r="E156" s="455"/>
      <c r="F156" s="454"/>
      <c r="G156" s="455"/>
      <c r="H156" s="454"/>
      <c r="I156" s="455"/>
      <c r="J156" s="454"/>
      <c r="K156" s="455"/>
      <c r="L156" s="454"/>
      <c r="M156" s="455"/>
      <c r="N156" s="454"/>
      <c r="O156" s="455"/>
      <c r="P156" s="454"/>
      <c r="Q156" s="455"/>
      <c r="R156" s="454"/>
      <c r="S156" s="455"/>
      <c r="T156" s="454"/>
      <c r="U156" s="455"/>
      <c r="V156" s="454"/>
      <c r="W156" s="455"/>
      <c r="X156" s="454"/>
      <c r="Y156" s="455"/>
      <c r="Z156" s="454"/>
      <c r="AA156" s="455"/>
      <c r="AB156" s="454"/>
      <c r="AC156" s="455"/>
      <c r="AD156" s="454"/>
      <c r="AE156" s="455"/>
      <c r="AF156" s="454"/>
      <c r="AG156" s="455"/>
    </row>
    <row r="157" spans="1:33" x14ac:dyDescent="0.2">
      <c r="A157" s="415">
        <f t="shared" si="5"/>
        <v>1255</v>
      </c>
      <c r="B157" s="416" t="str">
        <f t="shared" si="4"/>
        <v>Spring</v>
      </c>
      <c r="C157" s="453"/>
      <c r="D157" s="454"/>
      <c r="E157" s="455"/>
      <c r="F157" s="454"/>
      <c r="G157" s="455"/>
      <c r="H157" s="454"/>
      <c r="I157" s="455"/>
      <c r="J157" s="454"/>
      <c r="K157" s="455"/>
      <c r="L157" s="454"/>
      <c r="M157" s="455"/>
      <c r="N157" s="454"/>
      <c r="O157" s="455"/>
      <c r="P157" s="454"/>
      <c r="Q157" s="455"/>
      <c r="R157" s="454"/>
      <c r="S157" s="455"/>
      <c r="T157" s="454"/>
      <c r="U157" s="455"/>
      <c r="V157" s="454"/>
      <c r="W157" s="455"/>
      <c r="X157" s="454"/>
      <c r="Y157" s="455"/>
      <c r="Z157" s="454"/>
      <c r="AA157" s="455"/>
      <c r="AB157" s="454"/>
      <c r="AC157" s="455"/>
      <c r="AD157" s="454"/>
      <c r="AE157" s="455"/>
      <c r="AF157" s="454"/>
      <c r="AG157" s="455"/>
    </row>
    <row r="158" spans="1:33" x14ac:dyDescent="0.2">
      <c r="A158" s="415">
        <f t="shared" si="5"/>
        <v>1255</v>
      </c>
      <c r="B158" s="416" t="str">
        <f t="shared" si="4"/>
        <v>Summer</v>
      </c>
      <c r="C158" s="453"/>
      <c r="D158" s="454"/>
      <c r="E158" s="455"/>
      <c r="F158" s="454"/>
      <c r="G158" s="455"/>
      <c r="H158" s="454"/>
      <c r="I158" s="455"/>
      <c r="J158" s="454"/>
      <c r="K158" s="455"/>
      <c r="L158" s="454"/>
      <c r="M158" s="455"/>
      <c r="N158" s="454"/>
      <c r="O158" s="455"/>
      <c r="P158" s="454"/>
      <c r="Q158" s="455"/>
      <c r="R158" s="454"/>
      <c r="S158" s="455"/>
      <c r="T158" s="454"/>
      <c r="U158" s="455"/>
      <c r="V158" s="454"/>
      <c r="W158" s="455"/>
      <c r="X158" s="454"/>
      <c r="Y158" s="455"/>
      <c r="Z158" s="454"/>
      <c r="AA158" s="455"/>
      <c r="AB158" s="454"/>
      <c r="AC158" s="455"/>
      <c r="AD158" s="454"/>
      <c r="AE158" s="455"/>
      <c r="AF158" s="454"/>
      <c r="AG158" s="455"/>
    </row>
    <row r="159" spans="1:33" x14ac:dyDescent="0.2">
      <c r="A159" s="415">
        <f t="shared" si="5"/>
        <v>1255</v>
      </c>
      <c r="B159" s="416" t="str">
        <f t="shared" si="4"/>
        <v>Autumn</v>
      </c>
      <c r="C159" s="453"/>
      <c r="D159" s="454"/>
      <c r="E159" s="455"/>
      <c r="F159" s="454"/>
      <c r="G159" s="455"/>
      <c r="H159" s="454"/>
      <c r="I159" s="455"/>
      <c r="J159" s="454"/>
      <c r="K159" s="455"/>
      <c r="L159" s="454"/>
      <c r="M159" s="455"/>
      <c r="N159" s="454"/>
      <c r="O159" s="455"/>
      <c r="P159" s="454"/>
      <c r="Q159" s="455"/>
      <c r="R159" s="454"/>
      <c r="S159" s="455"/>
      <c r="T159" s="454"/>
      <c r="U159" s="455"/>
      <c r="V159" s="454"/>
      <c r="W159" s="455"/>
      <c r="X159" s="454"/>
      <c r="Y159" s="455"/>
      <c r="Z159" s="454"/>
      <c r="AA159" s="455"/>
      <c r="AB159" s="454"/>
      <c r="AC159" s="455"/>
      <c r="AD159" s="454"/>
      <c r="AE159" s="455"/>
      <c r="AF159" s="454"/>
      <c r="AG159" s="455"/>
    </row>
    <row r="160" spans="1:33" x14ac:dyDescent="0.2">
      <c r="A160" s="415">
        <f t="shared" si="5"/>
        <v>1256</v>
      </c>
      <c r="B160" s="416" t="str">
        <f t="shared" si="4"/>
        <v>Winter</v>
      </c>
      <c r="C160" s="453"/>
      <c r="D160" s="454"/>
      <c r="E160" s="455"/>
      <c r="F160" s="454"/>
      <c r="G160" s="455"/>
      <c r="H160" s="454"/>
      <c r="I160" s="455"/>
      <c r="J160" s="454"/>
      <c r="K160" s="455"/>
      <c r="L160" s="454"/>
      <c r="M160" s="455"/>
      <c r="N160" s="454"/>
      <c r="O160" s="455"/>
      <c r="P160" s="454"/>
      <c r="Q160" s="455"/>
      <c r="R160" s="454"/>
      <c r="S160" s="455"/>
      <c r="T160" s="454"/>
      <c r="U160" s="455"/>
      <c r="V160" s="454"/>
      <c r="W160" s="455"/>
      <c r="X160" s="454"/>
      <c r="Y160" s="455"/>
      <c r="Z160" s="454"/>
      <c r="AA160" s="455"/>
      <c r="AB160" s="454"/>
      <c r="AC160" s="455"/>
      <c r="AD160" s="454"/>
      <c r="AE160" s="455"/>
      <c r="AF160" s="454"/>
      <c r="AG160" s="455"/>
    </row>
    <row r="161" spans="1:33" x14ac:dyDescent="0.2">
      <c r="A161" s="415">
        <f t="shared" si="5"/>
        <v>1256</v>
      </c>
      <c r="B161" s="416" t="str">
        <f t="shared" si="4"/>
        <v>Spring</v>
      </c>
      <c r="C161" s="453"/>
      <c r="D161" s="454"/>
      <c r="E161" s="455"/>
      <c r="F161" s="454"/>
      <c r="G161" s="455"/>
      <c r="H161" s="454"/>
      <c r="I161" s="455"/>
      <c r="J161" s="454"/>
      <c r="K161" s="455"/>
      <c r="L161" s="454"/>
      <c r="M161" s="455"/>
      <c r="N161" s="454"/>
      <c r="O161" s="455"/>
      <c r="P161" s="454"/>
      <c r="Q161" s="455"/>
      <c r="R161" s="454"/>
      <c r="S161" s="455"/>
      <c r="T161" s="454"/>
      <c r="U161" s="455"/>
      <c r="V161" s="454"/>
      <c r="W161" s="455"/>
      <c r="X161" s="454"/>
      <c r="Y161" s="455"/>
      <c r="Z161" s="454"/>
      <c r="AA161" s="455"/>
      <c r="AB161" s="454"/>
      <c r="AC161" s="455"/>
      <c r="AD161" s="454"/>
      <c r="AE161" s="455"/>
      <c r="AF161" s="454"/>
      <c r="AG161" s="455"/>
    </row>
    <row r="162" spans="1:33" x14ac:dyDescent="0.2">
      <c r="A162" s="415">
        <f t="shared" si="5"/>
        <v>1256</v>
      </c>
      <c r="B162" s="416" t="str">
        <f t="shared" si="4"/>
        <v>Summer</v>
      </c>
      <c r="C162" s="453"/>
      <c r="D162" s="454"/>
      <c r="E162" s="455"/>
      <c r="F162" s="454"/>
      <c r="G162" s="455"/>
      <c r="H162" s="454"/>
      <c r="I162" s="455"/>
      <c r="J162" s="454"/>
      <c r="K162" s="455"/>
      <c r="L162" s="454"/>
      <c r="M162" s="455"/>
      <c r="N162" s="454"/>
      <c r="O162" s="455"/>
      <c r="P162" s="454"/>
      <c r="Q162" s="455"/>
      <c r="R162" s="454"/>
      <c r="S162" s="455"/>
      <c r="T162" s="454"/>
      <c r="U162" s="455"/>
      <c r="V162" s="454"/>
      <c r="W162" s="455"/>
      <c r="X162" s="454"/>
      <c r="Y162" s="455"/>
      <c r="Z162" s="454"/>
      <c r="AA162" s="455"/>
      <c r="AB162" s="454"/>
      <c r="AC162" s="455"/>
      <c r="AD162" s="454"/>
      <c r="AE162" s="455"/>
      <c r="AF162" s="454"/>
      <c r="AG162" s="455"/>
    </row>
    <row r="163" spans="1:33" x14ac:dyDescent="0.2">
      <c r="A163" s="415">
        <f t="shared" si="5"/>
        <v>1256</v>
      </c>
      <c r="B163" s="416" t="str">
        <f t="shared" si="4"/>
        <v>Autumn</v>
      </c>
      <c r="C163" s="453"/>
      <c r="D163" s="454"/>
      <c r="E163" s="455"/>
      <c r="F163" s="454"/>
      <c r="G163" s="455"/>
      <c r="H163" s="454"/>
      <c r="I163" s="455"/>
      <c r="J163" s="454"/>
      <c r="K163" s="455"/>
      <c r="L163" s="454"/>
      <c r="M163" s="455"/>
      <c r="N163" s="454"/>
      <c r="O163" s="455"/>
      <c r="P163" s="454"/>
      <c r="Q163" s="455"/>
      <c r="R163" s="454"/>
      <c r="S163" s="455"/>
      <c r="T163" s="454"/>
      <c r="U163" s="455"/>
      <c r="V163" s="454"/>
      <c r="W163" s="455"/>
      <c r="X163" s="454"/>
      <c r="Y163" s="455"/>
      <c r="Z163" s="454"/>
      <c r="AA163" s="455"/>
      <c r="AB163" s="454"/>
      <c r="AC163" s="455"/>
      <c r="AD163" s="454"/>
      <c r="AE163" s="455"/>
      <c r="AF163" s="454"/>
      <c r="AG163" s="455"/>
    </row>
    <row r="164" spans="1:33" x14ac:dyDescent="0.2">
      <c r="A164" s="415">
        <f t="shared" si="5"/>
        <v>1257</v>
      </c>
      <c r="B164" s="416" t="str">
        <f t="shared" si="4"/>
        <v>Winter</v>
      </c>
      <c r="C164" s="453"/>
      <c r="D164" s="454"/>
      <c r="E164" s="455"/>
      <c r="F164" s="454"/>
      <c r="G164" s="455"/>
      <c r="H164" s="454"/>
      <c r="I164" s="455"/>
      <c r="J164" s="454"/>
      <c r="K164" s="455"/>
      <c r="L164" s="454"/>
      <c r="M164" s="455"/>
      <c r="N164" s="454"/>
      <c r="O164" s="455"/>
      <c r="P164" s="454"/>
      <c r="Q164" s="455"/>
      <c r="R164" s="454"/>
      <c r="S164" s="455"/>
      <c r="T164" s="454"/>
      <c r="U164" s="455"/>
      <c r="V164" s="454"/>
      <c r="W164" s="455"/>
      <c r="X164" s="454"/>
      <c r="Y164" s="455"/>
      <c r="Z164" s="454"/>
      <c r="AA164" s="455"/>
      <c r="AB164" s="454"/>
      <c r="AC164" s="455"/>
      <c r="AD164" s="454"/>
      <c r="AE164" s="455"/>
      <c r="AF164" s="454"/>
      <c r="AG164" s="455"/>
    </row>
    <row r="165" spans="1:33" x14ac:dyDescent="0.2">
      <c r="A165" s="415">
        <f t="shared" si="5"/>
        <v>1257</v>
      </c>
      <c r="B165" s="416" t="str">
        <f t="shared" si="4"/>
        <v>Spring</v>
      </c>
      <c r="C165" s="453"/>
      <c r="D165" s="454"/>
      <c r="E165" s="455"/>
      <c r="F165" s="454"/>
      <c r="G165" s="455"/>
      <c r="H165" s="454"/>
      <c r="I165" s="455"/>
      <c r="J165" s="454"/>
      <c r="K165" s="455"/>
      <c r="L165" s="454"/>
      <c r="M165" s="455"/>
      <c r="N165" s="454"/>
      <c r="O165" s="455"/>
      <c r="P165" s="454"/>
      <c r="Q165" s="455"/>
      <c r="R165" s="454"/>
      <c r="S165" s="455"/>
      <c r="T165" s="454"/>
      <c r="U165" s="455"/>
      <c r="V165" s="454"/>
      <c r="W165" s="455"/>
      <c r="X165" s="454"/>
      <c r="Y165" s="455"/>
      <c r="Z165" s="454"/>
      <c r="AA165" s="455"/>
      <c r="AB165" s="454"/>
      <c r="AC165" s="455"/>
      <c r="AD165" s="454"/>
      <c r="AE165" s="455"/>
      <c r="AF165" s="454"/>
      <c r="AG165" s="455"/>
    </row>
    <row r="166" spans="1:33" x14ac:dyDescent="0.2">
      <c r="A166" s="415">
        <f t="shared" si="5"/>
        <v>1257</v>
      </c>
      <c r="B166" s="416" t="str">
        <f t="shared" si="4"/>
        <v>Summer</v>
      </c>
      <c r="C166" s="453"/>
      <c r="D166" s="454"/>
      <c r="E166" s="455"/>
      <c r="F166" s="454"/>
      <c r="G166" s="455"/>
      <c r="H166" s="454"/>
      <c r="I166" s="455"/>
      <c r="J166" s="454"/>
      <c r="K166" s="455"/>
      <c r="L166" s="454"/>
      <c r="M166" s="455"/>
      <c r="N166" s="454"/>
      <c r="O166" s="455"/>
      <c r="P166" s="454"/>
      <c r="Q166" s="455"/>
      <c r="R166" s="454"/>
      <c r="S166" s="455"/>
      <c r="T166" s="454"/>
      <c r="U166" s="455"/>
      <c r="V166" s="454"/>
      <c r="W166" s="455"/>
      <c r="X166" s="454"/>
      <c r="Y166" s="455"/>
      <c r="Z166" s="454"/>
      <c r="AA166" s="455"/>
      <c r="AB166" s="454"/>
      <c r="AC166" s="455"/>
      <c r="AD166" s="454"/>
      <c r="AE166" s="455"/>
      <c r="AF166" s="454"/>
      <c r="AG166" s="455"/>
    </row>
    <row r="167" spans="1:33" x14ac:dyDescent="0.2">
      <c r="A167" s="415">
        <f t="shared" si="5"/>
        <v>1257</v>
      </c>
      <c r="B167" s="416" t="str">
        <f t="shared" si="4"/>
        <v>Autumn</v>
      </c>
      <c r="C167" s="453"/>
      <c r="D167" s="454"/>
      <c r="E167" s="455"/>
      <c r="F167" s="454"/>
      <c r="G167" s="455"/>
      <c r="H167" s="454"/>
      <c r="I167" s="455"/>
      <c r="J167" s="454"/>
      <c r="K167" s="455"/>
      <c r="L167" s="454"/>
      <c r="M167" s="455"/>
      <c r="N167" s="454"/>
      <c r="O167" s="455"/>
      <c r="P167" s="454"/>
      <c r="Q167" s="455"/>
      <c r="R167" s="454"/>
      <c r="S167" s="455"/>
      <c r="T167" s="454"/>
      <c r="U167" s="455"/>
      <c r="V167" s="454"/>
      <c r="W167" s="455"/>
      <c r="X167" s="454"/>
      <c r="Y167" s="455"/>
      <c r="Z167" s="454"/>
      <c r="AA167" s="455"/>
      <c r="AB167" s="454"/>
      <c r="AC167" s="455"/>
      <c r="AD167" s="454"/>
      <c r="AE167" s="455"/>
      <c r="AF167" s="454"/>
      <c r="AG167" s="455"/>
    </row>
    <row r="168" spans="1:33" x14ac:dyDescent="0.2">
      <c r="A168" s="415">
        <f t="shared" si="5"/>
        <v>1258</v>
      </c>
      <c r="B168" s="416" t="str">
        <f t="shared" si="4"/>
        <v>Winter</v>
      </c>
      <c r="C168" s="453"/>
      <c r="D168" s="454"/>
      <c r="E168" s="455"/>
      <c r="F168" s="454"/>
      <c r="G168" s="455"/>
      <c r="H168" s="454"/>
      <c r="I168" s="455"/>
      <c r="J168" s="454"/>
      <c r="K168" s="455"/>
      <c r="L168" s="454"/>
      <c r="M168" s="455"/>
      <c r="N168" s="454"/>
      <c r="O168" s="455"/>
      <c r="P168" s="454"/>
      <c r="Q168" s="455"/>
      <c r="R168" s="454"/>
      <c r="S168" s="455"/>
      <c r="T168" s="454"/>
      <c r="U168" s="455"/>
      <c r="V168" s="454"/>
      <c r="W168" s="455"/>
      <c r="X168" s="454"/>
      <c r="Y168" s="455"/>
      <c r="Z168" s="454"/>
      <c r="AA168" s="455"/>
      <c r="AB168" s="454"/>
      <c r="AC168" s="455"/>
      <c r="AD168" s="454"/>
      <c r="AE168" s="455"/>
      <c r="AF168" s="454"/>
      <c r="AG168" s="455"/>
    </row>
    <row r="169" spans="1:33" x14ac:dyDescent="0.2">
      <c r="A169" s="415">
        <f t="shared" si="5"/>
        <v>1258</v>
      </c>
      <c r="B169" s="416" t="str">
        <f t="shared" si="4"/>
        <v>Spring</v>
      </c>
      <c r="C169" s="453"/>
      <c r="D169" s="454"/>
      <c r="E169" s="455"/>
      <c r="F169" s="454"/>
      <c r="G169" s="455"/>
      <c r="H169" s="454"/>
      <c r="I169" s="455"/>
      <c r="J169" s="454"/>
      <c r="K169" s="455"/>
      <c r="L169" s="454"/>
      <c r="M169" s="455"/>
      <c r="N169" s="454"/>
      <c r="O169" s="455"/>
      <c r="P169" s="454"/>
      <c r="Q169" s="455"/>
      <c r="R169" s="454"/>
      <c r="S169" s="455"/>
      <c r="T169" s="454"/>
      <c r="U169" s="455"/>
      <c r="V169" s="454"/>
      <c r="W169" s="455"/>
      <c r="X169" s="454"/>
      <c r="Y169" s="455"/>
      <c r="Z169" s="454"/>
      <c r="AA169" s="455"/>
      <c r="AB169" s="454"/>
      <c r="AC169" s="455"/>
      <c r="AD169" s="454"/>
      <c r="AE169" s="455"/>
      <c r="AF169" s="454"/>
      <c r="AG169" s="455"/>
    </row>
    <row r="170" spans="1:33" x14ac:dyDescent="0.2">
      <c r="A170" s="415">
        <f t="shared" si="5"/>
        <v>1258</v>
      </c>
      <c r="B170" s="416" t="str">
        <f t="shared" si="4"/>
        <v>Summer</v>
      </c>
      <c r="C170" s="453"/>
      <c r="D170" s="454"/>
      <c r="E170" s="455"/>
      <c r="F170" s="454"/>
      <c r="G170" s="455"/>
      <c r="H170" s="454"/>
      <c r="I170" s="455"/>
      <c r="J170" s="454"/>
      <c r="K170" s="455"/>
      <c r="L170" s="454"/>
      <c r="M170" s="455"/>
      <c r="N170" s="454"/>
      <c r="O170" s="455"/>
      <c r="P170" s="454"/>
      <c r="Q170" s="455"/>
      <c r="R170" s="454"/>
      <c r="S170" s="455"/>
      <c r="T170" s="454"/>
      <c r="U170" s="455"/>
      <c r="V170" s="454"/>
      <c r="W170" s="455"/>
      <c r="X170" s="454"/>
      <c r="Y170" s="455"/>
      <c r="Z170" s="454"/>
      <c r="AA170" s="455"/>
      <c r="AB170" s="454"/>
      <c r="AC170" s="455"/>
      <c r="AD170" s="454"/>
      <c r="AE170" s="455"/>
      <c r="AF170" s="454"/>
      <c r="AG170" s="455"/>
    </row>
    <row r="171" spans="1:33" x14ac:dyDescent="0.2">
      <c r="A171" s="415">
        <f t="shared" si="5"/>
        <v>1258</v>
      </c>
      <c r="B171" s="416" t="str">
        <f t="shared" ref="B171:B234" si="6">IF(B170="spring","Summer",IF(B170="Summer","Autumn",IF(B170="Autumn","Winter",IF(B170="Winter","Spring"," "))))</f>
        <v>Autumn</v>
      </c>
      <c r="C171" s="453"/>
      <c r="D171" s="454"/>
      <c r="E171" s="455"/>
      <c r="F171" s="454"/>
      <c r="G171" s="455"/>
      <c r="H171" s="454"/>
      <c r="I171" s="455"/>
      <c r="J171" s="454"/>
      <c r="K171" s="455"/>
      <c r="L171" s="454"/>
      <c r="M171" s="455"/>
      <c r="N171" s="454"/>
      <c r="O171" s="455"/>
      <c r="P171" s="454"/>
      <c r="Q171" s="455"/>
      <c r="R171" s="454"/>
      <c r="S171" s="455"/>
      <c r="T171" s="454"/>
      <c r="U171" s="455"/>
      <c r="V171" s="454"/>
      <c r="W171" s="455"/>
      <c r="X171" s="454"/>
      <c r="Y171" s="455"/>
      <c r="Z171" s="454"/>
      <c r="AA171" s="455"/>
      <c r="AB171" s="454"/>
      <c r="AC171" s="455"/>
      <c r="AD171" s="454"/>
      <c r="AE171" s="455"/>
      <c r="AF171" s="454"/>
      <c r="AG171" s="455"/>
    </row>
    <row r="172" spans="1:33" x14ac:dyDescent="0.2">
      <c r="A172" s="415">
        <f t="shared" si="5"/>
        <v>1259</v>
      </c>
      <c r="B172" s="416" t="str">
        <f t="shared" si="6"/>
        <v>Winter</v>
      </c>
      <c r="C172" s="453"/>
      <c r="D172" s="454"/>
      <c r="E172" s="455"/>
      <c r="F172" s="454"/>
      <c r="G172" s="455"/>
      <c r="H172" s="454"/>
      <c r="I172" s="455"/>
      <c r="J172" s="454"/>
      <c r="K172" s="455"/>
      <c r="L172" s="454"/>
      <c r="M172" s="455"/>
      <c r="N172" s="454"/>
      <c r="O172" s="455"/>
      <c r="P172" s="454"/>
      <c r="Q172" s="455"/>
      <c r="R172" s="454"/>
      <c r="S172" s="455"/>
      <c r="T172" s="454"/>
      <c r="U172" s="455"/>
      <c r="V172" s="454"/>
      <c r="W172" s="455"/>
      <c r="X172" s="454"/>
      <c r="Y172" s="455"/>
      <c r="Z172" s="454"/>
      <c r="AA172" s="455"/>
      <c r="AB172" s="454"/>
      <c r="AC172" s="455"/>
      <c r="AD172" s="454"/>
      <c r="AE172" s="455"/>
      <c r="AF172" s="454"/>
      <c r="AG172" s="455"/>
    </row>
    <row r="173" spans="1:33" x14ac:dyDescent="0.2">
      <c r="A173" s="415">
        <f t="shared" si="5"/>
        <v>1259</v>
      </c>
      <c r="B173" s="416" t="str">
        <f t="shared" si="6"/>
        <v>Spring</v>
      </c>
      <c r="C173" s="453"/>
      <c r="D173" s="454"/>
      <c r="E173" s="455"/>
      <c r="F173" s="454"/>
      <c r="G173" s="455"/>
      <c r="H173" s="454"/>
      <c r="I173" s="455"/>
      <c r="J173" s="454"/>
      <c r="K173" s="455"/>
      <c r="L173" s="454"/>
      <c r="M173" s="455"/>
      <c r="N173" s="454"/>
      <c r="O173" s="455"/>
      <c r="P173" s="454"/>
      <c r="Q173" s="455"/>
      <c r="R173" s="454"/>
      <c r="S173" s="455"/>
      <c r="T173" s="454"/>
      <c r="U173" s="455"/>
      <c r="V173" s="454"/>
      <c r="W173" s="455"/>
      <c r="X173" s="454"/>
      <c r="Y173" s="455"/>
      <c r="Z173" s="454"/>
      <c r="AA173" s="455"/>
      <c r="AB173" s="454"/>
      <c r="AC173" s="455"/>
      <c r="AD173" s="454"/>
      <c r="AE173" s="455"/>
      <c r="AF173" s="454"/>
      <c r="AG173" s="455"/>
    </row>
    <row r="174" spans="1:33" x14ac:dyDescent="0.2">
      <c r="A174" s="415">
        <f t="shared" si="5"/>
        <v>1259</v>
      </c>
      <c r="B174" s="416" t="str">
        <f t="shared" si="6"/>
        <v>Summer</v>
      </c>
      <c r="C174" s="453"/>
      <c r="D174" s="454"/>
      <c r="E174" s="455"/>
      <c r="F174" s="454"/>
      <c r="G174" s="455"/>
      <c r="H174" s="454"/>
      <c r="I174" s="455"/>
      <c r="J174" s="454"/>
      <c r="K174" s="455"/>
      <c r="L174" s="454"/>
      <c r="M174" s="455"/>
      <c r="N174" s="454"/>
      <c r="O174" s="455"/>
      <c r="P174" s="454"/>
      <c r="Q174" s="455"/>
      <c r="R174" s="454"/>
      <c r="S174" s="455"/>
      <c r="T174" s="454"/>
      <c r="U174" s="455"/>
      <c r="V174" s="454"/>
      <c r="W174" s="455"/>
      <c r="X174" s="454"/>
      <c r="Y174" s="455"/>
      <c r="Z174" s="454"/>
      <c r="AA174" s="455"/>
      <c r="AB174" s="454"/>
      <c r="AC174" s="455"/>
      <c r="AD174" s="454"/>
      <c r="AE174" s="455"/>
      <c r="AF174" s="454"/>
      <c r="AG174" s="455"/>
    </row>
    <row r="175" spans="1:33" x14ac:dyDescent="0.2">
      <c r="A175" s="415">
        <f t="shared" si="5"/>
        <v>1259</v>
      </c>
      <c r="B175" s="416" t="str">
        <f t="shared" si="6"/>
        <v>Autumn</v>
      </c>
      <c r="C175" s="453"/>
      <c r="D175" s="454"/>
      <c r="E175" s="455"/>
      <c r="F175" s="454"/>
      <c r="G175" s="455"/>
      <c r="H175" s="454"/>
      <c r="I175" s="455"/>
      <c r="J175" s="454"/>
      <c r="K175" s="455"/>
      <c r="L175" s="454"/>
      <c r="M175" s="455"/>
      <c r="N175" s="454"/>
      <c r="O175" s="455"/>
      <c r="P175" s="454"/>
      <c r="Q175" s="455"/>
      <c r="R175" s="454"/>
      <c r="S175" s="455"/>
      <c r="T175" s="454"/>
      <c r="U175" s="455"/>
      <c r="V175" s="454"/>
      <c r="W175" s="455"/>
      <c r="X175" s="454"/>
      <c r="Y175" s="455"/>
      <c r="Z175" s="454"/>
      <c r="AA175" s="455"/>
      <c r="AB175" s="454"/>
      <c r="AC175" s="455"/>
      <c r="AD175" s="454"/>
      <c r="AE175" s="455"/>
      <c r="AF175" s="454"/>
      <c r="AG175" s="455"/>
    </row>
    <row r="176" spans="1:33" x14ac:dyDescent="0.2">
      <c r="A176" s="415">
        <f t="shared" si="5"/>
        <v>1260</v>
      </c>
      <c r="B176" s="416" t="str">
        <f t="shared" si="6"/>
        <v>Winter</v>
      </c>
      <c r="C176" s="453"/>
      <c r="D176" s="454"/>
      <c r="E176" s="455"/>
      <c r="F176" s="454"/>
      <c r="G176" s="455"/>
      <c r="H176" s="454"/>
      <c r="I176" s="455"/>
      <c r="J176" s="454"/>
      <c r="K176" s="455"/>
      <c r="L176" s="454"/>
      <c r="M176" s="455"/>
      <c r="N176" s="454"/>
      <c r="O176" s="455"/>
      <c r="P176" s="454"/>
      <c r="Q176" s="455"/>
      <c r="R176" s="454"/>
      <c r="S176" s="455"/>
      <c r="T176" s="454"/>
      <c r="U176" s="455"/>
      <c r="V176" s="454"/>
      <c r="W176" s="455"/>
      <c r="X176" s="454"/>
      <c r="Y176" s="455"/>
      <c r="Z176" s="454"/>
      <c r="AA176" s="455"/>
      <c r="AB176" s="454"/>
      <c r="AC176" s="455"/>
      <c r="AD176" s="454"/>
      <c r="AE176" s="455"/>
      <c r="AF176" s="454"/>
      <c r="AG176" s="455"/>
    </row>
    <row r="177" spans="1:33" x14ac:dyDescent="0.2">
      <c r="A177" s="415">
        <f t="shared" si="5"/>
        <v>1260</v>
      </c>
      <c r="B177" s="416" t="str">
        <f t="shared" si="6"/>
        <v>Spring</v>
      </c>
      <c r="C177" s="453"/>
      <c r="D177" s="454"/>
      <c r="E177" s="455"/>
      <c r="F177" s="454"/>
      <c r="G177" s="455"/>
      <c r="H177" s="454"/>
      <c r="I177" s="455"/>
      <c r="J177" s="454"/>
      <c r="K177" s="455"/>
      <c r="L177" s="454"/>
      <c r="M177" s="455"/>
      <c r="N177" s="454"/>
      <c r="O177" s="455"/>
      <c r="P177" s="454"/>
      <c r="Q177" s="455"/>
      <c r="R177" s="454"/>
      <c r="S177" s="455"/>
      <c r="T177" s="454"/>
      <c r="U177" s="455"/>
      <c r="V177" s="454"/>
      <c r="W177" s="455"/>
      <c r="X177" s="454"/>
      <c r="Y177" s="455"/>
      <c r="Z177" s="454"/>
      <c r="AA177" s="455"/>
      <c r="AB177" s="454"/>
      <c r="AC177" s="455"/>
      <c r="AD177" s="454"/>
      <c r="AE177" s="455"/>
      <c r="AF177" s="454"/>
      <c r="AG177" s="455"/>
    </row>
    <row r="178" spans="1:33" x14ac:dyDescent="0.2">
      <c r="A178" s="415">
        <f t="shared" si="5"/>
        <v>1260</v>
      </c>
      <c r="B178" s="416" t="str">
        <f t="shared" si="6"/>
        <v>Summer</v>
      </c>
      <c r="C178" s="453"/>
      <c r="D178" s="454"/>
      <c r="E178" s="455"/>
      <c r="F178" s="454"/>
      <c r="G178" s="455"/>
      <c r="H178" s="454"/>
      <c r="I178" s="455"/>
      <c r="J178" s="454"/>
      <c r="K178" s="455"/>
      <c r="L178" s="454"/>
      <c r="M178" s="455"/>
      <c r="N178" s="454"/>
      <c r="O178" s="455"/>
      <c r="P178" s="454"/>
      <c r="Q178" s="455"/>
      <c r="R178" s="454"/>
      <c r="S178" s="455"/>
      <c r="T178" s="454"/>
      <c r="U178" s="455"/>
      <c r="V178" s="454"/>
      <c r="W178" s="455"/>
      <c r="X178" s="454"/>
      <c r="Y178" s="455"/>
      <c r="Z178" s="454"/>
      <c r="AA178" s="455"/>
      <c r="AB178" s="454"/>
      <c r="AC178" s="455"/>
      <c r="AD178" s="454"/>
      <c r="AE178" s="455"/>
      <c r="AF178" s="454"/>
      <c r="AG178" s="455"/>
    </row>
    <row r="179" spans="1:33" x14ac:dyDescent="0.2">
      <c r="A179" s="415">
        <f t="shared" si="5"/>
        <v>1260</v>
      </c>
      <c r="B179" s="416" t="str">
        <f t="shared" si="6"/>
        <v>Autumn</v>
      </c>
      <c r="C179" s="453"/>
      <c r="D179" s="454"/>
      <c r="E179" s="455"/>
      <c r="F179" s="454"/>
      <c r="G179" s="455"/>
      <c r="H179" s="454"/>
      <c r="I179" s="455"/>
      <c r="J179" s="454"/>
      <c r="K179" s="455"/>
      <c r="L179" s="454"/>
      <c r="M179" s="455"/>
      <c r="N179" s="454"/>
      <c r="O179" s="455"/>
      <c r="P179" s="454"/>
      <c r="Q179" s="455"/>
      <c r="R179" s="454"/>
      <c r="S179" s="455"/>
      <c r="T179" s="454"/>
      <c r="U179" s="455"/>
      <c r="V179" s="454"/>
      <c r="W179" s="455"/>
      <c r="X179" s="454"/>
      <c r="Y179" s="455"/>
      <c r="Z179" s="454"/>
      <c r="AA179" s="455"/>
      <c r="AB179" s="454"/>
      <c r="AC179" s="455"/>
      <c r="AD179" s="454"/>
      <c r="AE179" s="455"/>
      <c r="AF179" s="454"/>
      <c r="AG179" s="455"/>
    </row>
    <row r="180" spans="1:33" x14ac:dyDescent="0.2">
      <c r="A180" s="415">
        <f t="shared" si="5"/>
        <v>1261</v>
      </c>
      <c r="B180" s="416" t="str">
        <f t="shared" si="6"/>
        <v>Winter</v>
      </c>
      <c r="C180" s="453"/>
      <c r="D180" s="454"/>
      <c r="E180" s="455"/>
      <c r="F180" s="454"/>
      <c r="G180" s="455"/>
      <c r="H180" s="454"/>
      <c r="I180" s="455"/>
      <c r="J180" s="454"/>
      <c r="K180" s="455"/>
      <c r="L180" s="454"/>
      <c r="M180" s="455"/>
      <c r="N180" s="454"/>
      <c r="O180" s="455"/>
      <c r="P180" s="454"/>
      <c r="Q180" s="455"/>
      <c r="R180" s="454"/>
      <c r="S180" s="455"/>
      <c r="T180" s="454"/>
      <c r="U180" s="455"/>
      <c r="V180" s="454"/>
      <c r="W180" s="455"/>
      <c r="X180" s="454"/>
      <c r="Y180" s="455"/>
      <c r="Z180" s="454"/>
      <c r="AA180" s="455"/>
      <c r="AB180" s="454"/>
      <c r="AC180" s="455"/>
      <c r="AD180" s="454"/>
      <c r="AE180" s="455"/>
      <c r="AF180" s="454"/>
      <c r="AG180" s="455"/>
    </row>
    <row r="181" spans="1:33" x14ac:dyDescent="0.2">
      <c r="A181" s="415">
        <f t="shared" si="5"/>
        <v>1261</v>
      </c>
      <c r="B181" s="416" t="str">
        <f t="shared" si="6"/>
        <v>Spring</v>
      </c>
      <c r="C181" s="453"/>
      <c r="D181" s="454"/>
      <c r="E181" s="455"/>
      <c r="F181" s="454"/>
      <c r="G181" s="455"/>
      <c r="H181" s="454"/>
      <c r="I181" s="455"/>
      <c r="J181" s="454"/>
      <c r="K181" s="455"/>
      <c r="L181" s="454"/>
      <c r="M181" s="455"/>
      <c r="N181" s="454"/>
      <c r="O181" s="455"/>
      <c r="P181" s="454"/>
      <c r="Q181" s="455"/>
      <c r="R181" s="454"/>
      <c r="S181" s="455"/>
      <c r="T181" s="454"/>
      <c r="U181" s="455"/>
      <c r="V181" s="454"/>
      <c r="W181" s="455"/>
      <c r="X181" s="454"/>
      <c r="Y181" s="455"/>
      <c r="Z181" s="454"/>
      <c r="AA181" s="455"/>
      <c r="AB181" s="454"/>
      <c r="AC181" s="455"/>
      <c r="AD181" s="454"/>
      <c r="AE181" s="455"/>
      <c r="AF181" s="454"/>
      <c r="AG181" s="455"/>
    </row>
    <row r="182" spans="1:33" x14ac:dyDescent="0.2">
      <c r="A182" s="415">
        <f t="shared" si="5"/>
        <v>1261</v>
      </c>
      <c r="B182" s="416" t="str">
        <f t="shared" si="6"/>
        <v>Summer</v>
      </c>
      <c r="C182" s="453"/>
      <c r="D182" s="454"/>
      <c r="E182" s="455"/>
      <c r="F182" s="454"/>
      <c r="G182" s="455"/>
      <c r="H182" s="454"/>
      <c r="I182" s="455"/>
      <c r="J182" s="454"/>
      <c r="K182" s="455"/>
      <c r="L182" s="454"/>
      <c r="M182" s="455"/>
      <c r="N182" s="454"/>
      <c r="O182" s="455"/>
      <c r="P182" s="454"/>
      <c r="Q182" s="455"/>
      <c r="R182" s="454"/>
      <c r="S182" s="455"/>
      <c r="T182" s="454"/>
      <c r="U182" s="455"/>
      <c r="V182" s="454"/>
      <c r="W182" s="455"/>
      <c r="X182" s="454"/>
      <c r="Y182" s="455"/>
      <c r="Z182" s="454"/>
      <c r="AA182" s="455"/>
      <c r="AB182" s="454"/>
      <c r="AC182" s="455"/>
      <c r="AD182" s="454"/>
      <c r="AE182" s="455"/>
      <c r="AF182" s="454"/>
      <c r="AG182" s="455"/>
    </row>
    <row r="183" spans="1:33" x14ac:dyDescent="0.2">
      <c r="A183" s="415">
        <f t="shared" si="5"/>
        <v>1261</v>
      </c>
      <c r="B183" s="416" t="str">
        <f t="shared" si="6"/>
        <v>Autumn</v>
      </c>
      <c r="C183" s="453"/>
      <c r="D183" s="454"/>
      <c r="E183" s="455"/>
      <c r="F183" s="454"/>
      <c r="G183" s="455"/>
      <c r="H183" s="454"/>
      <c r="I183" s="455"/>
      <c r="J183" s="454"/>
      <c r="K183" s="455"/>
      <c r="L183" s="454"/>
      <c r="M183" s="455"/>
      <c r="N183" s="454"/>
      <c r="O183" s="455"/>
      <c r="P183" s="454"/>
      <c r="Q183" s="455"/>
      <c r="R183" s="454"/>
      <c r="S183" s="455"/>
      <c r="T183" s="454"/>
      <c r="U183" s="455"/>
      <c r="V183" s="454"/>
      <c r="W183" s="455"/>
      <c r="X183" s="454"/>
      <c r="Y183" s="455"/>
      <c r="Z183" s="454"/>
      <c r="AA183" s="455"/>
      <c r="AB183" s="454"/>
      <c r="AC183" s="455"/>
      <c r="AD183" s="454"/>
      <c r="AE183" s="455"/>
      <c r="AF183" s="454"/>
      <c r="AG183" s="455"/>
    </row>
    <row r="184" spans="1:33" x14ac:dyDescent="0.2">
      <c r="A184" s="415">
        <f t="shared" si="5"/>
        <v>1262</v>
      </c>
      <c r="B184" s="416" t="str">
        <f t="shared" si="6"/>
        <v>Winter</v>
      </c>
      <c r="C184" s="453"/>
      <c r="D184" s="454"/>
      <c r="E184" s="455"/>
      <c r="F184" s="454"/>
      <c r="G184" s="455"/>
      <c r="H184" s="454"/>
      <c r="I184" s="455"/>
      <c r="J184" s="454"/>
      <c r="K184" s="455"/>
      <c r="L184" s="454"/>
      <c r="M184" s="455"/>
      <c r="N184" s="454"/>
      <c r="O184" s="455"/>
      <c r="P184" s="454"/>
      <c r="Q184" s="455"/>
      <c r="R184" s="454"/>
      <c r="S184" s="455"/>
      <c r="T184" s="454"/>
      <c r="U184" s="455"/>
      <c r="V184" s="454"/>
      <c r="W184" s="455"/>
      <c r="X184" s="454"/>
      <c r="Y184" s="455"/>
      <c r="Z184" s="454"/>
      <c r="AA184" s="455"/>
      <c r="AB184" s="454"/>
      <c r="AC184" s="455"/>
      <c r="AD184" s="454"/>
      <c r="AE184" s="455"/>
      <c r="AF184" s="454"/>
      <c r="AG184" s="455"/>
    </row>
    <row r="185" spans="1:33" x14ac:dyDescent="0.2">
      <c r="A185" s="415">
        <f t="shared" si="5"/>
        <v>1262</v>
      </c>
      <c r="B185" s="416" t="str">
        <f t="shared" si="6"/>
        <v>Spring</v>
      </c>
      <c r="C185" s="453"/>
      <c r="D185" s="454"/>
      <c r="E185" s="455"/>
      <c r="F185" s="454"/>
      <c r="G185" s="455"/>
      <c r="H185" s="454"/>
      <c r="I185" s="455"/>
      <c r="J185" s="454"/>
      <c r="K185" s="455"/>
      <c r="L185" s="454"/>
      <c r="M185" s="455"/>
      <c r="N185" s="454"/>
      <c r="O185" s="455"/>
      <c r="P185" s="454"/>
      <c r="Q185" s="455"/>
      <c r="R185" s="454"/>
      <c r="S185" s="455"/>
      <c r="T185" s="454"/>
      <c r="U185" s="455"/>
      <c r="V185" s="454"/>
      <c r="W185" s="455"/>
      <c r="X185" s="454"/>
      <c r="Y185" s="455"/>
      <c r="Z185" s="454"/>
      <c r="AA185" s="455"/>
      <c r="AB185" s="454"/>
      <c r="AC185" s="455"/>
      <c r="AD185" s="454"/>
      <c r="AE185" s="455"/>
      <c r="AF185" s="454"/>
      <c r="AG185" s="455"/>
    </row>
    <row r="186" spans="1:33" x14ac:dyDescent="0.2">
      <c r="A186" s="415">
        <f t="shared" si="5"/>
        <v>1262</v>
      </c>
      <c r="B186" s="416" t="str">
        <f t="shared" si="6"/>
        <v>Summer</v>
      </c>
      <c r="C186" s="453"/>
      <c r="D186" s="454"/>
      <c r="E186" s="455"/>
      <c r="F186" s="454"/>
      <c r="G186" s="455"/>
      <c r="H186" s="454"/>
      <c r="I186" s="455"/>
      <c r="J186" s="454"/>
      <c r="K186" s="455"/>
      <c r="L186" s="454"/>
      <c r="M186" s="455"/>
      <c r="N186" s="454"/>
      <c r="O186" s="455"/>
      <c r="P186" s="454"/>
      <c r="Q186" s="455"/>
      <c r="R186" s="454"/>
      <c r="S186" s="455"/>
      <c r="T186" s="454"/>
      <c r="U186" s="455"/>
      <c r="V186" s="454"/>
      <c r="W186" s="455"/>
      <c r="X186" s="454"/>
      <c r="Y186" s="455"/>
      <c r="Z186" s="454"/>
      <c r="AA186" s="455"/>
      <c r="AB186" s="454"/>
      <c r="AC186" s="455"/>
      <c r="AD186" s="454"/>
      <c r="AE186" s="455"/>
      <c r="AF186" s="454"/>
      <c r="AG186" s="455"/>
    </row>
    <row r="187" spans="1:33" x14ac:dyDescent="0.2">
      <c r="A187" s="415">
        <f t="shared" si="5"/>
        <v>1262</v>
      </c>
      <c r="B187" s="416" t="str">
        <f t="shared" si="6"/>
        <v>Autumn</v>
      </c>
      <c r="C187" s="453"/>
      <c r="D187" s="454"/>
      <c r="E187" s="455"/>
      <c r="F187" s="454"/>
      <c r="G187" s="455"/>
      <c r="H187" s="454"/>
      <c r="I187" s="455"/>
      <c r="J187" s="454"/>
      <c r="K187" s="455"/>
      <c r="L187" s="454"/>
      <c r="M187" s="455"/>
      <c r="N187" s="454"/>
      <c r="O187" s="455"/>
      <c r="P187" s="454"/>
      <c r="Q187" s="455"/>
      <c r="R187" s="454"/>
      <c r="S187" s="455"/>
      <c r="T187" s="454"/>
      <c r="U187" s="455"/>
      <c r="V187" s="454"/>
      <c r="W187" s="455"/>
      <c r="X187" s="454"/>
      <c r="Y187" s="455"/>
      <c r="Z187" s="454"/>
      <c r="AA187" s="455"/>
      <c r="AB187" s="454"/>
      <c r="AC187" s="455"/>
      <c r="AD187" s="454"/>
      <c r="AE187" s="455"/>
      <c r="AF187" s="454"/>
      <c r="AG187" s="455"/>
    </row>
    <row r="188" spans="1:33" x14ac:dyDescent="0.2">
      <c r="A188" s="415">
        <f t="shared" si="5"/>
        <v>1263</v>
      </c>
      <c r="B188" s="416" t="str">
        <f t="shared" si="6"/>
        <v>Winter</v>
      </c>
      <c r="C188" s="453"/>
      <c r="D188" s="454"/>
      <c r="E188" s="455"/>
      <c r="F188" s="454"/>
      <c r="G188" s="455"/>
      <c r="H188" s="454"/>
      <c r="I188" s="455"/>
      <c r="J188" s="454"/>
      <c r="K188" s="455"/>
      <c r="L188" s="454"/>
      <c r="M188" s="455"/>
      <c r="N188" s="454"/>
      <c r="O188" s="455"/>
      <c r="P188" s="454"/>
      <c r="Q188" s="455"/>
      <c r="R188" s="454"/>
      <c r="S188" s="455"/>
      <c r="T188" s="454"/>
      <c r="U188" s="455"/>
      <c r="V188" s="454"/>
      <c r="W188" s="455"/>
      <c r="X188" s="454"/>
      <c r="Y188" s="455"/>
      <c r="Z188" s="454"/>
      <c r="AA188" s="455"/>
      <c r="AB188" s="454"/>
      <c r="AC188" s="455"/>
      <c r="AD188" s="454"/>
      <c r="AE188" s="455"/>
      <c r="AF188" s="454"/>
      <c r="AG188" s="455"/>
    </row>
    <row r="189" spans="1:33" x14ac:dyDescent="0.2">
      <c r="A189" s="415">
        <f t="shared" si="5"/>
        <v>1263</v>
      </c>
      <c r="B189" s="416" t="str">
        <f t="shared" si="6"/>
        <v>Spring</v>
      </c>
      <c r="C189" s="453"/>
      <c r="D189" s="454"/>
      <c r="E189" s="455"/>
      <c r="F189" s="454"/>
      <c r="G189" s="455"/>
      <c r="H189" s="454"/>
      <c r="I189" s="455"/>
      <c r="J189" s="454"/>
      <c r="K189" s="455"/>
      <c r="L189" s="454"/>
      <c r="M189" s="455"/>
      <c r="N189" s="454"/>
      <c r="O189" s="455"/>
      <c r="P189" s="454"/>
      <c r="Q189" s="455"/>
      <c r="R189" s="454"/>
      <c r="S189" s="455"/>
      <c r="T189" s="454"/>
      <c r="U189" s="455"/>
      <c r="V189" s="454"/>
      <c r="W189" s="455"/>
      <c r="X189" s="454"/>
      <c r="Y189" s="455"/>
      <c r="Z189" s="454"/>
      <c r="AA189" s="455"/>
      <c r="AB189" s="454"/>
      <c r="AC189" s="455"/>
      <c r="AD189" s="454"/>
      <c r="AE189" s="455"/>
      <c r="AF189" s="454"/>
      <c r="AG189" s="455"/>
    </row>
    <row r="190" spans="1:33" x14ac:dyDescent="0.2">
      <c r="A190" s="415">
        <f t="shared" si="5"/>
        <v>1263</v>
      </c>
      <c r="B190" s="416" t="str">
        <f t="shared" si="6"/>
        <v>Summer</v>
      </c>
      <c r="C190" s="453"/>
      <c r="D190" s="454"/>
      <c r="E190" s="455"/>
      <c r="F190" s="454"/>
      <c r="G190" s="455"/>
      <c r="H190" s="454"/>
      <c r="I190" s="455"/>
      <c r="J190" s="454"/>
      <c r="K190" s="455"/>
      <c r="L190" s="454"/>
      <c r="M190" s="455"/>
      <c r="N190" s="454"/>
      <c r="O190" s="455"/>
      <c r="P190" s="454"/>
      <c r="Q190" s="455"/>
      <c r="R190" s="454"/>
      <c r="S190" s="455"/>
      <c r="T190" s="454"/>
      <c r="U190" s="455"/>
      <c r="V190" s="454"/>
      <c r="W190" s="455"/>
      <c r="X190" s="454"/>
      <c r="Y190" s="455"/>
      <c r="Z190" s="454"/>
      <c r="AA190" s="455"/>
      <c r="AB190" s="454"/>
      <c r="AC190" s="455"/>
      <c r="AD190" s="454"/>
      <c r="AE190" s="455"/>
      <c r="AF190" s="454"/>
      <c r="AG190" s="455"/>
    </row>
    <row r="191" spans="1:33" x14ac:dyDescent="0.2">
      <c r="A191" s="415">
        <f t="shared" si="5"/>
        <v>1263</v>
      </c>
      <c r="B191" s="416" t="str">
        <f t="shared" si="6"/>
        <v>Autumn</v>
      </c>
      <c r="C191" s="453"/>
      <c r="D191" s="454"/>
      <c r="E191" s="455"/>
      <c r="F191" s="454"/>
      <c r="G191" s="455"/>
      <c r="H191" s="454"/>
      <c r="I191" s="455"/>
      <c r="J191" s="454"/>
      <c r="K191" s="455"/>
      <c r="L191" s="454"/>
      <c r="M191" s="455"/>
      <c r="N191" s="454"/>
      <c r="O191" s="455"/>
      <c r="P191" s="454"/>
      <c r="Q191" s="455"/>
      <c r="R191" s="454"/>
      <c r="S191" s="455"/>
      <c r="T191" s="454"/>
      <c r="U191" s="455"/>
      <c r="V191" s="454"/>
      <c r="W191" s="455"/>
      <c r="X191" s="454"/>
      <c r="Y191" s="455"/>
      <c r="Z191" s="454"/>
      <c r="AA191" s="455"/>
      <c r="AB191" s="454"/>
      <c r="AC191" s="455"/>
      <c r="AD191" s="454"/>
      <c r="AE191" s="455"/>
      <c r="AF191" s="454"/>
      <c r="AG191" s="455"/>
    </row>
    <row r="192" spans="1:33" x14ac:dyDescent="0.2">
      <c r="A192" s="415">
        <f t="shared" si="5"/>
        <v>1264</v>
      </c>
      <c r="B192" s="416" t="str">
        <f t="shared" si="6"/>
        <v>Winter</v>
      </c>
      <c r="C192" s="453"/>
      <c r="D192" s="454"/>
      <c r="E192" s="455"/>
      <c r="F192" s="454"/>
      <c r="G192" s="455"/>
      <c r="H192" s="454"/>
      <c r="I192" s="455"/>
      <c r="J192" s="454"/>
      <c r="K192" s="455"/>
      <c r="L192" s="454"/>
      <c r="M192" s="455"/>
      <c r="N192" s="454"/>
      <c r="O192" s="455"/>
      <c r="P192" s="454"/>
      <c r="Q192" s="455"/>
      <c r="R192" s="454"/>
      <c r="S192" s="455"/>
      <c r="T192" s="454"/>
      <c r="U192" s="455"/>
      <c r="V192" s="454"/>
      <c r="W192" s="455"/>
      <c r="X192" s="454"/>
      <c r="Y192" s="455"/>
      <c r="Z192" s="454"/>
      <c r="AA192" s="455"/>
      <c r="AB192" s="454"/>
      <c r="AC192" s="455"/>
      <c r="AD192" s="454"/>
      <c r="AE192" s="455"/>
      <c r="AF192" s="454"/>
      <c r="AG192" s="455"/>
    </row>
    <row r="193" spans="1:33" x14ac:dyDescent="0.2">
      <c r="A193" s="415">
        <f t="shared" si="5"/>
        <v>1264</v>
      </c>
      <c r="B193" s="416" t="str">
        <f t="shared" si="6"/>
        <v>Spring</v>
      </c>
      <c r="C193" s="453"/>
      <c r="D193" s="454"/>
      <c r="E193" s="455"/>
      <c r="F193" s="454"/>
      <c r="G193" s="455"/>
      <c r="H193" s="454"/>
      <c r="I193" s="455"/>
      <c r="J193" s="454"/>
      <c r="K193" s="455"/>
      <c r="L193" s="454"/>
      <c r="M193" s="455"/>
      <c r="N193" s="454"/>
      <c r="O193" s="455"/>
      <c r="P193" s="454"/>
      <c r="Q193" s="455"/>
      <c r="R193" s="454"/>
      <c r="S193" s="455"/>
      <c r="T193" s="454"/>
      <c r="U193" s="455"/>
      <c r="V193" s="454"/>
      <c r="W193" s="455"/>
      <c r="X193" s="454"/>
      <c r="Y193" s="455"/>
      <c r="Z193" s="454"/>
      <c r="AA193" s="455"/>
      <c r="AB193" s="454"/>
      <c r="AC193" s="455"/>
      <c r="AD193" s="454"/>
      <c r="AE193" s="455"/>
      <c r="AF193" s="454"/>
      <c r="AG193" s="455"/>
    </row>
    <row r="194" spans="1:33" x14ac:dyDescent="0.2">
      <c r="A194" s="415">
        <f t="shared" si="5"/>
        <v>1264</v>
      </c>
      <c r="B194" s="416" t="str">
        <f t="shared" si="6"/>
        <v>Summer</v>
      </c>
      <c r="C194" s="453"/>
      <c r="D194" s="454"/>
      <c r="E194" s="455"/>
      <c r="F194" s="454"/>
      <c r="G194" s="455"/>
      <c r="H194" s="454"/>
      <c r="I194" s="455"/>
      <c r="J194" s="454"/>
      <c r="K194" s="455"/>
      <c r="L194" s="454"/>
      <c r="M194" s="455"/>
      <c r="N194" s="454"/>
      <c r="O194" s="455"/>
      <c r="P194" s="454"/>
      <c r="Q194" s="455"/>
      <c r="R194" s="454"/>
      <c r="S194" s="455"/>
      <c r="T194" s="454"/>
      <c r="U194" s="455"/>
      <c r="V194" s="454"/>
      <c r="W194" s="455"/>
      <c r="X194" s="454"/>
      <c r="Y194" s="455"/>
      <c r="Z194" s="454"/>
      <c r="AA194" s="455"/>
      <c r="AB194" s="454"/>
      <c r="AC194" s="455"/>
      <c r="AD194" s="454"/>
      <c r="AE194" s="455"/>
      <c r="AF194" s="454"/>
      <c r="AG194" s="455"/>
    </row>
    <row r="195" spans="1:33" x14ac:dyDescent="0.2">
      <c r="A195" s="415">
        <f t="shared" si="5"/>
        <v>1264</v>
      </c>
      <c r="B195" s="416" t="str">
        <f t="shared" si="6"/>
        <v>Autumn</v>
      </c>
      <c r="C195" s="453"/>
      <c r="D195" s="454"/>
      <c r="E195" s="455"/>
      <c r="F195" s="454"/>
      <c r="G195" s="455"/>
      <c r="H195" s="454"/>
      <c r="I195" s="455"/>
      <c r="J195" s="454"/>
      <c r="K195" s="455"/>
      <c r="L195" s="454"/>
      <c r="M195" s="455"/>
      <c r="N195" s="454"/>
      <c r="O195" s="455"/>
      <c r="P195" s="454"/>
      <c r="Q195" s="455"/>
      <c r="R195" s="454"/>
      <c r="S195" s="455"/>
      <c r="T195" s="454"/>
      <c r="U195" s="455"/>
      <c r="V195" s="454"/>
      <c r="W195" s="455"/>
      <c r="X195" s="454"/>
      <c r="Y195" s="455"/>
      <c r="Z195" s="454"/>
      <c r="AA195" s="455"/>
      <c r="AB195" s="454"/>
      <c r="AC195" s="455"/>
      <c r="AD195" s="454"/>
      <c r="AE195" s="455"/>
      <c r="AF195" s="454"/>
      <c r="AG195" s="455"/>
    </row>
    <row r="196" spans="1:33" x14ac:dyDescent="0.2">
      <c r="A196" s="415">
        <f t="shared" si="5"/>
        <v>1265</v>
      </c>
      <c r="B196" s="416" t="str">
        <f t="shared" si="6"/>
        <v>Winter</v>
      </c>
      <c r="C196" s="453"/>
      <c r="D196" s="454"/>
      <c r="E196" s="455"/>
      <c r="F196" s="454"/>
      <c r="G196" s="455"/>
      <c r="H196" s="454"/>
      <c r="I196" s="455"/>
      <c r="J196" s="454"/>
      <c r="K196" s="455"/>
      <c r="L196" s="454"/>
      <c r="M196" s="455"/>
      <c r="N196" s="454"/>
      <c r="O196" s="455"/>
      <c r="P196" s="454"/>
      <c r="Q196" s="455"/>
      <c r="R196" s="454"/>
      <c r="S196" s="455"/>
      <c r="T196" s="454"/>
      <c r="U196" s="455"/>
      <c r="V196" s="454"/>
      <c r="W196" s="455"/>
      <c r="X196" s="454"/>
      <c r="Y196" s="455"/>
      <c r="Z196" s="454"/>
      <c r="AA196" s="455"/>
      <c r="AB196" s="454"/>
      <c r="AC196" s="455"/>
      <c r="AD196" s="454"/>
      <c r="AE196" s="455"/>
      <c r="AF196" s="454"/>
      <c r="AG196" s="455"/>
    </row>
    <row r="197" spans="1:33" x14ac:dyDescent="0.2">
      <c r="A197" s="415">
        <f t="shared" ref="A197:A260" si="7">IF(B196="Autumn",A196+1,A196)</f>
        <v>1265</v>
      </c>
      <c r="B197" s="416" t="str">
        <f t="shared" si="6"/>
        <v>Spring</v>
      </c>
      <c r="C197" s="453"/>
      <c r="D197" s="454"/>
      <c r="E197" s="455"/>
      <c r="F197" s="454"/>
      <c r="G197" s="455"/>
      <c r="H197" s="454"/>
      <c r="I197" s="455"/>
      <c r="J197" s="454"/>
      <c r="K197" s="455"/>
      <c r="L197" s="454"/>
      <c r="M197" s="455"/>
      <c r="N197" s="454"/>
      <c r="O197" s="455"/>
      <c r="P197" s="454"/>
      <c r="Q197" s="455"/>
      <c r="R197" s="454"/>
      <c r="S197" s="455"/>
      <c r="T197" s="454"/>
      <c r="U197" s="455"/>
      <c r="V197" s="454"/>
      <c r="W197" s="455"/>
      <c r="X197" s="454"/>
      <c r="Y197" s="455"/>
      <c r="Z197" s="454"/>
      <c r="AA197" s="455"/>
      <c r="AB197" s="454"/>
      <c r="AC197" s="455"/>
      <c r="AD197" s="454"/>
      <c r="AE197" s="455"/>
      <c r="AF197" s="454"/>
      <c r="AG197" s="455"/>
    </row>
    <row r="198" spans="1:33" x14ac:dyDescent="0.2">
      <c r="A198" s="415">
        <f t="shared" si="7"/>
        <v>1265</v>
      </c>
      <c r="B198" s="416" t="str">
        <f t="shared" si="6"/>
        <v>Summer</v>
      </c>
      <c r="C198" s="453"/>
      <c r="D198" s="454"/>
      <c r="E198" s="455"/>
      <c r="F198" s="454"/>
      <c r="G198" s="455"/>
      <c r="H198" s="454"/>
      <c r="I198" s="455"/>
      <c r="J198" s="454"/>
      <c r="K198" s="455"/>
      <c r="L198" s="454"/>
      <c r="M198" s="455"/>
      <c r="N198" s="454"/>
      <c r="O198" s="455"/>
      <c r="P198" s="454"/>
      <c r="Q198" s="455"/>
      <c r="R198" s="454"/>
      <c r="S198" s="455"/>
      <c r="T198" s="454"/>
      <c r="U198" s="455"/>
      <c r="V198" s="454"/>
      <c r="W198" s="455"/>
      <c r="X198" s="454"/>
      <c r="Y198" s="455"/>
      <c r="Z198" s="454"/>
      <c r="AA198" s="455"/>
      <c r="AB198" s="454"/>
      <c r="AC198" s="455"/>
      <c r="AD198" s="454"/>
      <c r="AE198" s="455"/>
      <c r="AF198" s="454"/>
      <c r="AG198" s="455"/>
    </row>
    <row r="199" spans="1:33" x14ac:dyDescent="0.2">
      <c r="A199" s="415">
        <f t="shared" si="7"/>
        <v>1265</v>
      </c>
      <c r="B199" s="416" t="str">
        <f t="shared" si="6"/>
        <v>Autumn</v>
      </c>
      <c r="C199" s="453"/>
      <c r="D199" s="454"/>
      <c r="E199" s="455"/>
      <c r="F199" s="454"/>
      <c r="G199" s="455"/>
      <c r="H199" s="454"/>
      <c r="I199" s="455"/>
      <c r="J199" s="454"/>
      <c r="K199" s="455"/>
      <c r="L199" s="454"/>
      <c r="M199" s="455"/>
      <c r="N199" s="454"/>
      <c r="O199" s="455"/>
      <c r="P199" s="454"/>
      <c r="Q199" s="455"/>
      <c r="R199" s="454"/>
      <c r="S199" s="455"/>
      <c r="T199" s="454"/>
      <c r="U199" s="455"/>
      <c r="V199" s="454"/>
      <c r="W199" s="455"/>
      <c r="X199" s="454"/>
      <c r="Y199" s="455"/>
      <c r="Z199" s="454"/>
      <c r="AA199" s="455"/>
      <c r="AB199" s="454"/>
      <c r="AC199" s="455"/>
      <c r="AD199" s="454"/>
      <c r="AE199" s="455"/>
      <c r="AF199" s="454"/>
      <c r="AG199" s="455"/>
    </row>
    <row r="200" spans="1:33" x14ac:dyDescent="0.2">
      <c r="A200" s="415">
        <f t="shared" si="7"/>
        <v>1266</v>
      </c>
      <c r="B200" s="416" t="str">
        <f t="shared" si="6"/>
        <v>Winter</v>
      </c>
      <c r="C200" s="453"/>
      <c r="D200" s="454"/>
      <c r="E200" s="455"/>
      <c r="F200" s="454"/>
      <c r="G200" s="455"/>
      <c r="H200" s="454"/>
      <c r="I200" s="455"/>
      <c r="J200" s="454"/>
      <c r="K200" s="455"/>
      <c r="L200" s="454"/>
      <c r="M200" s="455"/>
      <c r="N200" s="454"/>
      <c r="O200" s="455"/>
      <c r="P200" s="454"/>
      <c r="Q200" s="455"/>
      <c r="R200" s="454"/>
      <c r="S200" s="455"/>
      <c r="T200" s="454"/>
      <c r="U200" s="455"/>
      <c r="V200" s="454"/>
      <c r="W200" s="455"/>
      <c r="X200" s="454"/>
      <c r="Y200" s="455"/>
      <c r="Z200" s="454"/>
      <c r="AA200" s="455"/>
      <c r="AB200" s="454"/>
      <c r="AC200" s="455"/>
      <c r="AD200" s="454"/>
      <c r="AE200" s="455"/>
      <c r="AF200" s="454"/>
      <c r="AG200" s="455"/>
    </row>
    <row r="201" spans="1:33" x14ac:dyDescent="0.2">
      <c r="A201" s="415">
        <f t="shared" si="7"/>
        <v>1266</v>
      </c>
      <c r="B201" s="416" t="str">
        <f t="shared" si="6"/>
        <v>Spring</v>
      </c>
      <c r="C201" s="453"/>
      <c r="D201" s="454"/>
      <c r="E201" s="455"/>
      <c r="F201" s="454"/>
      <c r="G201" s="455"/>
      <c r="H201" s="454"/>
      <c r="I201" s="455"/>
      <c r="J201" s="454"/>
      <c r="K201" s="455"/>
      <c r="L201" s="454"/>
      <c r="M201" s="455"/>
      <c r="N201" s="454"/>
      <c r="O201" s="455"/>
      <c r="P201" s="454"/>
      <c r="Q201" s="455"/>
      <c r="R201" s="454"/>
      <c r="S201" s="455"/>
      <c r="T201" s="454"/>
      <c r="U201" s="455"/>
      <c r="V201" s="454"/>
      <c r="W201" s="455"/>
      <c r="X201" s="454"/>
      <c r="Y201" s="455"/>
      <c r="Z201" s="454"/>
      <c r="AA201" s="455"/>
      <c r="AB201" s="454"/>
      <c r="AC201" s="455"/>
      <c r="AD201" s="454"/>
      <c r="AE201" s="455"/>
      <c r="AF201" s="454"/>
      <c r="AG201" s="455"/>
    </row>
    <row r="202" spans="1:33" x14ac:dyDescent="0.2">
      <c r="A202" s="415">
        <f t="shared" si="7"/>
        <v>1266</v>
      </c>
      <c r="B202" s="416" t="str">
        <f t="shared" si="6"/>
        <v>Summer</v>
      </c>
      <c r="C202" s="453"/>
      <c r="D202" s="454"/>
      <c r="E202" s="455"/>
      <c r="F202" s="454"/>
      <c r="G202" s="455"/>
      <c r="H202" s="454"/>
      <c r="I202" s="455"/>
      <c r="J202" s="454"/>
      <c r="K202" s="455"/>
      <c r="L202" s="454"/>
      <c r="M202" s="455"/>
      <c r="N202" s="454"/>
      <c r="O202" s="455"/>
      <c r="P202" s="454"/>
      <c r="Q202" s="455"/>
      <c r="R202" s="454"/>
      <c r="S202" s="455"/>
      <c r="T202" s="454"/>
      <c r="U202" s="455"/>
      <c r="V202" s="454"/>
      <c r="W202" s="455"/>
      <c r="X202" s="454"/>
      <c r="Y202" s="455"/>
      <c r="Z202" s="454"/>
      <c r="AA202" s="455"/>
      <c r="AB202" s="454"/>
      <c r="AC202" s="455"/>
      <c r="AD202" s="454"/>
      <c r="AE202" s="455"/>
      <c r="AF202" s="454"/>
      <c r="AG202" s="455"/>
    </row>
    <row r="203" spans="1:33" x14ac:dyDescent="0.2">
      <c r="A203" s="415">
        <f t="shared" si="7"/>
        <v>1266</v>
      </c>
      <c r="B203" s="416" t="str">
        <f t="shared" si="6"/>
        <v>Autumn</v>
      </c>
      <c r="C203" s="453"/>
      <c r="D203" s="454"/>
      <c r="E203" s="455"/>
      <c r="F203" s="454"/>
      <c r="G203" s="455"/>
      <c r="H203" s="454"/>
      <c r="I203" s="455"/>
      <c r="J203" s="454"/>
      <c r="K203" s="455"/>
      <c r="L203" s="454"/>
      <c r="M203" s="455"/>
      <c r="N203" s="454"/>
      <c r="O203" s="455"/>
      <c r="P203" s="454"/>
      <c r="Q203" s="455"/>
      <c r="R203" s="454"/>
      <c r="S203" s="455"/>
      <c r="T203" s="454"/>
      <c r="U203" s="455"/>
      <c r="V203" s="454"/>
      <c r="W203" s="455"/>
      <c r="X203" s="454"/>
      <c r="Y203" s="455"/>
      <c r="Z203" s="454"/>
      <c r="AA203" s="455"/>
      <c r="AB203" s="454"/>
      <c r="AC203" s="455"/>
      <c r="AD203" s="454"/>
      <c r="AE203" s="455"/>
      <c r="AF203" s="454"/>
      <c r="AG203" s="455"/>
    </row>
    <row r="204" spans="1:33" x14ac:dyDescent="0.2">
      <c r="A204" s="415">
        <f t="shared" si="7"/>
        <v>1267</v>
      </c>
      <c r="B204" s="416" t="str">
        <f t="shared" si="6"/>
        <v>Winter</v>
      </c>
      <c r="C204" s="453"/>
      <c r="D204" s="454"/>
      <c r="E204" s="455"/>
      <c r="F204" s="454"/>
      <c r="G204" s="455"/>
      <c r="H204" s="454"/>
      <c r="I204" s="455"/>
      <c r="J204" s="454"/>
      <c r="K204" s="455"/>
      <c r="L204" s="454"/>
      <c r="M204" s="455"/>
      <c r="N204" s="454"/>
      <c r="O204" s="455"/>
      <c r="P204" s="454"/>
      <c r="Q204" s="455"/>
      <c r="R204" s="454"/>
      <c r="S204" s="455"/>
      <c r="T204" s="454"/>
      <c r="U204" s="455"/>
      <c r="V204" s="454"/>
      <c r="W204" s="455"/>
      <c r="X204" s="454"/>
      <c r="Y204" s="455"/>
      <c r="Z204" s="454"/>
      <c r="AA204" s="455"/>
      <c r="AB204" s="454"/>
      <c r="AC204" s="455"/>
      <c r="AD204" s="454"/>
      <c r="AE204" s="455"/>
      <c r="AF204" s="454"/>
      <c r="AG204" s="455"/>
    </row>
    <row r="205" spans="1:33" x14ac:dyDescent="0.2">
      <c r="A205" s="415">
        <f t="shared" si="7"/>
        <v>1267</v>
      </c>
      <c r="B205" s="416" t="str">
        <f t="shared" si="6"/>
        <v>Spring</v>
      </c>
      <c r="C205" s="453"/>
      <c r="D205" s="454"/>
      <c r="E205" s="455"/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5"/>
      <c r="R205" s="454"/>
      <c r="S205" s="455"/>
      <c r="T205" s="454"/>
      <c r="U205" s="455"/>
      <c r="V205" s="454"/>
      <c r="W205" s="455"/>
      <c r="X205" s="454"/>
      <c r="Y205" s="455"/>
      <c r="Z205" s="454"/>
      <c r="AA205" s="455"/>
      <c r="AB205" s="454"/>
      <c r="AC205" s="455"/>
      <c r="AD205" s="454"/>
      <c r="AE205" s="455"/>
      <c r="AF205" s="454"/>
      <c r="AG205" s="455"/>
    </row>
    <row r="206" spans="1:33" x14ac:dyDescent="0.2">
      <c r="A206" s="415">
        <f t="shared" si="7"/>
        <v>1267</v>
      </c>
      <c r="B206" s="416" t="str">
        <f t="shared" si="6"/>
        <v>Summer</v>
      </c>
      <c r="C206" s="453"/>
      <c r="D206" s="454"/>
      <c r="E206" s="455"/>
      <c r="F206" s="454"/>
      <c r="G206" s="455"/>
      <c r="H206" s="454"/>
      <c r="I206" s="455"/>
      <c r="J206" s="454"/>
      <c r="K206" s="455"/>
      <c r="L206" s="454"/>
      <c r="M206" s="455"/>
      <c r="N206" s="454"/>
      <c r="O206" s="455"/>
      <c r="P206" s="454"/>
      <c r="Q206" s="455"/>
      <c r="R206" s="454"/>
      <c r="S206" s="455"/>
      <c r="T206" s="454"/>
      <c r="U206" s="455"/>
      <c r="V206" s="454"/>
      <c r="W206" s="455"/>
      <c r="X206" s="454"/>
      <c r="Y206" s="455"/>
      <c r="Z206" s="454"/>
      <c r="AA206" s="455"/>
      <c r="AB206" s="454"/>
      <c r="AC206" s="455"/>
      <c r="AD206" s="454"/>
      <c r="AE206" s="455"/>
      <c r="AF206" s="454"/>
      <c r="AG206" s="455"/>
    </row>
    <row r="207" spans="1:33" x14ac:dyDescent="0.2">
      <c r="A207" s="415">
        <f t="shared" si="7"/>
        <v>1267</v>
      </c>
      <c r="B207" s="416" t="str">
        <f t="shared" si="6"/>
        <v>Autumn</v>
      </c>
      <c r="C207" s="453"/>
      <c r="D207" s="454"/>
      <c r="E207" s="455"/>
      <c r="F207" s="454"/>
      <c r="G207" s="455"/>
      <c r="H207" s="454"/>
      <c r="I207" s="455"/>
      <c r="J207" s="454"/>
      <c r="K207" s="455"/>
      <c r="L207" s="454"/>
      <c r="M207" s="455"/>
      <c r="N207" s="454"/>
      <c r="O207" s="455"/>
      <c r="P207" s="454"/>
      <c r="Q207" s="455"/>
      <c r="R207" s="454"/>
      <c r="S207" s="455"/>
      <c r="T207" s="454"/>
      <c r="U207" s="455"/>
      <c r="V207" s="454"/>
      <c r="W207" s="455"/>
      <c r="X207" s="454"/>
      <c r="Y207" s="455"/>
      <c r="Z207" s="454"/>
      <c r="AA207" s="455"/>
      <c r="AB207" s="454"/>
      <c r="AC207" s="455"/>
      <c r="AD207" s="454"/>
      <c r="AE207" s="455"/>
      <c r="AF207" s="454"/>
      <c r="AG207" s="455"/>
    </row>
    <row r="208" spans="1:33" x14ac:dyDescent="0.2">
      <c r="A208" s="415">
        <f t="shared" si="7"/>
        <v>1268</v>
      </c>
      <c r="B208" s="416" t="str">
        <f t="shared" si="6"/>
        <v>Winter</v>
      </c>
      <c r="C208" s="453"/>
      <c r="D208" s="454"/>
      <c r="E208" s="455"/>
      <c r="F208" s="454"/>
      <c r="G208" s="455"/>
      <c r="H208" s="454"/>
      <c r="I208" s="455"/>
      <c r="J208" s="454"/>
      <c r="K208" s="455"/>
      <c r="L208" s="454"/>
      <c r="M208" s="455"/>
      <c r="N208" s="454"/>
      <c r="O208" s="455"/>
      <c r="P208" s="454"/>
      <c r="Q208" s="455"/>
      <c r="R208" s="454"/>
      <c r="S208" s="455"/>
      <c r="T208" s="454"/>
      <c r="U208" s="455"/>
      <c r="V208" s="454"/>
      <c r="W208" s="455"/>
      <c r="X208" s="454"/>
      <c r="Y208" s="455"/>
      <c r="Z208" s="454"/>
      <c r="AA208" s="455"/>
      <c r="AB208" s="454"/>
      <c r="AC208" s="455"/>
      <c r="AD208" s="454"/>
      <c r="AE208" s="455"/>
      <c r="AF208" s="454"/>
      <c r="AG208" s="455"/>
    </row>
    <row r="209" spans="1:33" x14ac:dyDescent="0.2">
      <c r="A209" s="415">
        <f t="shared" si="7"/>
        <v>1268</v>
      </c>
      <c r="B209" s="416" t="str">
        <f t="shared" si="6"/>
        <v>Spring</v>
      </c>
      <c r="C209" s="453"/>
      <c r="D209" s="454"/>
      <c r="E209" s="455"/>
      <c r="F209" s="454"/>
      <c r="G209" s="455"/>
      <c r="H209" s="454"/>
      <c r="I209" s="455"/>
      <c r="J209" s="454"/>
      <c r="K209" s="455"/>
      <c r="L209" s="454"/>
      <c r="M209" s="455"/>
      <c r="N209" s="454"/>
      <c r="O209" s="455"/>
      <c r="P209" s="454"/>
      <c r="Q209" s="455"/>
      <c r="R209" s="454"/>
      <c r="S209" s="455"/>
      <c r="T209" s="454"/>
      <c r="U209" s="455"/>
      <c r="V209" s="454"/>
      <c r="W209" s="455"/>
      <c r="X209" s="454"/>
      <c r="Y209" s="455"/>
      <c r="Z209" s="454"/>
      <c r="AA209" s="455"/>
      <c r="AB209" s="454"/>
      <c r="AC209" s="455"/>
      <c r="AD209" s="454"/>
      <c r="AE209" s="455"/>
      <c r="AF209" s="454"/>
      <c r="AG209" s="455"/>
    </row>
    <row r="210" spans="1:33" x14ac:dyDescent="0.2">
      <c r="A210" s="415">
        <f t="shared" si="7"/>
        <v>1268</v>
      </c>
      <c r="B210" s="416" t="str">
        <f t="shared" si="6"/>
        <v>Summer</v>
      </c>
      <c r="C210" s="453"/>
      <c r="D210" s="454"/>
      <c r="E210" s="455"/>
      <c r="F210" s="454"/>
      <c r="G210" s="455"/>
      <c r="H210" s="454"/>
      <c r="I210" s="455"/>
      <c r="J210" s="454"/>
      <c r="K210" s="455"/>
      <c r="L210" s="454"/>
      <c r="M210" s="455"/>
      <c r="N210" s="454"/>
      <c r="O210" s="455"/>
      <c r="P210" s="454"/>
      <c r="Q210" s="455"/>
      <c r="R210" s="454"/>
      <c r="S210" s="455"/>
      <c r="T210" s="454"/>
      <c r="U210" s="455"/>
      <c r="V210" s="454"/>
      <c r="W210" s="455"/>
      <c r="X210" s="454"/>
      <c r="Y210" s="455"/>
      <c r="Z210" s="454"/>
      <c r="AA210" s="455"/>
      <c r="AB210" s="454"/>
      <c r="AC210" s="455"/>
      <c r="AD210" s="454"/>
      <c r="AE210" s="455"/>
      <c r="AF210" s="454"/>
      <c r="AG210" s="455"/>
    </row>
    <row r="211" spans="1:33" x14ac:dyDescent="0.2">
      <c r="A211" s="415">
        <f t="shared" si="7"/>
        <v>1268</v>
      </c>
      <c r="B211" s="416" t="str">
        <f t="shared" si="6"/>
        <v>Autumn</v>
      </c>
      <c r="C211" s="453"/>
      <c r="D211" s="454"/>
      <c r="E211" s="455"/>
      <c r="F211" s="454"/>
      <c r="G211" s="455"/>
      <c r="H211" s="454"/>
      <c r="I211" s="455"/>
      <c r="J211" s="454"/>
      <c r="K211" s="455"/>
      <c r="L211" s="454"/>
      <c r="M211" s="455"/>
      <c r="N211" s="454"/>
      <c r="O211" s="455"/>
      <c r="P211" s="454"/>
      <c r="Q211" s="455"/>
      <c r="R211" s="454"/>
      <c r="S211" s="455"/>
      <c r="T211" s="454"/>
      <c r="U211" s="455"/>
      <c r="V211" s="454"/>
      <c r="W211" s="455"/>
      <c r="X211" s="454"/>
      <c r="Y211" s="455"/>
      <c r="Z211" s="454"/>
      <c r="AA211" s="455"/>
      <c r="AB211" s="454"/>
      <c r="AC211" s="455"/>
      <c r="AD211" s="454"/>
      <c r="AE211" s="455"/>
      <c r="AF211" s="454"/>
      <c r="AG211" s="455"/>
    </row>
    <row r="212" spans="1:33" x14ac:dyDescent="0.2">
      <c r="A212" s="415">
        <f t="shared" si="7"/>
        <v>1269</v>
      </c>
      <c r="B212" s="416" t="str">
        <f t="shared" si="6"/>
        <v>Winter</v>
      </c>
      <c r="C212" s="453"/>
      <c r="D212" s="454"/>
      <c r="E212" s="455"/>
      <c r="F212" s="454"/>
      <c r="G212" s="455"/>
      <c r="H212" s="454"/>
      <c r="I212" s="455"/>
      <c r="J212" s="454"/>
      <c r="K212" s="455"/>
      <c r="L212" s="454"/>
      <c r="M212" s="455"/>
      <c r="N212" s="454"/>
      <c r="O212" s="455"/>
      <c r="P212" s="454"/>
      <c r="Q212" s="455"/>
      <c r="R212" s="454"/>
      <c r="S212" s="455"/>
      <c r="T212" s="454"/>
      <c r="U212" s="455"/>
      <c r="V212" s="454"/>
      <c r="W212" s="455"/>
      <c r="X212" s="454"/>
      <c r="Y212" s="455"/>
      <c r="Z212" s="454"/>
      <c r="AA212" s="455"/>
      <c r="AB212" s="454"/>
      <c r="AC212" s="455"/>
      <c r="AD212" s="454"/>
      <c r="AE212" s="455"/>
      <c r="AF212" s="454"/>
      <c r="AG212" s="455"/>
    </row>
    <row r="213" spans="1:33" x14ac:dyDescent="0.2">
      <c r="A213" s="415">
        <f t="shared" si="7"/>
        <v>1269</v>
      </c>
      <c r="B213" s="416" t="str">
        <f t="shared" si="6"/>
        <v>Spring</v>
      </c>
      <c r="C213" s="453"/>
      <c r="D213" s="454"/>
      <c r="E213" s="455"/>
      <c r="F213" s="454"/>
      <c r="G213" s="455"/>
      <c r="H213" s="454"/>
      <c r="I213" s="455"/>
      <c r="J213" s="454"/>
      <c r="K213" s="455"/>
      <c r="L213" s="454"/>
      <c r="M213" s="455"/>
      <c r="N213" s="454"/>
      <c r="O213" s="455"/>
      <c r="P213" s="454"/>
      <c r="Q213" s="455"/>
      <c r="R213" s="454"/>
      <c r="S213" s="455"/>
      <c r="T213" s="454"/>
      <c r="U213" s="455"/>
      <c r="V213" s="454"/>
      <c r="W213" s="455"/>
      <c r="X213" s="454"/>
      <c r="Y213" s="455"/>
      <c r="Z213" s="454"/>
      <c r="AA213" s="455"/>
      <c r="AB213" s="454"/>
      <c r="AC213" s="455"/>
      <c r="AD213" s="454"/>
      <c r="AE213" s="455"/>
      <c r="AF213" s="454"/>
      <c r="AG213" s="455"/>
    </row>
    <row r="214" spans="1:33" x14ac:dyDescent="0.2">
      <c r="A214" s="415">
        <f t="shared" si="7"/>
        <v>1269</v>
      </c>
      <c r="B214" s="416" t="str">
        <f t="shared" si="6"/>
        <v>Summer</v>
      </c>
      <c r="C214" s="453"/>
      <c r="D214" s="454"/>
      <c r="E214" s="455"/>
      <c r="F214" s="454"/>
      <c r="G214" s="455"/>
      <c r="H214" s="454"/>
      <c r="I214" s="455"/>
      <c r="J214" s="454"/>
      <c r="K214" s="455"/>
      <c r="L214" s="454"/>
      <c r="M214" s="455"/>
      <c r="N214" s="454"/>
      <c r="O214" s="455"/>
      <c r="P214" s="454"/>
      <c r="Q214" s="455"/>
      <c r="R214" s="454"/>
      <c r="S214" s="455"/>
      <c r="T214" s="454"/>
      <c r="U214" s="455"/>
      <c r="V214" s="454"/>
      <c r="W214" s="455"/>
      <c r="X214" s="454"/>
      <c r="Y214" s="455"/>
      <c r="Z214" s="454"/>
      <c r="AA214" s="455"/>
      <c r="AB214" s="454"/>
      <c r="AC214" s="455"/>
      <c r="AD214" s="454"/>
      <c r="AE214" s="455"/>
      <c r="AF214" s="454"/>
      <c r="AG214" s="455"/>
    </row>
    <row r="215" spans="1:33" x14ac:dyDescent="0.2">
      <c r="A215" s="415">
        <f t="shared" si="7"/>
        <v>1269</v>
      </c>
      <c r="B215" s="416" t="str">
        <f t="shared" si="6"/>
        <v>Autumn</v>
      </c>
      <c r="C215" s="453"/>
      <c r="D215" s="454"/>
      <c r="E215" s="455"/>
      <c r="F215" s="454"/>
      <c r="G215" s="455"/>
      <c r="H215" s="454"/>
      <c r="I215" s="455"/>
      <c r="J215" s="454"/>
      <c r="K215" s="455"/>
      <c r="L215" s="454"/>
      <c r="M215" s="455"/>
      <c r="N215" s="454"/>
      <c r="O215" s="455"/>
      <c r="P215" s="454"/>
      <c r="Q215" s="455"/>
      <c r="R215" s="454"/>
      <c r="S215" s="455"/>
      <c r="T215" s="454"/>
      <c r="U215" s="455"/>
      <c r="V215" s="454"/>
      <c r="W215" s="455"/>
      <c r="X215" s="454"/>
      <c r="Y215" s="455"/>
      <c r="Z215" s="454"/>
      <c r="AA215" s="455"/>
      <c r="AB215" s="454"/>
      <c r="AC215" s="455"/>
      <c r="AD215" s="454"/>
      <c r="AE215" s="455"/>
      <c r="AF215" s="454"/>
      <c r="AG215" s="455"/>
    </row>
    <row r="216" spans="1:33" x14ac:dyDescent="0.2">
      <c r="A216" s="415">
        <f t="shared" si="7"/>
        <v>1270</v>
      </c>
      <c r="B216" s="416" t="str">
        <f t="shared" si="6"/>
        <v>Winter</v>
      </c>
      <c r="C216" s="453"/>
      <c r="D216" s="454"/>
      <c r="E216" s="455"/>
      <c r="F216" s="454"/>
      <c r="G216" s="455"/>
      <c r="H216" s="454"/>
      <c r="I216" s="455"/>
      <c r="J216" s="454"/>
      <c r="K216" s="455"/>
      <c r="L216" s="454"/>
      <c r="M216" s="455"/>
      <c r="N216" s="454"/>
      <c r="O216" s="455"/>
      <c r="P216" s="454"/>
      <c r="Q216" s="455"/>
      <c r="R216" s="454"/>
      <c r="S216" s="455"/>
      <c r="T216" s="454"/>
      <c r="U216" s="455"/>
      <c r="V216" s="454"/>
      <c r="W216" s="455"/>
      <c r="X216" s="454"/>
      <c r="Y216" s="455"/>
      <c r="Z216" s="454"/>
      <c r="AA216" s="455"/>
      <c r="AB216" s="454"/>
      <c r="AC216" s="455"/>
      <c r="AD216" s="454"/>
      <c r="AE216" s="455"/>
      <c r="AF216" s="454"/>
      <c r="AG216" s="455"/>
    </row>
    <row r="217" spans="1:33" x14ac:dyDescent="0.2">
      <c r="A217" s="415">
        <f t="shared" si="7"/>
        <v>1270</v>
      </c>
      <c r="B217" s="416" t="str">
        <f t="shared" si="6"/>
        <v>Spring</v>
      </c>
      <c r="C217" s="453"/>
      <c r="D217" s="454"/>
      <c r="E217" s="455"/>
      <c r="F217" s="454"/>
      <c r="G217" s="455"/>
      <c r="H217" s="454"/>
      <c r="I217" s="455"/>
      <c r="J217" s="454"/>
      <c r="K217" s="455"/>
      <c r="L217" s="454"/>
      <c r="M217" s="455"/>
      <c r="N217" s="454"/>
      <c r="O217" s="455"/>
      <c r="P217" s="454"/>
      <c r="Q217" s="455"/>
      <c r="R217" s="454"/>
      <c r="S217" s="455"/>
      <c r="T217" s="454"/>
      <c r="U217" s="455"/>
      <c r="V217" s="454"/>
      <c r="W217" s="455"/>
      <c r="X217" s="454"/>
      <c r="Y217" s="455"/>
      <c r="Z217" s="454"/>
      <c r="AA217" s="455"/>
      <c r="AB217" s="454"/>
      <c r="AC217" s="455"/>
      <c r="AD217" s="454"/>
      <c r="AE217" s="455"/>
      <c r="AF217" s="454"/>
      <c r="AG217" s="455"/>
    </row>
    <row r="218" spans="1:33" x14ac:dyDescent="0.2">
      <c r="A218" s="415">
        <f t="shared" si="7"/>
        <v>1270</v>
      </c>
      <c r="B218" s="416" t="str">
        <f t="shared" si="6"/>
        <v>Summer</v>
      </c>
      <c r="C218" s="453"/>
      <c r="D218" s="454"/>
      <c r="E218" s="455"/>
      <c r="F218" s="454"/>
      <c r="G218" s="455"/>
      <c r="H218" s="454"/>
      <c r="I218" s="455"/>
      <c r="J218" s="454"/>
      <c r="K218" s="455"/>
      <c r="L218" s="454"/>
      <c r="M218" s="455"/>
      <c r="N218" s="454"/>
      <c r="O218" s="455"/>
      <c r="P218" s="454"/>
      <c r="Q218" s="455"/>
      <c r="R218" s="454"/>
      <c r="S218" s="455"/>
      <c r="T218" s="454"/>
      <c r="U218" s="455"/>
      <c r="V218" s="454"/>
      <c r="W218" s="455"/>
      <c r="X218" s="454"/>
      <c r="Y218" s="455"/>
      <c r="Z218" s="454"/>
      <c r="AA218" s="455"/>
      <c r="AB218" s="454"/>
      <c r="AC218" s="455"/>
      <c r="AD218" s="454"/>
      <c r="AE218" s="455"/>
      <c r="AF218" s="454"/>
      <c r="AG218" s="455"/>
    </row>
    <row r="219" spans="1:33" x14ac:dyDescent="0.2">
      <c r="A219" s="415">
        <f t="shared" si="7"/>
        <v>1270</v>
      </c>
      <c r="B219" s="416" t="str">
        <f t="shared" si="6"/>
        <v>Autumn</v>
      </c>
      <c r="C219" s="453"/>
      <c r="D219" s="454"/>
      <c r="E219" s="455"/>
      <c r="F219" s="454"/>
      <c r="G219" s="455"/>
      <c r="H219" s="454"/>
      <c r="I219" s="455"/>
      <c r="J219" s="454"/>
      <c r="K219" s="455"/>
      <c r="L219" s="454"/>
      <c r="M219" s="455"/>
      <c r="N219" s="454"/>
      <c r="O219" s="455"/>
      <c r="P219" s="454"/>
      <c r="Q219" s="455"/>
      <c r="R219" s="454"/>
      <c r="S219" s="455"/>
      <c r="T219" s="454"/>
      <c r="U219" s="455"/>
      <c r="V219" s="454"/>
      <c r="W219" s="455"/>
      <c r="X219" s="454"/>
      <c r="Y219" s="455"/>
      <c r="Z219" s="454"/>
      <c r="AA219" s="455"/>
      <c r="AB219" s="454"/>
      <c r="AC219" s="455"/>
      <c r="AD219" s="454"/>
      <c r="AE219" s="455"/>
      <c r="AF219" s="454"/>
      <c r="AG219" s="455"/>
    </row>
    <row r="220" spans="1:33" x14ac:dyDescent="0.2">
      <c r="A220" s="415">
        <f t="shared" si="7"/>
        <v>1271</v>
      </c>
      <c r="B220" s="416" t="str">
        <f t="shared" si="6"/>
        <v>Winter</v>
      </c>
      <c r="C220" s="453"/>
      <c r="D220" s="454"/>
      <c r="E220" s="455"/>
      <c r="F220" s="454"/>
      <c r="G220" s="455"/>
      <c r="H220" s="454"/>
      <c r="I220" s="455"/>
      <c r="J220" s="454"/>
      <c r="K220" s="455"/>
      <c r="L220" s="454"/>
      <c r="M220" s="455"/>
      <c r="N220" s="454"/>
      <c r="O220" s="455"/>
      <c r="P220" s="454"/>
      <c r="Q220" s="455"/>
      <c r="R220" s="454"/>
      <c r="S220" s="455"/>
      <c r="T220" s="454"/>
      <c r="U220" s="455"/>
      <c r="V220" s="454"/>
      <c r="W220" s="455"/>
      <c r="X220" s="454"/>
      <c r="Y220" s="455"/>
      <c r="Z220" s="454"/>
      <c r="AA220" s="455"/>
      <c r="AB220" s="454"/>
      <c r="AC220" s="455"/>
      <c r="AD220" s="454"/>
      <c r="AE220" s="455"/>
      <c r="AF220" s="454"/>
      <c r="AG220" s="455"/>
    </row>
    <row r="221" spans="1:33" x14ac:dyDescent="0.2">
      <c r="A221" s="415">
        <f t="shared" si="7"/>
        <v>1271</v>
      </c>
      <c r="B221" s="416" t="str">
        <f t="shared" si="6"/>
        <v>Spring</v>
      </c>
      <c r="C221" s="453"/>
      <c r="D221" s="454"/>
      <c r="E221" s="455"/>
      <c r="F221" s="454"/>
      <c r="G221" s="455"/>
      <c r="H221" s="454"/>
      <c r="I221" s="455"/>
      <c r="J221" s="454"/>
      <c r="K221" s="455"/>
      <c r="L221" s="454"/>
      <c r="M221" s="455"/>
      <c r="N221" s="454"/>
      <c r="O221" s="455"/>
      <c r="P221" s="454"/>
      <c r="Q221" s="455"/>
      <c r="R221" s="454"/>
      <c r="S221" s="455"/>
      <c r="T221" s="454"/>
      <c r="U221" s="455"/>
      <c r="V221" s="454"/>
      <c r="W221" s="455"/>
      <c r="X221" s="454"/>
      <c r="Y221" s="455"/>
      <c r="Z221" s="454"/>
      <c r="AA221" s="455"/>
      <c r="AB221" s="454"/>
      <c r="AC221" s="455"/>
      <c r="AD221" s="454"/>
      <c r="AE221" s="455"/>
      <c r="AF221" s="454"/>
      <c r="AG221" s="455"/>
    </row>
    <row r="222" spans="1:33" x14ac:dyDescent="0.2">
      <c r="A222" s="415">
        <f t="shared" si="7"/>
        <v>1271</v>
      </c>
      <c r="B222" s="416" t="str">
        <f t="shared" si="6"/>
        <v>Summer</v>
      </c>
      <c r="C222" s="453"/>
      <c r="D222" s="454"/>
      <c r="E222" s="455"/>
      <c r="F222" s="454"/>
      <c r="G222" s="455"/>
      <c r="H222" s="454"/>
      <c r="I222" s="455"/>
      <c r="J222" s="454"/>
      <c r="K222" s="455"/>
      <c r="L222" s="454"/>
      <c r="M222" s="455"/>
      <c r="N222" s="454"/>
      <c r="O222" s="455"/>
      <c r="P222" s="454"/>
      <c r="Q222" s="455"/>
      <c r="R222" s="454"/>
      <c r="S222" s="455"/>
      <c r="T222" s="454"/>
      <c r="U222" s="455"/>
      <c r="V222" s="454"/>
      <c r="W222" s="455"/>
      <c r="X222" s="454"/>
      <c r="Y222" s="455"/>
      <c r="Z222" s="454"/>
      <c r="AA222" s="455"/>
      <c r="AB222" s="454"/>
      <c r="AC222" s="455"/>
      <c r="AD222" s="454"/>
      <c r="AE222" s="455"/>
      <c r="AF222" s="454"/>
      <c r="AG222" s="455"/>
    </row>
    <row r="223" spans="1:33" x14ac:dyDescent="0.2">
      <c r="A223" s="415">
        <f t="shared" si="7"/>
        <v>1271</v>
      </c>
      <c r="B223" s="416" t="str">
        <f t="shared" si="6"/>
        <v>Autumn</v>
      </c>
      <c r="C223" s="453"/>
      <c r="D223" s="454"/>
      <c r="E223" s="455"/>
      <c r="F223" s="454"/>
      <c r="G223" s="455"/>
      <c r="H223" s="454"/>
      <c r="I223" s="455"/>
      <c r="J223" s="454"/>
      <c r="K223" s="455"/>
      <c r="L223" s="454"/>
      <c r="M223" s="455"/>
      <c r="N223" s="454"/>
      <c r="O223" s="455"/>
      <c r="P223" s="454"/>
      <c r="Q223" s="455"/>
      <c r="R223" s="454"/>
      <c r="S223" s="455"/>
      <c r="T223" s="454"/>
      <c r="U223" s="455"/>
      <c r="V223" s="454"/>
      <c r="W223" s="455"/>
      <c r="X223" s="454"/>
      <c r="Y223" s="455"/>
      <c r="Z223" s="454"/>
      <c r="AA223" s="455"/>
      <c r="AB223" s="454"/>
      <c r="AC223" s="455"/>
      <c r="AD223" s="454"/>
      <c r="AE223" s="455"/>
      <c r="AF223" s="454"/>
      <c r="AG223" s="455"/>
    </row>
    <row r="224" spans="1:33" x14ac:dyDescent="0.2">
      <c r="A224" s="415">
        <f t="shared" si="7"/>
        <v>1272</v>
      </c>
      <c r="B224" s="416" t="str">
        <f t="shared" si="6"/>
        <v>Winter</v>
      </c>
      <c r="C224" s="453"/>
      <c r="D224" s="454"/>
      <c r="E224" s="455"/>
      <c r="F224" s="454"/>
      <c r="G224" s="455"/>
      <c r="H224" s="454"/>
      <c r="I224" s="455"/>
      <c r="J224" s="454"/>
      <c r="K224" s="455"/>
      <c r="L224" s="454"/>
      <c r="M224" s="455"/>
      <c r="N224" s="454"/>
      <c r="O224" s="455"/>
      <c r="P224" s="454"/>
      <c r="Q224" s="455"/>
      <c r="R224" s="454"/>
      <c r="S224" s="455"/>
      <c r="T224" s="454"/>
      <c r="U224" s="455"/>
      <c r="V224" s="454"/>
      <c r="W224" s="455"/>
      <c r="X224" s="454"/>
      <c r="Y224" s="455"/>
      <c r="Z224" s="454"/>
      <c r="AA224" s="455"/>
      <c r="AB224" s="454"/>
      <c r="AC224" s="455"/>
      <c r="AD224" s="454"/>
      <c r="AE224" s="455"/>
      <c r="AF224" s="454"/>
      <c r="AG224" s="455"/>
    </row>
    <row r="225" spans="1:33" x14ac:dyDescent="0.2">
      <c r="A225" s="415">
        <f t="shared" si="7"/>
        <v>1272</v>
      </c>
      <c r="B225" s="416" t="str">
        <f t="shared" si="6"/>
        <v>Spring</v>
      </c>
      <c r="C225" s="453"/>
      <c r="D225" s="454"/>
      <c r="E225" s="455"/>
      <c r="F225" s="454"/>
      <c r="G225" s="455"/>
      <c r="H225" s="454"/>
      <c r="I225" s="455"/>
      <c r="J225" s="454"/>
      <c r="K225" s="455"/>
      <c r="L225" s="454"/>
      <c r="M225" s="455"/>
      <c r="N225" s="454"/>
      <c r="O225" s="455"/>
      <c r="P225" s="454"/>
      <c r="Q225" s="455"/>
      <c r="R225" s="454"/>
      <c r="S225" s="455"/>
      <c r="T225" s="454"/>
      <c r="U225" s="455"/>
      <c r="V225" s="454"/>
      <c r="W225" s="455"/>
      <c r="X225" s="454"/>
      <c r="Y225" s="455"/>
      <c r="Z225" s="454"/>
      <c r="AA225" s="455"/>
      <c r="AB225" s="454"/>
      <c r="AC225" s="455"/>
      <c r="AD225" s="454"/>
      <c r="AE225" s="455"/>
      <c r="AF225" s="454"/>
      <c r="AG225" s="455"/>
    </row>
    <row r="226" spans="1:33" x14ac:dyDescent="0.2">
      <c r="A226" s="415">
        <f t="shared" si="7"/>
        <v>1272</v>
      </c>
      <c r="B226" s="416" t="str">
        <f t="shared" si="6"/>
        <v>Summer</v>
      </c>
      <c r="C226" s="453"/>
      <c r="D226" s="454"/>
      <c r="E226" s="455"/>
      <c r="F226" s="454"/>
      <c r="G226" s="455"/>
      <c r="H226" s="454"/>
      <c r="I226" s="455"/>
      <c r="J226" s="454"/>
      <c r="K226" s="455"/>
      <c r="L226" s="454"/>
      <c r="M226" s="455"/>
      <c r="N226" s="454"/>
      <c r="O226" s="455"/>
      <c r="P226" s="454"/>
      <c r="Q226" s="455"/>
      <c r="R226" s="454"/>
      <c r="S226" s="455"/>
      <c r="T226" s="454"/>
      <c r="U226" s="455"/>
      <c r="V226" s="454"/>
      <c r="W226" s="455"/>
      <c r="X226" s="454"/>
      <c r="Y226" s="455"/>
      <c r="Z226" s="454"/>
      <c r="AA226" s="455"/>
      <c r="AB226" s="454"/>
      <c r="AC226" s="455"/>
      <c r="AD226" s="454"/>
      <c r="AE226" s="455"/>
      <c r="AF226" s="454"/>
      <c r="AG226" s="455"/>
    </row>
    <row r="227" spans="1:33" x14ac:dyDescent="0.2">
      <c r="A227" s="415">
        <f t="shared" si="7"/>
        <v>1272</v>
      </c>
      <c r="B227" s="416" t="str">
        <f t="shared" si="6"/>
        <v>Autumn</v>
      </c>
      <c r="C227" s="453"/>
      <c r="D227" s="454"/>
      <c r="E227" s="455"/>
      <c r="F227" s="454"/>
      <c r="G227" s="455"/>
      <c r="H227" s="454"/>
      <c r="I227" s="455"/>
      <c r="J227" s="454"/>
      <c r="K227" s="455"/>
      <c r="L227" s="454"/>
      <c r="M227" s="455"/>
      <c r="N227" s="454"/>
      <c r="O227" s="455"/>
      <c r="P227" s="454"/>
      <c r="Q227" s="455"/>
      <c r="R227" s="454"/>
      <c r="S227" s="455"/>
      <c r="T227" s="454"/>
      <c r="U227" s="455"/>
      <c r="V227" s="454"/>
      <c r="W227" s="455"/>
      <c r="X227" s="454"/>
      <c r="Y227" s="455"/>
      <c r="Z227" s="454"/>
      <c r="AA227" s="455"/>
      <c r="AB227" s="454"/>
      <c r="AC227" s="455"/>
      <c r="AD227" s="454"/>
      <c r="AE227" s="455"/>
      <c r="AF227" s="454"/>
      <c r="AG227" s="455"/>
    </row>
    <row r="228" spans="1:33" x14ac:dyDescent="0.2">
      <c r="A228" s="415">
        <f t="shared" si="7"/>
        <v>1273</v>
      </c>
      <c r="B228" s="416" t="str">
        <f t="shared" si="6"/>
        <v>Winter</v>
      </c>
      <c r="C228" s="453"/>
      <c r="D228" s="454"/>
      <c r="E228" s="455"/>
      <c r="F228" s="454"/>
      <c r="G228" s="455"/>
      <c r="H228" s="454"/>
      <c r="I228" s="455"/>
      <c r="J228" s="454"/>
      <c r="K228" s="455"/>
      <c r="L228" s="454"/>
      <c r="M228" s="455"/>
      <c r="N228" s="454"/>
      <c r="O228" s="455"/>
      <c r="P228" s="454"/>
      <c r="Q228" s="455"/>
      <c r="R228" s="454"/>
      <c r="S228" s="455"/>
      <c r="T228" s="454"/>
      <c r="U228" s="455"/>
      <c r="V228" s="454"/>
      <c r="W228" s="455"/>
      <c r="X228" s="454"/>
      <c r="Y228" s="455"/>
      <c r="Z228" s="454"/>
      <c r="AA228" s="455"/>
      <c r="AB228" s="454"/>
      <c r="AC228" s="455"/>
      <c r="AD228" s="454"/>
      <c r="AE228" s="455"/>
      <c r="AF228" s="454"/>
      <c r="AG228" s="455"/>
    </row>
    <row r="229" spans="1:33" x14ac:dyDescent="0.2">
      <c r="A229" s="415">
        <f t="shared" si="7"/>
        <v>1273</v>
      </c>
      <c r="B229" s="416" t="str">
        <f t="shared" si="6"/>
        <v>Spring</v>
      </c>
      <c r="C229" s="453"/>
      <c r="D229" s="454"/>
      <c r="E229" s="455"/>
      <c r="F229" s="454"/>
      <c r="G229" s="455"/>
      <c r="H229" s="454"/>
      <c r="I229" s="455"/>
      <c r="J229" s="454"/>
      <c r="K229" s="455"/>
      <c r="L229" s="454"/>
      <c r="M229" s="455"/>
      <c r="N229" s="454"/>
      <c r="O229" s="455"/>
      <c r="P229" s="454"/>
      <c r="Q229" s="455"/>
      <c r="R229" s="454"/>
      <c r="S229" s="455"/>
      <c r="T229" s="454"/>
      <c r="U229" s="455"/>
      <c r="V229" s="454"/>
      <c r="W229" s="455"/>
      <c r="X229" s="454"/>
      <c r="Y229" s="455"/>
      <c r="Z229" s="454"/>
      <c r="AA229" s="455"/>
      <c r="AB229" s="454"/>
      <c r="AC229" s="455"/>
      <c r="AD229" s="454"/>
      <c r="AE229" s="455"/>
      <c r="AF229" s="454"/>
      <c r="AG229" s="455"/>
    </row>
    <row r="230" spans="1:33" x14ac:dyDescent="0.2">
      <c r="A230" s="415">
        <f t="shared" si="7"/>
        <v>1273</v>
      </c>
      <c r="B230" s="416" t="str">
        <f t="shared" si="6"/>
        <v>Summer</v>
      </c>
      <c r="C230" s="453"/>
      <c r="D230" s="454"/>
      <c r="E230" s="455"/>
      <c r="F230" s="454"/>
      <c r="G230" s="455"/>
      <c r="H230" s="454"/>
      <c r="I230" s="455"/>
      <c r="J230" s="454"/>
      <c r="K230" s="455"/>
      <c r="L230" s="454"/>
      <c r="M230" s="455"/>
      <c r="N230" s="454"/>
      <c r="O230" s="455"/>
      <c r="P230" s="454"/>
      <c r="Q230" s="455"/>
      <c r="R230" s="454"/>
      <c r="S230" s="455"/>
      <c r="T230" s="454"/>
      <c r="U230" s="455"/>
      <c r="V230" s="454"/>
      <c r="W230" s="455"/>
      <c r="X230" s="454"/>
      <c r="Y230" s="455"/>
      <c r="Z230" s="454"/>
      <c r="AA230" s="455"/>
      <c r="AB230" s="454"/>
      <c r="AC230" s="455"/>
      <c r="AD230" s="454"/>
      <c r="AE230" s="455"/>
      <c r="AF230" s="454"/>
      <c r="AG230" s="455"/>
    </row>
    <row r="231" spans="1:33" x14ac:dyDescent="0.2">
      <c r="A231" s="415">
        <f t="shared" si="7"/>
        <v>1273</v>
      </c>
      <c r="B231" s="416" t="str">
        <f t="shared" si="6"/>
        <v>Autumn</v>
      </c>
      <c r="C231" s="453"/>
      <c r="D231" s="454"/>
      <c r="E231" s="455"/>
      <c r="F231" s="454"/>
      <c r="G231" s="455"/>
      <c r="H231" s="454"/>
      <c r="I231" s="455"/>
      <c r="J231" s="454"/>
      <c r="K231" s="455"/>
      <c r="L231" s="454"/>
      <c r="M231" s="455"/>
      <c r="N231" s="454"/>
      <c r="O231" s="455"/>
      <c r="P231" s="454"/>
      <c r="Q231" s="455"/>
      <c r="R231" s="454"/>
      <c r="S231" s="455"/>
      <c r="T231" s="454"/>
      <c r="U231" s="455"/>
      <c r="V231" s="454"/>
      <c r="W231" s="455"/>
      <c r="X231" s="454"/>
      <c r="Y231" s="455"/>
      <c r="Z231" s="454"/>
      <c r="AA231" s="455"/>
      <c r="AB231" s="454"/>
      <c r="AC231" s="455"/>
      <c r="AD231" s="454"/>
      <c r="AE231" s="455"/>
      <c r="AF231" s="454"/>
      <c r="AG231" s="455"/>
    </row>
    <row r="232" spans="1:33" x14ac:dyDescent="0.2">
      <c r="A232" s="415">
        <f t="shared" si="7"/>
        <v>1274</v>
      </c>
      <c r="B232" s="416" t="str">
        <f t="shared" si="6"/>
        <v>Winter</v>
      </c>
      <c r="C232" s="453"/>
      <c r="D232" s="454"/>
      <c r="E232" s="455"/>
      <c r="F232" s="454"/>
      <c r="G232" s="455"/>
      <c r="H232" s="454"/>
      <c r="I232" s="455"/>
      <c r="J232" s="454"/>
      <c r="K232" s="455"/>
      <c r="L232" s="454"/>
      <c r="M232" s="455"/>
      <c r="N232" s="454"/>
      <c r="O232" s="455"/>
      <c r="P232" s="454"/>
      <c r="Q232" s="455"/>
      <c r="R232" s="454"/>
      <c r="S232" s="455"/>
      <c r="T232" s="454"/>
      <c r="U232" s="455"/>
      <c r="V232" s="454"/>
      <c r="W232" s="455"/>
      <c r="X232" s="454"/>
      <c r="Y232" s="455"/>
      <c r="Z232" s="454"/>
      <c r="AA232" s="455"/>
      <c r="AB232" s="454"/>
      <c r="AC232" s="455"/>
      <c r="AD232" s="454"/>
      <c r="AE232" s="455"/>
      <c r="AF232" s="454"/>
      <c r="AG232" s="455"/>
    </row>
    <row r="233" spans="1:33" x14ac:dyDescent="0.2">
      <c r="A233" s="415">
        <f t="shared" si="7"/>
        <v>1274</v>
      </c>
      <c r="B233" s="416" t="str">
        <f t="shared" si="6"/>
        <v>Spring</v>
      </c>
      <c r="C233" s="453"/>
      <c r="D233" s="454"/>
      <c r="E233" s="455"/>
      <c r="F233" s="454"/>
      <c r="G233" s="455"/>
      <c r="H233" s="454"/>
      <c r="I233" s="455"/>
      <c r="J233" s="454"/>
      <c r="K233" s="455"/>
      <c r="L233" s="454"/>
      <c r="M233" s="455"/>
      <c r="N233" s="454"/>
      <c r="O233" s="455"/>
      <c r="P233" s="454"/>
      <c r="Q233" s="455"/>
      <c r="R233" s="454"/>
      <c r="S233" s="455"/>
      <c r="T233" s="454"/>
      <c r="U233" s="455"/>
      <c r="V233" s="454"/>
      <c r="W233" s="455"/>
      <c r="X233" s="454"/>
      <c r="Y233" s="455"/>
      <c r="Z233" s="454"/>
      <c r="AA233" s="455"/>
      <c r="AB233" s="454"/>
      <c r="AC233" s="455"/>
      <c r="AD233" s="454"/>
      <c r="AE233" s="455"/>
      <c r="AF233" s="454"/>
      <c r="AG233" s="455"/>
    </row>
    <row r="234" spans="1:33" x14ac:dyDescent="0.2">
      <c r="A234" s="415">
        <f t="shared" si="7"/>
        <v>1274</v>
      </c>
      <c r="B234" s="416" t="str">
        <f t="shared" si="6"/>
        <v>Summer</v>
      </c>
      <c r="C234" s="453"/>
      <c r="D234" s="454"/>
      <c r="E234" s="455"/>
      <c r="F234" s="454"/>
      <c r="G234" s="455"/>
      <c r="H234" s="454"/>
      <c r="I234" s="455"/>
      <c r="J234" s="454"/>
      <c r="K234" s="455"/>
      <c r="L234" s="454"/>
      <c r="M234" s="455"/>
      <c r="N234" s="454"/>
      <c r="O234" s="455"/>
      <c r="P234" s="454"/>
      <c r="Q234" s="455"/>
      <c r="R234" s="454"/>
      <c r="S234" s="455"/>
      <c r="T234" s="454"/>
      <c r="U234" s="455"/>
      <c r="V234" s="454"/>
      <c r="W234" s="455"/>
      <c r="X234" s="454"/>
      <c r="Y234" s="455"/>
      <c r="Z234" s="454"/>
      <c r="AA234" s="455"/>
      <c r="AB234" s="454"/>
      <c r="AC234" s="455"/>
      <c r="AD234" s="454"/>
      <c r="AE234" s="455"/>
      <c r="AF234" s="454"/>
      <c r="AG234" s="455"/>
    </row>
    <row r="235" spans="1:33" x14ac:dyDescent="0.2">
      <c r="A235" s="415">
        <f t="shared" si="7"/>
        <v>1274</v>
      </c>
      <c r="B235" s="416" t="str">
        <f t="shared" ref="B235:B298" si="8">IF(B234="spring","Summer",IF(B234="Summer","Autumn",IF(B234="Autumn","Winter",IF(B234="Winter","Spring"," "))))</f>
        <v>Autumn</v>
      </c>
      <c r="C235" s="453"/>
      <c r="D235" s="454"/>
      <c r="E235" s="455"/>
      <c r="F235" s="454"/>
      <c r="G235" s="455"/>
      <c r="H235" s="454"/>
      <c r="I235" s="455"/>
      <c r="J235" s="454"/>
      <c r="K235" s="455"/>
      <c r="L235" s="454"/>
      <c r="M235" s="455"/>
      <c r="N235" s="454"/>
      <c r="O235" s="455"/>
      <c r="P235" s="454"/>
      <c r="Q235" s="455"/>
      <c r="R235" s="454"/>
      <c r="S235" s="455"/>
      <c r="T235" s="454"/>
      <c r="U235" s="455"/>
      <c r="V235" s="454"/>
      <c r="W235" s="455"/>
      <c r="X235" s="454"/>
      <c r="Y235" s="455"/>
      <c r="Z235" s="454"/>
      <c r="AA235" s="455"/>
      <c r="AB235" s="454"/>
      <c r="AC235" s="455"/>
      <c r="AD235" s="454"/>
      <c r="AE235" s="455"/>
      <c r="AF235" s="454"/>
      <c r="AG235" s="455"/>
    </row>
    <row r="236" spans="1:33" x14ac:dyDescent="0.2">
      <c r="A236" s="415">
        <f t="shared" si="7"/>
        <v>1275</v>
      </c>
      <c r="B236" s="416" t="str">
        <f t="shared" si="8"/>
        <v>Winter</v>
      </c>
      <c r="C236" s="453"/>
      <c r="D236" s="454"/>
      <c r="E236" s="455"/>
      <c r="F236" s="454"/>
      <c r="G236" s="455"/>
      <c r="H236" s="454"/>
      <c r="I236" s="455"/>
      <c r="J236" s="454"/>
      <c r="K236" s="455"/>
      <c r="L236" s="454"/>
      <c r="M236" s="455"/>
      <c r="N236" s="454"/>
      <c r="O236" s="455"/>
      <c r="P236" s="454"/>
      <c r="Q236" s="455"/>
      <c r="R236" s="454"/>
      <c r="S236" s="455"/>
      <c r="T236" s="454"/>
      <c r="U236" s="455"/>
      <c r="V236" s="454"/>
      <c r="W236" s="455"/>
      <c r="X236" s="454"/>
      <c r="Y236" s="455"/>
      <c r="Z236" s="454"/>
      <c r="AA236" s="455"/>
      <c r="AB236" s="454"/>
      <c r="AC236" s="455"/>
      <c r="AD236" s="454"/>
      <c r="AE236" s="455"/>
      <c r="AF236" s="454"/>
      <c r="AG236" s="455"/>
    </row>
    <row r="237" spans="1:33" x14ac:dyDescent="0.2">
      <c r="A237" s="415">
        <f t="shared" si="7"/>
        <v>1275</v>
      </c>
      <c r="B237" s="416" t="str">
        <f t="shared" si="8"/>
        <v>Spring</v>
      </c>
      <c r="C237" s="453"/>
      <c r="D237" s="454"/>
      <c r="E237" s="455"/>
      <c r="F237" s="454"/>
      <c r="G237" s="455"/>
      <c r="H237" s="454"/>
      <c r="I237" s="455"/>
      <c r="J237" s="454"/>
      <c r="K237" s="455"/>
      <c r="L237" s="454"/>
      <c r="M237" s="455"/>
      <c r="N237" s="454"/>
      <c r="O237" s="455"/>
      <c r="P237" s="454"/>
      <c r="Q237" s="455"/>
      <c r="R237" s="454"/>
      <c r="S237" s="455"/>
      <c r="T237" s="454"/>
      <c r="U237" s="455"/>
      <c r="V237" s="454"/>
      <c r="W237" s="455"/>
      <c r="X237" s="454"/>
      <c r="Y237" s="455"/>
      <c r="Z237" s="454"/>
      <c r="AA237" s="455"/>
      <c r="AB237" s="454"/>
      <c r="AC237" s="455"/>
      <c r="AD237" s="454"/>
      <c r="AE237" s="455"/>
      <c r="AF237" s="454"/>
      <c r="AG237" s="455"/>
    </row>
    <row r="238" spans="1:33" x14ac:dyDescent="0.2">
      <c r="A238" s="415">
        <f t="shared" si="7"/>
        <v>1275</v>
      </c>
      <c r="B238" s="416" t="str">
        <f t="shared" si="8"/>
        <v>Summer</v>
      </c>
      <c r="C238" s="453"/>
      <c r="D238" s="454"/>
      <c r="E238" s="455"/>
      <c r="F238" s="454"/>
      <c r="G238" s="455"/>
      <c r="H238" s="454"/>
      <c r="I238" s="455"/>
      <c r="J238" s="454"/>
      <c r="K238" s="455"/>
      <c r="L238" s="454"/>
      <c r="M238" s="455"/>
      <c r="N238" s="454"/>
      <c r="O238" s="455"/>
      <c r="P238" s="454"/>
      <c r="Q238" s="455"/>
      <c r="R238" s="454"/>
      <c r="S238" s="455"/>
      <c r="T238" s="454"/>
      <c r="U238" s="455"/>
      <c r="V238" s="454"/>
      <c r="W238" s="455"/>
      <c r="X238" s="454"/>
      <c r="Y238" s="455"/>
      <c r="Z238" s="454"/>
      <c r="AA238" s="455"/>
      <c r="AB238" s="454"/>
      <c r="AC238" s="455"/>
      <c r="AD238" s="454"/>
      <c r="AE238" s="455"/>
      <c r="AF238" s="454"/>
      <c r="AG238" s="455"/>
    </row>
    <row r="239" spans="1:33" x14ac:dyDescent="0.2">
      <c r="A239" s="415">
        <f t="shared" si="7"/>
        <v>1275</v>
      </c>
      <c r="B239" s="416" t="str">
        <f t="shared" si="8"/>
        <v>Autumn</v>
      </c>
      <c r="C239" s="453"/>
      <c r="D239" s="454"/>
      <c r="E239" s="455"/>
      <c r="F239" s="454"/>
      <c r="G239" s="455"/>
      <c r="H239" s="454"/>
      <c r="I239" s="455"/>
      <c r="J239" s="454"/>
      <c r="K239" s="455"/>
      <c r="L239" s="454"/>
      <c r="M239" s="455"/>
      <c r="N239" s="454"/>
      <c r="O239" s="455"/>
      <c r="P239" s="454"/>
      <c r="Q239" s="455"/>
      <c r="R239" s="454"/>
      <c r="S239" s="455"/>
      <c r="T239" s="454"/>
      <c r="U239" s="455"/>
      <c r="V239" s="454"/>
      <c r="W239" s="455"/>
      <c r="X239" s="454"/>
      <c r="Y239" s="455"/>
      <c r="Z239" s="454"/>
      <c r="AA239" s="455"/>
      <c r="AB239" s="454"/>
      <c r="AC239" s="455"/>
      <c r="AD239" s="454"/>
      <c r="AE239" s="455"/>
      <c r="AF239" s="454"/>
      <c r="AG239" s="455"/>
    </row>
    <row r="240" spans="1:33" x14ac:dyDescent="0.2">
      <c r="A240" s="415">
        <f t="shared" si="7"/>
        <v>1276</v>
      </c>
      <c r="B240" s="416" t="str">
        <f t="shared" si="8"/>
        <v>Winter</v>
      </c>
      <c r="C240" s="453"/>
      <c r="D240" s="454"/>
      <c r="E240" s="455"/>
      <c r="F240" s="454"/>
      <c r="G240" s="455"/>
      <c r="H240" s="454"/>
      <c r="I240" s="455"/>
      <c r="J240" s="454"/>
      <c r="K240" s="455"/>
      <c r="L240" s="454"/>
      <c r="M240" s="455"/>
      <c r="N240" s="454"/>
      <c r="O240" s="455"/>
      <c r="P240" s="454"/>
      <c r="Q240" s="455"/>
      <c r="R240" s="454"/>
      <c r="S240" s="455"/>
      <c r="T240" s="454"/>
      <c r="U240" s="455"/>
      <c r="V240" s="454"/>
      <c r="W240" s="455"/>
      <c r="X240" s="454"/>
      <c r="Y240" s="455"/>
      <c r="Z240" s="454"/>
      <c r="AA240" s="455"/>
      <c r="AB240" s="454"/>
      <c r="AC240" s="455"/>
      <c r="AD240" s="454"/>
      <c r="AE240" s="455"/>
      <c r="AF240" s="454"/>
      <c r="AG240" s="455"/>
    </row>
    <row r="241" spans="1:33" x14ac:dyDescent="0.2">
      <c r="A241" s="415">
        <f t="shared" si="7"/>
        <v>1276</v>
      </c>
      <c r="B241" s="416" t="str">
        <f t="shared" si="8"/>
        <v>Spring</v>
      </c>
      <c r="C241" s="453"/>
      <c r="D241" s="454"/>
      <c r="E241" s="455"/>
      <c r="F241" s="454"/>
      <c r="G241" s="455"/>
      <c r="H241" s="454"/>
      <c r="I241" s="455"/>
      <c r="J241" s="454"/>
      <c r="K241" s="455"/>
      <c r="L241" s="454"/>
      <c r="M241" s="455"/>
      <c r="N241" s="454"/>
      <c r="O241" s="455"/>
      <c r="P241" s="454"/>
      <c r="Q241" s="455"/>
      <c r="R241" s="454"/>
      <c r="S241" s="455"/>
      <c r="T241" s="454"/>
      <c r="U241" s="455"/>
      <c r="V241" s="454"/>
      <c r="W241" s="455"/>
      <c r="X241" s="454"/>
      <c r="Y241" s="455"/>
      <c r="Z241" s="454"/>
      <c r="AA241" s="455"/>
      <c r="AB241" s="454"/>
      <c r="AC241" s="455"/>
      <c r="AD241" s="454"/>
      <c r="AE241" s="455"/>
      <c r="AF241" s="454"/>
      <c r="AG241" s="455"/>
    </row>
    <row r="242" spans="1:33" x14ac:dyDescent="0.2">
      <c r="A242" s="415">
        <f t="shared" si="7"/>
        <v>1276</v>
      </c>
      <c r="B242" s="416" t="str">
        <f t="shared" si="8"/>
        <v>Summer</v>
      </c>
      <c r="C242" s="453"/>
      <c r="D242" s="454"/>
      <c r="E242" s="455"/>
      <c r="F242" s="454"/>
      <c r="G242" s="455"/>
      <c r="H242" s="454"/>
      <c r="I242" s="455"/>
      <c r="J242" s="454"/>
      <c r="K242" s="455"/>
      <c r="L242" s="454"/>
      <c r="M242" s="455"/>
      <c r="N242" s="454"/>
      <c r="O242" s="455"/>
      <c r="P242" s="454"/>
      <c r="Q242" s="455"/>
      <c r="R242" s="454"/>
      <c r="S242" s="455"/>
      <c r="T242" s="454"/>
      <c r="U242" s="455"/>
      <c r="V242" s="454"/>
      <c r="W242" s="455"/>
      <c r="X242" s="454"/>
      <c r="Y242" s="455"/>
      <c r="Z242" s="454"/>
      <c r="AA242" s="455"/>
      <c r="AB242" s="454"/>
      <c r="AC242" s="455"/>
      <c r="AD242" s="454"/>
      <c r="AE242" s="455"/>
      <c r="AF242" s="454"/>
      <c r="AG242" s="455"/>
    </row>
    <row r="243" spans="1:33" x14ac:dyDescent="0.2">
      <c r="A243" s="415">
        <f t="shared" si="7"/>
        <v>1276</v>
      </c>
      <c r="B243" s="416" t="str">
        <f t="shared" si="8"/>
        <v>Autumn</v>
      </c>
      <c r="C243" s="453"/>
      <c r="D243" s="454"/>
      <c r="E243" s="455"/>
      <c r="F243" s="454"/>
      <c r="G243" s="455"/>
      <c r="H243" s="454"/>
      <c r="I243" s="455"/>
      <c r="J243" s="454"/>
      <c r="K243" s="455"/>
      <c r="L243" s="454"/>
      <c r="M243" s="455"/>
      <c r="N243" s="454"/>
      <c r="O243" s="455"/>
      <c r="P243" s="454"/>
      <c r="Q243" s="455"/>
      <c r="R243" s="454"/>
      <c r="S243" s="455"/>
      <c r="T243" s="454"/>
      <c r="U243" s="455"/>
      <c r="V243" s="454"/>
      <c r="W243" s="455"/>
      <c r="X243" s="454"/>
      <c r="Y243" s="455"/>
      <c r="Z243" s="454"/>
      <c r="AA243" s="455"/>
      <c r="AB243" s="454"/>
      <c r="AC243" s="455"/>
      <c r="AD243" s="454"/>
      <c r="AE243" s="455"/>
      <c r="AF243" s="454"/>
      <c r="AG243" s="455"/>
    </row>
    <row r="244" spans="1:33" x14ac:dyDescent="0.2">
      <c r="A244" s="415">
        <f t="shared" si="7"/>
        <v>1277</v>
      </c>
      <c r="B244" s="416" t="str">
        <f t="shared" si="8"/>
        <v>Winter</v>
      </c>
      <c r="C244" s="453"/>
      <c r="D244" s="454"/>
      <c r="E244" s="455"/>
      <c r="F244" s="454"/>
      <c r="G244" s="455"/>
      <c r="H244" s="454"/>
      <c r="I244" s="455"/>
      <c r="J244" s="454"/>
      <c r="K244" s="455"/>
      <c r="L244" s="454"/>
      <c r="M244" s="455"/>
      <c r="N244" s="454"/>
      <c r="O244" s="455"/>
      <c r="P244" s="454"/>
      <c r="Q244" s="455"/>
      <c r="R244" s="454"/>
      <c r="S244" s="455"/>
      <c r="T244" s="454"/>
      <c r="U244" s="455"/>
      <c r="V244" s="454"/>
      <c r="W244" s="455"/>
      <c r="X244" s="454"/>
      <c r="Y244" s="455"/>
      <c r="Z244" s="454"/>
      <c r="AA244" s="455"/>
      <c r="AB244" s="454"/>
      <c r="AC244" s="455"/>
      <c r="AD244" s="454"/>
      <c r="AE244" s="455"/>
      <c r="AF244" s="454"/>
      <c r="AG244" s="455"/>
    </row>
    <row r="245" spans="1:33" x14ac:dyDescent="0.2">
      <c r="A245" s="415">
        <f t="shared" si="7"/>
        <v>1277</v>
      </c>
      <c r="B245" s="416" t="str">
        <f t="shared" si="8"/>
        <v>Spring</v>
      </c>
      <c r="C245" s="453"/>
      <c r="D245" s="454"/>
      <c r="E245" s="455"/>
      <c r="F245" s="454"/>
      <c r="G245" s="455"/>
      <c r="H245" s="454"/>
      <c r="I245" s="455"/>
      <c r="J245" s="454"/>
      <c r="K245" s="455"/>
      <c r="L245" s="454"/>
      <c r="M245" s="455"/>
      <c r="N245" s="454"/>
      <c r="O245" s="455"/>
      <c r="P245" s="454"/>
      <c r="Q245" s="455"/>
      <c r="R245" s="454"/>
      <c r="S245" s="455"/>
      <c r="T245" s="454"/>
      <c r="U245" s="455"/>
      <c r="V245" s="454"/>
      <c r="W245" s="455"/>
      <c r="X245" s="454"/>
      <c r="Y245" s="455"/>
      <c r="Z245" s="454"/>
      <c r="AA245" s="455"/>
      <c r="AB245" s="454"/>
      <c r="AC245" s="455"/>
      <c r="AD245" s="454"/>
      <c r="AE245" s="455"/>
      <c r="AF245" s="454"/>
      <c r="AG245" s="455"/>
    </row>
    <row r="246" spans="1:33" x14ac:dyDescent="0.2">
      <c r="A246" s="415">
        <f t="shared" si="7"/>
        <v>1277</v>
      </c>
      <c r="B246" s="416" t="str">
        <f t="shared" si="8"/>
        <v>Summer</v>
      </c>
      <c r="C246" s="453"/>
      <c r="D246" s="454"/>
      <c r="E246" s="455"/>
      <c r="F246" s="454"/>
      <c r="G246" s="455"/>
      <c r="H246" s="454"/>
      <c r="I246" s="455"/>
      <c r="J246" s="454"/>
      <c r="K246" s="455"/>
      <c r="L246" s="454"/>
      <c r="M246" s="455"/>
      <c r="N246" s="454"/>
      <c r="O246" s="455"/>
      <c r="P246" s="454"/>
      <c r="Q246" s="455"/>
      <c r="R246" s="454"/>
      <c r="S246" s="455"/>
      <c r="T246" s="454"/>
      <c r="U246" s="455"/>
      <c r="V246" s="454"/>
      <c r="W246" s="455"/>
      <c r="X246" s="454"/>
      <c r="Y246" s="455"/>
      <c r="Z246" s="454"/>
      <c r="AA246" s="455"/>
      <c r="AB246" s="454"/>
      <c r="AC246" s="455"/>
      <c r="AD246" s="454"/>
      <c r="AE246" s="455"/>
      <c r="AF246" s="454"/>
      <c r="AG246" s="455"/>
    </row>
    <row r="247" spans="1:33" x14ac:dyDescent="0.2">
      <c r="A247" s="415">
        <f t="shared" si="7"/>
        <v>1277</v>
      </c>
      <c r="B247" s="416" t="str">
        <f t="shared" si="8"/>
        <v>Autumn</v>
      </c>
      <c r="C247" s="453"/>
      <c r="D247" s="454"/>
      <c r="E247" s="455"/>
      <c r="F247" s="454"/>
      <c r="G247" s="455"/>
      <c r="H247" s="454"/>
      <c r="I247" s="455"/>
      <c r="J247" s="454"/>
      <c r="K247" s="455"/>
      <c r="L247" s="454"/>
      <c r="M247" s="455"/>
      <c r="N247" s="454"/>
      <c r="O247" s="455"/>
      <c r="P247" s="454"/>
      <c r="Q247" s="455"/>
      <c r="R247" s="454"/>
      <c r="S247" s="455"/>
      <c r="T247" s="454"/>
      <c r="U247" s="455"/>
      <c r="V247" s="454"/>
      <c r="W247" s="455"/>
      <c r="X247" s="454"/>
      <c r="Y247" s="455"/>
      <c r="Z247" s="454"/>
      <c r="AA247" s="455"/>
      <c r="AB247" s="454"/>
      <c r="AC247" s="455"/>
      <c r="AD247" s="454"/>
      <c r="AE247" s="455"/>
      <c r="AF247" s="454"/>
      <c r="AG247" s="455"/>
    </row>
    <row r="248" spans="1:33" x14ac:dyDescent="0.2">
      <c r="A248" s="415">
        <f t="shared" si="7"/>
        <v>1278</v>
      </c>
      <c r="B248" s="416" t="str">
        <f t="shared" si="8"/>
        <v>Winter</v>
      </c>
      <c r="C248" s="453"/>
      <c r="D248" s="454"/>
      <c r="E248" s="455"/>
      <c r="F248" s="454"/>
      <c r="G248" s="455"/>
      <c r="H248" s="454"/>
      <c r="I248" s="455"/>
      <c r="J248" s="454"/>
      <c r="K248" s="455"/>
      <c r="L248" s="454"/>
      <c r="M248" s="455"/>
      <c r="N248" s="454"/>
      <c r="O248" s="455"/>
      <c r="P248" s="454"/>
      <c r="Q248" s="455"/>
      <c r="R248" s="454"/>
      <c r="S248" s="455"/>
      <c r="T248" s="454"/>
      <c r="U248" s="455"/>
      <c r="V248" s="454"/>
      <c r="W248" s="455"/>
      <c r="X248" s="454"/>
      <c r="Y248" s="455"/>
      <c r="Z248" s="454"/>
      <c r="AA248" s="455"/>
      <c r="AB248" s="454"/>
      <c r="AC248" s="455"/>
      <c r="AD248" s="454"/>
      <c r="AE248" s="455"/>
      <c r="AF248" s="454"/>
      <c r="AG248" s="455"/>
    </row>
    <row r="249" spans="1:33" x14ac:dyDescent="0.2">
      <c r="A249" s="415">
        <f t="shared" si="7"/>
        <v>1278</v>
      </c>
      <c r="B249" s="416" t="str">
        <f t="shared" si="8"/>
        <v>Spring</v>
      </c>
      <c r="C249" s="453"/>
      <c r="D249" s="454"/>
      <c r="E249" s="455"/>
      <c r="F249" s="454"/>
      <c r="G249" s="455"/>
      <c r="H249" s="454"/>
      <c r="I249" s="455"/>
      <c r="J249" s="454"/>
      <c r="K249" s="455"/>
      <c r="L249" s="454"/>
      <c r="M249" s="455"/>
      <c r="N249" s="454"/>
      <c r="O249" s="455"/>
      <c r="P249" s="454"/>
      <c r="Q249" s="455"/>
      <c r="R249" s="454"/>
      <c r="S249" s="455"/>
      <c r="T249" s="454"/>
      <c r="U249" s="455"/>
      <c r="V249" s="454"/>
      <c r="W249" s="455"/>
      <c r="X249" s="454"/>
      <c r="Y249" s="455"/>
      <c r="Z249" s="454"/>
      <c r="AA249" s="455"/>
      <c r="AB249" s="454"/>
      <c r="AC249" s="455"/>
      <c r="AD249" s="454"/>
      <c r="AE249" s="455"/>
      <c r="AF249" s="454"/>
      <c r="AG249" s="455"/>
    </row>
    <row r="250" spans="1:33" x14ac:dyDescent="0.2">
      <c r="A250" s="415">
        <f t="shared" si="7"/>
        <v>1278</v>
      </c>
      <c r="B250" s="416" t="str">
        <f t="shared" si="8"/>
        <v>Summer</v>
      </c>
      <c r="C250" s="453"/>
      <c r="D250" s="454"/>
      <c r="E250" s="455"/>
      <c r="F250" s="454"/>
      <c r="G250" s="455"/>
      <c r="H250" s="454"/>
      <c r="I250" s="455"/>
      <c r="J250" s="454"/>
      <c r="K250" s="455"/>
      <c r="L250" s="454"/>
      <c r="M250" s="455"/>
      <c r="N250" s="454"/>
      <c r="O250" s="455"/>
      <c r="P250" s="454"/>
      <c r="Q250" s="455"/>
      <c r="R250" s="454"/>
      <c r="S250" s="455"/>
      <c r="T250" s="454"/>
      <c r="U250" s="455"/>
      <c r="V250" s="454"/>
      <c r="W250" s="455"/>
      <c r="X250" s="454"/>
      <c r="Y250" s="455"/>
      <c r="Z250" s="454"/>
      <c r="AA250" s="455"/>
      <c r="AB250" s="454"/>
      <c r="AC250" s="455"/>
      <c r="AD250" s="454"/>
      <c r="AE250" s="455"/>
      <c r="AF250" s="454"/>
      <c r="AG250" s="455"/>
    </row>
    <row r="251" spans="1:33" x14ac:dyDescent="0.2">
      <c r="A251" s="415">
        <f t="shared" si="7"/>
        <v>1278</v>
      </c>
      <c r="B251" s="416" t="str">
        <f t="shared" si="8"/>
        <v>Autumn</v>
      </c>
      <c r="C251" s="453"/>
      <c r="D251" s="454"/>
      <c r="E251" s="455"/>
      <c r="F251" s="454"/>
      <c r="G251" s="455"/>
      <c r="H251" s="454"/>
      <c r="I251" s="455"/>
      <c r="J251" s="454"/>
      <c r="K251" s="455"/>
      <c r="L251" s="454"/>
      <c r="M251" s="455"/>
      <c r="N251" s="454"/>
      <c r="O251" s="455"/>
      <c r="P251" s="454"/>
      <c r="Q251" s="455"/>
      <c r="R251" s="454"/>
      <c r="S251" s="455"/>
      <c r="T251" s="454"/>
      <c r="U251" s="455"/>
      <c r="V251" s="454"/>
      <c r="W251" s="455"/>
      <c r="X251" s="454"/>
      <c r="Y251" s="455"/>
      <c r="Z251" s="454"/>
      <c r="AA251" s="455"/>
      <c r="AB251" s="454"/>
      <c r="AC251" s="455"/>
      <c r="AD251" s="454"/>
      <c r="AE251" s="455"/>
      <c r="AF251" s="454"/>
      <c r="AG251" s="455"/>
    </row>
    <row r="252" spans="1:33" x14ac:dyDescent="0.2">
      <c r="A252" s="415">
        <f t="shared" si="7"/>
        <v>1279</v>
      </c>
      <c r="B252" s="416" t="str">
        <f t="shared" si="8"/>
        <v>Winter</v>
      </c>
      <c r="C252" s="453"/>
      <c r="D252" s="454"/>
      <c r="E252" s="455"/>
      <c r="F252" s="454"/>
      <c r="G252" s="455"/>
      <c r="H252" s="454"/>
      <c r="I252" s="455"/>
      <c r="J252" s="454"/>
      <c r="K252" s="455"/>
      <c r="L252" s="454"/>
      <c r="M252" s="455"/>
      <c r="N252" s="454"/>
      <c r="O252" s="455"/>
      <c r="P252" s="454"/>
      <c r="Q252" s="455"/>
      <c r="R252" s="454"/>
      <c r="S252" s="455"/>
      <c r="T252" s="454"/>
      <c r="U252" s="455"/>
      <c r="V252" s="454"/>
      <c r="W252" s="455"/>
      <c r="X252" s="454"/>
      <c r="Y252" s="455"/>
      <c r="Z252" s="454"/>
      <c r="AA252" s="455"/>
      <c r="AB252" s="454"/>
      <c r="AC252" s="455"/>
      <c r="AD252" s="454"/>
      <c r="AE252" s="455"/>
      <c r="AF252" s="454"/>
      <c r="AG252" s="455"/>
    </row>
    <row r="253" spans="1:33" x14ac:dyDescent="0.2">
      <c r="A253" s="415">
        <f t="shared" si="7"/>
        <v>1279</v>
      </c>
      <c r="B253" s="416" t="str">
        <f t="shared" si="8"/>
        <v>Spring</v>
      </c>
      <c r="C253" s="453"/>
      <c r="D253" s="454"/>
      <c r="E253" s="455"/>
      <c r="F253" s="454"/>
      <c r="G253" s="455"/>
      <c r="H253" s="454"/>
      <c r="I253" s="455"/>
      <c r="J253" s="454"/>
      <c r="K253" s="455"/>
      <c r="L253" s="454"/>
      <c r="M253" s="455"/>
      <c r="N253" s="454"/>
      <c r="O253" s="455"/>
      <c r="P253" s="454"/>
      <c r="Q253" s="455"/>
      <c r="R253" s="454"/>
      <c r="S253" s="455"/>
      <c r="T253" s="454"/>
      <c r="U253" s="455"/>
      <c r="V253" s="454"/>
      <c r="W253" s="455"/>
      <c r="X253" s="454"/>
      <c r="Y253" s="455"/>
      <c r="Z253" s="454"/>
      <c r="AA253" s="455"/>
      <c r="AB253" s="454"/>
      <c r="AC253" s="455"/>
      <c r="AD253" s="454"/>
      <c r="AE253" s="455"/>
      <c r="AF253" s="454"/>
      <c r="AG253" s="455"/>
    </row>
    <row r="254" spans="1:33" x14ac:dyDescent="0.2">
      <c r="A254" s="415">
        <f t="shared" si="7"/>
        <v>1279</v>
      </c>
      <c r="B254" s="416" t="str">
        <f t="shared" si="8"/>
        <v>Summer</v>
      </c>
      <c r="C254" s="453"/>
      <c r="D254" s="454"/>
      <c r="E254" s="455"/>
      <c r="F254" s="454"/>
      <c r="G254" s="455"/>
      <c r="H254" s="454"/>
      <c r="I254" s="455"/>
      <c r="J254" s="454"/>
      <c r="K254" s="455"/>
      <c r="L254" s="454"/>
      <c r="M254" s="455"/>
      <c r="N254" s="454"/>
      <c r="O254" s="455"/>
      <c r="P254" s="454"/>
      <c r="Q254" s="455"/>
      <c r="R254" s="454"/>
      <c r="S254" s="455"/>
      <c r="T254" s="454"/>
      <c r="U254" s="455"/>
      <c r="V254" s="454"/>
      <c r="W254" s="455"/>
      <c r="X254" s="454"/>
      <c r="Y254" s="455"/>
      <c r="Z254" s="454"/>
      <c r="AA254" s="455"/>
      <c r="AB254" s="454"/>
      <c r="AC254" s="455"/>
      <c r="AD254" s="454"/>
      <c r="AE254" s="455"/>
      <c r="AF254" s="454"/>
      <c r="AG254" s="455"/>
    </row>
    <row r="255" spans="1:33" x14ac:dyDescent="0.2">
      <c r="A255" s="415">
        <f t="shared" si="7"/>
        <v>1279</v>
      </c>
      <c r="B255" s="416" t="str">
        <f t="shared" si="8"/>
        <v>Autumn</v>
      </c>
      <c r="C255" s="453"/>
      <c r="D255" s="454"/>
      <c r="E255" s="455"/>
      <c r="F255" s="454"/>
      <c r="G255" s="455"/>
      <c r="H255" s="454"/>
      <c r="I255" s="455"/>
      <c r="J255" s="454"/>
      <c r="K255" s="455"/>
      <c r="L255" s="454"/>
      <c r="M255" s="455"/>
      <c r="N255" s="454"/>
      <c r="O255" s="455"/>
      <c r="P255" s="454"/>
      <c r="Q255" s="455"/>
      <c r="R255" s="454"/>
      <c r="S255" s="455"/>
      <c r="T255" s="454"/>
      <c r="U255" s="455"/>
      <c r="V255" s="454"/>
      <c r="W255" s="455"/>
      <c r="X255" s="454"/>
      <c r="Y255" s="455"/>
      <c r="Z255" s="454"/>
      <c r="AA255" s="455"/>
      <c r="AB255" s="454"/>
      <c r="AC255" s="455"/>
      <c r="AD255" s="454"/>
      <c r="AE255" s="455"/>
      <c r="AF255" s="454"/>
      <c r="AG255" s="455"/>
    </row>
    <row r="256" spans="1:33" x14ac:dyDescent="0.2">
      <c r="A256" s="415">
        <f t="shared" si="7"/>
        <v>1280</v>
      </c>
      <c r="B256" s="416" t="str">
        <f t="shared" si="8"/>
        <v>Winter</v>
      </c>
      <c r="C256" s="453"/>
      <c r="D256" s="454"/>
      <c r="E256" s="455"/>
      <c r="F256" s="454"/>
      <c r="G256" s="455"/>
      <c r="H256" s="454"/>
      <c r="I256" s="455"/>
      <c r="J256" s="454"/>
      <c r="K256" s="455"/>
      <c r="L256" s="454"/>
      <c r="M256" s="455"/>
      <c r="N256" s="454"/>
      <c r="O256" s="455"/>
      <c r="P256" s="454"/>
      <c r="Q256" s="455"/>
      <c r="R256" s="454"/>
      <c r="S256" s="455"/>
      <c r="T256" s="454"/>
      <c r="U256" s="455"/>
      <c r="V256" s="454"/>
      <c r="W256" s="455"/>
      <c r="X256" s="454"/>
      <c r="Y256" s="455"/>
      <c r="Z256" s="454"/>
      <c r="AA256" s="455"/>
      <c r="AB256" s="454"/>
      <c r="AC256" s="455"/>
      <c r="AD256" s="454"/>
      <c r="AE256" s="455"/>
      <c r="AF256" s="454"/>
      <c r="AG256" s="455"/>
    </row>
    <row r="257" spans="1:33" x14ac:dyDescent="0.2">
      <c r="A257" s="415">
        <f t="shared" si="7"/>
        <v>1280</v>
      </c>
      <c r="B257" s="416" t="str">
        <f t="shared" si="8"/>
        <v>Spring</v>
      </c>
      <c r="C257" s="453"/>
      <c r="D257" s="454"/>
      <c r="E257" s="455"/>
      <c r="F257" s="454"/>
      <c r="G257" s="455"/>
      <c r="H257" s="454"/>
      <c r="I257" s="455"/>
      <c r="J257" s="454"/>
      <c r="K257" s="455"/>
      <c r="L257" s="454"/>
      <c r="M257" s="455"/>
      <c r="N257" s="454"/>
      <c r="O257" s="455"/>
      <c r="P257" s="454"/>
      <c r="Q257" s="455"/>
      <c r="R257" s="454"/>
      <c r="S257" s="455"/>
      <c r="T257" s="454"/>
      <c r="U257" s="455"/>
      <c r="V257" s="454"/>
      <c r="W257" s="455"/>
      <c r="X257" s="454"/>
      <c r="Y257" s="455"/>
      <c r="Z257" s="454"/>
      <c r="AA257" s="455"/>
      <c r="AB257" s="454"/>
      <c r="AC257" s="455"/>
      <c r="AD257" s="454"/>
      <c r="AE257" s="455"/>
      <c r="AF257" s="454"/>
      <c r="AG257" s="455"/>
    </row>
    <row r="258" spans="1:33" x14ac:dyDescent="0.2">
      <c r="A258" s="415">
        <f t="shared" si="7"/>
        <v>1280</v>
      </c>
      <c r="B258" s="416" t="str">
        <f t="shared" si="8"/>
        <v>Summer</v>
      </c>
      <c r="C258" s="453"/>
      <c r="D258" s="454"/>
      <c r="E258" s="455"/>
      <c r="F258" s="454"/>
      <c r="G258" s="455"/>
      <c r="H258" s="454"/>
      <c r="I258" s="455"/>
      <c r="J258" s="454"/>
      <c r="K258" s="455"/>
      <c r="L258" s="454"/>
      <c r="M258" s="455"/>
      <c r="N258" s="454"/>
      <c r="O258" s="455"/>
      <c r="P258" s="454"/>
      <c r="Q258" s="455"/>
      <c r="R258" s="454"/>
      <c r="S258" s="455"/>
      <c r="T258" s="454"/>
      <c r="U258" s="455"/>
      <c r="V258" s="454"/>
      <c r="W258" s="455"/>
      <c r="X258" s="454"/>
      <c r="Y258" s="455"/>
      <c r="Z258" s="454"/>
      <c r="AA258" s="455"/>
      <c r="AB258" s="454"/>
      <c r="AC258" s="455"/>
      <c r="AD258" s="454"/>
      <c r="AE258" s="455"/>
      <c r="AF258" s="454"/>
      <c r="AG258" s="455"/>
    </row>
    <row r="259" spans="1:33" x14ac:dyDescent="0.2">
      <c r="A259" s="415">
        <f t="shared" si="7"/>
        <v>1280</v>
      </c>
      <c r="B259" s="416" t="str">
        <f t="shared" si="8"/>
        <v>Autumn</v>
      </c>
      <c r="C259" s="453"/>
      <c r="D259" s="454"/>
      <c r="E259" s="455"/>
      <c r="F259" s="454"/>
      <c r="G259" s="455"/>
      <c r="H259" s="454"/>
      <c r="I259" s="455"/>
      <c r="J259" s="454"/>
      <c r="K259" s="455"/>
      <c r="L259" s="454"/>
      <c r="M259" s="455"/>
      <c r="N259" s="454"/>
      <c r="O259" s="455"/>
      <c r="P259" s="454"/>
      <c r="Q259" s="455"/>
      <c r="R259" s="454"/>
      <c r="S259" s="455"/>
      <c r="T259" s="454"/>
      <c r="U259" s="455"/>
      <c r="V259" s="454"/>
      <c r="W259" s="455"/>
      <c r="X259" s="454"/>
      <c r="Y259" s="455"/>
      <c r="Z259" s="454"/>
      <c r="AA259" s="455"/>
      <c r="AB259" s="454"/>
      <c r="AC259" s="455"/>
      <c r="AD259" s="454"/>
      <c r="AE259" s="455"/>
      <c r="AF259" s="454"/>
      <c r="AG259" s="455"/>
    </row>
    <row r="260" spans="1:33" x14ac:dyDescent="0.2">
      <c r="A260" s="415">
        <f t="shared" si="7"/>
        <v>1281</v>
      </c>
      <c r="B260" s="416" t="str">
        <f t="shared" si="8"/>
        <v>Winter</v>
      </c>
      <c r="C260" s="453"/>
      <c r="D260" s="454"/>
      <c r="E260" s="455"/>
      <c r="F260" s="454"/>
      <c r="G260" s="455"/>
      <c r="H260" s="454"/>
      <c r="I260" s="455"/>
      <c r="J260" s="454"/>
      <c r="K260" s="455"/>
      <c r="L260" s="454"/>
      <c r="M260" s="455"/>
      <c r="N260" s="454"/>
      <c r="O260" s="455"/>
      <c r="P260" s="454"/>
      <c r="Q260" s="455"/>
      <c r="R260" s="454"/>
      <c r="S260" s="455"/>
      <c r="T260" s="454"/>
      <c r="U260" s="455"/>
      <c r="V260" s="454"/>
      <c r="W260" s="455"/>
      <c r="X260" s="454"/>
      <c r="Y260" s="455"/>
      <c r="Z260" s="454"/>
      <c r="AA260" s="455"/>
      <c r="AB260" s="454"/>
      <c r="AC260" s="455"/>
      <c r="AD260" s="454"/>
      <c r="AE260" s="455"/>
      <c r="AF260" s="454"/>
      <c r="AG260" s="455"/>
    </row>
    <row r="261" spans="1:33" x14ac:dyDescent="0.2">
      <c r="A261" s="415">
        <f t="shared" ref="A261:A324" si="9">IF(B260="Autumn",A260+1,A260)</f>
        <v>1281</v>
      </c>
      <c r="B261" s="416" t="str">
        <f t="shared" si="8"/>
        <v>Spring</v>
      </c>
      <c r="C261" s="453"/>
      <c r="D261" s="454"/>
      <c r="E261" s="455"/>
      <c r="F261" s="454"/>
      <c r="G261" s="455"/>
      <c r="H261" s="454"/>
      <c r="I261" s="455"/>
      <c r="J261" s="454"/>
      <c r="K261" s="455"/>
      <c r="L261" s="454"/>
      <c r="M261" s="455"/>
      <c r="N261" s="454"/>
      <c r="O261" s="455"/>
      <c r="P261" s="454"/>
      <c r="Q261" s="455"/>
      <c r="R261" s="454"/>
      <c r="S261" s="455"/>
      <c r="T261" s="454"/>
      <c r="U261" s="455"/>
      <c r="V261" s="454"/>
      <c r="W261" s="455"/>
      <c r="X261" s="454"/>
      <c r="Y261" s="455"/>
      <c r="Z261" s="454"/>
      <c r="AA261" s="455"/>
      <c r="AB261" s="454"/>
      <c r="AC261" s="455"/>
      <c r="AD261" s="454"/>
      <c r="AE261" s="455"/>
      <c r="AF261" s="454"/>
      <c r="AG261" s="455"/>
    </row>
    <row r="262" spans="1:33" x14ac:dyDescent="0.2">
      <c r="A262" s="415">
        <f t="shared" si="9"/>
        <v>1281</v>
      </c>
      <c r="B262" s="416" t="str">
        <f t="shared" si="8"/>
        <v>Summer</v>
      </c>
      <c r="C262" s="453"/>
      <c r="D262" s="454"/>
      <c r="E262" s="455"/>
      <c r="F262" s="454"/>
      <c r="G262" s="455"/>
      <c r="H262" s="454"/>
      <c r="I262" s="455"/>
      <c r="J262" s="454"/>
      <c r="K262" s="455"/>
      <c r="L262" s="454"/>
      <c r="M262" s="455"/>
      <c r="N262" s="454"/>
      <c r="O262" s="455"/>
      <c r="P262" s="454"/>
      <c r="Q262" s="455"/>
      <c r="R262" s="454"/>
      <c r="S262" s="455"/>
      <c r="T262" s="454"/>
      <c r="U262" s="455"/>
      <c r="V262" s="454"/>
      <c r="W262" s="455"/>
      <c r="X262" s="454"/>
      <c r="Y262" s="455"/>
      <c r="Z262" s="454"/>
      <c r="AA262" s="455"/>
      <c r="AB262" s="454"/>
      <c r="AC262" s="455"/>
      <c r="AD262" s="454"/>
      <c r="AE262" s="455"/>
      <c r="AF262" s="454"/>
      <c r="AG262" s="455"/>
    </row>
    <row r="263" spans="1:33" x14ac:dyDescent="0.2">
      <c r="A263" s="415">
        <f t="shared" si="9"/>
        <v>1281</v>
      </c>
      <c r="B263" s="416" t="str">
        <f t="shared" si="8"/>
        <v>Autumn</v>
      </c>
      <c r="C263" s="453"/>
      <c r="D263" s="454"/>
      <c r="E263" s="455"/>
      <c r="F263" s="454"/>
      <c r="G263" s="455"/>
      <c r="H263" s="454"/>
      <c r="I263" s="455"/>
      <c r="J263" s="454"/>
      <c r="K263" s="455"/>
      <c r="L263" s="454"/>
      <c r="M263" s="455"/>
      <c r="N263" s="454"/>
      <c r="O263" s="455"/>
      <c r="P263" s="454"/>
      <c r="Q263" s="455"/>
      <c r="R263" s="454"/>
      <c r="S263" s="455"/>
      <c r="T263" s="454"/>
      <c r="U263" s="455"/>
      <c r="V263" s="454"/>
      <c r="W263" s="455"/>
      <c r="X263" s="454"/>
      <c r="Y263" s="455"/>
      <c r="Z263" s="454"/>
      <c r="AA263" s="455"/>
      <c r="AB263" s="454"/>
      <c r="AC263" s="455"/>
      <c r="AD263" s="454"/>
      <c r="AE263" s="455"/>
      <c r="AF263" s="454"/>
      <c r="AG263" s="455"/>
    </row>
    <row r="264" spans="1:33" x14ac:dyDescent="0.2">
      <c r="A264" s="415">
        <f t="shared" si="9"/>
        <v>1282</v>
      </c>
      <c r="B264" s="416" t="str">
        <f t="shared" si="8"/>
        <v>Winter</v>
      </c>
      <c r="C264" s="453"/>
      <c r="D264" s="454"/>
      <c r="E264" s="455"/>
      <c r="F264" s="454"/>
      <c r="G264" s="455"/>
      <c r="H264" s="454"/>
      <c r="I264" s="455"/>
      <c r="J264" s="454"/>
      <c r="K264" s="455"/>
      <c r="L264" s="454"/>
      <c r="M264" s="455"/>
      <c r="N264" s="454"/>
      <c r="O264" s="455"/>
      <c r="P264" s="454"/>
      <c r="Q264" s="455"/>
      <c r="R264" s="454"/>
      <c r="S264" s="455"/>
      <c r="T264" s="454"/>
      <c r="U264" s="455"/>
      <c r="V264" s="454"/>
      <c r="W264" s="455"/>
      <c r="X264" s="454"/>
      <c r="Y264" s="455"/>
      <c r="Z264" s="454"/>
      <c r="AA264" s="455"/>
      <c r="AB264" s="454"/>
      <c r="AC264" s="455"/>
      <c r="AD264" s="454"/>
      <c r="AE264" s="455"/>
      <c r="AF264" s="454"/>
      <c r="AG264" s="455"/>
    </row>
    <row r="265" spans="1:33" x14ac:dyDescent="0.2">
      <c r="A265" s="415">
        <f t="shared" si="9"/>
        <v>1282</v>
      </c>
      <c r="B265" s="416" t="str">
        <f t="shared" si="8"/>
        <v>Spring</v>
      </c>
      <c r="C265" s="453"/>
      <c r="D265" s="454"/>
      <c r="E265" s="455"/>
      <c r="F265" s="454"/>
      <c r="G265" s="455"/>
      <c r="H265" s="454"/>
      <c r="I265" s="455"/>
      <c r="J265" s="454"/>
      <c r="K265" s="455"/>
      <c r="L265" s="454"/>
      <c r="M265" s="455"/>
      <c r="N265" s="454"/>
      <c r="O265" s="455"/>
      <c r="P265" s="454"/>
      <c r="Q265" s="455"/>
      <c r="R265" s="454"/>
      <c r="S265" s="455"/>
      <c r="T265" s="454"/>
      <c r="U265" s="455"/>
      <c r="V265" s="454"/>
      <c r="W265" s="455"/>
      <c r="X265" s="454"/>
      <c r="Y265" s="455"/>
      <c r="Z265" s="454"/>
      <c r="AA265" s="455"/>
      <c r="AB265" s="454"/>
      <c r="AC265" s="455"/>
      <c r="AD265" s="454"/>
      <c r="AE265" s="455"/>
      <c r="AF265" s="454"/>
      <c r="AG265" s="455"/>
    </row>
    <row r="266" spans="1:33" x14ac:dyDescent="0.2">
      <c r="A266" s="415">
        <f t="shared" si="9"/>
        <v>1282</v>
      </c>
      <c r="B266" s="416" t="str">
        <f t="shared" si="8"/>
        <v>Summer</v>
      </c>
      <c r="C266" s="453"/>
      <c r="D266" s="454"/>
      <c r="E266" s="455"/>
      <c r="F266" s="454"/>
      <c r="G266" s="455"/>
      <c r="H266" s="454"/>
      <c r="I266" s="455"/>
      <c r="J266" s="454"/>
      <c r="K266" s="455"/>
      <c r="L266" s="454"/>
      <c r="M266" s="455"/>
      <c r="N266" s="454"/>
      <c r="O266" s="455"/>
      <c r="P266" s="454"/>
      <c r="Q266" s="455"/>
      <c r="R266" s="454"/>
      <c r="S266" s="455"/>
      <c r="T266" s="454"/>
      <c r="U266" s="455"/>
      <c r="V266" s="454"/>
      <c r="W266" s="455"/>
      <c r="X266" s="454"/>
      <c r="Y266" s="455"/>
      <c r="Z266" s="454"/>
      <c r="AA266" s="455"/>
      <c r="AB266" s="454"/>
      <c r="AC266" s="455"/>
      <c r="AD266" s="454"/>
      <c r="AE266" s="455"/>
      <c r="AF266" s="454"/>
      <c r="AG266" s="455"/>
    </row>
    <row r="267" spans="1:33" x14ac:dyDescent="0.2">
      <c r="A267" s="415">
        <f t="shared" si="9"/>
        <v>1282</v>
      </c>
      <c r="B267" s="416" t="str">
        <f t="shared" si="8"/>
        <v>Autumn</v>
      </c>
      <c r="C267" s="453"/>
      <c r="D267" s="454"/>
      <c r="E267" s="455"/>
      <c r="F267" s="454"/>
      <c r="G267" s="455"/>
      <c r="H267" s="454"/>
      <c r="I267" s="455"/>
      <c r="J267" s="454"/>
      <c r="K267" s="455"/>
      <c r="L267" s="454"/>
      <c r="M267" s="455"/>
      <c r="N267" s="454"/>
      <c r="O267" s="455"/>
      <c r="P267" s="454"/>
      <c r="Q267" s="455"/>
      <c r="R267" s="454"/>
      <c r="S267" s="455"/>
      <c r="T267" s="454"/>
      <c r="U267" s="455"/>
      <c r="V267" s="454"/>
      <c r="W267" s="455"/>
      <c r="X267" s="454"/>
      <c r="Y267" s="455"/>
      <c r="Z267" s="454"/>
      <c r="AA267" s="455"/>
      <c r="AB267" s="454"/>
      <c r="AC267" s="455"/>
      <c r="AD267" s="454"/>
      <c r="AE267" s="455"/>
      <c r="AF267" s="454"/>
      <c r="AG267" s="455"/>
    </row>
    <row r="268" spans="1:33" x14ac:dyDescent="0.2">
      <c r="A268" s="415">
        <f t="shared" si="9"/>
        <v>1283</v>
      </c>
      <c r="B268" s="416" t="str">
        <f t="shared" si="8"/>
        <v>Winter</v>
      </c>
      <c r="C268" s="453"/>
      <c r="D268" s="454"/>
      <c r="E268" s="455"/>
      <c r="F268" s="454"/>
      <c r="G268" s="455"/>
      <c r="H268" s="454"/>
      <c r="I268" s="455"/>
      <c r="J268" s="454"/>
      <c r="K268" s="455"/>
      <c r="L268" s="454"/>
      <c r="M268" s="455"/>
      <c r="N268" s="454"/>
      <c r="O268" s="455"/>
      <c r="P268" s="454"/>
      <c r="Q268" s="455"/>
      <c r="R268" s="454"/>
      <c r="S268" s="455"/>
      <c r="T268" s="454"/>
      <c r="U268" s="455"/>
      <c r="V268" s="454"/>
      <c r="W268" s="455"/>
      <c r="X268" s="454"/>
      <c r="Y268" s="455"/>
      <c r="Z268" s="454"/>
      <c r="AA268" s="455"/>
      <c r="AB268" s="454"/>
      <c r="AC268" s="455"/>
      <c r="AD268" s="454"/>
      <c r="AE268" s="455"/>
      <c r="AF268" s="454"/>
      <c r="AG268" s="455"/>
    </row>
    <row r="269" spans="1:33" x14ac:dyDescent="0.2">
      <c r="A269" s="415">
        <f t="shared" si="9"/>
        <v>1283</v>
      </c>
      <c r="B269" s="416" t="str">
        <f t="shared" si="8"/>
        <v>Spring</v>
      </c>
      <c r="C269" s="453"/>
      <c r="D269" s="454"/>
      <c r="E269" s="455"/>
      <c r="F269" s="454"/>
      <c r="G269" s="455"/>
      <c r="H269" s="454"/>
      <c r="I269" s="455"/>
      <c r="J269" s="454"/>
      <c r="K269" s="455"/>
      <c r="L269" s="454"/>
      <c r="M269" s="455"/>
      <c r="N269" s="454"/>
      <c r="O269" s="455"/>
      <c r="P269" s="454"/>
      <c r="Q269" s="455"/>
      <c r="R269" s="454"/>
      <c r="S269" s="455"/>
      <c r="T269" s="454"/>
      <c r="U269" s="455"/>
      <c r="V269" s="454"/>
      <c r="W269" s="455"/>
      <c r="X269" s="454"/>
      <c r="Y269" s="455"/>
      <c r="Z269" s="454"/>
      <c r="AA269" s="455"/>
      <c r="AB269" s="454"/>
      <c r="AC269" s="455"/>
      <c r="AD269" s="454"/>
      <c r="AE269" s="455"/>
      <c r="AF269" s="454"/>
      <c r="AG269" s="455"/>
    </row>
    <row r="270" spans="1:33" x14ac:dyDescent="0.2">
      <c r="A270" s="415">
        <f t="shared" si="9"/>
        <v>1283</v>
      </c>
      <c r="B270" s="416" t="str">
        <f t="shared" si="8"/>
        <v>Summer</v>
      </c>
      <c r="C270" s="453"/>
      <c r="D270" s="454"/>
      <c r="E270" s="455"/>
      <c r="F270" s="454"/>
      <c r="G270" s="455"/>
      <c r="H270" s="454"/>
      <c r="I270" s="455"/>
      <c r="J270" s="454"/>
      <c r="K270" s="455"/>
      <c r="L270" s="454"/>
      <c r="M270" s="455"/>
      <c r="N270" s="454"/>
      <c r="O270" s="455"/>
      <c r="P270" s="454"/>
      <c r="Q270" s="455"/>
      <c r="R270" s="454"/>
      <c r="S270" s="455"/>
      <c r="T270" s="454"/>
      <c r="U270" s="455"/>
      <c r="V270" s="454"/>
      <c r="W270" s="455"/>
      <c r="X270" s="454"/>
      <c r="Y270" s="455"/>
      <c r="Z270" s="454"/>
      <c r="AA270" s="455"/>
      <c r="AB270" s="454"/>
      <c r="AC270" s="455"/>
      <c r="AD270" s="454"/>
      <c r="AE270" s="455"/>
      <c r="AF270" s="454"/>
      <c r="AG270" s="455"/>
    </row>
    <row r="271" spans="1:33" x14ac:dyDescent="0.2">
      <c r="A271" s="415">
        <f t="shared" si="9"/>
        <v>1283</v>
      </c>
      <c r="B271" s="416" t="str">
        <f t="shared" si="8"/>
        <v>Autumn</v>
      </c>
      <c r="C271" s="453"/>
      <c r="D271" s="454"/>
      <c r="E271" s="455"/>
      <c r="F271" s="454"/>
      <c r="G271" s="455"/>
      <c r="H271" s="454"/>
      <c r="I271" s="455"/>
      <c r="J271" s="454"/>
      <c r="K271" s="455"/>
      <c r="L271" s="454"/>
      <c r="M271" s="455"/>
      <c r="N271" s="454"/>
      <c r="O271" s="455"/>
      <c r="P271" s="454"/>
      <c r="Q271" s="455"/>
      <c r="R271" s="454"/>
      <c r="S271" s="455"/>
      <c r="T271" s="454"/>
      <c r="U271" s="455"/>
      <c r="V271" s="454"/>
      <c r="W271" s="455"/>
      <c r="X271" s="454"/>
      <c r="Y271" s="455"/>
      <c r="Z271" s="454"/>
      <c r="AA271" s="455"/>
      <c r="AB271" s="454"/>
      <c r="AC271" s="455"/>
      <c r="AD271" s="454"/>
      <c r="AE271" s="455"/>
      <c r="AF271" s="454"/>
      <c r="AG271" s="455"/>
    </row>
    <row r="272" spans="1:33" x14ac:dyDescent="0.2">
      <c r="A272" s="415">
        <f t="shared" si="9"/>
        <v>1284</v>
      </c>
      <c r="B272" s="416" t="str">
        <f t="shared" si="8"/>
        <v>Winter</v>
      </c>
      <c r="C272" s="453"/>
      <c r="D272" s="454"/>
      <c r="E272" s="455"/>
      <c r="F272" s="454"/>
      <c r="G272" s="455"/>
      <c r="H272" s="454"/>
      <c r="I272" s="455"/>
      <c r="J272" s="454"/>
      <c r="K272" s="455"/>
      <c r="L272" s="454"/>
      <c r="M272" s="455"/>
      <c r="N272" s="454"/>
      <c r="O272" s="455"/>
      <c r="P272" s="454"/>
      <c r="Q272" s="455"/>
      <c r="R272" s="454"/>
      <c r="S272" s="455"/>
      <c r="T272" s="454"/>
      <c r="U272" s="455"/>
      <c r="V272" s="454"/>
      <c r="W272" s="455"/>
      <c r="X272" s="454"/>
      <c r="Y272" s="455"/>
      <c r="Z272" s="454"/>
      <c r="AA272" s="455"/>
      <c r="AB272" s="454"/>
      <c r="AC272" s="455"/>
      <c r="AD272" s="454"/>
      <c r="AE272" s="455"/>
      <c r="AF272" s="454"/>
      <c r="AG272" s="455"/>
    </row>
    <row r="273" spans="1:33" x14ac:dyDescent="0.2">
      <c r="A273" s="415">
        <f t="shared" si="9"/>
        <v>1284</v>
      </c>
      <c r="B273" s="416" t="str">
        <f t="shared" si="8"/>
        <v>Spring</v>
      </c>
      <c r="C273" s="453"/>
      <c r="D273" s="454"/>
      <c r="E273" s="455"/>
      <c r="F273" s="454"/>
      <c r="G273" s="455"/>
      <c r="H273" s="454"/>
      <c r="I273" s="455"/>
      <c r="J273" s="454"/>
      <c r="K273" s="455"/>
      <c r="L273" s="454"/>
      <c r="M273" s="455"/>
      <c r="N273" s="454"/>
      <c r="O273" s="455"/>
      <c r="P273" s="454"/>
      <c r="Q273" s="455"/>
      <c r="R273" s="454"/>
      <c r="S273" s="455"/>
      <c r="T273" s="454"/>
      <c r="U273" s="455"/>
      <c r="V273" s="454"/>
      <c r="W273" s="455"/>
      <c r="X273" s="454"/>
      <c r="Y273" s="455"/>
      <c r="Z273" s="454"/>
      <c r="AA273" s="455"/>
      <c r="AB273" s="454"/>
      <c r="AC273" s="455"/>
      <c r="AD273" s="454"/>
      <c r="AE273" s="455"/>
      <c r="AF273" s="454"/>
      <c r="AG273" s="455"/>
    </row>
    <row r="274" spans="1:33" x14ac:dyDescent="0.2">
      <c r="A274" s="415">
        <f t="shared" si="9"/>
        <v>1284</v>
      </c>
      <c r="B274" s="416" t="str">
        <f t="shared" si="8"/>
        <v>Summer</v>
      </c>
      <c r="C274" s="453"/>
      <c r="D274" s="454"/>
      <c r="E274" s="455"/>
      <c r="F274" s="454"/>
      <c r="G274" s="455"/>
      <c r="H274" s="454"/>
      <c r="I274" s="455"/>
      <c r="J274" s="454"/>
      <c r="K274" s="455"/>
      <c r="L274" s="454"/>
      <c r="M274" s="455"/>
      <c r="N274" s="454"/>
      <c r="O274" s="455"/>
      <c r="P274" s="454"/>
      <c r="Q274" s="455"/>
      <c r="R274" s="454"/>
      <c r="S274" s="455"/>
      <c r="T274" s="454"/>
      <c r="U274" s="455"/>
      <c r="V274" s="454"/>
      <c r="W274" s="455"/>
      <c r="X274" s="454"/>
      <c r="Y274" s="455"/>
      <c r="Z274" s="454"/>
      <c r="AA274" s="455"/>
      <c r="AB274" s="454"/>
      <c r="AC274" s="455"/>
      <c r="AD274" s="454"/>
      <c r="AE274" s="455"/>
      <c r="AF274" s="454"/>
      <c r="AG274" s="455"/>
    </row>
    <row r="275" spans="1:33" x14ac:dyDescent="0.2">
      <c r="A275" s="415">
        <f t="shared" si="9"/>
        <v>1284</v>
      </c>
      <c r="B275" s="416" t="str">
        <f t="shared" si="8"/>
        <v>Autumn</v>
      </c>
      <c r="C275" s="453"/>
      <c r="D275" s="454"/>
      <c r="E275" s="455"/>
      <c r="F275" s="454"/>
      <c r="G275" s="455"/>
      <c r="H275" s="454"/>
      <c r="I275" s="455"/>
      <c r="J275" s="454"/>
      <c r="K275" s="455"/>
      <c r="L275" s="454"/>
      <c r="M275" s="455"/>
      <c r="N275" s="454"/>
      <c r="O275" s="455"/>
      <c r="P275" s="454"/>
      <c r="Q275" s="455"/>
      <c r="R275" s="454"/>
      <c r="S275" s="455"/>
      <c r="T275" s="454"/>
      <c r="U275" s="455"/>
      <c r="V275" s="454"/>
      <c r="W275" s="455"/>
      <c r="X275" s="454"/>
      <c r="Y275" s="455"/>
      <c r="Z275" s="454"/>
      <c r="AA275" s="455"/>
      <c r="AB275" s="454"/>
      <c r="AC275" s="455"/>
      <c r="AD275" s="454"/>
      <c r="AE275" s="455"/>
      <c r="AF275" s="454"/>
      <c r="AG275" s="455"/>
    </row>
    <row r="276" spans="1:33" x14ac:dyDescent="0.2">
      <c r="A276" s="415">
        <f t="shared" si="9"/>
        <v>1285</v>
      </c>
      <c r="B276" s="416" t="str">
        <f t="shared" si="8"/>
        <v>Winter</v>
      </c>
      <c r="C276" s="453"/>
      <c r="D276" s="454"/>
      <c r="E276" s="455"/>
      <c r="F276" s="454"/>
      <c r="G276" s="455"/>
      <c r="H276" s="454"/>
      <c r="I276" s="455"/>
      <c r="J276" s="454"/>
      <c r="K276" s="455"/>
      <c r="L276" s="454"/>
      <c r="M276" s="455"/>
      <c r="N276" s="454"/>
      <c r="O276" s="455"/>
      <c r="P276" s="454"/>
      <c r="Q276" s="455"/>
      <c r="R276" s="454"/>
      <c r="S276" s="455"/>
      <c r="T276" s="454"/>
      <c r="U276" s="455"/>
      <c r="V276" s="454"/>
      <c r="W276" s="455"/>
      <c r="X276" s="454"/>
      <c r="Y276" s="455"/>
      <c r="Z276" s="454"/>
      <c r="AA276" s="455"/>
      <c r="AB276" s="454"/>
      <c r="AC276" s="455"/>
      <c r="AD276" s="454"/>
      <c r="AE276" s="455"/>
      <c r="AF276" s="454"/>
      <c r="AG276" s="455"/>
    </row>
    <row r="277" spans="1:33" x14ac:dyDescent="0.2">
      <c r="A277" s="415">
        <f t="shared" si="9"/>
        <v>1285</v>
      </c>
      <c r="B277" s="416" t="str">
        <f t="shared" si="8"/>
        <v>Spring</v>
      </c>
      <c r="C277" s="453"/>
      <c r="D277" s="454"/>
      <c r="E277" s="455"/>
      <c r="F277" s="454"/>
      <c r="G277" s="455"/>
      <c r="H277" s="454"/>
      <c r="I277" s="455"/>
      <c r="J277" s="454"/>
      <c r="K277" s="455"/>
      <c r="L277" s="454"/>
      <c r="M277" s="455"/>
      <c r="N277" s="454"/>
      <c r="O277" s="455"/>
      <c r="P277" s="454"/>
      <c r="Q277" s="455"/>
      <c r="R277" s="454"/>
      <c r="S277" s="455"/>
      <c r="T277" s="454"/>
      <c r="U277" s="455"/>
      <c r="V277" s="454"/>
      <c r="W277" s="455"/>
      <c r="X277" s="454"/>
      <c r="Y277" s="455"/>
      <c r="Z277" s="454"/>
      <c r="AA277" s="455"/>
      <c r="AB277" s="454"/>
      <c r="AC277" s="455"/>
      <c r="AD277" s="454"/>
      <c r="AE277" s="455"/>
      <c r="AF277" s="454"/>
      <c r="AG277" s="455"/>
    </row>
    <row r="278" spans="1:33" x14ac:dyDescent="0.2">
      <c r="A278" s="415">
        <f t="shared" si="9"/>
        <v>1285</v>
      </c>
      <c r="B278" s="416" t="str">
        <f t="shared" si="8"/>
        <v>Summer</v>
      </c>
      <c r="C278" s="453"/>
      <c r="D278" s="454"/>
      <c r="E278" s="455"/>
      <c r="F278" s="454"/>
      <c r="G278" s="455"/>
      <c r="H278" s="454"/>
      <c r="I278" s="455"/>
      <c r="J278" s="454"/>
      <c r="K278" s="455"/>
      <c r="L278" s="454"/>
      <c r="M278" s="455"/>
      <c r="N278" s="454"/>
      <c r="O278" s="455"/>
      <c r="P278" s="454"/>
      <c r="Q278" s="455"/>
      <c r="R278" s="454"/>
      <c r="S278" s="455"/>
      <c r="T278" s="454"/>
      <c r="U278" s="455"/>
      <c r="V278" s="454"/>
      <c r="W278" s="455"/>
      <c r="X278" s="454"/>
      <c r="Y278" s="455"/>
      <c r="Z278" s="454"/>
      <c r="AA278" s="455"/>
      <c r="AB278" s="454"/>
      <c r="AC278" s="455"/>
      <c r="AD278" s="454"/>
      <c r="AE278" s="455"/>
      <c r="AF278" s="454"/>
      <c r="AG278" s="455"/>
    </row>
    <row r="279" spans="1:33" x14ac:dyDescent="0.2">
      <c r="A279" s="415">
        <f t="shared" si="9"/>
        <v>1285</v>
      </c>
      <c r="B279" s="416" t="str">
        <f t="shared" si="8"/>
        <v>Autumn</v>
      </c>
      <c r="C279" s="453"/>
      <c r="D279" s="454"/>
      <c r="E279" s="455"/>
      <c r="F279" s="454"/>
      <c r="G279" s="455"/>
      <c r="H279" s="454"/>
      <c r="I279" s="455"/>
      <c r="J279" s="454"/>
      <c r="K279" s="455"/>
      <c r="L279" s="454"/>
      <c r="M279" s="455"/>
      <c r="N279" s="454"/>
      <c r="O279" s="455"/>
      <c r="P279" s="454"/>
      <c r="Q279" s="455"/>
      <c r="R279" s="454"/>
      <c r="S279" s="455"/>
      <c r="T279" s="454"/>
      <c r="U279" s="455"/>
      <c r="V279" s="454"/>
      <c r="W279" s="455"/>
      <c r="X279" s="454"/>
      <c r="Y279" s="455"/>
      <c r="Z279" s="454"/>
      <c r="AA279" s="455"/>
      <c r="AB279" s="454"/>
      <c r="AC279" s="455"/>
      <c r="AD279" s="454"/>
      <c r="AE279" s="455"/>
      <c r="AF279" s="454"/>
      <c r="AG279" s="455"/>
    </row>
    <row r="280" spans="1:33" x14ac:dyDescent="0.2">
      <c r="A280" s="415">
        <f t="shared" si="9"/>
        <v>1286</v>
      </c>
      <c r="B280" s="416" t="str">
        <f t="shared" si="8"/>
        <v>Winter</v>
      </c>
      <c r="C280" s="453"/>
      <c r="D280" s="454"/>
      <c r="E280" s="455"/>
      <c r="F280" s="454"/>
      <c r="G280" s="455"/>
      <c r="H280" s="454"/>
      <c r="I280" s="455"/>
      <c r="J280" s="454"/>
      <c r="K280" s="455"/>
      <c r="L280" s="454"/>
      <c r="M280" s="455"/>
      <c r="N280" s="454"/>
      <c r="O280" s="455"/>
      <c r="P280" s="454"/>
      <c r="Q280" s="455"/>
      <c r="R280" s="454"/>
      <c r="S280" s="455"/>
      <c r="T280" s="454"/>
      <c r="U280" s="455"/>
      <c r="V280" s="454"/>
      <c r="W280" s="455"/>
      <c r="X280" s="454"/>
      <c r="Y280" s="455"/>
      <c r="Z280" s="454"/>
      <c r="AA280" s="455"/>
      <c r="AB280" s="454"/>
      <c r="AC280" s="455"/>
      <c r="AD280" s="454"/>
      <c r="AE280" s="455"/>
      <c r="AF280" s="454"/>
      <c r="AG280" s="455"/>
    </row>
    <row r="281" spans="1:33" x14ac:dyDescent="0.2">
      <c r="A281" s="415">
        <f t="shared" si="9"/>
        <v>1286</v>
      </c>
      <c r="B281" s="416" t="str">
        <f t="shared" si="8"/>
        <v>Spring</v>
      </c>
      <c r="C281" s="453"/>
      <c r="D281" s="454"/>
      <c r="E281" s="455"/>
      <c r="F281" s="454"/>
      <c r="G281" s="455"/>
      <c r="H281" s="454"/>
      <c r="I281" s="455"/>
      <c r="J281" s="454"/>
      <c r="K281" s="455"/>
      <c r="L281" s="454"/>
      <c r="M281" s="455"/>
      <c r="N281" s="454"/>
      <c r="O281" s="455"/>
      <c r="P281" s="454"/>
      <c r="Q281" s="455"/>
      <c r="R281" s="454"/>
      <c r="S281" s="455"/>
      <c r="T281" s="454"/>
      <c r="U281" s="455"/>
      <c r="V281" s="454"/>
      <c r="W281" s="455"/>
      <c r="X281" s="454"/>
      <c r="Y281" s="455"/>
      <c r="Z281" s="454"/>
      <c r="AA281" s="455"/>
      <c r="AB281" s="454"/>
      <c r="AC281" s="455"/>
      <c r="AD281" s="454"/>
      <c r="AE281" s="455"/>
      <c r="AF281" s="454"/>
      <c r="AG281" s="455"/>
    </row>
    <row r="282" spans="1:33" x14ac:dyDescent="0.2">
      <c r="A282" s="415">
        <f t="shared" si="9"/>
        <v>1286</v>
      </c>
      <c r="B282" s="416" t="str">
        <f t="shared" si="8"/>
        <v>Summer</v>
      </c>
      <c r="C282" s="453"/>
      <c r="D282" s="454"/>
      <c r="E282" s="455"/>
      <c r="F282" s="454"/>
      <c r="G282" s="455"/>
      <c r="H282" s="454"/>
      <c r="I282" s="455"/>
      <c r="J282" s="454"/>
      <c r="K282" s="455"/>
      <c r="L282" s="454"/>
      <c r="M282" s="455"/>
      <c r="N282" s="454"/>
      <c r="O282" s="455"/>
      <c r="P282" s="454"/>
      <c r="Q282" s="455"/>
      <c r="R282" s="454"/>
      <c r="S282" s="455"/>
      <c r="T282" s="454"/>
      <c r="U282" s="455"/>
      <c r="V282" s="454"/>
      <c r="W282" s="455"/>
      <c r="X282" s="454"/>
      <c r="Y282" s="455"/>
      <c r="Z282" s="454"/>
      <c r="AA282" s="455"/>
      <c r="AB282" s="454"/>
      <c r="AC282" s="455"/>
      <c r="AD282" s="454"/>
      <c r="AE282" s="455"/>
      <c r="AF282" s="454"/>
      <c r="AG282" s="455"/>
    </row>
    <row r="283" spans="1:33" x14ac:dyDescent="0.2">
      <c r="A283" s="415">
        <f t="shared" si="9"/>
        <v>1286</v>
      </c>
      <c r="B283" s="416" t="str">
        <f t="shared" si="8"/>
        <v>Autumn</v>
      </c>
      <c r="C283" s="453"/>
      <c r="D283" s="454"/>
      <c r="E283" s="455"/>
      <c r="F283" s="454"/>
      <c r="G283" s="455"/>
      <c r="H283" s="454"/>
      <c r="I283" s="455"/>
      <c r="J283" s="454"/>
      <c r="K283" s="455"/>
      <c r="L283" s="454"/>
      <c r="M283" s="455"/>
      <c r="N283" s="454"/>
      <c r="O283" s="455"/>
      <c r="P283" s="454"/>
      <c r="Q283" s="455"/>
      <c r="R283" s="454"/>
      <c r="S283" s="455"/>
      <c r="T283" s="454"/>
      <c r="U283" s="455"/>
      <c r="V283" s="454"/>
      <c r="W283" s="455"/>
      <c r="X283" s="454"/>
      <c r="Y283" s="455"/>
      <c r="Z283" s="454"/>
      <c r="AA283" s="455"/>
      <c r="AB283" s="454"/>
      <c r="AC283" s="455"/>
      <c r="AD283" s="454"/>
      <c r="AE283" s="455"/>
      <c r="AF283" s="454"/>
      <c r="AG283" s="455"/>
    </row>
    <row r="284" spans="1:33" x14ac:dyDescent="0.2">
      <c r="A284" s="415">
        <f t="shared" si="9"/>
        <v>1287</v>
      </c>
      <c r="B284" s="416" t="str">
        <f t="shared" si="8"/>
        <v>Winter</v>
      </c>
      <c r="C284" s="453"/>
      <c r="D284" s="454"/>
      <c r="E284" s="455"/>
      <c r="F284" s="454"/>
      <c r="G284" s="455"/>
      <c r="H284" s="454"/>
      <c r="I284" s="455"/>
      <c r="J284" s="454"/>
      <c r="K284" s="455"/>
      <c r="L284" s="454"/>
      <c r="M284" s="455"/>
      <c r="N284" s="454"/>
      <c r="O284" s="455"/>
      <c r="P284" s="454"/>
      <c r="Q284" s="455"/>
      <c r="R284" s="454"/>
      <c r="S284" s="455"/>
      <c r="T284" s="454"/>
      <c r="U284" s="455"/>
      <c r="V284" s="454"/>
      <c r="W284" s="455"/>
      <c r="X284" s="454"/>
      <c r="Y284" s="455"/>
      <c r="Z284" s="454"/>
      <c r="AA284" s="455"/>
      <c r="AB284" s="454"/>
      <c r="AC284" s="455"/>
      <c r="AD284" s="454"/>
      <c r="AE284" s="455"/>
      <c r="AF284" s="454"/>
      <c r="AG284" s="455"/>
    </row>
    <row r="285" spans="1:33" x14ac:dyDescent="0.2">
      <c r="A285" s="415">
        <f t="shared" si="9"/>
        <v>1287</v>
      </c>
      <c r="B285" s="416" t="str">
        <f t="shared" si="8"/>
        <v>Spring</v>
      </c>
      <c r="C285" s="453"/>
      <c r="D285" s="454"/>
      <c r="E285" s="455"/>
      <c r="F285" s="454"/>
      <c r="G285" s="455"/>
      <c r="H285" s="454"/>
      <c r="I285" s="455"/>
      <c r="J285" s="454"/>
      <c r="K285" s="455"/>
      <c r="L285" s="454"/>
      <c r="M285" s="455"/>
      <c r="N285" s="454"/>
      <c r="O285" s="455"/>
      <c r="P285" s="454"/>
      <c r="Q285" s="455"/>
      <c r="R285" s="454"/>
      <c r="S285" s="455"/>
      <c r="T285" s="454"/>
      <c r="U285" s="455"/>
      <c r="V285" s="454"/>
      <c r="W285" s="455"/>
      <c r="X285" s="454"/>
      <c r="Y285" s="455"/>
      <c r="Z285" s="454"/>
      <c r="AA285" s="455"/>
      <c r="AB285" s="454"/>
      <c r="AC285" s="455"/>
      <c r="AD285" s="454"/>
      <c r="AE285" s="455"/>
      <c r="AF285" s="454"/>
      <c r="AG285" s="455"/>
    </row>
    <row r="286" spans="1:33" x14ac:dyDescent="0.2">
      <c r="A286" s="415">
        <f t="shared" si="9"/>
        <v>1287</v>
      </c>
      <c r="B286" s="416" t="str">
        <f t="shared" si="8"/>
        <v>Summer</v>
      </c>
      <c r="C286" s="453"/>
      <c r="D286" s="454"/>
      <c r="E286" s="455"/>
      <c r="F286" s="454"/>
      <c r="G286" s="455"/>
      <c r="H286" s="454"/>
      <c r="I286" s="455"/>
      <c r="J286" s="454"/>
      <c r="K286" s="455"/>
      <c r="L286" s="454"/>
      <c r="M286" s="455"/>
      <c r="N286" s="454"/>
      <c r="O286" s="455"/>
      <c r="P286" s="454"/>
      <c r="Q286" s="455"/>
      <c r="R286" s="454"/>
      <c r="S286" s="455"/>
      <c r="T286" s="454"/>
      <c r="U286" s="455"/>
      <c r="V286" s="454"/>
      <c r="W286" s="455"/>
      <c r="X286" s="454"/>
      <c r="Y286" s="455"/>
      <c r="Z286" s="454"/>
      <c r="AA286" s="455"/>
      <c r="AB286" s="454"/>
      <c r="AC286" s="455"/>
      <c r="AD286" s="454"/>
      <c r="AE286" s="455"/>
      <c r="AF286" s="454"/>
      <c r="AG286" s="455"/>
    </row>
    <row r="287" spans="1:33" x14ac:dyDescent="0.2">
      <c r="A287" s="415">
        <f t="shared" si="9"/>
        <v>1287</v>
      </c>
      <c r="B287" s="416" t="str">
        <f t="shared" si="8"/>
        <v>Autumn</v>
      </c>
      <c r="C287" s="453"/>
      <c r="D287" s="454"/>
      <c r="E287" s="455"/>
      <c r="F287" s="454"/>
      <c r="G287" s="455"/>
      <c r="H287" s="454"/>
      <c r="I287" s="455"/>
      <c r="J287" s="454"/>
      <c r="K287" s="455"/>
      <c r="L287" s="454"/>
      <c r="M287" s="455"/>
      <c r="N287" s="454"/>
      <c r="O287" s="455"/>
      <c r="P287" s="454"/>
      <c r="Q287" s="455"/>
      <c r="R287" s="454"/>
      <c r="S287" s="455"/>
      <c r="T287" s="454"/>
      <c r="U287" s="455"/>
      <c r="V287" s="454"/>
      <c r="W287" s="455"/>
      <c r="X287" s="454"/>
      <c r="Y287" s="455"/>
      <c r="Z287" s="454"/>
      <c r="AA287" s="455"/>
      <c r="AB287" s="454"/>
      <c r="AC287" s="455"/>
      <c r="AD287" s="454"/>
      <c r="AE287" s="455"/>
      <c r="AF287" s="454"/>
      <c r="AG287" s="455"/>
    </row>
    <row r="288" spans="1:33" x14ac:dyDescent="0.2">
      <c r="A288" s="415">
        <f t="shared" si="9"/>
        <v>1288</v>
      </c>
      <c r="B288" s="416" t="str">
        <f t="shared" si="8"/>
        <v>Winter</v>
      </c>
      <c r="C288" s="453"/>
      <c r="D288" s="454"/>
      <c r="E288" s="455"/>
      <c r="F288" s="454"/>
      <c r="G288" s="455"/>
      <c r="H288" s="454"/>
      <c r="I288" s="455"/>
      <c r="J288" s="454"/>
      <c r="K288" s="455"/>
      <c r="L288" s="454"/>
      <c r="M288" s="455"/>
      <c r="N288" s="454"/>
      <c r="O288" s="455"/>
      <c r="P288" s="454"/>
      <c r="Q288" s="455"/>
      <c r="R288" s="454"/>
      <c r="S288" s="455"/>
      <c r="T288" s="454"/>
      <c r="U288" s="455"/>
      <c r="V288" s="454"/>
      <c r="W288" s="455"/>
      <c r="X288" s="454"/>
      <c r="Y288" s="455"/>
      <c r="Z288" s="454"/>
      <c r="AA288" s="455"/>
      <c r="AB288" s="454"/>
      <c r="AC288" s="455"/>
      <c r="AD288" s="454"/>
      <c r="AE288" s="455"/>
      <c r="AF288" s="454"/>
      <c r="AG288" s="455"/>
    </row>
    <row r="289" spans="1:33" x14ac:dyDescent="0.2">
      <c r="A289" s="415">
        <f t="shared" si="9"/>
        <v>1288</v>
      </c>
      <c r="B289" s="416" t="str">
        <f t="shared" si="8"/>
        <v>Spring</v>
      </c>
      <c r="C289" s="453"/>
      <c r="D289" s="454"/>
      <c r="E289" s="455"/>
      <c r="F289" s="454"/>
      <c r="G289" s="455"/>
      <c r="H289" s="454"/>
      <c r="I289" s="455"/>
      <c r="J289" s="454"/>
      <c r="K289" s="455"/>
      <c r="L289" s="454"/>
      <c r="M289" s="455"/>
      <c r="N289" s="454"/>
      <c r="O289" s="455"/>
      <c r="P289" s="454"/>
      <c r="Q289" s="455"/>
      <c r="R289" s="454"/>
      <c r="S289" s="455"/>
      <c r="T289" s="454"/>
      <c r="U289" s="455"/>
      <c r="V289" s="454"/>
      <c r="W289" s="455"/>
      <c r="X289" s="454"/>
      <c r="Y289" s="455"/>
      <c r="Z289" s="454"/>
      <c r="AA289" s="455"/>
      <c r="AB289" s="454"/>
      <c r="AC289" s="455"/>
      <c r="AD289" s="454"/>
      <c r="AE289" s="455"/>
      <c r="AF289" s="454"/>
      <c r="AG289" s="455"/>
    </row>
    <row r="290" spans="1:33" x14ac:dyDescent="0.2">
      <c r="A290" s="415">
        <f t="shared" si="9"/>
        <v>1288</v>
      </c>
      <c r="B290" s="416" t="str">
        <f t="shared" si="8"/>
        <v>Summer</v>
      </c>
      <c r="C290" s="453"/>
      <c r="D290" s="454"/>
      <c r="E290" s="455"/>
      <c r="F290" s="454"/>
      <c r="G290" s="455"/>
      <c r="H290" s="454"/>
      <c r="I290" s="455"/>
      <c r="J290" s="454"/>
      <c r="K290" s="455"/>
      <c r="L290" s="454"/>
      <c r="M290" s="455"/>
      <c r="N290" s="454"/>
      <c r="O290" s="455"/>
      <c r="P290" s="454"/>
      <c r="Q290" s="455"/>
      <c r="R290" s="454"/>
      <c r="S290" s="455"/>
      <c r="T290" s="454"/>
      <c r="U290" s="455"/>
      <c r="V290" s="454"/>
      <c r="W290" s="455"/>
      <c r="X290" s="454"/>
      <c r="Y290" s="455"/>
      <c r="Z290" s="454"/>
      <c r="AA290" s="455"/>
      <c r="AB290" s="454"/>
      <c r="AC290" s="455"/>
      <c r="AD290" s="454"/>
      <c r="AE290" s="455"/>
      <c r="AF290" s="454"/>
      <c r="AG290" s="455"/>
    </row>
    <row r="291" spans="1:33" x14ac:dyDescent="0.2">
      <c r="A291" s="415">
        <f t="shared" si="9"/>
        <v>1288</v>
      </c>
      <c r="B291" s="416" t="str">
        <f t="shared" si="8"/>
        <v>Autumn</v>
      </c>
      <c r="C291" s="453"/>
      <c r="D291" s="454"/>
      <c r="E291" s="455"/>
      <c r="F291" s="454"/>
      <c r="G291" s="455"/>
      <c r="H291" s="454"/>
      <c r="I291" s="455"/>
      <c r="J291" s="454"/>
      <c r="K291" s="455"/>
      <c r="L291" s="454"/>
      <c r="M291" s="455"/>
      <c r="N291" s="454"/>
      <c r="O291" s="455"/>
      <c r="P291" s="454"/>
      <c r="Q291" s="455"/>
      <c r="R291" s="454"/>
      <c r="S291" s="455"/>
      <c r="T291" s="454"/>
      <c r="U291" s="455"/>
      <c r="V291" s="454"/>
      <c r="W291" s="455"/>
      <c r="X291" s="454"/>
      <c r="Y291" s="455"/>
      <c r="Z291" s="454"/>
      <c r="AA291" s="455"/>
      <c r="AB291" s="454"/>
      <c r="AC291" s="455"/>
      <c r="AD291" s="454"/>
      <c r="AE291" s="455"/>
      <c r="AF291" s="454"/>
      <c r="AG291" s="455"/>
    </row>
    <row r="292" spans="1:33" x14ac:dyDescent="0.2">
      <c r="A292" s="415">
        <f t="shared" si="9"/>
        <v>1289</v>
      </c>
      <c r="B292" s="416" t="str">
        <f t="shared" si="8"/>
        <v>Winter</v>
      </c>
      <c r="C292" s="453"/>
      <c r="D292" s="454"/>
      <c r="E292" s="455"/>
      <c r="F292" s="454"/>
      <c r="G292" s="455"/>
      <c r="H292" s="454"/>
      <c r="I292" s="455"/>
      <c r="J292" s="454"/>
      <c r="K292" s="455"/>
      <c r="L292" s="454"/>
      <c r="M292" s="455"/>
      <c r="N292" s="454"/>
      <c r="O292" s="455"/>
      <c r="P292" s="454"/>
      <c r="Q292" s="455"/>
      <c r="R292" s="454"/>
      <c r="S292" s="455"/>
      <c r="T292" s="454"/>
      <c r="U292" s="455"/>
      <c r="V292" s="454"/>
      <c r="W292" s="455"/>
      <c r="X292" s="454"/>
      <c r="Y292" s="455"/>
      <c r="Z292" s="454"/>
      <c r="AA292" s="455"/>
      <c r="AB292" s="454"/>
      <c r="AC292" s="455"/>
      <c r="AD292" s="454"/>
      <c r="AE292" s="455"/>
      <c r="AF292" s="454"/>
      <c r="AG292" s="455"/>
    </row>
    <row r="293" spans="1:33" x14ac:dyDescent="0.2">
      <c r="A293" s="415">
        <f t="shared" si="9"/>
        <v>1289</v>
      </c>
      <c r="B293" s="416" t="str">
        <f t="shared" si="8"/>
        <v>Spring</v>
      </c>
      <c r="C293" s="453"/>
      <c r="D293" s="454"/>
      <c r="E293" s="455"/>
      <c r="F293" s="454"/>
      <c r="G293" s="455"/>
      <c r="H293" s="454"/>
      <c r="I293" s="455"/>
      <c r="J293" s="454"/>
      <c r="K293" s="455"/>
      <c r="L293" s="454"/>
      <c r="M293" s="455"/>
      <c r="N293" s="454"/>
      <c r="O293" s="455"/>
      <c r="P293" s="454"/>
      <c r="Q293" s="455"/>
      <c r="R293" s="454"/>
      <c r="S293" s="455"/>
      <c r="T293" s="454"/>
      <c r="U293" s="455"/>
      <c r="V293" s="454"/>
      <c r="W293" s="455"/>
      <c r="X293" s="454"/>
      <c r="Y293" s="455"/>
      <c r="Z293" s="454"/>
      <c r="AA293" s="455"/>
      <c r="AB293" s="454"/>
      <c r="AC293" s="455"/>
      <c r="AD293" s="454"/>
      <c r="AE293" s="455"/>
      <c r="AF293" s="454"/>
      <c r="AG293" s="455"/>
    </row>
    <row r="294" spans="1:33" x14ac:dyDescent="0.2">
      <c r="A294" s="415">
        <f t="shared" si="9"/>
        <v>1289</v>
      </c>
      <c r="B294" s="416" t="str">
        <f t="shared" si="8"/>
        <v>Summer</v>
      </c>
      <c r="C294" s="453"/>
      <c r="D294" s="454"/>
      <c r="E294" s="455"/>
      <c r="F294" s="454"/>
      <c r="G294" s="455"/>
      <c r="H294" s="454"/>
      <c r="I294" s="455"/>
      <c r="J294" s="454"/>
      <c r="K294" s="455"/>
      <c r="L294" s="454"/>
      <c r="M294" s="455"/>
      <c r="N294" s="454"/>
      <c r="O294" s="455"/>
      <c r="P294" s="454"/>
      <c r="Q294" s="455"/>
      <c r="R294" s="454"/>
      <c r="S294" s="455"/>
      <c r="T294" s="454"/>
      <c r="U294" s="455"/>
      <c r="V294" s="454"/>
      <c r="W294" s="455"/>
      <c r="X294" s="454"/>
      <c r="Y294" s="455"/>
      <c r="Z294" s="454"/>
      <c r="AA294" s="455"/>
      <c r="AB294" s="454"/>
      <c r="AC294" s="455"/>
      <c r="AD294" s="454"/>
      <c r="AE294" s="455"/>
      <c r="AF294" s="454"/>
      <c r="AG294" s="455"/>
    </row>
    <row r="295" spans="1:33" x14ac:dyDescent="0.2">
      <c r="A295" s="415">
        <f t="shared" si="9"/>
        <v>1289</v>
      </c>
      <c r="B295" s="416" t="str">
        <f t="shared" si="8"/>
        <v>Autumn</v>
      </c>
      <c r="C295" s="453"/>
      <c r="D295" s="454"/>
      <c r="E295" s="455"/>
      <c r="F295" s="454"/>
      <c r="G295" s="455"/>
      <c r="H295" s="454"/>
      <c r="I295" s="455"/>
      <c r="J295" s="454"/>
      <c r="K295" s="455"/>
      <c r="L295" s="454"/>
      <c r="M295" s="455"/>
      <c r="N295" s="454"/>
      <c r="O295" s="455"/>
      <c r="P295" s="454"/>
      <c r="Q295" s="455"/>
      <c r="R295" s="454"/>
      <c r="S295" s="455"/>
      <c r="T295" s="454"/>
      <c r="U295" s="455"/>
      <c r="V295" s="454"/>
      <c r="W295" s="455"/>
      <c r="X295" s="454"/>
      <c r="Y295" s="455"/>
      <c r="Z295" s="454"/>
      <c r="AA295" s="455"/>
      <c r="AB295" s="454"/>
      <c r="AC295" s="455"/>
      <c r="AD295" s="454"/>
      <c r="AE295" s="455"/>
      <c r="AF295" s="454"/>
      <c r="AG295" s="455"/>
    </row>
    <row r="296" spans="1:33" x14ac:dyDescent="0.2">
      <c r="A296" s="415">
        <f t="shared" si="9"/>
        <v>1290</v>
      </c>
      <c r="B296" s="416" t="str">
        <f t="shared" si="8"/>
        <v>Winter</v>
      </c>
      <c r="C296" s="453"/>
      <c r="D296" s="454"/>
      <c r="E296" s="455"/>
      <c r="F296" s="454"/>
      <c r="G296" s="455"/>
      <c r="H296" s="454"/>
      <c r="I296" s="455"/>
      <c r="J296" s="454"/>
      <c r="K296" s="455"/>
      <c r="L296" s="454"/>
      <c r="M296" s="455"/>
      <c r="N296" s="454"/>
      <c r="O296" s="455"/>
      <c r="P296" s="454"/>
      <c r="Q296" s="455"/>
      <c r="R296" s="454"/>
      <c r="S296" s="455"/>
      <c r="T296" s="454"/>
      <c r="U296" s="455"/>
      <c r="V296" s="454"/>
      <c r="W296" s="455"/>
      <c r="X296" s="454"/>
      <c r="Y296" s="455"/>
      <c r="Z296" s="454"/>
      <c r="AA296" s="455"/>
      <c r="AB296" s="454"/>
      <c r="AC296" s="455"/>
      <c r="AD296" s="454"/>
      <c r="AE296" s="455"/>
      <c r="AF296" s="454"/>
      <c r="AG296" s="455"/>
    </row>
    <row r="297" spans="1:33" x14ac:dyDescent="0.2">
      <c r="A297" s="415">
        <f t="shared" si="9"/>
        <v>1290</v>
      </c>
      <c r="B297" s="416" t="str">
        <f t="shared" si="8"/>
        <v>Spring</v>
      </c>
      <c r="C297" s="453"/>
      <c r="D297" s="454"/>
      <c r="E297" s="455"/>
      <c r="F297" s="454"/>
      <c r="G297" s="455"/>
      <c r="H297" s="454"/>
      <c r="I297" s="455"/>
      <c r="J297" s="454"/>
      <c r="K297" s="455"/>
      <c r="L297" s="454"/>
      <c r="M297" s="455"/>
      <c r="N297" s="454"/>
      <c r="O297" s="455"/>
      <c r="P297" s="454"/>
      <c r="Q297" s="455"/>
      <c r="R297" s="454"/>
      <c r="S297" s="455"/>
      <c r="T297" s="454"/>
      <c r="U297" s="455"/>
      <c r="V297" s="454"/>
      <c r="W297" s="455"/>
      <c r="X297" s="454"/>
      <c r="Y297" s="455"/>
      <c r="Z297" s="454"/>
      <c r="AA297" s="455"/>
      <c r="AB297" s="454"/>
      <c r="AC297" s="455"/>
      <c r="AD297" s="454"/>
      <c r="AE297" s="455"/>
      <c r="AF297" s="454"/>
      <c r="AG297" s="455"/>
    </row>
    <row r="298" spans="1:33" x14ac:dyDescent="0.2">
      <c r="A298" s="415">
        <f t="shared" si="9"/>
        <v>1290</v>
      </c>
      <c r="B298" s="416" t="str">
        <f t="shared" si="8"/>
        <v>Summer</v>
      </c>
      <c r="C298" s="453"/>
      <c r="D298" s="454"/>
      <c r="E298" s="455"/>
      <c r="F298" s="454"/>
      <c r="G298" s="455"/>
      <c r="H298" s="454"/>
      <c r="I298" s="455"/>
      <c r="J298" s="454"/>
      <c r="K298" s="455"/>
      <c r="L298" s="454"/>
      <c r="M298" s="455"/>
      <c r="N298" s="454"/>
      <c r="O298" s="455"/>
      <c r="P298" s="454"/>
      <c r="Q298" s="455"/>
      <c r="R298" s="454"/>
      <c r="S298" s="455"/>
      <c r="T298" s="454"/>
      <c r="U298" s="455"/>
      <c r="V298" s="454"/>
      <c r="W298" s="455"/>
      <c r="X298" s="454"/>
      <c r="Y298" s="455"/>
      <c r="Z298" s="454"/>
      <c r="AA298" s="455"/>
      <c r="AB298" s="454"/>
      <c r="AC298" s="455"/>
      <c r="AD298" s="454"/>
      <c r="AE298" s="455"/>
      <c r="AF298" s="454"/>
      <c r="AG298" s="455"/>
    </row>
    <row r="299" spans="1:33" x14ac:dyDescent="0.2">
      <c r="A299" s="415">
        <f t="shared" si="9"/>
        <v>1290</v>
      </c>
      <c r="B299" s="416" t="str">
        <f t="shared" ref="B299:B362" si="10">IF(B298="spring","Summer",IF(B298="Summer","Autumn",IF(B298="Autumn","Winter",IF(B298="Winter","Spring"," "))))</f>
        <v>Autumn</v>
      </c>
      <c r="C299" s="453"/>
      <c r="D299" s="454"/>
      <c r="E299" s="455"/>
      <c r="F299" s="454"/>
      <c r="G299" s="455"/>
      <c r="H299" s="454"/>
      <c r="I299" s="455"/>
      <c r="J299" s="454"/>
      <c r="K299" s="455"/>
      <c r="L299" s="454"/>
      <c r="M299" s="455"/>
      <c r="N299" s="454"/>
      <c r="O299" s="455"/>
      <c r="P299" s="454"/>
      <c r="Q299" s="455"/>
      <c r="R299" s="454"/>
      <c r="S299" s="455"/>
      <c r="T299" s="454"/>
      <c r="U299" s="455"/>
      <c r="V299" s="454"/>
      <c r="W299" s="455"/>
      <c r="X299" s="454"/>
      <c r="Y299" s="455"/>
      <c r="Z299" s="454"/>
      <c r="AA299" s="455"/>
      <c r="AB299" s="454"/>
      <c r="AC299" s="455"/>
      <c r="AD299" s="454"/>
      <c r="AE299" s="455"/>
      <c r="AF299" s="454"/>
      <c r="AG299" s="455"/>
    </row>
    <row r="300" spans="1:33" x14ac:dyDescent="0.2">
      <c r="A300" s="415">
        <f t="shared" si="9"/>
        <v>1291</v>
      </c>
      <c r="B300" s="416" t="str">
        <f t="shared" si="10"/>
        <v>Winter</v>
      </c>
      <c r="C300" s="453"/>
      <c r="D300" s="454"/>
      <c r="E300" s="455"/>
      <c r="F300" s="454"/>
      <c r="G300" s="455"/>
      <c r="H300" s="454"/>
      <c r="I300" s="455"/>
      <c r="J300" s="454"/>
      <c r="K300" s="455"/>
      <c r="L300" s="454"/>
      <c r="M300" s="455"/>
      <c r="N300" s="454"/>
      <c r="O300" s="455"/>
      <c r="P300" s="454"/>
      <c r="Q300" s="455"/>
      <c r="R300" s="454"/>
      <c r="S300" s="455"/>
      <c r="T300" s="454"/>
      <c r="U300" s="455"/>
      <c r="V300" s="454"/>
      <c r="W300" s="455"/>
      <c r="X300" s="454"/>
      <c r="Y300" s="455"/>
      <c r="Z300" s="454"/>
      <c r="AA300" s="455"/>
      <c r="AB300" s="454"/>
      <c r="AC300" s="455"/>
      <c r="AD300" s="454"/>
      <c r="AE300" s="455"/>
      <c r="AF300" s="454"/>
      <c r="AG300" s="455"/>
    </row>
    <row r="301" spans="1:33" x14ac:dyDescent="0.2">
      <c r="A301" s="415">
        <f t="shared" si="9"/>
        <v>1291</v>
      </c>
      <c r="B301" s="416" t="str">
        <f t="shared" si="10"/>
        <v>Spring</v>
      </c>
      <c r="C301" s="453"/>
      <c r="D301" s="454"/>
      <c r="E301" s="455"/>
      <c r="F301" s="454"/>
      <c r="G301" s="455"/>
      <c r="H301" s="454"/>
      <c r="I301" s="455"/>
      <c r="J301" s="454"/>
      <c r="K301" s="455"/>
      <c r="L301" s="454"/>
      <c r="M301" s="455"/>
      <c r="N301" s="454"/>
      <c r="O301" s="455"/>
      <c r="P301" s="454"/>
      <c r="Q301" s="455"/>
      <c r="R301" s="454"/>
      <c r="S301" s="455"/>
      <c r="T301" s="454"/>
      <c r="U301" s="455"/>
      <c r="V301" s="454"/>
      <c r="W301" s="455"/>
      <c r="X301" s="454"/>
      <c r="Y301" s="455"/>
      <c r="Z301" s="454"/>
      <c r="AA301" s="455"/>
      <c r="AB301" s="454"/>
      <c r="AC301" s="455"/>
      <c r="AD301" s="454"/>
      <c r="AE301" s="455"/>
      <c r="AF301" s="454"/>
      <c r="AG301" s="455"/>
    </row>
    <row r="302" spans="1:33" x14ac:dyDescent="0.2">
      <c r="A302" s="415">
        <f t="shared" si="9"/>
        <v>1291</v>
      </c>
      <c r="B302" s="416" t="str">
        <f t="shared" si="10"/>
        <v>Summer</v>
      </c>
      <c r="C302" s="453"/>
      <c r="D302" s="454"/>
      <c r="E302" s="455"/>
      <c r="F302" s="454"/>
      <c r="G302" s="455"/>
      <c r="H302" s="454"/>
      <c r="I302" s="455"/>
      <c r="J302" s="454"/>
      <c r="K302" s="455"/>
      <c r="L302" s="454"/>
      <c r="M302" s="455"/>
      <c r="N302" s="454"/>
      <c r="O302" s="455"/>
      <c r="P302" s="454"/>
      <c r="Q302" s="455"/>
      <c r="R302" s="454"/>
      <c r="S302" s="455"/>
      <c r="T302" s="454"/>
      <c r="U302" s="455"/>
      <c r="V302" s="454"/>
      <c r="W302" s="455"/>
      <c r="X302" s="454"/>
      <c r="Y302" s="455"/>
      <c r="Z302" s="454"/>
      <c r="AA302" s="455"/>
      <c r="AB302" s="454"/>
      <c r="AC302" s="455"/>
      <c r="AD302" s="454"/>
      <c r="AE302" s="455"/>
      <c r="AF302" s="454"/>
      <c r="AG302" s="455"/>
    </row>
    <row r="303" spans="1:33" x14ac:dyDescent="0.2">
      <c r="A303" s="415">
        <f t="shared" si="9"/>
        <v>1291</v>
      </c>
      <c r="B303" s="416" t="str">
        <f t="shared" si="10"/>
        <v>Autumn</v>
      </c>
      <c r="C303" s="453"/>
      <c r="D303" s="454"/>
      <c r="E303" s="455"/>
      <c r="F303" s="454"/>
      <c r="G303" s="455"/>
      <c r="H303" s="454"/>
      <c r="I303" s="455"/>
      <c r="J303" s="454"/>
      <c r="K303" s="455"/>
      <c r="L303" s="454"/>
      <c r="M303" s="455"/>
      <c r="N303" s="454"/>
      <c r="O303" s="455"/>
      <c r="P303" s="454"/>
      <c r="Q303" s="455"/>
      <c r="R303" s="454"/>
      <c r="S303" s="455"/>
      <c r="T303" s="454"/>
      <c r="U303" s="455"/>
      <c r="V303" s="454"/>
      <c r="W303" s="455"/>
      <c r="X303" s="454"/>
      <c r="Y303" s="455"/>
      <c r="Z303" s="454"/>
      <c r="AA303" s="455"/>
      <c r="AB303" s="454"/>
      <c r="AC303" s="455"/>
      <c r="AD303" s="454"/>
      <c r="AE303" s="455"/>
      <c r="AF303" s="454"/>
      <c r="AG303" s="455"/>
    </row>
    <row r="304" spans="1:33" x14ac:dyDescent="0.2">
      <c r="A304" s="415">
        <f t="shared" si="9"/>
        <v>1292</v>
      </c>
      <c r="B304" s="416" t="str">
        <f t="shared" si="10"/>
        <v>Winter</v>
      </c>
      <c r="C304" s="453"/>
      <c r="D304" s="454"/>
      <c r="E304" s="455"/>
      <c r="F304" s="454"/>
      <c r="G304" s="455"/>
      <c r="H304" s="454"/>
      <c r="I304" s="455"/>
      <c r="J304" s="454"/>
      <c r="K304" s="455"/>
      <c r="L304" s="454"/>
      <c r="M304" s="455"/>
      <c r="N304" s="454"/>
      <c r="O304" s="455"/>
      <c r="P304" s="454"/>
      <c r="Q304" s="455"/>
      <c r="R304" s="454"/>
      <c r="S304" s="455"/>
      <c r="T304" s="454"/>
      <c r="U304" s="455"/>
      <c r="V304" s="454"/>
      <c r="W304" s="455"/>
      <c r="X304" s="454"/>
      <c r="Y304" s="455"/>
      <c r="Z304" s="454"/>
      <c r="AA304" s="455"/>
      <c r="AB304" s="454"/>
      <c r="AC304" s="455"/>
      <c r="AD304" s="454"/>
      <c r="AE304" s="455"/>
      <c r="AF304" s="454"/>
      <c r="AG304" s="455"/>
    </row>
    <row r="305" spans="1:33" x14ac:dyDescent="0.2">
      <c r="A305" s="415">
        <f t="shared" si="9"/>
        <v>1292</v>
      </c>
      <c r="B305" s="416" t="str">
        <f t="shared" si="10"/>
        <v>Spring</v>
      </c>
      <c r="C305" s="453"/>
      <c r="D305" s="454"/>
      <c r="E305" s="455"/>
      <c r="F305" s="454"/>
      <c r="G305" s="455"/>
      <c r="H305" s="454"/>
      <c r="I305" s="455"/>
      <c r="J305" s="454"/>
      <c r="K305" s="455"/>
      <c r="L305" s="454"/>
      <c r="M305" s="455"/>
      <c r="N305" s="454"/>
      <c r="O305" s="455"/>
      <c r="P305" s="454"/>
      <c r="Q305" s="455"/>
      <c r="R305" s="454"/>
      <c r="S305" s="455"/>
      <c r="T305" s="454"/>
      <c r="U305" s="455"/>
      <c r="V305" s="454"/>
      <c r="W305" s="455"/>
      <c r="X305" s="454"/>
      <c r="Y305" s="455"/>
      <c r="Z305" s="454"/>
      <c r="AA305" s="455"/>
      <c r="AB305" s="454"/>
      <c r="AC305" s="455"/>
      <c r="AD305" s="454"/>
      <c r="AE305" s="455"/>
      <c r="AF305" s="454"/>
      <c r="AG305" s="455"/>
    </row>
    <row r="306" spans="1:33" x14ac:dyDescent="0.2">
      <c r="A306" s="415">
        <f t="shared" si="9"/>
        <v>1292</v>
      </c>
      <c r="B306" s="416" t="str">
        <f t="shared" si="10"/>
        <v>Summer</v>
      </c>
      <c r="C306" s="453"/>
      <c r="D306" s="454"/>
      <c r="E306" s="455"/>
      <c r="F306" s="454"/>
      <c r="G306" s="455"/>
      <c r="H306" s="454"/>
      <c r="I306" s="455"/>
      <c r="J306" s="454"/>
      <c r="K306" s="455"/>
      <c r="L306" s="454"/>
      <c r="M306" s="455"/>
      <c r="N306" s="454"/>
      <c r="O306" s="455"/>
      <c r="P306" s="454"/>
      <c r="Q306" s="455"/>
      <c r="R306" s="454"/>
      <c r="S306" s="455"/>
      <c r="T306" s="454"/>
      <c r="U306" s="455"/>
      <c r="V306" s="454"/>
      <c r="W306" s="455"/>
      <c r="X306" s="454"/>
      <c r="Y306" s="455"/>
      <c r="Z306" s="454"/>
      <c r="AA306" s="455"/>
      <c r="AB306" s="454"/>
      <c r="AC306" s="455"/>
      <c r="AD306" s="454"/>
      <c r="AE306" s="455"/>
      <c r="AF306" s="454"/>
      <c r="AG306" s="455"/>
    </row>
    <row r="307" spans="1:33" x14ac:dyDescent="0.2">
      <c r="A307" s="415">
        <f t="shared" si="9"/>
        <v>1292</v>
      </c>
      <c r="B307" s="416" t="str">
        <f t="shared" si="10"/>
        <v>Autumn</v>
      </c>
      <c r="C307" s="453"/>
      <c r="D307" s="454"/>
      <c r="E307" s="455"/>
      <c r="F307" s="454"/>
      <c r="G307" s="455"/>
      <c r="H307" s="454"/>
      <c r="I307" s="455"/>
      <c r="J307" s="454"/>
      <c r="K307" s="455"/>
      <c r="L307" s="454"/>
      <c r="M307" s="455"/>
      <c r="N307" s="454"/>
      <c r="O307" s="455"/>
      <c r="P307" s="454"/>
      <c r="Q307" s="455"/>
      <c r="R307" s="454"/>
      <c r="S307" s="455"/>
      <c r="T307" s="454"/>
      <c r="U307" s="455"/>
      <c r="V307" s="454"/>
      <c r="W307" s="455"/>
      <c r="X307" s="454"/>
      <c r="Y307" s="455"/>
      <c r="Z307" s="454"/>
      <c r="AA307" s="455"/>
      <c r="AB307" s="454"/>
      <c r="AC307" s="455"/>
      <c r="AD307" s="454"/>
      <c r="AE307" s="455"/>
      <c r="AF307" s="454"/>
      <c r="AG307" s="455"/>
    </row>
    <row r="308" spans="1:33" x14ac:dyDescent="0.2">
      <c r="A308" s="415">
        <f t="shared" si="9"/>
        <v>1293</v>
      </c>
      <c r="B308" s="416" t="str">
        <f t="shared" si="10"/>
        <v>Winter</v>
      </c>
      <c r="C308" s="453"/>
      <c r="D308" s="454"/>
      <c r="E308" s="455"/>
      <c r="F308" s="454"/>
      <c r="G308" s="455"/>
      <c r="H308" s="454"/>
      <c r="I308" s="455"/>
      <c r="J308" s="454"/>
      <c r="K308" s="455"/>
      <c r="L308" s="454"/>
      <c r="M308" s="455"/>
      <c r="N308" s="454"/>
      <c r="O308" s="455"/>
      <c r="P308" s="454"/>
      <c r="Q308" s="455"/>
      <c r="R308" s="454"/>
      <c r="S308" s="455"/>
      <c r="T308" s="454"/>
      <c r="U308" s="455"/>
      <c r="V308" s="454"/>
      <c r="W308" s="455"/>
      <c r="X308" s="454"/>
      <c r="Y308" s="455"/>
      <c r="Z308" s="454"/>
      <c r="AA308" s="455"/>
      <c r="AB308" s="454"/>
      <c r="AC308" s="455"/>
      <c r="AD308" s="454"/>
      <c r="AE308" s="455"/>
      <c r="AF308" s="454"/>
      <c r="AG308" s="455"/>
    </row>
    <row r="309" spans="1:33" x14ac:dyDescent="0.2">
      <c r="A309" s="415">
        <f t="shared" si="9"/>
        <v>1293</v>
      </c>
      <c r="B309" s="416" t="str">
        <f t="shared" si="10"/>
        <v>Spring</v>
      </c>
      <c r="C309" s="453"/>
      <c r="D309" s="454"/>
      <c r="E309" s="455"/>
      <c r="F309" s="454"/>
      <c r="G309" s="455"/>
      <c r="H309" s="454"/>
      <c r="I309" s="455"/>
      <c r="J309" s="454"/>
      <c r="K309" s="455"/>
      <c r="L309" s="454"/>
      <c r="M309" s="455"/>
      <c r="N309" s="454"/>
      <c r="O309" s="455"/>
      <c r="P309" s="454"/>
      <c r="Q309" s="455"/>
      <c r="R309" s="454"/>
      <c r="S309" s="455"/>
      <c r="T309" s="454"/>
      <c r="U309" s="455"/>
      <c r="V309" s="454"/>
      <c r="W309" s="455"/>
      <c r="X309" s="454"/>
      <c r="Y309" s="455"/>
      <c r="Z309" s="454"/>
      <c r="AA309" s="455"/>
      <c r="AB309" s="454"/>
      <c r="AC309" s="455"/>
      <c r="AD309" s="454"/>
      <c r="AE309" s="455"/>
      <c r="AF309" s="454"/>
      <c r="AG309" s="455"/>
    </row>
    <row r="310" spans="1:33" x14ac:dyDescent="0.2">
      <c r="A310" s="415">
        <f t="shared" si="9"/>
        <v>1293</v>
      </c>
      <c r="B310" s="416" t="str">
        <f t="shared" si="10"/>
        <v>Summer</v>
      </c>
      <c r="C310" s="453"/>
      <c r="D310" s="454"/>
      <c r="E310" s="455"/>
      <c r="F310" s="454"/>
      <c r="G310" s="455"/>
      <c r="H310" s="454"/>
      <c r="I310" s="455"/>
      <c r="J310" s="454"/>
      <c r="K310" s="455"/>
      <c r="L310" s="454"/>
      <c r="M310" s="455"/>
      <c r="N310" s="454"/>
      <c r="O310" s="455"/>
      <c r="P310" s="454"/>
      <c r="Q310" s="455"/>
      <c r="R310" s="454"/>
      <c r="S310" s="455"/>
      <c r="T310" s="454"/>
      <c r="U310" s="455"/>
      <c r="V310" s="454"/>
      <c r="W310" s="455"/>
      <c r="X310" s="454"/>
      <c r="Y310" s="455"/>
      <c r="Z310" s="454"/>
      <c r="AA310" s="455"/>
      <c r="AB310" s="454"/>
      <c r="AC310" s="455"/>
      <c r="AD310" s="454"/>
      <c r="AE310" s="455"/>
      <c r="AF310" s="454"/>
      <c r="AG310" s="455"/>
    </row>
    <row r="311" spans="1:33" x14ac:dyDescent="0.2">
      <c r="A311" s="415">
        <f t="shared" si="9"/>
        <v>1293</v>
      </c>
      <c r="B311" s="416" t="str">
        <f t="shared" si="10"/>
        <v>Autumn</v>
      </c>
      <c r="C311" s="453"/>
      <c r="D311" s="454"/>
      <c r="E311" s="455"/>
      <c r="F311" s="454"/>
      <c r="G311" s="455"/>
      <c r="H311" s="454"/>
      <c r="I311" s="455"/>
      <c r="J311" s="454"/>
      <c r="K311" s="455"/>
      <c r="L311" s="454"/>
      <c r="M311" s="455"/>
      <c r="N311" s="454"/>
      <c r="O311" s="455"/>
      <c r="P311" s="454"/>
      <c r="Q311" s="455"/>
      <c r="R311" s="454"/>
      <c r="S311" s="455"/>
      <c r="T311" s="454"/>
      <c r="U311" s="455"/>
      <c r="V311" s="454"/>
      <c r="W311" s="455"/>
      <c r="X311" s="454"/>
      <c r="Y311" s="455"/>
      <c r="Z311" s="454"/>
      <c r="AA311" s="455"/>
      <c r="AB311" s="454"/>
      <c r="AC311" s="455"/>
      <c r="AD311" s="454"/>
      <c r="AE311" s="455"/>
      <c r="AF311" s="454"/>
      <c r="AG311" s="455"/>
    </row>
    <row r="312" spans="1:33" x14ac:dyDescent="0.2">
      <c r="A312" s="415">
        <f t="shared" si="9"/>
        <v>1294</v>
      </c>
      <c r="B312" s="416" t="str">
        <f t="shared" si="10"/>
        <v>Winter</v>
      </c>
      <c r="C312" s="453"/>
      <c r="D312" s="454"/>
      <c r="E312" s="455"/>
      <c r="F312" s="454"/>
      <c r="G312" s="455"/>
      <c r="H312" s="454"/>
      <c r="I312" s="455"/>
      <c r="J312" s="454"/>
      <c r="K312" s="455"/>
      <c r="L312" s="454"/>
      <c r="M312" s="455"/>
      <c r="N312" s="454"/>
      <c r="O312" s="455"/>
      <c r="P312" s="454"/>
      <c r="Q312" s="455"/>
      <c r="R312" s="454"/>
      <c r="S312" s="455"/>
      <c r="T312" s="454"/>
      <c r="U312" s="455"/>
      <c r="V312" s="454"/>
      <c r="W312" s="455"/>
      <c r="X312" s="454"/>
      <c r="Y312" s="455"/>
      <c r="Z312" s="454"/>
      <c r="AA312" s="455"/>
      <c r="AB312" s="454"/>
      <c r="AC312" s="455"/>
      <c r="AD312" s="454"/>
      <c r="AE312" s="455"/>
      <c r="AF312" s="454"/>
      <c r="AG312" s="455"/>
    </row>
    <row r="313" spans="1:33" x14ac:dyDescent="0.2">
      <c r="A313" s="415">
        <f t="shared" si="9"/>
        <v>1294</v>
      </c>
      <c r="B313" s="416" t="str">
        <f t="shared" si="10"/>
        <v>Spring</v>
      </c>
      <c r="C313" s="453"/>
      <c r="D313" s="454"/>
      <c r="E313" s="455"/>
      <c r="F313" s="454"/>
      <c r="G313" s="455"/>
      <c r="H313" s="454"/>
      <c r="I313" s="455"/>
      <c r="J313" s="454"/>
      <c r="K313" s="455"/>
      <c r="L313" s="454"/>
      <c r="M313" s="455"/>
      <c r="N313" s="454"/>
      <c r="O313" s="455"/>
      <c r="P313" s="454"/>
      <c r="Q313" s="455"/>
      <c r="R313" s="454"/>
      <c r="S313" s="455"/>
      <c r="T313" s="454"/>
      <c r="U313" s="455"/>
      <c r="V313" s="454"/>
      <c r="W313" s="455"/>
      <c r="X313" s="454"/>
      <c r="Y313" s="455"/>
      <c r="Z313" s="454"/>
      <c r="AA313" s="455"/>
      <c r="AB313" s="454"/>
      <c r="AC313" s="455"/>
      <c r="AD313" s="454"/>
      <c r="AE313" s="455"/>
      <c r="AF313" s="454"/>
      <c r="AG313" s="455"/>
    </row>
    <row r="314" spans="1:33" x14ac:dyDescent="0.2">
      <c r="A314" s="415">
        <f t="shared" si="9"/>
        <v>1294</v>
      </c>
      <c r="B314" s="416" t="str">
        <f t="shared" si="10"/>
        <v>Summer</v>
      </c>
      <c r="C314" s="453"/>
      <c r="D314" s="454"/>
      <c r="E314" s="455"/>
      <c r="F314" s="454"/>
      <c r="G314" s="455"/>
      <c r="H314" s="454"/>
      <c r="I314" s="455"/>
      <c r="J314" s="454"/>
      <c r="K314" s="455"/>
      <c r="L314" s="454"/>
      <c r="M314" s="455"/>
      <c r="N314" s="454"/>
      <c r="O314" s="455"/>
      <c r="P314" s="454"/>
      <c r="Q314" s="455"/>
      <c r="R314" s="454"/>
      <c r="S314" s="455"/>
      <c r="T314" s="454"/>
      <c r="U314" s="455"/>
      <c r="V314" s="454"/>
      <c r="W314" s="455"/>
      <c r="X314" s="454"/>
      <c r="Y314" s="455"/>
      <c r="Z314" s="454"/>
      <c r="AA314" s="455"/>
      <c r="AB314" s="454"/>
      <c r="AC314" s="455"/>
      <c r="AD314" s="454"/>
      <c r="AE314" s="455"/>
      <c r="AF314" s="454"/>
      <c r="AG314" s="455"/>
    </row>
    <row r="315" spans="1:33" x14ac:dyDescent="0.2">
      <c r="A315" s="415">
        <f t="shared" si="9"/>
        <v>1294</v>
      </c>
      <c r="B315" s="416" t="str">
        <f t="shared" si="10"/>
        <v>Autumn</v>
      </c>
      <c r="C315" s="453"/>
      <c r="D315" s="454"/>
      <c r="E315" s="455"/>
      <c r="F315" s="454"/>
      <c r="G315" s="455"/>
      <c r="H315" s="454"/>
      <c r="I315" s="455"/>
      <c r="J315" s="454"/>
      <c r="K315" s="455"/>
      <c r="L315" s="454"/>
      <c r="M315" s="455"/>
      <c r="N315" s="454"/>
      <c r="O315" s="455"/>
      <c r="P315" s="454"/>
      <c r="Q315" s="455"/>
      <c r="R315" s="454"/>
      <c r="S315" s="455"/>
      <c r="T315" s="454"/>
      <c r="U315" s="455"/>
      <c r="V315" s="454"/>
      <c r="W315" s="455"/>
      <c r="X315" s="454"/>
      <c r="Y315" s="455"/>
      <c r="Z315" s="454"/>
      <c r="AA315" s="455"/>
      <c r="AB315" s="454"/>
      <c r="AC315" s="455"/>
      <c r="AD315" s="454"/>
      <c r="AE315" s="455"/>
      <c r="AF315" s="454"/>
      <c r="AG315" s="455"/>
    </row>
    <row r="316" spans="1:33" x14ac:dyDescent="0.2">
      <c r="A316" s="415">
        <f t="shared" si="9"/>
        <v>1295</v>
      </c>
      <c r="B316" s="416" t="str">
        <f t="shared" si="10"/>
        <v>Winter</v>
      </c>
      <c r="C316" s="453"/>
      <c r="D316" s="454"/>
      <c r="E316" s="455"/>
      <c r="F316" s="454"/>
      <c r="G316" s="455"/>
      <c r="H316" s="454"/>
      <c r="I316" s="455"/>
      <c r="J316" s="454"/>
      <c r="K316" s="455"/>
      <c r="L316" s="454"/>
      <c r="M316" s="455"/>
      <c r="N316" s="454"/>
      <c r="O316" s="455"/>
      <c r="P316" s="454"/>
      <c r="Q316" s="455"/>
      <c r="R316" s="454"/>
      <c r="S316" s="455"/>
      <c r="T316" s="454"/>
      <c r="U316" s="455"/>
      <c r="V316" s="454"/>
      <c r="W316" s="455"/>
      <c r="X316" s="454"/>
      <c r="Y316" s="455"/>
      <c r="Z316" s="454"/>
      <c r="AA316" s="455"/>
      <c r="AB316" s="454"/>
      <c r="AC316" s="455"/>
      <c r="AD316" s="454"/>
      <c r="AE316" s="455"/>
      <c r="AF316" s="454"/>
      <c r="AG316" s="455"/>
    </row>
    <row r="317" spans="1:33" x14ac:dyDescent="0.2">
      <c r="A317" s="415">
        <f t="shared" si="9"/>
        <v>1295</v>
      </c>
      <c r="B317" s="416" t="str">
        <f t="shared" si="10"/>
        <v>Spring</v>
      </c>
      <c r="C317" s="453"/>
      <c r="D317" s="454"/>
      <c r="E317" s="455"/>
      <c r="F317" s="454"/>
      <c r="G317" s="455"/>
      <c r="H317" s="454"/>
      <c r="I317" s="455"/>
      <c r="J317" s="454"/>
      <c r="K317" s="455"/>
      <c r="L317" s="454"/>
      <c r="M317" s="455"/>
      <c r="N317" s="454"/>
      <c r="O317" s="455"/>
      <c r="P317" s="454"/>
      <c r="Q317" s="455"/>
      <c r="R317" s="454"/>
      <c r="S317" s="455"/>
      <c r="T317" s="454"/>
      <c r="U317" s="455"/>
      <c r="V317" s="454"/>
      <c r="W317" s="455"/>
      <c r="X317" s="454"/>
      <c r="Y317" s="455"/>
      <c r="Z317" s="454"/>
      <c r="AA317" s="455"/>
      <c r="AB317" s="454"/>
      <c r="AC317" s="455"/>
      <c r="AD317" s="454"/>
      <c r="AE317" s="455"/>
      <c r="AF317" s="454"/>
      <c r="AG317" s="455"/>
    </row>
    <row r="318" spans="1:33" x14ac:dyDescent="0.2">
      <c r="A318" s="415">
        <f t="shared" si="9"/>
        <v>1295</v>
      </c>
      <c r="B318" s="416" t="str">
        <f t="shared" si="10"/>
        <v>Summer</v>
      </c>
      <c r="C318" s="453"/>
      <c r="D318" s="454"/>
      <c r="E318" s="455"/>
      <c r="F318" s="454"/>
      <c r="G318" s="455"/>
      <c r="H318" s="454"/>
      <c r="I318" s="455"/>
      <c r="J318" s="454"/>
      <c r="K318" s="455"/>
      <c r="L318" s="454"/>
      <c r="M318" s="455"/>
      <c r="N318" s="454"/>
      <c r="O318" s="455"/>
      <c r="P318" s="454"/>
      <c r="Q318" s="455"/>
      <c r="R318" s="454"/>
      <c r="S318" s="455"/>
      <c r="T318" s="454"/>
      <c r="U318" s="455"/>
      <c r="V318" s="454"/>
      <c r="W318" s="455"/>
      <c r="X318" s="454"/>
      <c r="Y318" s="455"/>
      <c r="Z318" s="454"/>
      <c r="AA318" s="455"/>
      <c r="AB318" s="454"/>
      <c r="AC318" s="455"/>
      <c r="AD318" s="454"/>
      <c r="AE318" s="455"/>
      <c r="AF318" s="454"/>
      <c r="AG318" s="455"/>
    </row>
    <row r="319" spans="1:33" x14ac:dyDescent="0.2">
      <c r="A319" s="415">
        <f t="shared" si="9"/>
        <v>1295</v>
      </c>
      <c r="B319" s="416" t="str">
        <f t="shared" si="10"/>
        <v>Autumn</v>
      </c>
      <c r="C319" s="453"/>
      <c r="D319" s="454"/>
      <c r="E319" s="455"/>
      <c r="F319" s="454"/>
      <c r="G319" s="455"/>
      <c r="H319" s="454"/>
      <c r="I319" s="455"/>
      <c r="J319" s="454"/>
      <c r="K319" s="455"/>
      <c r="L319" s="454"/>
      <c r="M319" s="455"/>
      <c r="N319" s="454"/>
      <c r="O319" s="455"/>
      <c r="P319" s="454"/>
      <c r="Q319" s="455"/>
      <c r="R319" s="454"/>
      <c r="S319" s="455"/>
      <c r="T319" s="454"/>
      <c r="U319" s="455"/>
      <c r="V319" s="454"/>
      <c r="W319" s="455"/>
      <c r="X319" s="454"/>
      <c r="Y319" s="455"/>
      <c r="Z319" s="454"/>
      <c r="AA319" s="455"/>
      <c r="AB319" s="454"/>
      <c r="AC319" s="455"/>
      <c r="AD319" s="454"/>
      <c r="AE319" s="455"/>
      <c r="AF319" s="454"/>
      <c r="AG319" s="455"/>
    </row>
    <row r="320" spans="1:33" x14ac:dyDescent="0.2">
      <c r="A320" s="415">
        <f t="shared" si="9"/>
        <v>1296</v>
      </c>
      <c r="B320" s="416" t="str">
        <f t="shared" si="10"/>
        <v>Winter</v>
      </c>
      <c r="C320" s="453"/>
      <c r="D320" s="454"/>
      <c r="E320" s="455"/>
      <c r="F320" s="454"/>
      <c r="G320" s="455"/>
      <c r="H320" s="454"/>
      <c r="I320" s="455"/>
      <c r="J320" s="454"/>
      <c r="K320" s="455"/>
      <c r="L320" s="454"/>
      <c r="M320" s="455"/>
      <c r="N320" s="454"/>
      <c r="O320" s="455"/>
      <c r="P320" s="454"/>
      <c r="Q320" s="455"/>
      <c r="R320" s="454"/>
      <c r="S320" s="455"/>
      <c r="T320" s="454"/>
      <c r="U320" s="455"/>
      <c r="V320" s="454"/>
      <c r="W320" s="455"/>
      <c r="X320" s="454"/>
      <c r="Y320" s="455"/>
      <c r="Z320" s="454"/>
      <c r="AA320" s="455"/>
      <c r="AB320" s="454"/>
      <c r="AC320" s="455"/>
      <c r="AD320" s="454"/>
      <c r="AE320" s="455"/>
      <c r="AF320" s="454"/>
      <c r="AG320" s="455"/>
    </row>
    <row r="321" spans="1:33" x14ac:dyDescent="0.2">
      <c r="A321" s="415">
        <f t="shared" si="9"/>
        <v>1296</v>
      </c>
      <c r="B321" s="416" t="str">
        <f t="shared" si="10"/>
        <v>Spring</v>
      </c>
      <c r="C321" s="453"/>
      <c r="D321" s="454"/>
      <c r="E321" s="455"/>
      <c r="F321" s="454"/>
      <c r="G321" s="455"/>
      <c r="H321" s="454"/>
      <c r="I321" s="455"/>
      <c r="J321" s="454"/>
      <c r="K321" s="455"/>
      <c r="L321" s="454"/>
      <c r="M321" s="455"/>
      <c r="N321" s="454"/>
      <c r="O321" s="455"/>
      <c r="P321" s="454"/>
      <c r="Q321" s="455"/>
      <c r="R321" s="454"/>
      <c r="S321" s="455"/>
      <c r="T321" s="454"/>
      <c r="U321" s="455"/>
      <c r="V321" s="454"/>
      <c r="W321" s="455"/>
      <c r="X321" s="454"/>
      <c r="Y321" s="455"/>
      <c r="Z321" s="454"/>
      <c r="AA321" s="455"/>
      <c r="AB321" s="454"/>
      <c r="AC321" s="455"/>
      <c r="AD321" s="454"/>
      <c r="AE321" s="455"/>
      <c r="AF321" s="454"/>
      <c r="AG321" s="455"/>
    </row>
    <row r="322" spans="1:33" x14ac:dyDescent="0.2">
      <c r="A322" s="415">
        <f t="shared" si="9"/>
        <v>1296</v>
      </c>
      <c r="B322" s="416" t="str">
        <f t="shared" si="10"/>
        <v>Summer</v>
      </c>
      <c r="C322" s="453"/>
      <c r="D322" s="454"/>
      <c r="E322" s="455"/>
      <c r="F322" s="454"/>
      <c r="G322" s="455"/>
      <c r="H322" s="454"/>
      <c r="I322" s="455"/>
      <c r="J322" s="454"/>
      <c r="K322" s="455"/>
      <c r="L322" s="454"/>
      <c r="M322" s="455"/>
      <c r="N322" s="454"/>
      <c r="O322" s="455"/>
      <c r="P322" s="454"/>
      <c r="Q322" s="455"/>
      <c r="R322" s="454"/>
      <c r="S322" s="455"/>
      <c r="T322" s="454"/>
      <c r="U322" s="455"/>
      <c r="V322" s="454"/>
      <c r="W322" s="455"/>
      <c r="X322" s="454"/>
      <c r="Y322" s="455"/>
      <c r="Z322" s="454"/>
      <c r="AA322" s="455"/>
      <c r="AB322" s="454"/>
      <c r="AC322" s="455"/>
      <c r="AD322" s="454"/>
      <c r="AE322" s="455"/>
      <c r="AF322" s="454"/>
      <c r="AG322" s="455"/>
    </row>
    <row r="323" spans="1:33" x14ac:dyDescent="0.2">
      <c r="A323" s="415">
        <f t="shared" si="9"/>
        <v>1296</v>
      </c>
      <c r="B323" s="416" t="str">
        <f t="shared" si="10"/>
        <v>Autumn</v>
      </c>
      <c r="C323" s="453"/>
      <c r="D323" s="454"/>
      <c r="E323" s="455"/>
      <c r="F323" s="454"/>
      <c r="G323" s="455"/>
      <c r="H323" s="454"/>
      <c r="I323" s="455"/>
      <c r="J323" s="454"/>
      <c r="K323" s="455"/>
      <c r="L323" s="454"/>
      <c r="M323" s="455"/>
      <c r="N323" s="454"/>
      <c r="O323" s="455"/>
      <c r="P323" s="454"/>
      <c r="Q323" s="455"/>
      <c r="R323" s="454"/>
      <c r="S323" s="455"/>
      <c r="T323" s="454"/>
      <c r="U323" s="455"/>
      <c r="V323" s="454"/>
      <c r="W323" s="455"/>
      <c r="X323" s="454"/>
      <c r="Y323" s="455"/>
      <c r="Z323" s="454"/>
      <c r="AA323" s="455"/>
      <c r="AB323" s="454"/>
      <c r="AC323" s="455"/>
      <c r="AD323" s="454"/>
      <c r="AE323" s="455"/>
      <c r="AF323" s="454"/>
      <c r="AG323" s="455"/>
    </row>
    <row r="324" spans="1:33" x14ac:dyDescent="0.2">
      <c r="A324" s="415">
        <f t="shared" si="9"/>
        <v>1297</v>
      </c>
      <c r="B324" s="416" t="str">
        <f t="shared" si="10"/>
        <v>Winter</v>
      </c>
      <c r="C324" s="453"/>
      <c r="D324" s="454"/>
      <c r="E324" s="455"/>
      <c r="F324" s="454"/>
      <c r="G324" s="455"/>
      <c r="H324" s="454"/>
      <c r="I324" s="455"/>
      <c r="J324" s="454"/>
      <c r="K324" s="455"/>
      <c r="L324" s="454"/>
      <c r="M324" s="455"/>
      <c r="N324" s="454"/>
      <c r="O324" s="455"/>
      <c r="P324" s="454"/>
      <c r="Q324" s="455"/>
      <c r="R324" s="454"/>
      <c r="S324" s="455"/>
      <c r="T324" s="454"/>
      <c r="U324" s="455"/>
      <c r="V324" s="454"/>
      <c r="W324" s="455"/>
      <c r="X324" s="454"/>
      <c r="Y324" s="455"/>
      <c r="Z324" s="454"/>
      <c r="AA324" s="455"/>
      <c r="AB324" s="454"/>
      <c r="AC324" s="455"/>
      <c r="AD324" s="454"/>
      <c r="AE324" s="455"/>
      <c r="AF324" s="454"/>
      <c r="AG324" s="455"/>
    </row>
    <row r="325" spans="1:33" x14ac:dyDescent="0.2">
      <c r="A325" s="415">
        <f t="shared" ref="A325:A388" si="11">IF(B324="Autumn",A324+1,A324)</f>
        <v>1297</v>
      </c>
      <c r="B325" s="416" t="str">
        <f t="shared" si="10"/>
        <v>Spring</v>
      </c>
      <c r="C325" s="453"/>
      <c r="D325" s="454"/>
      <c r="E325" s="455"/>
      <c r="F325" s="454"/>
      <c r="G325" s="455"/>
      <c r="H325" s="454"/>
      <c r="I325" s="455"/>
      <c r="J325" s="454"/>
      <c r="K325" s="455"/>
      <c r="L325" s="454"/>
      <c r="M325" s="455"/>
      <c r="N325" s="454"/>
      <c r="O325" s="455"/>
      <c r="P325" s="454"/>
      <c r="Q325" s="455"/>
      <c r="R325" s="454"/>
      <c r="S325" s="455"/>
      <c r="T325" s="454"/>
      <c r="U325" s="455"/>
      <c r="V325" s="454"/>
      <c r="W325" s="455"/>
      <c r="X325" s="454"/>
      <c r="Y325" s="455"/>
      <c r="Z325" s="454"/>
      <c r="AA325" s="455"/>
      <c r="AB325" s="454"/>
      <c r="AC325" s="455"/>
      <c r="AD325" s="454"/>
      <c r="AE325" s="455"/>
      <c r="AF325" s="454"/>
      <c r="AG325" s="455"/>
    </row>
    <row r="326" spans="1:33" x14ac:dyDescent="0.2">
      <c r="A326" s="415">
        <f t="shared" si="11"/>
        <v>1297</v>
      </c>
      <c r="B326" s="416" t="str">
        <f t="shared" si="10"/>
        <v>Summer</v>
      </c>
      <c r="C326" s="453"/>
      <c r="D326" s="454"/>
      <c r="E326" s="455"/>
      <c r="F326" s="454"/>
      <c r="G326" s="455"/>
      <c r="H326" s="454"/>
      <c r="I326" s="455"/>
      <c r="J326" s="454"/>
      <c r="K326" s="455"/>
      <c r="L326" s="454"/>
      <c r="M326" s="455"/>
      <c r="N326" s="454"/>
      <c r="O326" s="455"/>
      <c r="P326" s="454"/>
      <c r="Q326" s="455"/>
      <c r="R326" s="454"/>
      <c r="S326" s="455"/>
      <c r="T326" s="454"/>
      <c r="U326" s="455"/>
      <c r="V326" s="454"/>
      <c r="W326" s="455"/>
      <c r="X326" s="454"/>
      <c r="Y326" s="455"/>
      <c r="Z326" s="454"/>
      <c r="AA326" s="455"/>
      <c r="AB326" s="454"/>
      <c r="AC326" s="455"/>
      <c r="AD326" s="454"/>
      <c r="AE326" s="455"/>
      <c r="AF326" s="454"/>
      <c r="AG326" s="455"/>
    </row>
    <row r="327" spans="1:33" x14ac:dyDescent="0.2">
      <c r="A327" s="415">
        <f t="shared" si="11"/>
        <v>1297</v>
      </c>
      <c r="B327" s="416" t="str">
        <f t="shared" si="10"/>
        <v>Autumn</v>
      </c>
      <c r="C327" s="453"/>
      <c r="D327" s="454"/>
      <c r="E327" s="455"/>
      <c r="F327" s="454"/>
      <c r="G327" s="455"/>
      <c r="H327" s="454"/>
      <c r="I327" s="455"/>
      <c r="J327" s="454"/>
      <c r="K327" s="455"/>
      <c r="L327" s="454"/>
      <c r="M327" s="455"/>
      <c r="N327" s="454"/>
      <c r="O327" s="455"/>
      <c r="P327" s="454"/>
      <c r="Q327" s="455"/>
      <c r="R327" s="454"/>
      <c r="S327" s="455"/>
      <c r="T327" s="454"/>
      <c r="U327" s="455"/>
      <c r="V327" s="454"/>
      <c r="W327" s="455"/>
      <c r="X327" s="454"/>
      <c r="Y327" s="455"/>
      <c r="Z327" s="454"/>
      <c r="AA327" s="455"/>
      <c r="AB327" s="454"/>
      <c r="AC327" s="455"/>
      <c r="AD327" s="454"/>
      <c r="AE327" s="455"/>
      <c r="AF327" s="454"/>
      <c r="AG327" s="455"/>
    </row>
    <row r="328" spans="1:33" x14ac:dyDescent="0.2">
      <c r="A328" s="415">
        <f t="shared" si="11"/>
        <v>1298</v>
      </c>
      <c r="B328" s="416" t="str">
        <f t="shared" si="10"/>
        <v>Winter</v>
      </c>
      <c r="C328" s="453"/>
      <c r="D328" s="454"/>
      <c r="E328" s="455"/>
      <c r="F328" s="454"/>
      <c r="G328" s="455"/>
      <c r="H328" s="454"/>
      <c r="I328" s="455"/>
      <c r="J328" s="454"/>
      <c r="K328" s="455"/>
      <c r="L328" s="454"/>
      <c r="M328" s="455"/>
      <c r="N328" s="454"/>
      <c r="O328" s="455"/>
      <c r="P328" s="454"/>
      <c r="Q328" s="455"/>
      <c r="R328" s="454"/>
      <c r="S328" s="455"/>
      <c r="T328" s="454"/>
      <c r="U328" s="455"/>
      <c r="V328" s="454"/>
      <c r="W328" s="455"/>
      <c r="X328" s="454"/>
      <c r="Y328" s="455"/>
      <c r="Z328" s="454"/>
      <c r="AA328" s="455"/>
      <c r="AB328" s="454"/>
      <c r="AC328" s="455"/>
      <c r="AD328" s="454"/>
      <c r="AE328" s="455"/>
      <c r="AF328" s="454"/>
      <c r="AG328" s="455"/>
    </row>
    <row r="329" spans="1:33" x14ac:dyDescent="0.2">
      <c r="A329" s="415">
        <f t="shared" si="11"/>
        <v>1298</v>
      </c>
      <c r="B329" s="416" t="str">
        <f t="shared" si="10"/>
        <v>Spring</v>
      </c>
      <c r="C329" s="453"/>
      <c r="D329" s="454"/>
      <c r="E329" s="455"/>
      <c r="F329" s="454"/>
      <c r="G329" s="455"/>
      <c r="H329" s="454"/>
      <c r="I329" s="455"/>
      <c r="J329" s="454"/>
      <c r="K329" s="455"/>
      <c r="L329" s="454"/>
      <c r="M329" s="455"/>
      <c r="N329" s="454"/>
      <c r="O329" s="455"/>
      <c r="P329" s="454"/>
      <c r="Q329" s="455"/>
      <c r="R329" s="454"/>
      <c r="S329" s="455"/>
      <c r="T329" s="454"/>
      <c r="U329" s="455"/>
      <c r="V329" s="454"/>
      <c r="W329" s="455"/>
      <c r="X329" s="454"/>
      <c r="Y329" s="455"/>
      <c r="Z329" s="454"/>
      <c r="AA329" s="455"/>
      <c r="AB329" s="454"/>
      <c r="AC329" s="455"/>
      <c r="AD329" s="454"/>
      <c r="AE329" s="455"/>
      <c r="AF329" s="454"/>
      <c r="AG329" s="455"/>
    </row>
    <row r="330" spans="1:33" x14ac:dyDescent="0.2">
      <c r="A330" s="415">
        <f t="shared" si="11"/>
        <v>1298</v>
      </c>
      <c r="B330" s="416" t="str">
        <f t="shared" si="10"/>
        <v>Summer</v>
      </c>
      <c r="C330" s="453"/>
      <c r="D330" s="454"/>
      <c r="E330" s="455"/>
      <c r="F330" s="454"/>
      <c r="G330" s="455"/>
      <c r="H330" s="454"/>
      <c r="I330" s="455"/>
      <c r="J330" s="454"/>
      <c r="K330" s="455"/>
      <c r="L330" s="454"/>
      <c r="M330" s="455"/>
      <c r="N330" s="454"/>
      <c r="O330" s="455"/>
      <c r="P330" s="454"/>
      <c r="Q330" s="455"/>
      <c r="R330" s="454"/>
      <c r="S330" s="455"/>
      <c r="T330" s="454"/>
      <c r="U330" s="455"/>
      <c r="V330" s="454"/>
      <c r="W330" s="455"/>
      <c r="X330" s="454"/>
      <c r="Y330" s="455"/>
      <c r="Z330" s="454"/>
      <c r="AA330" s="455"/>
      <c r="AB330" s="454"/>
      <c r="AC330" s="455"/>
      <c r="AD330" s="454"/>
      <c r="AE330" s="455"/>
      <c r="AF330" s="454"/>
      <c r="AG330" s="455"/>
    </row>
    <row r="331" spans="1:33" x14ac:dyDescent="0.2">
      <c r="A331" s="415">
        <f t="shared" si="11"/>
        <v>1298</v>
      </c>
      <c r="B331" s="416" t="str">
        <f t="shared" si="10"/>
        <v>Autumn</v>
      </c>
      <c r="C331" s="453"/>
      <c r="D331" s="454"/>
      <c r="E331" s="455"/>
      <c r="F331" s="454"/>
      <c r="G331" s="455"/>
      <c r="H331" s="454"/>
      <c r="I331" s="455"/>
      <c r="J331" s="454"/>
      <c r="K331" s="455"/>
      <c r="L331" s="454"/>
      <c r="M331" s="455"/>
      <c r="N331" s="454"/>
      <c r="O331" s="455"/>
      <c r="P331" s="454"/>
      <c r="Q331" s="455"/>
      <c r="R331" s="454"/>
      <c r="S331" s="455"/>
      <c r="T331" s="454"/>
      <c r="U331" s="455"/>
      <c r="V331" s="454"/>
      <c r="W331" s="455"/>
      <c r="X331" s="454"/>
      <c r="Y331" s="455"/>
      <c r="Z331" s="454"/>
      <c r="AA331" s="455"/>
      <c r="AB331" s="454"/>
      <c r="AC331" s="455"/>
      <c r="AD331" s="454"/>
      <c r="AE331" s="455"/>
      <c r="AF331" s="454"/>
      <c r="AG331" s="455"/>
    </row>
    <row r="332" spans="1:33" x14ac:dyDescent="0.2">
      <c r="A332" s="415">
        <f t="shared" si="11"/>
        <v>1299</v>
      </c>
      <c r="B332" s="416" t="str">
        <f t="shared" si="10"/>
        <v>Winter</v>
      </c>
      <c r="C332" s="453"/>
      <c r="D332" s="454"/>
      <c r="E332" s="455"/>
      <c r="F332" s="454"/>
      <c r="G332" s="455"/>
      <c r="H332" s="454"/>
      <c r="I332" s="455"/>
      <c r="J332" s="454"/>
      <c r="K332" s="455"/>
      <c r="L332" s="454"/>
      <c r="M332" s="455"/>
      <c r="N332" s="454"/>
      <c r="O332" s="455"/>
      <c r="P332" s="454"/>
      <c r="Q332" s="455"/>
      <c r="R332" s="454"/>
      <c r="S332" s="455"/>
      <c r="T332" s="454"/>
      <c r="U332" s="455"/>
      <c r="V332" s="454"/>
      <c r="W332" s="455"/>
      <c r="X332" s="454"/>
      <c r="Y332" s="455"/>
      <c r="Z332" s="454"/>
      <c r="AA332" s="455"/>
      <c r="AB332" s="454"/>
      <c r="AC332" s="455"/>
      <c r="AD332" s="454"/>
      <c r="AE332" s="455"/>
      <c r="AF332" s="454"/>
      <c r="AG332" s="455"/>
    </row>
    <row r="333" spans="1:33" x14ac:dyDescent="0.2">
      <c r="A333" s="415">
        <f t="shared" si="11"/>
        <v>1299</v>
      </c>
      <c r="B333" s="416" t="str">
        <f t="shared" si="10"/>
        <v>Spring</v>
      </c>
      <c r="C333" s="453"/>
      <c r="D333" s="454"/>
      <c r="E333" s="455"/>
      <c r="F333" s="454"/>
      <c r="G333" s="455"/>
      <c r="H333" s="454"/>
      <c r="I333" s="455"/>
      <c r="J333" s="454"/>
      <c r="K333" s="455"/>
      <c r="L333" s="454"/>
      <c r="M333" s="455"/>
      <c r="N333" s="454"/>
      <c r="O333" s="455"/>
      <c r="P333" s="454"/>
      <c r="Q333" s="455"/>
      <c r="R333" s="454"/>
      <c r="S333" s="455"/>
      <c r="T333" s="454"/>
      <c r="U333" s="455"/>
      <c r="V333" s="454"/>
      <c r="W333" s="455"/>
      <c r="X333" s="454"/>
      <c r="Y333" s="455"/>
      <c r="Z333" s="454"/>
      <c r="AA333" s="455"/>
      <c r="AB333" s="454"/>
      <c r="AC333" s="455"/>
      <c r="AD333" s="454"/>
      <c r="AE333" s="455"/>
      <c r="AF333" s="454"/>
      <c r="AG333" s="455"/>
    </row>
    <row r="334" spans="1:33" x14ac:dyDescent="0.2">
      <c r="A334" s="415">
        <f t="shared" si="11"/>
        <v>1299</v>
      </c>
      <c r="B334" s="416" t="str">
        <f t="shared" si="10"/>
        <v>Summer</v>
      </c>
      <c r="C334" s="453"/>
      <c r="D334" s="454"/>
      <c r="E334" s="455"/>
      <c r="F334" s="454"/>
      <c r="G334" s="455"/>
      <c r="H334" s="454"/>
      <c r="I334" s="455"/>
      <c r="J334" s="454"/>
      <c r="K334" s="455"/>
      <c r="L334" s="454"/>
      <c r="M334" s="455"/>
      <c r="N334" s="454"/>
      <c r="O334" s="455"/>
      <c r="P334" s="454"/>
      <c r="Q334" s="455"/>
      <c r="R334" s="454"/>
      <c r="S334" s="455"/>
      <c r="T334" s="454"/>
      <c r="U334" s="455"/>
      <c r="V334" s="454"/>
      <c r="W334" s="455"/>
      <c r="X334" s="454"/>
      <c r="Y334" s="455"/>
      <c r="Z334" s="454"/>
      <c r="AA334" s="455"/>
      <c r="AB334" s="454"/>
      <c r="AC334" s="455"/>
      <c r="AD334" s="454"/>
      <c r="AE334" s="455"/>
      <c r="AF334" s="454"/>
      <c r="AG334" s="455"/>
    </row>
    <row r="335" spans="1:33" x14ac:dyDescent="0.2">
      <c r="A335" s="415">
        <f t="shared" si="11"/>
        <v>1299</v>
      </c>
      <c r="B335" s="416" t="str">
        <f t="shared" si="10"/>
        <v>Autumn</v>
      </c>
      <c r="C335" s="453"/>
      <c r="D335" s="454"/>
      <c r="E335" s="455"/>
      <c r="F335" s="454"/>
      <c r="G335" s="455"/>
      <c r="H335" s="454"/>
      <c r="I335" s="455"/>
      <c r="J335" s="454"/>
      <c r="K335" s="455"/>
      <c r="L335" s="454"/>
      <c r="M335" s="455"/>
      <c r="N335" s="454"/>
      <c r="O335" s="455"/>
      <c r="P335" s="454"/>
      <c r="Q335" s="455"/>
      <c r="R335" s="454"/>
      <c r="S335" s="455"/>
      <c r="T335" s="454"/>
      <c r="U335" s="455"/>
      <c r="V335" s="454"/>
      <c r="W335" s="455"/>
      <c r="X335" s="454"/>
      <c r="Y335" s="455"/>
      <c r="Z335" s="454"/>
      <c r="AA335" s="455"/>
      <c r="AB335" s="454"/>
      <c r="AC335" s="455"/>
      <c r="AD335" s="454"/>
      <c r="AE335" s="455"/>
      <c r="AF335" s="454"/>
      <c r="AG335" s="455"/>
    </row>
    <row r="336" spans="1:33" x14ac:dyDescent="0.2">
      <c r="A336" s="415">
        <f t="shared" si="11"/>
        <v>1300</v>
      </c>
      <c r="B336" s="416" t="str">
        <f t="shared" si="10"/>
        <v>Winter</v>
      </c>
      <c r="C336" s="453"/>
      <c r="D336" s="454"/>
      <c r="E336" s="455"/>
      <c r="F336" s="454"/>
      <c r="G336" s="455"/>
      <c r="H336" s="454"/>
      <c r="I336" s="455"/>
      <c r="J336" s="454"/>
      <c r="K336" s="455"/>
      <c r="L336" s="454"/>
      <c r="M336" s="455"/>
      <c r="N336" s="454"/>
      <c r="O336" s="455"/>
      <c r="P336" s="454"/>
      <c r="Q336" s="455"/>
      <c r="R336" s="454"/>
      <c r="S336" s="455"/>
      <c r="T336" s="454"/>
      <c r="U336" s="455"/>
      <c r="V336" s="454"/>
      <c r="W336" s="455"/>
      <c r="X336" s="454"/>
      <c r="Y336" s="455"/>
      <c r="Z336" s="454"/>
      <c r="AA336" s="455"/>
      <c r="AB336" s="454"/>
      <c r="AC336" s="455"/>
      <c r="AD336" s="454"/>
      <c r="AE336" s="455"/>
      <c r="AF336" s="454"/>
      <c r="AG336" s="455"/>
    </row>
    <row r="337" spans="1:33" x14ac:dyDescent="0.2">
      <c r="A337" s="415">
        <f t="shared" si="11"/>
        <v>1300</v>
      </c>
      <c r="B337" s="416" t="str">
        <f t="shared" si="10"/>
        <v>Spring</v>
      </c>
      <c r="C337" s="453"/>
      <c r="D337" s="454"/>
      <c r="E337" s="455"/>
      <c r="F337" s="454"/>
      <c r="G337" s="455"/>
      <c r="H337" s="454"/>
      <c r="I337" s="455"/>
      <c r="J337" s="454"/>
      <c r="K337" s="455"/>
      <c r="L337" s="454"/>
      <c r="M337" s="455"/>
      <c r="N337" s="454"/>
      <c r="O337" s="455"/>
      <c r="P337" s="454"/>
      <c r="Q337" s="455"/>
      <c r="R337" s="454"/>
      <c r="S337" s="455"/>
      <c r="T337" s="454"/>
      <c r="U337" s="455"/>
      <c r="V337" s="454"/>
      <c r="W337" s="455"/>
      <c r="X337" s="454"/>
      <c r="Y337" s="455"/>
      <c r="Z337" s="454"/>
      <c r="AA337" s="455"/>
      <c r="AB337" s="454"/>
      <c r="AC337" s="455"/>
      <c r="AD337" s="454"/>
      <c r="AE337" s="455"/>
      <c r="AF337" s="454"/>
      <c r="AG337" s="455"/>
    </row>
    <row r="338" spans="1:33" x14ac:dyDescent="0.2">
      <c r="A338" s="415">
        <f t="shared" si="11"/>
        <v>1300</v>
      </c>
      <c r="B338" s="416" t="str">
        <f t="shared" si="10"/>
        <v>Summer</v>
      </c>
      <c r="C338" s="453"/>
      <c r="D338" s="454"/>
      <c r="E338" s="455"/>
      <c r="F338" s="454"/>
      <c r="G338" s="455"/>
      <c r="H338" s="454"/>
      <c r="I338" s="455"/>
      <c r="J338" s="454"/>
      <c r="K338" s="455"/>
      <c r="L338" s="454"/>
      <c r="M338" s="455"/>
      <c r="N338" s="454"/>
      <c r="O338" s="455"/>
      <c r="P338" s="454"/>
      <c r="Q338" s="455"/>
      <c r="R338" s="454"/>
      <c r="S338" s="455"/>
      <c r="T338" s="454"/>
      <c r="U338" s="455"/>
      <c r="V338" s="454"/>
      <c r="W338" s="455"/>
      <c r="X338" s="454"/>
      <c r="Y338" s="455"/>
      <c r="Z338" s="454"/>
      <c r="AA338" s="455"/>
      <c r="AB338" s="454"/>
      <c r="AC338" s="455"/>
      <c r="AD338" s="454"/>
      <c r="AE338" s="455"/>
      <c r="AF338" s="454"/>
      <c r="AG338" s="455"/>
    </row>
    <row r="339" spans="1:33" x14ac:dyDescent="0.2">
      <c r="A339" s="415">
        <f t="shared" si="11"/>
        <v>1300</v>
      </c>
      <c r="B339" s="416" t="str">
        <f t="shared" si="10"/>
        <v>Autumn</v>
      </c>
      <c r="C339" s="453"/>
      <c r="D339" s="454"/>
      <c r="E339" s="455"/>
      <c r="F339" s="454"/>
      <c r="G339" s="455"/>
      <c r="H339" s="454"/>
      <c r="I339" s="455"/>
      <c r="J339" s="454"/>
      <c r="K339" s="455"/>
      <c r="L339" s="454"/>
      <c r="M339" s="455"/>
      <c r="N339" s="454"/>
      <c r="O339" s="455"/>
      <c r="P339" s="454"/>
      <c r="Q339" s="455"/>
      <c r="R339" s="454"/>
      <c r="S339" s="455"/>
      <c r="T339" s="454"/>
      <c r="U339" s="455"/>
      <c r="V339" s="454"/>
      <c r="W339" s="455"/>
      <c r="X339" s="454"/>
      <c r="Y339" s="455"/>
      <c r="Z339" s="454"/>
      <c r="AA339" s="455"/>
      <c r="AB339" s="454"/>
      <c r="AC339" s="455"/>
      <c r="AD339" s="454"/>
      <c r="AE339" s="455"/>
      <c r="AF339" s="454"/>
      <c r="AG339" s="455"/>
    </row>
    <row r="340" spans="1:33" x14ac:dyDescent="0.2">
      <c r="A340" s="415">
        <f t="shared" si="11"/>
        <v>1301</v>
      </c>
      <c r="B340" s="416" t="str">
        <f t="shared" si="10"/>
        <v>Winter</v>
      </c>
      <c r="C340" s="453"/>
      <c r="D340" s="454"/>
      <c r="E340" s="455"/>
      <c r="F340" s="454"/>
      <c r="G340" s="455"/>
      <c r="H340" s="454"/>
      <c r="I340" s="455"/>
      <c r="J340" s="454"/>
      <c r="K340" s="455"/>
      <c r="L340" s="454"/>
      <c r="M340" s="455"/>
      <c r="N340" s="454"/>
      <c r="O340" s="455"/>
      <c r="P340" s="454"/>
      <c r="Q340" s="455"/>
      <c r="R340" s="454"/>
      <c r="S340" s="455"/>
      <c r="T340" s="454"/>
      <c r="U340" s="455"/>
      <c r="V340" s="454"/>
      <c r="W340" s="455"/>
      <c r="X340" s="454"/>
      <c r="Y340" s="455"/>
      <c r="Z340" s="454"/>
      <c r="AA340" s="455"/>
      <c r="AB340" s="454"/>
      <c r="AC340" s="455"/>
      <c r="AD340" s="454"/>
      <c r="AE340" s="455"/>
      <c r="AF340" s="454"/>
      <c r="AG340" s="455"/>
    </row>
    <row r="341" spans="1:33" x14ac:dyDescent="0.2">
      <c r="A341" s="415">
        <f t="shared" si="11"/>
        <v>1301</v>
      </c>
      <c r="B341" s="416" t="str">
        <f t="shared" si="10"/>
        <v>Spring</v>
      </c>
      <c r="C341" s="453"/>
      <c r="D341" s="454"/>
      <c r="E341" s="455"/>
      <c r="F341" s="454"/>
      <c r="G341" s="455"/>
      <c r="H341" s="454"/>
      <c r="I341" s="455"/>
      <c r="J341" s="454"/>
      <c r="K341" s="455"/>
      <c r="L341" s="454"/>
      <c r="M341" s="455"/>
      <c r="N341" s="454"/>
      <c r="O341" s="455"/>
      <c r="P341" s="454"/>
      <c r="Q341" s="455"/>
      <c r="R341" s="454"/>
      <c r="S341" s="455"/>
      <c r="T341" s="454"/>
      <c r="U341" s="455"/>
      <c r="V341" s="454"/>
      <c r="W341" s="455"/>
      <c r="X341" s="454"/>
      <c r="Y341" s="455"/>
      <c r="Z341" s="454"/>
      <c r="AA341" s="455"/>
      <c r="AB341" s="454"/>
      <c r="AC341" s="455"/>
      <c r="AD341" s="454"/>
      <c r="AE341" s="455"/>
      <c r="AF341" s="454"/>
      <c r="AG341" s="455"/>
    </row>
    <row r="342" spans="1:33" x14ac:dyDescent="0.2">
      <c r="A342" s="415">
        <f t="shared" si="11"/>
        <v>1301</v>
      </c>
      <c r="B342" s="416" t="str">
        <f t="shared" si="10"/>
        <v>Summer</v>
      </c>
      <c r="C342" s="453"/>
      <c r="D342" s="454"/>
      <c r="E342" s="455"/>
      <c r="F342" s="454"/>
      <c r="G342" s="455"/>
      <c r="H342" s="454"/>
      <c r="I342" s="455"/>
      <c r="J342" s="454"/>
      <c r="K342" s="455"/>
      <c r="L342" s="454"/>
      <c r="M342" s="455"/>
      <c r="N342" s="454"/>
      <c r="O342" s="455"/>
      <c r="P342" s="454"/>
      <c r="Q342" s="455"/>
      <c r="R342" s="454"/>
      <c r="S342" s="455"/>
      <c r="T342" s="454"/>
      <c r="U342" s="455"/>
      <c r="V342" s="454"/>
      <c r="W342" s="455"/>
      <c r="X342" s="454"/>
      <c r="Y342" s="455"/>
      <c r="Z342" s="454"/>
      <c r="AA342" s="455"/>
      <c r="AB342" s="454"/>
      <c r="AC342" s="455"/>
      <c r="AD342" s="454"/>
      <c r="AE342" s="455"/>
      <c r="AF342" s="454"/>
      <c r="AG342" s="455"/>
    </row>
    <row r="343" spans="1:33" x14ac:dyDescent="0.2">
      <c r="A343" s="415">
        <f t="shared" si="11"/>
        <v>1301</v>
      </c>
      <c r="B343" s="416" t="str">
        <f t="shared" si="10"/>
        <v>Autumn</v>
      </c>
      <c r="C343" s="453"/>
      <c r="D343" s="454"/>
      <c r="E343" s="455"/>
      <c r="F343" s="454"/>
      <c r="G343" s="455"/>
      <c r="H343" s="454"/>
      <c r="I343" s="455"/>
      <c r="J343" s="454"/>
      <c r="K343" s="455"/>
      <c r="L343" s="454"/>
      <c r="M343" s="455"/>
      <c r="N343" s="454"/>
      <c r="O343" s="455"/>
      <c r="P343" s="454"/>
      <c r="Q343" s="455"/>
      <c r="R343" s="454"/>
      <c r="S343" s="455"/>
      <c r="T343" s="454"/>
      <c r="U343" s="455"/>
      <c r="V343" s="454"/>
      <c r="W343" s="455"/>
      <c r="X343" s="454"/>
      <c r="Y343" s="455"/>
      <c r="Z343" s="454"/>
      <c r="AA343" s="455"/>
      <c r="AB343" s="454"/>
      <c r="AC343" s="455"/>
      <c r="AD343" s="454"/>
      <c r="AE343" s="455"/>
      <c r="AF343" s="454"/>
      <c r="AG343" s="455"/>
    </row>
    <row r="344" spans="1:33" x14ac:dyDescent="0.2">
      <c r="A344" s="415">
        <f t="shared" si="11"/>
        <v>1302</v>
      </c>
      <c r="B344" s="416" t="str">
        <f t="shared" si="10"/>
        <v>Winter</v>
      </c>
      <c r="C344" s="453"/>
      <c r="D344" s="454"/>
      <c r="E344" s="455"/>
      <c r="F344" s="454"/>
      <c r="G344" s="455"/>
      <c r="H344" s="454"/>
      <c r="I344" s="455"/>
      <c r="J344" s="454"/>
      <c r="K344" s="455"/>
      <c r="L344" s="454"/>
      <c r="M344" s="455"/>
      <c r="N344" s="454"/>
      <c r="O344" s="455"/>
      <c r="P344" s="454"/>
      <c r="Q344" s="455"/>
      <c r="R344" s="454"/>
      <c r="S344" s="455"/>
      <c r="T344" s="454"/>
      <c r="U344" s="455"/>
      <c r="V344" s="454"/>
      <c r="W344" s="455"/>
      <c r="X344" s="454"/>
      <c r="Y344" s="455"/>
      <c r="Z344" s="454"/>
      <c r="AA344" s="455"/>
      <c r="AB344" s="454"/>
      <c r="AC344" s="455"/>
      <c r="AD344" s="454"/>
      <c r="AE344" s="455"/>
      <c r="AF344" s="454"/>
      <c r="AG344" s="455"/>
    </row>
    <row r="345" spans="1:33" x14ac:dyDescent="0.2">
      <c r="A345" s="415">
        <f t="shared" si="11"/>
        <v>1302</v>
      </c>
      <c r="B345" s="416" t="str">
        <f t="shared" si="10"/>
        <v>Spring</v>
      </c>
      <c r="C345" s="453"/>
      <c r="D345" s="454"/>
      <c r="E345" s="455"/>
      <c r="F345" s="454"/>
      <c r="G345" s="455"/>
      <c r="H345" s="454"/>
      <c r="I345" s="455"/>
      <c r="J345" s="454"/>
      <c r="K345" s="455"/>
      <c r="L345" s="454"/>
      <c r="M345" s="455"/>
      <c r="N345" s="454"/>
      <c r="O345" s="455"/>
      <c r="P345" s="454"/>
      <c r="Q345" s="455"/>
      <c r="R345" s="454"/>
      <c r="S345" s="455"/>
      <c r="T345" s="454"/>
      <c r="U345" s="455"/>
      <c r="V345" s="454"/>
      <c r="W345" s="455"/>
      <c r="X345" s="454"/>
      <c r="Y345" s="455"/>
      <c r="Z345" s="454"/>
      <c r="AA345" s="455"/>
      <c r="AB345" s="454"/>
      <c r="AC345" s="455"/>
      <c r="AD345" s="454"/>
      <c r="AE345" s="455"/>
      <c r="AF345" s="454"/>
      <c r="AG345" s="455"/>
    </row>
    <row r="346" spans="1:33" x14ac:dyDescent="0.2">
      <c r="A346" s="415">
        <f t="shared" si="11"/>
        <v>1302</v>
      </c>
      <c r="B346" s="416" t="str">
        <f t="shared" si="10"/>
        <v>Summer</v>
      </c>
      <c r="C346" s="453"/>
      <c r="D346" s="454"/>
      <c r="E346" s="455"/>
      <c r="F346" s="454"/>
      <c r="G346" s="455"/>
      <c r="H346" s="454"/>
      <c r="I346" s="455"/>
      <c r="J346" s="454"/>
      <c r="K346" s="455"/>
      <c r="L346" s="454"/>
      <c r="M346" s="455"/>
      <c r="N346" s="454"/>
      <c r="O346" s="455"/>
      <c r="P346" s="454"/>
      <c r="Q346" s="455"/>
      <c r="R346" s="454"/>
      <c r="S346" s="455"/>
      <c r="T346" s="454"/>
      <c r="U346" s="455"/>
      <c r="V346" s="454"/>
      <c r="W346" s="455"/>
      <c r="X346" s="454"/>
      <c r="Y346" s="455"/>
      <c r="Z346" s="454"/>
      <c r="AA346" s="455"/>
      <c r="AB346" s="454"/>
      <c r="AC346" s="455"/>
      <c r="AD346" s="454"/>
      <c r="AE346" s="455"/>
      <c r="AF346" s="454"/>
      <c r="AG346" s="455"/>
    </row>
    <row r="347" spans="1:33" x14ac:dyDescent="0.2">
      <c r="A347" s="415">
        <f t="shared" si="11"/>
        <v>1302</v>
      </c>
      <c r="B347" s="416" t="str">
        <f t="shared" si="10"/>
        <v>Autumn</v>
      </c>
      <c r="C347" s="453"/>
      <c r="D347" s="454"/>
      <c r="E347" s="455"/>
      <c r="F347" s="454"/>
      <c r="G347" s="455"/>
      <c r="H347" s="454"/>
      <c r="I347" s="455"/>
      <c r="J347" s="454"/>
      <c r="K347" s="455"/>
      <c r="L347" s="454"/>
      <c r="M347" s="455"/>
      <c r="N347" s="454"/>
      <c r="O347" s="455"/>
      <c r="P347" s="454"/>
      <c r="Q347" s="455"/>
      <c r="R347" s="454"/>
      <c r="S347" s="455"/>
      <c r="T347" s="454"/>
      <c r="U347" s="455"/>
      <c r="V347" s="454"/>
      <c r="W347" s="455"/>
      <c r="X347" s="454"/>
      <c r="Y347" s="455"/>
      <c r="Z347" s="454"/>
      <c r="AA347" s="455"/>
      <c r="AB347" s="454"/>
      <c r="AC347" s="455"/>
      <c r="AD347" s="454"/>
      <c r="AE347" s="455"/>
      <c r="AF347" s="454"/>
      <c r="AG347" s="455"/>
    </row>
    <row r="348" spans="1:33" x14ac:dyDescent="0.2">
      <c r="A348" s="415">
        <f t="shared" si="11"/>
        <v>1303</v>
      </c>
      <c r="B348" s="416" t="str">
        <f t="shared" si="10"/>
        <v>Winter</v>
      </c>
      <c r="C348" s="453"/>
      <c r="D348" s="454"/>
      <c r="E348" s="455"/>
      <c r="F348" s="454"/>
      <c r="G348" s="455"/>
      <c r="H348" s="454"/>
      <c r="I348" s="455"/>
      <c r="J348" s="454"/>
      <c r="K348" s="455"/>
      <c r="L348" s="454"/>
      <c r="M348" s="455"/>
      <c r="N348" s="454"/>
      <c r="O348" s="455"/>
      <c r="P348" s="454"/>
      <c r="Q348" s="455"/>
      <c r="R348" s="454"/>
      <c r="S348" s="455"/>
      <c r="T348" s="454"/>
      <c r="U348" s="455"/>
      <c r="V348" s="454"/>
      <c r="W348" s="455"/>
      <c r="X348" s="454"/>
      <c r="Y348" s="455"/>
      <c r="Z348" s="454"/>
      <c r="AA348" s="455"/>
      <c r="AB348" s="454"/>
      <c r="AC348" s="455"/>
      <c r="AD348" s="454"/>
      <c r="AE348" s="455"/>
      <c r="AF348" s="454"/>
      <c r="AG348" s="455"/>
    </row>
    <row r="349" spans="1:33" x14ac:dyDescent="0.2">
      <c r="A349" s="415">
        <f t="shared" si="11"/>
        <v>1303</v>
      </c>
      <c r="B349" s="416" t="str">
        <f t="shared" si="10"/>
        <v>Spring</v>
      </c>
      <c r="C349" s="453"/>
      <c r="D349" s="454"/>
      <c r="E349" s="455"/>
      <c r="F349" s="454"/>
      <c r="G349" s="455"/>
      <c r="H349" s="454"/>
      <c r="I349" s="455"/>
      <c r="J349" s="454"/>
      <c r="K349" s="455"/>
      <c r="L349" s="454"/>
      <c r="M349" s="455"/>
      <c r="N349" s="454"/>
      <c r="O349" s="455"/>
      <c r="P349" s="454"/>
      <c r="Q349" s="455"/>
      <c r="R349" s="454"/>
      <c r="S349" s="455"/>
      <c r="T349" s="454"/>
      <c r="U349" s="455"/>
      <c r="V349" s="454"/>
      <c r="W349" s="455"/>
      <c r="X349" s="454"/>
      <c r="Y349" s="455"/>
      <c r="Z349" s="454"/>
      <c r="AA349" s="455"/>
      <c r="AB349" s="454"/>
      <c r="AC349" s="455"/>
      <c r="AD349" s="454"/>
      <c r="AE349" s="455"/>
      <c r="AF349" s="454"/>
      <c r="AG349" s="455"/>
    </row>
    <row r="350" spans="1:33" x14ac:dyDescent="0.2">
      <c r="A350" s="415">
        <f t="shared" si="11"/>
        <v>1303</v>
      </c>
      <c r="B350" s="416" t="str">
        <f t="shared" si="10"/>
        <v>Summer</v>
      </c>
      <c r="C350" s="453"/>
      <c r="D350" s="454"/>
      <c r="E350" s="455"/>
      <c r="F350" s="454"/>
      <c r="G350" s="455"/>
      <c r="H350" s="454"/>
      <c r="I350" s="455"/>
      <c r="J350" s="454"/>
      <c r="K350" s="455"/>
      <c r="L350" s="454"/>
      <c r="M350" s="455"/>
      <c r="N350" s="454"/>
      <c r="O350" s="455"/>
      <c r="P350" s="454"/>
      <c r="Q350" s="455"/>
      <c r="R350" s="454"/>
      <c r="S350" s="455"/>
      <c r="T350" s="454"/>
      <c r="U350" s="455"/>
      <c r="V350" s="454"/>
      <c r="W350" s="455"/>
      <c r="X350" s="454"/>
      <c r="Y350" s="455"/>
      <c r="Z350" s="454"/>
      <c r="AA350" s="455"/>
      <c r="AB350" s="454"/>
      <c r="AC350" s="455"/>
      <c r="AD350" s="454"/>
      <c r="AE350" s="455"/>
      <c r="AF350" s="454"/>
      <c r="AG350" s="455"/>
    </row>
    <row r="351" spans="1:33" x14ac:dyDescent="0.2">
      <c r="A351" s="415">
        <f t="shared" si="11"/>
        <v>1303</v>
      </c>
      <c r="B351" s="416" t="str">
        <f t="shared" si="10"/>
        <v>Autumn</v>
      </c>
      <c r="C351" s="453"/>
      <c r="D351" s="454"/>
      <c r="E351" s="455"/>
      <c r="F351" s="454"/>
      <c r="G351" s="455"/>
      <c r="H351" s="454"/>
      <c r="I351" s="455"/>
      <c r="J351" s="454"/>
      <c r="K351" s="455"/>
      <c r="L351" s="454"/>
      <c r="M351" s="455"/>
      <c r="N351" s="454"/>
      <c r="O351" s="455"/>
      <c r="P351" s="454"/>
      <c r="Q351" s="455"/>
      <c r="R351" s="454"/>
      <c r="S351" s="455"/>
      <c r="T351" s="454"/>
      <c r="U351" s="455"/>
      <c r="V351" s="454"/>
      <c r="W351" s="455"/>
      <c r="X351" s="454"/>
      <c r="Y351" s="455"/>
      <c r="Z351" s="454"/>
      <c r="AA351" s="455"/>
      <c r="AB351" s="454"/>
      <c r="AC351" s="455"/>
      <c r="AD351" s="454"/>
      <c r="AE351" s="455"/>
      <c r="AF351" s="454"/>
      <c r="AG351" s="455"/>
    </row>
    <row r="352" spans="1:33" x14ac:dyDescent="0.2">
      <c r="A352" s="415">
        <f t="shared" si="11"/>
        <v>1304</v>
      </c>
      <c r="B352" s="416" t="str">
        <f t="shared" si="10"/>
        <v>Winter</v>
      </c>
      <c r="C352" s="453"/>
      <c r="D352" s="454"/>
      <c r="E352" s="455"/>
      <c r="F352" s="454"/>
      <c r="G352" s="455"/>
      <c r="H352" s="454"/>
      <c r="I352" s="455"/>
      <c r="J352" s="454"/>
      <c r="K352" s="455"/>
      <c r="L352" s="454"/>
      <c r="M352" s="455"/>
      <c r="N352" s="454"/>
      <c r="O352" s="455"/>
      <c r="P352" s="454"/>
      <c r="Q352" s="455"/>
      <c r="R352" s="454"/>
      <c r="S352" s="455"/>
      <c r="T352" s="454"/>
      <c r="U352" s="455"/>
      <c r="V352" s="454"/>
      <c r="W352" s="455"/>
      <c r="X352" s="454"/>
      <c r="Y352" s="455"/>
      <c r="Z352" s="454"/>
      <c r="AA352" s="455"/>
      <c r="AB352" s="454"/>
      <c r="AC352" s="455"/>
      <c r="AD352" s="454"/>
      <c r="AE352" s="455"/>
      <c r="AF352" s="454"/>
      <c r="AG352" s="455"/>
    </row>
    <row r="353" spans="1:33" x14ac:dyDescent="0.2">
      <c r="A353" s="415">
        <f t="shared" si="11"/>
        <v>1304</v>
      </c>
      <c r="B353" s="416" t="str">
        <f t="shared" si="10"/>
        <v>Spring</v>
      </c>
      <c r="C353" s="453"/>
      <c r="D353" s="454"/>
      <c r="E353" s="455"/>
      <c r="F353" s="454"/>
      <c r="G353" s="455"/>
      <c r="H353" s="454"/>
      <c r="I353" s="455"/>
      <c r="J353" s="454"/>
      <c r="K353" s="455"/>
      <c r="L353" s="454"/>
      <c r="M353" s="455"/>
      <c r="N353" s="454"/>
      <c r="O353" s="455"/>
      <c r="P353" s="454"/>
      <c r="Q353" s="455"/>
      <c r="R353" s="454"/>
      <c r="S353" s="455"/>
      <c r="T353" s="454"/>
      <c r="U353" s="455"/>
      <c r="V353" s="454"/>
      <c r="W353" s="455"/>
      <c r="X353" s="454"/>
      <c r="Y353" s="455"/>
      <c r="Z353" s="454"/>
      <c r="AA353" s="455"/>
      <c r="AB353" s="454"/>
      <c r="AC353" s="455"/>
      <c r="AD353" s="454"/>
      <c r="AE353" s="455"/>
      <c r="AF353" s="454"/>
      <c r="AG353" s="455"/>
    </row>
    <row r="354" spans="1:33" x14ac:dyDescent="0.2">
      <c r="A354" s="415">
        <f t="shared" si="11"/>
        <v>1304</v>
      </c>
      <c r="B354" s="416" t="str">
        <f t="shared" si="10"/>
        <v>Summer</v>
      </c>
      <c r="C354" s="453"/>
      <c r="D354" s="454"/>
      <c r="E354" s="455"/>
      <c r="F354" s="454"/>
      <c r="G354" s="455"/>
      <c r="H354" s="454"/>
      <c r="I354" s="455"/>
      <c r="J354" s="454"/>
      <c r="K354" s="455"/>
      <c r="L354" s="454"/>
      <c r="M354" s="455"/>
      <c r="N354" s="454"/>
      <c r="O354" s="455"/>
      <c r="P354" s="454"/>
      <c r="Q354" s="455"/>
      <c r="R354" s="454"/>
      <c r="S354" s="455"/>
      <c r="T354" s="454"/>
      <c r="U354" s="455"/>
      <c r="V354" s="454"/>
      <c r="W354" s="455"/>
      <c r="X354" s="454"/>
      <c r="Y354" s="455"/>
      <c r="Z354" s="454"/>
      <c r="AA354" s="455"/>
      <c r="AB354" s="454"/>
      <c r="AC354" s="455"/>
      <c r="AD354" s="454"/>
      <c r="AE354" s="455"/>
      <c r="AF354" s="454"/>
      <c r="AG354" s="455"/>
    </row>
    <row r="355" spans="1:33" x14ac:dyDescent="0.2">
      <c r="A355" s="415">
        <f t="shared" si="11"/>
        <v>1304</v>
      </c>
      <c r="B355" s="416" t="str">
        <f t="shared" si="10"/>
        <v>Autumn</v>
      </c>
      <c r="C355" s="453"/>
      <c r="D355" s="454"/>
      <c r="E355" s="455"/>
      <c r="F355" s="454"/>
      <c r="G355" s="455"/>
      <c r="H355" s="454"/>
      <c r="I355" s="455"/>
      <c r="J355" s="454"/>
      <c r="K355" s="455"/>
      <c r="L355" s="454"/>
      <c r="M355" s="455"/>
      <c r="N355" s="454"/>
      <c r="O355" s="455"/>
      <c r="P355" s="454"/>
      <c r="Q355" s="455"/>
      <c r="R355" s="454"/>
      <c r="S355" s="455"/>
      <c r="T355" s="454"/>
      <c r="U355" s="455"/>
      <c r="V355" s="454"/>
      <c r="W355" s="455"/>
      <c r="X355" s="454"/>
      <c r="Y355" s="455"/>
      <c r="Z355" s="454"/>
      <c r="AA355" s="455"/>
      <c r="AB355" s="454"/>
      <c r="AC355" s="455"/>
      <c r="AD355" s="454"/>
      <c r="AE355" s="455"/>
      <c r="AF355" s="454"/>
      <c r="AG355" s="455"/>
    </row>
    <row r="356" spans="1:33" x14ac:dyDescent="0.2">
      <c r="A356" s="415">
        <f t="shared" si="11"/>
        <v>1305</v>
      </c>
      <c r="B356" s="416" t="str">
        <f t="shared" si="10"/>
        <v>Winter</v>
      </c>
      <c r="C356" s="453"/>
      <c r="D356" s="454"/>
      <c r="E356" s="455"/>
      <c r="F356" s="454"/>
      <c r="G356" s="455"/>
      <c r="H356" s="454"/>
      <c r="I356" s="455"/>
      <c r="J356" s="454"/>
      <c r="K356" s="455"/>
      <c r="L356" s="454"/>
      <c r="M356" s="455"/>
      <c r="N356" s="454"/>
      <c r="O356" s="455"/>
      <c r="P356" s="454"/>
      <c r="Q356" s="455"/>
      <c r="R356" s="454"/>
      <c r="S356" s="455"/>
      <c r="T356" s="454"/>
      <c r="U356" s="455"/>
      <c r="V356" s="454"/>
      <c r="W356" s="455"/>
      <c r="X356" s="454"/>
      <c r="Y356" s="455"/>
      <c r="Z356" s="454"/>
      <c r="AA356" s="455"/>
      <c r="AB356" s="454"/>
      <c r="AC356" s="455"/>
      <c r="AD356" s="454"/>
      <c r="AE356" s="455"/>
      <c r="AF356" s="454"/>
      <c r="AG356" s="455"/>
    </row>
    <row r="357" spans="1:33" x14ac:dyDescent="0.2">
      <c r="A357" s="415">
        <f t="shared" si="11"/>
        <v>1305</v>
      </c>
      <c r="B357" s="416" t="str">
        <f t="shared" si="10"/>
        <v>Spring</v>
      </c>
      <c r="C357" s="453"/>
      <c r="D357" s="454"/>
      <c r="E357" s="455"/>
      <c r="F357" s="454"/>
      <c r="G357" s="455"/>
      <c r="H357" s="454"/>
      <c r="I357" s="455"/>
      <c r="J357" s="454"/>
      <c r="K357" s="455"/>
      <c r="L357" s="454"/>
      <c r="M357" s="455"/>
      <c r="N357" s="454"/>
      <c r="O357" s="455"/>
      <c r="P357" s="454"/>
      <c r="Q357" s="455"/>
      <c r="R357" s="454"/>
      <c r="S357" s="455"/>
      <c r="T357" s="454"/>
      <c r="U357" s="455"/>
      <c r="V357" s="454"/>
      <c r="W357" s="455"/>
      <c r="X357" s="454"/>
      <c r="Y357" s="455"/>
      <c r="Z357" s="454"/>
      <c r="AA357" s="455"/>
      <c r="AB357" s="454"/>
      <c r="AC357" s="455"/>
      <c r="AD357" s="454"/>
      <c r="AE357" s="455"/>
      <c r="AF357" s="454"/>
      <c r="AG357" s="455"/>
    </row>
    <row r="358" spans="1:33" x14ac:dyDescent="0.2">
      <c r="A358" s="415">
        <f t="shared" si="11"/>
        <v>1305</v>
      </c>
      <c r="B358" s="416" t="str">
        <f t="shared" si="10"/>
        <v>Summer</v>
      </c>
      <c r="C358" s="453"/>
      <c r="D358" s="454"/>
      <c r="E358" s="455"/>
      <c r="F358" s="454"/>
      <c r="G358" s="455"/>
      <c r="H358" s="454"/>
      <c r="I358" s="455"/>
      <c r="J358" s="454"/>
      <c r="K358" s="455"/>
      <c r="L358" s="454"/>
      <c r="M358" s="455"/>
      <c r="N358" s="454"/>
      <c r="O358" s="455"/>
      <c r="P358" s="454"/>
      <c r="Q358" s="455"/>
      <c r="R358" s="454"/>
      <c r="S358" s="455"/>
      <c r="T358" s="454"/>
      <c r="U358" s="455"/>
      <c r="V358" s="454"/>
      <c r="W358" s="455"/>
      <c r="X358" s="454"/>
      <c r="Y358" s="455"/>
      <c r="Z358" s="454"/>
      <c r="AA358" s="455"/>
      <c r="AB358" s="454"/>
      <c r="AC358" s="455"/>
      <c r="AD358" s="454"/>
      <c r="AE358" s="455"/>
      <c r="AF358" s="454"/>
      <c r="AG358" s="455"/>
    </row>
    <row r="359" spans="1:33" x14ac:dyDescent="0.2">
      <c r="A359" s="415">
        <f t="shared" si="11"/>
        <v>1305</v>
      </c>
      <c r="B359" s="416" t="str">
        <f t="shared" si="10"/>
        <v>Autumn</v>
      </c>
      <c r="C359" s="453"/>
      <c r="D359" s="454"/>
      <c r="E359" s="455"/>
      <c r="F359" s="454"/>
      <c r="G359" s="455"/>
      <c r="H359" s="454"/>
      <c r="I359" s="455"/>
      <c r="J359" s="454"/>
      <c r="K359" s="455"/>
      <c r="L359" s="454"/>
      <c r="M359" s="455"/>
      <c r="N359" s="454"/>
      <c r="O359" s="455"/>
      <c r="P359" s="454"/>
      <c r="Q359" s="455"/>
      <c r="R359" s="454"/>
      <c r="S359" s="455"/>
      <c r="T359" s="454"/>
      <c r="U359" s="455"/>
      <c r="V359" s="454"/>
      <c r="W359" s="455"/>
      <c r="X359" s="454"/>
      <c r="Y359" s="455"/>
      <c r="Z359" s="454"/>
      <c r="AA359" s="455"/>
      <c r="AB359" s="454"/>
      <c r="AC359" s="455"/>
      <c r="AD359" s="454"/>
      <c r="AE359" s="455"/>
      <c r="AF359" s="454"/>
      <c r="AG359" s="455"/>
    </row>
    <row r="360" spans="1:33" x14ac:dyDescent="0.2">
      <c r="A360" s="415">
        <f t="shared" si="11"/>
        <v>1306</v>
      </c>
      <c r="B360" s="416" t="str">
        <f t="shared" si="10"/>
        <v>Winter</v>
      </c>
      <c r="C360" s="453"/>
      <c r="D360" s="454"/>
      <c r="E360" s="455"/>
      <c r="F360" s="454"/>
      <c r="G360" s="455"/>
      <c r="H360" s="454"/>
      <c r="I360" s="455"/>
      <c r="J360" s="454"/>
      <c r="K360" s="455"/>
      <c r="L360" s="454"/>
      <c r="M360" s="455"/>
      <c r="N360" s="454"/>
      <c r="O360" s="455"/>
      <c r="P360" s="454"/>
      <c r="Q360" s="455"/>
      <c r="R360" s="454"/>
      <c r="S360" s="455"/>
      <c r="T360" s="454"/>
      <c r="U360" s="455"/>
      <c r="V360" s="454"/>
      <c r="W360" s="455"/>
      <c r="X360" s="454"/>
      <c r="Y360" s="455"/>
      <c r="Z360" s="454"/>
      <c r="AA360" s="455"/>
      <c r="AB360" s="454"/>
      <c r="AC360" s="455"/>
      <c r="AD360" s="454"/>
      <c r="AE360" s="455"/>
      <c r="AF360" s="454"/>
      <c r="AG360" s="455"/>
    </row>
    <row r="361" spans="1:33" x14ac:dyDescent="0.2">
      <c r="A361" s="415">
        <f t="shared" si="11"/>
        <v>1306</v>
      </c>
      <c r="B361" s="416" t="str">
        <f t="shared" si="10"/>
        <v>Spring</v>
      </c>
      <c r="C361" s="453"/>
      <c r="D361" s="454"/>
      <c r="E361" s="455"/>
      <c r="F361" s="454"/>
      <c r="G361" s="455"/>
      <c r="H361" s="454"/>
      <c r="I361" s="455"/>
      <c r="J361" s="454"/>
      <c r="K361" s="455"/>
      <c r="L361" s="454"/>
      <c r="M361" s="455"/>
      <c r="N361" s="454"/>
      <c r="O361" s="455"/>
      <c r="P361" s="454"/>
      <c r="Q361" s="455"/>
      <c r="R361" s="454"/>
      <c r="S361" s="455"/>
      <c r="T361" s="454"/>
      <c r="U361" s="455"/>
      <c r="V361" s="454"/>
      <c r="W361" s="455"/>
      <c r="X361" s="454"/>
      <c r="Y361" s="455"/>
      <c r="Z361" s="454"/>
      <c r="AA361" s="455"/>
      <c r="AB361" s="454"/>
      <c r="AC361" s="455"/>
      <c r="AD361" s="454"/>
      <c r="AE361" s="455"/>
      <c r="AF361" s="454"/>
      <c r="AG361" s="455"/>
    </row>
    <row r="362" spans="1:33" x14ac:dyDescent="0.2">
      <c r="A362" s="415">
        <f t="shared" si="11"/>
        <v>1306</v>
      </c>
      <c r="B362" s="416" t="str">
        <f t="shared" si="10"/>
        <v>Summer</v>
      </c>
      <c r="C362" s="453"/>
      <c r="D362" s="454"/>
      <c r="E362" s="455"/>
      <c r="F362" s="454"/>
      <c r="G362" s="455"/>
      <c r="H362" s="454"/>
      <c r="I362" s="455"/>
      <c r="J362" s="454"/>
      <c r="K362" s="455"/>
      <c r="L362" s="454"/>
      <c r="M362" s="455"/>
      <c r="N362" s="454"/>
      <c r="O362" s="455"/>
      <c r="P362" s="454"/>
      <c r="Q362" s="455"/>
      <c r="R362" s="454"/>
      <c r="S362" s="455"/>
      <c r="T362" s="454"/>
      <c r="U362" s="455"/>
      <c r="V362" s="454"/>
      <c r="W362" s="455"/>
      <c r="X362" s="454"/>
      <c r="Y362" s="455"/>
      <c r="Z362" s="454"/>
      <c r="AA362" s="455"/>
      <c r="AB362" s="454"/>
      <c r="AC362" s="455"/>
      <c r="AD362" s="454"/>
      <c r="AE362" s="455"/>
      <c r="AF362" s="454"/>
      <c r="AG362" s="455"/>
    </row>
    <row r="363" spans="1:33" x14ac:dyDescent="0.2">
      <c r="A363" s="415">
        <f t="shared" si="11"/>
        <v>1306</v>
      </c>
      <c r="B363" s="416" t="str">
        <f t="shared" ref="B363:B426" si="12">IF(B362="spring","Summer",IF(B362="Summer","Autumn",IF(B362="Autumn","Winter",IF(B362="Winter","Spring"," "))))</f>
        <v>Autumn</v>
      </c>
      <c r="C363" s="453"/>
      <c r="D363" s="454"/>
      <c r="E363" s="455"/>
      <c r="F363" s="454"/>
      <c r="G363" s="455"/>
      <c r="H363" s="454"/>
      <c r="I363" s="455"/>
      <c r="J363" s="454"/>
      <c r="K363" s="455"/>
      <c r="L363" s="454"/>
      <c r="M363" s="455"/>
      <c r="N363" s="454"/>
      <c r="O363" s="455"/>
      <c r="P363" s="454"/>
      <c r="Q363" s="455"/>
      <c r="R363" s="454"/>
      <c r="S363" s="455"/>
      <c r="T363" s="454"/>
      <c r="U363" s="455"/>
      <c r="V363" s="454"/>
      <c r="W363" s="455"/>
      <c r="X363" s="454"/>
      <c r="Y363" s="455"/>
      <c r="Z363" s="454"/>
      <c r="AA363" s="455"/>
      <c r="AB363" s="454"/>
      <c r="AC363" s="455"/>
      <c r="AD363" s="454"/>
      <c r="AE363" s="455"/>
      <c r="AF363" s="454"/>
      <c r="AG363" s="455"/>
    </row>
    <row r="364" spans="1:33" x14ac:dyDescent="0.2">
      <c r="A364" s="415">
        <f t="shared" si="11"/>
        <v>1307</v>
      </c>
      <c r="B364" s="416" t="str">
        <f t="shared" si="12"/>
        <v>Winter</v>
      </c>
      <c r="C364" s="453"/>
      <c r="D364" s="454"/>
      <c r="E364" s="455"/>
      <c r="F364" s="454"/>
      <c r="G364" s="455"/>
      <c r="H364" s="454"/>
      <c r="I364" s="455"/>
      <c r="J364" s="454"/>
      <c r="K364" s="455"/>
      <c r="L364" s="454"/>
      <c r="M364" s="455"/>
      <c r="N364" s="454"/>
      <c r="O364" s="455"/>
      <c r="P364" s="454"/>
      <c r="Q364" s="455"/>
      <c r="R364" s="454"/>
      <c r="S364" s="455"/>
      <c r="T364" s="454"/>
      <c r="U364" s="455"/>
      <c r="V364" s="454"/>
      <c r="W364" s="455"/>
      <c r="X364" s="454"/>
      <c r="Y364" s="455"/>
      <c r="Z364" s="454"/>
      <c r="AA364" s="455"/>
      <c r="AB364" s="454"/>
      <c r="AC364" s="455"/>
      <c r="AD364" s="454"/>
      <c r="AE364" s="455"/>
      <c r="AF364" s="454"/>
      <c r="AG364" s="455"/>
    </row>
    <row r="365" spans="1:33" x14ac:dyDescent="0.2">
      <c r="A365" s="415">
        <f t="shared" si="11"/>
        <v>1307</v>
      </c>
      <c r="B365" s="416" t="str">
        <f t="shared" si="12"/>
        <v>Spring</v>
      </c>
      <c r="C365" s="453"/>
      <c r="D365" s="454"/>
      <c r="E365" s="455"/>
      <c r="F365" s="454"/>
      <c r="G365" s="455"/>
      <c r="H365" s="454"/>
      <c r="I365" s="455"/>
      <c r="J365" s="454"/>
      <c r="K365" s="455"/>
      <c r="L365" s="454"/>
      <c r="M365" s="455"/>
      <c r="N365" s="454"/>
      <c r="O365" s="455"/>
      <c r="P365" s="454"/>
      <c r="Q365" s="455"/>
      <c r="R365" s="454"/>
      <c r="S365" s="455"/>
      <c r="T365" s="454"/>
      <c r="U365" s="455"/>
      <c r="V365" s="454"/>
      <c r="W365" s="455"/>
      <c r="X365" s="454"/>
      <c r="Y365" s="455"/>
      <c r="Z365" s="454"/>
      <c r="AA365" s="455"/>
      <c r="AB365" s="454"/>
      <c r="AC365" s="455"/>
      <c r="AD365" s="454"/>
      <c r="AE365" s="455"/>
      <c r="AF365" s="454"/>
      <c r="AG365" s="455"/>
    </row>
    <row r="366" spans="1:33" x14ac:dyDescent="0.2">
      <c r="A366" s="415">
        <f t="shared" si="11"/>
        <v>1307</v>
      </c>
      <c r="B366" s="416" t="str">
        <f t="shared" si="12"/>
        <v>Summer</v>
      </c>
      <c r="C366" s="453"/>
      <c r="D366" s="454"/>
      <c r="E366" s="455"/>
      <c r="F366" s="454"/>
      <c r="G366" s="455"/>
      <c r="H366" s="454"/>
      <c r="I366" s="455"/>
      <c r="J366" s="454"/>
      <c r="K366" s="455"/>
      <c r="L366" s="454"/>
      <c r="M366" s="455"/>
      <c r="N366" s="454"/>
      <c r="O366" s="455"/>
      <c r="P366" s="454"/>
      <c r="Q366" s="455"/>
      <c r="R366" s="454"/>
      <c r="S366" s="455"/>
      <c r="T366" s="454"/>
      <c r="U366" s="455"/>
      <c r="V366" s="454"/>
      <c r="W366" s="455"/>
      <c r="X366" s="454"/>
      <c r="Y366" s="455"/>
      <c r="Z366" s="454"/>
      <c r="AA366" s="455"/>
      <c r="AB366" s="454"/>
      <c r="AC366" s="455"/>
      <c r="AD366" s="454"/>
      <c r="AE366" s="455"/>
      <c r="AF366" s="454"/>
      <c r="AG366" s="455"/>
    </row>
    <row r="367" spans="1:33" x14ac:dyDescent="0.2">
      <c r="A367" s="415">
        <f t="shared" si="11"/>
        <v>1307</v>
      </c>
      <c r="B367" s="416" t="str">
        <f t="shared" si="12"/>
        <v>Autumn</v>
      </c>
      <c r="C367" s="453"/>
      <c r="D367" s="454"/>
      <c r="E367" s="455"/>
      <c r="F367" s="454"/>
      <c r="G367" s="455"/>
      <c r="H367" s="454"/>
      <c r="I367" s="455"/>
      <c r="J367" s="454"/>
      <c r="K367" s="455"/>
      <c r="L367" s="454"/>
      <c r="M367" s="455"/>
      <c r="N367" s="454"/>
      <c r="O367" s="455"/>
      <c r="P367" s="454"/>
      <c r="Q367" s="455"/>
      <c r="R367" s="454"/>
      <c r="S367" s="455"/>
      <c r="T367" s="454"/>
      <c r="U367" s="455"/>
      <c r="V367" s="454"/>
      <c r="W367" s="455"/>
      <c r="X367" s="454"/>
      <c r="Y367" s="455"/>
      <c r="Z367" s="454"/>
      <c r="AA367" s="455"/>
      <c r="AB367" s="454"/>
      <c r="AC367" s="455"/>
      <c r="AD367" s="454"/>
      <c r="AE367" s="455"/>
      <c r="AF367" s="454"/>
      <c r="AG367" s="455"/>
    </row>
    <row r="368" spans="1:33" x14ac:dyDescent="0.2">
      <c r="A368" s="415">
        <f t="shared" si="11"/>
        <v>1308</v>
      </c>
      <c r="B368" s="416" t="str">
        <f t="shared" si="12"/>
        <v>Winter</v>
      </c>
      <c r="C368" s="453"/>
      <c r="D368" s="454"/>
      <c r="E368" s="455"/>
      <c r="F368" s="454"/>
      <c r="G368" s="455"/>
      <c r="H368" s="454"/>
      <c r="I368" s="455"/>
      <c r="J368" s="454"/>
      <c r="K368" s="455"/>
      <c r="L368" s="454"/>
      <c r="M368" s="455"/>
      <c r="N368" s="454"/>
      <c r="O368" s="455"/>
      <c r="P368" s="454"/>
      <c r="Q368" s="455"/>
      <c r="R368" s="454"/>
      <c r="S368" s="455"/>
      <c r="T368" s="454"/>
      <c r="U368" s="455"/>
      <c r="V368" s="454"/>
      <c r="W368" s="455"/>
      <c r="X368" s="454"/>
      <c r="Y368" s="455"/>
      <c r="Z368" s="454"/>
      <c r="AA368" s="455"/>
      <c r="AB368" s="454"/>
      <c r="AC368" s="455"/>
      <c r="AD368" s="454"/>
      <c r="AE368" s="455"/>
      <c r="AF368" s="454"/>
      <c r="AG368" s="455"/>
    </row>
    <row r="369" spans="1:33" x14ac:dyDescent="0.2">
      <c r="A369" s="415">
        <f t="shared" si="11"/>
        <v>1308</v>
      </c>
      <c r="B369" s="416" t="str">
        <f t="shared" si="12"/>
        <v>Spring</v>
      </c>
      <c r="C369" s="453"/>
      <c r="D369" s="454"/>
      <c r="E369" s="455"/>
      <c r="F369" s="454"/>
      <c r="G369" s="455"/>
      <c r="H369" s="454"/>
      <c r="I369" s="455"/>
      <c r="J369" s="454"/>
      <c r="K369" s="455"/>
      <c r="L369" s="454"/>
      <c r="M369" s="455"/>
      <c r="N369" s="454"/>
      <c r="O369" s="455"/>
      <c r="P369" s="454"/>
      <c r="Q369" s="455"/>
      <c r="R369" s="454"/>
      <c r="S369" s="455"/>
      <c r="T369" s="454"/>
      <c r="U369" s="455"/>
      <c r="V369" s="454"/>
      <c r="W369" s="455"/>
      <c r="X369" s="454"/>
      <c r="Y369" s="455"/>
      <c r="Z369" s="454"/>
      <c r="AA369" s="455"/>
      <c r="AB369" s="454"/>
      <c r="AC369" s="455"/>
      <c r="AD369" s="454"/>
      <c r="AE369" s="455"/>
      <c r="AF369" s="454"/>
      <c r="AG369" s="455"/>
    </row>
    <row r="370" spans="1:33" x14ac:dyDescent="0.2">
      <c r="A370" s="415">
        <f t="shared" si="11"/>
        <v>1308</v>
      </c>
      <c r="B370" s="416" t="str">
        <f t="shared" si="12"/>
        <v>Summer</v>
      </c>
      <c r="C370" s="453"/>
      <c r="D370" s="454"/>
      <c r="E370" s="455"/>
      <c r="F370" s="454"/>
      <c r="G370" s="455"/>
      <c r="H370" s="454"/>
      <c r="I370" s="455"/>
      <c r="J370" s="454"/>
      <c r="K370" s="455"/>
      <c r="L370" s="454"/>
      <c r="M370" s="455"/>
      <c r="N370" s="454"/>
      <c r="O370" s="455"/>
      <c r="P370" s="454"/>
      <c r="Q370" s="455"/>
      <c r="R370" s="454"/>
      <c r="S370" s="455"/>
      <c r="T370" s="454"/>
      <c r="U370" s="455"/>
      <c r="V370" s="454"/>
      <c r="W370" s="455"/>
      <c r="X370" s="454"/>
      <c r="Y370" s="455"/>
      <c r="Z370" s="454"/>
      <c r="AA370" s="455"/>
      <c r="AB370" s="454"/>
      <c r="AC370" s="455"/>
      <c r="AD370" s="454"/>
      <c r="AE370" s="455"/>
      <c r="AF370" s="454"/>
      <c r="AG370" s="455"/>
    </row>
    <row r="371" spans="1:33" x14ac:dyDescent="0.2">
      <c r="A371" s="415">
        <f t="shared" si="11"/>
        <v>1308</v>
      </c>
      <c r="B371" s="416" t="str">
        <f t="shared" si="12"/>
        <v>Autumn</v>
      </c>
      <c r="C371" s="453"/>
      <c r="D371" s="454"/>
      <c r="E371" s="455"/>
      <c r="F371" s="454"/>
      <c r="G371" s="455"/>
      <c r="H371" s="454"/>
      <c r="I371" s="455"/>
      <c r="J371" s="454"/>
      <c r="K371" s="455"/>
      <c r="L371" s="454"/>
      <c r="M371" s="455"/>
      <c r="N371" s="454"/>
      <c r="O371" s="455"/>
      <c r="P371" s="454"/>
      <c r="Q371" s="455"/>
      <c r="R371" s="454"/>
      <c r="S371" s="455"/>
      <c r="T371" s="454"/>
      <c r="U371" s="455"/>
      <c r="V371" s="454"/>
      <c r="W371" s="455"/>
      <c r="X371" s="454"/>
      <c r="Y371" s="455"/>
      <c r="Z371" s="454"/>
      <c r="AA371" s="455"/>
      <c r="AB371" s="454"/>
      <c r="AC371" s="455"/>
      <c r="AD371" s="454"/>
      <c r="AE371" s="455"/>
      <c r="AF371" s="454"/>
      <c r="AG371" s="455"/>
    </row>
    <row r="372" spans="1:33" x14ac:dyDescent="0.2">
      <c r="A372" s="415">
        <f t="shared" si="11"/>
        <v>1309</v>
      </c>
      <c r="B372" s="416" t="str">
        <f t="shared" si="12"/>
        <v>Winter</v>
      </c>
      <c r="C372" s="453"/>
      <c r="D372" s="454"/>
      <c r="E372" s="455"/>
      <c r="F372" s="454"/>
      <c r="G372" s="455"/>
      <c r="H372" s="454"/>
      <c r="I372" s="455"/>
      <c r="J372" s="454"/>
      <c r="K372" s="455"/>
      <c r="L372" s="454"/>
      <c r="M372" s="455"/>
      <c r="N372" s="454"/>
      <c r="O372" s="455"/>
      <c r="P372" s="454"/>
      <c r="Q372" s="455"/>
      <c r="R372" s="454"/>
      <c r="S372" s="455"/>
      <c r="T372" s="454"/>
      <c r="U372" s="455"/>
      <c r="V372" s="454"/>
      <c r="W372" s="455"/>
      <c r="X372" s="454"/>
      <c r="Y372" s="455"/>
      <c r="Z372" s="454"/>
      <c r="AA372" s="455"/>
      <c r="AB372" s="454"/>
      <c r="AC372" s="455"/>
      <c r="AD372" s="454"/>
      <c r="AE372" s="455"/>
      <c r="AF372" s="454"/>
      <c r="AG372" s="455"/>
    </row>
    <row r="373" spans="1:33" x14ac:dyDescent="0.2">
      <c r="A373" s="415">
        <f t="shared" si="11"/>
        <v>1309</v>
      </c>
      <c r="B373" s="416" t="str">
        <f t="shared" si="12"/>
        <v>Spring</v>
      </c>
      <c r="C373" s="453"/>
      <c r="D373" s="454"/>
      <c r="E373" s="455"/>
      <c r="F373" s="454"/>
      <c r="G373" s="455"/>
      <c r="H373" s="454"/>
      <c r="I373" s="455"/>
      <c r="J373" s="454"/>
      <c r="K373" s="455"/>
      <c r="L373" s="454"/>
      <c r="M373" s="455"/>
      <c r="N373" s="454"/>
      <c r="O373" s="455"/>
      <c r="P373" s="454"/>
      <c r="Q373" s="455"/>
      <c r="R373" s="454"/>
      <c r="S373" s="455"/>
      <c r="T373" s="454"/>
      <c r="U373" s="455"/>
      <c r="V373" s="454"/>
      <c r="W373" s="455"/>
      <c r="X373" s="454"/>
      <c r="Y373" s="455"/>
      <c r="Z373" s="454"/>
      <c r="AA373" s="455"/>
      <c r="AB373" s="454"/>
      <c r="AC373" s="455"/>
      <c r="AD373" s="454"/>
      <c r="AE373" s="455"/>
      <c r="AF373" s="454"/>
      <c r="AG373" s="455"/>
    </row>
    <row r="374" spans="1:33" x14ac:dyDescent="0.2">
      <c r="A374" s="415">
        <f t="shared" si="11"/>
        <v>1309</v>
      </c>
      <c r="B374" s="416" t="str">
        <f t="shared" si="12"/>
        <v>Summer</v>
      </c>
      <c r="C374" s="453"/>
      <c r="D374" s="454"/>
      <c r="E374" s="455"/>
      <c r="F374" s="454"/>
      <c r="G374" s="455"/>
      <c r="H374" s="454"/>
      <c r="I374" s="455"/>
      <c r="J374" s="454"/>
      <c r="K374" s="455"/>
      <c r="L374" s="454"/>
      <c r="M374" s="455"/>
      <c r="N374" s="454"/>
      <c r="O374" s="455"/>
      <c r="P374" s="454"/>
      <c r="Q374" s="455"/>
      <c r="R374" s="454"/>
      <c r="S374" s="455"/>
      <c r="T374" s="454"/>
      <c r="U374" s="455"/>
      <c r="V374" s="454"/>
      <c r="W374" s="455"/>
      <c r="X374" s="454"/>
      <c r="Y374" s="455"/>
      <c r="Z374" s="454"/>
      <c r="AA374" s="455"/>
      <c r="AB374" s="454"/>
      <c r="AC374" s="455"/>
      <c r="AD374" s="454"/>
      <c r="AE374" s="455"/>
      <c r="AF374" s="454"/>
      <c r="AG374" s="455"/>
    </row>
    <row r="375" spans="1:33" x14ac:dyDescent="0.2">
      <c r="A375" s="415">
        <f t="shared" si="11"/>
        <v>1309</v>
      </c>
      <c r="B375" s="416" t="str">
        <f t="shared" si="12"/>
        <v>Autumn</v>
      </c>
      <c r="C375" s="453"/>
      <c r="D375" s="454"/>
      <c r="E375" s="455"/>
      <c r="F375" s="454"/>
      <c r="G375" s="455"/>
      <c r="H375" s="454"/>
      <c r="I375" s="455"/>
      <c r="J375" s="454"/>
      <c r="K375" s="455"/>
      <c r="L375" s="454"/>
      <c r="M375" s="455"/>
      <c r="N375" s="454"/>
      <c r="O375" s="455"/>
      <c r="P375" s="454"/>
      <c r="Q375" s="455"/>
      <c r="R375" s="454"/>
      <c r="S375" s="455"/>
      <c r="T375" s="454"/>
      <c r="U375" s="455"/>
      <c r="V375" s="454"/>
      <c r="W375" s="455"/>
      <c r="X375" s="454"/>
      <c r="Y375" s="455"/>
      <c r="Z375" s="454"/>
      <c r="AA375" s="455"/>
      <c r="AB375" s="454"/>
      <c r="AC375" s="455"/>
      <c r="AD375" s="454"/>
      <c r="AE375" s="455"/>
      <c r="AF375" s="454"/>
      <c r="AG375" s="455"/>
    </row>
    <row r="376" spans="1:33" x14ac:dyDescent="0.2">
      <c r="A376" s="415">
        <f t="shared" si="11"/>
        <v>1310</v>
      </c>
      <c r="B376" s="416" t="str">
        <f t="shared" si="12"/>
        <v>Winter</v>
      </c>
      <c r="C376" s="453"/>
      <c r="D376" s="454"/>
      <c r="E376" s="455"/>
      <c r="F376" s="454"/>
      <c r="G376" s="455"/>
      <c r="H376" s="454"/>
      <c r="I376" s="455"/>
      <c r="J376" s="454"/>
      <c r="K376" s="455"/>
      <c r="L376" s="454"/>
      <c r="M376" s="455"/>
      <c r="N376" s="454"/>
      <c r="O376" s="455"/>
      <c r="P376" s="454"/>
      <c r="Q376" s="455"/>
      <c r="R376" s="454"/>
      <c r="S376" s="455"/>
      <c r="T376" s="454"/>
      <c r="U376" s="455"/>
      <c r="V376" s="454"/>
      <c r="W376" s="455"/>
      <c r="X376" s="454"/>
      <c r="Y376" s="455"/>
      <c r="Z376" s="454"/>
      <c r="AA376" s="455"/>
      <c r="AB376" s="454"/>
      <c r="AC376" s="455"/>
      <c r="AD376" s="454"/>
      <c r="AE376" s="455"/>
      <c r="AF376" s="454"/>
      <c r="AG376" s="455"/>
    </row>
    <row r="377" spans="1:33" x14ac:dyDescent="0.2">
      <c r="A377" s="415">
        <f t="shared" si="11"/>
        <v>1310</v>
      </c>
      <c r="B377" s="416" t="str">
        <f t="shared" si="12"/>
        <v>Spring</v>
      </c>
      <c r="C377" s="453"/>
      <c r="D377" s="454"/>
      <c r="E377" s="455"/>
      <c r="F377" s="454"/>
      <c r="G377" s="455"/>
      <c r="H377" s="454"/>
      <c r="I377" s="455"/>
      <c r="J377" s="454"/>
      <c r="K377" s="455"/>
      <c r="L377" s="454"/>
      <c r="M377" s="455"/>
      <c r="N377" s="454"/>
      <c r="O377" s="455"/>
      <c r="P377" s="454"/>
      <c r="Q377" s="455"/>
      <c r="R377" s="454"/>
      <c r="S377" s="455"/>
      <c r="T377" s="454"/>
      <c r="U377" s="455"/>
      <c r="V377" s="454"/>
      <c r="W377" s="455"/>
      <c r="X377" s="454"/>
      <c r="Y377" s="455"/>
      <c r="Z377" s="454"/>
      <c r="AA377" s="455"/>
      <c r="AB377" s="454"/>
      <c r="AC377" s="455"/>
      <c r="AD377" s="454"/>
      <c r="AE377" s="455"/>
      <c r="AF377" s="454"/>
      <c r="AG377" s="455"/>
    </row>
    <row r="378" spans="1:33" x14ac:dyDescent="0.2">
      <c r="A378" s="415">
        <f t="shared" si="11"/>
        <v>1310</v>
      </c>
      <c r="B378" s="416" t="str">
        <f t="shared" si="12"/>
        <v>Summer</v>
      </c>
      <c r="C378" s="453"/>
      <c r="D378" s="454"/>
      <c r="E378" s="455"/>
      <c r="F378" s="454"/>
      <c r="G378" s="455"/>
      <c r="H378" s="454"/>
      <c r="I378" s="455"/>
      <c r="J378" s="454"/>
      <c r="K378" s="455"/>
      <c r="L378" s="454"/>
      <c r="M378" s="455"/>
      <c r="N378" s="454"/>
      <c r="O378" s="455"/>
      <c r="P378" s="454"/>
      <c r="Q378" s="455"/>
      <c r="R378" s="454"/>
      <c r="S378" s="455"/>
      <c r="T378" s="454"/>
      <c r="U378" s="455"/>
      <c r="V378" s="454"/>
      <c r="W378" s="455"/>
      <c r="X378" s="454"/>
      <c r="Y378" s="455"/>
      <c r="Z378" s="454"/>
      <c r="AA378" s="455"/>
      <c r="AB378" s="454"/>
      <c r="AC378" s="455"/>
      <c r="AD378" s="454"/>
      <c r="AE378" s="455"/>
      <c r="AF378" s="454"/>
      <c r="AG378" s="455"/>
    </row>
    <row r="379" spans="1:33" x14ac:dyDescent="0.2">
      <c r="A379" s="415">
        <f t="shared" si="11"/>
        <v>1310</v>
      </c>
      <c r="B379" s="416" t="str">
        <f t="shared" si="12"/>
        <v>Autumn</v>
      </c>
      <c r="C379" s="453"/>
      <c r="D379" s="454"/>
      <c r="E379" s="455"/>
      <c r="F379" s="454"/>
      <c r="G379" s="455"/>
      <c r="H379" s="454"/>
      <c r="I379" s="455"/>
      <c r="J379" s="454"/>
      <c r="K379" s="455"/>
      <c r="L379" s="454"/>
      <c r="M379" s="455"/>
      <c r="N379" s="454"/>
      <c r="O379" s="455"/>
      <c r="P379" s="454"/>
      <c r="Q379" s="455"/>
      <c r="R379" s="454"/>
      <c r="S379" s="455"/>
      <c r="T379" s="454"/>
      <c r="U379" s="455"/>
      <c r="V379" s="454"/>
      <c r="W379" s="455"/>
      <c r="X379" s="454"/>
      <c r="Y379" s="455"/>
      <c r="Z379" s="454"/>
      <c r="AA379" s="455"/>
      <c r="AB379" s="454"/>
      <c r="AC379" s="455"/>
      <c r="AD379" s="454"/>
      <c r="AE379" s="455"/>
      <c r="AF379" s="454"/>
      <c r="AG379" s="455"/>
    </row>
    <row r="380" spans="1:33" x14ac:dyDescent="0.2">
      <c r="A380" s="415">
        <f t="shared" si="11"/>
        <v>1311</v>
      </c>
      <c r="B380" s="416" t="str">
        <f t="shared" si="12"/>
        <v>Winter</v>
      </c>
      <c r="C380" s="453"/>
      <c r="D380" s="454"/>
      <c r="E380" s="455"/>
      <c r="F380" s="454"/>
      <c r="G380" s="455"/>
      <c r="H380" s="454"/>
      <c r="I380" s="455"/>
      <c r="J380" s="454"/>
      <c r="K380" s="455"/>
      <c r="L380" s="454"/>
      <c r="M380" s="455"/>
      <c r="N380" s="454"/>
      <c r="O380" s="455"/>
      <c r="P380" s="454"/>
      <c r="Q380" s="455"/>
      <c r="R380" s="454"/>
      <c r="S380" s="455"/>
      <c r="T380" s="454"/>
      <c r="U380" s="455"/>
      <c r="V380" s="454"/>
      <c r="W380" s="455"/>
      <c r="X380" s="454"/>
      <c r="Y380" s="455"/>
      <c r="Z380" s="454"/>
      <c r="AA380" s="455"/>
      <c r="AB380" s="454"/>
      <c r="AC380" s="455"/>
      <c r="AD380" s="454"/>
      <c r="AE380" s="455"/>
      <c r="AF380" s="454"/>
      <c r="AG380" s="455"/>
    </row>
    <row r="381" spans="1:33" x14ac:dyDescent="0.2">
      <c r="A381" s="415">
        <f t="shared" si="11"/>
        <v>1311</v>
      </c>
      <c r="B381" s="416" t="str">
        <f t="shared" si="12"/>
        <v>Spring</v>
      </c>
      <c r="C381" s="453"/>
      <c r="D381" s="454"/>
      <c r="E381" s="455"/>
      <c r="F381" s="454"/>
      <c r="G381" s="455"/>
      <c r="H381" s="454"/>
      <c r="I381" s="455"/>
      <c r="J381" s="454"/>
      <c r="K381" s="455"/>
      <c r="L381" s="454"/>
      <c r="M381" s="455"/>
      <c r="N381" s="454"/>
      <c r="O381" s="455"/>
      <c r="P381" s="454"/>
      <c r="Q381" s="455"/>
      <c r="R381" s="454"/>
      <c r="S381" s="455"/>
      <c r="T381" s="454"/>
      <c r="U381" s="455"/>
      <c r="V381" s="454"/>
      <c r="W381" s="455"/>
      <c r="X381" s="454"/>
      <c r="Y381" s="455"/>
      <c r="Z381" s="454"/>
      <c r="AA381" s="455"/>
      <c r="AB381" s="454"/>
      <c r="AC381" s="455"/>
      <c r="AD381" s="454"/>
      <c r="AE381" s="455"/>
      <c r="AF381" s="454"/>
      <c r="AG381" s="455"/>
    </row>
    <row r="382" spans="1:33" x14ac:dyDescent="0.2">
      <c r="A382" s="415">
        <f t="shared" si="11"/>
        <v>1311</v>
      </c>
      <c r="B382" s="416" t="str">
        <f t="shared" si="12"/>
        <v>Summer</v>
      </c>
      <c r="C382" s="453"/>
      <c r="D382" s="454"/>
      <c r="E382" s="455"/>
      <c r="F382" s="454"/>
      <c r="G382" s="455"/>
      <c r="H382" s="454"/>
      <c r="I382" s="455"/>
      <c r="J382" s="454"/>
      <c r="K382" s="455"/>
      <c r="L382" s="454"/>
      <c r="M382" s="455"/>
      <c r="N382" s="454"/>
      <c r="O382" s="455"/>
      <c r="P382" s="454"/>
      <c r="Q382" s="455"/>
      <c r="R382" s="454"/>
      <c r="S382" s="455"/>
      <c r="T382" s="454"/>
      <c r="U382" s="455"/>
      <c r="V382" s="454"/>
      <c r="W382" s="455"/>
      <c r="X382" s="454"/>
      <c r="Y382" s="455"/>
      <c r="Z382" s="454"/>
      <c r="AA382" s="455"/>
      <c r="AB382" s="454"/>
      <c r="AC382" s="455"/>
      <c r="AD382" s="454"/>
      <c r="AE382" s="455"/>
      <c r="AF382" s="454"/>
      <c r="AG382" s="455"/>
    </row>
    <row r="383" spans="1:33" x14ac:dyDescent="0.2">
      <c r="A383" s="415">
        <f t="shared" si="11"/>
        <v>1311</v>
      </c>
      <c r="B383" s="416" t="str">
        <f t="shared" si="12"/>
        <v>Autumn</v>
      </c>
      <c r="C383" s="453"/>
      <c r="D383" s="454"/>
      <c r="E383" s="455"/>
      <c r="F383" s="454"/>
      <c r="G383" s="455"/>
      <c r="H383" s="454"/>
      <c r="I383" s="455"/>
      <c r="J383" s="454"/>
      <c r="K383" s="455"/>
      <c r="L383" s="454"/>
      <c r="M383" s="455"/>
      <c r="N383" s="454"/>
      <c r="O383" s="455"/>
      <c r="P383" s="454"/>
      <c r="Q383" s="455"/>
      <c r="R383" s="454"/>
      <c r="S383" s="455"/>
      <c r="T383" s="454"/>
      <c r="U383" s="455"/>
      <c r="V383" s="454"/>
      <c r="W383" s="455"/>
      <c r="X383" s="454"/>
      <c r="Y383" s="455"/>
      <c r="Z383" s="454"/>
      <c r="AA383" s="455"/>
      <c r="AB383" s="454"/>
      <c r="AC383" s="455"/>
      <c r="AD383" s="454"/>
      <c r="AE383" s="455"/>
      <c r="AF383" s="454"/>
      <c r="AG383" s="455"/>
    </row>
    <row r="384" spans="1:33" x14ac:dyDescent="0.2">
      <c r="A384" s="415">
        <f t="shared" si="11"/>
        <v>1312</v>
      </c>
      <c r="B384" s="416" t="str">
        <f t="shared" si="12"/>
        <v>Winter</v>
      </c>
      <c r="C384" s="453"/>
      <c r="D384" s="454"/>
      <c r="E384" s="455"/>
      <c r="F384" s="454"/>
      <c r="G384" s="455"/>
      <c r="H384" s="454"/>
      <c r="I384" s="455"/>
      <c r="J384" s="454"/>
      <c r="K384" s="455"/>
      <c r="L384" s="454"/>
      <c r="M384" s="455"/>
      <c r="N384" s="454"/>
      <c r="O384" s="455"/>
      <c r="P384" s="454"/>
      <c r="Q384" s="455"/>
      <c r="R384" s="454"/>
      <c r="S384" s="455"/>
      <c r="T384" s="454"/>
      <c r="U384" s="455"/>
      <c r="V384" s="454"/>
      <c r="W384" s="455"/>
      <c r="X384" s="454"/>
      <c r="Y384" s="455"/>
      <c r="Z384" s="454"/>
      <c r="AA384" s="455"/>
      <c r="AB384" s="454"/>
      <c r="AC384" s="455"/>
      <c r="AD384" s="454"/>
      <c r="AE384" s="455"/>
      <c r="AF384" s="454"/>
      <c r="AG384" s="455"/>
    </row>
    <row r="385" spans="1:33" x14ac:dyDescent="0.2">
      <c r="A385" s="415">
        <f t="shared" si="11"/>
        <v>1312</v>
      </c>
      <c r="B385" s="416" t="str">
        <f t="shared" si="12"/>
        <v>Spring</v>
      </c>
      <c r="C385" s="453"/>
      <c r="D385" s="454"/>
      <c r="E385" s="455"/>
      <c r="F385" s="454"/>
      <c r="G385" s="455"/>
      <c r="H385" s="454"/>
      <c r="I385" s="455"/>
      <c r="J385" s="454"/>
      <c r="K385" s="455"/>
      <c r="L385" s="454"/>
      <c r="M385" s="455"/>
      <c r="N385" s="454"/>
      <c r="O385" s="455"/>
      <c r="P385" s="454"/>
      <c r="Q385" s="455"/>
      <c r="R385" s="454"/>
      <c r="S385" s="455"/>
      <c r="T385" s="454"/>
      <c r="U385" s="455"/>
      <c r="V385" s="454"/>
      <c r="W385" s="455"/>
      <c r="X385" s="454"/>
      <c r="Y385" s="455"/>
      <c r="Z385" s="454"/>
      <c r="AA385" s="455"/>
      <c r="AB385" s="454"/>
      <c r="AC385" s="455"/>
      <c r="AD385" s="454"/>
      <c r="AE385" s="455"/>
      <c r="AF385" s="454"/>
      <c r="AG385" s="455"/>
    </row>
    <row r="386" spans="1:33" x14ac:dyDescent="0.2">
      <c r="A386" s="415">
        <f t="shared" si="11"/>
        <v>1312</v>
      </c>
      <c r="B386" s="416" t="str">
        <f t="shared" si="12"/>
        <v>Summer</v>
      </c>
      <c r="C386" s="453"/>
      <c r="D386" s="454"/>
      <c r="E386" s="455"/>
      <c r="F386" s="454"/>
      <c r="G386" s="455"/>
      <c r="H386" s="454"/>
      <c r="I386" s="455"/>
      <c r="J386" s="454"/>
      <c r="K386" s="455"/>
      <c r="L386" s="454"/>
      <c r="M386" s="455"/>
      <c r="N386" s="454"/>
      <c r="O386" s="455"/>
      <c r="P386" s="454"/>
      <c r="Q386" s="455"/>
      <c r="R386" s="454"/>
      <c r="S386" s="455"/>
      <c r="T386" s="454"/>
      <c r="U386" s="455"/>
      <c r="V386" s="454"/>
      <c r="W386" s="455"/>
      <c r="X386" s="454"/>
      <c r="Y386" s="455"/>
      <c r="Z386" s="454"/>
      <c r="AA386" s="455"/>
      <c r="AB386" s="454"/>
      <c r="AC386" s="455"/>
      <c r="AD386" s="454"/>
      <c r="AE386" s="455"/>
      <c r="AF386" s="454"/>
      <c r="AG386" s="455"/>
    </row>
    <row r="387" spans="1:33" x14ac:dyDescent="0.2">
      <c r="A387" s="415">
        <f t="shared" si="11"/>
        <v>1312</v>
      </c>
      <c r="B387" s="416" t="str">
        <f t="shared" si="12"/>
        <v>Autumn</v>
      </c>
      <c r="C387" s="453"/>
      <c r="D387" s="454"/>
      <c r="E387" s="455"/>
      <c r="F387" s="454"/>
      <c r="G387" s="455"/>
      <c r="H387" s="454"/>
      <c r="I387" s="455"/>
      <c r="J387" s="454"/>
      <c r="K387" s="455"/>
      <c r="L387" s="454"/>
      <c r="M387" s="455"/>
      <c r="N387" s="454"/>
      <c r="O387" s="455"/>
      <c r="P387" s="454"/>
      <c r="Q387" s="455"/>
      <c r="R387" s="454"/>
      <c r="S387" s="455"/>
      <c r="T387" s="454"/>
      <c r="U387" s="455"/>
      <c r="V387" s="454"/>
      <c r="W387" s="455"/>
      <c r="X387" s="454"/>
      <c r="Y387" s="455"/>
      <c r="Z387" s="454"/>
      <c r="AA387" s="455"/>
      <c r="AB387" s="454"/>
      <c r="AC387" s="455"/>
      <c r="AD387" s="454"/>
      <c r="AE387" s="455"/>
      <c r="AF387" s="454"/>
      <c r="AG387" s="455"/>
    </row>
    <row r="388" spans="1:33" x14ac:dyDescent="0.2">
      <c r="A388" s="415">
        <f t="shared" si="11"/>
        <v>1313</v>
      </c>
      <c r="B388" s="416" t="str">
        <f t="shared" si="12"/>
        <v>Winter</v>
      </c>
      <c r="C388" s="453"/>
      <c r="D388" s="454"/>
      <c r="E388" s="455"/>
      <c r="F388" s="454"/>
      <c r="G388" s="455"/>
      <c r="H388" s="454"/>
      <c r="I388" s="455"/>
      <c r="J388" s="454"/>
      <c r="K388" s="455"/>
      <c r="L388" s="454"/>
      <c r="M388" s="455"/>
      <c r="N388" s="454"/>
      <c r="O388" s="455"/>
      <c r="P388" s="454"/>
      <c r="Q388" s="455"/>
      <c r="R388" s="454"/>
      <c r="S388" s="455"/>
      <c r="T388" s="454"/>
      <c r="U388" s="455"/>
      <c r="V388" s="454"/>
      <c r="W388" s="455"/>
      <c r="X388" s="454"/>
      <c r="Y388" s="455"/>
      <c r="Z388" s="454"/>
      <c r="AA388" s="455"/>
      <c r="AB388" s="454"/>
      <c r="AC388" s="455"/>
      <c r="AD388" s="454"/>
      <c r="AE388" s="455"/>
      <c r="AF388" s="454"/>
      <c r="AG388" s="455"/>
    </row>
    <row r="389" spans="1:33" x14ac:dyDescent="0.2">
      <c r="A389" s="415">
        <f t="shared" ref="A389:A452" si="13">IF(B388="Autumn",A388+1,A388)</f>
        <v>1313</v>
      </c>
      <c r="B389" s="416" t="str">
        <f t="shared" si="12"/>
        <v>Spring</v>
      </c>
      <c r="C389" s="453"/>
      <c r="D389" s="454"/>
      <c r="E389" s="455"/>
      <c r="F389" s="454"/>
      <c r="G389" s="455"/>
      <c r="H389" s="454"/>
      <c r="I389" s="455"/>
      <c r="J389" s="454"/>
      <c r="K389" s="455"/>
      <c r="L389" s="454"/>
      <c r="M389" s="455"/>
      <c r="N389" s="454"/>
      <c r="O389" s="455"/>
      <c r="P389" s="454"/>
      <c r="Q389" s="455"/>
      <c r="R389" s="454"/>
      <c r="S389" s="455"/>
      <c r="T389" s="454"/>
      <c r="U389" s="455"/>
      <c r="V389" s="454"/>
      <c r="W389" s="455"/>
      <c r="X389" s="454"/>
      <c r="Y389" s="455"/>
      <c r="Z389" s="454"/>
      <c r="AA389" s="455"/>
      <c r="AB389" s="454"/>
      <c r="AC389" s="455"/>
      <c r="AD389" s="454"/>
      <c r="AE389" s="455"/>
      <c r="AF389" s="454"/>
      <c r="AG389" s="455"/>
    </row>
    <row r="390" spans="1:33" x14ac:dyDescent="0.2">
      <c r="A390" s="415">
        <f t="shared" si="13"/>
        <v>1313</v>
      </c>
      <c r="B390" s="416" t="str">
        <f t="shared" si="12"/>
        <v>Summer</v>
      </c>
      <c r="C390" s="453"/>
      <c r="D390" s="454"/>
      <c r="E390" s="455"/>
      <c r="F390" s="454"/>
      <c r="G390" s="455"/>
      <c r="H390" s="454"/>
      <c r="I390" s="455"/>
      <c r="J390" s="454"/>
      <c r="K390" s="455"/>
      <c r="L390" s="454"/>
      <c r="M390" s="455"/>
      <c r="N390" s="454"/>
      <c r="O390" s="455"/>
      <c r="P390" s="454"/>
      <c r="Q390" s="455"/>
      <c r="R390" s="454"/>
      <c r="S390" s="455"/>
      <c r="T390" s="454"/>
      <c r="U390" s="455"/>
      <c r="V390" s="454"/>
      <c r="W390" s="455"/>
      <c r="X390" s="454"/>
      <c r="Y390" s="455"/>
      <c r="Z390" s="454"/>
      <c r="AA390" s="455"/>
      <c r="AB390" s="454"/>
      <c r="AC390" s="455"/>
      <c r="AD390" s="454"/>
      <c r="AE390" s="455"/>
      <c r="AF390" s="454"/>
      <c r="AG390" s="455"/>
    </row>
    <row r="391" spans="1:33" x14ac:dyDescent="0.2">
      <c r="A391" s="415">
        <f t="shared" si="13"/>
        <v>1313</v>
      </c>
      <c r="B391" s="416" t="str">
        <f t="shared" si="12"/>
        <v>Autumn</v>
      </c>
      <c r="C391" s="453"/>
      <c r="D391" s="454"/>
      <c r="E391" s="455"/>
      <c r="F391" s="454"/>
      <c r="G391" s="455"/>
      <c r="H391" s="454"/>
      <c r="I391" s="455"/>
      <c r="J391" s="454"/>
      <c r="K391" s="455"/>
      <c r="L391" s="454"/>
      <c r="M391" s="455"/>
      <c r="N391" s="454"/>
      <c r="O391" s="455"/>
      <c r="P391" s="454"/>
      <c r="Q391" s="455"/>
      <c r="R391" s="454"/>
      <c r="S391" s="455"/>
      <c r="T391" s="454"/>
      <c r="U391" s="455"/>
      <c r="V391" s="454"/>
      <c r="W391" s="455"/>
      <c r="X391" s="454"/>
      <c r="Y391" s="455"/>
      <c r="Z391" s="454"/>
      <c r="AA391" s="455"/>
      <c r="AB391" s="454"/>
      <c r="AC391" s="455"/>
      <c r="AD391" s="454"/>
      <c r="AE391" s="455"/>
      <c r="AF391" s="454"/>
      <c r="AG391" s="455"/>
    </row>
    <row r="392" spans="1:33" x14ac:dyDescent="0.2">
      <c r="A392" s="415">
        <f t="shared" si="13"/>
        <v>1314</v>
      </c>
      <c r="B392" s="416" t="str">
        <f t="shared" si="12"/>
        <v>Winter</v>
      </c>
      <c r="C392" s="453"/>
      <c r="D392" s="454"/>
      <c r="E392" s="455"/>
      <c r="F392" s="454"/>
      <c r="G392" s="455"/>
      <c r="H392" s="454"/>
      <c r="I392" s="455"/>
      <c r="J392" s="454"/>
      <c r="K392" s="455"/>
      <c r="L392" s="454"/>
      <c r="M392" s="455"/>
      <c r="N392" s="454"/>
      <c r="O392" s="455"/>
      <c r="P392" s="454"/>
      <c r="Q392" s="455"/>
      <c r="R392" s="454"/>
      <c r="S392" s="455"/>
      <c r="T392" s="454"/>
      <c r="U392" s="455"/>
      <c r="V392" s="454"/>
      <c r="W392" s="455"/>
      <c r="X392" s="454"/>
      <c r="Y392" s="455"/>
      <c r="Z392" s="454"/>
      <c r="AA392" s="455"/>
      <c r="AB392" s="454"/>
      <c r="AC392" s="455"/>
      <c r="AD392" s="454"/>
      <c r="AE392" s="455"/>
      <c r="AF392" s="454"/>
      <c r="AG392" s="455"/>
    </row>
    <row r="393" spans="1:33" x14ac:dyDescent="0.2">
      <c r="A393" s="415">
        <f t="shared" si="13"/>
        <v>1314</v>
      </c>
      <c r="B393" s="416" t="str">
        <f t="shared" si="12"/>
        <v>Spring</v>
      </c>
      <c r="C393" s="453"/>
      <c r="D393" s="454"/>
      <c r="E393" s="455"/>
      <c r="F393" s="454"/>
      <c r="G393" s="455"/>
      <c r="H393" s="454"/>
      <c r="I393" s="455"/>
      <c r="J393" s="454"/>
      <c r="K393" s="455"/>
      <c r="L393" s="454"/>
      <c r="M393" s="455"/>
      <c r="N393" s="454"/>
      <c r="O393" s="455"/>
      <c r="P393" s="454"/>
      <c r="Q393" s="455"/>
      <c r="R393" s="454"/>
      <c r="S393" s="455"/>
      <c r="T393" s="454"/>
      <c r="U393" s="455"/>
      <c r="V393" s="454"/>
      <c r="W393" s="455"/>
      <c r="X393" s="454"/>
      <c r="Y393" s="455"/>
      <c r="Z393" s="454"/>
      <c r="AA393" s="455"/>
      <c r="AB393" s="454"/>
      <c r="AC393" s="455"/>
      <c r="AD393" s="454"/>
      <c r="AE393" s="455"/>
      <c r="AF393" s="454"/>
      <c r="AG393" s="455"/>
    </row>
    <row r="394" spans="1:33" x14ac:dyDescent="0.2">
      <c r="A394" s="415">
        <f t="shared" si="13"/>
        <v>1314</v>
      </c>
      <c r="B394" s="416" t="str">
        <f t="shared" si="12"/>
        <v>Summer</v>
      </c>
      <c r="C394" s="453"/>
      <c r="D394" s="454"/>
      <c r="E394" s="455"/>
      <c r="F394" s="454"/>
      <c r="G394" s="455"/>
      <c r="H394" s="454"/>
      <c r="I394" s="455"/>
      <c r="J394" s="454"/>
      <c r="K394" s="455"/>
      <c r="L394" s="454"/>
      <c r="M394" s="455"/>
      <c r="N394" s="454"/>
      <c r="O394" s="455"/>
      <c r="P394" s="454"/>
      <c r="Q394" s="455"/>
      <c r="R394" s="454"/>
      <c r="S394" s="455"/>
      <c r="T394" s="454"/>
      <c r="U394" s="455"/>
      <c r="V394" s="454"/>
      <c r="W394" s="455"/>
      <c r="X394" s="454"/>
      <c r="Y394" s="455"/>
      <c r="Z394" s="454"/>
      <c r="AA394" s="455"/>
      <c r="AB394" s="454"/>
      <c r="AC394" s="455"/>
      <c r="AD394" s="454"/>
      <c r="AE394" s="455"/>
      <c r="AF394" s="454"/>
      <c r="AG394" s="455"/>
    </row>
    <row r="395" spans="1:33" x14ac:dyDescent="0.2">
      <c r="A395" s="415">
        <f t="shared" si="13"/>
        <v>1314</v>
      </c>
      <c r="B395" s="416" t="str">
        <f t="shared" si="12"/>
        <v>Autumn</v>
      </c>
      <c r="C395" s="453"/>
      <c r="D395" s="454"/>
      <c r="E395" s="455"/>
      <c r="F395" s="454"/>
      <c r="G395" s="455"/>
      <c r="H395" s="454"/>
      <c r="I395" s="455"/>
      <c r="J395" s="454"/>
      <c r="K395" s="455"/>
      <c r="L395" s="454"/>
      <c r="M395" s="455"/>
      <c r="N395" s="454"/>
      <c r="O395" s="455"/>
      <c r="P395" s="454"/>
      <c r="Q395" s="455"/>
      <c r="R395" s="454"/>
      <c r="S395" s="455"/>
      <c r="T395" s="454"/>
      <c r="U395" s="455"/>
      <c r="V395" s="454"/>
      <c r="W395" s="455"/>
      <c r="X395" s="454"/>
      <c r="Y395" s="455"/>
      <c r="Z395" s="454"/>
      <c r="AA395" s="455"/>
      <c r="AB395" s="454"/>
      <c r="AC395" s="455"/>
      <c r="AD395" s="454"/>
      <c r="AE395" s="455"/>
      <c r="AF395" s="454"/>
      <c r="AG395" s="455"/>
    </row>
    <row r="396" spans="1:33" x14ac:dyDescent="0.2">
      <c r="A396" s="415">
        <f t="shared" si="13"/>
        <v>1315</v>
      </c>
      <c r="B396" s="416" t="str">
        <f t="shared" si="12"/>
        <v>Winter</v>
      </c>
      <c r="C396" s="453"/>
      <c r="D396" s="454"/>
      <c r="E396" s="455"/>
      <c r="F396" s="454"/>
      <c r="G396" s="455"/>
      <c r="H396" s="454"/>
      <c r="I396" s="455"/>
      <c r="J396" s="454"/>
      <c r="K396" s="455"/>
      <c r="L396" s="454"/>
      <c r="M396" s="455"/>
      <c r="N396" s="454"/>
      <c r="O396" s="455"/>
      <c r="P396" s="454"/>
      <c r="Q396" s="455"/>
      <c r="R396" s="454"/>
      <c r="S396" s="455"/>
      <c r="T396" s="454"/>
      <c r="U396" s="455"/>
      <c r="V396" s="454"/>
      <c r="W396" s="455"/>
      <c r="X396" s="454"/>
      <c r="Y396" s="455"/>
      <c r="Z396" s="454"/>
      <c r="AA396" s="455"/>
      <c r="AB396" s="454"/>
      <c r="AC396" s="455"/>
      <c r="AD396" s="454"/>
      <c r="AE396" s="455"/>
      <c r="AF396" s="454"/>
      <c r="AG396" s="455"/>
    </row>
    <row r="397" spans="1:33" x14ac:dyDescent="0.2">
      <c r="A397" s="415">
        <f t="shared" si="13"/>
        <v>1315</v>
      </c>
      <c r="B397" s="416" t="str">
        <f t="shared" si="12"/>
        <v>Spring</v>
      </c>
      <c r="C397" s="453"/>
      <c r="D397" s="454"/>
      <c r="E397" s="455"/>
      <c r="F397" s="454"/>
      <c r="G397" s="455"/>
      <c r="H397" s="454"/>
      <c r="I397" s="455"/>
      <c r="J397" s="454"/>
      <c r="K397" s="455"/>
      <c r="L397" s="454"/>
      <c r="M397" s="455"/>
      <c r="N397" s="454"/>
      <c r="O397" s="455"/>
      <c r="P397" s="454"/>
      <c r="Q397" s="455"/>
      <c r="R397" s="454"/>
      <c r="S397" s="455"/>
      <c r="T397" s="454"/>
      <c r="U397" s="455"/>
      <c r="V397" s="454"/>
      <c r="W397" s="455"/>
      <c r="X397" s="454"/>
      <c r="Y397" s="455"/>
      <c r="Z397" s="454"/>
      <c r="AA397" s="455"/>
      <c r="AB397" s="454"/>
      <c r="AC397" s="455"/>
      <c r="AD397" s="454"/>
      <c r="AE397" s="455"/>
      <c r="AF397" s="454"/>
      <c r="AG397" s="455"/>
    </row>
    <row r="398" spans="1:33" x14ac:dyDescent="0.2">
      <c r="A398" s="415">
        <f t="shared" si="13"/>
        <v>1315</v>
      </c>
      <c r="B398" s="416" t="str">
        <f t="shared" si="12"/>
        <v>Summer</v>
      </c>
      <c r="C398" s="453"/>
      <c r="D398" s="454"/>
      <c r="E398" s="455"/>
      <c r="F398" s="454"/>
      <c r="G398" s="455"/>
      <c r="H398" s="454"/>
      <c r="I398" s="455"/>
      <c r="J398" s="454"/>
      <c r="K398" s="455"/>
      <c r="L398" s="454"/>
      <c r="M398" s="455"/>
      <c r="N398" s="454"/>
      <c r="O398" s="455"/>
      <c r="P398" s="454"/>
      <c r="Q398" s="455"/>
      <c r="R398" s="454"/>
      <c r="S398" s="455"/>
      <c r="T398" s="454"/>
      <c r="U398" s="455"/>
      <c r="V398" s="454"/>
      <c r="W398" s="455"/>
      <c r="X398" s="454"/>
      <c r="Y398" s="455"/>
      <c r="Z398" s="454"/>
      <c r="AA398" s="455"/>
      <c r="AB398" s="454"/>
      <c r="AC398" s="455"/>
      <c r="AD398" s="454"/>
      <c r="AE398" s="455"/>
      <c r="AF398" s="454"/>
      <c r="AG398" s="455"/>
    </row>
    <row r="399" spans="1:33" x14ac:dyDescent="0.2">
      <c r="A399" s="415">
        <f t="shared" si="13"/>
        <v>1315</v>
      </c>
      <c r="B399" s="416" t="str">
        <f t="shared" si="12"/>
        <v>Autumn</v>
      </c>
      <c r="C399" s="453"/>
      <c r="D399" s="454"/>
      <c r="E399" s="455"/>
      <c r="F399" s="454"/>
      <c r="G399" s="455"/>
      <c r="H399" s="454"/>
      <c r="I399" s="455"/>
      <c r="J399" s="454"/>
      <c r="K399" s="455"/>
      <c r="L399" s="454"/>
      <c r="M399" s="455"/>
      <c r="N399" s="454"/>
      <c r="O399" s="455"/>
      <c r="P399" s="454"/>
      <c r="Q399" s="455"/>
      <c r="R399" s="454"/>
      <c r="S399" s="455"/>
      <c r="T399" s="454"/>
      <c r="U399" s="455"/>
      <c r="V399" s="454"/>
      <c r="W399" s="455"/>
      <c r="X399" s="454"/>
      <c r="Y399" s="455"/>
      <c r="Z399" s="454"/>
      <c r="AA399" s="455"/>
      <c r="AB399" s="454"/>
      <c r="AC399" s="455"/>
      <c r="AD399" s="454"/>
      <c r="AE399" s="455"/>
      <c r="AF399" s="454"/>
      <c r="AG399" s="455"/>
    </row>
    <row r="400" spans="1:33" x14ac:dyDescent="0.2">
      <c r="A400" s="415">
        <f t="shared" si="13"/>
        <v>1316</v>
      </c>
      <c r="B400" s="416" t="str">
        <f t="shared" si="12"/>
        <v>Winter</v>
      </c>
      <c r="C400" s="453"/>
      <c r="D400" s="454"/>
      <c r="E400" s="455"/>
      <c r="F400" s="454"/>
      <c r="G400" s="455"/>
      <c r="H400" s="454"/>
      <c r="I400" s="455"/>
      <c r="J400" s="454"/>
      <c r="K400" s="455"/>
      <c r="L400" s="454"/>
      <c r="M400" s="455"/>
      <c r="N400" s="454"/>
      <c r="O400" s="455"/>
      <c r="P400" s="454"/>
      <c r="Q400" s="455"/>
      <c r="R400" s="454"/>
      <c r="S400" s="455"/>
      <c r="T400" s="454"/>
      <c r="U400" s="455"/>
      <c r="V400" s="454"/>
      <c r="W400" s="455"/>
      <c r="X400" s="454"/>
      <c r="Y400" s="455"/>
      <c r="Z400" s="454"/>
      <c r="AA400" s="455"/>
      <c r="AB400" s="454"/>
      <c r="AC400" s="455"/>
      <c r="AD400" s="454"/>
      <c r="AE400" s="455"/>
      <c r="AF400" s="454"/>
      <c r="AG400" s="455"/>
    </row>
    <row r="401" spans="1:33" x14ac:dyDescent="0.2">
      <c r="A401" s="415">
        <f t="shared" si="13"/>
        <v>1316</v>
      </c>
      <c r="B401" s="416" t="str">
        <f t="shared" si="12"/>
        <v>Spring</v>
      </c>
      <c r="C401" s="453"/>
      <c r="D401" s="454"/>
      <c r="E401" s="455"/>
      <c r="F401" s="454"/>
      <c r="G401" s="455"/>
      <c r="H401" s="454"/>
      <c r="I401" s="455"/>
      <c r="J401" s="454"/>
      <c r="K401" s="455"/>
      <c r="L401" s="454"/>
      <c r="M401" s="455"/>
      <c r="N401" s="454"/>
      <c r="O401" s="455"/>
      <c r="P401" s="454"/>
      <c r="Q401" s="455"/>
      <c r="R401" s="454"/>
      <c r="S401" s="455"/>
      <c r="T401" s="454"/>
      <c r="U401" s="455"/>
      <c r="V401" s="454"/>
      <c r="W401" s="455"/>
      <c r="X401" s="454"/>
      <c r="Y401" s="455"/>
      <c r="Z401" s="454"/>
      <c r="AA401" s="455"/>
      <c r="AB401" s="454"/>
      <c r="AC401" s="455"/>
      <c r="AD401" s="454"/>
      <c r="AE401" s="455"/>
      <c r="AF401" s="454"/>
      <c r="AG401" s="455"/>
    </row>
    <row r="402" spans="1:33" x14ac:dyDescent="0.2">
      <c r="A402" s="415">
        <f t="shared" si="13"/>
        <v>1316</v>
      </c>
      <c r="B402" s="416" t="str">
        <f t="shared" si="12"/>
        <v>Summer</v>
      </c>
      <c r="C402" s="453"/>
      <c r="D402" s="454"/>
      <c r="E402" s="455"/>
      <c r="F402" s="454"/>
      <c r="G402" s="455"/>
      <c r="H402" s="454"/>
      <c r="I402" s="455"/>
      <c r="J402" s="454"/>
      <c r="K402" s="455"/>
      <c r="L402" s="454"/>
      <c r="M402" s="455"/>
      <c r="N402" s="454"/>
      <c r="O402" s="455"/>
      <c r="P402" s="454"/>
      <c r="Q402" s="455"/>
      <c r="R402" s="454"/>
      <c r="S402" s="455"/>
      <c r="T402" s="454"/>
      <c r="U402" s="455"/>
      <c r="V402" s="454"/>
      <c r="W402" s="455"/>
      <c r="X402" s="454"/>
      <c r="Y402" s="455"/>
      <c r="Z402" s="454"/>
      <c r="AA402" s="455"/>
      <c r="AB402" s="454"/>
      <c r="AC402" s="455"/>
      <c r="AD402" s="454"/>
      <c r="AE402" s="455"/>
      <c r="AF402" s="454"/>
      <c r="AG402" s="455"/>
    </row>
    <row r="403" spans="1:33" x14ac:dyDescent="0.2">
      <c r="A403" s="415">
        <f t="shared" si="13"/>
        <v>1316</v>
      </c>
      <c r="B403" s="416" t="str">
        <f t="shared" si="12"/>
        <v>Autumn</v>
      </c>
      <c r="C403" s="453"/>
      <c r="D403" s="454"/>
      <c r="E403" s="455"/>
      <c r="F403" s="454"/>
      <c r="G403" s="455"/>
      <c r="H403" s="454"/>
      <c r="I403" s="455"/>
      <c r="J403" s="454"/>
      <c r="K403" s="455"/>
      <c r="L403" s="454"/>
      <c r="M403" s="455"/>
      <c r="N403" s="454"/>
      <c r="O403" s="455"/>
      <c r="P403" s="454"/>
      <c r="Q403" s="455"/>
      <c r="R403" s="454"/>
      <c r="S403" s="455"/>
      <c r="T403" s="454"/>
      <c r="U403" s="455"/>
      <c r="V403" s="454"/>
      <c r="W403" s="455"/>
      <c r="X403" s="454"/>
      <c r="Y403" s="455"/>
      <c r="Z403" s="454"/>
      <c r="AA403" s="455"/>
      <c r="AB403" s="454"/>
      <c r="AC403" s="455"/>
      <c r="AD403" s="454"/>
      <c r="AE403" s="455"/>
      <c r="AF403" s="454"/>
      <c r="AG403" s="455"/>
    </row>
    <row r="404" spans="1:33" x14ac:dyDescent="0.2">
      <c r="A404" s="415">
        <f t="shared" si="13"/>
        <v>1317</v>
      </c>
      <c r="B404" s="416" t="str">
        <f t="shared" si="12"/>
        <v>Winter</v>
      </c>
      <c r="C404" s="453"/>
      <c r="D404" s="454"/>
      <c r="E404" s="455"/>
      <c r="F404" s="454"/>
      <c r="G404" s="455"/>
      <c r="H404" s="454"/>
      <c r="I404" s="455"/>
      <c r="J404" s="454"/>
      <c r="K404" s="455"/>
      <c r="L404" s="454"/>
      <c r="M404" s="455"/>
      <c r="N404" s="454"/>
      <c r="O404" s="455"/>
      <c r="P404" s="454"/>
      <c r="Q404" s="455"/>
      <c r="R404" s="454"/>
      <c r="S404" s="455"/>
      <c r="T404" s="454"/>
      <c r="U404" s="455"/>
      <c r="V404" s="454"/>
      <c r="W404" s="455"/>
      <c r="X404" s="454"/>
      <c r="Y404" s="455"/>
      <c r="Z404" s="454"/>
      <c r="AA404" s="455"/>
      <c r="AB404" s="454"/>
      <c r="AC404" s="455"/>
      <c r="AD404" s="454"/>
      <c r="AE404" s="455"/>
      <c r="AF404" s="454"/>
      <c r="AG404" s="455"/>
    </row>
    <row r="405" spans="1:33" x14ac:dyDescent="0.2">
      <c r="A405" s="415">
        <f t="shared" si="13"/>
        <v>1317</v>
      </c>
      <c r="B405" s="416" t="str">
        <f t="shared" si="12"/>
        <v>Spring</v>
      </c>
      <c r="C405" s="453"/>
      <c r="D405" s="454"/>
      <c r="E405" s="455"/>
      <c r="F405" s="454"/>
      <c r="G405" s="455"/>
      <c r="H405" s="454"/>
      <c r="I405" s="455"/>
      <c r="J405" s="454"/>
      <c r="K405" s="455"/>
      <c r="L405" s="454"/>
      <c r="M405" s="455"/>
      <c r="N405" s="454"/>
      <c r="O405" s="455"/>
      <c r="P405" s="454"/>
      <c r="Q405" s="455"/>
      <c r="R405" s="454"/>
      <c r="S405" s="455"/>
      <c r="T405" s="454"/>
      <c r="U405" s="455"/>
      <c r="V405" s="454"/>
      <c r="W405" s="455"/>
      <c r="X405" s="454"/>
      <c r="Y405" s="455"/>
      <c r="Z405" s="454"/>
      <c r="AA405" s="455"/>
      <c r="AB405" s="454"/>
      <c r="AC405" s="455"/>
      <c r="AD405" s="454"/>
      <c r="AE405" s="455"/>
      <c r="AF405" s="454"/>
      <c r="AG405" s="455"/>
    </row>
    <row r="406" spans="1:33" x14ac:dyDescent="0.2">
      <c r="A406" s="415">
        <f t="shared" si="13"/>
        <v>1317</v>
      </c>
      <c r="B406" s="416" t="str">
        <f t="shared" si="12"/>
        <v>Summer</v>
      </c>
      <c r="C406" s="453"/>
      <c r="D406" s="454"/>
      <c r="E406" s="455"/>
      <c r="F406" s="454"/>
      <c r="G406" s="455"/>
      <c r="H406" s="454"/>
      <c r="I406" s="455"/>
      <c r="J406" s="454"/>
      <c r="K406" s="455"/>
      <c r="L406" s="454"/>
      <c r="M406" s="455"/>
      <c r="N406" s="454"/>
      <c r="O406" s="455"/>
      <c r="P406" s="454"/>
      <c r="Q406" s="455"/>
      <c r="R406" s="454"/>
      <c r="S406" s="455"/>
      <c r="T406" s="454"/>
      <c r="U406" s="455"/>
      <c r="V406" s="454"/>
      <c r="W406" s="455"/>
      <c r="X406" s="454"/>
      <c r="Y406" s="455"/>
      <c r="Z406" s="454"/>
      <c r="AA406" s="455"/>
      <c r="AB406" s="454"/>
      <c r="AC406" s="455"/>
      <c r="AD406" s="454"/>
      <c r="AE406" s="455"/>
      <c r="AF406" s="454"/>
      <c r="AG406" s="455"/>
    </row>
    <row r="407" spans="1:33" x14ac:dyDescent="0.2">
      <c r="A407" s="415">
        <f t="shared" si="13"/>
        <v>1317</v>
      </c>
      <c r="B407" s="416" t="str">
        <f t="shared" si="12"/>
        <v>Autumn</v>
      </c>
      <c r="C407" s="453"/>
      <c r="D407" s="454"/>
      <c r="E407" s="455"/>
      <c r="F407" s="454"/>
      <c r="G407" s="455"/>
      <c r="H407" s="454"/>
      <c r="I407" s="455"/>
      <c r="J407" s="454"/>
      <c r="K407" s="455"/>
      <c r="L407" s="454"/>
      <c r="M407" s="455"/>
      <c r="N407" s="454"/>
      <c r="O407" s="455"/>
      <c r="P407" s="454"/>
      <c r="Q407" s="455"/>
      <c r="R407" s="454"/>
      <c r="S407" s="455"/>
      <c r="T407" s="454"/>
      <c r="U407" s="455"/>
      <c r="V407" s="454"/>
      <c r="W407" s="455"/>
      <c r="X407" s="454"/>
      <c r="Y407" s="455"/>
      <c r="Z407" s="454"/>
      <c r="AA407" s="455"/>
      <c r="AB407" s="454"/>
      <c r="AC407" s="455"/>
      <c r="AD407" s="454"/>
      <c r="AE407" s="455"/>
      <c r="AF407" s="454"/>
      <c r="AG407" s="455"/>
    </row>
    <row r="408" spans="1:33" x14ac:dyDescent="0.2">
      <c r="A408" s="415">
        <f t="shared" si="13"/>
        <v>1318</v>
      </c>
      <c r="B408" s="416" t="str">
        <f t="shared" si="12"/>
        <v>Winter</v>
      </c>
      <c r="C408" s="453"/>
      <c r="D408" s="454"/>
      <c r="E408" s="455"/>
      <c r="F408" s="454"/>
      <c r="G408" s="455"/>
      <c r="H408" s="454"/>
      <c r="I408" s="455"/>
      <c r="J408" s="454"/>
      <c r="K408" s="455"/>
      <c r="L408" s="454"/>
      <c r="M408" s="455"/>
      <c r="N408" s="454"/>
      <c r="O408" s="455"/>
      <c r="P408" s="454"/>
      <c r="Q408" s="455"/>
      <c r="R408" s="454"/>
      <c r="S408" s="455"/>
      <c r="T408" s="454"/>
      <c r="U408" s="455"/>
      <c r="V408" s="454"/>
      <c r="W408" s="455"/>
      <c r="X408" s="454"/>
      <c r="Y408" s="455"/>
      <c r="Z408" s="454"/>
      <c r="AA408" s="455"/>
      <c r="AB408" s="454"/>
      <c r="AC408" s="455"/>
      <c r="AD408" s="454"/>
      <c r="AE408" s="455"/>
      <c r="AF408" s="454"/>
      <c r="AG408" s="455"/>
    </row>
    <row r="409" spans="1:33" x14ac:dyDescent="0.2">
      <c r="A409" s="415">
        <f t="shared" si="13"/>
        <v>1318</v>
      </c>
      <c r="B409" s="416" t="str">
        <f t="shared" si="12"/>
        <v>Spring</v>
      </c>
      <c r="C409" s="453"/>
      <c r="D409" s="454"/>
      <c r="E409" s="455"/>
      <c r="F409" s="454"/>
      <c r="G409" s="455"/>
      <c r="H409" s="454"/>
      <c r="I409" s="455"/>
      <c r="J409" s="454"/>
      <c r="K409" s="455"/>
      <c r="L409" s="454"/>
      <c r="M409" s="455"/>
      <c r="N409" s="454"/>
      <c r="O409" s="455"/>
      <c r="P409" s="454"/>
      <c r="Q409" s="455"/>
      <c r="R409" s="454"/>
      <c r="S409" s="455"/>
      <c r="T409" s="454"/>
      <c r="U409" s="455"/>
      <c r="V409" s="454"/>
      <c r="W409" s="455"/>
      <c r="X409" s="454"/>
      <c r="Y409" s="455"/>
      <c r="Z409" s="454"/>
      <c r="AA409" s="455"/>
      <c r="AB409" s="454"/>
      <c r="AC409" s="455"/>
      <c r="AD409" s="454"/>
      <c r="AE409" s="455"/>
      <c r="AF409" s="454"/>
      <c r="AG409" s="455"/>
    </row>
    <row r="410" spans="1:33" x14ac:dyDescent="0.2">
      <c r="A410" s="415">
        <f t="shared" si="13"/>
        <v>1318</v>
      </c>
      <c r="B410" s="416" t="str">
        <f t="shared" si="12"/>
        <v>Summer</v>
      </c>
      <c r="C410" s="453"/>
      <c r="D410" s="454"/>
      <c r="E410" s="455"/>
      <c r="F410" s="454"/>
      <c r="G410" s="455"/>
      <c r="H410" s="454"/>
      <c r="I410" s="455"/>
      <c r="J410" s="454"/>
      <c r="K410" s="455"/>
      <c r="L410" s="454"/>
      <c r="M410" s="455"/>
      <c r="N410" s="454"/>
      <c r="O410" s="455"/>
      <c r="P410" s="454"/>
      <c r="Q410" s="455"/>
      <c r="R410" s="454"/>
      <c r="S410" s="455"/>
      <c r="T410" s="454"/>
      <c r="U410" s="455"/>
      <c r="V410" s="454"/>
      <c r="W410" s="455"/>
      <c r="X410" s="454"/>
      <c r="Y410" s="455"/>
      <c r="Z410" s="454"/>
      <c r="AA410" s="455"/>
      <c r="AB410" s="454"/>
      <c r="AC410" s="455"/>
      <c r="AD410" s="454"/>
      <c r="AE410" s="455"/>
      <c r="AF410" s="454"/>
      <c r="AG410" s="455"/>
    </row>
    <row r="411" spans="1:33" x14ac:dyDescent="0.2">
      <c r="A411" s="415">
        <f t="shared" si="13"/>
        <v>1318</v>
      </c>
      <c r="B411" s="416" t="str">
        <f t="shared" si="12"/>
        <v>Autumn</v>
      </c>
      <c r="C411" s="453"/>
      <c r="D411" s="454"/>
      <c r="E411" s="455"/>
      <c r="F411" s="454"/>
      <c r="G411" s="455"/>
      <c r="H411" s="454"/>
      <c r="I411" s="455"/>
      <c r="J411" s="454"/>
      <c r="K411" s="455"/>
      <c r="L411" s="454"/>
      <c r="M411" s="455"/>
      <c r="N411" s="454"/>
      <c r="O411" s="455"/>
      <c r="P411" s="454"/>
      <c r="Q411" s="455"/>
      <c r="R411" s="454"/>
      <c r="S411" s="455"/>
      <c r="T411" s="454"/>
      <c r="U411" s="455"/>
      <c r="V411" s="454"/>
      <c r="W411" s="455"/>
      <c r="X411" s="454"/>
      <c r="Y411" s="455"/>
      <c r="Z411" s="454"/>
      <c r="AA411" s="455"/>
      <c r="AB411" s="454"/>
      <c r="AC411" s="455"/>
      <c r="AD411" s="454"/>
      <c r="AE411" s="455"/>
      <c r="AF411" s="454"/>
      <c r="AG411" s="455"/>
    </row>
    <row r="412" spans="1:33" x14ac:dyDescent="0.2">
      <c r="A412" s="415">
        <f t="shared" si="13"/>
        <v>1319</v>
      </c>
      <c r="B412" s="416" t="str">
        <f t="shared" si="12"/>
        <v>Winter</v>
      </c>
      <c r="C412" s="453"/>
      <c r="D412" s="454"/>
      <c r="E412" s="455"/>
      <c r="F412" s="454"/>
      <c r="G412" s="455"/>
      <c r="H412" s="454"/>
      <c r="I412" s="455"/>
      <c r="J412" s="454"/>
      <c r="K412" s="455"/>
      <c r="L412" s="454"/>
      <c r="M412" s="455"/>
      <c r="N412" s="454"/>
      <c r="O412" s="455"/>
      <c r="P412" s="454"/>
      <c r="Q412" s="455"/>
      <c r="R412" s="454"/>
      <c r="S412" s="455"/>
      <c r="T412" s="454"/>
      <c r="U412" s="455"/>
      <c r="V412" s="454"/>
      <c r="W412" s="455"/>
      <c r="X412" s="454"/>
      <c r="Y412" s="455"/>
      <c r="Z412" s="454"/>
      <c r="AA412" s="455"/>
      <c r="AB412" s="454"/>
      <c r="AC412" s="455"/>
      <c r="AD412" s="454"/>
      <c r="AE412" s="455"/>
      <c r="AF412" s="454"/>
      <c r="AG412" s="455"/>
    </row>
    <row r="413" spans="1:33" x14ac:dyDescent="0.2">
      <c r="A413" s="415">
        <f t="shared" si="13"/>
        <v>1319</v>
      </c>
      <c r="B413" s="416" t="str">
        <f t="shared" si="12"/>
        <v>Spring</v>
      </c>
      <c r="C413" s="453"/>
      <c r="D413" s="454"/>
      <c r="E413" s="455"/>
      <c r="F413" s="454"/>
      <c r="G413" s="455"/>
      <c r="H413" s="454"/>
      <c r="I413" s="455"/>
      <c r="J413" s="454"/>
      <c r="K413" s="455"/>
      <c r="L413" s="454"/>
      <c r="M413" s="455"/>
      <c r="N413" s="454"/>
      <c r="O413" s="455"/>
      <c r="P413" s="454"/>
      <c r="Q413" s="455"/>
      <c r="R413" s="454"/>
      <c r="S413" s="455"/>
      <c r="T413" s="454"/>
      <c r="U413" s="455"/>
      <c r="V413" s="454"/>
      <c r="W413" s="455"/>
      <c r="X413" s="454"/>
      <c r="Y413" s="455"/>
      <c r="Z413" s="454"/>
      <c r="AA413" s="455"/>
      <c r="AB413" s="454"/>
      <c r="AC413" s="455"/>
      <c r="AD413" s="454"/>
      <c r="AE413" s="455"/>
      <c r="AF413" s="454"/>
      <c r="AG413" s="455"/>
    </row>
    <row r="414" spans="1:33" x14ac:dyDescent="0.2">
      <c r="A414" s="415">
        <f t="shared" si="13"/>
        <v>1319</v>
      </c>
      <c r="B414" s="416" t="str">
        <f t="shared" si="12"/>
        <v>Summer</v>
      </c>
      <c r="C414" s="453"/>
      <c r="D414" s="454"/>
      <c r="E414" s="455"/>
      <c r="F414" s="454"/>
      <c r="G414" s="455"/>
      <c r="H414" s="454"/>
      <c r="I414" s="455"/>
      <c r="J414" s="454"/>
      <c r="K414" s="455"/>
      <c r="L414" s="454"/>
      <c r="M414" s="455"/>
      <c r="N414" s="454"/>
      <c r="O414" s="455"/>
      <c r="P414" s="454"/>
      <c r="Q414" s="455"/>
      <c r="R414" s="454"/>
      <c r="S414" s="455"/>
      <c r="T414" s="454"/>
      <c r="U414" s="455"/>
      <c r="V414" s="454"/>
      <c r="W414" s="455"/>
      <c r="X414" s="454"/>
      <c r="Y414" s="455"/>
      <c r="Z414" s="454"/>
      <c r="AA414" s="455"/>
      <c r="AB414" s="454"/>
      <c r="AC414" s="455"/>
      <c r="AD414" s="454"/>
      <c r="AE414" s="455"/>
      <c r="AF414" s="454"/>
      <c r="AG414" s="455"/>
    </row>
    <row r="415" spans="1:33" x14ac:dyDescent="0.2">
      <c r="A415" s="415">
        <f t="shared" si="13"/>
        <v>1319</v>
      </c>
      <c r="B415" s="416" t="str">
        <f t="shared" si="12"/>
        <v>Autumn</v>
      </c>
      <c r="C415" s="453"/>
      <c r="D415" s="454"/>
      <c r="E415" s="455"/>
      <c r="F415" s="454"/>
      <c r="G415" s="455"/>
      <c r="H415" s="454"/>
      <c r="I415" s="455"/>
      <c r="J415" s="454"/>
      <c r="K415" s="455"/>
      <c r="L415" s="454"/>
      <c r="M415" s="455"/>
      <c r="N415" s="454"/>
      <c r="O415" s="455"/>
      <c r="P415" s="454"/>
      <c r="Q415" s="455"/>
      <c r="R415" s="454"/>
      <c r="S415" s="455"/>
      <c r="T415" s="454"/>
      <c r="U415" s="455"/>
      <c r="V415" s="454"/>
      <c r="W415" s="455"/>
      <c r="X415" s="454"/>
      <c r="Y415" s="455"/>
      <c r="Z415" s="454"/>
      <c r="AA415" s="455"/>
      <c r="AB415" s="454"/>
      <c r="AC415" s="455"/>
      <c r="AD415" s="454"/>
      <c r="AE415" s="455"/>
      <c r="AF415" s="454"/>
      <c r="AG415" s="455"/>
    </row>
    <row r="416" spans="1:33" x14ac:dyDescent="0.2">
      <c r="A416" s="415">
        <f t="shared" si="13"/>
        <v>1320</v>
      </c>
      <c r="B416" s="416" t="str">
        <f t="shared" si="12"/>
        <v>Winter</v>
      </c>
      <c r="C416" s="453"/>
      <c r="D416" s="454"/>
      <c r="E416" s="455"/>
      <c r="F416" s="454"/>
      <c r="G416" s="455"/>
      <c r="H416" s="454"/>
      <c r="I416" s="455"/>
      <c r="J416" s="454"/>
      <c r="K416" s="455"/>
      <c r="L416" s="454"/>
      <c r="M416" s="455"/>
      <c r="N416" s="454"/>
      <c r="O416" s="455"/>
      <c r="P416" s="454"/>
      <c r="Q416" s="455"/>
      <c r="R416" s="454"/>
      <c r="S416" s="455"/>
      <c r="T416" s="454"/>
      <c r="U416" s="455"/>
      <c r="V416" s="454"/>
      <c r="W416" s="455"/>
      <c r="X416" s="454"/>
      <c r="Y416" s="455"/>
      <c r="Z416" s="454"/>
      <c r="AA416" s="455"/>
      <c r="AB416" s="454"/>
      <c r="AC416" s="455"/>
      <c r="AD416" s="454"/>
      <c r="AE416" s="455"/>
      <c r="AF416" s="454"/>
      <c r="AG416" s="455"/>
    </row>
    <row r="417" spans="1:33" x14ac:dyDescent="0.2">
      <c r="A417" s="415">
        <f t="shared" si="13"/>
        <v>1320</v>
      </c>
      <c r="B417" s="416" t="str">
        <f t="shared" si="12"/>
        <v>Spring</v>
      </c>
      <c r="C417" s="453"/>
      <c r="D417" s="454"/>
      <c r="E417" s="455"/>
      <c r="F417" s="454"/>
      <c r="G417" s="455"/>
      <c r="H417" s="454"/>
      <c r="I417" s="455"/>
      <c r="J417" s="454"/>
      <c r="K417" s="455"/>
      <c r="L417" s="454"/>
      <c r="M417" s="455"/>
      <c r="N417" s="454"/>
      <c r="O417" s="455"/>
      <c r="P417" s="454"/>
      <c r="Q417" s="455"/>
      <c r="R417" s="454"/>
      <c r="S417" s="455"/>
      <c r="T417" s="454"/>
      <c r="U417" s="455"/>
      <c r="V417" s="454"/>
      <c r="W417" s="455"/>
      <c r="X417" s="454"/>
      <c r="Y417" s="455"/>
      <c r="Z417" s="454"/>
      <c r="AA417" s="455"/>
      <c r="AB417" s="454"/>
      <c r="AC417" s="455"/>
      <c r="AD417" s="454"/>
      <c r="AE417" s="455"/>
      <c r="AF417" s="454"/>
      <c r="AG417" s="455"/>
    </row>
    <row r="418" spans="1:33" x14ac:dyDescent="0.2">
      <c r="A418" s="415">
        <f t="shared" si="13"/>
        <v>1320</v>
      </c>
      <c r="B418" s="416" t="str">
        <f t="shared" si="12"/>
        <v>Summer</v>
      </c>
      <c r="C418" s="453"/>
      <c r="D418" s="454"/>
      <c r="E418" s="455"/>
      <c r="F418" s="454"/>
      <c r="G418" s="455"/>
      <c r="H418" s="454"/>
      <c r="I418" s="455"/>
      <c r="J418" s="454"/>
      <c r="K418" s="455"/>
      <c r="L418" s="454"/>
      <c r="M418" s="455"/>
      <c r="N418" s="454"/>
      <c r="O418" s="455"/>
      <c r="P418" s="454"/>
      <c r="Q418" s="455"/>
      <c r="R418" s="454"/>
      <c r="S418" s="455"/>
      <c r="T418" s="454"/>
      <c r="U418" s="455"/>
      <c r="V418" s="454"/>
      <c r="W418" s="455"/>
      <c r="X418" s="454"/>
      <c r="Y418" s="455"/>
      <c r="Z418" s="454"/>
      <c r="AA418" s="455"/>
      <c r="AB418" s="454"/>
      <c r="AC418" s="455"/>
      <c r="AD418" s="454"/>
      <c r="AE418" s="455"/>
      <c r="AF418" s="454"/>
      <c r="AG418" s="455"/>
    </row>
    <row r="419" spans="1:33" x14ac:dyDescent="0.2">
      <c r="A419" s="415">
        <f t="shared" si="13"/>
        <v>1320</v>
      </c>
      <c r="B419" s="416" t="str">
        <f t="shared" si="12"/>
        <v>Autumn</v>
      </c>
      <c r="C419" s="453"/>
      <c r="D419" s="454"/>
      <c r="E419" s="455"/>
      <c r="F419" s="454"/>
      <c r="G419" s="455"/>
      <c r="H419" s="454"/>
      <c r="I419" s="455"/>
      <c r="J419" s="454"/>
      <c r="K419" s="455"/>
      <c r="L419" s="454"/>
      <c r="M419" s="455"/>
      <c r="N419" s="454"/>
      <c r="O419" s="455"/>
      <c r="P419" s="454"/>
      <c r="Q419" s="455"/>
      <c r="R419" s="454"/>
      <c r="S419" s="455"/>
      <c r="T419" s="454"/>
      <c r="U419" s="455"/>
      <c r="V419" s="454"/>
      <c r="W419" s="455"/>
      <c r="X419" s="454"/>
      <c r="Y419" s="455"/>
      <c r="Z419" s="454"/>
      <c r="AA419" s="455"/>
      <c r="AB419" s="454"/>
      <c r="AC419" s="455"/>
      <c r="AD419" s="454"/>
      <c r="AE419" s="455"/>
      <c r="AF419" s="454"/>
      <c r="AG419" s="455"/>
    </row>
    <row r="420" spans="1:33" x14ac:dyDescent="0.2">
      <c r="A420" s="415">
        <f t="shared" si="13"/>
        <v>1321</v>
      </c>
      <c r="B420" s="416" t="str">
        <f t="shared" si="12"/>
        <v>Winter</v>
      </c>
      <c r="C420" s="453"/>
      <c r="D420" s="454"/>
      <c r="E420" s="455"/>
      <c r="F420" s="454"/>
      <c r="G420" s="455"/>
      <c r="H420" s="454"/>
      <c r="I420" s="455"/>
      <c r="J420" s="454"/>
      <c r="K420" s="455"/>
      <c r="L420" s="454"/>
      <c r="M420" s="455"/>
      <c r="N420" s="454"/>
      <c r="O420" s="455"/>
      <c r="P420" s="454"/>
      <c r="Q420" s="455"/>
      <c r="R420" s="454"/>
      <c r="S420" s="455"/>
      <c r="T420" s="454"/>
      <c r="U420" s="455"/>
      <c r="V420" s="454"/>
      <c r="W420" s="455"/>
      <c r="X420" s="454"/>
      <c r="Y420" s="455"/>
      <c r="Z420" s="454"/>
      <c r="AA420" s="455"/>
      <c r="AB420" s="454"/>
      <c r="AC420" s="455"/>
      <c r="AD420" s="454"/>
      <c r="AE420" s="455"/>
      <c r="AF420" s="454"/>
      <c r="AG420" s="455"/>
    </row>
    <row r="421" spans="1:33" x14ac:dyDescent="0.2">
      <c r="A421" s="415">
        <f t="shared" si="13"/>
        <v>1321</v>
      </c>
      <c r="B421" s="416" t="str">
        <f t="shared" si="12"/>
        <v>Spring</v>
      </c>
      <c r="C421" s="453"/>
      <c r="D421" s="454"/>
      <c r="E421" s="455"/>
      <c r="F421" s="454"/>
      <c r="G421" s="455"/>
      <c r="H421" s="454"/>
      <c r="I421" s="455"/>
      <c r="J421" s="454"/>
      <c r="K421" s="455"/>
      <c r="L421" s="454"/>
      <c r="M421" s="455"/>
      <c r="N421" s="454"/>
      <c r="O421" s="455"/>
      <c r="P421" s="454"/>
      <c r="Q421" s="455"/>
      <c r="R421" s="454"/>
      <c r="S421" s="455"/>
      <c r="T421" s="454"/>
      <c r="U421" s="455"/>
      <c r="V421" s="454"/>
      <c r="W421" s="455"/>
      <c r="X421" s="454"/>
      <c r="Y421" s="455"/>
      <c r="Z421" s="454"/>
      <c r="AA421" s="455"/>
      <c r="AB421" s="454"/>
      <c r="AC421" s="455"/>
      <c r="AD421" s="454"/>
      <c r="AE421" s="455"/>
      <c r="AF421" s="454"/>
      <c r="AG421" s="455"/>
    </row>
    <row r="422" spans="1:33" x14ac:dyDescent="0.2">
      <c r="A422" s="415">
        <f t="shared" si="13"/>
        <v>1321</v>
      </c>
      <c r="B422" s="416" t="str">
        <f t="shared" si="12"/>
        <v>Summer</v>
      </c>
      <c r="C422" s="453"/>
      <c r="D422" s="454"/>
      <c r="E422" s="455"/>
      <c r="F422" s="454"/>
      <c r="G422" s="455"/>
      <c r="H422" s="454"/>
      <c r="I422" s="455"/>
      <c r="J422" s="454"/>
      <c r="K422" s="455"/>
      <c r="L422" s="454"/>
      <c r="M422" s="455"/>
      <c r="N422" s="454"/>
      <c r="O422" s="455"/>
      <c r="P422" s="454"/>
      <c r="Q422" s="455"/>
      <c r="R422" s="454"/>
      <c r="S422" s="455"/>
      <c r="T422" s="454"/>
      <c r="U422" s="455"/>
      <c r="V422" s="454"/>
      <c r="W422" s="455"/>
      <c r="X422" s="454"/>
      <c r="Y422" s="455"/>
      <c r="Z422" s="454"/>
      <c r="AA422" s="455"/>
      <c r="AB422" s="454"/>
      <c r="AC422" s="455"/>
      <c r="AD422" s="454"/>
      <c r="AE422" s="455"/>
      <c r="AF422" s="454"/>
      <c r="AG422" s="455"/>
    </row>
    <row r="423" spans="1:33" x14ac:dyDescent="0.2">
      <c r="A423" s="415">
        <f t="shared" si="13"/>
        <v>1321</v>
      </c>
      <c r="B423" s="416" t="str">
        <f t="shared" si="12"/>
        <v>Autumn</v>
      </c>
      <c r="C423" s="453"/>
      <c r="D423" s="454"/>
      <c r="E423" s="455"/>
      <c r="F423" s="454"/>
      <c r="G423" s="455"/>
      <c r="H423" s="454"/>
      <c r="I423" s="455"/>
      <c r="J423" s="454"/>
      <c r="K423" s="455"/>
      <c r="L423" s="454"/>
      <c r="M423" s="455"/>
      <c r="N423" s="454"/>
      <c r="O423" s="455"/>
      <c r="P423" s="454"/>
      <c r="Q423" s="455"/>
      <c r="R423" s="454"/>
      <c r="S423" s="455"/>
      <c r="T423" s="454"/>
      <c r="U423" s="455"/>
      <c r="V423" s="454"/>
      <c r="W423" s="455"/>
      <c r="X423" s="454"/>
      <c r="Y423" s="455"/>
      <c r="Z423" s="454"/>
      <c r="AA423" s="455"/>
      <c r="AB423" s="454"/>
      <c r="AC423" s="455"/>
      <c r="AD423" s="454"/>
      <c r="AE423" s="455"/>
      <c r="AF423" s="454"/>
      <c r="AG423" s="455"/>
    </row>
    <row r="424" spans="1:33" x14ac:dyDescent="0.2">
      <c r="A424" s="415">
        <f t="shared" si="13"/>
        <v>1322</v>
      </c>
      <c r="B424" s="416" t="str">
        <f t="shared" si="12"/>
        <v>Winter</v>
      </c>
      <c r="C424" s="453"/>
      <c r="D424" s="454"/>
      <c r="E424" s="455"/>
      <c r="F424" s="454"/>
      <c r="G424" s="455"/>
      <c r="H424" s="454"/>
      <c r="I424" s="455"/>
      <c r="J424" s="454"/>
      <c r="K424" s="455"/>
      <c r="L424" s="454"/>
      <c r="M424" s="455"/>
      <c r="N424" s="454"/>
      <c r="O424" s="455"/>
      <c r="P424" s="454"/>
      <c r="Q424" s="455"/>
      <c r="R424" s="454"/>
      <c r="S424" s="455"/>
      <c r="T424" s="454"/>
      <c r="U424" s="455"/>
      <c r="V424" s="454"/>
      <c r="W424" s="455"/>
      <c r="X424" s="454"/>
      <c r="Y424" s="455"/>
      <c r="Z424" s="454"/>
      <c r="AA424" s="455"/>
      <c r="AB424" s="454"/>
      <c r="AC424" s="455"/>
      <c r="AD424" s="454"/>
      <c r="AE424" s="455"/>
      <c r="AF424" s="454"/>
      <c r="AG424" s="455"/>
    </row>
    <row r="425" spans="1:33" x14ac:dyDescent="0.2">
      <c r="A425" s="415">
        <f t="shared" si="13"/>
        <v>1322</v>
      </c>
      <c r="B425" s="416" t="str">
        <f t="shared" si="12"/>
        <v>Spring</v>
      </c>
      <c r="C425" s="453"/>
      <c r="D425" s="454"/>
      <c r="E425" s="455"/>
      <c r="F425" s="454"/>
      <c r="G425" s="455"/>
      <c r="H425" s="454"/>
      <c r="I425" s="455"/>
      <c r="J425" s="454"/>
      <c r="K425" s="455"/>
      <c r="L425" s="454"/>
      <c r="M425" s="455"/>
      <c r="N425" s="454"/>
      <c r="O425" s="455"/>
      <c r="P425" s="454"/>
      <c r="Q425" s="455"/>
      <c r="R425" s="454"/>
      <c r="S425" s="455"/>
      <c r="T425" s="454"/>
      <c r="U425" s="455"/>
      <c r="V425" s="454"/>
      <c r="W425" s="455"/>
      <c r="X425" s="454"/>
      <c r="Y425" s="455"/>
      <c r="Z425" s="454"/>
      <c r="AA425" s="455"/>
      <c r="AB425" s="454"/>
      <c r="AC425" s="455"/>
      <c r="AD425" s="454"/>
      <c r="AE425" s="455"/>
      <c r="AF425" s="454"/>
      <c r="AG425" s="455"/>
    </row>
    <row r="426" spans="1:33" x14ac:dyDescent="0.2">
      <c r="A426" s="415">
        <f t="shared" si="13"/>
        <v>1322</v>
      </c>
      <c r="B426" s="416" t="str">
        <f t="shared" si="12"/>
        <v>Summer</v>
      </c>
      <c r="C426" s="453"/>
      <c r="D426" s="454"/>
      <c r="E426" s="455"/>
      <c r="F426" s="454"/>
      <c r="G426" s="455"/>
      <c r="H426" s="454"/>
      <c r="I426" s="455"/>
      <c r="J426" s="454"/>
      <c r="K426" s="455"/>
      <c r="L426" s="454"/>
      <c r="M426" s="455"/>
      <c r="N426" s="454"/>
      <c r="O426" s="455"/>
      <c r="P426" s="454"/>
      <c r="Q426" s="455"/>
      <c r="R426" s="454"/>
      <c r="S426" s="455"/>
      <c r="T426" s="454"/>
      <c r="U426" s="455"/>
      <c r="V426" s="454"/>
      <c r="W426" s="455"/>
      <c r="X426" s="454"/>
      <c r="Y426" s="455"/>
      <c r="Z426" s="454"/>
      <c r="AA426" s="455"/>
      <c r="AB426" s="454"/>
      <c r="AC426" s="455"/>
      <c r="AD426" s="454"/>
      <c r="AE426" s="455"/>
      <c r="AF426" s="454"/>
      <c r="AG426" s="455"/>
    </row>
    <row r="427" spans="1:33" x14ac:dyDescent="0.2">
      <c r="A427" s="415">
        <f t="shared" si="13"/>
        <v>1322</v>
      </c>
      <c r="B427" s="416" t="str">
        <f t="shared" ref="B427:B490" si="14">IF(B426="spring","Summer",IF(B426="Summer","Autumn",IF(B426="Autumn","Winter",IF(B426="Winter","Spring"," "))))</f>
        <v>Autumn</v>
      </c>
      <c r="C427" s="453"/>
      <c r="D427" s="454"/>
      <c r="E427" s="455"/>
      <c r="F427" s="454"/>
      <c r="G427" s="455"/>
      <c r="H427" s="454"/>
      <c r="I427" s="455"/>
      <c r="J427" s="454"/>
      <c r="K427" s="455"/>
      <c r="L427" s="454"/>
      <c r="M427" s="455"/>
      <c r="N427" s="454"/>
      <c r="O427" s="455"/>
      <c r="P427" s="454"/>
      <c r="Q427" s="455"/>
      <c r="R427" s="454"/>
      <c r="S427" s="455"/>
      <c r="T427" s="454"/>
      <c r="U427" s="455"/>
      <c r="V427" s="454"/>
      <c r="W427" s="455"/>
      <c r="X427" s="454"/>
      <c r="Y427" s="455"/>
      <c r="Z427" s="454"/>
      <c r="AA427" s="455"/>
      <c r="AB427" s="454"/>
      <c r="AC427" s="455"/>
      <c r="AD427" s="454"/>
      <c r="AE427" s="455"/>
      <c r="AF427" s="454"/>
      <c r="AG427" s="455"/>
    </row>
    <row r="428" spans="1:33" x14ac:dyDescent="0.2">
      <c r="A428" s="415">
        <f t="shared" si="13"/>
        <v>1323</v>
      </c>
      <c r="B428" s="416" t="str">
        <f t="shared" si="14"/>
        <v>Winter</v>
      </c>
      <c r="C428" s="453"/>
      <c r="D428" s="454"/>
      <c r="E428" s="455"/>
      <c r="F428" s="454"/>
      <c r="G428" s="455"/>
      <c r="H428" s="454"/>
      <c r="I428" s="455"/>
      <c r="J428" s="454"/>
      <c r="K428" s="455"/>
      <c r="L428" s="454"/>
      <c r="M428" s="455"/>
      <c r="N428" s="454"/>
      <c r="O428" s="455"/>
      <c r="P428" s="454"/>
      <c r="Q428" s="455"/>
      <c r="R428" s="454"/>
      <c r="S428" s="455"/>
      <c r="T428" s="454"/>
      <c r="U428" s="455"/>
      <c r="V428" s="454"/>
      <c r="W428" s="455"/>
      <c r="X428" s="454"/>
      <c r="Y428" s="455"/>
      <c r="Z428" s="454"/>
      <c r="AA428" s="455"/>
      <c r="AB428" s="454"/>
      <c r="AC428" s="455"/>
      <c r="AD428" s="454"/>
      <c r="AE428" s="455"/>
      <c r="AF428" s="454"/>
      <c r="AG428" s="455"/>
    </row>
    <row r="429" spans="1:33" x14ac:dyDescent="0.2">
      <c r="A429" s="415">
        <f t="shared" si="13"/>
        <v>1323</v>
      </c>
      <c r="B429" s="416" t="str">
        <f t="shared" si="14"/>
        <v>Spring</v>
      </c>
      <c r="C429" s="453"/>
      <c r="D429" s="454"/>
      <c r="E429" s="455"/>
      <c r="F429" s="454"/>
      <c r="G429" s="455"/>
      <c r="H429" s="454"/>
      <c r="I429" s="455"/>
      <c r="J429" s="454"/>
      <c r="K429" s="455"/>
      <c r="L429" s="454"/>
      <c r="M429" s="455"/>
      <c r="N429" s="454"/>
      <c r="O429" s="455"/>
      <c r="P429" s="454"/>
      <c r="Q429" s="455"/>
      <c r="R429" s="454"/>
      <c r="S429" s="455"/>
      <c r="T429" s="454"/>
      <c r="U429" s="455"/>
      <c r="V429" s="454"/>
      <c r="W429" s="455"/>
      <c r="X429" s="454"/>
      <c r="Y429" s="455"/>
      <c r="Z429" s="454"/>
      <c r="AA429" s="455"/>
      <c r="AB429" s="454"/>
      <c r="AC429" s="455"/>
      <c r="AD429" s="454"/>
      <c r="AE429" s="455"/>
      <c r="AF429" s="454"/>
      <c r="AG429" s="455"/>
    </row>
    <row r="430" spans="1:33" x14ac:dyDescent="0.2">
      <c r="A430" s="415">
        <f t="shared" si="13"/>
        <v>1323</v>
      </c>
      <c r="B430" s="416" t="str">
        <f t="shared" si="14"/>
        <v>Summer</v>
      </c>
      <c r="C430" s="453"/>
      <c r="D430" s="454"/>
      <c r="E430" s="455"/>
      <c r="F430" s="454"/>
      <c r="G430" s="455"/>
      <c r="H430" s="454"/>
      <c r="I430" s="455"/>
      <c r="J430" s="454"/>
      <c r="K430" s="455"/>
      <c r="L430" s="454"/>
      <c r="M430" s="455"/>
      <c r="N430" s="454"/>
      <c r="O430" s="455"/>
      <c r="P430" s="454"/>
      <c r="Q430" s="455"/>
      <c r="R430" s="454"/>
      <c r="S430" s="455"/>
      <c r="T430" s="454"/>
      <c r="U430" s="455"/>
      <c r="V430" s="454"/>
      <c r="W430" s="455"/>
      <c r="X430" s="454"/>
      <c r="Y430" s="455"/>
      <c r="Z430" s="454"/>
      <c r="AA430" s="455"/>
      <c r="AB430" s="454"/>
      <c r="AC430" s="455"/>
      <c r="AD430" s="454"/>
      <c r="AE430" s="455"/>
      <c r="AF430" s="454"/>
      <c r="AG430" s="455"/>
    </row>
    <row r="431" spans="1:33" x14ac:dyDescent="0.2">
      <c r="A431" s="415">
        <f t="shared" si="13"/>
        <v>1323</v>
      </c>
      <c r="B431" s="416" t="str">
        <f t="shared" si="14"/>
        <v>Autumn</v>
      </c>
      <c r="C431" s="453"/>
      <c r="D431" s="454"/>
      <c r="E431" s="455"/>
      <c r="F431" s="454"/>
      <c r="G431" s="455"/>
      <c r="H431" s="454"/>
      <c r="I431" s="455"/>
      <c r="J431" s="454"/>
      <c r="K431" s="455"/>
      <c r="L431" s="454"/>
      <c r="M431" s="455"/>
      <c r="N431" s="454"/>
      <c r="O431" s="455"/>
      <c r="P431" s="454"/>
      <c r="Q431" s="455"/>
      <c r="R431" s="454"/>
      <c r="S431" s="455"/>
      <c r="T431" s="454"/>
      <c r="U431" s="455"/>
      <c r="V431" s="454"/>
      <c r="W431" s="455"/>
      <c r="X431" s="454"/>
      <c r="Y431" s="455"/>
      <c r="Z431" s="454"/>
      <c r="AA431" s="455"/>
      <c r="AB431" s="454"/>
      <c r="AC431" s="455"/>
      <c r="AD431" s="454"/>
      <c r="AE431" s="455"/>
      <c r="AF431" s="454"/>
      <c r="AG431" s="455"/>
    </row>
    <row r="432" spans="1:33" x14ac:dyDescent="0.2">
      <c r="A432" s="415">
        <f t="shared" si="13"/>
        <v>1324</v>
      </c>
      <c r="B432" s="416" t="str">
        <f t="shared" si="14"/>
        <v>Winter</v>
      </c>
      <c r="C432" s="453"/>
      <c r="D432" s="454"/>
      <c r="E432" s="455"/>
      <c r="F432" s="454"/>
      <c r="G432" s="455"/>
      <c r="H432" s="454"/>
      <c r="I432" s="455"/>
      <c r="J432" s="454"/>
      <c r="K432" s="455"/>
      <c r="L432" s="454"/>
      <c r="M432" s="455"/>
      <c r="N432" s="454"/>
      <c r="O432" s="455"/>
      <c r="P432" s="454"/>
      <c r="Q432" s="455"/>
      <c r="R432" s="454"/>
      <c r="S432" s="455"/>
      <c r="T432" s="454"/>
      <c r="U432" s="455"/>
      <c r="V432" s="454"/>
      <c r="W432" s="455"/>
      <c r="X432" s="454"/>
      <c r="Y432" s="455"/>
      <c r="Z432" s="454"/>
      <c r="AA432" s="455"/>
      <c r="AB432" s="454"/>
      <c r="AC432" s="455"/>
      <c r="AD432" s="454"/>
      <c r="AE432" s="455"/>
      <c r="AF432" s="454"/>
      <c r="AG432" s="455"/>
    </row>
    <row r="433" spans="1:33" x14ac:dyDescent="0.2">
      <c r="A433" s="415">
        <f t="shared" si="13"/>
        <v>1324</v>
      </c>
      <c r="B433" s="416" t="str">
        <f t="shared" si="14"/>
        <v>Spring</v>
      </c>
      <c r="C433" s="453"/>
      <c r="D433" s="454"/>
      <c r="E433" s="455"/>
      <c r="F433" s="454"/>
      <c r="G433" s="455"/>
      <c r="H433" s="454"/>
      <c r="I433" s="455"/>
      <c r="J433" s="454"/>
      <c r="K433" s="455"/>
      <c r="L433" s="454"/>
      <c r="M433" s="455"/>
      <c r="N433" s="454"/>
      <c r="O433" s="455"/>
      <c r="P433" s="454"/>
      <c r="Q433" s="455"/>
      <c r="R433" s="454"/>
      <c r="S433" s="455"/>
      <c r="T433" s="454"/>
      <c r="U433" s="455"/>
      <c r="V433" s="454"/>
      <c r="W433" s="455"/>
      <c r="X433" s="454"/>
      <c r="Y433" s="455"/>
      <c r="Z433" s="454"/>
      <c r="AA433" s="455"/>
      <c r="AB433" s="454"/>
      <c r="AC433" s="455"/>
      <c r="AD433" s="454"/>
      <c r="AE433" s="455"/>
      <c r="AF433" s="454"/>
      <c r="AG433" s="455"/>
    </row>
    <row r="434" spans="1:33" x14ac:dyDescent="0.2">
      <c r="A434" s="415">
        <f t="shared" si="13"/>
        <v>1324</v>
      </c>
      <c r="B434" s="416" t="str">
        <f t="shared" si="14"/>
        <v>Summer</v>
      </c>
      <c r="C434" s="453"/>
      <c r="D434" s="454"/>
      <c r="E434" s="455"/>
      <c r="F434" s="454"/>
      <c r="G434" s="455"/>
      <c r="H434" s="454"/>
      <c r="I434" s="455"/>
      <c r="J434" s="454"/>
      <c r="K434" s="455"/>
      <c r="L434" s="454"/>
      <c r="M434" s="455"/>
      <c r="N434" s="454"/>
      <c r="O434" s="455"/>
      <c r="P434" s="454"/>
      <c r="Q434" s="455"/>
      <c r="R434" s="454"/>
      <c r="S434" s="455"/>
      <c r="T434" s="454"/>
      <c r="U434" s="455"/>
      <c r="V434" s="454"/>
      <c r="W434" s="455"/>
      <c r="X434" s="454"/>
      <c r="Y434" s="455"/>
      <c r="Z434" s="454"/>
      <c r="AA434" s="455"/>
      <c r="AB434" s="454"/>
      <c r="AC434" s="455"/>
      <c r="AD434" s="454"/>
      <c r="AE434" s="455"/>
      <c r="AF434" s="454"/>
      <c r="AG434" s="455"/>
    </row>
    <row r="435" spans="1:33" x14ac:dyDescent="0.2">
      <c r="A435" s="415">
        <f t="shared" si="13"/>
        <v>1324</v>
      </c>
      <c r="B435" s="416" t="str">
        <f t="shared" si="14"/>
        <v>Autumn</v>
      </c>
      <c r="C435" s="453"/>
      <c r="D435" s="454"/>
      <c r="E435" s="455"/>
      <c r="F435" s="454"/>
      <c r="G435" s="455"/>
      <c r="H435" s="454"/>
      <c r="I435" s="455"/>
      <c r="J435" s="454"/>
      <c r="K435" s="455"/>
      <c r="L435" s="454"/>
      <c r="M435" s="455"/>
      <c r="N435" s="454"/>
      <c r="O435" s="455"/>
      <c r="P435" s="454"/>
      <c r="Q435" s="455"/>
      <c r="R435" s="454"/>
      <c r="S435" s="455"/>
      <c r="T435" s="454"/>
      <c r="U435" s="455"/>
      <c r="V435" s="454"/>
      <c r="W435" s="455"/>
      <c r="X435" s="454"/>
      <c r="Y435" s="455"/>
      <c r="Z435" s="454"/>
      <c r="AA435" s="455"/>
      <c r="AB435" s="454"/>
      <c r="AC435" s="455"/>
      <c r="AD435" s="454"/>
      <c r="AE435" s="455"/>
      <c r="AF435" s="454"/>
      <c r="AG435" s="455"/>
    </row>
    <row r="436" spans="1:33" x14ac:dyDescent="0.2">
      <c r="A436" s="415">
        <f t="shared" si="13"/>
        <v>1325</v>
      </c>
      <c r="B436" s="416" t="str">
        <f t="shared" si="14"/>
        <v>Winter</v>
      </c>
      <c r="C436" s="453"/>
      <c r="D436" s="454"/>
      <c r="E436" s="455"/>
      <c r="F436" s="454"/>
      <c r="G436" s="455"/>
      <c r="H436" s="454"/>
      <c r="I436" s="455"/>
      <c r="J436" s="454"/>
      <c r="K436" s="455"/>
      <c r="L436" s="454"/>
      <c r="M436" s="455"/>
      <c r="N436" s="454"/>
      <c r="O436" s="455"/>
      <c r="P436" s="454"/>
      <c r="Q436" s="455"/>
      <c r="R436" s="454"/>
      <c r="S436" s="455"/>
      <c r="T436" s="454"/>
      <c r="U436" s="455"/>
      <c r="V436" s="454"/>
      <c r="W436" s="455"/>
      <c r="X436" s="454"/>
      <c r="Y436" s="455"/>
      <c r="Z436" s="454"/>
      <c r="AA436" s="455"/>
      <c r="AB436" s="454"/>
      <c r="AC436" s="455"/>
      <c r="AD436" s="454"/>
      <c r="AE436" s="455"/>
      <c r="AF436" s="454"/>
      <c r="AG436" s="455"/>
    </row>
    <row r="437" spans="1:33" x14ac:dyDescent="0.2">
      <c r="A437" s="415">
        <f t="shared" si="13"/>
        <v>1325</v>
      </c>
      <c r="B437" s="416" t="str">
        <f t="shared" si="14"/>
        <v>Spring</v>
      </c>
      <c r="C437" s="453"/>
      <c r="D437" s="454"/>
      <c r="E437" s="455"/>
      <c r="F437" s="454"/>
      <c r="G437" s="455"/>
      <c r="H437" s="454"/>
      <c r="I437" s="455"/>
      <c r="J437" s="454"/>
      <c r="K437" s="455"/>
      <c r="L437" s="454"/>
      <c r="M437" s="455"/>
      <c r="N437" s="454"/>
      <c r="O437" s="455"/>
      <c r="P437" s="454"/>
      <c r="Q437" s="455"/>
      <c r="R437" s="454"/>
      <c r="S437" s="455"/>
      <c r="T437" s="454"/>
      <c r="U437" s="455"/>
      <c r="V437" s="454"/>
      <c r="W437" s="455"/>
      <c r="X437" s="454"/>
      <c r="Y437" s="455"/>
      <c r="Z437" s="454"/>
      <c r="AA437" s="455"/>
      <c r="AB437" s="454"/>
      <c r="AC437" s="455"/>
      <c r="AD437" s="454"/>
      <c r="AE437" s="455"/>
      <c r="AF437" s="454"/>
      <c r="AG437" s="455"/>
    </row>
    <row r="438" spans="1:33" x14ac:dyDescent="0.2">
      <c r="A438" s="415">
        <f t="shared" si="13"/>
        <v>1325</v>
      </c>
      <c r="B438" s="416" t="str">
        <f t="shared" si="14"/>
        <v>Summer</v>
      </c>
      <c r="C438" s="453"/>
      <c r="D438" s="454"/>
      <c r="E438" s="455"/>
      <c r="F438" s="454"/>
      <c r="G438" s="455"/>
      <c r="H438" s="454"/>
      <c r="I438" s="455"/>
      <c r="J438" s="454"/>
      <c r="K438" s="455"/>
      <c r="L438" s="454"/>
      <c r="M438" s="455"/>
      <c r="N438" s="454"/>
      <c r="O438" s="455"/>
      <c r="P438" s="454"/>
      <c r="Q438" s="455"/>
      <c r="R438" s="454"/>
      <c r="S438" s="455"/>
      <c r="T438" s="454"/>
      <c r="U438" s="455"/>
      <c r="V438" s="454"/>
      <c r="W438" s="455"/>
      <c r="X438" s="454"/>
      <c r="Y438" s="455"/>
      <c r="Z438" s="454"/>
      <c r="AA438" s="455"/>
      <c r="AB438" s="454"/>
      <c r="AC438" s="455"/>
      <c r="AD438" s="454"/>
      <c r="AE438" s="455"/>
      <c r="AF438" s="454"/>
      <c r="AG438" s="455"/>
    </row>
    <row r="439" spans="1:33" x14ac:dyDescent="0.2">
      <c r="A439" s="415">
        <f t="shared" si="13"/>
        <v>1325</v>
      </c>
      <c r="B439" s="416" t="str">
        <f t="shared" si="14"/>
        <v>Autumn</v>
      </c>
      <c r="C439" s="453"/>
      <c r="D439" s="454"/>
      <c r="E439" s="455"/>
      <c r="F439" s="454"/>
      <c r="G439" s="455"/>
      <c r="H439" s="454"/>
      <c r="I439" s="455"/>
      <c r="J439" s="454"/>
      <c r="K439" s="455"/>
      <c r="L439" s="454"/>
      <c r="M439" s="455"/>
      <c r="N439" s="454"/>
      <c r="O439" s="455"/>
      <c r="P439" s="454"/>
      <c r="Q439" s="455"/>
      <c r="R439" s="454"/>
      <c r="S439" s="455"/>
      <c r="T439" s="454"/>
      <c r="U439" s="455"/>
      <c r="V439" s="454"/>
      <c r="W439" s="455"/>
      <c r="X439" s="454"/>
      <c r="Y439" s="455"/>
      <c r="Z439" s="454"/>
      <c r="AA439" s="455"/>
      <c r="AB439" s="454"/>
      <c r="AC439" s="455"/>
      <c r="AD439" s="454"/>
      <c r="AE439" s="455"/>
      <c r="AF439" s="454"/>
      <c r="AG439" s="455"/>
    </row>
    <row r="440" spans="1:33" x14ac:dyDescent="0.2">
      <c r="A440" s="415">
        <f t="shared" si="13"/>
        <v>1326</v>
      </c>
      <c r="B440" s="416" t="str">
        <f t="shared" si="14"/>
        <v>Winter</v>
      </c>
      <c r="C440" s="453"/>
      <c r="D440" s="454"/>
      <c r="E440" s="455"/>
      <c r="F440" s="454"/>
      <c r="G440" s="455"/>
      <c r="H440" s="454"/>
      <c r="I440" s="455"/>
      <c r="J440" s="454"/>
      <c r="K440" s="455"/>
      <c r="L440" s="454"/>
      <c r="M440" s="455"/>
      <c r="N440" s="454"/>
      <c r="O440" s="455"/>
      <c r="P440" s="454"/>
      <c r="Q440" s="455"/>
      <c r="R440" s="454"/>
      <c r="S440" s="455"/>
      <c r="T440" s="454"/>
      <c r="U440" s="455"/>
      <c r="V440" s="454"/>
      <c r="W440" s="455"/>
      <c r="X440" s="454"/>
      <c r="Y440" s="455"/>
      <c r="Z440" s="454"/>
      <c r="AA440" s="455"/>
      <c r="AB440" s="454"/>
      <c r="AC440" s="455"/>
      <c r="AD440" s="454"/>
      <c r="AE440" s="455"/>
      <c r="AF440" s="454"/>
      <c r="AG440" s="455"/>
    </row>
    <row r="441" spans="1:33" x14ac:dyDescent="0.2">
      <c r="A441" s="415">
        <f t="shared" si="13"/>
        <v>1326</v>
      </c>
      <c r="B441" s="416" t="str">
        <f t="shared" si="14"/>
        <v>Spring</v>
      </c>
      <c r="C441" s="453"/>
      <c r="D441" s="454"/>
      <c r="E441" s="455"/>
      <c r="F441" s="454"/>
      <c r="G441" s="455"/>
      <c r="H441" s="454"/>
      <c r="I441" s="455"/>
      <c r="J441" s="454"/>
      <c r="K441" s="455"/>
      <c r="L441" s="454"/>
      <c r="M441" s="455"/>
      <c r="N441" s="454"/>
      <c r="O441" s="455"/>
      <c r="P441" s="454"/>
      <c r="Q441" s="455"/>
      <c r="R441" s="454"/>
      <c r="S441" s="455"/>
      <c r="T441" s="454"/>
      <c r="U441" s="455"/>
      <c r="V441" s="454"/>
      <c r="W441" s="455"/>
      <c r="X441" s="454"/>
      <c r="Y441" s="455"/>
      <c r="Z441" s="454"/>
      <c r="AA441" s="455"/>
      <c r="AB441" s="454"/>
      <c r="AC441" s="455"/>
      <c r="AD441" s="454"/>
      <c r="AE441" s="455"/>
      <c r="AF441" s="454"/>
      <c r="AG441" s="455"/>
    </row>
    <row r="442" spans="1:33" x14ac:dyDescent="0.2">
      <c r="A442" s="415">
        <f t="shared" si="13"/>
        <v>1326</v>
      </c>
      <c r="B442" s="416" t="str">
        <f t="shared" si="14"/>
        <v>Summer</v>
      </c>
      <c r="C442" s="453"/>
      <c r="D442" s="454"/>
      <c r="E442" s="455"/>
      <c r="F442" s="454"/>
      <c r="G442" s="455"/>
      <c r="H442" s="454"/>
      <c r="I442" s="455"/>
      <c r="J442" s="454"/>
      <c r="K442" s="455"/>
      <c r="L442" s="454"/>
      <c r="M442" s="455"/>
      <c r="N442" s="454"/>
      <c r="O442" s="455"/>
      <c r="P442" s="454"/>
      <c r="Q442" s="455"/>
      <c r="R442" s="454"/>
      <c r="S442" s="455"/>
      <c r="T442" s="454"/>
      <c r="U442" s="455"/>
      <c r="V442" s="454"/>
      <c r="W442" s="455"/>
      <c r="X442" s="454"/>
      <c r="Y442" s="455"/>
      <c r="Z442" s="454"/>
      <c r="AA442" s="455"/>
      <c r="AB442" s="454"/>
      <c r="AC442" s="455"/>
      <c r="AD442" s="454"/>
      <c r="AE442" s="455"/>
      <c r="AF442" s="454"/>
      <c r="AG442" s="455"/>
    </row>
    <row r="443" spans="1:33" x14ac:dyDescent="0.2">
      <c r="A443" s="415">
        <f t="shared" si="13"/>
        <v>1326</v>
      </c>
      <c r="B443" s="416" t="str">
        <f t="shared" si="14"/>
        <v>Autumn</v>
      </c>
      <c r="C443" s="453"/>
      <c r="D443" s="454"/>
      <c r="E443" s="455"/>
      <c r="F443" s="454"/>
      <c r="G443" s="455"/>
      <c r="H443" s="454"/>
      <c r="I443" s="455"/>
      <c r="J443" s="454"/>
      <c r="K443" s="455"/>
      <c r="L443" s="454"/>
      <c r="M443" s="455"/>
      <c r="N443" s="454"/>
      <c r="O443" s="455"/>
      <c r="P443" s="454"/>
      <c r="Q443" s="455"/>
      <c r="R443" s="454"/>
      <c r="S443" s="455"/>
      <c r="T443" s="454"/>
      <c r="U443" s="455"/>
      <c r="V443" s="454"/>
      <c r="W443" s="455"/>
      <c r="X443" s="454"/>
      <c r="Y443" s="455"/>
      <c r="Z443" s="454"/>
      <c r="AA443" s="455"/>
      <c r="AB443" s="454"/>
      <c r="AC443" s="455"/>
      <c r="AD443" s="454"/>
      <c r="AE443" s="455"/>
      <c r="AF443" s="454"/>
      <c r="AG443" s="455"/>
    </row>
    <row r="444" spans="1:33" x14ac:dyDescent="0.2">
      <c r="A444" s="415">
        <f t="shared" si="13"/>
        <v>1327</v>
      </c>
      <c r="B444" s="416" t="str">
        <f t="shared" si="14"/>
        <v>Winter</v>
      </c>
      <c r="C444" s="453"/>
      <c r="D444" s="454"/>
      <c r="E444" s="455"/>
      <c r="F444" s="454"/>
      <c r="G444" s="455"/>
      <c r="H444" s="454"/>
      <c r="I444" s="455"/>
      <c r="J444" s="454"/>
      <c r="K444" s="455"/>
      <c r="L444" s="454"/>
      <c r="M444" s="455"/>
      <c r="N444" s="454"/>
      <c r="O444" s="455"/>
      <c r="P444" s="454"/>
      <c r="Q444" s="455"/>
      <c r="R444" s="454"/>
      <c r="S444" s="455"/>
      <c r="T444" s="454"/>
      <c r="U444" s="455"/>
      <c r="V444" s="454"/>
      <c r="W444" s="455"/>
      <c r="X444" s="454"/>
      <c r="Y444" s="455"/>
      <c r="Z444" s="454"/>
      <c r="AA444" s="455"/>
      <c r="AB444" s="454"/>
      <c r="AC444" s="455"/>
      <c r="AD444" s="454"/>
      <c r="AE444" s="455"/>
      <c r="AF444" s="454"/>
      <c r="AG444" s="455"/>
    </row>
    <row r="445" spans="1:33" x14ac:dyDescent="0.2">
      <c r="A445" s="415">
        <f t="shared" si="13"/>
        <v>1327</v>
      </c>
      <c r="B445" s="416" t="str">
        <f t="shared" si="14"/>
        <v>Spring</v>
      </c>
      <c r="C445" s="453"/>
      <c r="D445" s="454"/>
      <c r="E445" s="455"/>
      <c r="F445" s="454"/>
      <c r="G445" s="455"/>
      <c r="H445" s="454"/>
      <c r="I445" s="455"/>
      <c r="J445" s="454"/>
      <c r="K445" s="455"/>
      <c r="L445" s="454"/>
      <c r="M445" s="455"/>
      <c r="N445" s="454"/>
      <c r="O445" s="455"/>
      <c r="P445" s="454"/>
      <c r="Q445" s="455"/>
      <c r="R445" s="454"/>
      <c r="S445" s="455"/>
      <c r="T445" s="454"/>
      <c r="U445" s="455"/>
      <c r="V445" s="454"/>
      <c r="W445" s="455"/>
      <c r="X445" s="454"/>
      <c r="Y445" s="455"/>
      <c r="Z445" s="454"/>
      <c r="AA445" s="455"/>
      <c r="AB445" s="454"/>
      <c r="AC445" s="455"/>
      <c r="AD445" s="454"/>
      <c r="AE445" s="455"/>
      <c r="AF445" s="454"/>
      <c r="AG445" s="455"/>
    </row>
    <row r="446" spans="1:33" x14ac:dyDescent="0.2">
      <c r="A446" s="415">
        <f t="shared" si="13"/>
        <v>1327</v>
      </c>
      <c r="B446" s="416" t="str">
        <f t="shared" si="14"/>
        <v>Summer</v>
      </c>
      <c r="C446" s="453"/>
      <c r="D446" s="454"/>
      <c r="E446" s="455"/>
      <c r="F446" s="454"/>
      <c r="G446" s="455"/>
      <c r="H446" s="454"/>
      <c r="I446" s="455"/>
      <c r="J446" s="454"/>
      <c r="K446" s="455"/>
      <c r="L446" s="454"/>
      <c r="M446" s="455"/>
      <c r="N446" s="454"/>
      <c r="O446" s="455"/>
      <c r="P446" s="454"/>
      <c r="Q446" s="455"/>
      <c r="R446" s="454"/>
      <c r="S446" s="455"/>
      <c r="T446" s="454"/>
      <c r="U446" s="455"/>
      <c r="V446" s="454"/>
      <c r="W446" s="455"/>
      <c r="X446" s="454"/>
      <c r="Y446" s="455"/>
      <c r="Z446" s="454"/>
      <c r="AA446" s="455"/>
      <c r="AB446" s="454"/>
      <c r="AC446" s="455"/>
      <c r="AD446" s="454"/>
      <c r="AE446" s="455"/>
      <c r="AF446" s="454"/>
      <c r="AG446" s="455"/>
    </row>
    <row r="447" spans="1:33" x14ac:dyDescent="0.2">
      <c r="A447" s="415">
        <f t="shared" si="13"/>
        <v>1327</v>
      </c>
      <c r="B447" s="416" t="str">
        <f t="shared" si="14"/>
        <v>Autumn</v>
      </c>
      <c r="C447" s="453"/>
      <c r="D447" s="454"/>
      <c r="E447" s="455"/>
      <c r="F447" s="454"/>
      <c r="G447" s="455"/>
      <c r="H447" s="454"/>
      <c r="I447" s="455"/>
      <c r="J447" s="454"/>
      <c r="K447" s="455"/>
      <c r="L447" s="454"/>
      <c r="M447" s="455"/>
      <c r="N447" s="454"/>
      <c r="O447" s="455"/>
      <c r="P447" s="454"/>
      <c r="Q447" s="455"/>
      <c r="R447" s="454"/>
      <c r="S447" s="455"/>
      <c r="T447" s="454"/>
      <c r="U447" s="455"/>
      <c r="V447" s="454"/>
      <c r="W447" s="455"/>
      <c r="X447" s="454"/>
      <c r="Y447" s="455"/>
      <c r="Z447" s="454"/>
      <c r="AA447" s="455"/>
      <c r="AB447" s="454"/>
      <c r="AC447" s="455"/>
      <c r="AD447" s="454"/>
      <c r="AE447" s="455"/>
      <c r="AF447" s="454"/>
      <c r="AG447" s="455"/>
    </row>
    <row r="448" spans="1:33" x14ac:dyDescent="0.2">
      <c r="A448" s="415">
        <f t="shared" si="13"/>
        <v>1328</v>
      </c>
      <c r="B448" s="416" t="str">
        <f t="shared" si="14"/>
        <v>Winter</v>
      </c>
      <c r="C448" s="453"/>
      <c r="D448" s="454"/>
      <c r="E448" s="455"/>
      <c r="F448" s="454"/>
      <c r="G448" s="455"/>
      <c r="H448" s="454"/>
      <c r="I448" s="455"/>
      <c r="J448" s="454"/>
      <c r="K448" s="455"/>
      <c r="L448" s="454"/>
      <c r="M448" s="455"/>
      <c r="N448" s="454"/>
      <c r="O448" s="455"/>
      <c r="P448" s="454"/>
      <c r="Q448" s="455"/>
      <c r="R448" s="454"/>
      <c r="S448" s="455"/>
      <c r="T448" s="454"/>
      <c r="U448" s="455"/>
      <c r="V448" s="454"/>
      <c r="W448" s="455"/>
      <c r="X448" s="454"/>
      <c r="Y448" s="455"/>
      <c r="Z448" s="454"/>
      <c r="AA448" s="455"/>
      <c r="AB448" s="454"/>
      <c r="AC448" s="455"/>
      <c r="AD448" s="454"/>
      <c r="AE448" s="455"/>
      <c r="AF448" s="454"/>
      <c r="AG448" s="455"/>
    </row>
    <row r="449" spans="1:33" x14ac:dyDescent="0.2">
      <c r="A449" s="415">
        <f t="shared" si="13"/>
        <v>1328</v>
      </c>
      <c r="B449" s="416" t="str">
        <f t="shared" si="14"/>
        <v>Spring</v>
      </c>
      <c r="C449" s="453"/>
      <c r="D449" s="454"/>
      <c r="E449" s="455"/>
      <c r="F449" s="454"/>
      <c r="G449" s="455"/>
      <c r="H449" s="454"/>
      <c r="I449" s="455"/>
      <c r="J449" s="454"/>
      <c r="K449" s="455"/>
      <c r="L449" s="454"/>
      <c r="M449" s="455"/>
      <c r="N449" s="454"/>
      <c r="O449" s="455"/>
      <c r="P449" s="454"/>
      <c r="Q449" s="455"/>
      <c r="R449" s="454"/>
      <c r="S449" s="455"/>
      <c r="T449" s="454"/>
      <c r="U449" s="455"/>
      <c r="V449" s="454"/>
      <c r="W449" s="455"/>
      <c r="X449" s="454"/>
      <c r="Y449" s="455"/>
      <c r="Z449" s="454"/>
      <c r="AA449" s="455"/>
      <c r="AB449" s="454"/>
      <c r="AC449" s="455"/>
      <c r="AD449" s="454"/>
      <c r="AE449" s="455"/>
      <c r="AF449" s="454"/>
      <c r="AG449" s="455"/>
    </row>
    <row r="450" spans="1:33" x14ac:dyDescent="0.2">
      <c r="A450" s="415">
        <f t="shared" si="13"/>
        <v>1328</v>
      </c>
      <c r="B450" s="416" t="str">
        <f t="shared" si="14"/>
        <v>Summer</v>
      </c>
      <c r="C450" s="453"/>
      <c r="D450" s="454"/>
      <c r="E450" s="455"/>
      <c r="F450" s="454"/>
      <c r="G450" s="455"/>
      <c r="H450" s="454"/>
      <c r="I450" s="455"/>
      <c r="J450" s="454"/>
      <c r="K450" s="455"/>
      <c r="L450" s="454"/>
      <c r="M450" s="455"/>
      <c r="N450" s="454"/>
      <c r="O450" s="455"/>
      <c r="P450" s="454"/>
      <c r="Q450" s="455"/>
      <c r="R450" s="454"/>
      <c r="S450" s="455"/>
      <c r="T450" s="454"/>
      <c r="U450" s="455"/>
      <c r="V450" s="454"/>
      <c r="W450" s="455"/>
      <c r="X450" s="454"/>
      <c r="Y450" s="455"/>
      <c r="Z450" s="454"/>
      <c r="AA450" s="455"/>
      <c r="AB450" s="454"/>
      <c r="AC450" s="455"/>
      <c r="AD450" s="454"/>
      <c r="AE450" s="455"/>
      <c r="AF450" s="454"/>
      <c r="AG450" s="455"/>
    </row>
    <row r="451" spans="1:33" x14ac:dyDescent="0.2">
      <c r="A451" s="415">
        <f t="shared" si="13"/>
        <v>1328</v>
      </c>
      <c r="B451" s="416" t="str">
        <f t="shared" si="14"/>
        <v>Autumn</v>
      </c>
      <c r="C451" s="453"/>
      <c r="D451" s="454"/>
      <c r="E451" s="455"/>
      <c r="F451" s="454"/>
      <c r="G451" s="455"/>
      <c r="H451" s="454"/>
      <c r="I451" s="455"/>
      <c r="J451" s="454"/>
      <c r="K451" s="455"/>
      <c r="L451" s="454"/>
      <c r="M451" s="455"/>
      <c r="N451" s="454"/>
      <c r="O451" s="455"/>
      <c r="P451" s="454"/>
      <c r="Q451" s="455"/>
      <c r="R451" s="454"/>
      <c r="S451" s="455"/>
      <c r="T451" s="454"/>
      <c r="U451" s="455"/>
      <c r="V451" s="454"/>
      <c r="W451" s="455"/>
      <c r="X451" s="454"/>
      <c r="Y451" s="455"/>
      <c r="Z451" s="454"/>
      <c r="AA451" s="455"/>
      <c r="AB451" s="454"/>
      <c r="AC451" s="455"/>
      <c r="AD451" s="454"/>
      <c r="AE451" s="455"/>
      <c r="AF451" s="454"/>
      <c r="AG451" s="455"/>
    </row>
    <row r="452" spans="1:33" x14ac:dyDescent="0.2">
      <c r="A452" s="415">
        <f t="shared" si="13"/>
        <v>1329</v>
      </c>
      <c r="B452" s="416" t="str">
        <f t="shared" si="14"/>
        <v>Winter</v>
      </c>
      <c r="C452" s="453"/>
      <c r="D452" s="454"/>
      <c r="E452" s="455"/>
      <c r="F452" s="454"/>
      <c r="G452" s="455"/>
      <c r="H452" s="454"/>
      <c r="I452" s="455"/>
      <c r="J452" s="454"/>
      <c r="K452" s="455"/>
      <c r="L452" s="454"/>
      <c r="M452" s="455"/>
      <c r="N452" s="454"/>
      <c r="O452" s="455"/>
      <c r="P452" s="454"/>
      <c r="Q452" s="455"/>
      <c r="R452" s="454"/>
      <c r="S452" s="455"/>
      <c r="T452" s="454"/>
      <c r="U452" s="455"/>
      <c r="V452" s="454"/>
      <c r="W452" s="455"/>
      <c r="X452" s="454"/>
      <c r="Y452" s="455"/>
      <c r="Z452" s="454"/>
      <c r="AA452" s="455"/>
      <c r="AB452" s="454"/>
      <c r="AC452" s="455"/>
      <c r="AD452" s="454"/>
      <c r="AE452" s="455"/>
      <c r="AF452" s="454"/>
      <c r="AG452" s="455"/>
    </row>
    <row r="453" spans="1:33" x14ac:dyDescent="0.2">
      <c r="A453" s="415">
        <f t="shared" ref="A453:A516" si="15">IF(B452="Autumn",A452+1,A452)</f>
        <v>1329</v>
      </c>
      <c r="B453" s="416" t="str">
        <f t="shared" si="14"/>
        <v>Spring</v>
      </c>
      <c r="C453" s="453"/>
      <c r="D453" s="454"/>
      <c r="E453" s="455"/>
      <c r="F453" s="454"/>
      <c r="G453" s="455"/>
      <c r="H453" s="454"/>
      <c r="I453" s="455"/>
      <c r="J453" s="454"/>
      <c r="K453" s="455"/>
      <c r="L453" s="454"/>
      <c r="M453" s="455"/>
      <c r="N453" s="454"/>
      <c r="O453" s="455"/>
      <c r="P453" s="454"/>
      <c r="Q453" s="455"/>
      <c r="R453" s="454"/>
      <c r="S453" s="455"/>
      <c r="T453" s="454"/>
      <c r="U453" s="455"/>
      <c r="V453" s="454"/>
      <c r="W453" s="455"/>
      <c r="X453" s="454"/>
      <c r="Y453" s="455"/>
      <c r="Z453" s="454"/>
      <c r="AA453" s="455"/>
      <c r="AB453" s="454"/>
      <c r="AC453" s="455"/>
      <c r="AD453" s="454"/>
      <c r="AE453" s="455"/>
      <c r="AF453" s="454"/>
      <c r="AG453" s="455"/>
    </row>
    <row r="454" spans="1:33" x14ac:dyDescent="0.2">
      <c r="A454" s="415">
        <f t="shared" si="15"/>
        <v>1329</v>
      </c>
      <c r="B454" s="416" t="str">
        <f t="shared" si="14"/>
        <v>Summer</v>
      </c>
      <c r="C454" s="453"/>
      <c r="D454" s="454"/>
      <c r="E454" s="455"/>
      <c r="F454" s="454"/>
      <c r="G454" s="455"/>
      <c r="H454" s="454"/>
      <c r="I454" s="455"/>
      <c r="J454" s="454"/>
      <c r="K454" s="455"/>
      <c r="L454" s="454"/>
      <c r="M454" s="455"/>
      <c r="N454" s="454"/>
      <c r="O454" s="455"/>
      <c r="P454" s="454"/>
      <c r="Q454" s="455"/>
      <c r="R454" s="454"/>
      <c r="S454" s="455"/>
      <c r="T454" s="454"/>
      <c r="U454" s="455"/>
      <c r="V454" s="454"/>
      <c r="W454" s="455"/>
      <c r="X454" s="454"/>
      <c r="Y454" s="455"/>
      <c r="Z454" s="454"/>
      <c r="AA454" s="455"/>
      <c r="AB454" s="454"/>
      <c r="AC454" s="455"/>
      <c r="AD454" s="454"/>
      <c r="AE454" s="455"/>
      <c r="AF454" s="454"/>
      <c r="AG454" s="455"/>
    </row>
    <row r="455" spans="1:33" x14ac:dyDescent="0.2">
      <c r="A455" s="415">
        <f t="shared" si="15"/>
        <v>1329</v>
      </c>
      <c r="B455" s="416" t="str">
        <f t="shared" si="14"/>
        <v>Autumn</v>
      </c>
      <c r="C455" s="453"/>
      <c r="D455" s="454"/>
      <c r="E455" s="455"/>
      <c r="F455" s="454"/>
      <c r="G455" s="455"/>
      <c r="H455" s="454"/>
      <c r="I455" s="455"/>
      <c r="J455" s="454"/>
      <c r="K455" s="455"/>
      <c r="L455" s="454"/>
      <c r="M455" s="455"/>
      <c r="N455" s="454"/>
      <c r="O455" s="455"/>
      <c r="P455" s="454"/>
      <c r="Q455" s="455"/>
      <c r="R455" s="454"/>
      <c r="S455" s="455"/>
      <c r="T455" s="454"/>
      <c r="U455" s="455"/>
      <c r="V455" s="454"/>
      <c r="W455" s="455"/>
      <c r="X455" s="454"/>
      <c r="Y455" s="455"/>
      <c r="Z455" s="454"/>
      <c r="AA455" s="455"/>
      <c r="AB455" s="454"/>
      <c r="AC455" s="455"/>
      <c r="AD455" s="454"/>
      <c r="AE455" s="455"/>
      <c r="AF455" s="454"/>
      <c r="AG455" s="455"/>
    </row>
    <row r="456" spans="1:33" x14ac:dyDescent="0.2">
      <c r="A456" s="415">
        <f t="shared" si="15"/>
        <v>1330</v>
      </c>
      <c r="B456" s="416" t="str">
        <f t="shared" si="14"/>
        <v>Winter</v>
      </c>
      <c r="C456" s="453"/>
      <c r="D456" s="454"/>
      <c r="E456" s="455"/>
      <c r="F456" s="454"/>
      <c r="G456" s="455"/>
      <c r="H456" s="454"/>
      <c r="I456" s="455"/>
      <c r="J456" s="454"/>
      <c r="K456" s="455"/>
      <c r="L456" s="454"/>
      <c r="M456" s="455"/>
      <c r="N456" s="454"/>
      <c r="O456" s="455"/>
      <c r="P456" s="454"/>
      <c r="Q456" s="455"/>
      <c r="R456" s="454"/>
      <c r="S456" s="455"/>
      <c r="T456" s="454"/>
      <c r="U456" s="455"/>
      <c r="V456" s="454"/>
      <c r="W456" s="455"/>
      <c r="X456" s="454"/>
      <c r="Y456" s="455"/>
      <c r="Z456" s="454"/>
      <c r="AA456" s="455"/>
      <c r="AB456" s="454"/>
      <c r="AC456" s="455"/>
      <c r="AD456" s="454"/>
      <c r="AE456" s="455"/>
      <c r="AF456" s="454"/>
      <c r="AG456" s="455"/>
    </row>
    <row r="457" spans="1:33" x14ac:dyDescent="0.2">
      <c r="A457" s="415">
        <f t="shared" si="15"/>
        <v>1330</v>
      </c>
      <c r="B457" s="416" t="str">
        <f t="shared" si="14"/>
        <v>Spring</v>
      </c>
      <c r="C457" s="453"/>
      <c r="D457" s="454"/>
      <c r="E457" s="455"/>
      <c r="F457" s="454"/>
      <c r="G457" s="455"/>
      <c r="H457" s="454"/>
      <c r="I457" s="455"/>
      <c r="J457" s="454"/>
      <c r="K457" s="455"/>
      <c r="L457" s="454"/>
      <c r="M457" s="455"/>
      <c r="N457" s="454"/>
      <c r="O457" s="455"/>
      <c r="P457" s="454"/>
      <c r="Q457" s="455"/>
      <c r="R457" s="454"/>
      <c r="S457" s="455"/>
      <c r="T457" s="454"/>
      <c r="U457" s="455"/>
      <c r="V457" s="454"/>
      <c r="W457" s="455"/>
      <c r="X457" s="454"/>
      <c r="Y457" s="455"/>
      <c r="Z457" s="454"/>
      <c r="AA457" s="455"/>
      <c r="AB457" s="454"/>
      <c r="AC457" s="455"/>
      <c r="AD457" s="454"/>
      <c r="AE457" s="455"/>
      <c r="AF457" s="454"/>
      <c r="AG457" s="455"/>
    </row>
    <row r="458" spans="1:33" x14ac:dyDescent="0.2">
      <c r="A458" s="415">
        <f t="shared" si="15"/>
        <v>1330</v>
      </c>
      <c r="B458" s="416" t="str">
        <f t="shared" si="14"/>
        <v>Summer</v>
      </c>
      <c r="C458" s="453"/>
      <c r="D458" s="454"/>
      <c r="E458" s="455"/>
      <c r="F458" s="454"/>
      <c r="G458" s="455"/>
      <c r="H458" s="454"/>
      <c r="I458" s="455"/>
      <c r="J458" s="454"/>
      <c r="K458" s="455"/>
      <c r="L458" s="454"/>
      <c r="M458" s="455"/>
      <c r="N458" s="454"/>
      <c r="O458" s="455"/>
      <c r="P458" s="454"/>
      <c r="Q458" s="455"/>
      <c r="R458" s="454"/>
      <c r="S458" s="455"/>
      <c r="T458" s="454"/>
      <c r="U458" s="455"/>
      <c r="V458" s="454"/>
      <c r="W458" s="455"/>
      <c r="X458" s="454"/>
      <c r="Y458" s="455"/>
      <c r="Z458" s="454"/>
      <c r="AA458" s="455"/>
      <c r="AB458" s="454"/>
      <c r="AC458" s="455"/>
      <c r="AD458" s="454"/>
      <c r="AE458" s="455"/>
      <c r="AF458" s="454"/>
      <c r="AG458" s="455"/>
    </row>
    <row r="459" spans="1:33" x14ac:dyDescent="0.2">
      <c r="A459" s="415">
        <f t="shared" si="15"/>
        <v>1330</v>
      </c>
      <c r="B459" s="416" t="str">
        <f t="shared" si="14"/>
        <v>Autumn</v>
      </c>
      <c r="C459" s="453"/>
      <c r="D459" s="454"/>
      <c r="E459" s="455"/>
      <c r="F459" s="454"/>
      <c r="G459" s="455"/>
      <c r="H459" s="454"/>
      <c r="I459" s="455"/>
      <c r="J459" s="454"/>
      <c r="K459" s="455"/>
      <c r="L459" s="454"/>
      <c r="M459" s="455"/>
      <c r="N459" s="454"/>
      <c r="O459" s="455"/>
      <c r="P459" s="454"/>
      <c r="Q459" s="455"/>
      <c r="R459" s="454"/>
      <c r="S459" s="455"/>
      <c r="T459" s="454"/>
      <c r="U459" s="455"/>
      <c r="V459" s="454"/>
      <c r="W459" s="455"/>
      <c r="X459" s="454"/>
      <c r="Y459" s="455"/>
      <c r="Z459" s="454"/>
      <c r="AA459" s="455"/>
      <c r="AB459" s="454"/>
      <c r="AC459" s="455"/>
      <c r="AD459" s="454"/>
      <c r="AE459" s="455"/>
      <c r="AF459" s="454"/>
      <c r="AG459" s="455"/>
    </row>
    <row r="460" spans="1:33" x14ac:dyDescent="0.2">
      <c r="A460" s="415">
        <f t="shared" si="15"/>
        <v>1331</v>
      </c>
      <c r="B460" s="416" t="str">
        <f t="shared" si="14"/>
        <v>Winter</v>
      </c>
      <c r="C460" s="453"/>
      <c r="D460" s="454"/>
      <c r="E460" s="455"/>
      <c r="F460" s="454"/>
      <c r="G460" s="455"/>
      <c r="H460" s="454"/>
      <c r="I460" s="455"/>
      <c r="J460" s="454"/>
      <c r="K460" s="455"/>
      <c r="L460" s="454"/>
      <c r="M460" s="455"/>
      <c r="N460" s="454"/>
      <c r="O460" s="455"/>
      <c r="P460" s="454"/>
      <c r="Q460" s="455"/>
      <c r="R460" s="454"/>
      <c r="S460" s="455"/>
      <c r="T460" s="454"/>
      <c r="U460" s="455"/>
      <c r="V460" s="454"/>
      <c r="W460" s="455"/>
      <c r="X460" s="454"/>
      <c r="Y460" s="455"/>
      <c r="Z460" s="454"/>
      <c r="AA460" s="455"/>
      <c r="AB460" s="454"/>
      <c r="AC460" s="455"/>
      <c r="AD460" s="454"/>
      <c r="AE460" s="455"/>
      <c r="AF460" s="454"/>
      <c r="AG460" s="455"/>
    </row>
    <row r="461" spans="1:33" x14ac:dyDescent="0.2">
      <c r="A461" s="415">
        <f t="shared" si="15"/>
        <v>1331</v>
      </c>
      <c r="B461" s="416" t="str">
        <f t="shared" si="14"/>
        <v>Spring</v>
      </c>
      <c r="C461" s="453"/>
      <c r="D461" s="454"/>
      <c r="E461" s="455"/>
      <c r="F461" s="454"/>
      <c r="G461" s="455"/>
      <c r="H461" s="454"/>
      <c r="I461" s="455"/>
      <c r="J461" s="454"/>
      <c r="K461" s="455"/>
      <c r="L461" s="454"/>
      <c r="M461" s="455"/>
      <c r="N461" s="454"/>
      <c r="O461" s="455"/>
      <c r="P461" s="454"/>
      <c r="Q461" s="455"/>
      <c r="R461" s="454"/>
      <c r="S461" s="455"/>
      <c r="T461" s="454"/>
      <c r="U461" s="455"/>
      <c r="V461" s="454"/>
      <c r="W461" s="455"/>
      <c r="X461" s="454"/>
      <c r="Y461" s="455"/>
      <c r="Z461" s="454"/>
      <c r="AA461" s="455"/>
      <c r="AB461" s="454"/>
      <c r="AC461" s="455"/>
      <c r="AD461" s="454"/>
      <c r="AE461" s="455"/>
      <c r="AF461" s="454"/>
      <c r="AG461" s="455"/>
    </row>
    <row r="462" spans="1:33" x14ac:dyDescent="0.2">
      <c r="A462" s="415">
        <f t="shared" si="15"/>
        <v>1331</v>
      </c>
      <c r="B462" s="416" t="str">
        <f t="shared" si="14"/>
        <v>Summer</v>
      </c>
      <c r="C462" s="453"/>
      <c r="D462" s="454"/>
      <c r="E462" s="455"/>
      <c r="F462" s="454"/>
      <c r="G462" s="455"/>
      <c r="H462" s="454"/>
      <c r="I462" s="455"/>
      <c r="J462" s="454"/>
      <c r="K462" s="455"/>
      <c r="L462" s="454"/>
      <c r="M462" s="455"/>
      <c r="N462" s="454"/>
      <c r="O462" s="455"/>
      <c r="P462" s="454"/>
      <c r="Q462" s="455"/>
      <c r="R462" s="454"/>
      <c r="S462" s="455"/>
      <c r="T462" s="454"/>
      <c r="U462" s="455"/>
      <c r="V462" s="454"/>
      <c r="W462" s="455"/>
      <c r="X462" s="454"/>
      <c r="Y462" s="455"/>
      <c r="Z462" s="454"/>
      <c r="AA462" s="455"/>
      <c r="AB462" s="454"/>
      <c r="AC462" s="455"/>
      <c r="AD462" s="454"/>
      <c r="AE462" s="455"/>
      <c r="AF462" s="454"/>
      <c r="AG462" s="455"/>
    </row>
    <row r="463" spans="1:33" x14ac:dyDescent="0.2">
      <c r="A463" s="415">
        <f t="shared" si="15"/>
        <v>1331</v>
      </c>
      <c r="B463" s="416" t="str">
        <f t="shared" si="14"/>
        <v>Autumn</v>
      </c>
      <c r="C463" s="453"/>
      <c r="D463" s="454"/>
      <c r="E463" s="455"/>
      <c r="F463" s="454"/>
      <c r="G463" s="455"/>
      <c r="H463" s="454"/>
      <c r="I463" s="455"/>
      <c r="J463" s="454"/>
      <c r="K463" s="455"/>
      <c r="L463" s="454"/>
      <c r="M463" s="455"/>
      <c r="N463" s="454"/>
      <c r="O463" s="455"/>
      <c r="P463" s="454"/>
      <c r="Q463" s="455"/>
      <c r="R463" s="454"/>
      <c r="S463" s="455"/>
      <c r="T463" s="454"/>
      <c r="U463" s="455"/>
      <c r="V463" s="454"/>
      <c r="W463" s="455"/>
      <c r="X463" s="454"/>
      <c r="Y463" s="455"/>
      <c r="Z463" s="454"/>
      <c r="AA463" s="455"/>
      <c r="AB463" s="454"/>
      <c r="AC463" s="455"/>
      <c r="AD463" s="454"/>
      <c r="AE463" s="455"/>
      <c r="AF463" s="454"/>
      <c r="AG463" s="455"/>
    </row>
    <row r="464" spans="1:33" x14ac:dyDescent="0.2">
      <c r="A464" s="415">
        <f t="shared" si="15"/>
        <v>1332</v>
      </c>
      <c r="B464" s="416" t="str">
        <f t="shared" si="14"/>
        <v>Winter</v>
      </c>
      <c r="C464" s="453"/>
      <c r="D464" s="454"/>
      <c r="E464" s="455"/>
      <c r="F464" s="454"/>
      <c r="G464" s="455"/>
      <c r="H464" s="454"/>
      <c r="I464" s="455"/>
      <c r="J464" s="454"/>
      <c r="K464" s="455"/>
      <c r="L464" s="454"/>
      <c r="M464" s="455"/>
      <c r="N464" s="454"/>
      <c r="O464" s="455"/>
      <c r="P464" s="454"/>
      <c r="Q464" s="455"/>
      <c r="R464" s="454"/>
      <c r="S464" s="455"/>
      <c r="T464" s="454"/>
      <c r="U464" s="455"/>
      <c r="V464" s="454"/>
      <c r="W464" s="455"/>
      <c r="X464" s="454"/>
      <c r="Y464" s="455"/>
      <c r="Z464" s="454"/>
      <c r="AA464" s="455"/>
      <c r="AB464" s="454"/>
      <c r="AC464" s="455"/>
      <c r="AD464" s="454"/>
      <c r="AE464" s="455"/>
      <c r="AF464" s="454"/>
      <c r="AG464" s="455"/>
    </row>
    <row r="465" spans="1:33" x14ac:dyDescent="0.2">
      <c r="A465" s="415">
        <f t="shared" si="15"/>
        <v>1332</v>
      </c>
      <c r="B465" s="416" t="str">
        <f t="shared" si="14"/>
        <v>Spring</v>
      </c>
      <c r="C465" s="453"/>
      <c r="D465" s="454"/>
      <c r="E465" s="455"/>
      <c r="F465" s="454"/>
      <c r="G465" s="455"/>
      <c r="H465" s="454"/>
      <c r="I465" s="455"/>
      <c r="J465" s="454"/>
      <c r="K465" s="455"/>
      <c r="L465" s="454"/>
      <c r="M465" s="455"/>
      <c r="N465" s="454"/>
      <c r="O465" s="455"/>
      <c r="P465" s="454"/>
      <c r="Q465" s="455"/>
      <c r="R465" s="454"/>
      <c r="S465" s="455"/>
      <c r="T465" s="454"/>
      <c r="U465" s="455"/>
      <c r="V465" s="454"/>
      <c r="W465" s="455"/>
      <c r="X465" s="454"/>
      <c r="Y465" s="455"/>
      <c r="Z465" s="454"/>
      <c r="AA465" s="455"/>
      <c r="AB465" s="454"/>
      <c r="AC465" s="455"/>
      <c r="AD465" s="454"/>
      <c r="AE465" s="455"/>
      <c r="AF465" s="454"/>
      <c r="AG465" s="455"/>
    </row>
    <row r="466" spans="1:33" x14ac:dyDescent="0.2">
      <c r="A466" s="415">
        <f t="shared" si="15"/>
        <v>1332</v>
      </c>
      <c r="B466" s="416" t="str">
        <f t="shared" si="14"/>
        <v>Summer</v>
      </c>
      <c r="C466" s="453"/>
      <c r="D466" s="454"/>
      <c r="E466" s="455"/>
      <c r="F466" s="454"/>
      <c r="G466" s="455"/>
      <c r="H466" s="454"/>
      <c r="I466" s="455"/>
      <c r="J466" s="454"/>
      <c r="K466" s="455"/>
      <c r="L466" s="454"/>
      <c r="M466" s="455"/>
      <c r="N466" s="454"/>
      <c r="O466" s="455"/>
      <c r="P466" s="454"/>
      <c r="Q466" s="455"/>
      <c r="R466" s="454"/>
      <c r="S466" s="455"/>
      <c r="T466" s="454"/>
      <c r="U466" s="455"/>
      <c r="V466" s="454"/>
      <c r="W466" s="455"/>
      <c r="X466" s="454"/>
      <c r="Y466" s="455"/>
      <c r="Z466" s="454"/>
      <c r="AA466" s="455"/>
      <c r="AB466" s="454"/>
      <c r="AC466" s="455"/>
      <c r="AD466" s="454"/>
      <c r="AE466" s="455"/>
      <c r="AF466" s="454"/>
      <c r="AG466" s="455"/>
    </row>
    <row r="467" spans="1:33" x14ac:dyDescent="0.2">
      <c r="A467" s="415">
        <f t="shared" si="15"/>
        <v>1332</v>
      </c>
      <c r="B467" s="416" t="str">
        <f t="shared" si="14"/>
        <v>Autumn</v>
      </c>
      <c r="C467" s="453"/>
      <c r="D467" s="454"/>
      <c r="E467" s="455"/>
      <c r="F467" s="454"/>
      <c r="G467" s="455"/>
      <c r="H467" s="454"/>
      <c r="I467" s="455"/>
      <c r="J467" s="454"/>
      <c r="K467" s="455"/>
      <c r="L467" s="454"/>
      <c r="M467" s="455"/>
      <c r="N467" s="454"/>
      <c r="O467" s="455"/>
      <c r="P467" s="454"/>
      <c r="Q467" s="455"/>
      <c r="R467" s="454"/>
      <c r="S467" s="455"/>
      <c r="T467" s="454"/>
      <c r="U467" s="455"/>
      <c r="V467" s="454"/>
      <c r="W467" s="455"/>
      <c r="X467" s="454"/>
      <c r="Y467" s="455"/>
      <c r="Z467" s="454"/>
      <c r="AA467" s="455"/>
      <c r="AB467" s="454"/>
      <c r="AC467" s="455"/>
      <c r="AD467" s="454"/>
      <c r="AE467" s="455"/>
      <c r="AF467" s="454"/>
      <c r="AG467" s="455"/>
    </row>
    <row r="468" spans="1:33" x14ac:dyDescent="0.2">
      <c r="A468" s="415">
        <f t="shared" si="15"/>
        <v>1333</v>
      </c>
      <c r="B468" s="416" t="str">
        <f t="shared" si="14"/>
        <v>Winter</v>
      </c>
      <c r="C468" s="453"/>
      <c r="D468" s="454"/>
      <c r="E468" s="455"/>
      <c r="F468" s="454"/>
      <c r="G468" s="455"/>
      <c r="H468" s="454"/>
      <c r="I468" s="455"/>
      <c r="J468" s="454"/>
      <c r="K468" s="455"/>
      <c r="L468" s="454"/>
      <c r="M468" s="455"/>
      <c r="N468" s="454"/>
      <c r="O468" s="455"/>
      <c r="P468" s="454"/>
      <c r="Q468" s="455"/>
      <c r="R468" s="454"/>
      <c r="S468" s="455"/>
      <c r="T468" s="454"/>
      <c r="U468" s="455"/>
      <c r="V468" s="454"/>
      <c r="W468" s="455"/>
      <c r="X468" s="454"/>
      <c r="Y468" s="455"/>
      <c r="Z468" s="454"/>
      <c r="AA468" s="455"/>
      <c r="AB468" s="454"/>
      <c r="AC468" s="455"/>
      <c r="AD468" s="454"/>
      <c r="AE468" s="455"/>
      <c r="AF468" s="454"/>
      <c r="AG468" s="455"/>
    </row>
    <row r="469" spans="1:33" x14ac:dyDescent="0.2">
      <c r="A469" s="415">
        <f t="shared" si="15"/>
        <v>1333</v>
      </c>
      <c r="B469" s="416" t="str">
        <f t="shared" si="14"/>
        <v>Spring</v>
      </c>
      <c r="C469" s="453"/>
      <c r="D469" s="454"/>
      <c r="E469" s="455"/>
      <c r="F469" s="454"/>
      <c r="G469" s="455"/>
      <c r="H469" s="454"/>
      <c r="I469" s="455"/>
      <c r="J469" s="454"/>
      <c r="K469" s="455"/>
      <c r="L469" s="454"/>
      <c r="M469" s="455"/>
      <c r="N469" s="454"/>
      <c r="O469" s="455"/>
      <c r="P469" s="454"/>
      <c r="Q469" s="455"/>
      <c r="R469" s="454"/>
      <c r="S469" s="455"/>
      <c r="T469" s="454"/>
      <c r="U469" s="455"/>
      <c r="V469" s="454"/>
      <c r="W469" s="455"/>
      <c r="X469" s="454"/>
      <c r="Y469" s="455"/>
      <c r="Z469" s="454"/>
      <c r="AA469" s="455"/>
      <c r="AB469" s="454"/>
      <c r="AC469" s="455"/>
      <c r="AD469" s="454"/>
      <c r="AE469" s="455"/>
      <c r="AF469" s="454"/>
      <c r="AG469" s="455"/>
    </row>
    <row r="470" spans="1:33" x14ac:dyDescent="0.2">
      <c r="A470" s="415">
        <f t="shared" si="15"/>
        <v>1333</v>
      </c>
      <c r="B470" s="416" t="str">
        <f t="shared" si="14"/>
        <v>Summer</v>
      </c>
      <c r="C470" s="453"/>
      <c r="D470" s="454"/>
      <c r="E470" s="455"/>
      <c r="F470" s="454"/>
      <c r="G470" s="455"/>
      <c r="H470" s="454"/>
      <c r="I470" s="455"/>
      <c r="J470" s="454"/>
      <c r="K470" s="455"/>
      <c r="L470" s="454"/>
      <c r="M470" s="455"/>
      <c r="N470" s="454"/>
      <c r="O470" s="455"/>
      <c r="P470" s="454"/>
      <c r="Q470" s="455"/>
      <c r="R470" s="454"/>
      <c r="S470" s="455"/>
      <c r="T470" s="454"/>
      <c r="U470" s="455"/>
      <c r="V470" s="454"/>
      <c r="W470" s="455"/>
      <c r="X470" s="454"/>
      <c r="Y470" s="455"/>
      <c r="Z470" s="454"/>
      <c r="AA470" s="455"/>
      <c r="AB470" s="454"/>
      <c r="AC470" s="455"/>
      <c r="AD470" s="454"/>
      <c r="AE470" s="455"/>
      <c r="AF470" s="454"/>
      <c r="AG470" s="455"/>
    </row>
    <row r="471" spans="1:33" x14ac:dyDescent="0.2">
      <c r="A471" s="415">
        <f t="shared" si="15"/>
        <v>1333</v>
      </c>
      <c r="B471" s="416" t="str">
        <f t="shared" si="14"/>
        <v>Autumn</v>
      </c>
      <c r="C471" s="453"/>
      <c r="D471" s="454"/>
      <c r="E471" s="455"/>
      <c r="F471" s="454"/>
      <c r="G471" s="455"/>
      <c r="H471" s="454"/>
      <c r="I471" s="455"/>
      <c r="J471" s="454"/>
      <c r="K471" s="455"/>
      <c r="L471" s="454"/>
      <c r="M471" s="455"/>
      <c r="N471" s="454"/>
      <c r="O471" s="455"/>
      <c r="P471" s="454"/>
      <c r="Q471" s="455"/>
      <c r="R471" s="454"/>
      <c r="S471" s="455"/>
      <c r="T471" s="454"/>
      <c r="U471" s="455"/>
      <c r="V471" s="454"/>
      <c r="W471" s="455"/>
      <c r="X471" s="454"/>
      <c r="Y471" s="455"/>
      <c r="Z471" s="454"/>
      <c r="AA471" s="455"/>
      <c r="AB471" s="454"/>
      <c r="AC471" s="455"/>
      <c r="AD471" s="454"/>
      <c r="AE471" s="455"/>
      <c r="AF471" s="454"/>
      <c r="AG471" s="455"/>
    </row>
    <row r="472" spans="1:33" x14ac:dyDescent="0.2">
      <c r="A472" s="415">
        <f t="shared" si="15"/>
        <v>1334</v>
      </c>
      <c r="B472" s="416" t="str">
        <f t="shared" si="14"/>
        <v>Winter</v>
      </c>
      <c r="C472" s="453"/>
      <c r="D472" s="454"/>
      <c r="E472" s="455"/>
      <c r="F472" s="454"/>
      <c r="G472" s="455"/>
      <c r="H472" s="454"/>
      <c r="I472" s="455"/>
      <c r="J472" s="454"/>
      <c r="K472" s="455"/>
      <c r="L472" s="454"/>
      <c r="M472" s="455"/>
      <c r="N472" s="454"/>
      <c r="O472" s="455"/>
      <c r="P472" s="454"/>
      <c r="Q472" s="455"/>
      <c r="R472" s="454"/>
      <c r="S472" s="455"/>
      <c r="T472" s="454"/>
      <c r="U472" s="455"/>
      <c r="V472" s="454"/>
      <c r="W472" s="455"/>
      <c r="X472" s="454"/>
      <c r="Y472" s="455"/>
      <c r="Z472" s="454"/>
      <c r="AA472" s="455"/>
      <c r="AB472" s="454"/>
      <c r="AC472" s="455"/>
      <c r="AD472" s="454"/>
      <c r="AE472" s="455"/>
      <c r="AF472" s="454"/>
      <c r="AG472" s="455"/>
    </row>
    <row r="473" spans="1:33" x14ac:dyDescent="0.2">
      <c r="A473" s="415">
        <f t="shared" si="15"/>
        <v>1334</v>
      </c>
      <c r="B473" s="416" t="str">
        <f t="shared" si="14"/>
        <v>Spring</v>
      </c>
      <c r="C473" s="453"/>
      <c r="D473" s="454"/>
      <c r="E473" s="455"/>
      <c r="F473" s="454"/>
      <c r="G473" s="455"/>
      <c r="H473" s="454"/>
      <c r="I473" s="455"/>
      <c r="J473" s="454"/>
      <c r="K473" s="455"/>
      <c r="L473" s="454"/>
      <c r="M473" s="455"/>
      <c r="N473" s="454"/>
      <c r="O473" s="455"/>
      <c r="P473" s="454"/>
      <c r="Q473" s="455"/>
      <c r="R473" s="454"/>
      <c r="S473" s="455"/>
      <c r="T473" s="454"/>
      <c r="U473" s="455"/>
      <c r="V473" s="454"/>
      <c r="W473" s="455"/>
      <c r="X473" s="454"/>
      <c r="Y473" s="455"/>
      <c r="Z473" s="454"/>
      <c r="AA473" s="455"/>
      <c r="AB473" s="454"/>
      <c r="AC473" s="455"/>
      <c r="AD473" s="454"/>
      <c r="AE473" s="455"/>
      <c r="AF473" s="454"/>
      <c r="AG473" s="455"/>
    </row>
    <row r="474" spans="1:33" x14ac:dyDescent="0.2">
      <c r="A474" s="415">
        <f t="shared" si="15"/>
        <v>1334</v>
      </c>
      <c r="B474" s="416" t="str">
        <f t="shared" si="14"/>
        <v>Summer</v>
      </c>
      <c r="C474" s="453"/>
      <c r="D474" s="454"/>
      <c r="E474" s="455"/>
      <c r="F474" s="454"/>
      <c r="G474" s="455"/>
      <c r="H474" s="454"/>
      <c r="I474" s="455"/>
      <c r="J474" s="454"/>
      <c r="K474" s="455"/>
      <c r="L474" s="454"/>
      <c r="M474" s="455"/>
      <c r="N474" s="454"/>
      <c r="O474" s="455"/>
      <c r="P474" s="454"/>
      <c r="Q474" s="455"/>
      <c r="R474" s="454"/>
      <c r="S474" s="455"/>
      <c r="T474" s="454"/>
      <c r="U474" s="455"/>
      <c r="V474" s="454"/>
      <c r="W474" s="455"/>
      <c r="X474" s="454"/>
      <c r="Y474" s="455"/>
      <c r="Z474" s="454"/>
      <c r="AA474" s="455"/>
      <c r="AB474" s="454"/>
      <c r="AC474" s="455"/>
      <c r="AD474" s="454"/>
      <c r="AE474" s="455"/>
      <c r="AF474" s="454"/>
      <c r="AG474" s="455"/>
    </row>
    <row r="475" spans="1:33" x14ac:dyDescent="0.2">
      <c r="A475" s="415">
        <f t="shared" si="15"/>
        <v>1334</v>
      </c>
      <c r="B475" s="416" t="str">
        <f t="shared" si="14"/>
        <v>Autumn</v>
      </c>
      <c r="C475" s="453"/>
      <c r="D475" s="454"/>
      <c r="E475" s="455"/>
      <c r="F475" s="454"/>
      <c r="G475" s="455"/>
      <c r="H475" s="454"/>
      <c r="I475" s="455"/>
      <c r="J475" s="454"/>
      <c r="K475" s="455"/>
      <c r="L475" s="454"/>
      <c r="M475" s="455"/>
      <c r="N475" s="454"/>
      <c r="O475" s="455"/>
      <c r="P475" s="454"/>
      <c r="Q475" s="455"/>
      <c r="R475" s="454"/>
      <c r="S475" s="455"/>
      <c r="T475" s="454"/>
      <c r="U475" s="455"/>
      <c r="V475" s="454"/>
      <c r="W475" s="455"/>
      <c r="X475" s="454"/>
      <c r="Y475" s="455"/>
      <c r="Z475" s="454"/>
      <c r="AA475" s="455"/>
      <c r="AB475" s="454"/>
      <c r="AC475" s="455"/>
      <c r="AD475" s="454"/>
      <c r="AE475" s="455"/>
      <c r="AF475" s="454"/>
      <c r="AG475" s="455"/>
    </row>
    <row r="476" spans="1:33" x14ac:dyDescent="0.2">
      <c r="A476" s="415">
        <f t="shared" si="15"/>
        <v>1335</v>
      </c>
      <c r="B476" s="416" t="str">
        <f t="shared" si="14"/>
        <v>Winter</v>
      </c>
      <c r="C476" s="453"/>
      <c r="D476" s="454"/>
      <c r="E476" s="455"/>
      <c r="F476" s="454"/>
      <c r="G476" s="455"/>
      <c r="H476" s="454"/>
      <c r="I476" s="455"/>
      <c r="J476" s="454"/>
      <c r="K476" s="455"/>
      <c r="L476" s="454"/>
      <c r="M476" s="455"/>
      <c r="N476" s="454"/>
      <c r="O476" s="455"/>
      <c r="P476" s="454"/>
      <c r="Q476" s="455"/>
      <c r="R476" s="454"/>
      <c r="S476" s="455"/>
      <c r="T476" s="454"/>
      <c r="U476" s="455"/>
      <c r="V476" s="454"/>
      <c r="W476" s="455"/>
      <c r="X476" s="454"/>
      <c r="Y476" s="455"/>
      <c r="Z476" s="454"/>
      <c r="AA476" s="455"/>
      <c r="AB476" s="454"/>
      <c r="AC476" s="455"/>
      <c r="AD476" s="454"/>
      <c r="AE476" s="455"/>
      <c r="AF476" s="454"/>
      <c r="AG476" s="455"/>
    </row>
    <row r="477" spans="1:33" x14ac:dyDescent="0.2">
      <c r="A477" s="415">
        <f t="shared" si="15"/>
        <v>1335</v>
      </c>
      <c r="B477" s="416" t="str">
        <f t="shared" si="14"/>
        <v>Spring</v>
      </c>
      <c r="C477" s="453"/>
      <c r="D477" s="454"/>
      <c r="E477" s="455"/>
      <c r="F477" s="454"/>
      <c r="G477" s="455"/>
      <c r="H477" s="454"/>
      <c r="I477" s="455"/>
      <c r="J477" s="454"/>
      <c r="K477" s="455"/>
      <c r="L477" s="454"/>
      <c r="M477" s="455"/>
      <c r="N477" s="454"/>
      <c r="O477" s="455"/>
      <c r="P477" s="454"/>
      <c r="Q477" s="455"/>
      <c r="R477" s="454"/>
      <c r="S477" s="455"/>
      <c r="T477" s="454"/>
      <c r="U477" s="455"/>
      <c r="V477" s="454"/>
      <c r="W477" s="455"/>
      <c r="X477" s="454"/>
      <c r="Y477" s="455"/>
      <c r="Z477" s="454"/>
      <c r="AA477" s="455"/>
      <c r="AB477" s="454"/>
      <c r="AC477" s="455"/>
      <c r="AD477" s="454"/>
      <c r="AE477" s="455"/>
      <c r="AF477" s="454"/>
      <c r="AG477" s="455"/>
    </row>
    <row r="478" spans="1:33" x14ac:dyDescent="0.2">
      <c r="A478" s="415">
        <f t="shared" si="15"/>
        <v>1335</v>
      </c>
      <c r="B478" s="416" t="str">
        <f t="shared" si="14"/>
        <v>Summer</v>
      </c>
      <c r="C478" s="453"/>
      <c r="D478" s="454"/>
      <c r="E478" s="455"/>
      <c r="F478" s="454"/>
      <c r="G478" s="455"/>
      <c r="H478" s="454"/>
      <c r="I478" s="455"/>
      <c r="J478" s="454"/>
      <c r="K478" s="455"/>
      <c r="L478" s="454"/>
      <c r="M478" s="455"/>
      <c r="N478" s="454"/>
      <c r="O478" s="455"/>
      <c r="P478" s="454"/>
      <c r="Q478" s="455"/>
      <c r="R478" s="454"/>
      <c r="S478" s="455"/>
      <c r="T478" s="454"/>
      <c r="U478" s="455"/>
      <c r="V478" s="454"/>
      <c r="W478" s="455"/>
      <c r="X478" s="454"/>
      <c r="Y478" s="455"/>
      <c r="Z478" s="454"/>
      <c r="AA478" s="455"/>
      <c r="AB478" s="454"/>
      <c r="AC478" s="455"/>
      <c r="AD478" s="454"/>
      <c r="AE478" s="455"/>
      <c r="AF478" s="454"/>
      <c r="AG478" s="455"/>
    </row>
    <row r="479" spans="1:33" x14ac:dyDescent="0.2">
      <c r="A479" s="415">
        <f t="shared" si="15"/>
        <v>1335</v>
      </c>
      <c r="B479" s="416" t="str">
        <f t="shared" si="14"/>
        <v>Autumn</v>
      </c>
      <c r="C479" s="453"/>
      <c r="D479" s="454"/>
      <c r="E479" s="455"/>
      <c r="F479" s="454"/>
      <c r="G479" s="455"/>
      <c r="H479" s="454"/>
      <c r="I479" s="455"/>
      <c r="J479" s="454"/>
      <c r="K479" s="455"/>
      <c r="L479" s="454"/>
      <c r="M479" s="455"/>
      <c r="N479" s="454"/>
      <c r="O479" s="455"/>
      <c r="P479" s="454"/>
      <c r="Q479" s="455"/>
      <c r="R479" s="454"/>
      <c r="S479" s="455"/>
      <c r="T479" s="454"/>
      <c r="U479" s="455"/>
      <c r="V479" s="454"/>
      <c r="W479" s="455"/>
      <c r="X479" s="454"/>
      <c r="Y479" s="455"/>
      <c r="Z479" s="454"/>
      <c r="AA479" s="455"/>
      <c r="AB479" s="454"/>
      <c r="AC479" s="455"/>
      <c r="AD479" s="454"/>
      <c r="AE479" s="455"/>
      <c r="AF479" s="454"/>
      <c r="AG479" s="455"/>
    </row>
    <row r="480" spans="1:33" x14ac:dyDescent="0.2">
      <c r="A480" s="415">
        <f t="shared" si="15"/>
        <v>1336</v>
      </c>
      <c r="B480" s="416" t="str">
        <f t="shared" si="14"/>
        <v>Winter</v>
      </c>
      <c r="C480" s="453"/>
      <c r="D480" s="454"/>
      <c r="E480" s="455"/>
      <c r="F480" s="454"/>
      <c r="G480" s="455"/>
      <c r="H480" s="454"/>
      <c r="I480" s="455"/>
      <c r="J480" s="454"/>
      <c r="K480" s="455"/>
      <c r="L480" s="454"/>
      <c r="M480" s="455"/>
      <c r="N480" s="454"/>
      <c r="O480" s="455"/>
      <c r="P480" s="454"/>
      <c r="Q480" s="455"/>
      <c r="R480" s="454"/>
      <c r="S480" s="455"/>
      <c r="T480" s="454"/>
      <c r="U480" s="455"/>
      <c r="V480" s="454"/>
      <c r="W480" s="455"/>
      <c r="X480" s="454"/>
      <c r="Y480" s="455"/>
      <c r="Z480" s="454"/>
      <c r="AA480" s="455"/>
      <c r="AB480" s="454"/>
      <c r="AC480" s="455"/>
      <c r="AD480" s="454"/>
      <c r="AE480" s="455"/>
      <c r="AF480" s="454"/>
      <c r="AG480" s="455"/>
    </row>
    <row r="481" spans="1:33" x14ac:dyDescent="0.2">
      <c r="A481" s="415">
        <f t="shared" si="15"/>
        <v>1336</v>
      </c>
      <c r="B481" s="416" t="str">
        <f t="shared" si="14"/>
        <v>Spring</v>
      </c>
      <c r="C481" s="453"/>
      <c r="D481" s="454"/>
      <c r="E481" s="455"/>
      <c r="F481" s="454"/>
      <c r="G481" s="455"/>
      <c r="H481" s="454"/>
      <c r="I481" s="455"/>
      <c r="J481" s="454"/>
      <c r="K481" s="455"/>
      <c r="L481" s="454"/>
      <c r="M481" s="455"/>
      <c r="N481" s="454"/>
      <c r="O481" s="455"/>
      <c r="P481" s="454"/>
      <c r="Q481" s="455"/>
      <c r="R481" s="454"/>
      <c r="S481" s="455"/>
      <c r="T481" s="454"/>
      <c r="U481" s="455"/>
      <c r="V481" s="454"/>
      <c r="W481" s="455"/>
      <c r="X481" s="454"/>
      <c r="Y481" s="455"/>
      <c r="Z481" s="454"/>
      <c r="AA481" s="455"/>
      <c r="AB481" s="454"/>
      <c r="AC481" s="455"/>
      <c r="AD481" s="454"/>
      <c r="AE481" s="455"/>
      <c r="AF481" s="454"/>
      <c r="AG481" s="455"/>
    </row>
    <row r="482" spans="1:33" x14ac:dyDescent="0.2">
      <c r="A482" s="415">
        <f t="shared" si="15"/>
        <v>1336</v>
      </c>
      <c r="B482" s="416" t="str">
        <f t="shared" si="14"/>
        <v>Summer</v>
      </c>
      <c r="C482" s="453"/>
      <c r="D482" s="454"/>
      <c r="E482" s="455"/>
      <c r="F482" s="454"/>
      <c r="G482" s="455"/>
      <c r="H482" s="454"/>
      <c r="I482" s="455"/>
      <c r="J482" s="454"/>
      <c r="K482" s="455"/>
      <c r="L482" s="454"/>
      <c r="M482" s="455"/>
      <c r="N482" s="454"/>
      <c r="O482" s="455"/>
      <c r="P482" s="454"/>
      <c r="Q482" s="455"/>
      <c r="R482" s="454"/>
      <c r="S482" s="455"/>
      <c r="T482" s="454"/>
      <c r="U482" s="455"/>
      <c r="V482" s="454"/>
      <c r="W482" s="455"/>
      <c r="X482" s="454"/>
      <c r="Y482" s="455"/>
      <c r="Z482" s="454"/>
      <c r="AA482" s="455"/>
      <c r="AB482" s="454"/>
      <c r="AC482" s="455"/>
      <c r="AD482" s="454"/>
      <c r="AE482" s="455"/>
      <c r="AF482" s="454"/>
      <c r="AG482" s="455"/>
    </row>
    <row r="483" spans="1:33" x14ac:dyDescent="0.2">
      <c r="A483" s="415">
        <f t="shared" si="15"/>
        <v>1336</v>
      </c>
      <c r="B483" s="416" t="str">
        <f t="shared" si="14"/>
        <v>Autumn</v>
      </c>
      <c r="C483" s="453"/>
      <c r="D483" s="454"/>
      <c r="E483" s="455"/>
      <c r="F483" s="454"/>
      <c r="G483" s="455"/>
      <c r="H483" s="454"/>
      <c r="I483" s="455"/>
      <c r="J483" s="454"/>
      <c r="K483" s="455"/>
      <c r="L483" s="454"/>
      <c r="M483" s="455"/>
      <c r="N483" s="454"/>
      <c r="O483" s="455"/>
      <c r="P483" s="454"/>
      <c r="Q483" s="455"/>
      <c r="R483" s="454"/>
      <c r="S483" s="455"/>
      <c r="T483" s="454"/>
      <c r="U483" s="455"/>
      <c r="V483" s="454"/>
      <c r="W483" s="455"/>
      <c r="X483" s="454"/>
      <c r="Y483" s="455"/>
      <c r="Z483" s="454"/>
      <c r="AA483" s="455"/>
      <c r="AB483" s="454"/>
      <c r="AC483" s="455"/>
      <c r="AD483" s="454"/>
      <c r="AE483" s="455"/>
      <c r="AF483" s="454"/>
      <c r="AG483" s="455"/>
    </row>
    <row r="484" spans="1:33" x14ac:dyDescent="0.2">
      <c r="A484" s="415">
        <f t="shared" si="15"/>
        <v>1337</v>
      </c>
      <c r="B484" s="416" t="str">
        <f t="shared" si="14"/>
        <v>Winter</v>
      </c>
      <c r="C484" s="453"/>
      <c r="D484" s="454"/>
      <c r="E484" s="455"/>
      <c r="F484" s="454"/>
      <c r="G484" s="455"/>
      <c r="H484" s="454"/>
      <c r="I484" s="455"/>
      <c r="J484" s="454"/>
      <c r="K484" s="455"/>
      <c r="L484" s="454"/>
      <c r="M484" s="455"/>
      <c r="N484" s="454"/>
      <c r="O484" s="455"/>
      <c r="P484" s="454"/>
      <c r="Q484" s="455"/>
      <c r="R484" s="454"/>
      <c r="S484" s="455"/>
      <c r="T484" s="454"/>
      <c r="U484" s="455"/>
      <c r="V484" s="454"/>
      <c r="W484" s="455"/>
      <c r="X484" s="454"/>
      <c r="Y484" s="455"/>
      <c r="Z484" s="454"/>
      <c r="AA484" s="455"/>
      <c r="AB484" s="454"/>
      <c r="AC484" s="455"/>
      <c r="AD484" s="454"/>
      <c r="AE484" s="455"/>
      <c r="AF484" s="454"/>
      <c r="AG484" s="455"/>
    </row>
    <row r="485" spans="1:33" x14ac:dyDescent="0.2">
      <c r="A485" s="415">
        <f t="shared" si="15"/>
        <v>1337</v>
      </c>
      <c r="B485" s="416" t="str">
        <f t="shared" si="14"/>
        <v>Spring</v>
      </c>
      <c r="C485" s="453"/>
      <c r="D485" s="454"/>
      <c r="E485" s="455"/>
      <c r="F485" s="454"/>
      <c r="G485" s="455"/>
      <c r="H485" s="454"/>
      <c r="I485" s="455"/>
      <c r="J485" s="454"/>
      <c r="K485" s="455"/>
      <c r="L485" s="454"/>
      <c r="M485" s="455"/>
      <c r="N485" s="454"/>
      <c r="O485" s="455"/>
      <c r="P485" s="454"/>
      <c r="Q485" s="455"/>
      <c r="R485" s="454"/>
      <c r="S485" s="455"/>
      <c r="T485" s="454"/>
      <c r="U485" s="455"/>
      <c r="V485" s="454"/>
      <c r="W485" s="455"/>
      <c r="X485" s="454"/>
      <c r="Y485" s="455"/>
      <c r="Z485" s="454"/>
      <c r="AA485" s="455"/>
      <c r="AB485" s="454"/>
      <c r="AC485" s="455"/>
      <c r="AD485" s="454"/>
      <c r="AE485" s="455"/>
      <c r="AF485" s="454"/>
      <c r="AG485" s="455"/>
    </row>
    <row r="486" spans="1:33" x14ac:dyDescent="0.2">
      <c r="A486" s="415">
        <f t="shared" si="15"/>
        <v>1337</v>
      </c>
      <c r="B486" s="416" t="str">
        <f t="shared" si="14"/>
        <v>Summer</v>
      </c>
      <c r="C486" s="453"/>
      <c r="D486" s="454"/>
      <c r="E486" s="455"/>
      <c r="F486" s="454"/>
      <c r="G486" s="455"/>
      <c r="H486" s="454"/>
      <c r="I486" s="455"/>
      <c r="J486" s="454"/>
      <c r="K486" s="455"/>
      <c r="L486" s="454"/>
      <c r="M486" s="455"/>
      <c r="N486" s="454"/>
      <c r="O486" s="455"/>
      <c r="P486" s="454"/>
      <c r="Q486" s="455"/>
      <c r="R486" s="454"/>
      <c r="S486" s="455"/>
      <c r="T486" s="454"/>
      <c r="U486" s="455"/>
      <c r="V486" s="454"/>
      <c r="W486" s="455"/>
      <c r="X486" s="454"/>
      <c r="Y486" s="455"/>
      <c r="Z486" s="454"/>
      <c r="AA486" s="455"/>
      <c r="AB486" s="454"/>
      <c r="AC486" s="455"/>
      <c r="AD486" s="454"/>
      <c r="AE486" s="455"/>
      <c r="AF486" s="454"/>
      <c r="AG486" s="455"/>
    </row>
    <row r="487" spans="1:33" x14ac:dyDescent="0.2">
      <c r="A487" s="415">
        <f t="shared" si="15"/>
        <v>1337</v>
      </c>
      <c r="B487" s="416" t="str">
        <f t="shared" si="14"/>
        <v>Autumn</v>
      </c>
      <c r="C487" s="453"/>
      <c r="D487" s="454"/>
      <c r="E487" s="455"/>
      <c r="F487" s="454"/>
      <c r="G487" s="455"/>
      <c r="H487" s="454"/>
      <c r="I487" s="455"/>
      <c r="J487" s="454"/>
      <c r="K487" s="455"/>
      <c r="L487" s="454"/>
      <c r="M487" s="455"/>
      <c r="N487" s="454"/>
      <c r="O487" s="455"/>
      <c r="P487" s="454"/>
      <c r="Q487" s="455"/>
      <c r="R487" s="454"/>
      <c r="S487" s="455"/>
      <c r="T487" s="454"/>
      <c r="U487" s="455"/>
      <c r="V487" s="454"/>
      <c r="W487" s="455"/>
      <c r="X487" s="454"/>
      <c r="Y487" s="455"/>
      <c r="Z487" s="454"/>
      <c r="AA487" s="455"/>
      <c r="AB487" s="454"/>
      <c r="AC487" s="455"/>
      <c r="AD487" s="454"/>
      <c r="AE487" s="455"/>
      <c r="AF487" s="454"/>
      <c r="AG487" s="455"/>
    </row>
    <row r="488" spans="1:33" x14ac:dyDescent="0.2">
      <c r="A488" s="415">
        <f t="shared" si="15"/>
        <v>1338</v>
      </c>
      <c r="B488" s="416" t="str">
        <f t="shared" si="14"/>
        <v>Winter</v>
      </c>
      <c r="C488" s="453"/>
      <c r="D488" s="454"/>
      <c r="E488" s="455"/>
      <c r="F488" s="454"/>
      <c r="G488" s="455"/>
      <c r="H488" s="454"/>
      <c r="I488" s="455"/>
      <c r="J488" s="454"/>
      <c r="K488" s="455"/>
      <c r="L488" s="454"/>
      <c r="M488" s="455"/>
      <c r="N488" s="454"/>
      <c r="O488" s="455"/>
      <c r="P488" s="454"/>
      <c r="Q488" s="455"/>
      <c r="R488" s="454"/>
      <c r="S488" s="455"/>
      <c r="T488" s="454"/>
      <c r="U488" s="455"/>
      <c r="V488" s="454"/>
      <c r="W488" s="455"/>
      <c r="X488" s="454"/>
      <c r="Y488" s="455"/>
      <c r="Z488" s="454"/>
      <c r="AA488" s="455"/>
      <c r="AB488" s="454"/>
      <c r="AC488" s="455"/>
      <c r="AD488" s="454"/>
      <c r="AE488" s="455"/>
      <c r="AF488" s="454"/>
      <c r="AG488" s="455"/>
    </row>
    <row r="489" spans="1:33" x14ac:dyDescent="0.2">
      <c r="A489" s="415">
        <f t="shared" si="15"/>
        <v>1338</v>
      </c>
      <c r="B489" s="416" t="str">
        <f t="shared" si="14"/>
        <v>Spring</v>
      </c>
      <c r="C489" s="453"/>
      <c r="D489" s="454"/>
      <c r="E489" s="455"/>
      <c r="F489" s="454"/>
      <c r="G489" s="455"/>
      <c r="H489" s="454"/>
      <c r="I489" s="455"/>
      <c r="J489" s="454"/>
      <c r="K489" s="455"/>
      <c r="L489" s="454"/>
      <c r="M489" s="455"/>
      <c r="N489" s="454"/>
      <c r="O489" s="455"/>
      <c r="P489" s="454"/>
      <c r="Q489" s="455"/>
      <c r="R489" s="454"/>
      <c r="S489" s="455"/>
      <c r="T489" s="454"/>
      <c r="U489" s="455"/>
      <c r="V489" s="454"/>
      <c r="W489" s="455"/>
      <c r="X489" s="454"/>
      <c r="Y489" s="455"/>
      <c r="Z489" s="454"/>
      <c r="AA489" s="455"/>
      <c r="AB489" s="454"/>
      <c r="AC489" s="455"/>
      <c r="AD489" s="454"/>
      <c r="AE489" s="455"/>
      <c r="AF489" s="454"/>
      <c r="AG489" s="455"/>
    </row>
    <row r="490" spans="1:33" x14ac:dyDescent="0.2">
      <c r="A490" s="415">
        <f t="shared" si="15"/>
        <v>1338</v>
      </c>
      <c r="B490" s="416" t="str">
        <f t="shared" si="14"/>
        <v>Summer</v>
      </c>
      <c r="C490" s="453"/>
      <c r="D490" s="454"/>
      <c r="E490" s="455"/>
      <c r="F490" s="454"/>
      <c r="G490" s="455"/>
      <c r="H490" s="454"/>
      <c r="I490" s="455"/>
      <c r="J490" s="454"/>
      <c r="K490" s="455"/>
      <c r="L490" s="454"/>
      <c r="M490" s="455"/>
      <c r="N490" s="454"/>
      <c r="O490" s="455"/>
      <c r="P490" s="454"/>
      <c r="Q490" s="455"/>
      <c r="R490" s="454"/>
      <c r="S490" s="455"/>
      <c r="T490" s="454"/>
      <c r="U490" s="455"/>
      <c r="V490" s="454"/>
      <c r="W490" s="455"/>
      <c r="X490" s="454"/>
      <c r="Y490" s="455"/>
      <c r="Z490" s="454"/>
      <c r="AA490" s="455"/>
      <c r="AB490" s="454"/>
      <c r="AC490" s="455"/>
      <c r="AD490" s="454"/>
      <c r="AE490" s="455"/>
      <c r="AF490" s="454"/>
      <c r="AG490" s="455"/>
    </row>
    <row r="491" spans="1:33" x14ac:dyDescent="0.2">
      <c r="A491" s="415">
        <f t="shared" si="15"/>
        <v>1338</v>
      </c>
      <c r="B491" s="416" t="str">
        <f t="shared" ref="B491:B554" si="16">IF(B490="spring","Summer",IF(B490="Summer","Autumn",IF(B490="Autumn","Winter",IF(B490="Winter","Spring"," "))))</f>
        <v>Autumn</v>
      </c>
      <c r="C491" s="453"/>
      <c r="D491" s="454"/>
      <c r="E491" s="455"/>
      <c r="F491" s="454"/>
      <c r="G491" s="455"/>
      <c r="H491" s="454"/>
      <c r="I491" s="455"/>
      <c r="J491" s="454"/>
      <c r="K491" s="455"/>
      <c r="L491" s="454"/>
      <c r="M491" s="455"/>
      <c r="N491" s="454"/>
      <c r="O491" s="455"/>
      <c r="P491" s="454"/>
      <c r="Q491" s="455"/>
      <c r="R491" s="454"/>
      <c r="S491" s="455"/>
      <c r="T491" s="454"/>
      <c r="U491" s="455"/>
      <c r="V491" s="454"/>
      <c r="W491" s="455"/>
      <c r="X491" s="454"/>
      <c r="Y491" s="455"/>
      <c r="Z491" s="454"/>
      <c r="AA491" s="455"/>
      <c r="AB491" s="454"/>
      <c r="AC491" s="455"/>
      <c r="AD491" s="454"/>
      <c r="AE491" s="455"/>
      <c r="AF491" s="454"/>
      <c r="AG491" s="455"/>
    </row>
    <row r="492" spans="1:33" x14ac:dyDescent="0.2">
      <c r="A492" s="415">
        <f t="shared" si="15"/>
        <v>1339</v>
      </c>
      <c r="B492" s="416" t="str">
        <f t="shared" si="16"/>
        <v>Winter</v>
      </c>
      <c r="C492" s="453"/>
      <c r="D492" s="454"/>
      <c r="E492" s="455"/>
      <c r="F492" s="454"/>
      <c r="G492" s="455"/>
      <c r="H492" s="454"/>
      <c r="I492" s="455"/>
      <c r="J492" s="454"/>
      <c r="K492" s="455"/>
      <c r="L492" s="454"/>
      <c r="M492" s="455"/>
      <c r="N492" s="454"/>
      <c r="O492" s="455"/>
      <c r="P492" s="454"/>
      <c r="Q492" s="455"/>
      <c r="R492" s="454"/>
      <c r="S492" s="455"/>
      <c r="T492" s="454"/>
      <c r="U492" s="455"/>
      <c r="V492" s="454"/>
      <c r="W492" s="455"/>
      <c r="X492" s="454"/>
      <c r="Y492" s="455"/>
      <c r="Z492" s="454"/>
      <c r="AA492" s="455"/>
      <c r="AB492" s="454"/>
      <c r="AC492" s="455"/>
      <c r="AD492" s="454"/>
      <c r="AE492" s="455"/>
      <c r="AF492" s="454"/>
      <c r="AG492" s="455"/>
    </row>
    <row r="493" spans="1:33" x14ac:dyDescent="0.2">
      <c r="A493" s="415">
        <f t="shared" si="15"/>
        <v>1339</v>
      </c>
      <c r="B493" s="416" t="str">
        <f t="shared" si="16"/>
        <v>Spring</v>
      </c>
      <c r="C493" s="453"/>
      <c r="D493" s="454"/>
      <c r="E493" s="455"/>
      <c r="F493" s="454"/>
      <c r="G493" s="455"/>
      <c r="H493" s="454"/>
      <c r="I493" s="455"/>
      <c r="J493" s="454"/>
      <c r="K493" s="455"/>
      <c r="L493" s="454"/>
      <c r="M493" s="455"/>
      <c r="N493" s="454"/>
      <c r="O493" s="455"/>
      <c r="P493" s="454"/>
      <c r="Q493" s="455"/>
      <c r="R493" s="454"/>
      <c r="S493" s="455"/>
      <c r="T493" s="454"/>
      <c r="U493" s="455"/>
      <c r="V493" s="454"/>
      <c r="W493" s="455"/>
      <c r="X493" s="454"/>
      <c r="Y493" s="455"/>
      <c r="Z493" s="454"/>
      <c r="AA493" s="455"/>
      <c r="AB493" s="454"/>
      <c r="AC493" s="455"/>
      <c r="AD493" s="454"/>
      <c r="AE493" s="455"/>
      <c r="AF493" s="454"/>
      <c r="AG493" s="455"/>
    </row>
    <row r="494" spans="1:33" x14ac:dyDescent="0.2">
      <c r="A494" s="415">
        <f t="shared" si="15"/>
        <v>1339</v>
      </c>
      <c r="B494" s="416" t="str">
        <f t="shared" si="16"/>
        <v>Summer</v>
      </c>
      <c r="C494" s="453"/>
      <c r="D494" s="454"/>
      <c r="E494" s="455"/>
      <c r="F494" s="454"/>
      <c r="G494" s="455"/>
      <c r="H494" s="454"/>
      <c r="I494" s="455"/>
      <c r="J494" s="454"/>
      <c r="K494" s="455"/>
      <c r="L494" s="454"/>
      <c r="M494" s="455"/>
      <c r="N494" s="454"/>
      <c r="O494" s="455"/>
      <c r="P494" s="454"/>
      <c r="Q494" s="455"/>
      <c r="R494" s="454"/>
      <c r="S494" s="455"/>
      <c r="T494" s="454"/>
      <c r="U494" s="455"/>
      <c r="V494" s="454"/>
      <c r="W494" s="455"/>
      <c r="X494" s="454"/>
      <c r="Y494" s="455"/>
      <c r="Z494" s="454"/>
      <c r="AA494" s="455"/>
      <c r="AB494" s="454"/>
      <c r="AC494" s="455"/>
      <c r="AD494" s="454"/>
      <c r="AE494" s="455"/>
      <c r="AF494" s="454"/>
      <c r="AG494" s="455"/>
    </row>
    <row r="495" spans="1:33" x14ac:dyDescent="0.2">
      <c r="A495" s="415">
        <f t="shared" si="15"/>
        <v>1339</v>
      </c>
      <c r="B495" s="416" t="str">
        <f t="shared" si="16"/>
        <v>Autumn</v>
      </c>
      <c r="C495" s="453"/>
      <c r="D495" s="454"/>
      <c r="E495" s="455"/>
      <c r="F495" s="454"/>
      <c r="G495" s="455"/>
      <c r="H495" s="454"/>
      <c r="I495" s="455"/>
      <c r="J495" s="454"/>
      <c r="K495" s="455"/>
      <c r="L495" s="454"/>
      <c r="M495" s="455"/>
      <c r="N495" s="454"/>
      <c r="O495" s="455"/>
      <c r="P495" s="454"/>
      <c r="Q495" s="455"/>
      <c r="R495" s="454"/>
      <c r="S495" s="455"/>
      <c r="T495" s="454"/>
      <c r="U495" s="455"/>
      <c r="V495" s="454"/>
      <c r="W495" s="455"/>
      <c r="X495" s="454"/>
      <c r="Y495" s="455"/>
      <c r="Z495" s="454"/>
      <c r="AA495" s="455"/>
      <c r="AB495" s="454"/>
      <c r="AC495" s="455"/>
      <c r="AD495" s="454"/>
      <c r="AE495" s="455"/>
      <c r="AF495" s="454"/>
      <c r="AG495" s="455"/>
    </row>
    <row r="496" spans="1:33" x14ac:dyDescent="0.2">
      <c r="A496" s="415">
        <f t="shared" si="15"/>
        <v>1340</v>
      </c>
      <c r="B496" s="416" t="str">
        <f t="shared" si="16"/>
        <v>Winter</v>
      </c>
      <c r="C496" s="453"/>
      <c r="D496" s="454"/>
      <c r="E496" s="455"/>
      <c r="F496" s="454"/>
      <c r="G496" s="455"/>
      <c r="H496" s="454"/>
      <c r="I496" s="455"/>
      <c r="J496" s="454"/>
      <c r="K496" s="455"/>
      <c r="L496" s="454"/>
      <c r="M496" s="455"/>
      <c r="N496" s="454"/>
      <c r="O496" s="455"/>
      <c r="P496" s="454"/>
      <c r="Q496" s="455"/>
      <c r="R496" s="454"/>
      <c r="S496" s="455"/>
      <c r="T496" s="454"/>
      <c r="U496" s="455"/>
      <c r="V496" s="454"/>
      <c r="W496" s="455"/>
      <c r="X496" s="454"/>
      <c r="Y496" s="455"/>
      <c r="Z496" s="454"/>
      <c r="AA496" s="455"/>
      <c r="AB496" s="454"/>
      <c r="AC496" s="455"/>
      <c r="AD496" s="454"/>
      <c r="AE496" s="455"/>
      <c r="AF496" s="454"/>
      <c r="AG496" s="455"/>
    </row>
    <row r="497" spans="1:33" x14ac:dyDescent="0.2">
      <c r="A497" s="415">
        <f t="shared" si="15"/>
        <v>1340</v>
      </c>
      <c r="B497" s="416" t="str">
        <f t="shared" si="16"/>
        <v>Spring</v>
      </c>
      <c r="C497" s="453"/>
      <c r="D497" s="454"/>
      <c r="E497" s="455"/>
      <c r="F497" s="454"/>
      <c r="G497" s="455"/>
      <c r="H497" s="454"/>
      <c r="I497" s="455"/>
      <c r="J497" s="454"/>
      <c r="K497" s="455"/>
      <c r="L497" s="454"/>
      <c r="M497" s="455"/>
      <c r="N497" s="454"/>
      <c r="O497" s="455"/>
      <c r="P497" s="454"/>
      <c r="Q497" s="455"/>
      <c r="R497" s="454"/>
      <c r="S497" s="455"/>
      <c r="T497" s="454"/>
      <c r="U497" s="455"/>
      <c r="V497" s="454"/>
      <c r="W497" s="455"/>
      <c r="X497" s="454"/>
      <c r="Y497" s="455"/>
      <c r="Z497" s="454"/>
      <c r="AA497" s="455"/>
      <c r="AB497" s="454"/>
      <c r="AC497" s="455"/>
      <c r="AD497" s="454"/>
      <c r="AE497" s="455"/>
      <c r="AF497" s="454"/>
      <c r="AG497" s="455"/>
    </row>
    <row r="498" spans="1:33" x14ac:dyDescent="0.2">
      <c r="A498" s="415">
        <f t="shared" si="15"/>
        <v>1340</v>
      </c>
      <c r="B498" s="416" t="str">
        <f t="shared" si="16"/>
        <v>Summer</v>
      </c>
      <c r="C498" s="453"/>
      <c r="D498" s="454"/>
      <c r="E498" s="455"/>
      <c r="F498" s="454"/>
      <c r="G498" s="455"/>
      <c r="H498" s="454"/>
      <c r="I498" s="455"/>
      <c r="J498" s="454"/>
      <c r="K498" s="455"/>
      <c r="L498" s="454"/>
      <c r="M498" s="455"/>
      <c r="N498" s="454"/>
      <c r="O498" s="455"/>
      <c r="P498" s="454"/>
      <c r="Q498" s="455"/>
      <c r="R498" s="454"/>
      <c r="S498" s="455"/>
      <c r="T498" s="454"/>
      <c r="U498" s="455"/>
      <c r="V498" s="454"/>
      <c r="W498" s="455"/>
      <c r="X498" s="454"/>
      <c r="Y498" s="455"/>
      <c r="Z498" s="454"/>
      <c r="AA498" s="455"/>
      <c r="AB498" s="454"/>
      <c r="AC498" s="455"/>
      <c r="AD498" s="454"/>
      <c r="AE498" s="455"/>
      <c r="AF498" s="454"/>
      <c r="AG498" s="455"/>
    </row>
    <row r="499" spans="1:33" x14ac:dyDescent="0.2">
      <c r="A499" s="415">
        <f t="shared" si="15"/>
        <v>1340</v>
      </c>
      <c r="B499" s="416" t="str">
        <f t="shared" si="16"/>
        <v>Autumn</v>
      </c>
      <c r="C499" s="453"/>
      <c r="D499" s="454"/>
      <c r="E499" s="455"/>
      <c r="F499" s="454"/>
      <c r="G499" s="455"/>
      <c r="H499" s="454"/>
      <c r="I499" s="455"/>
      <c r="J499" s="454"/>
      <c r="K499" s="455"/>
      <c r="L499" s="454"/>
      <c r="M499" s="455"/>
      <c r="N499" s="454"/>
      <c r="O499" s="455"/>
      <c r="P499" s="454"/>
      <c r="Q499" s="455"/>
      <c r="R499" s="454"/>
      <c r="S499" s="455"/>
      <c r="T499" s="454"/>
      <c r="U499" s="455"/>
      <c r="V499" s="454"/>
      <c r="W499" s="455"/>
      <c r="X499" s="454"/>
      <c r="Y499" s="455"/>
      <c r="Z499" s="454"/>
      <c r="AA499" s="455"/>
      <c r="AB499" s="454"/>
      <c r="AC499" s="455"/>
      <c r="AD499" s="454"/>
      <c r="AE499" s="455"/>
      <c r="AF499" s="454"/>
      <c r="AG499" s="455"/>
    </row>
    <row r="500" spans="1:33" x14ac:dyDescent="0.2">
      <c r="A500" s="415">
        <f t="shared" si="15"/>
        <v>1341</v>
      </c>
      <c r="B500" s="416" t="str">
        <f t="shared" si="16"/>
        <v>Winter</v>
      </c>
      <c r="C500" s="453"/>
      <c r="D500" s="454"/>
      <c r="E500" s="455"/>
      <c r="F500" s="454"/>
      <c r="G500" s="455"/>
      <c r="H500" s="454"/>
      <c r="I500" s="455"/>
      <c r="J500" s="454"/>
      <c r="K500" s="455"/>
      <c r="L500" s="454"/>
      <c r="M500" s="455"/>
      <c r="N500" s="454"/>
      <c r="O500" s="455"/>
      <c r="P500" s="454"/>
      <c r="Q500" s="455"/>
      <c r="R500" s="454"/>
      <c r="S500" s="455"/>
      <c r="T500" s="454"/>
      <c r="U500" s="455"/>
      <c r="V500" s="454"/>
      <c r="W500" s="455"/>
      <c r="X500" s="454"/>
      <c r="Y500" s="455"/>
      <c r="Z500" s="454"/>
      <c r="AA500" s="455"/>
      <c r="AB500" s="454"/>
      <c r="AC500" s="455"/>
      <c r="AD500" s="454"/>
      <c r="AE500" s="455"/>
      <c r="AF500" s="454"/>
      <c r="AG500" s="455"/>
    </row>
    <row r="501" spans="1:33" x14ac:dyDescent="0.2">
      <c r="A501" s="415">
        <f t="shared" si="15"/>
        <v>1341</v>
      </c>
      <c r="B501" s="416" t="str">
        <f t="shared" si="16"/>
        <v>Spring</v>
      </c>
      <c r="C501" s="453"/>
      <c r="D501" s="454"/>
      <c r="E501" s="455"/>
      <c r="F501" s="454"/>
      <c r="G501" s="455"/>
      <c r="H501" s="454"/>
      <c r="I501" s="455"/>
      <c r="J501" s="454"/>
      <c r="K501" s="455"/>
      <c r="L501" s="454"/>
      <c r="M501" s="455"/>
      <c r="N501" s="454"/>
      <c r="O501" s="455"/>
      <c r="P501" s="454"/>
      <c r="Q501" s="455"/>
      <c r="R501" s="454"/>
      <c r="S501" s="455"/>
      <c r="T501" s="454"/>
      <c r="U501" s="455"/>
      <c r="V501" s="454"/>
      <c r="W501" s="455"/>
      <c r="X501" s="454"/>
      <c r="Y501" s="455"/>
      <c r="Z501" s="454"/>
      <c r="AA501" s="455"/>
      <c r="AB501" s="454"/>
      <c r="AC501" s="455"/>
      <c r="AD501" s="454"/>
      <c r="AE501" s="455"/>
      <c r="AF501" s="454"/>
      <c r="AG501" s="455"/>
    </row>
    <row r="502" spans="1:33" x14ac:dyDescent="0.2">
      <c r="A502" s="415">
        <f t="shared" si="15"/>
        <v>1341</v>
      </c>
      <c r="B502" s="416" t="str">
        <f t="shared" si="16"/>
        <v>Summer</v>
      </c>
      <c r="C502" s="453"/>
      <c r="D502" s="454"/>
      <c r="E502" s="455"/>
      <c r="F502" s="454"/>
      <c r="G502" s="455"/>
      <c r="H502" s="454"/>
      <c r="I502" s="455"/>
      <c r="J502" s="454"/>
      <c r="K502" s="455"/>
      <c r="L502" s="454"/>
      <c r="M502" s="455"/>
      <c r="N502" s="454"/>
      <c r="O502" s="455"/>
      <c r="P502" s="454"/>
      <c r="Q502" s="455"/>
      <c r="R502" s="454"/>
      <c r="S502" s="455"/>
      <c r="T502" s="454"/>
      <c r="U502" s="455"/>
      <c r="V502" s="454"/>
      <c r="W502" s="455"/>
      <c r="X502" s="454"/>
      <c r="Y502" s="455"/>
      <c r="Z502" s="454"/>
      <c r="AA502" s="455"/>
      <c r="AB502" s="454"/>
      <c r="AC502" s="455"/>
      <c r="AD502" s="454"/>
      <c r="AE502" s="455"/>
      <c r="AF502" s="454"/>
      <c r="AG502" s="455"/>
    </row>
    <row r="503" spans="1:33" x14ac:dyDescent="0.2">
      <c r="A503" s="415">
        <f t="shared" si="15"/>
        <v>1341</v>
      </c>
      <c r="B503" s="416" t="str">
        <f t="shared" si="16"/>
        <v>Autumn</v>
      </c>
      <c r="C503" s="453"/>
      <c r="D503" s="454"/>
      <c r="E503" s="455"/>
      <c r="F503" s="454"/>
      <c r="G503" s="455"/>
      <c r="H503" s="454"/>
      <c r="I503" s="455"/>
      <c r="J503" s="454"/>
      <c r="K503" s="455"/>
      <c r="L503" s="454"/>
      <c r="M503" s="455"/>
      <c r="N503" s="454"/>
      <c r="O503" s="455"/>
      <c r="P503" s="454"/>
      <c r="Q503" s="455"/>
      <c r="R503" s="454"/>
      <c r="S503" s="455"/>
      <c r="T503" s="454"/>
      <c r="U503" s="455"/>
      <c r="V503" s="454"/>
      <c r="W503" s="455"/>
      <c r="X503" s="454"/>
      <c r="Y503" s="455"/>
      <c r="Z503" s="454"/>
      <c r="AA503" s="455"/>
      <c r="AB503" s="454"/>
      <c r="AC503" s="455"/>
      <c r="AD503" s="454"/>
      <c r="AE503" s="455"/>
      <c r="AF503" s="454"/>
      <c r="AG503" s="455"/>
    </row>
    <row r="504" spans="1:33" x14ac:dyDescent="0.2">
      <c r="A504" s="415">
        <f t="shared" si="15"/>
        <v>1342</v>
      </c>
      <c r="B504" s="416" t="str">
        <f t="shared" si="16"/>
        <v>Winter</v>
      </c>
      <c r="C504" s="453"/>
      <c r="D504" s="454"/>
      <c r="E504" s="455"/>
      <c r="F504" s="454"/>
      <c r="G504" s="455"/>
      <c r="H504" s="454"/>
      <c r="I504" s="455"/>
      <c r="J504" s="454"/>
      <c r="K504" s="455"/>
      <c r="L504" s="454"/>
      <c r="M504" s="455"/>
      <c r="N504" s="454"/>
      <c r="O504" s="455"/>
      <c r="P504" s="454"/>
      <c r="Q504" s="455"/>
      <c r="R504" s="454"/>
      <c r="S504" s="455"/>
      <c r="T504" s="454"/>
      <c r="U504" s="455"/>
      <c r="V504" s="454"/>
      <c r="W504" s="455"/>
      <c r="X504" s="454"/>
      <c r="Y504" s="455"/>
      <c r="Z504" s="454"/>
      <c r="AA504" s="455"/>
      <c r="AB504" s="454"/>
      <c r="AC504" s="455"/>
      <c r="AD504" s="454"/>
      <c r="AE504" s="455"/>
      <c r="AF504" s="454"/>
      <c r="AG504" s="455"/>
    </row>
    <row r="505" spans="1:33" x14ac:dyDescent="0.2">
      <c r="A505" s="415">
        <f t="shared" si="15"/>
        <v>1342</v>
      </c>
      <c r="B505" s="416" t="str">
        <f t="shared" si="16"/>
        <v>Spring</v>
      </c>
      <c r="C505" s="453"/>
      <c r="D505" s="454"/>
      <c r="E505" s="455"/>
      <c r="F505" s="454"/>
      <c r="G505" s="455"/>
      <c r="H505" s="454"/>
      <c r="I505" s="455"/>
      <c r="J505" s="454"/>
      <c r="K505" s="455"/>
      <c r="L505" s="454"/>
      <c r="M505" s="455"/>
      <c r="N505" s="454"/>
      <c r="O505" s="455"/>
      <c r="P505" s="454"/>
      <c r="Q505" s="455"/>
      <c r="R505" s="454"/>
      <c r="S505" s="455"/>
      <c r="T505" s="454"/>
      <c r="U505" s="455"/>
      <c r="V505" s="454"/>
      <c r="W505" s="455"/>
      <c r="X505" s="454"/>
      <c r="Y505" s="455"/>
      <c r="Z505" s="454"/>
      <c r="AA505" s="455"/>
      <c r="AB505" s="454"/>
      <c r="AC505" s="455"/>
      <c r="AD505" s="454"/>
      <c r="AE505" s="455"/>
      <c r="AF505" s="454"/>
      <c r="AG505" s="455"/>
    </row>
    <row r="506" spans="1:33" x14ac:dyDescent="0.2">
      <c r="A506" s="415">
        <f t="shared" si="15"/>
        <v>1342</v>
      </c>
      <c r="B506" s="416" t="str">
        <f t="shared" si="16"/>
        <v>Summer</v>
      </c>
      <c r="C506" s="453"/>
      <c r="D506" s="454"/>
      <c r="E506" s="455"/>
      <c r="F506" s="454"/>
      <c r="G506" s="455"/>
      <c r="H506" s="454"/>
      <c r="I506" s="455"/>
      <c r="J506" s="454"/>
      <c r="K506" s="455"/>
      <c r="L506" s="454"/>
      <c r="M506" s="455"/>
      <c r="N506" s="454"/>
      <c r="O506" s="455"/>
      <c r="P506" s="454"/>
      <c r="Q506" s="455"/>
      <c r="R506" s="454"/>
      <c r="S506" s="455"/>
      <c r="T506" s="454"/>
      <c r="U506" s="455"/>
      <c r="V506" s="454"/>
      <c r="W506" s="455"/>
      <c r="X506" s="454"/>
      <c r="Y506" s="455"/>
      <c r="Z506" s="454"/>
      <c r="AA506" s="455"/>
      <c r="AB506" s="454"/>
      <c r="AC506" s="455"/>
      <c r="AD506" s="454"/>
      <c r="AE506" s="455"/>
      <c r="AF506" s="454"/>
      <c r="AG506" s="455"/>
    </row>
    <row r="507" spans="1:33" x14ac:dyDescent="0.2">
      <c r="A507" s="415">
        <f t="shared" si="15"/>
        <v>1342</v>
      </c>
      <c r="B507" s="416" t="str">
        <f t="shared" si="16"/>
        <v>Autumn</v>
      </c>
      <c r="C507" s="453"/>
      <c r="D507" s="454"/>
      <c r="E507" s="455"/>
      <c r="F507" s="454"/>
      <c r="G507" s="455"/>
      <c r="H507" s="454"/>
      <c r="I507" s="455"/>
      <c r="J507" s="454"/>
      <c r="K507" s="455"/>
      <c r="L507" s="454"/>
      <c r="M507" s="455"/>
      <c r="N507" s="454"/>
      <c r="O507" s="455"/>
      <c r="P507" s="454"/>
      <c r="Q507" s="455"/>
      <c r="R507" s="454"/>
      <c r="S507" s="455"/>
      <c r="T507" s="454"/>
      <c r="U507" s="455"/>
      <c r="V507" s="454"/>
      <c r="W507" s="455"/>
      <c r="X507" s="454"/>
      <c r="Y507" s="455"/>
      <c r="Z507" s="454"/>
      <c r="AA507" s="455"/>
      <c r="AB507" s="454"/>
      <c r="AC507" s="455"/>
      <c r="AD507" s="454"/>
      <c r="AE507" s="455"/>
      <c r="AF507" s="454"/>
      <c r="AG507" s="455"/>
    </row>
    <row r="508" spans="1:33" x14ac:dyDescent="0.2">
      <c r="A508" s="415">
        <f t="shared" si="15"/>
        <v>1343</v>
      </c>
      <c r="B508" s="416" t="str">
        <f t="shared" si="16"/>
        <v>Winter</v>
      </c>
      <c r="C508" s="453"/>
      <c r="D508" s="454"/>
      <c r="E508" s="455"/>
      <c r="F508" s="454"/>
      <c r="G508" s="455"/>
      <c r="H508" s="454"/>
      <c r="I508" s="455"/>
      <c r="J508" s="454"/>
      <c r="K508" s="455"/>
      <c r="L508" s="454"/>
      <c r="M508" s="455"/>
      <c r="N508" s="454"/>
      <c r="O508" s="455"/>
      <c r="P508" s="454"/>
      <c r="Q508" s="455"/>
      <c r="R508" s="454"/>
      <c r="S508" s="455"/>
      <c r="T508" s="454"/>
      <c r="U508" s="455"/>
      <c r="V508" s="454"/>
      <c r="W508" s="455"/>
      <c r="X508" s="454"/>
      <c r="Y508" s="455"/>
      <c r="Z508" s="454"/>
      <c r="AA508" s="455"/>
      <c r="AB508" s="454"/>
      <c r="AC508" s="455"/>
      <c r="AD508" s="454"/>
      <c r="AE508" s="455"/>
      <c r="AF508" s="454"/>
      <c r="AG508" s="455"/>
    </row>
    <row r="509" spans="1:33" x14ac:dyDescent="0.2">
      <c r="A509" s="415">
        <f t="shared" si="15"/>
        <v>1343</v>
      </c>
      <c r="B509" s="416" t="str">
        <f t="shared" si="16"/>
        <v>Spring</v>
      </c>
      <c r="C509" s="453"/>
      <c r="D509" s="454"/>
      <c r="E509" s="455"/>
      <c r="F509" s="454"/>
      <c r="G509" s="455"/>
      <c r="H509" s="454"/>
      <c r="I509" s="455"/>
      <c r="J509" s="454"/>
      <c r="K509" s="455"/>
      <c r="L509" s="454"/>
      <c r="M509" s="455"/>
      <c r="N509" s="454"/>
      <c r="O509" s="455"/>
      <c r="P509" s="454"/>
      <c r="Q509" s="455"/>
      <c r="R509" s="454"/>
      <c r="S509" s="455"/>
      <c r="T509" s="454"/>
      <c r="U509" s="455"/>
      <c r="V509" s="454"/>
      <c r="W509" s="455"/>
      <c r="X509" s="454"/>
      <c r="Y509" s="455"/>
      <c r="Z509" s="454"/>
      <c r="AA509" s="455"/>
      <c r="AB509" s="454"/>
      <c r="AC509" s="455"/>
      <c r="AD509" s="454"/>
      <c r="AE509" s="455"/>
      <c r="AF509" s="454"/>
      <c r="AG509" s="455"/>
    </row>
    <row r="510" spans="1:33" x14ac:dyDescent="0.2">
      <c r="A510" s="415">
        <f t="shared" si="15"/>
        <v>1343</v>
      </c>
      <c r="B510" s="416" t="str">
        <f t="shared" si="16"/>
        <v>Summer</v>
      </c>
      <c r="C510" s="453"/>
      <c r="D510" s="454"/>
      <c r="E510" s="455"/>
      <c r="F510" s="454"/>
      <c r="G510" s="455"/>
      <c r="H510" s="454"/>
      <c r="I510" s="455"/>
      <c r="J510" s="454"/>
      <c r="K510" s="455"/>
      <c r="L510" s="454"/>
      <c r="M510" s="455"/>
      <c r="N510" s="454"/>
      <c r="O510" s="455"/>
      <c r="P510" s="454"/>
      <c r="Q510" s="455"/>
      <c r="R510" s="454"/>
      <c r="S510" s="455"/>
      <c r="T510" s="454"/>
      <c r="U510" s="455"/>
      <c r="V510" s="454"/>
      <c r="W510" s="455"/>
      <c r="X510" s="454"/>
      <c r="Y510" s="455"/>
      <c r="Z510" s="454"/>
      <c r="AA510" s="455"/>
      <c r="AB510" s="454"/>
      <c r="AC510" s="455"/>
      <c r="AD510" s="454"/>
      <c r="AE510" s="455"/>
      <c r="AF510" s="454"/>
      <c r="AG510" s="455"/>
    </row>
    <row r="511" spans="1:33" x14ac:dyDescent="0.2">
      <c r="A511" s="415">
        <f t="shared" si="15"/>
        <v>1343</v>
      </c>
      <c r="B511" s="416" t="str">
        <f t="shared" si="16"/>
        <v>Autumn</v>
      </c>
      <c r="C511" s="453"/>
      <c r="D511" s="454"/>
      <c r="E511" s="455"/>
      <c r="F511" s="454"/>
      <c r="G511" s="455"/>
      <c r="H511" s="454"/>
      <c r="I511" s="455"/>
      <c r="J511" s="454"/>
      <c r="K511" s="455"/>
      <c r="L511" s="454"/>
      <c r="M511" s="455"/>
      <c r="N511" s="454"/>
      <c r="O511" s="455"/>
      <c r="P511" s="454"/>
      <c r="Q511" s="455"/>
      <c r="R511" s="454"/>
      <c r="S511" s="455"/>
      <c r="T511" s="454"/>
      <c r="U511" s="455"/>
      <c r="V511" s="454"/>
      <c r="W511" s="455"/>
      <c r="X511" s="454"/>
      <c r="Y511" s="455"/>
      <c r="Z511" s="454"/>
      <c r="AA511" s="455"/>
      <c r="AB511" s="454"/>
      <c r="AC511" s="455"/>
      <c r="AD511" s="454"/>
      <c r="AE511" s="455"/>
      <c r="AF511" s="454"/>
      <c r="AG511" s="455"/>
    </row>
    <row r="512" spans="1:33" x14ac:dyDescent="0.2">
      <c r="A512" s="415">
        <f t="shared" si="15"/>
        <v>1344</v>
      </c>
      <c r="B512" s="416" t="str">
        <f t="shared" si="16"/>
        <v>Winter</v>
      </c>
      <c r="C512" s="453"/>
      <c r="D512" s="454"/>
      <c r="E512" s="455"/>
      <c r="F512" s="454"/>
      <c r="G512" s="455"/>
      <c r="H512" s="454"/>
      <c r="I512" s="455"/>
      <c r="J512" s="454"/>
      <c r="K512" s="455"/>
      <c r="L512" s="454"/>
      <c r="M512" s="455"/>
      <c r="N512" s="454"/>
      <c r="O512" s="455"/>
      <c r="P512" s="454"/>
      <c r="Q512" s="455"/>
      <c r="R512" s="454"/>
      <c r="S512" s="455"/>
      <c r="T512" s="454"/>
      <c r="U512" s="455"/>
      <c r="V512" s="454"/>
      <c r="W512" s="455"/>
      <c r="X512" s="454"/>
      <c r="Y512" s="455"/>
      <c r="Z512" s="454"/>
      <c r="AA512" s="455"/>
      <c r="AB512" s="454"/>
      <c r="AC512" s="455"/>
      <c r="AD512" s="454"/>
      <c r="AE512" s="455"/>
      <c r="AF512" s="454"/>
      <c r="AG512" s="455"/>
    </row>
    <row r="513" spans="1:33" x14ac:dyDescent="0.2">
      <c r="A513" s="415">
        <f t="shared" si="15"/>
        <v>1344</v>
      </c>
      <c r="B513" s="416" t="str">
        <f t="shared" si="16"/>
        <v>Spring</v>
      </c>
      <c r="C513" s="453"/>
      <c r="D513" s="454"/>
      <c r="E513" s="455"/>
      <c r="F513" s="454"/>
      <c r="G513" s="455"/>
      <c r="H513" s="454"/>
      <c r="I513" s="455"/>
      <c r="J513" s="454"/>
      <c r="K513" s="455"/>
      <c r="L513" s="454"/>
      <c r="M513" s="455"/>
      <c r="N513" s="454"/>
      <c r="O513" s="455"/>
      <c r="P513" s="454"/>
      <c r="Q513" s="455"/>
      <c r="R513" s="454"/>
      <c r="S513" s="455"/>
      <c r="T513" s="454"/>
      <c r="U513" s="455"/>
      <c r="V513" s="454"/>
      <c r="W513" s="455"/>
      <c r="X513" s="454"/>
      <c r="Y513" s="455"/>
      <c r="Z513" s="454"/>
      <c r="AA513" s="455"/>
      <c r="AB513" s="454"/>
      <c r="AC513" s="455"/>
      <c r="AD513" s="454"/>
      <c r="AE513" s="455"/>
      <c r="AF513" s="454"/>
      <c r="AG513" s="455"/>
    </row>
    <row r="514" spans="1:33" x14ac:dyDescent="0.2">
      <c r="A514" s="415">
        <f t="shared" si="15"/>
        <v>1344</v>
      </c>
      <c r="B514" s="416" t="str">
        <f t="shared" si="16"/>
        <v>Summer</v>
      </c>
      <c r="C514" s="453"/>
      <c r="D514" s="454"/>
      <c r="E514" s="455"/>
      <c r="F514" s="454"/>
      <c r="G514" s="455"/>
      <c r="H514" s="454"/>
      <c r="I514" s="455"/>
      <c r="J514" s="454"/>
      <c r="K514" s="455"/>
      <c r="L514" s="454"/>
      <c r="M514" s="455"/>
      <c r="N514" s="454"/>
      <c r="O514" s="455"/>
      <c r="P514" s="454"/>
      <c r="Q514" s="455"/>
      <c r="R514" s="454"/>
      <c r="S514" s="455"/>
      <c r="T514" s="454"/>
      <c r="U514" s="455"/>
      <c r="V514" s="454"/>
      <c r="W514" s="455"/>
      <c r="X514" s="454"/>
      <c r="Y514" s="455"/>
      <c r="Z514" s="454"/>
      <c r="AA514" s="455"/>
      <c r="AB514" s="454"/>
      <c r="AC514" s="455"/>
      <c r="AD514" s="454"/>
      <c r="AE514" s="455"/>
      <c r="AF514" s="454"/>
      <c r="AG514" s="455"/>
    </row>
    <row r="515" spans="1:33" x14ac:dyDescent="0.2">
      <c r="A515" s="415">
        <f t="shared" si="15"/>
        <v>1344</v>
      </c>
      <c r="B515" s="416" t="str">
        <f t="shared" si="16"/>
        <v>Autumn</v>
      </c>
      <c r="C515" s="453"/>
      <c r="D515" s="454"/>
      <c r="E515" s="455"/>
      <c r="F515" s="454"/>
      <c r="G515" s="455"/>
      <c r="H515" s="454"/>
      <c r="I515" s="455"/>
      <c r="J515" s="454"/>
      <c r="K515" s="455"/>
      <c r="L515" s="454"/>
      <c r="M515" s="455"/>
      <c r="N515" s="454"/>
      <c r="O515" s="455"/>
      <c r="P515" s="454"/>
      <c r="Q515" s="455"/>
      <c r="R515" s="454"/>
      <c r="S515" s="455"/>
      <c r="T515" s="454"/>
      <c r="U515" s="455"/>
      <c r="V515" s="454"/>
      <c r="W515" s="455"/>
      <c r="X515" s="454"/>
      <c r="Y515" s="455"/>
      <c r="Z515" s="454"/>
      <c r="AA515" s="455"/>
      <c r="AB515" s="454"/>
      <c r="AC515" s="455"/>
      <c r="AD515" s="454"/>
      <c r="AE515" s="455"/>
      <c r="AF515" s="454"/>
      <c r="AG515" s="455"/>
    </row>
    <row r="516" spans="1:33" x14ac:dyDescent="0.2">
      <c r="A516" s="415">
        <f t="shared" si="15"/>
        <v>1345</v>
      </c>
      <c r="B516" s="416" t="str">
        <f t="shared" si="16"/>
        <v>Winter</v>
      </c>
      <c r="C516" s="453"/>
      <c r="D516" s="454"/>
      <c r="E516" s="455"/>
      <c r="F516" s="454"/>
      <c r="G516" s="455"/>
      <c r="H516" s="454"/>
      <c r="I516" s="455"/>
      <c r="J516" s="454"/>
      <c r="K516" s="455"/>
      <c r="L516" s="454"/>
      <c r="M516" s="455"/>
      <c r="N516" s="454"/>
      <c r="O516" s="455"/>
      <c r="P516" s="454"/>
      <c r="Q516" s="455"/>
      <c r="R516" s="454"/>
      <c r="S516" s="455"/>
      <c r="T516" s="454"/>
      <c r="U516" s="455"/>
      <c r="V516" s="454"/>
      <c r="W516" s="455"/>
      <c r="X516" s="454"/>
      <c r="Y516" s="455"/>
      <c r="Z516" s="454"/>
      <c r="AA516" s="455"/>
      <c r="AB516" s="454"/>
      <c r="AC516" s="455"/>
      <c r="AD516" s="454"/>
      <c r="AE516" s="455"/>
      <c r="AF516" s="454"/>
      <c r="AG516" s="455"/>
    </row>
    <row r="517" spans="1:33" x14ac:dyDescent="0.2">
      <c r="A517" s="415">
        <f t="shared" ref="A517:A580" si="17">IF(B516="Autumn",A516+1,A516)</f>
        <v>1345</v>
      </c>
      <c r="B517" s="416" t="str">
        <f t="shared" si="16"/>
        <v>Spring</v>
      </c>
      <c r="C517" s="453"/>
      <c r="D517" s="454"/>
      <c r="E517" s="455"/>
      <c r="F517" s="454"/>
      <c r="G517" s="455"/>
      <c r="H517" s="454"/>
      <c r="I517" s="455"/>
      <c r="J517" s="454"/>
      <c r="K517" s="455"/>
      <c r="L517" s="454"/>
      <c r="M517" s="455"/>
      <c r="N517" s="454"/>
      <c r="O517" s="455"/>
      <c r="P517" s="454"/>
      <c r="Q517" s="455"/>
      <c r="R517" s="454"/>
      <c r="S517" s="455"/>
      <c r="T517" s="454"/>
      <c r="U517" s="455"/>
      <c r="V517" s="454"/>
      <c r="W517" s="455"/>
      <c r="X517" s="454"/>
      <c r="Y517" s="455"/>
      <c r="Z517" s="454"/>
      <c r="AA517" s="455"/>
      <c r="AB517" s="454"/>
      <c r="AC517" s="455"/>
      <c r="AD517" s="454"/>
      <c r="AE517" s="455"/>
      <c r="AF517" s="454"/>
      <c r="AG517" s="455"/>
    </row>
    <row r="518" spans="1:33" x14ac:dyDescent="0.2">
      <c r="A518" s="415">
        <f t="shared" si="17"/>
        <v>1345</v>
      </c>
      <c r="B518" s="416" t="str">
        <f t="shared" si="16"/>
        <v>Summer</v>
      </c>
      <c r="C518" s="453"/>
      <c r="D518" s="454"/>
      <c r="E518" s="455"/>
      <c r="F518" s="454"/>
      <c r="G518" s="455"/>
      <c r="H518" s="454"/>
      <c r="I518" s="455"/>
      <c r="J518" s="454"/>
      <c r="K518" s="455"/>
      <c r="L518" s="454"/>
      <c r="M518" s="455"/>
      <c r="N518" s="454"/>
      <c r="O518" s="455"/>
      <c r="P518" s="454"/>
      <c r="Q518" s="455"/>
      <c r="R518" s="454"/>
      <c r="S518" s="455"/>
      <c r="T518" s="454"/>
      <c r="U518" s="455"/>
      <c r="V518" s="454"/>
      <c r="W518" s="455"/>
      <c r="X518" s="454"/>
      <c r="Y518" s="455"/>
      <c r="Z518" s="454"/>
      <c r="AA518" s="455"/>
      <c r="AB518" s="454"/>
      <c r="AC518" s="455"/>
      <c r="AD518" s="454"/>
      <c r="AE518" s="455"/>
      <c r="AF518" s="454"/>
      <c r="AG518" s="455"/>
    </row>
    <row r="519" spans="1:33" x14ac:dyDescent="0.2">
      <c r="A519" s="415">
        <f t="shared" si="17"/>
        <v>1345</v>
      </c>
      <c r="B519" s="416" t="str">
        <f t="shared" si="16"/>
        <v>Autumn</v>
      </c>
      <c r="C519" s="453"/>
      <c r="D519" s="454"/>
      <c r="E519" s="455"/>
      <c r="F519" s="454"/>
      <c r="G519" s="455"/>
      <c r="H519" s="454"/>
      <c r="I519" s="455"/>
      <c r="J519" s="454"/>
      <c r="K519" s="455"/>
      <c r="L519" s="454"/>
      <c r="M519" s="455"/>
      <c r="N519" s="454"/>
      <c r="O519" s="455"/>
      <c r="P519" s="454"/>
      <c r="Q519" s="455"/>
      <c r="R519" s="454"/>
      <c r="S519" s="455"/>
      <c r="T519" s="454"/>
      <c r="U519" s="455"/>
      <c r="V519" s="454"/>
      <c r="W519" s="455"/>
      <c r="X519" s="454"/>
      <c r="Y519" s="455"/>
      <c r="Z519" s="454"/>
      <c r="AA519" s="455"/>
      <c r="AB519" s="454"/>
      <c r="AC519" s="455"/>
      <c r="AD519" s="454"/>
      <c r="AE519" s="455"/>
      <c r="AF519" s="454"/>
      <c r="AG519" s="455"/>
    </row>
    <row r="520" spans="1:33" x14ac:dyDescent="0.2">
      <c r="A520" s="415">
        <f t="shared" si="17"/>
        <v>1346</v>
      </c>
      <c r="B520" s="416" t="str">
        <f t="shared" si="16"/>
        <v>Winter</v>
      </c>
      <c r="C520" s="453"/>
      <c r="D520" s="454"/>
      <c r="E520" s="455"/>
      <c r="F520" s="454"/>
      <c r="G520" s="455"/>
      <c r="H520" s="454"/>
      <c r="I520" s="455"/>
      <c r="J520" s="454"/>
      <c r="K520" s="455"/>
      <c r="L520" s="454"/>
      <c r="M520" s="455"/>
      <c r="N520" s="454"/>
      <c r="O520" s="455"/>
      <c r="P520" s="454"/>
      <c r="Q520" s="455"/>
      <c r="R520" s="454"/>
      <c r="S520" s="455"/>
      <c r="T520" s="454"/>
      <c r="U520" s="455"/>
      <c r="V520" s="454"/>
      <c r="W520" s="455"/>
      <c r="X520" s="454"/>
      <c r="Y520" s="455"/>
      <c r="Z520" s="454"/>
      <c r="AA520" s="455"/>
      <c r="AB520" s="454"/>
      <c r="AC520" s="455"/>
      <c r="AD520" s="454"/>
      <c r="AE520" s="455"/>
      <c r="AF520" s="454"/>
      <c r="AG520" s="455"/>
    </row>
    <row r="521" spans="1:33" x14ac:dyDescent="0.2">
      <c r="A521" s="415">
        <f t="shared" si="17"/>
        <v>1346</v>
      </c>
      <c r="B521" s="416" t="str">
        <f t="shared" si="16"/>
        <v>Spring</v>
      </c>
      <c r="C521" s="453"/>
      <c r="D521" s="454"/>
      <c r="E521" s="455"/>
      <c r="F521" s="454"/>
      <c r="G521" s="455"/>
      <c r="H521" s="454"/>
      <c r="I521" s="455"/>
      <c r="J521" s="454"/>
      <c r="K521" s="455"/>
      <c r="L521" s="454"/>
      <c r="M521" s="455"/>
      <c r="N521" s="454"/>
      <c r="O521" s="455"/>
      <c r="P521" s="454"/>
      <c r="Q521" s="455"/>
      <c r="R521" s="454"/>
      <c r="S521" s="455"/>
      <c r="T521" s="454"/>
      <c r="U521" s="455"/>
      <c r="V521" s="454"/>
      <c r="W521" s="455"/>
      <c r="X521" s="454"/>
      <c r="Y521" s="455"/>
      <c r="Z521" s="454"/>
      <c r="AA521" s="455"/>
      <c r="AB521" s="454"/>
      <c r="AC521" s="455"/>
      <c r="AD521" s="454"/>
      <c r="AE521" s="455"/>
      <c r="AF521" s="454"/>
      <c r="AG521" s="455"/>
    </row>
    <row r="522" spans="1:33" x14ac:dyDescent="0.2">
      <c r="A522" s="415">
        <f t="shared" si="17"/>
        <v>1346</v>
      </c>
      <c r="B522" s="416" t="str">
        <f t="shared" si="16"/>
        <v>Summer</v>
      </c>
      <c r="C522" s="453"/>
      <c r="D522" s="454"/>
      <c r="E522" s="455"/>
      <c r="F522" s="454"/>
      <c r="G522" s="455"/>
      <c r="H522" s="454"/>
      <c r="I522" s="455"/>
      <c r="J522" s="454"/>
      <c r="K522" s="455"/>
      <c r="L522" s="454"/>
      <c r="M522" s="455"/>
      <c r="N522" s="454"/>
      <c r="O522" s="455"/>
      <c r="P522" s="454"/>
      <c r="Q522" s="455"/>
      <c r="R522" s="454"/>
      <c r="S522" s="455"/>
      <c r="T522" s="454"/>
      <c r="U522" s="455"/>
      <c r="V522" s="454"/>
      <c r="W522" s="455"/>
      <c r="X522" s="454"/>
      <c r="Y522" s="455"/>
      <c r="Z522" s="454"/>
      <c r="AA522" s="455"/>
      <c r="AB522" s="454"/>
      <c r="AC522" s="455"/>
      <c r="AD522" s="454"/>
      <c r="AE522" s="455"/>
      <c r="AF522" s="454"/>
      <c r="AG522" s="455"/>
    </row>
    <row r="523" spans="1:33" x14ac:dyDescent="0.2">
      <c r="A523" s="415">
        <f t="shared" si="17"/>
        <v>1346</v>
      </c>
      <c r="B523" s="416" t="str">
        <f t="shared" si="16"/>
        <v>Autumn</v>
      </c>
      <c r="C523" s="453"/>
      <c r="D523" s="454"/>
      <c r="E523" s="455"/>
      <c r="F523" s="454"/>
      <c r="G523" s="455"/>
      <c r="H523" s="454"/>
      <c r="I523" s="455"/>
      <c r="J523" s="454"/>
      <c r="K523" s="455"/>
      <c r="L523" s="454"/>
      <c r="M523" s="455"/>
      <c r="N523" s="454"/>
      <c r="O523" s="455"/>
      <c r="P523" s="454"/>
      <c r="Q523" s="455"/>
      <c r="R523" s="454"/>
      <c r="S523" s="455"/>
      <c r="T523" s="454"/>
      <c r="U523" s="455"/>
      <c r="V523" s="454"/>
      <c r="W523" s="455"/>
      <c r="X523" s="454"/>
      <c r="Y523" s="455"/>
      <c r="Z523" s="454"/>
      <c r="AA523" s="455"/>
      <c r="AB523" s="454"/>
      <c r="AC523" s="455"/>
      <c r="AD523" s="454"/>
      <c r="AE523" s="455"/>
      <c r="AF523" s="454"/>
      <c r="AG523" s="455"/>
    </row>
    <row r="524" spans="1:33" x14ac:dyDescent="0.2">
      <c r="A524" s="415">
        <f t="shared" si="17"/>
        <v>1347</v>
      </c>
      <c r="B524" s="416" t="str">
        <f t="shared" si="16"/>
        <v>Winter</v>
      </c>
      <c r="C524" s="453"/>
      <c r="D524" s="454"/>
      <c r="E524" s="455"/>
      <c r="F524" s="454"/>
      <c r="G524" s="455"/>
      <c r="H524" s="454"/>
      <c r="I524" s="455"/>
      <c r="J524" s="454"/>
      <c r="K524" s="455"/>
      <c r="L524" s="454"/>
      <c r="M524" s="455"/>
      <c r="N524" s="454"/>
      <c r="O524" s="455"/>
      <c r="P524" s="454"/>
      <c r="Q524" s="455"/>
      <c r="R524" s="454"/>
      <c r="S524" s="455"/>
      <c r="T524" s="454"/>
      <c r="U524" s="455"/>
      <c r="V524" s="454"/>
      <c r="W524" s="455"/>
      <c r="X524" s="454"/>
      <c r="Y524" s="455"/>
      <c r="Z524" s="454"/>
      <c r="AA524" s="455"/>
      <c r="AB524" s="454"/>
      <c r="AC524" s="455"/>
      <c r="AD524" s="454"/>
      <c r="AE524" s="455"/>
      <c r="AF524" s="454"/>
      <c r="AG524" s="455"/>
    </row>
    <row r="525" spans="1:33" x14ac:dyDescent="0.2">
      <c r="A525" s="415">
        <f t="shared" si="17"/>
        <v>1347</v>
      </c>
      <c r="B525" s="416" t="str">
        <f t="shared" si="16"/>
        <v>Spring</v>
      </c>
      <c r="C525" s="453"/>
      <c r="D525" s="454"/>
      <c r="E525" s="455"/>
      <c r="F525" s="454"/>
      <c r="G525" s="455"/>
      <c r="H525" s="454"/>
      <c r="I525" s="455"/>
      <c r="J525" s="454"/>
      <c r="K525" s="455"/>
      <c r="L525" s="454"/>
      <c r="M525" s="455"/>
      <c r="N525" s="454"/>
      <c r="O525" s="455"/>
      <c r="P525" s="454"/>
      <c r="Q525" s="455"/>
      <c r="R525" s="454"/>
      <c r="S525" s="455"/>
      <c r="T525" s="454"/>
      <c r="U525" s="455"/>
      <c r="V525" s="454"/>
      <c r="W525" s="455"/>
      <c r="X525" s="454"/>
      <c r="Y525" s="455"/>
      <c r="Z525" s="454"/>
      <c r="AA525" s="455"/>
      <c r="AB525" s="454"/>
      <c r="AC525" s="455"/>
      <c r="AD525" s="454"/>
      <c r="AE525" s="455"/>
      <c r="AF525" s="454"/>
      <c r="AG525" s="455"/>
    </row>
    <row r="526" spans="1:33" x14ac:dyDescent="0.2">
      <c r="A526" s="415">
        <f t="shared" si="17"/>
        <v>1347</v>
      </c>
      <c r="B526" s="416" t="str">
        <f t="shared" si="16"/>
        <v>Summer</v>
      </c>
      <c r="C526" s="453"/>
      <c r="D526" s="454"/>
      <c r="E526" s="455"/>
      <c r="F526" s="454"/>
      <c r="G526" s="455"/>
      <c r="H526" s="454"/>
      <c r="I526" s="455"/>
      <c r="J526" s="454"/>
      <c r="K526" s="455"/>
      <c r="L526" s="454"/>
      <c r="M526" s="455"/>
      <c r="N526" s="454"/>
      <c r="O526" s="455"/>
      <c r="P526" s="454"/>
      <c r="Q526" s="455"/>
      <c r="R526" s="454"/>
      <c r="S526" s="455"/>
      <c r="T526" s="454"/>
      <c r="U526" s="455"/>
      <c r="V526" s="454"/>
      <c r="W526" s="455"/>
      <c r="X526" s="454"/>
      <c r="Y526" s="455"/>
      <c r="Z526" s="454"/>
      <c r="AA526" s="455"/>
      <c r="AB526" s="454"/>
      <c r="AC526" s="455"/>
      <c r="AD526" s="454"/>
      <c r="AE526" s="455"/>
      <c r="AF526" s="454"/>
      <c r="AG526" s="455"/>
    </row>
    <row r="527" spans="1:33" x14ac:dyDescent="0.2">
      <c r="A527" s="415">
        <f t="shared" si="17"/>
        <v>1347</v>
      </c>
      <c r="B527" s="416" t="str">
        <f t="shared" si="16"/>
        <v>Autumn</v>
      </c>
      <c r="C527" s="453"/>
      <c r="D527" s="454"/>
      <c r="E527" s="455"/>
      <c r="F527" s="454"/>
      <c r="G527" s="455"/>
      <c r="H527" s="454"/>
      <c r="I527" s="455"/>
      <c r="J527" s="454"/>
      <c r="K527" s="455"/>
      <c r="L527" s="454"/>
      <c r="M527" s="455"/>
      <c r="N527" s="454"/>
      <c r="O527" s="455"/>
      <c r="P527" s="454"/>
      <c r="Q527" s="455"/>
      <c r="R527" s="454"/>
      <c r="S527" s="455"/>
      <c r="T527" s="454"/>
      <c r="U527" s="455"/>
      <c r="V527" s="454"/>
      <c r="W527" s="455"/>
      <c r="X527" s="454"/>
      <c r="Y527" s="455"/>
      <c r="Z527" s="454"/>
      <c r="AA527" s="455"/>
      <c r="AB527" s="454"/>
      <c r="AC527" s="455"/>
      <c r="AD527" s="454"/>
      <c r="AE527" s="455"/>
      <c r="AF527" s="454"/>
      <c r="AG527" s="455"/>
    </row>
    <row r="528" spans="1:33" x14ac:dyDescent="0.2">
      <c r="A528" s="415">
        <f t="shared" si="17"/>
        <v>1348</v>
      </c>
      <c r="B528" s="416" t="str">
        <f t="shared" si="16"/>
        <v>Winter</v>
      </c>
      <c r="C528" s="453"/>
      <c r="D528" s="454"/>
      <c r="E528" s="455"/>
      <c r="F528" s="454"/>
      <c r="G528" s="455"/>
      <c r="H528" s="454"/>
      <c r="I528" s="455"/>
      <c r="J528" s="454"/>
      <c r="K528" s="455"/>
      <c r="L528" s="454"/>
      <c r="M528" s="455"/>
      <c r="N528" s="454"/>
      <c r="O528" s="455"/>
      <c r="P528" s="454"/>
      <c r="Q528" s="455"/>
      <c r="R528" s="454"/>
      <c r="S528" s="455"/>
      <c r="T528" s="454"/>
      <c r="U528" s="455"/>
      <c r="V528" s="454"/>
      <c r="W528" s="455"/>
      <c r="X528" s="454"/>
      <c r="Y528" s="455"/>
      <c r="Z528" s="454"/>
      <c r="AA528" s="455"/>
      <c r="AB528" s="454"/>
      <c r="AC528" s="455"/>
      <c r="AD528" s="454"/>
      <c r="AE528" s="455"/>
      <c r="AF528" s="454"/>
      <c r="AG528" s="455"/>
    </row>
    <row r="529" spans="1:33" x14ac:dyDescent="0.2">
      <c r="A529" s="415">
        <f t="shared" si="17"/>
        <v>1348</v>
      </c>
      <c r="B529" s="416" t="str">
        <f t="shared" si="16"/>
        <v>Spring</v>
      </c>
      <c r="C529" s="453"/>
      <c r="D529" s="454"/>
      <c r="E529" s="455"/>
      <c r="F529" s="454"/>
      <c r="G529" s="455"/>
      <c r="H529" s="454"/>
      <c r="I529" s="455"/>
      <c r="J529" s="454"/>
      <c r="K529" s="455"/>
      <c r="L529" s="454"/>
      <c r="M529" s="455"/>
      <c r="N529" s="454"/>
      <c r="O529" s="455"/>
      <c r="P529" s="454"/>
      <c r="Q529" s="455"/>
      <c r="R529" s="454"/>
      <c r="S529" s="455"/>
      <c r="T529" s="454"/>
      <c r="U529" s="455"/>
      <c r="V529" s="454"/>
      <c r="W529" s="455"/>
      <c r="X529" s="454"/>
      <c r="Y529" s="455"/>
      <c r="Z529" s="454"/>
      <c r="AA529" s="455"/>
      <c r="AB529" s="454"/>
      <c r="AC529" s="455"/>
      <c r="AD529" s="454"/>
      <c r="AE529" s="455"/>
      <c r="AF529" s="454"/>
      <c r="AG529" s="455"/>
    </row>
    <row r="530" spans="1:33" x14ac:dyDescent="0.2">
      <c r="A530" s="415">
        <f t="shared" si="17"/>
        <v>1348</v>
      </c>
      <c r="B530" s="416" t="str">
        <f t="shared" si="16"/>
        <v>Summer</v>
      </c>
      <c r="C530" s="453"/>
      <c r="D530" s="454"/>
      <c r="E530" s="455"/>
      <c r="F530" s="454"/>
      <c r="G530" s="455"/>
      <c r="H530" s="454"/>
      <c r="I530" s="455"/>
      <c r="J530" s="454"/>
      <c r="K530" s="455"/>
      <c r="L530" s="454"/>
      <c r="M530" s="455"/>
      <c r="N530" s="454"/>
      <c r="O530" s="455"/>
      <c r="P530" s="454"/>
      <c r="Q530" s="455"/>
      <c r="R530" s="454"/>
      <c r="S530" s="455"/>
      <c r="T530" s="454"/>
      <c r="U530" s="455"/>
      <c r="V530" s="454"/>
      <c r="W530" s="455"/>
      <c r="X530" s="454"/>
      <c r="Y530" s="455"/>
      <c r="Z530" s="454"/>
      <c r="AA530" s="455"/>
      <c r="AB530" s="454"/>
      <c r="AC530" s="455"/>
      <c r="AD530" s="454"/>
      <c r="AE530" s="455"/>
      <c r="AF530" s="454"/>
      <c r="AG530" s="455"/>
    </row>
    <row r="531" spans="1:33" x14ac:dyDescent="0.2">
      <c r="A531" s="415">
        <f t="shared" si="17"/>
        <v>1348</v>
      </c>
      <c r="B531" s="416" t="str">
        <f t="shared" si="16"/>
        <v>Autumn</v>
      </c>
      <c r="C531" s="453"/>
      <c r="D531" s="454"/>
      <c r="E531" s="455"/>
      <c r="F531" s="454"/>
      <c r="G531" s="455"/>
      <c r="H531" s="454"/>
      <c r="I531" s="455"/>
      <c r="J531" s="454"/>
      <c r="K531" s="455"/>
      <c r="L531" s="454"/>
      <c r="M531" s="455"/>
      <c r="N531" s="454"/>
      <c r="O531" s="455"/>
      <c r="P531" s="454"/>
      <c r="Q531" s="455"/>
      <c r="R531" s="454"/>
      <c r="S531" s="455"/>
      <c r="T531" s="454"/>
      <c r="U531" s="455"/>
      <c r="V531" s="454"/>
      <c r="W531" s="455"/>
      <c r="X531" s="454"/>
      <c r="Y531" s="455"/>
      <c r="Z531" s="454"/>
      <c r="AA531" s="455"/>
      <c r="AB531" s="454"/>
      <c r="AC531" s="455"/>
      <c r="AD531" s="454"/>
      <c r="AE531" s="455"/>
      <c r="AF531" s="454"/>
      <c r="AG531" s="455"/>
    </row>
    <row r="532" spans="1:33" x14ac:dyDescent="0.2">
      <c r="A532" s="415">
        <f t="shared" si="17"/>
        <v>1349</v>
      </c>
      <c r="B532" s="416" t="str">
        <f t="shared" si="16"/>
        <v>Winter</v>
      </c>
      <c r="C532" s="453"/>
      <c r="D532" s="454"/>
      <c r="E532" s="455"/>
      <c r="F532" s="454"/>
      <c r="G532" s="455"/>
      <c r="H532" s="454"/>
      <c r="I532" s="455"/>
      <c r="J532" s="454"/>
      <c r="K532" s="455"/>
      <c r="L532" s="454"/>
      <c r="M532" s="455"/>
      <c r="N532" s="454"/>
      <c r="O532" s="455"/>
      <c r="P532" s="454"/>
      <c r="Q532" s="455"/>
      <c r="R532" s="454"/>
      <c r="S532" s="455"/>
      <c r="T532" s="454"/>
      <c r="U532" s="455"/>
      <c r="V532" s="454"/>
      <c r="W532" s="455"/>
      <c r="X532" s="454"/>
      <c r="Y532" s="455"/>
      <c r="Z532" s="454"/>
      <c r="AA532" s="455"/>
      <c r="AB532" s="454"/>
      <c r="AC532" s="455"/>
      <c r="AD532" s="454"/>
      <c r="AE532" s="455"/>
      <c r="AF532" s="454"/>
      <c r="AG532" s="455"/>
    </row>
    <row r="533" spans="1:33" x14ac:dyDescent="0.2">
      <c r="A533" s="415">
        <f t="shared" si="17"/>
        <v>1349</v>
      </c>
      <c r="B533" s="416" t="str">
        <f t="shared" si="16"/>
        <v>Spring</v>
      </c>
      <c r="C533" s="453"/>
      <c r="D533" s="454"/>
      <c r="E533" s="455"/>
      <c r="F533" s="454"/>
      <c r="G533" s="455"/>
      <c r="H533" s="454"/>
      <c r="I533" s="455"/>
      <c r="J533" s="454"/>
      <c r="K533" s="455"/>
      <c r="L533" s="454"/>
      <c r="M533" s="455"/>
      <c r="N533" s="454"/>
      <c r="O533" s="455"/>
      <c r="P533" s="454"/>
      <c r="Q533" s="455"/>
      <c r="R533" s="454"/>
      <c r="S533" s="455"/>
      <c r="T533" s="454"/>
      <c r="U533" s="455"/>
      <c r="V533" s="454"/>
      <c r="W533" s="455"/>
      <c r="X533" s="454"/>
      <c r="Y533" s="455"/>
      <c r="Z533" s="454"/>
      <c r="AA533" s="455"/>
      <c r="AB533" s="454"/>
      <c r="AC533" s="455"/>
      <c r="AD533" s="454"/>
      <c r="AE533" s="455"/>
      <c r="AF533" s="454"/>
      <c r="AG533" s="455"/>
    </row>
    <row r="534" spans="1:33" x14ac:dyDescent="0.2">
      <c r="A534" s="415">
        <f t="shared" si="17"/>
        <v>1349</v>
      </c>
      <c r="B534" s="416" t="str">
        <f t="shared" si="16"/>
        <v>Summer</v>
      </c>
      <c r="C534" s="453"/>
      <c r="D534" s="454"/>
      <c r="E534" s="455"/>
      <c r="F534" s="454"/>
      <c r="G534" s="455"/>
      <c r="H534" s="454"/>
      <c r="I534" s="455"/>
      <c r="J534" s="454"/>
      <c r="K534" s="455"/>
      <c r="L534" s="454"/>
      <c r="M534" s="455"/>
      <c r="N534" s="454"/>
      <c r="O534" s="455"/>
      <c r="P534" s="454"/>
      <c r="Q534" s="455"/>
      <c r="R534" s="454"/>
      <c r="S534" s="455"/>
      <c r="T534" s="454"/>
      <c r="U534" s="455"/>
      <c r="V534" s="454"/>
      <c r="W534" s="455"/>
      <c r="X534" s="454"/>
      <c r="Y534" s="455"/>
      <c r="Z534" s="454"/>
      <c r="AA534" s="455"/>
      <c r="AB534" s="454"/>
      <c r="AC534" s="455"/>
      <c r="AD534" s="454"/>
      <c r="AE534" s="455"/>
      <c r="AF534" s="454"/>
      <c r="AG534" s="455"/>
    </row>
    <row r="535" spans="1:33" x14ac:dyDescent="0.2">
      <c r="A535" s="415">
        <f t="shared" si="17"/>
        <v>1349</v>
      </c>
      <c r="B535" s="416" t="str">
        <f t="shared" si="16"/>
        <v>Autumn</v>
      </c>
      <c r="C535" s="453"/>
      <c r="D535" s="454"/>
      <c r="E535" s="455"/>
      <c r="F535" s="454"/>
      <c r="G535" s="455"/>
      <c r="H535" s="454"/>
      <c r="I535" s="455"/>
      <c r="J535" s="454"/>
      <c r="K535" s="455"/>
      <c r="L535" s="454"/>
      <c r="M535" s="455"/>
      <c r="N535" s="454"/>
      <c r="O535" s="455"/>
      <c r="P535" s="454"/>
      <c r="Q535" s="455"/>
      <c r="R535" s="454"/>
      <c r="S535" s="455"/>
      <c r="T535" s="454"/>
      <c r="U535" s="455"/>
      <c r="V535" s="454"/>
      <c r="W535" s="455"/>
      <c r="X535" s="454"/>
      <c r="Y535" s="455"/>
      <c r="Z535" s="454"/>
      <c r="AA535" s="455"/>
      <c r="AB535" s="454"/>
      <c r="AC535" s="455"/>
      <c r="AD535" s="454"/>
      <c r="AE535" s="455"/>
      <c r="AF535" s="454"/>
      <c r="AG535" s="455"/>
    </row>
    <row r="536" spans="1:33" x14ac:dyDescent="0.2">
      <c r="A536" s="415">
        <f t="shared" si="17"/>
        <v>1350</v>
      </c>
      <c r="B536" s="416" t="str">
        <f t="shared" si="16"/>
        <v>Winter</v>
      </c>
      <c r="C536" s="453"/>
      <c r="D536" s="454"/>
      <c r="E536" s="455"/>
      <c r="F536" s="454"/>
      <c r="G536" s="455"/>
      <c r="H536" s="454"/>
      <c r="I536" s="455"/>
      <c r="J536" s="454"/>
      <c r="K536" s="455"/>
      <c r="L536" s="454"/>
      <c r="M536" s="455"/>
      <c r="N536" s="454"/>
      <c r="O536" s="455"/>
      <c r="P536" s="454"/>
      <c r="Q536" s="455"/>
      <c r="R536" s="454"/>
      <c r="S536" s="455"/>
      <c r="T536" s="454"/>
      <c r="U536" s="455"/>
      <c r="V536" s="454"/>
      <c r="W536" s="455"/>
      <c r="X536" s="454"/>
      <c r="Y536" s="455"/>
      <c r="Z536" s="454"/>
      <c r="AA536" s="455"/>
      <c r="AB536" s="454"/>
      <c r="AC536" s="455"/>
      <c r="AD536" s="454"/>
      <c r="AE536" s="455"/>
      <c r="AF536" s="454"/>
      <c r="AG536" s="455"/>
    </row>
    <row r="537" spans="1:33" x14ac:dyDescent="0.2">
      <c r="A537" s="415">
        <f t="shared" si="17"/>
        <v>1350</v>
      </c>
      <c r="B537" s="416" t="str">
        <f t="shared" si="16"/>
        <v>Spring</v>
      </c>
      <c r="C537" s="453"/>
      <c r="D537" s="454"/>
      <c r="E537" s="455"/>
      <c r="F537" s="454"/>
      <c r="G537" s="455"/>
      <c r="H537" s="454"/>
      <c r="I537" s="455"/>
      <c r="J537" s="454"/>
      <c r="K537" s="455"/>
      <c r="L537" s="454"/>
      <c r="M537" s="455"/>
      <c r="N537" s="454"/>
      <c r="O537" s="455"/>
      <c r="P537" s="454"/>
      <c r="Q537" s="455"/>
      <c r="R537" s="454"/>
      <c r="S537" s="455"/>
      <c r="T537" s="454"/>
      <c r="U537" s="455"/>
      <c r="V537" s="454"/>
      <c r="W537" s="455"/>
      <c r="X537" s="454"/>
      <c r="Y537" s="455"/>
      <c r="Z537" s="454"/>
      <c r="AA537" s="455"/>
      <c r="AB537" s="454"/>
      <c r="AC537" s="455"/>
      <c r="AD537" s="454"/>
      <c r="AE537" s="455"/>
      <c r="AF537" s="454"/>
      <c r="AG537" s="455"/>
    </row>
    <row r="538" spans="1:33" x14ac:dyDescent="0.2">
      <c r="A538" s="415">
        <f t="shared" si="17"/>
        <v>1350</v>
      </c>
      <c r="B538" s="416" t="str">
        <f t="shared" si="16"/>
        <v>Summer</v>
      </c>
      <c r="C538" s="453"/>
      <c r="D538" s="454"/>
      <c r="E538" s="455"/>
      <c r="F538" s="454"/>
      <c r="G538" s="455"/>
      <c r="H538" s="454"/>
      <c r="I538" s="455"/>
      <c r="J538" s="454"/>
      <c r="K538" s="455"/>
      <c r="L538" s="454"/>
      <c r="M538" s="455"/>
      <c r="N538" s="454"/>
      <c r="O538" s="455"/>
      <c r="P538" s="454"/>
      <c r="Q538" s="455"/>
      <c r="R538" s="454"/>
      <c r="S538" s="455"/>
      <c r="T538" s="454"/>
      <c r="U538" s="455"/>
      <c r="V538" s="454"/>
      <c r="W538" s="455"/>
      <c r="X538" s="454"/>
      <c r="Y538" s="455"/>
      <c r="Z538" s="454"/>
      <c r="AA538" s="455"/>
      <c r="AB538" s="454"/>
      <c r="AC538" s="455"/>
      <c r="AD538" s="454"/>
      <c r="AE538" s="455"/>
      <c r="AF538" s="454"/>
      <c r="AG538" s="455"/>
    </row>
    <row r="539" spans="1:33" x14ac:dyDescent="0.2">
      <c r="A539" s="415">
        <f t="shared" si="17"/>
        <v>1350</v>
      </c>
      <c r="B539" s="416" t="str">
        <f t="shared" si="16"/>
        <v>Autumn</v>
      </c>
      <c r="C539" s="453"/>
      <c r="D539" s="454"/>
      <c r="E539" s="455"/>
      <c r="F539" s="454"/>
      <c r="G539" s="455"/>
      <c r="H539" s="454"/>
      <c r="I539" s="455"/>
      <c r="J539" s="454"/>
      <c r="K539" s="455"/>
      <c r="L539" s="454"/>
      <c r="M539" s="455"/>
      <c r="N539" s="454"/>
      <c r="O539" s="455"/>
      <c r="P539" s="454"/>
      <c r="Q539" s="455"/>
      <c r="R539" s="454"/>
      <c r="S539" s="455"/>
      <c r="T539" s="454"/>
      <c r="U539" s="455"/>
      <c r="V539" s="454"/>
      <c r="W539" s="455"/>
      <c r="X539" s="454"/>
      <c r="Y539" s="455"/>
      <c r="Z539" s="454"/>
      <c r="AA539" s="455"/>
      <c r="AB539" s="454"/>
      <c r="AC539" s="455"/>
      <c r="AD539" s="454"/>
      <c r="AE539" s="455"/>
      <c r="AF539" s="454"/>
      <c r="AG539" s="455"/>
    </row>
    <row r="540" spans="1:33" x14ac:dyDescent="0.2">
      <c r="A540" s="415">
        <f t="shared" si="17"/>
        <v>1351</v>
      </c>
      <c r="B540" s="416" t="str">
        <f t="shared" si="16"/>
        <v>Winter</v>
      </c>
      <c r="C540" s="453"/>
      <c r="D540" s="454"/>
      <c r="E540" s="455"/>
      <c r="F540" s="454"/>
      <c r="G540" s="455"/>
      <c r="H540" s="454"/>
      <c r="I540" s="455"/>
      <c r="J540" s="454"/>
      <c r="K540" s="455"/>
      <c r="L540" s="454"/>
      <c r="M540" s="455"/>
      <c r="N540" s="454"/>
      <c r="O540" s="455"/>
      <c r="P540" s="454"/>
      <c r="Q540" s="455"/>
      <c r="R540" s="454"/>
      <c r="S540" s="455"/>
      <c r="T540" s="454"/>
      <c r="U540" s="455"/>
      <c r="V540" s="454"/>
      <c r="W540" s="455"/>
      <c r="X540" s="454"/>
      <c r="Y540" s="455"/>
      <c r="Z540" s="454"/>
      <c r="AA540" s="455"/>
      <c r="AB540" s="454"/>
      <c r="AC540" s="455"/>
      <c r="AD540" s="454"/>
      <c r="AE540" s="455"/>
      <c r="AF540" s="454"/>
      <c r="AG540" s="455"/>
    </row>
    <row r="541" spans="1:33" x14ac:dyDescent="0.2">
      <c r="A541" s="415">
        <f t="shared" si="17"/>
        <v>1351</v>
      </c>
      <c r="B541" s="416" t="str">
        <f t="shared" si="16"/>
        <v>Spring</v>
      </c>
      <c r="C541" s="453"/>
      <c r="D541" s="454"/>
      <c r="E541" s="455"/>
      <c r="F541" s="454"/>
      <c r="G541" s="455"/>
      <c r="H541" s="454"/>
      <c r="I541" s="455"/>
      <c r="J541" s="454"/>
      <c r="K541" s="455"/>
      <c r="L541" s="454"/>
      <c r="M541" s="455"/>
      <c r="N541" s="454"/>
      <c r="O541" s="455"/>
      <c r="P541" s="454"/>
      <c r="Q541" s="455"/>
      <c r="R541" s="454"/>
      <c r="S541" s="455"/>
      <c r="T541" s="454"/>
      <c r="U541" s="455"/>
      <c r="V541" s="454"/>
      <c r="W541" s="455"/>
      <c r="X541" s="454"/>
      <c r="Y541" s="455"/>
      <c r="Z541" s="454"/>
      <c r="AA541" s="455"/>
      <c r="AB541" s="454"/>
      <c r="AC541" s="455"/>
      <c r="AD541" s="454"/>
      <c r="AE541" s="455"/>
      <c r="AF541" s="454"/>
      <c r="AG541" s="455"/>
    </row>
    <row r="542" spans="1:33" x14ac:dyDescent="0.2">
      <c r="A542" s="415">
        <f t="shared" si="17"/>
        <v>1351</v>
      </c>
      <c r="B542" s="416" t="str">
        <f t="shared" si="16"/>
        <v>Summer</v>
      </c>
      <c r="C542" s="453"/>
      <c r="D542" s="454"/>
      <c r="E542" s="455"/>
      <c r="F542" s="454"/>
      <c r="G542" s="455"/>
      <c r="H542" s="454"/>
      <c r="I542" s="455"/>
      <c r="J542" s="454"/>
      <c r="K542" s="455"/>
      <c r="L542" s="454"/>
      <c r="M542" s="455"/>
      <c r="N542" s="454"/>
      <c r="O542" s="455"/>
      <c r="P542" s="454"/>
      <c r="Q542" s="455"/>
      <c r="R542" s="454"/>
      <c r="S542" s="455"/>
      <c r="T542" s="454"/>
      <c r="U542" s="455"/>
      <c r="V542" s="454"/>
      <c r="W542" s="455"/>
      <c r="X542" s="454"/>
      <c r="Y542" s="455"/>
      <c r="Z542" s="454"/>
      <c r="AA542" s="455"/>
      <c r="AB542" s="454"/>
      <c r="AC542" s="455"/>
      <c r="AD542" s="454"/>
      <c r="AE542" s="455"/>
      <c r="AF542" s="454"/>
      <c r="AG542" s="455"/>
    </row>
    <row r="543" spans="1:33" x14ac:dyDescent="0.2">
      <c r="A543" s="415">
        <f t="shared" si="17"/>
        <v>1351</v>
      </c>
      <c r="B543" s="416" t="str">
        <f t="shared" si="16"/>
        <v>Autumn</v>
      </c>
      <c r="C543" s="453"/>
      <c r="D543" s="454"/>
      <c r="E543" s="455"/>
      <c r="F543" s="454"/>
      <c r="G543" s="455"/>
      <c r="H543" s="454"/>
      <c r="I543" s="455"/>
      <c r="J543" s="454"/>
      <c r="K543" s="455"/>
      <c r="L543" s="454"/>
      <c r="M543" s="455"/>
      <c r="N543" s="454"/>
      <c r="O543" s="455"/>
      <c r="P543" s="454"/>
      <c r="Q543" s="455"/>
      <c r="R543" s="454"/>
      <c r="S543" s="455"/>
      <c r="T543" s="454"/>
      <c r="U543" s="455"/>
      <c r="V543" s="454"/>
      <c r="W543" s="455"/>
      <c r="X543" s="454"/>
      <c r="Y543" s="455"/>
      <c r="Z543" s="454"/>
      <c r="AA543" s="455"/>
      <c r="AB543" s="454"/>
      <c r="AC543" s="455"/>
      <c r="AD543" s="454"/>
      <c r="AE543" s="455"/>
      <c r="AF543" s="454"/>
      <c r="AG543" s="455"/>
    </row>
    <row r="544" spans="1:33" x14ac:dyDescent="0.2">
      <c r="A544" s="415">
        <f t="shared" si="17"/>
        <v>1352</v>
      </c>
      <c r="B544" s="416" t="str">
        <f t="shared" si="16"/>
        <v>Winter</v>
      </c>
      <c r="C544" s="453"/>
      <c r="D544" s="454"/>
      <c r="E544" s="455"/>
      <c r="F544" s="454"/>
      <c r="G544" s="455"/>
      <c r="H544" s="454"/>
      <c r="I544" s="455"/>
      <c r="J544" s="454"/>
      <c r="K544" s="455"/>
      <c r="L544" s="454"/>
      <c r="M544" s="455"/>
      <c r="N544" s="454"/>
      <c r="O544" s="455"/>
      <c r="P544" s="454"/>
      <c r="Q544" s="455"/>
      <c r="R544" s="454"/>
      <c r="S544" s="455"/>
      <c r="T544" s="454"/>
      <c r="U544" s="455"/>
      <c r="V544" s="454"/>
      <c r="W544" s="455"/>
      <c r="X544" s="454"/>
      <c r="Y544" s="455"/>
      <c r="Z544" s="454"/>
      <c r="AA544" s="455"/>
      <c r="AB544" s="454"/>
      <c r="AC544" s="455"/>
      <c r="AD544" s="454"/>
      <c r="AE544" s="455"/>
      <c r="AF544" s="454"/>
      <c r="AG544" s="455"/>
    </row>
    <row r="545" spans="1:33" x14ac:dyDescent="0.2">
      <c r="A545" s="415">
        <f t="shared" si="17"/>
        <v>1352</v>
      </c>
      <c r="B545" s="416" t="str">
        <f t="shared" si="16"/>
        <v>Spring</v>
      </c>
      <c r="C545" s="453"/>
      <c r="D545" s="454"/>
      <c r="E545" s="455"/>
      <c r="F545" s="454"/>
      <c r="G545" s="455"/>
      <c r="H545" s="454"/>
      <c r="I545" s="455"/>
      <c r="J545" s="454"/>
      <c r="K545" s="455"/>
      <c r="L545" s="454"/>
      <c r="M545" s="455"/>
      <c r="N545" s="454"/>
      <c r="O545" s="455"/>
      <c r="P545" s="454"/>
      <c r="Q545" s="455"/>
      <c r="R545" s="454"/>
      <c r="S545" s="455"/>
      <c r="T545" s="454"/>
      <c r="U545" s="455"/>
      <c r="V545" s="454"/>
      <c r="W545" s="455"/>
      <c r="X545" s="454"/>
      <c r="Y545" s="455"/>
      <c r="Z545" s="454"/>
      <c r="AA545" s="455"/>
      <c r="AB545" s="454"/>
      <c r="AC545" s="455"/>
      <c r="AD545" s="454"/>
      <c r="AE545" s="455"/>
      <c r="AF545" s="454"/>
      <c r="AG545" s="455"/>
    </row>
    <row r="546" spans="1:33" x14ac:dyDescent="0.2">
      <c r="A546" s="415">
        <f t="shared" si="17"/>
        <v>1352</v>
      </c>
      <c r="B546" s="416" t="str">
        <f t="shared" si="16"/>
        <v>Summer</v>
      </c>
      <c r="C546" s="453"/>
      <c r="D546" s="454"/>
      <c r="E546" s="455"/>
      <c r="F546" s="454"/>
      <c r="G546" s="455"/>
      <c r="H546" s="454"/>
      <c r="I546" s="455"/>
      <c r="J546" s="454"/>
      <c r="K546" s="455"/>
      <c r="L546" s="454"/>
      <c r="M546" s="455"/>
      <c r="N546" s="454"/>
      <c r="O546" s="455"/>
      <c r="P546" s="454"/>
      <c r="Q546" s="455"/>
      <c r="R546" s="454"/>
      <c r="S546" s="455"/>
      <c r="T546" s="454"/>
      <c r="U546" s="455"/>
      <c r="V546" s="454"/>
      <c r="W546" s="455"/>
      <c r="X546" s="454"/>
      <c r="Y546" s="455"/>
      <c r="Z546" s="454"/>
      <c r="AA546" s="455"/>
      <c r="AB546" s="454"/>
      <c r="AC546" s="455"/>
      <c r="AD546" s="454"/>
      <c r="AE546" s="455"/>
      <c r="AF546" s="454"/>
      <c r="AG546" s="455"/>
    </row>
    <row r="547" spans="1:33" x14ac:dyDescent="0.2">
      <c r="A547" s="415">
        <f t="shared" si="17"/>
        <v>1352</v>
      </c>
      <c r="B547" s="416" t="str">
        <f t="shared" si="16"/>
        <v>Autumn</v>
      </c>
      <c r="C547" s="453"/>
      <c r="D547" s="454"/>
      <c r="E547" s="455"/>
      <c r="F547" s="454"/>
      <c r="G547" s="455"/>
      <c r="H547" s="454"/>
      <c r="I547" s="455"/>
      <c r="J547" s="454"/>
      <c r="K547" s="455"/>
      <c r="L547" s="454"/>
      <c r="M547" s="455"/>
      <c r="N547" s="454"/>
      <c r="O547" s="455"/>
      <c r="P547" s="454"/>
      <c r="Q547" s="455"/>
      <c r="R547" s="454"/>
      <c r="S547" s="455"/>
      <c r="T547" s="454"/>
      <c r="U547" s="455"/>
      <c r="V547" s="454"/>
      <c r="W547" s="455"/>
      <c r="X547" s="454"/>
      <c r="Y547" s="455"/>
      <c r="Z547" s="454"/>
      <c r="AA547" s="455"/>
      <c r="AB547" s="454"/>
      <c r="AC547" s="455"/>
      <c r="AD547" s="454"/>
      <c r="AE547" s="455"/>
      <c r="AF547" s="454"/>
      <c r="AG547" s="455"/>
    </row>
    <row r="548" spans="1:33" x14ac:dyDescent="0.2">
      <c r="A548" s="415">
        <f t="shared" si="17"/>
        <v>1353</v>
      </c>
      <c r="B548" s="416" t="str">
        <f t="shared" si="16"/>
        <v>Winter</v>
      </c>
      <c r="C548" s="453"/>
      <c r="D548" s="454"/>
      <c r="E548" s="455"/>
      <c r="F548" s="454"/>
      <c r="G548" s="455"/>
      <c r="H548" s="454"/>
      <c r="I548" s="455"/>
      <c r="J548" s="454"/>
      <c r="K548" s="455"/>
      <c r="L548" s="454"/>
      <c r="M548" s="455"/>
      <c r="N548" s="454"/>
      <c r="O548" s="455"/>
      <c r="P548" s="454"/>
      <c r="Q548" s="455"/>
      <c r="R548" s="454"/>
      <c r="S548" s="455"/>
      <c r="T548" s="454"/>
      <c r="U548" s="455"/>
      <c r="V548" s="454"/>
      <c r="W548" s="455"/>
      <c r="X548" s="454"/>
      <c r="Y548" s="455"/>
      <c r="Z548" s="454"/>
      <c r="AA548" s="455"/>
      <c r="AB548" s="454"/>
      <c r="AC548" s="455"/>
      <c r="AD548" s="454"/>
      <c r="AE548" s="455"/>
      <c r="AF548" s="454"/>
      <c r="AG548" s="455"/>
    </row>
    <row r="549" spans="1:33" x14ac:dyDescent="0.2">
      <c r="A549" s="415">
        <f t="shared" si="17"/>
        <v>1353</v>
      </c>
      <c r="B549" s="416" t="str">
        <f t="shared" si="16"/>
        <v>Spring</v>
      </c>
      <c r="C549" s="453"/>
      <c r="D549" s="454"/>
      <c r="E549" s="455"/>
      <c r="F549" s="454"/>
      <c r="G549" s="455"/>
      <c r="H549" s="454"/>
      <c r="I549" s="455"/>
      <c r="J549" s="454"/>
      <c r="K549" s="455"/>
      <c r="L549" s="454"/>
      <c r="M549" s="455"/>
      <c r="N549" s="454"/>
      <c r="O549" s="455"/>
      <c r="P549" s="454"/>
      <c r="Q549" s="455"/>
      <c r="R549" s="454"/>
      <c r="S549" s="455"/>
      <c r="T549" s="454"/>
      <c r="U549" s="455"/>
      <c r="V549" s="454"/>
      <c r="W549" s="455"/>
      <c r="X549" s="454"/>
      <c r="Y549" s="455"/>
      <c r="Z549" s="454"/>
      <c r="AA549" s="455"/>
      <c r="AB549" s="454"/>
      <c r="AC549" s="455"/>
      <c r="AD549" s="454"/>
      <c r="AE549" s="455"/>
      <c r="AF549" s="454"/>
      <c r="AG549" s="455"/>
    </row>
    <row r="550" spans="1:33" x14ac:dyDescent="0.2">
      <c r="A550" s="415">
        <f t="shared" si="17"/>
        <v>1353</v>
      </c>
      <c r="B550" s="416" t="str">
        <f t="shared" si="16"/>
        <v>Summer</v>
      </c>
      <c r="C550" s="453"/>
      <c r="D550" s="454"/>
      <c r="E550" s="455"/>
      <c r="F550" s="454"/>
      <c r="G550" s="455"/>
      <c r="H550" s="454"/>
      <c r="I550" s="455"/>
      <c r="J550" s="454"/>
      <c r="K550" s="455"/>
      <c r="L550" s="454"/>
      <c r="M550" s="455"/>
      <c r="N550" s="454"/>
      <c r="O550" s="455"/>
      <c r="P550" s="454"/>
      <c r="Q550" s="455"/>
      <c r="R550" s="454"/>
      <c r="S550" s="455"/>
      <c r="T550" s="454"/>
      <c r="U550" s="455"/>
      <c r="V550" s="454"/>
      <c r="W550" s="455"/>
      <c r="X550" s="454"/>
      <c r="Y550" s="455"/>
      <c r="Z550" s="454"/>
      <c r="AA550" s="455"/>
      <c r="AB550" s="454"/>
      <c r="AC550" s="455"/>
      <c r="AD550" s="454"/>
      <c r="AE550" s="455"/>
      <c r="AF550" s="454"/>
      <c r="AG550" s="455"/>
    </row>
    <row r="551" spans="1:33" x14ac:dyDescent="0.2">
      <c r="A551" s="415">
        <f t="shared" si="17"/>
        <v>1353</v>
      </c>
      <c r="B551" s="416" t="str">
        <f t="shared" si="16"/>
        <v>Autumn</v>
      </c>
      <c r="C551" s="453"/>
      <c r="D551" s="454"/>
      <c r="E551" s="455"/>
      <c r="F551" s="454"/>
      <c r="G551" s="455"/>
      <c r="H551" s="454"/>
      <c r="I551" s="455"/>
      <c r="J551" s="454"/>
      <c r="K551" s="455"/>
      <c r="L551" s="454"/>
      <c r="M551" s="455"/>
      <c r="N551" s="454"/>
      <c r="O551" s="455"/>
      <c r="P551" s="454"/>
      <c r="Q551" s="455"/>
      <c r="R551" s="454"/>
      <c r="S551" s="455"/>
      <c r="T551" s="454"/>
      <c r="U551" s="455"/>
      <c r="V551" s="454"/>
      <c r="W551" s="455"/>
      <c r="X551" s="454"/>
      <c r="Y551" s="455"/>
      <c r="Z551" s="454"/>
      <c r="AA551" s="455"/>
      <c r="AB551" s="454"/>
      <c r="AC551" s="455"/>
      <c r="AD551" s="454"/>
      <c r="AE551" s="455"/>
      <c r="AF551" s="454"/>
      <c r="AG551" s="455"/>
    </row>
    <row r="552" spans="1:33" x14ac:dyDescent="0.2">
      <c r="A552" s="415">
        <f t="shared" si="17"/>
        <v>1354</v>
      </c>
      <c r="B552" s="416" t="str">
        <f t="shared" si="16"/>
        <v>Winter</v>
      </c>
      <c r="C552" s="453"/>
      <c r="D552" s="454"/>
      <c r="E552" s="455"/>
      <c r="F552" s="454"/>
      <c r="G552" s="455"/>
      <c r="H552" s="454"/>
      <c r="I552" s="455"/>
      <c r="J552" s="454"/>
      <c r="K552" s="455"/>
      <c r="L552" s="454"/>
      <c r="M552" s="455"/>
      <c r="N552" s="454"/>
      <c r="O552" s="455"/>
      <c r="P552" s="454"/>
      <c r="Q552" s="455"/>
      <c r="R552" s="454"/>
      <c r="S552" s="455"/>
      <c r="T552" s="454"/>
      <c r="U552" s="455"/>
      <c r="V552" s="454"/>
      <c r="W552" s="455"/>
      <c r="X552" s="454"/>
      <c r="Y552" s="455"/>
      <c r="Z552" s="454"/>
      <c r="AA552" s="455"/>
      <c r="AB552" s="454"/>
      <c r="AC552" s="455"/>
      <c r="AD552" s="454"/>
      <c r="AE552" s="455"/>
      <c r="AF552" s="454"/>
      <c r="AG552" s="455"/>
    </row>
    <row r="553" spans="1:33" x14ac:dyDescent="0.2">
      <c r="A553" s="415">
        <f t="shared" si="17"/>
        <v>1354</v>
      </c>
      <c r="B553" s="416" t="str">
        <f t="shared" si="16"/>
        <v>Spring</v>
      </c>
      <c r="C553" s="453"/>
      <c r="D553" s="454"/>
      <c r="E553" s="455"/>
      <c r="F553" s="454"/>
      <c r="G553" s="455"/>
      <c r="H553" s="454"/>
      <c r="I553" s="455"/>
      <c r="J553" s="454"/>
      <c r="K553" s="455"/>
      <c r="L553" s="454"/>
      <c r="M553" s="455"/>
      <c r="N553" s="454"/>
      <c r="O553" s="455"/>
      <c r="P553" s="454"/>
      <c r="Q553" s="455"/>
      <c r="R553" s="454"/>
      <c r="S553" s="455"/>
      <c r="T553" s="454"/>
      <c r="U553" s="455"/>
      <c r="V553" s="454"/>
      <c r="W553" s="455"/>
      <c r="X553" s="454"/>
      <c r="Y553" s="455"/>
      <c r="Z553" s="454"/>
      <c r="AA553" s="455"/>
      <c r="AB553" s="454"/>
      <c r="AC553" s="455"/>
      <c r="AD553" s="454"/>
      <c r="AE553" s="455"/>
      <c r="AF553" s="454"/>
      <c r="AG553" s="455"/>
    </row>
    <row r="554" spans="1:33" x14ac:dyDescent="0.2">
      <c r="A554" s="415">
        <f t="shared" si="17"/>
        <v>1354</v>
      </c>
      <c r="B554" s="416" t="str">
        <f t="shared" si="16"/>
        <v>Summer</v>
      </c>
      <c r="C554" s="453"/>
      <c r="D554" s="454"/>
      <c r="E554" s="455"/>
      <c r="F554" s="454"/>
      <c r="G554" s="455"/>
      <c r="H554" s="454"/>
      <c r="I554" s="455"/>
      <c r="J554" s="454"/>
      <c r="K554" s="455"/>
      <c r="L554" s="454"/>
      <c r="M554" s="455"/>
      <c r="N554" s="454"/>
      <c r="O554" s="455"/>
      <c r="P554" s="454"/>
      <c r="Q554" s="455"/>
      <c r="R554" s="454"/>
      <c r="S554" s="455"/>
      <c r="T554" s="454"/>
      <c r="U554" s="455"/>
      <c r="V554" s="454"/>
      <c r="W554" s="455"/>
      <c r="X554" s="454"/>
      <c r="Y554" s="455"/>
      <c r="Z554" s="454"/>
      <c r="AA554" s="455"/>
      <c r="AB554" s="454"/>
      <c r="AC554" s="455"/>
      <c r="AD554" s="454"/>
      <c r="AE554" s="455"/>
      <c r="AF554" s="454"/>
      <c r="AG554" s="455"/>
    </row>
    <row r="555" spans="1:33" x14ac:dyDescent="0.2">
      <c r="A555" s="415">
        <f t="shared" si="17"/>
        <v>1354</v>
      </c>
      <c r="B555" s="416" t="str">
        <f t="shared" ref="B555:B618" si="18">IF(B554="spring","Summer",IF(B554="Summer","Autumn",IF(B554="Autumn","Winter",IF(B554="Winter","Spring"," "))))</f>
        <v>Autumn</v>
      </c>
      <c r="C555" s="453"/>
      <c r="D555" s="454"/>
      <c r="E555" s="455"/>
      <c r="F555" s="454"/>
      <c r="G555" s="455"/>
      <c r="H555" s="454"/>
      <c r="I555" s="455"/>
      <c r="J555" s="454"/>
      <c r="K555" s="455"/>
      <c r="L555" s="454"/>
      <c r="M555" s="455"/>
      <c r="N555" s="454"/>
      <c r="O555" s="455"/>
      <c r="P555" s="454"/>
      <c r="Q555" s="455"/>
      <c r="R555" s="454"/>
      <c r="S555" s="455"/>
      <c r="T555" s="454"/>
      <c r="U555" s="455"/>
      <c r="V555" s="454"/>
      <c r="W555" s="455"/>
      <c r="X555" s="454"/>
      <c r="Y555" s="455"/>
      <c r="Z555" s="454"/>
      <c r="AA555" s="455"/>
      <c r="AB555" s="454"/>
      <c r="AC555" s="455"/>
      <c r="AD555" s="454"/>
      <c r="AE555" s="455"/>
      <c r="AF555" s="454"/>
      <c r="AG555" s="455"/>
    </row>
    <row r="556" spans="1:33" x14ac:dyDescent="0.2">
      <c r="A556" s="415">
        <f t="shared" si="17"/>
        <v>1355</v>
      </c>
      <c r="B556" s="416" t="str">
        <f t="shared" si="18"/>
        <v>Winter</v>
      </c>
      <c r="C556" s="453"/>
      <c r="D556" s="454"/>
      <c r="E556" s="455"/>
      <c r="F556" s="454"/>
      <c r="G556" s="455"/>
      <c r="H556" s="454"/>
      <c r="I556" s="455"/>
      <c r="J556" s="454"/>
      <c r="K556" s="455"/>
      <c r="L556" s="454"/>
      <c r="M556" s="455"/>
      <c r="N556" s="454"/>
      <c r="O556" s="455"/>
      <c r="P556" s="454"/>
      <c r="Q556" s="455"/>
      <c r="R556" s="454"/>
      <c r="S556" s="455"/>
      <c r="T556" s="454"/>
      <c r="U556" s="455"/>
      <c r="V556" s="454"/>
      <c r="W556" s="455"/>
      <c r="X556" s="454"/>
      <c r="Y556" s="455"/>
      <c r="Z556" s="454"/>
      <c r="AA556" s="455"/>
      <c r="AB556" s="454"/>
      <c r="AC556" s="455"/>
      <c r="AD556" s="454"/>
      <c r="AE556" s="455"/>
      <c r="AF556" s="454"/>
      <c r="AG556" s="455"/>
    </row>
    <row r="557" spans="1:33" x14ac:dyDescent="0.2">
      <c r="A557" s="415">
        <f t="shared" si="17"/>
        <v>1355</v>
      </c>
      <c r="B557" s="416" t="str">
        <f t="shared" si="18"/>
        <v>Spring</v>
      </c>
      <c r="C557" s="453"/>
      <c r="D557" s="454"/>
      <c r="E557" s="455"/>
      <c r="F557" s="454"/>
      <c r="G557" s="455"/>
      <c r="H557" s="454"/>
      <c r="I557" s="455"/>
      <c r="J557" s="454"/>
      <c r="K557" s="455"/>
      <c r="L557" s="454"/>
      <c r="M557" s="455"/>
      <c r="N557" s="454"/>
      <c r="O557" s="455"/>
      <c r="P557" s="454"/>
      <c r="Q557" s="455"/>
      <c r="R557" s="454"/>
      <c r="S557" s="455"/>
      <c r="T557" s="454"/>
      <c r="U557" s="455"/>
      <c r="V557" s="454"/>
      <c r="W557" s="455"/>
      <c r="X557" s="454"/>
      <c r="Y557" s="455"/>
      <c r="Z557" s="454"/>
      <c r="AA557" s="455"/>
      <c r="AB557" s="454"/>
      <c r="AC557" s="455"/>
      <c r="AD557" s="454"/>
      <c r="AE557" s="455"/>
      <c r="AF557" s="454"/>
      <c r="AG557" s="455"/>
    </row>
    <row r="558" spans="1:33" x14ac:dyDescent="0.2">
      <c r="A558" s="415">
        <f t="shared" si="17"/>
        <v>1355</v>
      </c>
      <c r="B558" s="416" t="str">
        <f t="shared" si="18"/>
        <v>Summer</v>
      </c>
      <c r="C558" s="453"/>
      <c r="D558" s="454"/>
      <c r="E558" s="455"/>
      <c r="F558" s="454"/>
      <c r="G558" s="455"/>
      <c r="H558" s="454"/>
      <c r="I558" s="455"/>
      <c r="J558" s="454"/>
      <c r="K558" s="455"/>
      <c r="L558" s="454"/>
      <c r="M558" s="455"/>
      <c r="N558" s="454"/>
      <c r="O558" s="455"/>
      <c r="P558" s="454"/>
      <c r="Q558" s="455"/>
      <c r="R558" s="454"/>
      <c r="S558" s="455"/>
      <c r="T558" s="454"/>
      <c r="U558" s="455"/>
      <c r="V558" s="454"/>
      <c r="W558" s="455"/>
      <c r="X558" s="454"/>
      <c r="Y558" s="455"/>
      <c r="Z558" s="454"/>
      <c r="AA558" s="455"/>
      <c r="AB558" s="454"/>
      <c r="AC558" s="455"/>
      <c r="AD558" s="454"/>
      <c r="AE558" s="455"/>
      <c r="AF558" s="454"/>
      <c r="AG558" s="455"/>
    </row>
    <row r="559" spans="1:33" x14ac:dyDescent="0.2">
      <c r="A559" s="415">
        <f t="shared" si="17"/>
        <v>1355</v>
      </c>
      <c r="B559" s="416" t="str">
        <f t="shared" si="18"/>
        <v>Autumn</v>
      </c>
      <c r="C559" s="453"/>
      <c r="D559" s="454"/>
      <c r="E559" s="455"/>
      <c r="F559" s="454"/>
      <c r="G559" s="455"/>
      <c r="H559" s="454"/>
      <c r="I559" s="455"/>
      <c r="J559" s="454"/>
      <c r="K559" s="455"/>
      <c r="L559" s="454"/>
      <c r="M559" s="455"/>
      <c r="N559" s="454"/>
      <c r="O559" s="455"/>
      <c r="P559" s="454"/>
      <c r="Q559" s="455"/>
      <c r="R559" s="454"/>
      <c r="S559" s="455"/>
      <c r="T559" s="454"/>
      <c r="U559" s="455"/>
      <c r="V559" s="454"/>
      <c r="W559" s="455"/>
      <c r="X559" s="454"/>
      <c r="Y559" s="455"/>
      <c r="Z559" s="454"/>
      <c r="AA559" s="455"/>
      <c r="AB559" s="454"/>
      <c r="AC559" s="455"/>
      <c r="AD559" s="454"/>
      <c r="AE559" s="455"/>
      <c r="AF559" s="454"/>
      <c r="AG559" s="455"/>
    </row>
    <row r="560" spans="1:33" x14ac:dyDescent="0.2">
      <c r="A560" s="415">
        <f t="shared" si="17"/>
        <v>1356</v>
      </c>
      <c r="B560" s="416" t="str">
        <f t="shared" si="18"/>
        <v>Winter</v>
      </c>
      <c r="C560" s="453"/>
      <c r="D560" s="454"/>
      <c r="E560" s="455"/>
      <c r="F560" s="454"/>
      <c r="G560" s="455"/>
      <c r="H560" s="454"/>
      <c r="I560" s="455"/>
      <c r="J560" s="454"/>
      <c r="K560" s="455"/>
      <c r="L560" s="454"/>
      <c r="M560" s="455"/>
      <c r="N560" s="454"/>
      <c r="O560" s="455"/>
      <c r="P560" s="454"/>
      <c r="Q560" s="455"/>
      <c r="R560" s="454"/>
      <c r="S560" s="455"/>
      <c r="T560" s="454"/>
      <c r="U560" s="455"/>
      <c r="V560" s="454"/>
      <c r="W560" s="455"/>
      <c r="X560" s="454"/>
      <c r="Y560" s="455"/>
      <c r="Z560" s="454"/>
      <c r="AA560" s="455"/>
      <c r="AB560" s="454"/>
      <c r="AC560" s="455"/>
      <c r="AD560" s="454"/>
      <c r="AE560" s="455"/>
      <c r="AF560" s="454"/>
      <c r="AG560" s="455"/>
    </row>
    <row r="561" spans="1:33" x14ac:dyDescent="0.2">
      <c r="A561" s="415">
        <f t="shared" si="17"/>
        <v>1356</v>
      </c>
      <c r="B561" s="416" t="str">
        <f t="shared" si="18"/>
        <v>Spring</v>
      </c>
      <c r="C561" s="453"/>
      <c r="D561" s="454"/>
      <c r="E561" s="455"/>
      <c r="F561" s="454"/>
      <c r="G561" s="455"/>
      <c r="H561" s="454"/>
      <c r="I561" s="455"/>
      <c r="J561" s="454"/>
      <c r="K561" s="455"/>
      <c r="L561" s="454"/>
      <c r="M561" s="455"/>
      <c r="N561" s="454"/>
      <c r="O561" s="455"/>
      <c r="P561" s="454"/>
      <c r="Q561" s="455"/>
      <c r="R561" s="454"/>
      <c r="S561" s="455"/>
      <c r="T561" s="454"/>
      <c r="U561" s="455"/>
      <c r="V561" s="454"/>
      <c r="W561" s="455"/>
      <c r="X561" s="454"/>
      <c r="Y561" s="455"/>
      <c r="Z561" s="454"/>
      <c r="AA561" s="455"/>
      <c r="AB561" s="454"/>
      <c r="AC561" s="455"/>
      <c r="AD561" s="454"/>
      <c r="AE561" s="455"/>
      <c r="AF561" s="454"/>
      <c r="AG561" s="455"/>
    </row>
    <row r="562" spans="1:33" x14ac:dyDescent="0.2">
      <c r="A562" s="415">
        <f t="shared" si="17"/>
        <v>1356</v>
      </c>
      <c r="B562" s="416" t="str">
        <f t="shared" si="18"/>
        <v>Summer</v>
      </c>
      <c r="C562" s="453"/>
      <c r="D562" s="454"/>
      <c r="E562" s="455"/>
      <c r="F562" s="454"/>
      <c r="G562" s="455"/>
      <c r="H562" s="454"/>
      <c r="I562" s="455"/>
      <c r="J562" s="454"/>
      <c r="K562" s="455"/>
      <c r="L562" s="454"/>
      <c r="M562" s="455"/>
      <c r="N562" s="454"/>
      <c r="O562" s="455"/>
      <c r="P562" s="454"/>
      <c r="Q562" s="455"/>
      <c r="R562" s="454"/>
      <c r="S562" s="455"/>
      <c r="T562" s="454"/>
      <c r="U562" s="455"/>
      <c r="V562" s="454"/>
      <c r="W562" s="455"/>
      <c r="X562" s="454"/>
      <c r="Y562" s="455"/>
      <c r="Z562" s="454"/>
      <c r="AA562" s="455"/>
      <c r="AB562" s="454"/>
      <c r="AC562" s="455"/>
      <c r="AD562" s="454"/>
      <c r="AE562" s="455"/>
      <c r="AF562" s="454"/>
      <c r="AG562" s="455"/>
    </row>
    <row r="563" spans="1:33" x14ac:dyDescent="0.2">
      <c r="A563" s="415">
        <f t="shared" si="17"/>
        <v>1356</v>
      </c>
      <c r="B563" s="416" t="str">
        <f t="shared" si="18"/>
        <v>Autumn</v>
      </c>
      <c r="C563" s="453"/>
      <c r="D563" s="454"/>
      <c r="E563" s="455"/>
      <c r="F563" s="454"/>
      <c r="G563" s="455"/>
      <c r="H563" s="454"/>
      <c r="I563" s="455"/>
      <c r="J563" s="454"/>
      <c r="K563" s="455"/>
      <c r="L563" s="454"/>
      <c r="M563" s="455"/>
      <c r="N563" s="454"/>
      <c r="O563" s="455"/>
      <c r="P563" s="454"/>
      <c r="Q563" s="455"/>
      <c r="R563" s="454"/>
      <c r="S563" s="455"/>
      <c r="T563" s="454"/>
      <c r="U563" s="455"/>
      <c r="V563" s="454"/>
      <c r="W563" s="455"/>
      <c r="X563" s="454"/>
      <c r="Y563" s="455"/>
      <c r="Z563" s="454"/>
      <c r="AA563" s="455"/>
      <c r="AB563" s="454"/>
      <c r="AC563" s="455"/>
      <c r="AD563" s="454"/>
      <c r="AE563" s="455"/>
      <c r="AF563" s="454"/>
      <c r="AG563" s="455"/>
    </row>
    <row r="564" spans="1:33" x14ac:dyDescent="0.2">
      <c r="A564" s="415">
        <f t="shared" si="17"/>
        <v>1357</v>
      </c>
      <c r="B564" s="416" t="str">
        <f t="shared" si="18"/>
        <v>Winter</v>
      </c>
      <c r="C564" s="453"/>
      <c r="D564" s="454"/>
      <c r="E564" s="455"/>
      <c r="F564" s="454"/>
      <c r="G564" s="455"/>
      <c r="H564" s="454"/>
      <c r="I564" s="455"/>
      <c r="J564" s="454"/>
      <c r="K564" s="455"/>
      <c r="L564" s="454"/>
      <c r="M564" s="455"/>
      <c r="N564" s="454"/>
      <c r="O564" s="455"/>
      <c r="P564" s="454"/>
      <c r="Q564" s="455"/>
      <c r="R564" s="454"/>
      <c r="S564" s="455"/>
      <c r="T564" s="454"/>
      <c r="U564" s="455"/>
      <c r="V564" s="454"/>
      <c r="W564" s="455"/>
      <c r="X564" s="454"/>
      <c r="Y564" s="455"/>
      <c r="Z564" s="454"/>
      <c r="AA564" s="455"/>
      <c r="AB564" s="454"/>
      <c r="AC564" s="455"/>
      <c r="AD564" s="454"/>
      <c r="AE564" s="455"/>
      <c r="AF564" s="454"/>
      <c r="AG564" s="455"/>
    </row>
    <row r="565" spans="1:33" x14ac:dyDescent="0.2">
      <c r="A565" s="415">
        <f t="shared" si="17"/>
        <v>1357</v>
      </c>
      <c r="B565" s="416" t="str">
        <f t="shared" si="18"/>
        <v>Spring</v>
      </c>
      <c r="C565" s="453"/>
      <c r="D565" s="454"/>
      <c r="E565" s="455"/>
      <c r="F565" s="454"/>
      <c r="G565" s="455"/>
      <c r="H565" s="454"/>
      <c r="I565" s="455"/>
      <c r="J565" s="454"/>
      <c r="K565" s="455"/>
      <c r="L565" s="454"/>
      <c r="M565" s="455"/>
      <c r="N565" s="454"/>
      <c r="O565" s="455"/>
      <c r="P565" s="454"/>
      <c r="Q565" s="455"/>
      <c r="R565" s="454"/>
      <c r="S565" s="455"/>
      <c r="T565" s="454"/>
      <c r="U565" s="455"/>
      <c r="V565" s="454"/>
      <c r="W565" s="455"/>
      <c r="X565" s="454"/>
      <c r="Y565" s="455"/>
      <c r="Z565" s="454"/>
      <c r="AA565" s="455"/>
      <c r="AB565" s="454"/>
      <c r="AC565" s="455"/>
      <c r="AD565" s="454"/>
      <c r="AE565" s="455"/>
      <c r="AF565" s="454"/>
      <c r="AG565" s="455"/>
    </row>
    <row r="566" spans="1:33" x14ac:dyDescent="0.2">
      <c r="A566" s="415">
        <f t="shared" si="17"/>
        <v>1357</v>
      </c>
      <c r="B566" s="416" t="str">
        <f t="shared" si="18"/>
        <v>Summer</v>
      </c>
      <c r="C566" s="453"/>
      <c r="D566" s="454"/>
      <c r="E566" s="455"/>
      <c r="F566" s="454"/>
      <c r="G566" s="455"/>
      <c r="H566" s="454"/>
      <c r="I566" s="455"/>
      <c r="J566" s="454"/>
      <c r="K566" s="455"/>
      <c r="L566" s="454"/>
      <c r="M566" s="455"/>
      <c r="N566" s="454"/>
      <c r="O566" s="455"/>
      <c r="P566" s="454"/>
      <c r="Q566" s="455"/>
      <c r="R566" s="454"/>
      <c r="S566" s="455"/>
      <c r="T566" s="454"/>
      <c r="U566" s="455"/>
      <c r="V566" s="454"/>
      <c r="W566" s="455"/>
      <c r="X566" s="454"/>
      <c r="Y566" s="455"/>
      <c r="Z566" s="454"/>
      <c r="AA566" s="455"/>
      <c r="AB566" s="454"/>
      <c r="AC566" s="455"/>
      <c r="AD566" s="454"/>
      <c r="AE566" s="455"/>
      <c r="AF566" s="454"/>
      <c r="AG566" s="455"/>
    </row>
    <row r="567" spans="1:33" x14ac:dyDescent="0.2">
      <c r="A567" s="415">
        <f t="shared" si="17"/>
        <v>1357</v>
      </c>
      <c r="B567" s="416" t="str">
        <f t="shared" si="18"/>
        <v>Autumn</v>
      </c>
      <c r="C567" s="453"/>
      <c r="D567" s="454"/>
      <c r="E567" s="455"/>
      <c r="F567" s="454"/>
      <c r="G567" s="455"/>
      <c r="H567" s="454"/>
      <c r="I567" s="455"/>
      <c r="J567" s="454"/>
      <c r="K567" s="455"/>
      <c r="L567" s="454"/>
      <c r="M567" s="455"/>
      <c r="N567" s="454"/>
      <c r="O567" s="455"/>
      <c r="P567" s="454"/>
      <c r="Q567" s="455"/>
      <c r="R567" s="454"/>
      <c r="S567" s="455"/>
      <c r="T567" s="454"/>
      <c r="U567" s="455"/>
      <c r="V567" s="454"/>
      <c r="W567" s="455"/>
      <c r="X567" s="454"/>
      <c r="Y567" s="455"/>
      <c r="Z567" s="454"/>
      <c r="AA567" s="455"/>
      <c r="AB567" s="454"/>
      <c r="AC567" s="455"/>
      <c r="AD567" s="454"/>
      <c r="AE567" s="455"/>
      <c r="AF567" s="454"/>
      <c r="AG567" s="455"/>
    </row>
    <row r="568" spans="1:33" x14ac:dyDescent="0.2">
      <c r="A568" s="415">
        <f t="shared" si="17"/>
        <v>1358</v>
      </c>
      <c r="B568" s="416" t="str">
        <f t="shared" si="18"/>
        <v>Winter</v>
      </c>
      <c r="C568" s="453"/>
      <c r="D568" s="454"/>
      <c r="E568" s="455"/>
      <c r="F568" s="454"/>
      <c r="G568" s="455"/>
      <c r="H568" s="454"/>
      <c r="I568" s="455"/>
      <c r="J568" s="454"/>
      <c r="K568" s="455"/>
      <c r="L568" s="454"/>
      <c r="M568" s="455"/>
      <c r="N568" s="454"/>
      <c r="O568" s="455"/>
      <c r="P568" s="454"/>
      <c r="Q568" s="455"/>
      <c r="R568" s="454"/>
      <c r="S568" s="455"/>
      <c r="T568" s="454"/>
      <c r="U568" s="455"/>
      <c r="V568" s="454"/>
      <c r="W568" s="455"/>
      <c r="X568" s="454"/>
      <c r="Y568" s="455"/>
      <c r="Z568" s="454"/>
      <c r="AA568" s="455"/>
      <c r="AB568" s="454"/>
      <c r="AC568" s="455"/>
      <c r="AD568" s="454"/>
      <c r="AE568" s="455"/>
      <c r="AF568" s="454"/>
      <c r="AG568" s="455"/>
    </row>
    <row r="569" spans="1:33" x14ac:dyDescent="0.2">
      <c r="A569" s="415">
        <f t="shared" si="17"/>
        <v>1358</v>
      </c>
      <c r="B569" s="416" t="str">
        <f t="shared" si="18"/>
        <v>Spring</v>
      </c>
      <c r="C569" s="453"/>
      <c r="D569" s="454"/>
      <c r="E569" s="455"/>
      <c r="F569" s="454"/>
      <c r="G569" s="455"/>
      <c r="H569" s="454"/>
      <c r="I569" s="455"/>
      <c r="J569" s="454"/>
      <c r="K569" s="455"/>
      <c r="L569" s="454"/>
      <c r="M569" s="455"/>
      <c r="N569" s="454"/>
      <c r="O569" s="455"/>
      <c r="P569" s="454"/>
      <c r="Q569" s="455"/>
      <c r="R569" s="454"/>
      <c r="S569" s="455"/>
      <c r="T569" s="454"/>
      <c r="U569" s="455"/>
      <c r="V569" s="454"/>
      <c r="W569" s="455"/>
      <c r="X569" s="454"/>
      <c r="Y569" s="455"/>
      <c r="Z569" s="454"/>
      <c r="AA569" s="455"/>
      <c r="AB569" s="454"/>
      <c r="AC569" s="455"/>
      <c r="AD569" s="454"/>
      <c r="AE569" s="455"/>
      <c r="AF569" s="454"/>
      <c r="AG569" s="455"/>
    </row>
    <row r="570" spans="1:33" x14ac:dyDescent="0.2">
      <c r="A570" s="415">
        <f t="shared" si="17"/>
        <v>1358</v>
      </c>
      <c r="B570" s="416" t="str">
        <f t="shared" si="18"/>
        <v>Summer</v>
      </c>
      <c r="C570" s="453"/>
      <c r="D570" s="454"/>
      <c r="E570" s="455"/>
      <c r="F570" s="454"/>
      <c r="G570" s="455"/>
      <c r="H570" s="454"/>
      <c r="I570" s="455"/>
      <c r="J570" s="454"/>
      <c r="K570" s="455"/>
      <c r="L570" s="454"/>
      <c r="M570" s="455"/>
      <c r="N570" s="454"/>
      <c r="O570" s="455"/>
      <c r="P570" s="454"/>
      <c r="Q570" s="455"/>
      <c r="R570" s="454"/>
      <c r="S570" s="455"/>
      <c r="T570" s="454"/>
      <c r="U570" s="455"/>
      <c r="V570" s="454"/>
      <c r="W570" s="455"/>
      <c r="X570" s="454"/>
      <c r="Y570" s="455"/>
      <c r="Z570" s="454"/>
      <c r="AA570" s="455"/>
      <c r="AB570" s="454"/>
      <c r="AC570" s="455"/>
      <c r="AD570" s="454"/>
      <c r="AE570" s="455"/>
      <c r="AF570" s="454"/>
      <c r="AG570" s="455"/>
    </row>
    <row r="571" spans="1:33" x14ac:dyDescent="0.2">
      <c r="A571" s="415">
        <f t="shared" si="17"/>
        <v>1358</v>
      </c>
      <c r="B571" s="416" t="str">
        <f t="shared" si="18"/>
        <v>Autumn</v>
      </c>
      <c r="C571" s="453"/>
      <c r="D571" s="454"/>
      <c r="E571" s="455"/>
      <c r="F571" s="454"/>
      <c r="G571" s="455"/>
      <c r="H571" s="454"/>
      <c r="I571" s="455"/>
      <c r="J571" s="454"/>
      <c r="K571" s="455"/>
      <c r="L571" s="454"/>
      <c r="M571" s="455"/>
      <c r="N571" s="454"/>
      <c r="O571" s="455"/>
      <c r="P571" s="454"/>
      <c r="Q571" s="455"/>
      <c r="R571" s="454"/>
      <c r="S571" s="455"/>
      <c r="T571" s="454"/>
      <c r="U571" s="455"/>
      <c r="V571" s="454"/>
      <c r="W571" s="455"/>
      <c r="X571" s="454"/>
      <c r="Y571" s="455"/>
      <c r="Z571" s="454"/>
      <c r="AA571" s="455"/>
      <c r="AB571" s="454"/>
      <c r="AC571" s="455"/>
      <c r="AD571" s="454"/>
      <c r="AE571" s="455"/>
      <c r="AF571" s="454"/>
      <c r="AG571" s="455"/>
    </row>
    <row r="572" spans="1:33" x14ac:dyDescent="0.2">
      <c r="A572" s="415">
        <f t="shared" si="17"/>
        <v>1359</v>
      </c>
      <c r="B572" s="416" t="str">
        <f t="shared" si="18"/>
        <v>Winter</v>
      </c>
      <c r="C572" s="453"/>
      <c r="D572" s="454"/>
      <c r="E572" s="455"/>
      <c r="F572" s="454"/>
      <c r="G572" s="455"/>
      <c r="H572" s="454"/>
      <c r="I572" s="455"/>
      <c r="J572" s="454"/>
      <c r="K572" s="455"/>
      <c r="L572" s="454"/>
      <c r="M572" s="455"/>
      <c r="N572" s="454"/>
      <c r="O572" s="455"/>
      <c r="P572" s="454"/>
      <c r="Q572" s="455"/>
      <c r="R572" s="454"/>
      <c r="S572" s="455"/>
      <c r="T572" s="454"/>
      <c r="U572" s="455"/>
      <c r="V572" s="454"/>
      <c r="W572" s="455"/>
      <c r="X572" s="454"/>
      <c r="Y572" s="455"/>
      <c r="Z572" s="454"/>
      <c r="AA572" s="455"/>
      <c r="AB572" s="454"/>
      <c r="AC572" s="455"/>
      <c r="AD572" s="454"/>
      <c r="AE572" s="455"/>
      <c r="AF572" s="454"/>
      <c r="AG572" s="455"/>
    </row>
    <row r="573" spans="1:33" x14ac:dyDescent="0.2">
      <c r="A573" s="415">
        <f t="shared" si="17"/>
        <v>1359</v>
      </c>
      <c r="B573" s="416" t="str">
        <f t="shared" si="18"/>
        <v>Spring</v>
      </c>
      <c r="C573" s="453"/>
      <c r="D573" s="454"/>
      <c r="E573" s="455"/>
      <c r="F573" s="454"/>
      <c r="G573" s="455"/>
      <c r="H573" s="454"/>
      <c r="I573" s="455"/>
      <c r="J573" s="454"/>
      <c r="K573" s="455"/>
      <c r="L573" s="454"/>
      <c r="M573" s="455"/>
      <c r="N573" s="454"/>
      <c r="O573" s="455"/>
      <c r="P573" s="454"/>
      <c r="Q573" s="455"/>
      <c r="R573" s="454"/>
      <c r="S573" s="455"/>
      <c r="T573" s="454"/>
      <c r="U573" s="455"/>
      <c r="V573" s="454"/>
      <c r="W573" s="455"/>
      <c r="X573" s="454"/>
      <c r="Y573" s="455"/>
      <c r="Z573" s="454"/>
      <c r="AA573" s="455"/>
      <c r="AB573" s="454"/>
      <c r="AC573" s="455"/>
      <c r="AD573" s="454"/>
      <c r="AE573" s="455"/>
      <c r="AF573" s="454"/>
      <c r="AG573" s="455"/>
    </row>
    <row r="574" spans="1:33" x14ac:dyDescent="0.2">
      <c r="A574" s="415">
        <f t="shared" si="17"/>
        <v>1359</v>
      </c>
      <c r="B574" s="416" t="str">
        <f t="shared" si="18"/>
        <v>Summer</v>
      </c>
      <c r="C574" s="453"/>
      <c r="D574" s="454"/>
      <c r="E574" s="455"/>
      <c r="F574" s="454"/>
      <c r="G574" s="455"/>
      <c r="H574" s="454"/>
      <c r="I574" s="455"/>
      <c r="J574" s="454"/>
      <c r="K574" s="455"/>
      <c r="L574" s="454"/>
      <c r="M574" s="455"/>
      <c r="N574" s="454"/>
      <c r="O574" s="455"/>
      <c r="P574" s="454"/>
      <c r="Q574" s="455"/>
      <c r="R574" s="454"/>
      <c r="S574" s="455"/>
      <c r="T574" s="454"/>
      <c r="U574" s="455"/>
      <c r="V574" s="454"/>
      <c r="W574" s="455"/>
      <c r="X574" s="454"/>
      <c r="Y574" s="455"/>
      <c r="Z574" s="454"/>
      <c r="AA574" s="455"/>
      <c r="AB574" s="454"/>
      <c r="AC574" s="455"/>
      <c r="AD574" s="454"/>
      <c r="AE574" s="455"/>
      <c r="AF574" s="454"/>
      <c r="AG574" s="455"/>
    </row>
    <row r="575" spans="1:33" x14ac:dyDescent="0.2">
      <c r="A575" s="415">
        <f t="shared" si="17"/>
        <v>1359</v>
      </c>
      <c r="B575" s="416" t="str">
        <f t="shared" si="18"/>
        <v>Autumn</v>
      </c>
      <c r="C575" s="453"/>
      <c r="D575" s="454"/>
      <c r="E575" s="455"/>
      <c r="F575" s="454"/>
      <c r="G575" s="455"/>
      <c r="H575" s="454"/>
      <c r="I575" s="455"/>
      <c r="J575" s="454"/>
      <c r="K575" s="455"/>
      <c r="L575" s="454"/>
      <c r="M575" s="455"/>
      <c r="N575" s="454"/>
      <c r="O575" s="455"/>
      <c r="P575" s="454"/>
      <c r="Q575" s="455"/>
      <c r="R575" s="454"/>
      <c r="S575" s="455"/>
      <c r="T575" s="454"/>
      <c r="U575" s="455"/>
      <c r="V575" s="454"/>
      <c r="W575" s="455"/>
      <c r="X575" s="454"/>
      <c r="Y575" s="455"/>
      <c r="Z575" s="454"/>
      <c r="AA575" s="455"/>
      <c r="AB575" s="454"/>
      <c r="AC575" s="455"/>
      <c r="AD575" s="454"/>
      <c r="AE575" s="455"/>
      <c r="AF575" s="454"/>
      <c r="AG575" s="455"/>
    </row>
    <row r="576" spans="1:33" x14ac:dyDescent="0.2">
      <c r="A576" s="415">
        <f t="shared" si="17"/>
        <v>1360</v>
      </c>
      <c r="B576" s="416" t="str">
        <f t="shared" si="18"/>
        <v>Winter</v>
      </c>
      <c r="C576" s="453"/>
      <c r="D576" s="454"/>
      <c r="E576" s="455"/>
      <c r="F576" s="454"/>
      <c r="G576" s="455"/>
      <c r="H576" s="454"/>
      <c r="I576" s="455"/>
      <c r="J576" s="454"/>
      <c r="K576" s="455"/>
      <c r="L576" s="454"/>
      <c r="M576" s="455"/>
      <c r="N576" s="454"/>
      <c r="O576" s="455"/>
      <c r="P576" s="454"/>
      <c r="Q576" s="455"/>
      <c r="R576" s="454"/>
      <c r="S576" s="455"/>
      <c r="T576" s="454"/>
      <c r="U576" s="455"/>
      <c r="V576" s="454"/>
      <c r="W576" s="455"/>
      <c r="X576" s="454"/>
      <c r="Y576" s="455"/>
      <c r="Z576" s="454"/>
      <c r="AA576" s="455"/>
      <c r="AB576" s="454"/>
      <c r="AC576" s="455"/>
      <c r="AD576" s="454"/>
      <c r="AE576" s="455"/>
      <c r="AF576" s="454"/>
      <c r="AG576" s="455"/>
    </row>
    <row r="577" spans="1:33" x14ac:dyDescent="0.2">
      <c r="A577" s="415">
        <f t="shared" si="17"/>
        <v>1360</v>
      </c>
      <c r="B577" s="416" t="str">
        <f t="shared" si="18"/>
        <v>Spring</v>
      </c>
      <c r="C577" s="453"/>
      <c r="D577" s="454"/>
      <c r="E577" s="455"/>
      <c r="F577" s="454"/>
      <c r="G577" s="455"/>
      <c r="H577" s="454"/>
      <c r="I577" s="455"/>
      <c r="J577" s="454"/>
      <c r="K577" s="455"/>
      <c r="L577" s="454"/>
      <c r="M577" s="455"/>
      <c r="N577" s="454"/>
      <c r="O577" s="455"/>
      <c r="P577" s="454"/>
      <c r="Q577" s="455"/>
      <c r="R577" s="454"/>
      <c r="S577" s="455"/>
      <c r="T577" s="454"/>
      <c r="U577" s="455"/>
      <c r="V577" s="454"/>
      <c r="W577" s="455"/>
      <c r="X577" s="454"/>
      <c r="Y577" s="455"/>
      <c r="Z577" s="454"/>
      <c r="AA577" s="455"/>
      <c r="AB577" s="454"/>
      <c r="AC577" s="455"/>
      <c r="AD577" s="454"/>
      <c r="AE577" s="455"/>
      <c r="AF577" s="454"/>
      <c r="AG577" s="455"/>
    </row>
    <row r="578" spans="1:33" x14ac:dyDescent="0.2">
      <c r="A578" s="415">
        <f t="shared" si="17"/>
        <v>1360</v>
      </c>
      <c r="B578" s="416" t="str">
        <f t="shared" si="18"/>
        <v>Summer</v>
      </c>
      <c r="C578" s="453"/>
      <c r="D578" s="454"/>
      <c r="E578" s="455"/>
      <c r="F578" s="454"/>
      <c r="G578" s="455"/>
      <c r="H578" s="454"/>
      <c r="I578" s="455"/>
      <c r="J578" s="454"/>
      <c r="K578" s="455"/>
      <c r="L578" s="454"/>
      <c r="M578" s="455"/>
      <c r="N578" s="454"/>
      <c r="O578" s="455"/>
      <c r="P578" s="454"/>
      <c r="Q578" s="455"/>
      <c r="R578" s="454"/>
      <c r="S578" s="455"/>
      <c r="T578" s="454"/>
      <c r="U578" s="455"/>
      <c r="V578" s="454"/>
      <c r="W578" s="455"/>
      <c r="X578" s="454"/>
      <c r="Y578" s="455"/>
      <c r="Z578" s="454"/>
      <c r="AA578" s="455"/>
      <c r="AB578" s="454"/>
      <c r="AC578" s="455"/>
      <c r="AD578" s="454"/>
      <c r="AE578" s="455"/>
      <c r="AF578" s="454"/>
      <c r="AG578" s="455"/>
    </row>
    <row r="579" spans="1:33" x14ac:dyDescent="0.2">
      <c r="A579" s="415">
        <f t="shared" si="17"/>
        <v>1360</v>
      </c>
      <c r="B579" s="416" t="str">
        <f t="shared" si="18"/>
        <v>Autumn</v>
      </c>
      <c r="C579" s="453"/>
      <c r="D579" s="454"/>
      <c r="E579" s="455"/>
      <c r="F579" s="454"/>
      <c r="G579" s="455"/>
      <c r="H579" s="454"/>
      <c r="I579" s="455"/>
      <c r="J579" s="454"/>
      <c r="K579" s="455"/>
      <c r="L579" s="454"/>
      <c r="M579" s="455"/>
      <c r="N579" s="454"/>
      <c r="O579" s="455"/>
      <c r="P579" s="454"/>
      <c r="Q579" s="455"/>
      <c r="R579" s="454"/>
      <c r="S579" s="455"/>
      <c r="T579" s="454"/>
      <c r="U579" s="455"/>
      <c r="V579" s="454"/>
      <c r="W579" s="455"/>
      <c r="X579" s="454"/>
      <c r="Y579" s="455"/>
      <c r="Z579" s="454"/>
      <c r="AA579" s="455"/>
      <c r="AB579" s="454"/>
      <c r="AC579" s="455"/>
      <c r="AD579" s="454"/>
      <c r="AE579" s="455"/>
      <c r="AF579" s="454"/>
      <c r="AG579" s="455"/>
    </row>
    <row r="580" spans="1:33" x14ac:dyDescent="0.2">
      <c r="A580" s="415">
        <f t="shared" si="17"/>
        <v>1361</v>
      </c>
      <c r="B580" s="416" t="str">
        <f t="shared" si="18"/>
        <v>Winter</v>
      </c>
      <c r="C580" s="453"/>
      <c r="D580" s="454"/>
      <c r="E580" s="455"/>
      <c r="F580" s="454"/>
      <c r="G580" s="455"/>
      <c r="H580" s="454"/>
      <c r="I580" s="455"/>
      <c r="J580" s="454"/>
      <c r="K580" s="455"/>
      <c r="L580" s="454"/>
      <c r="M580" s="455"/>
      <c r="N580" s="454"/>
      <c r="O580" s="455"/>
      <c r="P580" s="454"/>
      <c r="Q580" s="455"/>
      <c r="R580" s="454"/>
      <c r="S580" s="455"/>
      <c r="T580" s="454"/>
      <c r="U580" s="455"/>
      <c r="V580" s="454"/>
      <c r="W580" s="455"/>
      <c r="X580" s="454"/>
      <c r="Y580" s="455"/>
      <c r="Z580" s="454"/>
      <c r="AA580" s="455"/>
      <c r="AB580" s="454"/>
      <c r="AC580" s="455"/>
      <c r="AD580" s="454"/>
      <c r="AE580" s="455"/>
      <c r="AF580" s="454"/>
      <c r="AG580" s="455"/>
    </row>
    <row r="581" spans="1:33" x14ac:dyDescent="0.2">
      <c r="A581" s="415">
        <f t="shared" ref="A581:A644" si="19">IF(B580="Autumn",A580+1,A580)</f>
        <v>1361</v>
      </c>
      <c r="B581" s="416" t="str">
        <f t="shared" si="18"/>
        <v>Spring</v>
      </c>
      <c r="C581" s="453"/>
      <c r="D581" s="454"/>
      <c r="E581" s="455"/>
      <c r="F581" s="454"/>
      <c r="G581" s="455"/>
      <c r="H581" s="454"/>
      <c r="I581" s="455"/>
      <c r="J581" s="454"/>
      <c r="K581" s="455"/>
      <c r="L581" s="454"/>
      <c r="M581" s="455"/>
      <c r="N581" s="454"/>
      <c r="O581" s="455"/>
      <c r="P581" s="454"/>
      <c r="Q581" s="455"/>
      <c r="R581" s="454"/>
      <c r="S581" s="455"/>
      <c r="T581" s="454"/>
      <c r="U581" s="455"/>
      <c r="V581" s="454"/>
      <c r="W581" s="455"/>
      <c r="X581" s="454"/>
      <c r="Y581" s="455"/>
      <c r="Z581" s="454"/>
      <c r="AA581" s="455"/>
      <c r="AB581" s="454"/>
      <c r="AC581" s="455"/>
      <c r="AD581" s="454"/>
      <c r="AE581" s="455"/>
      <c r="AF581" s="454"/>
      <c r="AG581" s="455"/>
    </row>
    <row r="582" spans="1:33" x14ac:dyDescent="0.2">
      <c r="A582" s="415">
        <f t="shared" si="19"/>
        <v>1361</v>
      </c>
      <c r="B582" s="416" t="str">
        <f t="shared" si="18"/>
        <v>Summer</v>
      </c>
      <c r="C582" s="453"/>
      <c r="D582" s="454"/>
      <c r="E582" s="455"/>
      <c r="F582" s="454"/>
      <c r="G582" s="455"/>
      <c r="H582" s="454"/>
      <c r="I582" s="455"/>
      <c r="J582" s="454"/>
      <c r="K582" s="455"/>
      <c r="L582" s="454"/>
      <c r="M582" s="455"/>
      <c r="N582" s="454"/>
      <c r="O582" s="455"/>
      <c r="P582" s="454"/>
      <c r="Q582" s="455"/>
      <c r="R582" s="454"/>
      <c r="S582" s="455"/>
      <c r="T582" s="454"/>
      <c r="U582" s="455"/>
      <c r="V582" s="454"/>
      <c r="W582" s="455"/>
      <c r="X582" s="454"/>
      <c r="Y582" s="455"/>
      <c r="Z582" s="454"/>
      <c r="AA582" s="455"/>
      <c r="AB582" s="454"/>
      <c r="AC582" s="455"/>
      <c r="AD582" s="454"/>
      <c r="AE582" s="455"/>
      <c r="AF582" s="454"/>
      <c r="AG582" s="455"/>
    </row>
    <row r="583" spans="1:33" x14ac:dyDescent="0.2">
      <c r="A583" s="415">
        <f t="shared" si="19"/>
        <v>1361</v>
      </c>
      <c r="B583" s="416" t="str">
        <f t="shared" si="18"/>
        <v>Autumn</v>
      </c>
      <c r="C583" s="453"/>
      <c r="D583" s="454"/>
      <c r="E583" s="455"/>
      <c r="F583" s="454"/>
      <c r="G583" s="455"/>
      <c r="H583" s="454"/>
      <c r="I583" s="455"/>
      <c r="J583" s="454"/>
      <c r="K583" s="455"/>
      <c r="L583" s="454"/>
      <c r="M583" s="455"/>
      <c r="N583" s="454"/>
      <c r="O583" s="455"/>
      <c r="P583" s="454"/>
      <c r="Q583" s="455"/>
      <c r="R583" s="454"/>
      <c r="S583" s="455"/>
      <c r="T583" s="454"/>
      <c r="U583" s="455"/>
      <c r="V583" s="454"/>
      <c r="W583" s="455"/>
      <c r="X583" s="454"/>
      <c r="Y583" s="455"/>
      <c r="Z583" s="454"/>
      <c r="AA583" s="455"/>
      <c r="AB583" s="454"/>
      <c r="AC583" s="455"/>
      <c r="AD583" s="454"/>
      <c r="AE583" s="455"/>
      <c r="AF583" s="454"/>
      <c r="AG583" s="455"/>
    </row>
    <row r="584" spans="1:33" x14ac:dyDescent="0.2">
      <c r="A584" s="415">
        <f t="shared" si="19"/>
        <v>1362</v>
      </c>
      <c r="B584" s="416" t="str">
        <f t="shared" si="18"/>
        <v>Winter</v>
      </c>
      <c r="C584" s="453"/>
      <c r="D584" s="454"/>
      <c r="E584" s="455"/>
      <c r="F584" s="454"/>
      <c r="G584" s="455"/>
      <c r="H584" s="454"/>
      <c r="I584" s="455"/>
      <c r="J584" s="454"/>
      <c r="K584" s="455"/>
      <c r="L584" s="454"/>
      <c r="M584" s="455"/>
      <c r="N584" s="454"/>
      <c r="O584" s="455"/>
      <c r="P584" s="454"/>
      <c r="Q584" s="455"/>
      <c r="R584" s="454"/>
      <c r="S584" s="455"/>
      <c r="T584" s="454"/>
      <c r="U584" s="455"/>
      <c r="V584" s="454"/>
      <c r="W584" s="455"/>
      <c r="X584" s="454"/>
      <c r="Y584" s="455"/>
      <c r="Z584" s="454"/>
      <c r="AA584" s="455"/>
      <c r="AB584" s="454"/>
      <c r="AC584" s="455"/>
      <c r="AD584" s="454"/>
      <c r="AE584" s="455"/>
      <c r="AF584" s="454"/>
      <c r="AG584" s="455"/>
    </row>
    <row r="585" spans="1:33" x14ac:dyDescent="0.2">
      <c r="A585" s="415">
        <f t="shared" si="19"/>
        <v>1362</v>
      </c>
      <c r="B585" s="416" t="str">
        <f t="shared" si="18"/>
        <v>Spring</v>
      </c>
      <c r="C585" s="453"/>
      <c r="D585" s="454"/>
      <c r="E585" s="455"/>
      <c r="F585" s="454"/>
      <c r="G585" s="455"/>
      <c r="H585" s="454"/>
      <c r="I585" s="455"/>
      <c r="J585" s="454"/>
      <c r="K585" s="455"/>
      <c r="L585" s="454"/>
      <c r="M585" s="455"/>
      <c r="N585" s="454"/>
      <c r="O585" s="455"/>
      <c r="P585" s="454"/>
      <c r="Q585" s="455"/>
      <c r="R585" s="454"/>
      <c r="S585" s="455"/>
      <c r="T585" s="454"/>
      <c r="U585" s="455"/>
      <c r="V585" s="454"/>
      <c r="W585" s="455"/>
      <c r="X585" s="454"/>
      <c r="Y585" s="455"/>
      <c r="Z585" s="454"/>
      <c r="AA585" s="455"/>
      <c r="AB585" s="454"/>
      <c r="AC585" s="455"/>
      <c r="AD585" s="454"/>
      <c r="AE585" s="455"/>
      <c r="AF585" s="454"/>
      <c r="AG585" s="455"/>
    </row>
    <row r="586" spans="1:33" x14ac:dyDescent="0.2">
      <c r="A586" s="415">
        <f t="shared" si="19"/>
        <v>1362</v>
      </c>
      <c r="B586" s="416" t="str">
        <f t="shared" si="18"/>
        <v>Summer</v>
      </c>
      <c r="C586" s="453"/>
      <c r="D586" s="454"/>
      <c r="E586" s="455"/>
      <c r="F586" s="454"/>
      <c r="G586" s="455"/>
      <c r="H586" s="454"/>
      <c r="I586" s="455"/>
      <c r="J586" s="454"/>
      <c r="K586" s="455"/>
      <c r="L586" s="454"/>
      <c r="M586" s="455"/>
      <c r="N586" s="454"/>
      <c r="O586" s="455"/>
      <c r="P586" s="454"/>
      <c r="Q586" s="455"/>
      <c r="R586" s="454"/>
      <c r="S586" s="455"/>
      <c r="T586" s="454"/>
      <c r="U586" s="455"/>
      <c r="V586" s="454"/>
      <c r="W586" s="455"/>
      <c r="X586" s="454"/>
      <c r="Y586" s="455"/>
      <c r="Z586" s="454"/>
      <c r="AA586" s="455"/>
      <c r="AB586" s="454"/>
      <c r="AC586" s="455"/>
      <c r="AD586" s="454"/>
      <c r="AE586" s="455"/>
      <c r="AF586" s="454"/>
      <c r="AG586" s="455"/>
    </row>
    <row r="587" spans="1:33" x14ac:dyDescent="0.2">
      <c r="A587" s="415">
        <f t="shared" si="19"/>
        <v>1362</v>
      </c>
      <c r="B587" s="416" t="str">
        <f t="shared" si="18"/>
        <v>Autumn</v>
      </c>
      <c r="C587" s="453"/>
      <c r="D587" s="454"/>
      <c r="E587" s="455"/>
      <c r="F587" s="454"/>
      <c r="G587" s="455"/>
      <c r="H587" s="454"/>
      <c r="I587" s="455"/>
      <c r="J587" s="454"/>
      <c r="K587" s="455"/>
      <c r="L587" s="454"/>
      <c r="M587" s="455"/>
      <c r="N587" s="454"/>
      <c r="O587" s="455"/>
      <c r="P587" s="454"/>
      <c r="Q587" s="455"/>
      <c r="R587" s="454"/>
      <c r="S587" s="455"/>
      <c r="T587" s="454"/>
      <c r="U587" s="455"/>
      <c r="V587" s="454"/>
      <c r="W587" s="455"/>
      <c r="X587" s="454"/>
      <c r="Y587" s="455"/>
      <c r="Z587" s="454"/>
      <c r="AA587" s="455"/>
      <c r="AB587" s="454"/>
      <c r="AC587" s="455"/>
      <c r="AD587" s="454"/>
      <c r="AE587" s="455"/>
      <c r="AF587" s="454"/>
      <c r="AG587" s="455"/>
    </row>
    <row r="588" spans="1:33" x14ac:dyDescent="0.2">
      <c r="A588" s="415">
        <f t="shared" si="19"/>
        <v>1363</v>
      </c>
      <c r="B588" s="416" t="str">
        <f t="shared" si="18"/>
        <v>Winter</v>
      </c>
      <c r="C588" s="453"/>
      <c r="D588" s="454"/>
      <c r="E588" s="455"/>
      <c r="F588" s="454"/>
      <c r="G588" s="455"/>
      <c r="H588" s="454"/>
      <c r="I588" s="455"/>
      <c r="J588" s="454"/>
      <c r="K588" s="455"/>
      <c r="L588" s="454"/>
      <c r="M588" s="455"/>
      <c r="N588" s="454"/>
      <c r="O588" s="455"/>
      <c r="P588" s="454"/>
      <c r="Q588" s="455"/>
      <c r="R588" s="454"/>
      <c r="S588" s="455"/>
      <c r="T588" s="454"/>
      <c r="U588" s="455"/>
      <c r="V588" s="454"/>
      <c r="W588" s="455"/>
      <c r="X588" s="454"/>
      <c r="Y588" s="455"/>
      <c r="Z588" s="454"/>
      <c r="AA588" s="455"/>
      <c r="AB588" s="454"/>
      <c r="AC588" s="455"/>
      <c r="AD588" s="454"/>
      <c r="AE588" s="455"/>
      <c r="AF588" s="454"/>
      <c r="AG588" s="455"/>
    </row>
    <row r="589" spans="1:33" x14ac:dyDescent="0.2">
      <c r="A589" s="415">
        <f t="shared" si="19"/>
        <v>1363</v>
      </c>
      <c r="B589" s="416" t="str">
        <f t="shared" si="18"/>
        <v>Spring</v>
      </c>
      <c r="C589" s="453"/>
      <c r="D589" s="454"/>
      <c r="E589" s="455"/>
      <c r="F589" s="454"/>
      <c r="G589" s="455"/>
      <c r="H589" s="454"/>
      <c r="I589" s="455"/>
      <c r="J589" s="454"/>
      <c r="K589" s="455"/>
      <c r="L589" s="454"/>
      <c r="M589" s="455"/>
      <c r="N589" s="454"/>
      <c r="O589" s="455"/>
      <c r="P589" s="454"/>
      <c r="Q589" s="455"/>
      <c r="R589" s="454"/>
      <c r="S589" s="455"/>
      <c r="T589" s="454"/>
      <c r="U589" s="455"/>
      <c r="V589" s="454"/>
      <c r="W589" s="455"/>
      <c r="X589" s="454"/>
      <c r="Y589" s="455"/>
      <c r="Z589" s="454"/>
      <c r="AA589" s="455"/>
      <c r="AB589" s="454"/>
      <c r="AC589" s="455"/>
      <c r="AD589" s="454"/>
      <c r="AE589" s="455"/>
      <c r="AF589" s="454"/>
      <c r="AG589" s="455"/>
    </row>
    <row r="590" spans="1:33" x14ac:dyDescent="0.2">
      <c r="A590" s="415">
        <f t="shared" si="19"/>
        <v>1363</v>
      </c>
      <c r="B590" s="416" t="str">
        <f t="shared" si="18"/>
        <v>Summer</v>
      </c>
      <c r="C590" s="453"/>
      <c r="D590" s="454"/>
      <c r="E590" s="455"/>
      <c r="F590" s="454"/>
      <c r="G590" s="455"/>
      <c r="H590" s="454"/>
      <c r="I590" s="455"/>
      <c r="J590" s="454"/>
      <c r="K590" s="455"/>
      <c r="L590" s="454"/>
      <c r="M590" s="455"/>
      <c r="N590" s="454"/>
      <c r="O590" s="455"/>
      <c r="P590" s="454"/>
      <c r="Q590" s="455"/>
      <c r="R590" s="454"/>
      <c r="S590" s="455"/>
      <c r="T590" s="454"/>
      <c r="U590" s="455"/>
      <c r="V590" s="454"/>
      <c r="W590" s="455"/>
      <c r="X590" s="454"/>
      <c r="Y590" s="455"/>
      <c r="Z590" s="454"/>
      <c r="AA590" s="455"/>
      <c r="AB590" s="454"/>
      <c r="AC590" s="455"/>
      <c r="AD590" s="454"/>
      <c r="AE590" s="455"/>
      <c r="AF590" s="454"/>
      <c r="AG590" s="455"/>
    </row>
    <row r="591" spans="1:33" x14ac:dyDescent="0.2">
      <c r="A591" s="415">
        <f t="shared" si="19"/>
        <v>1363</v>
      </c>
      <c r="B591" s="416" t="str">
        <f t="shared" si="18"/>
        <v>Autumn</v>
      </c>
      <c r="C591" s="453"/>
      <c r="D591" s="454"/>
      <c r="E591" s="455"/>
      <c r="F591" s="454"/>
      <c r="G591" s="455"/>
      <c r="H591" s="454"/>
      <c r="I591" s="455"/>
      <c r="J591" s="454"/>
      <c r="K591" s="455"/>
      <c r="L591" s="454"/>
      <c r="M591" s="455"/>
      <c r="N591" s="454"/>
      <c r="O591" s="455"/>
      <c r="P591" s="454"/>
      <c r="Q591" s="455"/>
      <c r="R591" s="454"/>
      <c r="S591" s="455"/>
      <c r="T591" s="454"/>
      <c r="U591" s="455"/>
      <c r="V591" s="454"/>
      <c r="W591" s="455"/>
      <c r="X591" s="454"/>
      <c r="Y591" s="455"/>
      <c r="Z591" s="454"/>
      <c r="AA591" s="455"/>
      <c r="AB591" s="454"/>
      <c r="AC591" s="455"/>
      <c r="AD591" s="454"/>
      <c r="AE591" s="455"/>
      <c r="AF591" s="454"/>
      <c r="AG591" s="455"/>
    </row>
    <row r="592" spans="1:33" x14ac:dyDescent="0.2">
      <c r="A592" s="415">
        <f t="shared" si="19"/>
        <v>1364</v>
      </c>
      <c r="B592" s="416" t="str">
        <f t="shared" si="18"/>
        <v>Winter</v>
      </c>
      <c r="C592" s="453"/>
      <c r="D592" s="454"/>
      <c r="E592" s="455"/>
      <c r="F592" s="454"/>
      <c r="G592" s="455"/>
      <c r="H592" s="454"/>
      <c r="I592" s="455"/>
      <c r="J592" s="454"/>
      <c r="K592" s="455"/>
      <c r="L592" s="454"/>
      <c r="M592" s="455"/>
      <c r="N592" s="454"/>
      <c r="O592" s="455"/>
      <c r="P592" s="454"/>
      <c r="Q592" s="455"/>
      <c r="R592" s="454"/>
      <c r="S592" s="455"/>
      <c r="T592" s="454"/>
      <c r="U592" s="455"/>
      <c r="V592" s="454"/>
      <c r="W592" s="455"/>
      <c r="X592" s="454"/>
      <c r="Y592" s="455"/>
      <c r="Z592" s="454"/>
      <c r="AA592" s="455"/>
      <c r="AB592" s="454"/>
      <c r="AC592" s="455"/>
      <c r="AD592" s="454"/>
      <c r="AE592" s="455"/>
      <c r="AF592" s="454"/>
      <c r="AG592" s="455"/>
    </row>
    <row r="593" spans="1:33" x14ac:dyDescent="0.2">
      <c r="A593" s="415">
        <f t="shared" si="19"/>
        <v>1364</v>
      </c>
      <c r="B593" s="416" t="str">
        <f t="shared" si="18"/>
        <v>Spring</v>
      </c>
      <c r="C593" s="453"/>
      <c r="D593" s="454"/>
      <c r="E593" s="455"/>
      <c r="F593" s="454"/>
      <c r="G593" s="455"/>
      <c r="H593" s="454"/>
      <c r="I593" s="455"/>
      <c r="J593" s="454"/>
      <c r="K593" s="455"/>
      <c r="L593" s="454"/>
      <c r="M593" s="455"/>
      <c r="N593" s="454"/>
      <c r="O593" s="455"/>
      <c r="P593" s="454"/>
      <c r="Q593" s="455"/>
      <c r="R593" s="454"/>
      <c r="S593" s="455"/>
      <c r="T593" s="454"/>
      <c r="U593" s="455"/>
      <c r="V593" s="454"/>
      <c r="W593" s="455"/>
      <c r="X593" s="454"/>
      <c r="Y593" s="455"/>
      <c r="Z593" s="454"/>
      <c r="AA593" s="455"/>
      <c r="AB593" s="454"/>
      <c r="AC593" s="455"/>
      <c r="AD593" s="454"/>
      <c r="AE593" s="455"/>
      <c r="AF593" s="454"/>
      <c r="AG593" s="455"/>
    </row>
    <row r="594" spans="1:33" x14ac:dyDescent="0.2">
      <c r="A594" s="415">
        <f t="shared" si="19"/>
        <v>1364</v>
      </c>
      <c r="B594" s="416" t="str">
        <f t="shared" si="18"/>
        <v>Summer</v>
      </c>
      <c r="C594" s="453"/>
      <c r="D594" s="454"/>
      <c r="E594" s="455"/>
      <c r="F594" s="454"/>
      <c r="G594" s="455"/>
      <c r="H594" s="454"/>
      <c r="I594" s="455"/>
      <c r="J594" s="454"/>
      <c r="K594" s="455"/>
      <c r="L594" s="454"/>
      <c r="M594" s="455"/>
      <c r="N594" s="454"/>
      <c r="O594" s="455"/>
      <c r="P594" s="454"/>
      <c r="Q594" s="455"/>
      <c r="R594" s="454"/>
      <c r="S594" s="455"/>
      <c r="T594" s="454"/>
      <c r="U594" s="455"/>
      <c r="V594" s="454"/>
      <c r="W594" s="455"/>
      <c r="X594" s="454"/>
      <c r="Y594" s="455"/>
      <c r="Z594" s="454"/>
      <c r="AA594" s="455"/>
      <c r="AB594" s="454"/>
      <c r="AC594" s="455"/>
      <c r="AD594" s="454"/>
      <c r="AE594" s="455"/>
      <c r="AF594" s="454"/>
      <c r="AG594" s="455"/>
    </row>
    <row r="595" spans="1:33" x14ac:dyDescent="0.2">
      <c r="A595" s="415">
        <f t="shared" si="19"/>
        <v>1364</v>
      </c>
      <c r="B595" s="416" t="str">
        <f t="shared" si="18"/>
        <v>Autumn</v>
      </c>
      <c r="C595" s="453"/>
      <c r="D595" s="454"/>
      <c r="E595" s="455"/>
      <c r="F595" s="454"/>
      <c r="G595" s="455"/>
      <c r="H595" s="454"/>
      <c r="I595" s="455"/>
      <c r="J595" s="454"/>
      <c r="K595" s="455"/>
      <c r="L595" s="454"/>
      <c r="M595" s="455"/>
      <c r="N595" s="454"/>
      <c r="O595" s="455"/>
      <c r="P595" s="454"/>
      <c r="Q595" s="455"/>
      <c r="R595" s="454"/>
      <c r="S595" s="455"/>
      <c r="T595" s="454"/>
      <c r="U595" s="455"/>
      <c r="V595" s="454"/>
      <c r="W595" s="455"/>
      <c r="X595" s="454"/>
      <c r="Y595" s="455"/>
      <c r="Z595" s="454"/>
      <c r="AA595" s="455"/>
      <c r="AB595" s="454"/>
      <c r="AC595" s="455"/>
      <c r="AD595" s="454"/>
      <c r="AE595" s="455"/>
      <c r="AF595" s="454"/>
      <c r="AG595" s="455"/>
    </row>
    <row r="596" spans="1:33" x14ac:dyDescent="0.2">
      <c r="A596" s="415">
        <f t="shared" si="19"/>
        <v>1365</v>
      </c>
      <c r="B596" s="416" t="str">
        <f t="shared" si="18"/>
        <v>Winter</v>
      </c>
      <c r="C596" s="453"/>
      <c r="D596" s="454"/>
      <c r="E596" s="455"/>
      <c r="F596" s="454"/>
      <c r="G596" s="455"/>
      <c r="H596" s="454"/>
      <c r="I596" s="455"/>
      <c r="J596" s="454"/>
      <c r="K596" s="455"/>
      <c r="L596" s="454"/>
      <c r="M596" s="455"/>
      <c r="N596" s="454"/>
      <c r="O596" s="455"/>
      <c r="P596" s="454"/>
      <c r="Q596" s="455"/>
      <c r="R596" s="454"/>
      <c r="S596" s="455"/>
      <c r="T596" s="454"/>
      <c r="U596" s="455"/>
      <c r="V596" s="454"/>
      <c r="W596" s="455"/>
      <c r="X596" s="454"/>
      <c r="Y596" s="455"/>
      <c r="Z596" s="454"/>
      <c r="AA596" s="455"/>
      <c r="AB596" s="454"/>
      <c r="AC596" s="455"/>
      <c r="AD596" s="454"/>
      <c r="AE596" s="455"/>
      <c r="AF596" s="454"/>
      <c r="AG596" s="455"/>
    </row>
    <row r="597" spans="1:33" x14ac:dyDescent="0.2">
      <c r="A597" s="415">
        <f t="shared" si="19"/>
        <v>1365</v>
      </c>
      <c r="B597" s="416" t="str">
        <f t="shared" si="18"/>
        <v>Spring</v>
      </c>
      <c r="C597" s="453"/>
      <c r="D597" s="454"/>
      <c r="E597" s="455"/>
      <c r="F597" s="454"/>
      <c r="G597" s="455"/>
      <c r="H597" s="454"/>
      <c r="I597" s="455"/>
      <c r="J597" s="454"/>
      <c r="K597" s="455"/>
      <c r="L597" s="454"/>
      <c r="M597" s="455"/>
      <c r="N597" s="454"/>
      <c r="O597" s="455"/>
      <c r="P597" s="454"/>
      <c r="Q597" s="455"/>
      <c r="R597" s="454"/>
      <c r="S597" s="455"/>
      <c r="T597" s="454"/>
      <c r="U597" s="455"/>
      <c r="V597" s="454"/>
      <c r="W597" s="455"/>
      <c r="X597" s="454"/>
      <c r="Y597" s="455"/>
      <c r="Z597" s="454"/>
      <c r="AA597" s="455"/>
      <c r="AB597" s="454"/>
      <c r="AC597" s="455"/>
      <c r="AD597" s="454"/>
      <c r="AE597" s="455"/>
      <c r="AF597" s="454"/>
      <c r="AG597" s="455"/>
    </row>
    <row r="598" spans="1:33" x14ac:dyDescent="0.2">
      <c r="A598" s="415">
        <f t="shared" si="19"/>
        <v>1365</v>
      </c>
      <c r="B598" s="416" t="str">
        <f t="shared" si="18"/>
        <v>Summer</v>
      </c>
      <c r="C598" s="453"/>
      <c r="D598" s="454"/>
      <c r="E598" s="455"/>
      <c r="F598" s="454"/>
      <c r="G598" s="455"/>
      <c r="H598" s="454"/>
      <c r="I598" s="455"/>
      <c r="J598" s="454"/>
      <c r="K598" s="455"/>
      <c r="L598" s="454"/>
      <c r="M598" s="455"/>
      <c r="N598" s="454"/>
      <c r="O598" s="455"/>
      <c r="P598" s="454"/>
      <c r="Q598" s="455"/>
      <c r="R598" s="454"/>
      <c r="S598" s="455"/>
      <c r="T598" s="454"/>
      <c r="U598" s="455"/>
      <c r="V598" s="454"/>
      <c r="W598" s="455"/>
      <c r="X598" s="454"/>
      <c r="Y598" s="455"/>
      <c r="Z598" s="454"/>
      <c r="AA598" s="455"/>
      <c r="AB598" s="454"/>
      <c r="AC598" s="455"/>
      <c r="AD598" s="454"/>
      <c r="AE598" s="455"/>
      <c r="AF598" s="454"/>
      <c r="AG598" s="455"/>
    </row>
    <row r="599" spans="1:33" x14ac:dyDescent="0.2">
      <c r="A599" s="415">
        <f t="shared" si="19"/>
        <v>1365</v>
      </c>
      <c r="B599" s="416" t="str">
        <f t="shared" si="18"/>
        <v>Autumn</v>
      </c>
      <c r="C599" s="453"/>
      <c r="D599" s="454"/>
      <c r="E599" s="455"/>
      <c r="F599" s="454"/>
      <c r="G599" s="455"/>
      <c r="H599" s="454"/>
      <c r="I599" s="455"/>
      <c r="J599" s="454"/>
      <c r="K599" s="455"/>
      <c r="L599" s="454"/>
      <c r="M599" s="455"/>
      <c r="N599" s="454"/>
      <c r="O599" s="455"/>
      <c r="P599" s="454"/>
      <c r="Q599" s="455"/>
      <c r="R599" s="454"/>
      <c r="S599" s="455"/>
      <c r="T599" s="454"/>
      <c r="U599" s="455"/>
      <c r="V599" s="454"/>
      <c r="W599" s="455"/>
      <c r="X599" s="454"/>
      <c r="Y599" s="455"/>
      <c r="Z599" s="454"/>
      <c r="AA599" s="455"/>
      <c r="AB599" s="454"/>
      <c r="AC599" s="455"/>
      <c r="AD599" s="454"/>
      <c r="AE599" s="455"/>
      <c r="AF599" s="454"/>
      <c r="AG599" s="455"/>
    </row>
    <row r="600" spans="1:33" x14ac:dyDescent="0.2">
      <c r="A600" s="415">
        <f t="shared" si="19"/>
        <v>1366</v>
      </c>
      <c r="B600" s="416" t="str">
        <f t="shared" si="18"/>
        <v>Winter</v>
      </c>
      <c r="C600" s="453"/>
      <c r="D600" s="454"/>
      <c r="E600" s="455"/>
      <c r="F600" s="454"/>
      <c r="G600" s="455"/>
      <c r="H600" s="454"/>
      <c r="I600" s="455"/>
      <c r="J600" s="454"/>
      <c r="K600" s="455"/>
      <c r="L600" s="454"/>
      <c r="M600" s="455"/>
      <c r="N600" s="454"/>
      <c r="O600" s="455"/>
      <c r="P600" s="454"/>
      <c r="Q600" s="455"/>
      <c r="R600" s="454"/>
      <c r="S600" s="455"/>
      <c r="T600" s="454"/>
      <c r="U600" s="455"/>
      <c r="V600" s="454"/>
      <c r="W600" s="455"/>
      <c r="X600" s="454"/>
      <c r="Y600" s="455"/>
      <c r="Z600" s="454"/>
      <c r="AA600" s="455"/>
      <c r="AB600" s="454"/>
      <c r="AC600" s="455"/>
      <c r="AD600" s="454"/>
      <c r="AE600" s="455"/>
      <c r="AF600" s="454"/>
      <c r="AG600" s="455"/>
    </row>
    <row r="601" spans="1:33" x14ac:dyDescent="0.2">
      <c r="A601" s="415">
        <f t="shared" si="19"/>
        <v>1366</v>
      </c>
      <c r="B601" s="416" t="str">
        <f t="shared" si="18"/>
        <v>Spring</v>
      </c>
      <c r="C601" s="453"/>
      <c r="D601" s="454"/>
      <c r="E601" s="455"/>
      <c r="F601" s="454"/>
      <c r="G601" s="455"/>
      <c r="H601" s="454"/>
      <c r="I601" s="455"/>
      <c r="J601" s="454"/>
      <c r="K601" s="455"/>
      <c r="L601" s="454"/>
      <c r="M601" s="455"/>
      <c r="N601" s="454"/>
      <c r="O601" s="455"/>
      <c r="P601" s="454"/>
      <c r="Q601" s="455"/>
      <c r="R601" s="454"/>
      <c r="S601" s="455"/>
      <c r="T601" s="454"/>
      <c r="U601" s="455"/>
      <c r="V601" s="454"/>
      <c r="W601" s="455"/>
      <c r="X601" s="454"/>
      <c r="Y601" s="455"/>
      <c r="Z601" s="454"/>
      <c r="AA601" s="455"/>
      <c r="AB601" s="454"/>
      <c r="AC601" s="455"/>
      <c r="AD601" s="454"/>
      <c r="AE601" s="455"/>
      <c r="AF601" s="454"/>
      <c r="AG601" s="455"/>
    </row>
    <row r="602" spans="1:33" x14ac:dyDescent="0.2">
      <c r="A602" s="415">
        <f t="shared" si="19"/>
        <v>1366</v>
      </c>
      <c r="B602" s="416" t="str">
        <f t="shared" si="18"/>
        <v>Summer</v>
      </c>
      <c r="C602" s="453"/>
      <c r="D602" s="454"/>
      <c r="E602" s="455"/>
      <c r="F602" s="454"/>
      <c r="G602" s="455"/>
      <c r="H602" s="454"/>
      <c r="I602" s="455"/>
      <c r="J602" s="454"/>
      <c r="K602" s="455"/>
      <c r="L602" s="454"/>
      <c r="M602" s="455"/>
      <c r="N602" s="454"/>
      <c r="O602" s="455"/>
      <c r="P602" s="454"/>
      <c r="Q602" s="455"/>
      <c r="R602" s="454"/>
      <c r="S602" s="455"/>
      <c r="T602" s="454"/>
      <c r="U602" s="455"/>
      <c r="V602" s="454"/>
      <c r="W602" s="455"/>
      <c r="X602" s="454"/>
      <c r="Y602" s="455"/>
      <c r="Z602" s="454"/>
      <c r="AA602" s="455"/>
      <c r="AB602" s="454"/>
      <c r="AC602" s="455"/>
      <c r="AD602" s="454"/>
      <c r="AE602" s="455"/>
      <c r="AF602" s="454"/>
      <c r="AG602" s="455"/>
    </row>
    <row r="603" spans="1:33" x14ac:dyDescent="0.2">
      <c r="A603" s="415">
        <f t="shared" si="19"/>
        <v>1366</v>
      </c>
      <c r="B603" s="416" t="str">
        <f t="shared" si="18"/>
        <v>Autumn</v>
      </c>
      <c r="C603" s="453"/>
      <c r="D603" s="454"/>
      <c r="E603" s="455"/>
      <c r="F603" s="454"/>
      <c r="G603" s="455"/>
      <c r="H603" s="454"/>
      <c r="I603" s="455"/>
      <c r="J603" s="454"/>
      <c r="K603" s="455"/>
      <c r="L603" s="454"/>
      <c r="M603" s="455"/>
      <c r="N603" s="454"/>
      <c r="O603" s="455"/>
      <c r="P603" s="454"/>
      <c r="Q603" s="455"/>
      <c r="R603" s="454"/>
      <c r="S603" s="455"/>
      <c r="T603" s="454"/>
      <c r="U603" s="455"/>
      <c r="V603" s="454"/>
      <c r="W603" s="455"/>
      <c r="X603" s="454"/>
      <c r="Y603" s="455"/>
      <c r="Z603" s="454"/>
      <c r="AA603" s="455"/>
      <c r="AB603" s="454"/>
      <c r="AC603" s="455"/>
      <c r="AD603" s="454"/>
      <c r="AE603" s="455"/>
      <c r="AF603" s="454"/>
      <c r="AG603" s="455"/>
    </row>
    <row r="604" spans="1:33" x14ac:dyDescent="0.2">
      <c r="A604" s="415">
        <f t="shared" si="19"/>
        <v>1367</v>
      </c>
      <c r="B604" s="416" t="str">
        <f t="shared" si="18"/>
        <v>Winter</v>
      </c>
      <c r="C604" s="453"/>
      <c r="D604" s="454"/>
      <c r="E604" s="455"/>
      <c r="F604" s="454"/>
      <c r="G604" s="455"/>
      <c r="H604" s="454"/>
      <c r="I604" s="455"/>
      <c r="J604" s="454"/>
      <c r="K604" s="455"/>
      <c r="L604" s="454"/>
      <c r="M604" s="455"/>
      <c r="N604" s="454"/>
      <c r="O604" s="455"/>
      <c r="P604" s="454"/>
      <c r="Q604" s="455"/>
      <c r="R604" s="454"/>
      <c r="S604" s="455"/>
      <c r="T604" s="454"/>
      <c r="U604" s="455"/>
      <c r="V604" s="454"/>
      <c r="W604" s="455"/>
      <c r="X604" s="454"/>
      <c r="Y604" s="455"/>
      <c r="Z604" s="454"/>
      <c r="AA604" s="455"/>
      <c r="AB604" s="454"/>
      <c r="AC604" s="455"/>
      <c r="AD604" s="454"/>
      <c r="AE604" s="455"/>
      <c r="AF604" s="454"/>
      <c r="AG604" s="455"/>
    </row>
    <row r="605" spans="1:33" x14ac:dyDescent="0.2">
      <c r="A605" s="415">
        <f t="shared" si="19"/>
        <v>1367</v>
      </c>
      <c r="B605" s="416" t="str">
        <f t="shared" si="18"/>
        <v>Spring</v>
      </c>
      <c r="C605" s="453"/>
      <c r="D605" s="454"/>
      <c r="E605" s="455"/>
      <c r="F605" s="454"/>
      <c r="G605" s="455"/>
      <c r="H605" s="454"/>
      <c r="I605" s="455"/>
      <c r="J605" s="454"/>
      <c r="K605" s="455"/>
      <c r="L605" s="454"/>
      <c r="M605" s="455"/>
      <c r="N605" s="454"/>
      <c r="O605" s="455"/>
      <c r="P605" s="454"/>
      <c r="Q605" s="455"/>
      <c r="R605" s="454"/>
      <c r="S605" s="455"/>
      <c r="T605" s="454"/>
      <c r="U605" s="455"/>
      <c r="V605" s="454"/>
      <c r="W605" s="455"/>
      <c r="X605" s="454"/>
      <c r="Y605" s="455"/>
      <c r="Z605" s="454"/>
      <c r="AA605" s="455"/>
      <c r="AB605" s="454"/>
      <c r="AC605" s="455"/>
      <c r="AD605" s="454"/>
      <c r="AE605" s="455"/>
      <c r="AF605" s="454"/>
      <c r="AG605" s="455"/>
    </row>
    <row r="606" spans="1:33" x14ac:dyDescent="0.2">
      <c r="A606" s="415">
        <f t="shared" si="19"/>
        <v>1367</v>
      </c>
      <c r="B606" s="416" t="str">
        <f t="shared" si="18"/>
        <v>Summer</v>
      </c>
      <c r="C606" s="453"/>
      <c r="D606" s="454"/>
      <c r="E606" s="455"/>
      <c r="F606" s="454"/>
      <c r="G606" s="455"/>
      <c r="H606" s="454"/>
      <c r="I606" s="455"/>
      <c r="J606" s="454"/>
      <c r="K606" s="455"/>
      <c r="L606" s="454"/>
      <c r="M606" s="455"/>
      <c r="N606" s="454"/>
      <c r="O606" s="455"/>
      <c r="P606" s="454"/>
      <c r="Q606" s="455"/>
      <c r="R606" s="454"/>
      <c r="S606" s="455"/>
      <c r="T606" s="454"/>
      <c r="U606" s="455"/>
      <c r="V606" s="454"/>
      <c r="W606" s="455"/>
      <c r="X606" s="454"/>
      <c r="Y606" s="455"/>
      <c r="Z606" s="454"/>
      <c r="AA606" s="455"/>
      <c r="AB606" s="454"/>
      <c r="AC606" s="455"/>
      <c r="AD606" s="454"/>
      <c r="AE606" s="455"/>
      <c r="AF606" s="454"/>
      <c r="AG606" s="455"/>
    </row>
    <row r="607" spans="1:33" x14ac:dyDescent="0.2">
      <c r="A607" s="415">
        <f t="shared" si="19"/>
        <v>1367</v>
      </c>
      <c r="B607" s="416" t="str">
        <f t="shared" si="18"/>
        <v>Autumn</v>
      </c>
      <c r="C607" s="453"/>
      <c r="D607" s="454"/>
      <c r="E607" s="455"/>
      <c r="F607" s="454"/>
      <c r="G607" s="455"/>
      <c r="H607" s="454"/>
      <c r="I607" s="455"/>
      <c r="J607" s="454"/>
      <c r="K607" s="455"/>
      <c r="L607" s="454"/>
      <c r="M607" s="455"/>
      <c r="N607" s="454"/>
      <c r="O607" s="455"/>
      <c r="P607" s="454"/>
      <c r="Q607" s="455"/>
      <c r="R607" s="454"/>
      <c r="S607" s="455"/>
      <c r="T607" s="454"/>
      <c r="U607" s="455"/>
      <c r="V607" s="454"/>
      <c r="W607" s="455"/>
      <c r="X607" s="454"/>
      <c r="Y607" s="455"/>
      <c r="Z607" s="454"/>
      <c r="AA607" s="455"/>
      <c r="AB607" s="454"/>
      <c r="AC607" s="455"/>
      <c r="AD607" s="454"/>
      <c r="AE607" s="455"/>
      <c r="AF607" s="454"/>
      <c r="AG607" s="455"/>
    </row>
    <row r="608" spans="1:33" x14ac:dyDescent="0.2">
      <c r="A608" s="415">
        <f t="shared" si="19"/>
        <v>1368</v>
      </c>
      <c r="B608" s="416" t="str">
        <f t="shared" si="18"/>
        <v>Winter</v>
      </c>
      <c r="C608" s="453"/>
      <c r="D608" s="454"/>
      <c r="E608" s="455"/>
      <c r="F608" s="454"/>
      <c r="G608" s="455"/>
      <c r="H608" s="454"/>
      <c r="I608" s="455"/>
      <c r="J608" s="454"/>
      <c r="K608" s="455"/>
      <c r="L608" s="454"/>
      <c r="M608" s="455"/>
      <c r="N608" s="454"/>
      <c r="O608" s="455"/>
      <c r="P608" s="454"/>
      <c r="Q608" s="455"/>
      <c r="R608" s="454"/>
      <c r="S608" s="455"/>
      <c r="T608" s="454"/>
      <c r="U608" s="455"/>
      <c r="V608" s="454"/>
      <c r="W608" s="455"/>
      <c r="X608" s="454"/>
      <c r="Y608" s="455"/>
      <c r="Z608" s="454"/>
      <c r="AA608" s="455"/>
      <c r="AB608" s="454"/>
      <c r="AC608" s="455"/>
      <c r="AD608" s="454"/>
      <c r="AE608" s="455"/>
      <c r="AF608" s="454"/>
      <c r="AG608" s="455"/>
    </row>
    <row r="609" spans="1:33" x14ac:dyDescent="0.2">
      <c r="A609" s="415">
        <f t="shared" si="19"/>
        <v>1368</v>
      </c>
      <c r="B609" s="416" t="str">
        <f t="shared" si="18"/>
        <v>Spring</v>
      </c>
      <c r="C609" s="453"/>
      <c r="D609" s="454"/>
      <c r="E609" s="455"/>
      <c r="F609" s="454"/>
      <c r="G609" s="455"/>
      <c r="H609" s="454"/>
      <c r="I609" s="455"/>
      <c r="J609" s="454"/>
      <c r="K609" s="455"/>
      <c r="L609" s="454"/>
      <c r="M609" s="455"/>
      <c r="N609" s="454"/>
      <c r="O609" s="455"/>
      <c r="P609" s="454"/>
      <c r="Q609" s="455"/>
      <c r="R609" s="454"/>
      <c r="S609" s="455"/>
      <c r="T609" s="454"/>
      <c r="U609" s="455"/>
      <c r="V609" s="454"/>
      <c r="W609" s="455"/>
      <c r="X609" s="454"/>
      <c r="Y609" s="455"/>
      <c r="Z609" s="454"/>
      <c r="AA609" s="455"/>
      <c r="AB609" s="454"/>
      <c r="AC609" s="455"/>
      <c r="AD609" s="454"/>
      <c r="AE609" s="455"/>
      <c r="AF609" s="454"/>
      <c r="AG609" s="455"/>
    </row>
    <row r="610" spans="1:33" x14ac:dyDescent="0.2">
      <c r="A610" s="415">
        <f t="shared" si="19"/>
        <v>1368</v>
      </c>
      <c r="B610" s="416" t="str">
        <f t="shared" si="18"/>
        <v>Summer</v>
      </c>
      <c r="C610" s="453"/>
      <c r="D610" s="454"/>
      <c r="E610" s="455"/>
      <c r="F610" s="454"/>
      <c r="G610" s="455"/>
      <c r="H610" s="454"/>
      <c r="I610" s="455"/>
      <c r="J610" s="454"/>
      <c r="K610" s="455"/>
      <c r="L610" s="454"/>
      <c r="M610" s="455"/>
      <c r="N610" s="454"/>
      <c r="O610" s="455"/>
      <c r="P610" s="454"/>
      <c r="Q610" s="455"/>
      <c r="R610" s="454"/>
      <c r="S610" s="455"/>
      <c r="T610" s="454"/>
      <c r="U610" s="455"/>
      <c r="V610" s="454"/>
      <c r="W610" s="455"/>
      <c r="X610" s="454"/>
      <c r="Y610" s="455"/>
      <c r="Z610" s="454"/>
      <c r="AA610" s="455"/>
      <c r="AB610" s="454"/>
      <c r="AC610" s="455"/>
      <c r="AD610" s="454"/>
      <c r="AE610" s="455"/>
      <c r="AF610" s="454"/>
      <c r="AG610" s="455"/>
    </row>
    <row r="611" spans="1:33" x14ac:dyDescent="0.2">
      <c r="A611" s="415">
        <f t="shared" si="19"/>
        <v>1368</v>
      </c>
      <c r="B611" s="416" t="str">
        <f t="shared" si="18"/>
        <v>Autumn</v>
      </c>
      <c r="C611" s="453"/>
      <c r="D611" s="454"/>
      <c r="E611" s="455"/>
      <c r="F611" s="454"/>
      <c r="G611" s="455"/>
      <c r="H611" s="454"/>
      <c r="I611" s="455"/>
      <c r="J611" s="454"/>
      <c r="K611" s="455"/>
      <c r="L611" s="454"/>
      <c r="M611" s="455"/>
      <c r="N611" s="454"/>
      <c r="O611" s="455"/>
      <c r="P611" s="454"/>
      <c r="Q611" s="455"/>
      <c r="R611" s="454"/>
      <c r="S611" s="455"/>
      <c r="T611" s="454"/>
      <c r="U611" s="455"/>
      <c r="V611" s="454"/>
      <c r="W611" s="455"/>
      <c r="X611" s="454"/>
      <c r="Y611" s="455"/>
      <c r="Z611" s="454"/>
      <c r="AA611" s="455"/>
      <c r="AB611" s="454"/>
      <c r="AC611" s="455"/>
      <c r="AD611" s="454"/>
      <c r="AE611" s="455"/>
      <c r="AF611" s="454"/>
      <c r="AG611" s="455"/>
    </row>
    <row r="612" spans="1:33" x14ac:dyDescent="0.2">
      <c r="A612" s="415">
        <f t="shared" si="19"/>
        <v>1369</v>
      </c>
      <c r="B612" s="416" t="str">
        <f t="shared" si="18"/>
        <v>Winter</v>
      </c>
      <c r="C612" s="453"/>
      <c r="D612" s="454"/>
      <c r="E612" s="455"/>
      <c r="F612" s="454"/>
      <c r="G612" s="455"/>
      <c r="H612" s="454"/>
      <c r="I612" s="455"/>
      <c r="J612" s="454"/>
      <c r="K612" s="455"/>
      <c r="L612" s="454"/>
      <c r="M612" s="455"/>
      <c r="N612" s="454"/>
      <c r="O612" s="455"/>
      <c r="P612" s="454"/>
      <c r="Q612" s="455"/>
      <c r="R612" s="454"/>
      <c r="S612" s="455"/>
      <c r="T612" s="454"/>
      <c r="U612" s="455"/>
      <c r="V612" s="454"/>
      <c r="W612" s="455"/>
      <c r="X612" s="454"/>
      <c r="Y612" s="455"/>
      <c r="Z612" s="454"/>
      <c r="AA612" s="455"/>
      <c r="AB612" s="454"/>
      <c r="AC612" s="455"/>
      <c r="AD612" s="454"/>
      <c r="AE612" s="455"/>
      <c r="AF612" s="454"/>
      <c r="AG612" s="455"/>
    </row>
    <row r="613" spans="1:33" x14ac:dyDescent="0.2">
      <c r="A613" s="415">
        <f t="shared" si="19"/>
        <v>1369</v>
      </c>
      <c r="B613" s="416" t="str">
        <f t="shared" si="18"/>
        <v>Spring</v>
      </c>
      <c r="C613" s="453"/>
      <c r="D613" s="454"/>
      <c r="E613" s="455"/>
      <c r="F613" s="454"/>
      <c r="G613" s="455"/>
      <c r="H613" s="454"/>
      <c r="I613" s="455"/>
      <c r="J613" s="454"/>
      <c r="K613" s="455"/>
      <c r="L613" s="454"/>
      <c r="M613" s="455"/>
      <c r="N613" s="454"/>
      <c r="O613" s="455"/>
      <c r="P613" s="454"/>
      <c r="Q613" s="455"/>
      <c r="R613" s="454"/>
      <c r="S613" s="455"/>
      <c r="T613" s="454"/>
      <c r="U613" s="455"/>
      <c r="V613" s="454"/>
      <c r="W613" s="455"/>
      <c r="X613" s="454"/>
      <c r="Y613" s="455"/>
      <c r="Z613" s="454"/>
      <c r="AA613" s="455"/>
      <c r="AB613" s="454"/>
      <c r="AC613" s="455"/>
      <c r="AD613" s="454"/>
      <c r="AE613" s="455"/>
      <c r="AF613" s="454"/>
      <c r="AG613" s="455"/>
    </row>
    <row r="614" spans="1:33" x14ac:dyDescent="0.2">
      <c r="A614" s="415">
        <f t="shared" si="19"/>
        <v>1369</v>
      </c>
      <c r="B614" s="416" t="str">
        <f t="shared" si="18"/>
        <v>Summer</v>
      </c>
      <c r="C614" s="453"/>
      <c r="D614" s="454"/>
      <c r="E614" s="455"/>
      <c r="F614" s="454"/>
      <c r="G614" s="455"/>
      <c r="H614" s="454"/>
      <c r="I614" s="455"/>
      <c r="J614" s="454"/>
      <c r="K614" s="455"/>
      <c r="L614" s="454"/>
      <c r="M614" s="455"/>
      <c r="N614" s="454"/>
      <c r="O614" s="455"/>
      <c r="P614" s="454"/>
      <c r="Q614" s="455"/>
      <c r="R614" s="454"/>
      <c r="S614" s="455"/>
      <c r="T614" s="454"/>
      <c r="U614" s="455"/>
      <c r="V614" s="454"/>
      <c r="W614" s="455"/>
      <c r="X614" s="454"/>
      <c r="Y614" s="455"/>
      <c r="Z614" s="454"/>
      <c r="AA614" s="455"/>
      <c r="AB614" s="454"/>
      <c r="AC614" s="455"/>
      <c r="AD614" s="454"/>
      <c r="AE614" s="455"/>
      <c r="AF614" s="454"/>
      <c r="AG614" s="455"/>
    </row>
    <row r="615" spans="1:33" x14ac:dyDescent="0.2">
      <c r="A615" s="415">
        <f t="shared" si="19"/>
        <v>1369</v>
      </c>
      <c r="B615" s="416" t="str">
        <f t="shared" si="18"/>
        <v>Autumn</v>
      </c>
      <c r="C615" s="453"/>
      <c r="D615" s="454"/>
      <c r="E615" s="455"/>
      <c r="F615" s="454"/>
      <c r="G615" s="455"/>
      <c r="H615" s="454"/>
      <c r="I615" s="455"/>
      <c r="J615" s="454"/>
      <c r="K615" s="455"/>
      <c r="L615" s="454"/>
      <c r="M615" s="455"/>
      <c r="N615" s="454"/>
      <c r="O615" s="455"/>
      <c r="P615" s="454"/>
      <c r="Q615" s="455"/>
      <c r="R615" s="454"/>
      <c r="S615" s="455"/>
      <c r="T615" s="454"/>
      <c r="U615" s="455"/>
      <c r="V615" s="454"/>
      <c r="W615" s="455"/>
      <c r="X615" s="454"/>
      <c r="Y615" s="455"/>
      <c r="Z615" s="454"/>
      <c r="AA615" s="455"/>
      <c r="AB615" s="454"/>
      <c r="AC615" s="455"/>
      <c r="AD615" s="454"/>
      <c r="AE615" s="455"/>
      <c r="AF615" s="454"/>
      <c r="AG615" s="455"/>
    </row>
    <row r="616" spans="1:33" x14ac:dyDescent="0.2">
      <c r="A616" s="415">
        <f t="shared" si="19"/>
        <v>1370</v>
      </c>
      <c r="B616" s="416" t="str">
        <f t="shared" si="18"/>
        <v>Winter</v>
      </c>
      <c r="C616" s="453"/>
      <c r="D616" s="454"/>
      <c r="E616" s="455"/>
      <c r="F616" s="454"/>
      <c r="G616" s="455"/>
      <c r="H616" s="454"/>
      <c r="I616" s="455"/>
      <c r="J616" s="454"/>
      <c r="K616" s="455"/>
      <c r="L616" s="454"/>
      <c r="M616" s="455"/>
      <c r="N616" s="454"/>
      <c r="O616" s="455"/>
      <c r="P616" s="454"/>
      <c r="Q616" s="455"/>
      <c r="R616" s="454"/>
      <c r="S616" s="455"/>
      <c r="T616" s="454"/>
      <c r="U616" s="455"/>
      <c r="V616" s="454"/>
      <c r="W616" s="455"/>
      <c r="X616" s="454"/>
      <c r="Y616" s="455"/>
      <c r="Z616" s="454"/>
      <c r="AA616" s="455"/>
      <c r="AB616" s="454"/>
      <c r="AC616" s="455"/>
      <c r="AD616" s="454"/>
      <c r="AE616" s="455"/>
      <c r="AF616" s="454"/>
      <c r="AG616" s="455"/>
    </row>
    <row r="617" spans="1:33" x14ac:dyDescent="0.2">
      <c r="A617" s="415">
        <f t="shared" si="19"/>
        <v>1370</v>
      </c>
      <c r="B617" s="416" t="str">
        <f t="shared" si="18"/>
        <v>Spring</v>
      </c>
      <c r="C617" s="453"/>
      <c r="D617" s="454"/>
      <c r="E617" s="455"/>
      <c r="F617" s="454"/>
      <c r="G617" s="455"/>
      <c r="H617" s="454"/>
      <c r="I617" s="455"/>
      <c r="J617" s="454"/>
      <c r="K617" s="455"/>
      <c r="L617" s="454"/>
      <c r="M617" s="455"/>
      <c r="N617" s="454"/>
      <c r="O617" s="455"/>
      <c r="P617" s="454"/>
      <c r="Q617" s="455"/>
      <c r="R617" s="454"/>
      <c r="S617" s="455"/>
      <c r="T617" s="454"/>
      <c r="U617" s="455"/>
      <c r="V617" s="454"/>
      <c r="W617" s="455"/>
      <c r="X617" s="454"/>
      <c r="Y617" s="455"/>
      <c r="Z617" s="454"/>
      <c r="AA617" s="455"/>
      <c r="AB617" s="454"/>
      <c r="AC617" s="455"/>
      <c r="AD617" s="454"/>
      <c r="AE617" s="455"/>
      <c r="AF617" s="454"/>
      <c r="AG617" s="455"/>
    </row>
    <row r="618" spans="1:33" x14ac:dyDescent="0.2">
      <c r="A618" s="415">
        <f t="shared" si="19"/>
        <v>1370</v>
      </c>
      <c r="B618" s="416" t="str">
        <f t="shared" si="18"/>
        <v>Summer</v>
      </c>
      <c r="C618" s="453"/>
      <c r="D618" s="454"/>
      <c r="E618" s="455"/>
      <c r="F618" s="454"/>
      <c r="G618" s="455"/>
      <c r="H618" s="454"/>
      <c r="I618" s="455"/>
      <c r="J618" s="454"/>
      <c r="K618" s="455"/>
      <c r="L618" s="454"/>
      <c r="M618" s="455"/>
      <c r="N618" s="454"/>
      <c r="O618" s="455"/>
      <c r="P618" s="454"/>
      <c r="Q618" s="455"/>
      <c r="R618" s="454"/>
      <c r="S618" s="455"/>
      <c r="T618" s="454"/>
      <c r="U618" s="455"/>
      <c r="V618" s="454"/>
      <c r="W618" s="455"/>
      <c r="X618" s="454"/>
      <c r="Y618" s="455"/>
      <c r="Z618" s="454"/>
      <c r="AA618" s="455"/>
      <c r="AB618" s="454"/>
      <c r="AC618" s="455"/>
      <c r="AD618" s="454"/>
      <c r="AE618" s="455"/>
      <c r="AF618" s="454"/>
      <c r="AG618" s="455"/>
    </row>
    <row r="619" spans="1:33" x14ac:dyDescent="0.2">
      <c r="A619" s="415">
        <f t="shared" si="19"/>
        <v>1370</v>
      </c>
      <c r="B619" s="416" t="str">
        <f t="shared" ref="B619:B682" si="20">IF(B618="spring","Summer",IF(B618="Summer","Autumn",IF(B618="Autumn","Winter",IF(B618="Winter","Spring"," "))))</f>
        <v>Autumn</v>
      </c>
      <c r="C619" s="453"/>
      <c r="D619" s="454"/>
      <c r="E619" s="455"/>
      <c r="F619" s="454"/>
      <c r="G619" s="455"/>
      <c r="H619" s="454"/>
      <c r="I619" s="455"/>
      <c r="J619" s="454"/>
      <c r="K619" s="455"/>
      <c r="L619" s="454"/>
      <c r="M619" s="455"/>
      <c r="N619" s="454"/>
      <c r="O619" s="455"/>
      <c r="P619" s="454"/>
      <c r="Q619" s="455"/>
      <c r="R619" s="454"/>
      <c r="S619" s="455"/>
      <c r="T619" s="454"/>
      <c r="U619" s="455"/>
      <c r="V619" s="454"/>
      <c r="W619" s="455"/>
      <c r="X619" s="454"/>
      <c r="Y619" s="455"/>
      <c r="Z619" s="454"/>
      <c r="AA619" s="455"/>
      <c r="AB619" s="454"/>
      <c r="AC619" s="455"/>
      <c r="AD619" s="454"/>
      <c r="AE619" s="455"/>
      <c r="AF619" s="454"/>
      <c r="AG619" s="455"/>
    </row>
    <row r="620" spans="1:33" x14ac:dyDescent="0.2">
      <c r="A620" s="415">
        <f t="shared" si="19"/>
        <v>1371</v>
      </c>
      <c r="B620" s="416" t="str">
        <f t="shared" si="20"/>
        <v>Winter</v>
      </c>
      <c r="C620" s="453"/>
      <c r="D620" s="454"/>
      <c r="E620" s="455"/>
      <c r="F620" s="454"/>
      <c r="G620" s="455"/>
      <c r="H620" s="454"/>
      <c r="I620" s="455"/>
      <c r="J620" s="454"/>
      <c r="K620" s="455"/>
      <c r="L620" s="454"/>
      <c r="M620" s="455"/>
      <c r="N620" s="454"/>
      <c r="O620" s="455"/>
      <c r="P620" s="454"/>
      <c r="Q620" s="455"/>
      <c r="R620" s="454"/>
      <c r="S620" s="455"/>
      <c r="T620" s="454"/>
      <c r="U620" s="455"/>
      <c r="V620" s="454"/>
      <c r="W620" s="455"/>
      <c r="X620" s="454"/>
      <c r="Y620" s="455"/>
      <c r="Z620" s="454"/>
      <c r="AA620" s="455"/>
      <c r="AB620" s="454"/>
      <c r="AC620" s="455"/>
      <c r="AD620" s="454"/>
      <c r="AE620" s="455"/>
      <c r="AF620" s="454"/>
      <c r="AG620" s="455"/>
    </row>
    <row r="621" spans="1:33" x14ac:dyDescent="0.2">
      <c r="A621" s="415">
        <f t="shared" si="19"/>
        <v>1371</v>
      </c>
      <c r="B621" s="416" t="str">
        <f t="shared" si="20"/>
        <v>Spring</v>
      </c>
      <c r="C621" s="453"/>
      <c r="D621" s="454"/>
      <c r="E621" s="455"/>
      <c r="F621" s="454"/>
      <c r="G621" s="455"/>
      <c r="H621" s="454"/>
      <c r="I621" s="455"/>
      <c r="J621" s="454"/>
      <c r="K621" s="455"/>
      <c r="L621" s="454"/>
      <c r="M621" s="455"/>
      <c r="N621" s="454"/>
      <c r="O621" s="455"/>
      <c r="P621" s="454"/>
      <c r="Q621" s="455"/>
      <c r="R621" s="454"/>
      <c r="S621" s="455"/>
      <c r="T621" s="454"/>
      <c r="U621" s="455"/>
      <c r="V621" s="454"/>
      <c r="W621" s="455"/>
      <c r="X621" s="454"/>
      <c r="Y621" s="455"/>
      <c r="Z621" s="454"/>
      <c r="AA621" s="455"/>
      <c r="AB621" s="454"/>
      <c r="AC621" s="455"/>
      <c r="AD621" s="454"/>
      <c r="AE621" s="455"/>
      <c r="AF621" s="454"/>
      <c r="AG621" s="455"/>
    </row>
    <row r="622" spans="1:33" x14ac:dyDescent="0.2">
      <c r="A622" s="415">
        <f t="shared" si="19"/>
        <v>1371</v>
      </c>
      <c r="B622" s="416" t="str">
        <f t="shared" si="20"/>
        <v>Summer</v>
      </c>
      <c r="C622" s="453"/>
      <c r="D622" s="454"/>
      <c r="E622" s="455"/>
      <c r="F622" s="454"/>
      <c r="G622" s="455"/>
      <c r="H622" s="454"/>
      <c r="I622" s="455"/>
      <c r="J622" s="454"/>
      <c r="K622" s="455"/>
      <c r="L622" s="454"/>
      <c r="M622" s="455"/>
      <c r="N622" s="454"/>
      <c r="O622" s="455"/>
      <c r="P622" s="454"/>
      <c r="Q622" s="455"/>
      <c r="R622" s="454"/>
      <c r="S622" s="455"/>
      <c r="T622" s="454"/>
      <c r="U622" s="455"/>
      <c r="V622" s="454"/>
      <c r="W622" s="455"/>
      <c r="X622" s="454"/>
      <c r="Y622" s="455"/>
      <c r="Z622" s="454"/>
      <c r="AA622" s="455"/>
      <c r="AB622" s="454"/>
      <c r="AC622" s="455"/>
      <c r="AD622" s="454"/>
      <c r="AE622" s="455"/>
      <c r="AF622" s="454"/>
      <c r="AG622" s="455"/>
    </row>
    <row r="623" spans="1:33" x14ac:dyDescent="0.2">
      <c r="A623" s="415">
        <f t="shared" si="19"/>
        <v>1371</v>
      </c>
      <c r="B623" s="416" t="str">
        <f t="shared" si="20"/>
        <v>Autumn</v>
      </c>
      <c r="C623" s="453"/>
      <c r="D623" s="454"/>
      <c r="E623" s="455"/>
      <c r="F623" s="454"/>
      <c r="G623" s="455"/>
      <c r="H623" s="454"/>
      <c r="I623" s="455"/>
      <c r="J623" s="454"/>
      <c r="K623" s="455"/>
      <c r="L623" s="454"/>
      <c r="M623" s="455"/>
      <c r="N623" s="454"/>
      <c r="O623" s="455"/>
      <c r="P623" s="454"/>
      <c r="Q623" s="455"/>
      <c r="R623" s="454"/>
      <c r="S623" s="455"/>
      <c r="T623" s="454"/>
      <c r="U623" s="455"/>
      <c r="V623" s="454"/>
      <c r="W623" s="455"/>
      <c r="X623" s="454"/>
      <c r="Y623" s="455"/>
      <c r="Z623" s="454"/>
      <c r="AA623" s="455"/>
      <c r="AB623" s="454"/>
      <c r="AC623" s="455"/>
      <c r="AD623" s="454"/>
      <c r="AE623" s="455"/>
      <c r="AF623" s="454"/>
      <c r="AG623" s="455"/>
    </row>
    <row r="624" spans="1:33" x14ac:dyDescent="0.2">
      <c r="A624" s="415">
        <f t="shared" si="19"/>
        <v>1372</v>
      </c>
      <c r="B624" s="416" t="str">
        <f t="shared" si="20"/>
        <v>Winter</v>
      </c>
      <c r="C624" s="453"/>
      <c r="D624" s="454"/>
      <c r="E624" s="455"/>
      <c r="F624" s="454"/>
      <c r="G624" s="455"/>
      <c r="H624" s="454"/>
      <c r="I624" s="455"/>
      <c r="J624" s="454"/>
      <c r="K624" s="455"/>
      <c r="L624" s="454"/>
      <c r="M624" s="455"/>
      <c r="N624" s="454"/>
      <c r="O624" s="455"/>
      <c r="P624" s="454"/>
      <c r="Q624" s="455"/>
      <c r="R624" s="454"/>
      <c r="S624" s="455"/>
      <c r="T624" s="454"/>
      <c r="U624" s="455"/>
      <c r="V624" s="454"/>
      <c r="W624" s="455"/>
      <c r="X624" s="454"/>
      <c r="Y624" s="455"/>
      <c r="Z624" s="454"/>
      <c r="AA624" s="455"/>
      <c r="AB624" s="454"/>
      <c r="AC624" s="455"/>
      <c r="AD624" s="454"/>
      <c r="AE624" s="455"/>
      <c r="AF624" s="454"/>
      <c r="AG624" s="455"/>
    </row>
    <row r="625" spans="1:33" x14ac:dyDescent="0.2">
      <c r="A625" s="415">
        <f t="shared" si="19"/>
        <v>1372</v>
      </c>
      <c r="B625" s="416" t="str">
        <f t="shared" si="20"/>
        <v>Spring</v>
      </c>
      <c r="C625" s="453"/>
      <c r="D625" s="454"/>
      <c r="E625" s="455"/>
      <c r="F625" s="454"/>
      <c r="G625" s="455"/>
      <c r="H625" s="454"/>
      <c r="I625" s="455"/>
      <c r="J625" s="454"/>
      <c r="K625" s="455"/>
      <c r="L625" s="454"/>
      <c r="M625" s="455"/>
      <c r="N625" s="454"/>
      <c r="O625" s="455"/>
      <c r="P625" s="454"/>
      <c r="Q625" s="455"/>
      <c r="R625" s="454"/>
      <c r="S625" s="455"/>
      <c r="T625" s="454"/>
      <c r="U625" s="455"/>
      <c r="V625" s="454"/>
      <c r="W625" s="455"/>
      <c r="X625" s="454"/>
      <c r="Y625" s="455"/>
      <c r="Z625" s="454"/>
      <c r="AA625" s="455"/>
      <c r="AB625" s="454"/>
      <c r="AC625" s="455"/>
      <c r="AD625" s="454"/>
      <c r="AE625" s="455"/>
      <c r="AF625" s="454"/>
      <c r="AG625" s="455"/>
    </row>
    <row r="626" spans="1:33" x14ac:dyDescent="0.2">
      <c r="A626" s="415">
        <f t="shared" si="19"/>
        <v>1372</v>
      </c>
      <c r="B626" s="416" t="str">
        <f t="shared" si="20"/>
        <v>Summer</v>
      </c>
      <c r="C626" s="453"/>
      <c r="D626" s="454"/>
      <c r="E626" s="455"/>
      <c r="F626" s="454"/>
      <c r="G626" s="455"/>
      <c r="H626" s="454"/>
      <c r="I626" s="455"/>
      <c r="J626" s="454"/>
      <c r="K626" s="455"/>
      <c r="L626" s="454"/>
      <c r="M626" s="455"/>
      <c r="N626" s="454"/>
      <c r="O626" s="455"/>
      <c r="P626" s="454"/>
      <c r="Q626" s="455"/>
      <c r="R626" s="454"/>
      <c r="S626" s="455"/>
      <c r="T626" s="454"/>
      <c r="U626" s="455"/>
      <c r="V626" s="454"/>
      <c r="W626" s="455"/>
      <c r="X626" s="454"/>
      <c r="Y626" s="455"/>
      <c r="Z626" s="454"/>
      <c r="AA626" s="455"/>
      <c r="AB626" s="454"/>
      <c r="AC626" s="455"/>
      <c r="AD626" s="454"/>
      <c r="AE626" s="455"/>
      <c r="AF626" s="454"/>
      <c r="AG626" s="455"/>
    </row>
    <row r="627" spans="1:33" x14ac:dyDescent="0.2">
      <c r="A627" s="415">
        <f t="shared" si="19"/>
        <v>1372</v>
      </c>
      <c r="B627" s="416" t="str">
        <f t="shared" si="20"/>
        <v>Autumn</v>
      </c>
      <c r="C627" s="453"/>
      <c r="D627" s="454"/>
      <c r="E627" s="455"/>
      <c r="F627" s="454"/>
      <c r="G627" s="455"/>
      <c r="H627" s="454"/>
      <c r="I627" s="455"/>
      <c r="J627" s="454"/>
      <c r="K627" s="455"/>
      <c r="L627" s="454"/>
      <c r="M627" s="455"/>
      <c r="N627" s="454"/>
      <c r="O627" s="455"/>
      <c r="P627" s="454"/>
      <c r="Q627" s="455"/>
      <c r="R627" s="454"/>
      <c r="S627" s="455"/>
      <c r="T627" s="454"/>
      <c r="U627" s="455"/>
      <c r="V627" s="454"/>
      <c r="W627" s="455"/>
      <c r="X627" s="454"/>
      <c r="Y627" s="455"/>
      <c r="Z627" s="454"/>
      <c r="AA627" s="455"/>
      <c r="AB627" s="454"/>
      <c r="AC627" s="455"/>
      <c r="AD627" s="454"/>
      <c r="AE627" s="455"/>
      <c r="AF627" s="454"/>
      <c r="AG627" s="455"/>
    </row>
    <row r="628" spans="1:33" x14ac:dyDescent="0.2">
      <c r="A628" s="415">
        <f t="shared" si="19"/>
        <v>1373</v>
      </c>
      <c r="B628" s="416" t="str">
        <f t="shared" si="20"/>
        <v>Winter</v>
      </c>
      <c r="C628" s="453"/>
      <c r="D628" s="454"/>
      <c r="E628" s="455"/>
      <c r="F628" s="454"/>
      <c r="G628" s="455"/>
      <c r="H628" s="454"/>
      <c r="I628" s="455"/>
      <c r="J628" s="454"/>
      <c r="K628" s="455"/>
      <c r="L628" s="454"/>
      <c r="M628" s="455"/>
      <c r="N628" s="454"/>
      <c r="O628" s="455"/>
      <c r="P628" s="454"/>
      <c r="Q628" s="455"/>
      <c r="R628" s="454"/>
      <c r="S628" s="455"/>
      <c r="T628" s="454"/>
      <c r="U628" s="455"/>
      <c r="V628" s="454"/>
      <c r="W628" s="455"/>
      <c r="X628" s="454"/>
      <c r="Y628" s="455"/>
      <c r="Z628" s="454"/>
      <c r="AA628" s="455"/>
      <c r="AB628" s="454"/>
      <c r="AC628" s="455"/>
      <c r="AD628" s="454"/>
      <c r="AE628" s="455"/>
      <c r="AF628" s="454"/>
      <c r="AG628" s="455"/>
    </row>
    <row r="629" spans="1:33" x14ac:dyDescent="0.2">
      <c r="A629" s="415">
        <f t="shared" si="19"/>
        <v>1373</v>
      </c>
      <c r="B629" s="416" t="str">
        <f t="shared" si="20"/>
        <v>Spring</v>
      </c>
      <c r="C629" s="453"/>
      <c r="D629" s="454"/>
      <c r="E629" s="455"/>
      <c r="F629" s="454"/>
      <c r="G629" s="455"/>
      <c r="H629" s="454"/>
      <c r="I629" s="455"/>
      <c r="J629" s="454"/>
      <c r="K629" s="455"/>
      <c r="L629" s="454"/>
      <c r="M629" s="455"/>
      <c r="N629" s="454"/>
      <c r="O629" s="455"/>
      <c r="P629" s="454"/>
      <c r="Q629" s="455"/>
      <c r="R629" s="454"/>
      <c r="S629" s="455"/>
      <c r="T629" s="454"/>
      <c r="U629" s="455"/>
      <c r="V629" s="454"/>
      <c r="W629" s="455"/>
      <c r="X629" s="454"/>
      <c r="Y629" s="455"/>
      <c r="Z629" s="454"/>
      <c r="AA629" s="455"/>
      <c r="AB629" s="454"/>
      <c r="AC629" s="455"/>
      <c r="AD629" s="454"/>
      <c r="AE629" s="455"/>
      <c r="AF629" s="454"/>
      <c r="AG629" s="455"/>
    </row>
    <row r="630" spans="1:33" x14ac:dyDescent="0.2">
      <c r="A630" s="415">
        <f t="shared" si="19"/>
        <v>1373</v>
      </c>
      <c r="B630" s="416" t="str">
        <f t="shared" si="20"/>
        <v>Summer</v>
      </c>
      <c r="C630" s="453"/>
      <c r="D630" s="454"/>
      <c r="E630" s="455"/>
      <c r="F630" s="454"/>
      <c r="G630" s="455"/>
      <c r="H630" s="454"/>
      <c r="I630" s="455"/>
      <c r="J630" s="454"/>
      <c r="K630" s="455"/>
      <c r="L630" s="454"/>
      <c r="M630" s="455"/>
      <c r="N630" s="454"/>
      <c r="O630" s="455"/>
      <c r="P630" s="454"/>
      <c r="Q630" s="455"/>
      <c r="R630" s="454"/>
      <c r="S630" s="455"/>
      <c r="T630" s="454"/>
      <c r="U630" s="455"/>
      <c r="V630" s="454"/>
      <c r="W630" s="455"/>
      <c r="X630" s="454"/>
      <c r="Y630" s="455"/>
      <c r="Z630" s="454"/>
      <c r="AA630" s="455"/>
      <c r="AB630" s="454"/>
      <c r="AC630" s="455"/>
      <c r="AD630" s="454"/>
      <c r="AE630" s="455"/>
      <c r="AF630" s="454"/>
      <c r="AG630" s="455"/>
    </row>
    <row r="631" spans="1:33" x14ac:dyDescent="0.2">
      <c r="A631" s="415">
        <f t="shared" si="19"/>
        <v>1373</v>
      </c>
      <c r="B631" s="416" t="str">
        <f t="shared" si="20"/>
        <v>Autumn</v>
      </c>
      <c r="C631" s="453"/>
      <c r="D631" s="454"/>
      <c r="E631" s="455"/>
      <c r="F631" s="454"/>
      <c r="G631" s="455"/>
      <c r="H631" s="454"/>
      <c r="I631" s="455"/>
      <c r="J631" s="454"/>
      <c r="K631" s="455"/>
      <c r="L631" s="454"/>
      <c r="M631" s="455"/>
      <c r="N631" s="454"/>
      <c r="O631" s="455"/>
      <c r="P631" s="454"/>
      <c r="Q631" s="455"/>
      <c r="R631" s="454"/>
      <c r="S631" s="455"/>
      <c r="T631" s="454"/>
      <c r="U631" s="455"/>
      <c r="V631" s="454"/>
      <c r="W631" s="455"/>
      <c r="X631" s="454"/>
      <c r="Y631" s="455"/>
      <c r="Z631" s="454"/>
      <c r="AA631" s="455"/>
      <c r="AB631" s="454"/>
      <c r="AC631" s="455"/>
      <c r="AD631" s="454"/>
      <c r="AE631" s="455"/>
      <c r="AF631" s="454"/>
      <c r="AG631" s="455"/>
    </row>
    <row r="632" spans="1:33" x14ac:dyDescent="0.2">
      <c r="A632" s="415">
        <f t="shared" si="19"/>
        <v>1374</v>
      </c>
      <c r="B632" s="416" t="str">
        <f t="shared" si="20"/>
        <v>Winter</v>
      </c>
      <c r="C632" s="453"/>
      <c r="D632" s="454"/>
      <c r="E632" s="455"/>
      <c r="F632" s="454"/>
      <c r="G632" s="455"/>
      <c r="H632" s="454"/>
      <c r="I632" s="455"/>
      <c r="J632" s="454"/>
      <c r="K632" s="455"/>
      <c r="L632" s="454"/>
      <c r="M632" s="455"/>
      <c r="N632" s="454"/>
      <c r="O632" s="455"/>
      <c r="P632" s="454"/>
      <c r="Q632" s="455"/>
      <c r="R632" s="454"/>
      <c r="S632" s="455"/>
      <c r="T632" s="454"/>
      <c r="U632" s="455"/>
      <c r="V632" s="454"/>
      <c r="W632" s="455"/>
      <c r="X632" s="454"/>
      <c r="Y632" s="455"/>
      <c r="Z632" s="454"/>
      <c r="AA632" s="455"/>
      <c r="AB632" s="454"/>
      <c r="AC632" s="455"/>
      <c r="AD632" s="454"/>
      <c r="AE632" s="455"/>
      <c r="AF632" s="454"/>
      <c r="AG632" s="455"/>
    </row>
    <row r="633" spans="1:33" x14ac:dyDescent="0.2">
      <c r="A633" s="415">
        <f t="shared" si="19"/>
        <v>1374</v>
      </c>
      <c r="B633" s="416" t="str">
        <f t="shared" si="20"/>
        <v>Spring</v>
      </c>
      <c r="C633" s="453"/>
      <c r="D633" s="454"/>
      <c r="E633" s="455"/>
      <c r="F633" s="454"/>
      <c r="G633" s="455"/>
      <c r="H633" s="454"/>
      <c r="I633" s="455"/>
      <c r="J633" s="454"/>
      <c r="K633" s="455"/>
      <c r="L633" s="454"/>
      <c r="M633" s="455"/>
      <c r="N633" s="454"/>
      <c r="O633" s="455"/>
      <c r="P633" s="454"/>
      <c r="Q633" s="455"/>
      <c r="R633" s="454"/>
      <c r="S633" s="455"/>
      <c r="T633" s="454"/>
      <c r="U633" s="455"/>
      <c r="V633" s="454"/>
      <c r="W633" s="455"/>
      <c r="X633" s="454"/>
      <c r="Y633" s="455"/>
      <c r="Z633" s="454"/>
      <c r="AA633" s="455"/>
      <c r="AB633" s="454"/>
      <c r="AC633" s="455"/>
      <c r="AD633" s="454"/>
      <c r="AE633" s="455"/>
      <c r="AF633" s="454"/>
      <c r="AG633" s="455"/>
    </row>
    <row r="634" spans="1:33" x14ac:dyDescent="0.2">
      <c r="A634" s="415">
        <f t="shared" si="19"/>
        <v>1374</v>
      </c>
      <c r="B634" s="416" t="str">
        <f t="shared" si="20"/>
        <v>Summer</v>
      </c>
      <c r="C634" s="453"/>
      <c r="D634" s="454"/>
      <c r="E634" s="455"/>
      <c r="F634" s="454"/>
      <c r="G634" s="455"/>
      <c r="H634" s="454"/>
      <c r="I634" s="455"/>
      <c r="J634" s="454"/>
      <c r="K634" s="455"/>
      <c r="L634" s="454"/>
      <c r="M634" s="455"/>
      <c r="N634" s="454"/>
      <c r="O634" s="455"/>
      <c r="P634" s="454"/>
      <c r="Q634" s="455"/>
      <c r="R634" s="454"/>
      <c r="S634" s="455"/>
      <c r="T634" s="454"/>
      <c r="U634" s="455"/>
      <c r="V634" s="454"/>
      <c r="W634" s="455"/>
      <c r="X634" s="454"/>
      <c r="Y634" s="455"/>
      <c r="Z634" s="454"/>
      <c r="AA634" s="455"/>
      <c r="AB634" s="454"/>
      <c r="AC634" s="455"/>
      <c r="AD634" s="454"/>
      <c r="AE634" s="455"/>
      <c r="AF634" s="454"/>
      <c r="AG634" s="455"/>
    </row>
    <row r="635" spans="1:33" x14ac:dyDescent="0.2">
      <c r="A635" s="415">
        <f t="shared" si="19"/>
        <v>1374</v>
      </c>
      <c r="B635" s="416" t="str">
        <f t="shared" si="20"/>
        <v>Autumn</v>
      </c>
      <c r="C635" s="453"/>
      <c r="D635" s="454"/>
      <c r="E635" s="455"/>
      <c r="F635" s="454"/>
      <c r="G635" s="455"/>
      <c r="H635" s="454"/>
      <c r="I635" s="455"/>
      <c r="J635" s="454"/>
      <c r="K635" s="455"/>
      <c r="L635" s="454"/>
      <c r="M635" s="455"/>
      <c r="N635" s="454"/>
      <c r="O635" s="455"/>
      <c r="P635" s="454"/>
      <c r="Q635" s="455"/>
      <c r="R635" s="454"/>
      <c r="S635" s="455"/>
      <c r="T635" s="454"/>
      <c r="U635" s="455"/>
      <c r="V635" s="454"/>
      <c r="W635" s="455"/>
      <c r="X635" s="454"/>
      <c r="Y635" s="455"/>
      <c r="Z635" s="454"/>
      <c r="AA635" s="455"/>
      <c r="AB635" s="454"/>
      <c r="AC635" s="455"/>
      <c r="AD635" s="454"/>
      <c r="AE635" s="455"/>
      <c r="AF635" s="454"/>
      <c r="AG635" s="455"/>
    </row>
    <row r="636" spans="1:33" x14ac:dyDescent="0.2">
      <c r="A636" s="415">
        <f t="shared" si="19"/>
        <v>1375</v>
      </c>
      <c r="B636" s="416" t="str">
        <f t="shared" si="20"/>
        <v>Winter</v>
      </c>
      <c r="C636" s="453"/>
      <c r="D636" s="454"/>
      <c r="E636" s="455"/>
      <c r="F636" s="454"/>
      <c r="G636" s="455"/>
      <c r="H636" s="454"/>
      <c r="I636" s="455"/>
      <c r="J636" s="454"/>
      <c r="K636" s="455"/>
      <c r="L636" s="454"/>
      <c r="M636" s="455"/>
      <c r="N636" s="454"/>
      <c r="O636" s="455"/>
      <c r="P636" s="454"/>
      <c r="Q636" s="455"/>
      <c r="R636" s="454"/>
      <c r="S636" s="455"/>
      <c r="T636" s="454"/>
      <c r="U636" s="455"/>
      <c r="V636" s="454"/>
      <c r="W636" s="455"/>
      <c r="X636" s="454"/>
      <c r="Y636" s="455"/>
      <c r="Z636" s="454"/>
      <c r="AA636" s="455"/>
      <c r="AB636" s="454"/>
      <c r="AC636" s="455"/>
      <c r="AD636" s="454"/>
      <c r="AE636" s="455"/>
      <c r="AF636" s="454"/>
      <c r="AG636" s="455"/>
    </row>
    <row r="637" spans="1:33" x14ac:dyDescent="0.2">
      <c r="A637" s="415">
        <f t="shared" si="19"/>
        <v>1375</v>
      </c>
      <c r="B637" s="416" t="str">
        <f t="shared" si="20"/>
        <v>Spring</v>
      </c>
      <c r="C637" s="453"/>
      <c r="D637" s="454"/>
      <c r="E637" s="455"/>
      <c r="F637" s="454"/>
      <c r="G637" s="455"/>
      <c r="H637" s="454"/>
      <c r="I637" s="455"/>
      <c r="J637" s="454"/>
      <c r="K637" s="455"/>
      <c r="L637" s="454"/>
      <c r="M637" s="455"/>
      <c r="N637" s="454"/>
      <c r="O637" s="455"/>
      <c r="P637" s="454"/>
      <c r="Q637" s="455"/>
      <c r="R637" s="454"/>
      <c r="S637" s="455"/>
      <c r="T637" s="454"/>
      <c r="U637" s="455"/>
      <c r="V637" s="454"/>
      <c r="W637" s="455"/>
      <c r="X637" s="454"/>
      <c r="Y637" s="455"/>
      <c r="Z637" s="454"/>
      <c r="AA637" s="455"/>
      <c r="AB637" s="454"/>
      <c r="AC637" s="455"/>
      <c r="AD637" s="454"/>
      <c r="AE637" s="455"/>
      <c r="AF637" s="454"/>
      <c r="AG637" s="455"/>
    </row>
    <row r="638" spans="1:33" x14ac:dyDescent="0.2">
      <c r="A638" s="415">
        <f t="shared" si="19"/>
        <v>1375</v>
      </c>
      <c r="B638" s="416" t="str">
        <f t="shared" si="20"/>
        <v>Summer</v>
      </c>
      <c r="C638" s="453"/>
      <c r="D638" s="454"/>
      <c r="E638" s="455"/>
      <c r="F638" s="454"/>
      <c r="G638" s="455"/>
      <c r="H638" s="454"/>
      <c r="I638" s="455"/>
      <c r="J638" s="454"/>
      <c r="K638" s="455"/>
      <c r="L638" s="454"/>
      <c r="M638" s="455"/>
      <c r="N638" s="454"/>
      <c r="O638" s="455"/>
      <c r="P638" s="454"/>
      <c r="Q638" s="455"/>
      <c r="R638" s="454"/>
      <c r="S638" s="455"/>
      <c r="T638" s="454"/>
      <c r="U638" s="455"/>
      <c r="V638" s="454"/>
      <c r="W638" s="455"/>
      <c r="X638" s="454"/>
      <c r="Y638" s="455"/>
      <c r="Z638" s="454"/>
      <c r="AA638" s="455"/>
      <c r="AB638" s="454"/>
      <c r="AC638" s="455"/>
      <c r="AD638" s="454"/>
      <c r="AE638" s="455"/>
      <c r="AF638" s="454"/>
      <c r="AG638" s="455"/>
    </row>
    <row r="639" spans="1:33" x14ac:dyDescent="0.2">
      <c r="A639" s="415">
        <f t="shared" si="19"/>
        <v>1375</v>
      </c>
      <c r="B639" s="416" t="str">
        <f t="shared" si="20"/>
        <v>Autumn</v>
      </c>
      <c r="C639" s="453"/>
      <c r="D639" s="454"/>
      <c r="E639" s="455"/>
      <c r="F639" s="454"/>
      <c r="G639" s="455"/>
      <c r="H639" s="454"/>
      <c r="I639" s="455"/>
      <c r="J639" s="454"/>
      <c r="K639" s="455"/>
      <c r="L639" s="454"/>
      <c r="M639" s="455"/>
      <c r="N639" s="454"/>
      <c r="O639" s="455"/>
      <c r="P639" s="454"/>
      <c r="Q639" s="455"/>
      <c r="R639" s="454"/>
      <c r="S639" s="455"/>
      <c r="T639" s="454"/>
      <c r="U639" s="455"/>
      <c r="V639" s="454"/>
      <c r="W639" s="455"/>
      <c r="X639" s="454"/>
      <c r="Y639" s="455"/>
      <c r="Z639" s="454"/>
      <c r="AA639" s="455"/>
      <c r="AB639" s="454"/>
      <c r="AC639" s="455"/>
      <c r="AD639" s="454"/>
      <c r="AE639" s="455"/>
      <c r="AF639" s="454"/>
      <c r="AG639" s="455"/>
    </row>
    <row r="640" spans="1:33" x14ac:dyDescent="0.2">
      <c r="A640" s="415">
        <f t="shared" si="19"/>
        <v>1376</v>
      </c>
      <c r="B640" s="416" t="str">
        <f t="shared" si="20"/>
        <v>Winter</v>
      </c>
      <c r="C640" s="453"/>
      <c r="D640" s="454"/>
      <c r="E640" s="455"/>
      <c r="F640" s="454"/>
      <c r="G640" s="455"/>
      <c r="H640" s="454"/>
      <c r="I640" s="455"/>
      <c r="J640" s="454"/>
      <c r="K640" s="455"/>
      <c r="L640" s="454"/>
      <c r="M640" s="455"/>
      <c r="N640" s="454"/>
      <c r="O640" s="455"/>
      <c r="P640" s="454"/>
      <c r="Q640" s="455"/>
      <c r="R640" s="454"/>
      <c r="S640" s="455"/>
      <c r="T640" s="454"/>
      <c r="U640" s="455"/>
      <c r="V640" s="454"/>
      <c r="W640" s="455"/>
      <c r="X640" s="454"/>
      <c r="Y640" s="455"/>
      <c r="Z640" s="454"/>
      <c r="AA640" s="455"/>
      <c r="AB640" s="454"/>
      <c r="AC640" s="455"/>
      <c r="AD640" s="454"/>
      <c r="AE640" s="455"/>
      <c r="AF640" s="454"/>
      <c r="AG640" s="455"/>
    </row>
    <row r="641" spans="1:33" x14ac:dyDescent="0.2">
      <c r="A641" s="415">
        <f t="shared" si="19"/>
        <v>1376</v>
      </c>
      <c r="B641" s="416" t="str">
        <f t="shared" si="20"/>
        <v>Spring</v>
      </c>
      <c r="C641" s="453"/>
      <c r="D641" s="454"/>
      <c r="E641" s="455"/>
      <c r="F641" s="454"/>
      <c r="G641" s="455"/>
      <c r="H641" s="454"/>
      <c r="I641" s="455"/>
      <c r="J641" s="454"/>
      <c r="K641" s="455"/>
      <c r="L641" s="454"/>
      <c r="M641" s="455"/>
      <c r="N641" s="454"/>
      <c r="O641" s="455"/>
      <c r="P641" s="454"/>
      <c r="Q641" s="455"/>
      <c r="R641" s="454"/>
      <c r="S641" s="455"/>
      <c r="T641" s="454"/>
      <c r="U641" s="455"/>
      <c r="V641" s="454"/>
      <c r="W641" s="455"/>
      <c r="X641" s="454"/>
      <c r="Y641" s="455"/>
      <c r="Z641" s="454"/>
      <c r="AA641" s="455"/>
      <c r="AB641" s="454"/>
      <c r="AC641" s="455"/>
      <c r="AD641" s="454"/>
      <c r="AE641" s="455"/>
      <c r="AF641" s="454"/>
      <c r="AG641" s="455"/>
    </row>
    <row r="642" spans="1:33" x14ac:dyDescent="0.2">
      <c r="A642" s="415">
        <f t="shared" si="19"/>
        <v>1376</v>
      </c>
      <c r="B642" s="416" t="str">
        <f t="shared" si="20"/>
        <v>Summer</v>
      </c>
      <c r="C642" s="453"/>
      <c r="D642" s="454"/>
      <c r="E642" s="455"/>
      <c r="F642" s="454"/>
      <c r="G642" s="455"/>
      <c r="H642" s="454"/>
      <c r="I642" s="455"/>
      <c r="J642" s="454"/>
      <c r="K642" s="455"/>
      <c r="L642" s="454"/>
      <c r="M642" s="455"/>
      <c r="N642" s="454"/>
      <c r="O642" s="455"/>
      <c r="P642" s="454"/>
      <c r="Q642" s="455"/>
      <c r="R642" s="454"/>
      <c r="S642" s="455"/>
      <c r="T642" s="454"/>
      <c r="U642" s="455"/>
      <c r="V642" s="454"/>
      <c r="W642" s="455"/>
      <c r="X642" s="454"/>
      <c r="Y642" s="455"/>
      <c r="Z642" s="454"/>
      <c r="AA642" s="455"/>
      <c r="AB642" s="454"/>
      <c r="AC642" s="455"/>
      <c r="AD642" s="454"/>
      <c r="AE642" s="455"/>
      <c r="AF642" s="454"/>
      <c r="AG642" s="455"/>
    </row>
    <row r="643" spans="1:33" x14ac:dyDescent="0.2">
      <c r="A643" s="415">
        <f t="shared" si="19"/>
        <v>1376</v>
      </c>
      <c r="B643" s="416" t="str">
        <f t="shared" si="20"/>
        <v>Autumn</v>
      </c>
      <c r="C643" s="453"/>
      <c r="D643" s="454"/>
      <c r="E643" s="455"/>
      <c r="F643" s="454"/>
      <c r="G643" s="455"/>
      <c r="H643" s="454"/>
      <c r="I643" s="455"/>
      <c r="J643" s="454"/>
      <c r="K643" s="455"/>
      <c r="L643" s="454"/>
      <c r="M643" s="455"/>
      <c r="N643" s="454"/>
      <c r="O643" s="455"/>
      <c r="P643" s="454"/>
      <c r="Q643" s="455"/>
      <c r="R643" s="454"/>
      <c r="S643" s="455"/>
      <c r="T643" s="454"/>
      <c r="U643" s="455"/>
      <c r="V643" s="454"/>
      <c r="W643" s="455"/>
      <c r="X643" s="454"/>
      <c r="Y643" s="455"/>
      <c r="Z643" s="454"/>
      <c r="AA643" s="455"/>
      <c r="AB643" s="454"/>
      <c r="AC643" s="455"/>
      <c r="AD643" s="454"/>
      <c r="AE643" s="455"/>
      <c r="AF643" s="454"/>
      <c r="AG643" s="455"/>
    </row>
    <row r="644" spans="1:33" x14ac:dyDescent="0.2">
      <c r="A644" s="415">
        <f t="shared" si="19"/>
        <v>1377</v>
      </c>
      <c r="B644" s="416" t="str">
        <f t="shared" si="20"/>
        <v>Winter</v>
      </c>
      <c r="C644" s="453"/>
      <c r="D644" s="454"/>
      <c r="E644" s="455"/>
      <c r="F644" s="454"/>
      <c r="G644" s="455"/>
      <c r="H644" s="454"/>
      <c r="I644" s="455"/>
      <c r="J644" s="454"/>
      <c r="K644" s="455"/>
      <c r="L644" s="454"/>
      <c r="M644" s="455"/>
      <c r="N644" s="454"/>
      <c r="O644" s="455"/>
      <c r="P644" s="454"/>
      <c r="Q644" s="455"/>
      <c r="R644" s="454"/>
      <c r="S644" s="455"/>
      <c r="T644" s="454"/>
      <c r="U644" s="455"/>
      <c r="V644" s="454"/>
      <c r="W644" s="455"/>
      <c r="X644" s="454"/>
      <c r="Y644" s="455"/>
      <c r="Z644" s="454"/>
      <c r="AA644" s="455"/>
      <c r="AB644" s="454"/>
      <c r="AC644" s="455"/>
      <c r="AD644" s="454"/>
      <c r="AE644" s="455"/>
      <c r="AF644" s="454"/>
      <c r="AG644" s="455"/>
    </row>
    <row r="645" spans="1:33" x14ac:dyDescent="0.2">
      <c r="A645" s="415">
        <f t="shared" ref="A645:A708" si="21">IF(B644="Autumn",A644+1,A644)</f>
        <v>1377</v>
      </c>
      <c r="B645" s="416" t="str">
        <f t="shared" si="20"/>
        <v>Spring</v>
      </c>
      <c r="C645" s="453"/>
      <c r="D645" s="454"/>
      <c r="E645" s="455"/>
      <c r="F645" s="454"/>
      <c r="G645" s="455"/>
      <c r="H645" s="454"/>
      <c r="I645" s="455"/>
      <c r="J645" s="454"/>
      <c r="K645" s="455"/>
      <c r="L645" s="454"/>
      <c r="M645" s="455"/>
      <c r="N645" s="454"/>
      <c r="O645" s="455"/>
      <c r="P645" s="454"/>
      <c r="Q645" s="455"/>
      <c r="R645" s="454"/>
      <c r="S645" s="455"/>
      <c r="T645" s="454"/>
      <c r="U645" s="455"/>
      <c r="V645" s="454"/>
      <c r="W645" s="455"/>
      <c r="X645" s="454"/>
      <c r="Y645" s="455"/>
      <c r="Z645" s="454"/>
      <c r="AA645" s="455"/>
      <c r="AB645" s="454"/>
      <c r="AC645" s="455"/>
      <c r="AD645" s="454"/>
      <c r="AE645" s="455"/>
      <c r="AF645" s="454"/>
      <c r="AG645" s="455"/>
    </row>
    <row r="646" spans="1:33" x14ac:dyDescent="0.2">
      <c r="A646" s="415">
        <f t="shared" si="21"/>
        <v>1377</v>
      </c>
      <c r="B646" s="416" t="str">
        <f t="shared" si="20"/>
        <v>Summer</v>
      </c>
      <c r="C646" s="453"/>
      <c r="D646" s="454"/>
      <c r="E646" s="455"/>
      <c r="F646" s="454"/>
      <c r="G646" s="455"/>
      <c r="H646" s="454"/>
      <c r="I646" s="455"/>
      <c r="J646" s="454"/>
      <c r="K646" s="455"/>
      <c r="L646" s="454"/>
      <c r="M646" s="455"/>
      <c r="N646" s="454"/>
      <c r="O646" s="455"/>
      <c r="P646" s="454"/>
      <c r="Q646" s="455"/>
      <c r="R646" s="454"/>
      <c r="S646" s="455"/>
      <c r="T646" s="454"/>
      <c r="U646" s="455"/>
      <c r="V646" s="454"/>
      <c r="W646" s="455"/>
      <c r="X646" s="454"/>
      <c r="Y646" s="455"/>
      <c r="Z646" s="454"/>
      <c r="AA646" s="455"/>
      <c r="AB646" s="454"/>
      <c r="AC646" s="455"/>
      <c r="AD646" s="454"/>
      <c r="AE646" s="455"/>
      <c r="AF646" s="454"/>
      <c r="AG646" s="455"/>
    </row>
    <row r="647" spans="1:33" x14ac:dyDescent="0.2">
      <c r="A647" s="415">
        <f t="shared" si="21"/>
        <v>1377</v>
      </c>
      <c r="B647" s="416" t="str">
        <f t="shared" si="20"/>
        <v>Autumn</v>
      </c>
      <c r="C647" s="453"/>
      <c r="D647" s="454"/>
      <c r="E647" s="455"/>
      <c r="F647" s="454"/>
      <c r="G647" s="455"/>
      <c r="H647" s="454"/>
      <c r="I647" s="455"/>
      <c r="J647" s="454"/>
      <c r="K647" s="455"/>
      <c r="L647" s="454"/>
      <c r="M647" s="455"/>
      <c r="N647" s="454"/>
      <c r="O647" s="455"/>
      <c r="P647" s="454"/>
      <c r="Q647" s="455"/>
      <c r="R647" s="454"/>
      <c r="S647" s="455"/>
      <c r="T647" s="454"/>
      <c r="U647" s="455"/>
      <c r="V647" s="454"/>
      <c r="W647" s="455"/>
      <c r="X647" s="454"/>
      <c r="Y647" s="455"/>
      <c r="Z647" s="454"/>
      <c r="AA647" s="455"/>
      <c r="AB647" s="454"/>
      <c r="AC647" s="455"/>
      <c r="AD647" s="454"/>
      <c r="AE647" s="455"/>
      <c r="AF647" s="454"/>
      <c r="AG647" s="455"/>
    </row>
    <row r="648" spans="1:33" x14ac:dyDescent="0.2">
      <c r="A648" s="415">
        <f t="shared" si="21"/>
        <v>1378</v>
      </c>
      <c r="B648" s="416" t="str">
        <f t="shared" si="20"/>
        <v>Winter</v>
      </c>
      <c r="C648" s="453"/>
      <c r="D648" s="454"/>
      <c r="E648" s="455"/>
      <c r="F648" s="454"/>
      <c r="G648" s="455"/>
      <c r="H648" s="454"/>
      <c r="I648" s="455"/>
      <c r="J648" s="454"/>
      <c r="K648" s="455"/>
      <c r="L648" s="454"/>
      <c r="M648" s="455"/>
      <c r="N648" s="454"/>
      <c r="O648" s="455"/>
      <c r="P648" s="454"/>
      <c r="Q648" s="455"/>
      <c r="R648" s="454"/>
      <c r="S648" s="455"/>
      <c r="T648" s="454"/>
      <c r="U648" s="455"/>
      <c r="V648" s="454"/>
      <c r="W648" s="455"/>
      <c r="X648" s="454"/>
      <c r="Y648" s="455"/>
      <c r="Z648" s="454"/>
      <c r="AA648" s="455"/>
      <c r="AB648" s="454"/>
      <c r="AC648" s="455"/>
      <c r="AD648" s="454"/>
      <c r="AE648" s="455"/>
      <c r="AF648" s="454"/>
      <c r="AG648" s="455"/>
    </row>
    <row r="649" spans="1:33" x14ac:dyDescent="0.2">
      <c r="A649" s="415">
        <f t="shared" si="21"/>
        <v>1378</v>
      </c>
      <c r="B649" s="416" t="str">
        <f t="shared" si="20"/>
        <v>Spring</v>
      </c>
      <c r="C649" s="453"/>
      <c r="D649" s="454"/>
      <c r="E649" s="455"/>
      <c r="F649" s="454"/>
      <c r="G649" s="455"/>
      <c r="H649" s="454"/>
      <c r="I649" s="455"/>
      <c r="J649" s="454"/>
      <c r="K649" s="455"/>
      <c r="L649" s="454"/>
      <c r="M649" s="455"/>
      <c r="N649" s="454"/>
      <c r="O649" s="455"/>
      <c r="P649" s="454"/>
      <c r="Q649" s="455"/>
      <c r="R649" s="454"/>
      <c r="S649" s="455"/>
      <c r="T649" s="454"/>
      <c r="U649" s="455"/>
      <c r="V649" s="454"/>
      <c r="W649" s="455"/>
      <c r="X649" s="454"/>
      <c r="Y649" s="455"/>
      <c r="Z649" s="454"/>
      <c r="AA649" s="455"/>
      <c r="AB649" s="454"/>
      <c r="AC649" s="455"/>
      <c r="AD649" s="454"/>
      <c r="AE649" s="455"/>
      <c r="AF649" s="454"/>
      <c r="AG649" s="455"/>
    </row>
    <row r="650" spans="1:33" x14ac:dyDescent="0.2">
      <c r="A650" s="415">
        <f t="shared" si="21"/>
        <v>1378</v>
      </c>
      <c r="B650" s="416" t="str">
        <f t="shared" si="20"/>
        <v>Summer</v>
      </c>
      <c r="C650" s="453"/>
      <c r="D650" s="454"/>
      <c r="E650" s="455"/>
      <c r="F650" s="454"/>
      <c r="G650" s="455"/>
      <c r="H650" s="454"/>
      <c r="I650" s="455"/>
      <c r="J650" s="454"/>
      <c r="K650" s="455"/>
      <c r="L650" s="454"/>
      <c r="M650" s="455"/>
      <c r="N650" s="454"/>
      <c r="O650" s="455"/>
      <c r="P650" s="454"/>
      <c r="Q650" s="455"/>
      <c r="R650" s="454"/>
      <c r="S650" s="455"/>
      <c r="T650" s="454"/>
      <c r="U650" s="455"/>
      <c r="V650" s="454"/>
      <c r="W650" s="455"/>
      <c r="X650" s="454"/>
      <c r="Y650" s="455"/>
      <c r="Z650" s="454"/>
      <c r="AA650" s="455"/>
      <c r="AB650" s="454"/>
      <c r="AC650" s="455"/>
      <c r="AD650" s="454"/>
      <c r="AE650" s="455"/>
      <c r="AF650" s="454"/>
      <c r="AG650" s="455"/>
    </row>
    <row r="651" spans="1:33" x14ac:dyDescent="0.2">
      <c r="A651" s="415">
        <f t="shared" si="21"/>
        <v>1378</v>
      </c>
      <c r="B651" s="416" t="str">
        <f t="shared" si="20"/>
        <v>Autumn</v>
      </c>
      <c r="C651" s="453"/>
      <c r="D651" s="454"/>
      <c r="E651" s="455"/>
      <c r="F651" s="454"/>
      <c r="G651" s="455"/>
      <c r="H651" s="454"/>
      <c r="I651" s="455"/>
      <c r="J651" s="454"/>
      <c r="K651" s="455"/>
      <c r="L651" s="454"/>
      <c r="M651" s="455"/>
      <c r="N651" s="454"/>
      <c r="O651" s="455"/>
      <c r="P651" s="454"/>
      <c r="Q651" s="455"/>
      <c r="R651" s="454"/>
      <c r="S651" s="455"/>
      <c r="T651" s="454"/>
      <c r="U651" s="455"/>
      <c r="V651" s="454"/>
      <c r="W651" s="455"/>
      <c r="X651" s="454"/>
      <c r="Y651" s="455"/>
      <c r="Z651" s="454"/>
      <c r="AA651" s="455"/>
      <c r="AB651" s="454"/>
      <c r="AC651" s="455"/>
      <c r="AD651" s="454"/>
      <c r="AE651" s="455"/>
      <c r="AF651" s="454"/>
      <c r="AG651" s="455"/>
    </row>
    <row r="652" spans="1:33" x14ac:dyDescent="0.2">
      <c r="A652" s="415">
        <f t="shared" si="21"/>
        <v>1379</v>
      </c>
      <c r="B652" s="416" t="str">
        <f t="shared" si="20"/>
        <v>Winter</v>
      </c>
      <c r="C652" s="453"/>
      <c r="D652" s="454"/>
      <c r="E652" s="455"/>
      <c r="F652" s="454"/>
      <c r="G652" s="455"/>
      <c r="H652" s="454"/>
      <c r="I652" s="455"/>
      <c r="J652" s="454"/>
      <c r="K652" s="455"/>
      <c r="L652" s="454"/>
      <c r="M652" s="455"/>
      <c r="N652" s="454"/>
      <c r="O652" s="455"/>
      <c r="P652" s="454"/>
      <c r="Q652" s="455"/>
      <c r="R652" s="454"/>
      <c r="S652" s="455"/>
      <c r="T652" s="454"/>
      <c r="U652" s="455"/>
      <c r="V652" s="454"/>
      <c r="W652" s="455"/>
      <c r="X652" s="454"/>
      <c r="Y652" s="455"/>
      <c r="Z652" s="454"/>
      <c r="AA652" s="455"/>
      <c r="AB652" s="454"/>
      <c r="AC652" s="455"/>
      <c r="AD652" s="454"/>
      <c r="AE652" s="455"/>
      <c r="AF652" s="454"/>
      <c r="AG652" s="455"/>
    </row>
    <row r="653" spans="1:33" x14ac:dyDescent="0.2">
      <c r="A653" s="415">
        <f t="shared" si="21"/>
        <v>1379</v>
      </c>
      <c r="B653" s="416" t="str">
        <f t="shared" si="20"/>
        <v>Spring</v>
      </c>
      <c r="C653" s="453"/>
      <c r="D653" s="454"/>
      <c r="E653" s="455"/>
      <c r="F653" s="454"/>
      <c r="G653" s="455"/>
      <c r="H653" s="454"/>
      <c r="I653" s="455"/>
      <c r="J653" s="454"/>
      <c r="K653" s="455"/>
      <c r="L653" s="454"/>
      <c r="M653" s="455"/>
      <c r="N653" s="454"/>
      <c r="O653" s="455"/>
      <c r="P653" s="454"/>
      <c r="Q653" s="455"/>
      <c r="R653" s="454"/>
      <c r="S653" s="455"/>
      <c r="T653" s="454"/>
      <c r="U653" s="455"/>
      <c r="V653" s="454"/>
      <c r="W653" s="455"/>
      <c r="X653" s="454"/>
      <c r="Y653" s="455"/>
      <c r="Z653" s="454"/>
      <c r="AA653" s="455"/>
      <c r="AB653" s="454"/>
      <c r="AC653" s="455"/>
      <c r="AD653" s="454"/>
      <c r="AE653" s="455"/>
      <c r="AF653" s="454"/>
      <c r="AG653" s="455"/>
    </row>
    <row r="654" spans="1:33" x14ac:dyDescent="0.2">
      <c r="A654" s="415">
        <f t="shared" si="21"/>
        <v>1379</v>
      </c>
      <c r="B654" s="416" t="str">
        <f t="shared" si="20"/>
        <v>Summer</v>
      </c>
      <c r="C654" s="453"/>
      <c r="D654" s="454"/>
      <c r="E654" s="455"/>
      <c r="F654" s="454"/>
      <c r="G654" s="455"/>
      <c r="H654" s="454"/>
      <c r="I654" s="455"/>
      <c r="J654" s="454"/>
      <c r="K654" s="455"/>
      <c r="L654" s="454"/>
      <c r="M654" s="455"/>
      <c r="N654" s="454"/>
      <c r="O654" s="455"/>
      <c r="P654" s="454"/>
      <c r="Q654" s="455"/>
      <c r="R654" s="454"/>
      <c r="S654" s="455"/>
      <c r="T654" s="454"/>
      <c r="U654" s="455"/>
      <c r="V654" s="454"/>
      <c r="W654" s="455"/>
      <c r="X654" s="454"/>
      <c r="Y654" s="455"/>
      <c r="Z654" s="454"/>
      <c r="AA654" s="455"/>
      <c r="AB654" s="454"/>
      <c r="AC654" s="455"/>
      <c r="AD654" s="454"/>
      <c r="AE654" s="455"/>
      <c r="AF654" s="454"/>
      <c r="AG654" s="455"/>
    </row>
    <row r="655" spans="1:33" x14ac:dyDescent="0.2">
      <c r="A655" s="415">
        <f t="shared" si="21"/>
        <v>1379</v>
      </c>
      <c r="B655" s="416" t="str">
        <f t="shared" si="20"/>
        <v>Autumn</v>
      </c>
      <c r="C655" s="453"/>
      <c r="D655" s="454"/>
      <c r="E655" s="455"/>
      <c r="F655" s="454"/>
      <c r="G655" s="455"/>
      <c r="H655" s="454"/>
      <c r="I655" s="455"/>
      <c r="J655" s="454"/>
      <c r="K655" s="455"/>
      <c r="L655" s="454"/>
      <c r="M655" s="455"/>
      <c r="N655" s="454"/>
      <c r="O655" s="455"/>
      <c r="P655" s="454"/>
      <c r="Q655" s="455"/>
      <c r="R655" s="454"/>
      <c r="S655" s="455"/>
      <c r="T655" s="454"/>
      <c r="U655" s="455"/>
      <c r="V655" s="454"/>
      <c r="W655" s="455"/>
      <c r="X655" s="454"/>
      <c r="Y655" s="455"/>
      <c r="Z655" s="454"/>
      <c r="AA655" s="455"/>
      <c r="AB655" s="454"/>
      <c r="AC655" s="455"/>
      <c r="AD655" s="454"/>
      <c r="AE655" s="455"/>
      <c r="AF655" s="454"/>
      <c r="AG655" s="455"/>
    </row>
    <row r="656" spans="1:33" x14ac:dyDescent="0.2">
      <c r="A656" s="415">
        <f t="shared" si="21"/>
        <v>1380</v>
      </c>
      <c r="B656" s="416" t="str">
        <f t="shared" si="20"/>
        <v>Winter</v>
      </c>
      <c r="C656" s="453"/>
      <c r="D656" s="454"/>
      <c r="E656" s="455"/>
      <c r="F656" s="454"/>
      <c r="G656" s="455"/>
      <c r="H656" s="454"/>
      <c r="I656" s="455"/>
      <c r="J656" s="454"/>
      <c r="K656" s="455"/>
      <c r="L656" s="454"/>
      <c r="M656" s="455"/>
      <c r="N656" s="454"/>
      <c r="O656" s="455"/>
      <c r="P656" s="454"/>
      <c r="Q656" s="455"/>
      <c r="R656" s="454"/>
      <c r="S656" s="455"/>
      <c r="T656" s="454"/>
      <c r="U656" s="455"/>
      <c r="V656" s="454"/>
      <c r="W656" s="455"/>
      <c r="X656" s="454"/>
      <c r="Y656" s="455"/>
      <c r="Z656" s="454"/>
      <c r="AA656" s="455"/>
      <c r="AB656" s="454"/>
      <c r="AC656" s="455"/>
      <c r="AD656" s="454"/>
      <c r="AE656" s="455"/>
      <c r="AF656" s="454"/>
      <c r="AG656" s="455"/>
    </row>
    <row r="657" spans="1:33" x14ac:dyDescent="0.2">
      <c r="A657" s="415">
        <f t="shared" si="21"/>
        <v>1380</v>
      </c>
      <c r="B657" s="416" t="str">
        <f t="shared" si="20"/>
        <v>Spring</v>
      </c>
      <c r="C657" s="453"/>
      <c r="D657" s="454"/>
      <c r="E657" s="455"/>
      <c r="F657" s="454"/>
      <c r="G657" s="455"/>
      <c r="H657" s="454"/>
      <c r="I657" s="455"/>
      <c r="J657" s="454"/>
      <c r="K657" s="455"/>
      <c r="L657" s="454"/>
      <c r="M657" s="455"/>
      <c r="N657" s="454"/>
      <c r="O657" s="455"/>
      <c r="P657" s="454"/>
      <c r="Q657" s="455"/>
      <c r="R657" s="454"/>
      <c r="S657" s="455"/>
      <c r="T657" s="454"/>
      <c r="U657" s="455"/>
      <c r="V657" s="454"/>
      <c r="W657" s="455"/>
      <c r="X657" s="454"/>
      <c r="Y657" s="455"/>
      <c r="Z657" s="454"/>
      <c r="AA657" s="455"/>
      <c r="AB657" s="454"/>
      <c r="AC657" s="455"/>
      <c r="AD657" s="454"/>
      <c r="AE657" s="455"/>
      <c r="AF657" s="454"/>
      <c r="AG657" s="455"/>
    </row>
    <row r="658" spans="1:33" x14ac:dyDescent="0.2">
      <c r="A658" s="415">
        <f t="shared" si="21"/>
        <v>1380</v>
      </c>
      <c r="B658" s="416" t="str">
        <f t="shared" si="20"/>
        <v>Summer</v>
      </c>
      <c r="C658" s="453"/>
      <c r="D658" s="454"/>
      <c r="E658" s="455"/>
      <c r="F658" s="454"/>
      <c r="G658" s="455"/>
      <c r="H658" s="454"/>
      <c r="I658" s="455"/>
      <c r="J658" s="454"/>
      <c r="K658" s="455"/>
      <c r="L658" s="454"/>
      <c r="M658" s="455"/>
      <c r="N658" s="454"/>
      <c r="O658" s="455"/>
      <c r="P658" s="454"/>
      <c r="Q658" s="455"/>
      <c r="R658" s="454"/>
      <c r="S658" s="455"/>
      <c r="T658" s="454"/>
      <c r="U658" s="455"/>
      <c r="V658" s="454"/>
      <c r="W658" s="455"/>
      <c r="X658" s="454"/>
      <c r="Y658" s="455"/>
      <c r="Z658" s="454"/>
      <c r="AA658" s="455"/>
      <c r="AB658" s="454"/>
      <c r="AC658" s="455"/>
      <c r="AD658" s="454"/>
      <c r="AE658" s="455"/>
      <c r="AF658" s="454"/>
      <c r="AG658" s="455"/>
    </row>
    <row r="659" spans="1:33" x14ac:dyDescent="0.2">
      <c r="A659" s="415">
        <f t="shared" si="21"/>
        <v>1380</v>
      </c>
      <c r="B659" s="416" t="str">
        <f t="shared" si="20"/>
        <v>Autumn</v>
      </c>
      <c r="C659" s="453"/>
      <c r="D659" s="454"/>
      <c r="E659" s="455"/>
      <c r="F659" s="454"/>
      <c r="G659" s="455"/>
      <c r="H659" s="454"/>
      <c r="I659" s="455"/>
      <c r="J659" s="454"/>
      <c r="K659" s="455"/>
      <c r="L659" s="454"/>
      <c r="M659" s="455"/>
      <c r="N659" s="454"/>
      <c r="O659" s="455"/>
      <c r="P659" s="454"/>
      <c r="Q659" s="455"/>
      <c r="R659" s="454"/>
      <c r="S659" s="455"/>
      <c r="T659" s="454"/>
      <c r="U659" s="455"/>
      <c r="V659" s="454"/>
      <c r="W659" s="455"/>
      <c r="X659" s="454"/>
      <c r="Y659" s="455"/>
      <c r="Z659" s="454"/>
      <c r="AA659" s="455"/>
      <c r="AB659" s="454"/>
      <c r="AC659" s="455"/>
      <c r="AD659" s="454"/>
      <c r="AE659" s="455"/>
      <c r="AF659" s="454"/>
      <c r="AG659" s="455"/>
    </row>
    <row r="660" spans="1:33" x14ac:dyDescent="0.2">
      <c r="A660" s="415">
        <f t="shared" si="21"/>
        <v>1381</v>
      </c>
      <c r="B660" s="416" t="str">
        <f t="shared" si="20"/>
        <v>Winter</v>
      </c>
      <c r="C660" s="453"/>
      <c r="D660" s="454"/>
      <c r="E660" s="455"/>
      <c r="F660" s="454"/>
      <c r="G660" s="455"/>
      <c r="H660" s="454"/>
      <c r="I660" s="455"/>
      <c r="J660" s="454"/>
      <c r="K660" s="455"/>
      <c r="L660" s="454"/>
      <c r="M660" s="455"/>
      <c r="N660" s="454"/>
      <c r="O660" s="455"/>
      <c r="P660" s="454"/>
      <c r="Q660" s="455"/>
      <c r="R660" s="454"/>
      <c r="S660" s="455"/>
      <c r="T660" s="454"/>
      <c r="U660" s="455"/>
      <c r="V660" s="454"/>
      <c r="W660" s="455"/>
      <c r="X660" s="454"/>
      <c r="Y660" s="455"/>
      <c r="Z660" s="454"/>
      <c r="AA660" s="455"/>
      <c r="AB660" s="454"/>
      <c r="AC660" s="455"/>
      <c r="AD660" s="454"/>
      <c r="AE660" s="455"/>
      <c r="AF660" s="454"/>
      <c r="AG660" s="455"/>
    </row>
    <row r="661" spans="1:33" x14ac:dyDescent="0.2">
      <c r="A661" s="415">
        <f t="shared" si="21"/>
        <v>1381</v>
      </c>
      <c r="B661" s="416" t="str">
        <f t="shared" si="20"/>
        <v>Spring</v>
      </c>
      <c r="C661" s="453"/>
      <c r="D661" s="454"/>
      <c r="E661" s="455"/>
      <c r="F661" s="454"/>
      <c r="G661" s="455"/>
      <c r="H661" s="454"/>
      <c r="I661" s="455"/>
      <c r="J661" s="454"/>
      <c r="K661" s="455"/>
      <c r="L661" s="454"/>
      <c r="M661" s="455"/>
      <c r="N661" s="454"/>
      <c r="O661" s="455"/>
      <c r="P661" s="454"/>
      <c r="Q661" s="455"/>
      <c r="R661" s="454"/>
      <c r="S661" s="455"/>
      <c r="T661" s="454"/>
      <c r="U661" s="455"/>
      <c r="V661" s="454"/>
      <c r="W661" s="455"/>
      <c r="X661" s="454"/>
      <c r="Y661" s="455"/>
      <c r="Z661" s="454"/>
      <c r="AA661" s="455"/>
      <c r="AB661" s="454"/>
      <c r="AC661" s="455"/>
      <c r="AD661" s="454"/>
      <c r="AE661" s="455"/>
      <c r="AF661" s="454"/>
      <c r="AG661" s="455"/>
    </row>
    <row r="662" spans="1:33" x14ac:dyDescent="0.2">
      <c r="A662" s="415">
        <f t="shared" si="21"/>
        <v>1381</v>
      </c>
      <c r="B662" s="416" t="str">
        <f t="shared" si="20"/>
        <v>Summer</v>
      </c>
      <c r="C662" s="453"/>
      <c r="D662" s="454"/>
      <c r="E662" s="455"/>
      <c r="F662" s="454"/>
      <c r="G662" s="455"/>
      <c r="H662" s="454"/>
      <c r="I662" s="455"/>
      <c r="J662" s="454"/>
      <c r="K662" s="455"/>
      <c r="L662" s="454"/>
      <c r="M662" s="455"/>
      <c r="N662" s="454"/>
      <c r="O662" s="455"/>
      <c r="P662" s="454"/>
      <c r="Q662" s="455"/>
      <c r="R662" s="454"/>
      <c r="S662" s="455"/>
      <c r="T662" s="454"/>
      <c r="U662" s="455"/>
      <c r="V662" s="454"/>
      <c r="W662" s="455"/>
      <c r="X662" s="454"/>
      <c r="Y662" s="455"/>
      <c r="Z662" s="454"/>
      <c r="AA662" s="455"/>
      <c r="AB662" s="454"/>
      <c r="AC662" s="455"/>
      <c r="AD662" s="454"/>
      <c r="AE662" s="455"/>
      <c r="AF662" s="454"/>
      <c r="AG662" s="455"/>
    </row>
    <row r="663" spans="1:33" x14ac:dyDescent="0.2">
      <c r="A663" s="415">
        <f t="shared" si="21"/>
        <v>1381</v>
      </c>
      <c r="B663" s="416" t="str">
        <f t="shared" si="20"/>
        <v>Autumn</v>
      </c>
      <c r="C663" s="453"/>
      <c r="D663" s="454"/>
      <c r="E663" s="455"/>
      <c r="F663" s="454"/>
      <c r="G663" s="455"/>
      <c r="H663" s="454"/>
      <c r="I663" s="455"/>
      <c r="J663" s="454"/>
      <c r="K663" s="455"/>
      <c r="L663" s="454"/>
      <c r="M663" s="455"/>
      <c r="N663" s="454"/>
      <c r="O663" s="455"/>
      <c r="P663" s="454"/>
      <c r="Q663" s="455"/>
      <c r="R663" s="454"/>
      <c r="S663" s="455"/>
      <c r="T663" s="454"/>
      <c r="U663" s="455"/>
      <c r="V663" s="454"/>
      <c r="W663" s="455"/>
      <c r="X663" s="454"/>
      <c r="Y663" s="455"/>
      <c r="Z663" s="454"/>
      <c r="AA663" s="455"/>
      <c r="AB663" s="454"/>
      <c r="AC663" s="455"/>
      <c r="AD663" s="454"/>
      <c r="AE663" s="455"/>
      <c r="AF663" s="454"/>
      <c r="AG663" s="455"/>
    </row>
    <row r="664" spans="1:33" x14ac:dyDescent="0.2">
      <c r="A664" s="415">
        <f t="shared" si="21"/>
        <v>1382</v>
      </c>
      <c r="B664" s="416" t="str">
        <f t="shared" si="20"/>
        <v>Winter</v>
      </c>
      <c r="C664" s="453"/>
      <c r="D664" s="454"/>
      <c r="E664" s="455"/>
      <c r="F664" s="454"/>
      <c r="G664" s="455"/>
      <c r="H664" s="454"/>
      <c r="I664" s="455"/>
      <c r="J664" s="454"/>
      <c r="K664" s="455"/>
      <c r="L664" s="454"/>
      <c r="M664" s="455"/>
      <c r="N664" s="454"/>
      <c r="O664" s="455"/>
      <c r="P664" s="454"/>
      <c r="Q664" s="455"/>
      <c r="R664" s="454"/>
      <c r="S664" s="455"/>
      <c r="T664" s="454"/>
      <c r="U664" s="455"/>
      <c r="V664" s="454"/>
      <c r="W664" s="455"/>
      <c r="X664" s="454"/>
      <c r="Y664" s="455"/>
      <c r="Z664" s="454"/>
      <c r="AA664" s="455"/>
      <c r="AB664" s="454"/>
      <c r="AC664" s="455"/>
      <c r="AD664" s="454"/>
      <c r="AE664" s="455"/>
      <c r="AF664" s="454"/>
      <c r="AG664" s="455"/>
    </row>
    <row r="665" spans="1:33" x14ac:dyDescent="0.2">
      <c r="A665" s="415">
        <f t="shared" si="21"/>
        <v>1382</v>
      </c>
      <c r="B665" s="416" t="str">
        <f t="shared" si="20"/>
        <v>Spring</v>
      </c>
      <c r="C665" s="453"/>
      <c r="D665" s="454"/>
      <c r="E665" s="455"/>
      <c r="F665" s="454"/>
      <c r="G665" s="455"/>
      <c r="H665" s="454"/>
      <c r="I665" s="455"/>
      <c r="J665" s="454"/>
      <c r="K665" s="455"/>
      <c r="L665" s="454"/>
      <c r="M665" s="455"/>
      <c r="N665" s="454"/>
      <c r="O665" s="455"/>
      <c r="P665" s="454"/>
      <c r="Q665" s="455"/>
      <c r="R665" s="454"/>
      <c r="S665" s="455"/>
      <c r="T665" s="454"/>
      <c r="U665" s="455"/>
      <c r="V665" s="454"/>
      <c r="W665" s="455"/>
      <c r="X665" s="454"/>
      <c r="Y665" s="455"/>
      <c r="Z665" s="454"/>
      <c r="AA665" s="455"/>
      <c r="AB665" s="454"/>
      <c r="AC665" s="455"/>
      <c r="AD665" s="454"/>
      <c r="AE665" s="455"/>
      <c r="AF665" s="454"/>
      <c r="AG665" s="455"/>
    </row>
    <row r="666" spans="1:33" x14ac:dyDescent="0.2">
      <c r="A666" s="415">
        <f t="shared" si="21"/>
        <v>1382</v>
      </c>
      <c r="B666" s="416" t="str">
        <f t="shared" si="20"/>
        <v>Summer</v>
      </c>
      <c r="C666" s="453"/>
      <c r="D666" s="454"/>
      <c r="E666" s="455"/>
      <c r="F666" s="454"/>
      <c r="G666" s="455"/>
      <c r="H666" s="454"/>
      <c r="I666" s="455"/>
      <c r="J666" s="454"/>
      <c r="K666" s="455"/>
      <c r="L666" s="454"/>
      <c r="M666" s="455"/>
      <c r="N666" s="454"/>
      <c r="O666" s="455"/>
      <c r="P666" s="454"/>
      <c r="Q666" s="455"/>
      <c r="R666" s="454"/>
      <c r="S666" s="455"/>
      <c r="T666" s="454"/>
      <c r="U666" s="455"/>
      <c r="V666" s="454"/>
      <c r="W666" s="455"/>
      <c r="X666" s="454"/>
      <c r="Y666" s="455"/>
      <c r="Z666" s="454"/>
      <c r="AA666" s="455"/>
      <c r="AB666" s="454"/>
      <c r="AC666" s="455"/>
      <c r="AD666" s="454"/>
      <c r="AE666" s="455"/>
      <c r="AF666" s="454"/>
      <c r="AG666" s="455"/>
    </row>
    <row r="667" spans="1:33" x14ac:dyDescent="0.2">
      <c r="A667" s="415">
        <f t="shared" si="21"/>
        <v>1382</v>
      </c>
      <c r="B667" s="416" t="str">
        <f t="shared" si="20"/>
        <v>Autumn</v>
      </c>
      <c r="C667" s="453"/>
      <c r="D667" s="454"/>
      <c r="E667" s="455"/>
      <c r="F667" s="454"/>
      <c r="G667" s="455"/>
      <c r="H667" s="454"/>
      <c r="I667" s="455"/>
      <c r="J667" s="454"/>
      <c r="K667" s="455"/>
      <c r="L667" s="454"/>
      <c r="M667" s="455"/>
      <c r="N667" s="454"/>
      <c r="O667" s="455"/>
      <c r="P667" s="454"/>
      <c r="Q667" s="455"/>
      <c r="R667" s="454"/>
      <c r="S667" s="455"/>
      <c r="T667" s="454"/>
      <c r="U667" s="455"/>
      <c r="V667" s="454"/>
      <c r="W667" s="455"/>
      <c r="X667" s="454"/>
      <c r="Y667" s="455"/>
      <c r="Z667" s="454"/>
      <c r="AA667" s="455"/>
      <c r="AB667" s="454"/>
      <c r="AC667" s="455"/>
      <c r="AD667" s="454"/>
      <c r="AE667" s="455"/>
      <c r="AF667" s="454"/>
      <c r="AG667" s="455"/>
    </row>
    <row r="668" spans="1:33" x14ac:dyDescent="0.2">
      <c r="A668" s="415">
        <f t="shared" si="21"/>
        <v>1383</v>
      </c>
      <c r="B668" s="416" t="str">
        <f t="shared" si="20"/>
        <v>Winter</v>
      </c>
      <c r="C668" s="453"/>
      <c r="D668" s="454"/>
      <c r="E668" s="455"/>
      <c r="F668" s="454"/>
      <c r="G668" s="455"/>
      <c r="H668" s="454"/>
      <c r="I668" s="455"/>
      <c r="J668" s="454"/>
      <c r="K668" s="455"/>
      <c r="L668" s="454"/>
      <c r="M668" s="455"/>
      <c r="N668" s="454"/>
      <c r="O668" s="455"/>
      <c r="P668" s="454"/>
      <c r="Q668" s="455"/>
      <c r="R668" s="454"/>
      <c r="S668" s="455"/>
      <c r="T668" s="454"/>
      <c r="U668" s="455"/>
      <c r="V668" s="454"/>
      <c r="W668" s="455"/>
      <c r="X668" s="454"/>
      <c r="Y668" s="455"/>
      <c r="Z668" s="454"/>
      <c r="AA668" s="455"/>
      <c r="AB668" s="454"/>
      <c r="AC668" s="455"/>
      <c r="AD668" s="454"/>
      <c r="AE668" s="455"/>
      <c r="AF668" s="454"/>
      <c r="AG668" s="455"/>
    </row>
    <row r="669" spans="1:33" x14ac:dyDescent="0.2">
      <c r="A669" s="415">
        <f t="shared" si="21"/>
        <v>1383</v>
      </c>
      <c r="B669" s="416" t="str">
        <f t="shared" si="20"/>
        <v>Spring</v>
      </c>
      <c r="C669" s="453"/>
      <c r="D669" s="454"/>
      <c r="E669" s="455"/>
      <c r="F669" s="454"/>
      <c r="G669" s="455"/>
      <c r="H669" s="454"/>
      <c r="I669" s="455"/>
      <c r="J669" s="454"/>
      <c r="K669" s="455"/>
      <c r="L669" s="454"/>
      <c r="M669" s="455"/>
      <c r="N669" s="454"/>
      <c r="O669" s="455"/>
      <c r="P669" s="454"/>
      <c r="Q669" s="455"/>
      <c r="R669" s="454"/>
      <c r="S669" s="455"/>
      <c r="T669" s="454"/>
      <c r="U669" s="455"/>
      <c r="V669" s="454"/>
      <c r="W669" s="455"/>
      <c r="X669" s="454"/>
      <c r="Y669" s="455"/>
      <c r="Z669" s="454"/>
      <c r="AA669" s="455"/>
      <c r="AB669" s="454"/>
      <c r="AC669" s="455"/>
      <c r="AD669" s="454"/>
      <c r="AE669" s="455"/>
      <c r="AF669" s="454"/>
      <c r="AG669" s="455"/>
    </row>
    <row r="670" spans="1:33" x14ac:dyDescent="0.2">
      <c r="A670" s="415">
        <f t="shared" si="21"/>
        <v>1383</v>
      </c>
      <c r="B670" s="416" t="str">
        <f t="shared" si="20"/>
        <v>Summer</v>
      </c>
      <c r="C670" s="453"/>
      <c r="D670" s="454"/>
      <c r="E670" s="455"/>
      <c r="F670" s="454"/>
      <c r="G670" s="455"/>
      <c r="H670" s="454"/>
      <c r="I670" s="455"/>
      <c r="J670" s="454"/>
      <c r="K670" s="455"/>
      <c r="L670" s="454"/>
      <c r="M670" s="455"/>
      <c r="N670" s="454"/>
      <c r="O670" s="455"/>
      <c r="P670" s="454"/>
      <c r="Q670" s="455"/>
      <c r="R670" s="454"/>
      <c r="S670" s="455"/>
      <c r="T670" s="454"/>
      <c r="U670" s="455"/>
      <c r="V670" s="454"/>
      <c r="W670" s="455"/>
      <c r="X670" s="454"/>
      <c r="Y670" s="455"/>
      <c r="Z670" s="454"/>
      <c r="AA670" s="455"/>
      <c r="AB670" s="454"/>
      <c r="AC670" s="455"/>
      <c r="AD670" s="454"/>
      <c r="AE670" s="455"/>
      <c r="AF670" s="454"/>
      <c r="AG670" s="455"/>
    </row>
    <row r="671" spans="1:33" x14ac:dyDescent="0.2">
      <c r="A671" s="415">
        <f t="shared" si="21"/>
        <v>1383</v>
      </c>
      <c r="B671" s="416" t="str">
        <f t="shared" si="20"/>
        <v>Autumn</v>
      </c>
      <c r="C671" s="453"/>
      <c r="D671" s="454"/>
      <c r="E671" s="455"/>
      <c r="F671" s="454"/>
      <c r="G671" s="455"/>
      <c r="H671" s="454"/>
      <c r="I671" s="455"/>
      <c r="J671" s="454"/>
      <c r="K671" s="455"/>
      <c r="L671" s="454"/>
      <c r="M671" s="455"/>
      <c r="N671" s="454"/>
      <c r="O671" s="455"/>
      <c r="P671" s="454"/>
      <c r="Q671" s="455"/>
      <c r="R671" s="454"/>
      <c r="S671" s="455"/>
      <c r="T671" s="454"/>
      <c r="U671" s="455"/>
      <c r="V671" s="454"/>
      <c r="W671" s="455"/>
      <c r="X671" s="454"/>
      <c r="Y671" s="455"/>
      <c r="Z671" s="454"/>
      <c r="AA671" s="455"/>
      <c r="AB671" s="454"/>
      <c r="AC671" s="455"/>
      <c r="AD671" s="454"/>
      <c r="AE671" s="455"/>
      <c r="AF671" s="454"/>
      <c r="AG671" s="455"/>
    </row>
    <row r="672" spans="1:33" x14ac:dyDescent="0.2">
      <c r="A672" s="415">
        <f t="shared" si="21"/>
        <v>1384</v>
      </c>
      <c r="B672" s="416" t="str">
        <f t="shared" si="20"/>
        <v>Winter</v>
      </c>
      <c r="C672" s="453"/>
      <c r="D672" s="454"/>
      <c r="E672" s="455"/>
      <c r="F672" s="454"/>
      <c r="G672" s="455"/>
      <c r="H672" s="454"/>
      <c r="I672" s="455"/>
      <c r="J672" s="454"/>
      <c r="K672" s="455"/>
      <c r="L672" s="454"/>
      <c r="M672" s="455"/>
      <c r="N672" s="454"/>
      <c r="O672" s="455"/>
      <c r="P672" s="454"/>
      <c r="Q672" s="455"/>
      <c r="R672" s="454"/>
      <c r="S672" s="455"/>
      <c r="T672" s="454"/>
      <c r="U672" s="455"/>
      <c r="V672" s="454"/>
      <c r="W672" s="455"/>
      <c r="X672" s="454"/>
      <c r="Y672" s="455"/>
      <c r="Z672" s="454"/>
      <c r="AA672" s="455"/>
      <c r="AB672" s="454"/>
      <c r="AC672" s="455"/>
      <c r="AD672" s="454"/>
      <c r="AE672" s="455"/>
      <c r="AF672" s="454"/>
      <c r="AG672" s="455"/>
    </row>
    <row r="673" spans="1:33" x14ac:dyDescent="0.2">
      <c r="A673" s="415">
        <f t="shared" si="21"/>
        <v>1384</v>
      </c>
      <c r="B673" s="416" t="str">
        <f t="shared" si="20"/>
        <v>Spring</v>
      </c>
      <c r="C673" s="453"/>
      <c r="D673" s="454"/>
      <c r="E673" s="455"/>
      <c r="F673" s="454"/>
      <c r="G673" s="455"/>
      <c r="H673" s="454"/>
      <c r="I673" s="455"/>
      <c r="J673" s="454"/>
      <c r="K673" s="455"/>
      <c r="L673" s="454"/>
      <c r="M673" s="455"/>
      <c r="N673" s="454"/>
      <c r="O673" s="455"/>
      <c r="P673" s="454"/>
      <c r="Q673" s="455"/>
      <c r="R673" s="454"/>
      <c r="S673" s="455"/>
      <c r="T673" s="454"/>
      <c r="U673" s="455"/>
      <c r="V673" s="454"/>
      <c r="W673" s="455"/>
      <c r="X673" s="454"/>
      <c r="Y673" s="455"/>
      <c r="Z673" s="454"/>
      <c r="AA673" s="455"/>
      <c r="AB673" s="454"/>
      <c r="AC673" s="455"/>
      <c r="AD673" s="454"/>
      <c r="AE673" s="455"/>
      <c r="AF673" s="454"/>
      <c r="AG673" s="455"/>
    </row>
    <row r="674" spans="1:33" x14ac:dyDescent="0.2">
      <c r="A674" s="415">
        <f t="shared" si="21"/>
        <v>1384</v>
      </c>
      <c r="B674" s="416" t="str">
        <f t="shared" si="20"/>
        <v>Summer</v>
      </c>
      <c r="C674" s="453"/>
      <c r="D674" s="454"/>
      <c r="E674" s="455"/>
      <c r="F674" s="454"/>
      <c r="G674" s="455"/>
      <c r="H674" s="454"/>
      <c r="I674" s="455"/>
      <c r="J674" s="454"/>
      <c r="K674" s="455"/>
      <c r="L674" s="454"/>
      <c r="M674" s="455"/>
      <c r="N674" s="454"/>
      <c r="O674" s="455"/>
      <c r="P674" s="454"/>
      <c r="Q674" s="455"/>
      <c r="R674" s="454"/>
      <c r="S674" s="455"/>
      <c r="T674" s="454"/>
      <c r="U674" s="455"/>
      <c r="V674" s="454"/>
      <c r="W674" s="455"/>
      <c r="X674" s="454"/>
      <c r="Y674" s="455"/>
      <c r="Z674" s="454"/>
      <c r="AA674" s="455"/>
      <c r="AB674" s="454"/>
      <c r="AC674" s="455"/>
      <c r="AD674" s="454"/>
      <c r="AE674" s="455"/>
      <c r="AF674" s="454"/>
      <c r="AG674" s="455"/>
    </row>
    <row r="675" spans="1:33" x14ac:dyDescent="0.2">
      <c r="A675" s="415">
        <f t="shared" si="21"/>
        <v>1384</v>
      </c>
      <c r="B675" s="416" t="str">
        <f t="shared" si="20"/>
        <v>Autumn</v>
      </c>
      <c r="C675" s="453"/>
      <c r="D675" s="454"/>
      <c r="E675" s="455"/>
      <c r="F675" s="454"/>
      <c r="G675" s="455"/>
      <c r="H675" s="454"/>
      <c r="I675" s="455"/>
      <c r="J675" s="454"/>
      <c r="K675" s="455"/>
      <c r="L675" s="454"/>
      <c r="M675" s="455"/>
      <c r="N675" s="454"/>
      <c r="O675" s="455"/>
      <c r="P675" s="454"/>
      <c r="Q675" s="455"/>
      <c r="R675" s="454"/>
      <c r="S675" s="455"/>
      <c r="T675" s="454"/>
      <c r="U675" s="455"/>
      <c r="V675" s="454"/>
      <c r="W675" s="455"/>
      <c r="X675" s="454"/>
      <c r="Y675" s="455"/>
      <c r="Z675" s="454"/>
      <c r="AA675" s="455"/>
      <c r="AB675" s="454"/>
      <c r="AC675" s="455"/>
      <c r="AD675" s="454"/>
      <c r="AE675" s="455"/>
      <c r="AF675" s="454"/>
      <c r="AG675" s="455"/>
    </row>
    <row r="676" spans="1:33" x14ac:dyDescent="0.2">
      <c r="A676" s="415">
        <f t="shared" si="21"/>
        <v>1385</v>
      </c>
      <c r="B676" s="416" t="str">
        <f t="shared" si="20"/>
        <v>Winter</v>
      </c>
      <c r="C676" s="453"/>
      <c r="D676" s="454"/>
      <c r="E676" s="455"/>
      <c r="F676" s="454"/>
      <c r="G676" s="455"/>
      <c r="H676" s="454"/>
      <c r="I676" s="455"/>
      <c r="J676" s="454"/>
      <c r="K676" s="455"/>
      <c r="L676" s="454"/>
      <c r="M676" s="455"/>
      <c r="N676" s="454"/>
      <c r="O676" s="455"/>
      <c r="P676" s="454"/>
      <c r="Q676" s="455"/>
      <c r="R676" s="454"/>
      <c r="S676" s="455"/>
      <c r="T676" s="454"/>
      <c r="U676" s="455"/>
      <c r="V676" s="454"/>
      <c r="W676" s="455"/>
      <c r="X676" s="454"/>
      <c r="Y676" s="455"/>
      <c r="Z676" s="454"/>
      <c r="AA676" s="455"/>
      <c r="AB676" s="454"/>
      <c r="AC676" s="455"/>
      <c r="AD676" s="454"/>
      <c r="AE676" s="455"/>
      <c r="AF676" s="454"/>
      <c r="AG676" s="455"/>
    </row>
    <row r="677" spans="1:33" x14ac:dyDescent="0.2">
      <c r="A677" s="415">
        <f t="shared" si="21"/>
        <v>1385</v>
      </c>
      <c r="B677" s="416" t="str">
        <f t="shared" si="20"/>
        <v>Spring</v>
      </c>
      <c r="C677" s="453"/>
      <c r="D677" s="454"/>
      <c r="E677" s="455"/>
      <c r="F677" s="454"/>
      <c r="G677" s="455"/>
      <c r="H677" s="454"/>
      <c r="I677" s="455"/>
      <c r="J677" s="454"/>
      <c r="K677" s="455"/>
      <c r="L677" s="454"/>
      <c r="M677" s="455"/>
      <c r="N677" s="454"/>
      <c r="O677" s="455"/>
      <c r="P677" s="454"/>
      <c r="Q677" s="455"/>
      <c r="R677" s="454"/>
      <c r="S677" s="455"/>
      <c r="T677" s="454"/>
      <c r="U677" s="455"/>
      <c r="V677" s="454"/>
      <c r="W677" s="455"/>
      <c r="X677" s="454"/>
      <c r="Y677" s="455"/>
      <c r="Z677" s="454"/>
      <c r="AA677" s="455"/>
      <c r="AB677" s="454"/>
      <c r="AC677" s="455"/>
      <c r="AD677" s="454"/>
      <c r="AE677" s="455"/>
      <c r="AF677" s="454"/>
      <c r="AG677" s="455"/>
    </row>
    <row r="678" spans="1:33" x14ac:dyDescent="0.2">
      <c r="A678" s="415">
        <f t="shared" si="21"/>
        <v>1385</v>
      </c>
      <c r="B678" s="416" t="str">
        <f t="shared" si="20"/>
        <v>Summer</v>
      </c>
      <c r="C678" s="453"/>
      <c r="D678" s="454"/>
      <c r="E678" s="455"/>
      <c r="F678" s="454"/>
      <c r="G678" s="455"/>
      <c r="H678" s="454"/>
      <c r="I678" s="455"/>
      <c r="J678" s="454"/>
      <c r="K678" s="455"/>
      <c r="L678" s="454"/>
      <c r="M678" s="455"/>
      <c r="N678" s="454"/>
      <c r="O678" s="455"/>
      <c r="P678" s="454"/>
      <c r="Q678" s="455"/>
      <c r="R678" s="454"/>
      <c r="S678" s="455"/>
      <c r="T678" s="454"/>
      <c r="U678" s="455"/>
      <c r="V678" s="454"/>
      <c r="W678" s="455"/>
      <c r="X678" s="454"/>
      <c r="Y678" s="455"/>
      <c r="Z678" s="454"/>
      <c r="AA678" s="455"/>
      <c r="AB678" s="454"/>
      <c r="AC678" s="455"/>
      <c r="AD678" s="454"/>
      <c r="AE678" s="455"/>
      <c r="AF678" s="454"/>
      <c r="AG678" s="455"/>
    </row>
    <row r="679" spans="1:33" x14ac:dyDescent="0.2">
      <c r="A679" s="415">
        <f t="shared" si="21"/>
        <v>1385</v>
      </c>
      <c r="B679" s="416" t="str">
        <f t="shared" si="20"/>
        <v>Autumn</v>
      </c>
      <c r="C679" s="453"/>
      <c r="D679" s="454"/>
      <c r="E679" s="455"/>
      <c r="F679" s="454"/>
      <c r="G679" s="455"/>
      <c r="H679" s="454"/>
      <c r="I679" s="455"/>
      <c r="J679" s="454"/>
      <c r="K679" s="455"/>
      <c r="L679" s="454"/>
      <c r="M679" s="455"/>
      <c r="N679" s="454"/>
      <c r="O679" s="455"/>
      <c r="P679" s="454"/>
      <c r="Q679" s="455"/>
      <c r="R679" s="454"/>
      <c r="S679" s="455"/>
      <c r="T679" s="454"/>
      <c r="U679" s="455"/>
      <c r="V679" s="454"/>
      <c r="W679" s="455"/>
      <c r="X679" s="454"/>
      <c r="Y679" s="455"/>
      <c r="Z679" s="454"/>
      <c r="AA679" s="455"/>
      <c r="AB679" s="454"/>
      <c r="AC679" s="455"/>
      <c r="AD679" s="454"/>
      <c r="AE679" s="455"/>
      <c r="AF679" s="454"/>
      <c r="AG679" s="455"/>
    </row>
    <row r="680" spans="1:33" x14ac:dyDescent="0.2">
      <c r="A680" s="415">
        <f t="shared" si="21"/>
        <v>1386</v>
      </c>
      <c r="B680" s="416" t="str">
        <f t="shared" si="20"/>
        <v>Winter</v>
      </c>
      <c r="C680" s="453"/>
      <c r="D680" s="454"/>
      <c r="E680" s="455"/>
      <c r="F680" s="454"/>
      <c r="G680" s="455"/>
      <c r="H680" s="454"/>
      <c r="I680" s="455"/>
      <c r="J680" s="454"/>
      <c r="K680" s="455"/>
      <c r="L680" s="454"/>
      <c r="M680" s="455"/>
      <c r="N680" s="454"/>
      <c r="O680" s="455"/>
      <c r="P680" s="454"/>
      <c r="Q680" s="455"/>
      <c r="R680" s="454"/>
      <c r="S680" s="455"/>
      <c r="T680" s="454"/>
      <c r="U680" s="455"/>
      <c r="V680" s="454"/>
      <c r="W680" s="455"/>
      <c r="X680" s="454"/>
      <c r="Y680" s="455"/>
      <c r="Z680" s="454"/>
      <c r="AA680" s="455"/>
      <c r="AB680" s="454"/>
      <c r="AC680" s="455"/>
      <c r="AD680" s="454"/>
      <c r="AE680" s="455"/>
      <c r="AF680" s="454"/>
      <c r="AG680" s="455"/>
    </row>
    <row r="681" spans="1:33" x14ac:dyDescent="0.2">
      <c r="A681" s="415">
        <f t="shared" si="21"/>
        <v>1386</v>
      </c>
      <c r="B681" s="416" t="str">
        <f t="shared" si="20"/>
        <v>Spring</v>
      </c>
      <c r="C681" s="453"/>
      <c r="D681" s="454"/>
      <c r="E681" s="455"/>
      <c r="F681" s="454"/>
      <c r="G681" s="455"/>
      <c r="H681" s="454"/>
      <c r="I681" s="455"/>
      <c r="J681" s="454"/>
      <c r="K681" s="455"/>
      <c r="L681" s="454"/>
      <c r="M681" s="455"/>
      <c r="N681" s="454"/>
      <c r="O681" s="455"/>
      <c r="P681" s="454"/>
      <c r="Q681" s="455"/>
      <c r="R681" s="454"/>
      <c r="S681" s="455"/>
      <c r="T681" s="454"/>
      <c r="U681" s="455"/>
      <c r="V681" s="454"/>
      <c r="W681" s="455"/>
      <c r="X681" s="454"/>
      <c r="Y681" s="455"/>
      <c r="Z681" s="454"/>
      <c r="AA681" s="455"/>
      <c r="AB681" s="454"/>
      <c r="AC681" s="455"/>
      <c r="AD681" s="454"/>
      <c r="AE681" s="455"/>
      <c r="AF681" s="454"/>
      <c r="AG681" s="455"/>
    </row>
    <row r="682" spans="1:33" x14ac:dyDescent="0.2">
      <c r="A682" s="415">
        <f t="shared" si="21"/>
        <v>1386</v>
      </c>
      <c r="B682" s="416" t="str">
        <f t="shared" si="20"/>
        <v>Summer</v>
      </c>
      <c r="C682" s="453"/>
      <c r="D682" s="454"/>
      <c r="E682" s="455"/>
      <c r="F682" s="454"/>
      <c r="G682" s="455"/>
      <c r="H682" s="454"/>
      <c r="I682" s="455"/>
      <c r="J682" s="454"/>
      <c r="K682" s="455"/>
      <c r="L682" s="454"/>
      <c r="M682" s="455"/>
      <c r="N682" s="454"/>
      <c r="O682" s="455"/>
      <c r="P682" s="454"/>
      <c r="Q682" s="455"/>
      <c r="R682" s="454"/>
      <c r="S682" s="455"/>
      <c r="T682" s="454"/>
      <c r="U682" s="455"/>
      <c r="V682" s="454"/>
      <c r="W682" s="455"/>
      <c r="X682" s="454"/>
      <c r="Y682" s="455"/>
      <c r="Z682" s="454"/>
      <c r="AA682" s="455"/>
      <c r="AB682" s="454"/>
      <c r="AC682" s="455"/>
      <c r="AD682" s="454"/>
      <c r="AE682" s="455"/>
      <c r="AF682" s="454"/>
      <c r="AG682" s="455"/>
    </row>
    <row r="683" spans="1:33" x14ac:dyDescent="0.2">
      <c r="A683" s="415">
        <f t="shared" si="21"/>
        <v>1386</v>
      </c>
      <c r="B683" s="416" t="str">
        <f t="shared" ref="B683:B746" si="22">IF(B682="spring","Summer",IF(B682="Summer","Autumn",IF(B682="Autumn","Winter",IF(B682="Winter","Spring"," "))))</f>
        <v>Autumn</v>
      </c>
      <c r="C683" s="453"/>
      <c r="D683" s="454"/>
      <c r="E683" s="455"/>
      <c r="F683" s="454"/>
      <c r="G683" s="455"/>
      <c r="H683" s="454"/>
      <c r="I683" s="455"/>
      <c r="J683" s="454"/>
      <c r="K683" s="455"/>
      <c r="L683" s="454"/>
      <c r="M683" s="455"/>
      <c r="N683" s="454"/>
      <c r="O683" s="455"/>
      <c r="P683" s="454"/>
      <c r="Q683" s="455"/>
      <c r="R683" s="454"/>
      <c r="S683" s="455"/>
      <c r="T683" s="454"/>
      <c r="U683" s="455"/>
      <c r="V683" s="454"/>
      <c r="W683" s="455"/>
      <c r="X683" s="454"/>
      <c r="Y683" s="455"/>
      <c r="Z683" s="454"/>
      <c r="AA683" s="455"/>
      <c r="AB683" s="454"/>
      <c r="AC683" s="455"/>
      <c r="AD683" s="454"/>
      <c r="AE683" s="455"/>
      <c r="AF683" s="454"/>
      <c r="AG683" s="455"/>
    </row>
    <row r="684" spans="1:33" x14ac:dyDescent="0.2">
      <c r="A684" s="415">
        <f t="shared" si="21"/>
        <v>1387</v>
      </c>
      <c r="B684" s="416" t="str">
        <f t="shared" si="22"/>
        <v>Winter</v>
      </c>
      <c r="C684" s="453"/>
      <c r="D684" s="454"/>
      <c r="E684" s="455"/>
      <c r="F684" s="454"/>
      <c r="G684" s="455"/>
      <c r="H684" s="454"/>
      <c r="I684" s="455"/>
      <c r="J684" s="454"/>
      <c r="K684" s="455"/>
      <c r="L684" s="454"/>
      <c r="M684" s="455"/>
      <c r="N684" s="454"/>
      <c r="O684" s="455"/>
      <c r="P684" s="454"/>
      <c r="Q684" s="455"/>
      <c r="R684" s="454"/>
      <c r="S684" s="455"/>
      <c r="T684" s="454"/>
      <c r="U684" s="455"/>
      <c r="V684" s="454"/>
      <c r="W684" s="455"/>
      <c r="X684" s="454"/>
      <c r="Y684" s="455"/>
      <c r="Z684" s="454"/>
      <c r="AA684" s="455"/>
      <c r="AB684" s="454"/>
      <c r="AC684" s="455"/>
      <c r="AD684" s="454"/>
      <c r="AE684" s="455"/>
      <c r="AF684" s="454"/>
      <c r="AG684" s="455"/>
    </row>
    <row r="685" spans="1:33" x14ac:dyDescent="0.2">
      <c r="A685" s="415">
        <f t="shared" si="21"/>
        <v>1387</v>
      </c>
      <c r="B685" s="416" t="str">
        <f t="shared" si="22"/>
        <v>Spring</v>
      </c>
      <c r="C685" s="453"/>
      <c r="D685" s="454"/>
      <c r="E685" s="455"/>
      <c r="F685" s="454"/>
      <c r="G685" s="455"/>
      <c r="H685" s="454"/>
      <c r="I685" s="455"/>
      <c r="J685" s="454"/>
      <c r="K685" s="455"/>
      <c r="L685" s="454"/>
      <c r="M685" s="455"/>
      <c r="N685" s="454"/>
      <c r="O685" s="455"/>
      <c r="P685" s="454"/>
      <c r="Q685" s="455"/>
      <c r="R685" s="454"/>
      <c r="S685" s="455"/>
      <c r="T685" s="454"/>
      <c r="U685" s="455"/>
      <c r="V685" s="454"/>
      <c r="W685" s="455"/>
      <c r="X685" s="454"/>
      <c r="Y685" s="455"/>
      <c r="Z685" s="454"/>
      <c r="AA685" s="455"/>
      <c r="AB685" s="454"/>
      <c r="AC685" s="455"/>
      <c r="AD685" s="454"/>
      <c r="AE685" s="455"/>
      <c r="AF685" s="454"/>
      <c r="AG685" s="455"/>
    </row>
    <row r="686" spans="1:33" x14ac:dyDescent="0.2">
      <c r="A686" s="415">
        <f t="shared" si="21"/>
        <v>1387</v>
      </c>
      <c r="B686" s="416" t="str">
        <f t="shared" si="22"/>
        <v>Summer</v>
      </c>
      <c r="C686" s="453"/>
      <c r="D686" s="454"/>
      <c r="E686" s="455"/>
      <c r="F686" s="454"/>
      <c r="G686" s="455"/>
      <c r="H686" s="454"/>
      <c r="I686" s="455"/>
      <c r="J686" s="454"/>
      <c r="K686" s="455"/>
      <c r="L686" s="454"/>
      <c r="M686" s="455"/>
      <c r="N686" s="454"/>
      <c r="O686" s="455"/>
      <c r="P686" s="454"/>
      <c r="Q686" s="455"/>
      <c r="R686" s="454"/>
      <c r="S686" s="455"/>
      <c r="T686" s="454"/>
      <c r="U686" s="455"/>
      <c r="V686" s="454"/>
      <c r="W686" s="455"/>
      <c r="X686" s="454"/>
      <c r="Y686" s="455"/>
      <c r="Z686" s="454"/>
      <c r="AA686" s="455"/>
      <c r="AB686" s="454"/>
      <c r="AC686" s="455"/>
      <c r="AD686" s="454"/>
      <c r="AE686" s="455"/>
      <c r="AF686" s="454"/>
      <c r="AG686" s="455"/>
    </row>
    <row r="687" spans="1:33" x14ac:dyDescent="0.2">
      <c r="A687" s="415">
        <f t="shared" si="21"/>
        <v>1387</v>
      </c>
      <c r="B687" s="416" t="str">
        <f t="shared" si="22"/>
        <v>Autumn</v>
      </c>
      <c r="C687" s="453"/>
      <c r="D687" s="454"/>
      <c r="E687" s="455"/>
      <c r="F687" s="454"/>
      <c r="G687" s="455"/>
      <c r="H687" s="454"/>
      <c r="I687" s="455"/>
      <c r="J687" s="454"/>
      <c r="K687" s="455"/>
      <c r="L687" s="454"/>
      <c r="M687" s="455"/>
      <c r="N687" s="454"/>
      <c r="O687" s="455"/>
      <c r="P687" s="454"/>
      <c r="Q687" s="455"/>
      <c r="R687" s="454"/>
      <c r="S687" s="455"/>
      <c r="T687" s="454"/>
      <c r="U687" s="455"/>
      <c r="V687" s="454"/>
      <c r="W687" s="455"/>
      <c r="X687" s="454"/>
      <c r="Y687" s="455"/>
      <c r="Z687" s="454"/>
      <c r="AA687" s="455"/>
      <c r="AB687" s="454"/>
      <c r="AC687" s="455"/>
      <c r="AD687" s="454"/>
      <c r="AE687" s="455"/>
      <c r="AF687" s="454"/>
      <c r="AG687" s="455"/>
    </row>
    <row r="688" spans="1:33" x14ac:dyDescent="0.2">
      <c r="A688" s="415">
        <f t="shared" si="21"/>
        <v>1388</v>
      </c>
      <c r="B688" s="416" t="str">
        <f t="shared" si="22"/>
        <v>Winter</v>
      </c>
      <c r="C688" s="453"/>
      <c r="D688" s="454"/>
      <c r="E688" s="455"/>
      <c r="F688" s="454"/>
      <c r="G688" s="455"/>
      <c r="H688" s="454"/>
      <c r="I688" s="455"/>
      <c r="J688" s="454"/>
      <c r="K688" s="455"/>
      <c r="L688" s="454"/>
      <c r="M688" s="455"/>
      <c r="N688" s="454"/>
      <c r="O688" s="455"/>
      <c r="P688" s="454"/>
      <c r="Q688" s="455"/>
      <c r="R688" s="454"/>
      <c r="S688" s="455"/>
      <c r="T688" s="454"/>
      <c r="U688" s="455"/>
      <c r="V688" s="454"/>
      <c r="W688" s="455"/>
      <c r="X688" s="454"/>
      <c r="Y688" s="455"/>
      <c r="Z688" s="454"/>
      <c r="AA688" s="455"/>
      <c r="AB688" s="454"/>
      <c r="AC688" s="455"/>
      <c r="AD688" s="454"/>
      <c r="AE688" s="455"/>
      <c r="AF688" s="454"/>
      <c r="AG688" s="455"/>
    </row>
    <row r="689" spans="1:33" x14ac:dyDescent="0.2">
      <c r="A689" s="415">
        <f t="shared" si="21"/>
        <v>1388</v>
      </c>
      <c r="B689" s="416" t="str">
        <f t="shared" si="22"/>
        <v>Spring</v>
      </c>
      <c r="C689" s="453"/>
      <c r="D689" s="454"/>
      <c r="E689" s="455"/>
      <c r="F689" s="454"/>
      <c r="G689" s="455"/>
      <c r="H689" s="454"/>
      <c r="I689" s="455"/>
      <c r="J689" s="454"/>
      <c r="K689" s="455"/>
      <c r="L689" s="454"/>
      <c r="M689" s="455"/>
      <c r="N689" s="454"/>
      <c r="O689" s="455"/>
      <c r="P689" s="454"/>
      <c r="Q689" s="455"/>
      <c r="R689" s="454"/>
      <c r="S689" s="455"/>
      <c r="T689" s="454"/>
      <c r="U689" s="455"/>
      <c r="V689" s="454"/>
      <c r="W689" s="455"/>
      <c r="X689" s="454"/>
      <c r="Y689" s="455"/>
      <c r="Z689" s="454"/>
      <c r="AA689" s="455"/>
      <c r="AB689" s="454"/>
      <c r="AC689" s="455"/>
      <c r="AD689" s="454"/>
      <c r="AE689" s="455"/>
      <c r="AF689" s="454"/>
      <c r="AG689" s="455"/>
    </row>
    <row r="690" spans="1:33" x14ac:dyDescent="0.2">
      <c r="A690" s="415">
        <f t="shared" si="21"/>
        <v>1388</v>
      </c>
      <c r="B690" s="416" t="str">
        <f t="shared" si="22"/>
        <v>Summer</v>
      </c>
      <c r="C690" s="453"/>
      <c r="D690" s="454"/>
      <c r="E690" s="455"/>
      <c r="F690" s="454"/>
      <c r="G690" s="455"/>
      <c r="H690" s="454"/>
      <c r="I690" s="455"/>
      <c r="J690" s="454"/>
      <c r="K690" s="455"/>
      <c r="L690" s="454"/>
      <c r="M690" s="455"/>
      <c r="N690" s="454"/>
      <c r="O690" s="455"/>
      <c r="P690" s="454"/>
      <c r="Q690" s="455"/>
      <c r="R690" s="454"/>
      <c r="S690" s="455"/>
      <c r="T690" s="454"/>
      <c r="U690" s="455"/>
      <c r="V690" s="454"/>
      <c r="W690" s="455"/>
      <c r="X690" s="454"/>
      <c r="Y690" s="455"/>
      <c r="Z690" s="454"/>
      <c r="AA690" s="455"/>
      <c r="AB690" s="454"/>
      <c r="AC690" s="455"/>
      <c r="AD690" s="454"/>
      <c r="AE690" s="455"/>
      <c r="AF690" s="454"/>
      <c r="AG690" s="455"/>
    </row>
    <row r="691" spans="1:33" x14ac:dyDescent="0.2">
      <c r="A691" s="415">
        <f t="shared" si="21"/>
        <v>1388</v>
      </c>
      <c r="B691" s="416" t="str">
        <f t="shared" si="22"/>
        <v>Autumn</v>
      </c>
      <c r="C691" s="453"/>
      <c r="D691" s="454"/>
      <c r="E691" s="455"/>
      <c r="F691" s="454"/>
      <c r="G691" s="455"/>
      <c r="H691" s="454"/>
      <c r="I691" s="455"/>
      <c r="J691" s="454"/>
      <c r="K691" s="455"/>
      <c r="L691" s="454"/>
      <c r="M691" s="455"/>
      <c r="N691" s="454"/>
      <c r="O691" s="455"/>
      <c r="P691" s="454"/>
      <c r="Q691" s="455"/>
      <c r="R691" s="454"/>
      <c r="S691" s="455"/>
      <c r="T691" s="454"/>
      <c r="U691" s="455"/>
      <c r="V691" s="454"/>
      <c r="W691" s="455"/>
      <c r="X691" s="454"/>
      <c r="Y691" s="455"/>
      <c r="Z691" s="454"/>
      <c r="AA691" s="455"/>
      <c r="AB691" s="454"/>
      <c r="AC691" s="455"/>
      <c r="AD691" s="454"/>
      <c r="AE691" s="455"/>
      <c r="AF691" s="454"/>
      <c r="AG691" s="455"/>
    </row>
    <row r="692" spans="1:33" x14ac:dyDescent="0.2">
      <c r="A692" s="415">
        <f t="shared" si="21"/>
        <v>1389</v>
      </c>
      <c r="B692" s="416" t="str">
        <f t="shared" si="22"/>
        <v>Winter</v>
      </c>
      <c r="C692" s="453"/>
      <c r="D692" s="454"/>
      <c r="E692" s="455"/>
      <c r="F692" s="454"/>
      <c r="G692" s="455"/>
      <c r="H692" s="454"/>
      <c r="I692" s="455"/>
      <c r="J692" s="454"/>
      <c r="K692" s="455"/>
      <c r="L692" s="454"/>
      <c r="M692" s="455"/>
      <c r="N692" s="454"/>
      <c r="O692" s="455"/>
      <c r="P692" s="454"/>
      <c r="Q692" s="455"/>
      <c r="R692" s="454"/>
      <c r="S692" s="455"/>
      <c r="T692" s="454"/>
      <c r="U692" s="455"/>
      <c r="V692" s="454"/>
      <c r="W692" s="455"/>
      <c r="X692" s="454"/>
      <c r="Y692" s="455"/>
      <c r="Z692" s="454"/>
      <c r="AA692" s="455"/>
      <c r="AB692" s="454"/>
      <c r="AC692" s="455"/>
      <c r="AD692" s="454"/>
      <c r="AE692" s="455"/>
      <c r="AF692" s="454"/>
      <c r="AG692" s="455"/>
    </row>
    <row r="693" spans="1:33" x14ac:dyDescent="0.2">
      <c r="A693" s="415">
        <f t="shared" si="21"/>
        <v>1389</v>
      </c>
      <c r="B693" s="416" t="str">
        <f t="shared" si="22"/>
        <v>Spring</v>
      </c>
      <c r="C693" s="453"/>
      <c r="D693" s="454"/>
      <c r="E693" s="455"/>
      <c r="F693" s="454"/>
      <c r="G693" s="455"/>
      <c r="H693" s="454"/>
      <c r="I693" s="455"/>
      <c r="J693" s="454"/>
      <c r="K693" s="455"/>
      <c r="L693" s="454"/>
      <c r="M693" s="455"/>
      <c r="N693" s="454"/>
      <c r="O693" s="455"/>
      <c r="P693" s="454"/>
      <c r="Q693" s="455"/>
      <c r="R693" s="454"/>
      <c r="S693" s="455"/>
      <c r="T693" s="454"/>
      <c r="U693" s="455"/>
      <c r="V693" s="454"/>
      <c r="W693" s="455"/>
      <c r="X693" s="454"/>
      <c r="Y693" s="455"/>
      <c r="Z693" s="454"/>
      <c r="AA693" s="455"/>
      <c r="AB693" s="454"/>
      <c r="AC693" s="455"/>
      <c r="AD693" s="454"/>
      <c r="AE693" s="455"/>
      <c r="AF693" s="454"/>
      <c r="AG693" s="455"/>
    </row>
    <row r="694" spans="1:33" x14ac:dyDescent="0.2">
      <c r="A694" s="415">
        <f t="shared" si="21"/>
        <v>1389</v>
      </c>
      <c r="B694" s="416" t="str">
        <f t="shared" si="22"/>
        <v>Summer</v>
      </c>
      <c r="C694" s="453"/>
      <c r="D694" s="454"/>
      <c r="E694" s="455"/>
      <c r="F694" s="454"/>
      <c r="G694" s="455"/>
      <c r="H694" s="454"/>
      <c r="I694" s="455"/>
      <c r="J694" s="454"/>
      <c r="K694" s="455"/>
      <c r="L694" s="454"/>
      <c r="M694" s="455"/>
      <c r="N694" s="454"/>
      <c r="O694" s="455"/>
      <c r="P694" s="454"/>
      <c r="Q694" s="455"/>
      <c r="R694" s="454"/>
      <c r="S694" s="455"/>
      <c r="T694" s="454"/>
      <c r="U694" s="455"/>
      <c r="V694" s="454"/>
      <c r="W694" s="455"/>
      <c r="X694" s="454"/>
      <c r="Y694" s="455"/>
      <c r="Z694" s="454"/>
      <c r="AA694" s="455"/>
      <c r="AB694" s="454"/>
      <c r="AC694" s="455"/>
      <c r="AD694" s="454"/>
      <c r="AE694" s="455"/>
      <c r="AF694" s="454"/>
      <c r="AG694" s="455"/>
    </row>
    <row r="695" spans="1:33" x14ac:dyDescent="0.2">
      <c r="A695" s="415">
        <f t="shared" si="21"/>
        <v>1389</v>
      </c>
      <c r="B695" s="416" t="str">
        <f t="shared" si="22"/>
        <v>Autumn</v>
      </c>
      <c r="C695" s="453"/>
      <c r="D695" s="454"/>
      <c r="E695" s="455"/>
      <c r="F695" s="454"/>
      <c r="G695" s="455"/>
      <c r="H695" s="454"/>
      <c r="I695" s="455"/>
      <c r="J695" s="454"/>
      <c r="K695" s="455"/>
      <c r="L695" s="454"/>
      <c r="M695" s="455"/>
      <c r="N695" s="454"/>
      <c r="O695" s="455"/>
      <c r="P695" s="454"/>
      <c r="Q695" s="455"/>
      <c r="R695" s="454"/>
      <c r="S695" s="455"/>
      <c r="T695" s="454"/>
      <c r="U695" s="455"/>
      <c r="V695" s="454"/>
      <c r="W695" s="455"/>
      <c r="X695" s="454"/>
      <c r="Y695" s="455"/>
      <c r="Z695" s="454"/>
      <c r="AA695" s="455"/>
      <c r="AB695" s="454"/>
      <c r="AC695" s="455"/>
      <c r="AD695" s="454"/>
      <c r="AE695" s="455"/>
      <c r="AF695" s="454"/>
      <c r="AG695" s="455"/>
    </row>
    <row r="696" spans="1:33" x14ac:dyDescent="0.2">
      <c r="A696" s="415">
        <f t="shared" si="21"/>
        <v>1390</v>
      </c>
      <c r="B696" s="416" t="str">
        <f t="shared" si="22"/>
        <v>Winter</v>
      </c>
      <c r="C696" s="453"/>
      <c r="D696" s="454"/>
      <c r="E696" s="455"/>
      <c r="F696" s="454"/>
      <c r="G696" s="455"/>
      <c r="H696" s="454"/>
      <c r="I696" s="455"/>
      <c r="J696" s="454"/>
      <c r="K696" s="455"/>
      <c r="L696" s="454"/>
      <c r="M696" s="455"/>
      <c r="N696" s="454"/>
      <c r="O696" s="455"/>
      <c r="P696" s="454"/>
      <c r="Q696" s="455"/>
      <c r="R696" s="454"/>
      <c r="S696" s="455"/>
      <c r="T696" s="454"/>
      <c r="U696" s="455"/>
      <c r="V696" s="454"/>
      <c r="W696" s="455"/>
      <c r="X696" s="454"/>
      <c r="Y696" s="455"/>
      <c r="Z696" s="454"/>
      <c r="AA696" s="455"/>
      <c r="AB696" s="454"/>
      <c r="AC696" s="455"/>
      <c r="AD696" s="454"/>
      <c r="AE696" s="455"/>
      <c r="AF696" s="454"/>
      <c r="AG696" s="455"/>
    </row>
    <row r="697" spans="1:33" x14ac:dyDescent="0.2">
      <c r="A697" s="415">
        <f t="shared" si="21"/>
        <v>1390</v>
      </c>
      <c r="B697" s="416" t="str">
        <f t="shared" si="22"/>
        <v>Spring</v>
      </c>
      <c r="C697" s="453"/>
      <c r="D697" s="454"/>
      <c r="E697" s="455"/>
      <c r="F697" s="454"/>
      <c r="G697" s="455"/>
      <c r="H697" s="454"/>
      <c r="I697" s="455"/>
      <c r="J697" s="454"/>
      <c r="K697" s="455"/>
      <c r="L697" s="454"/>
      <c r="M697" s="455"/>
      <c r="N697" s="454"/>
      <c r="O697" s="455"/>
      <c r="P697" s="454"/>
      <c r="Q697" s="455"/>
      <c r="R697" s="454"/>
      <c r="S697" s="455"/>
      <c r="T697" s="454"/>
      <c r="U697" s="455"/>
      <c r="V697" s="454"/>
      <c r="W697" s="455"/>
      <c r="X697" s="454"/>
      <c r="Y697" s="455"/>
      <c r="Z697" s="454"/>
      <c r="AA697" s="455"/>
      <c r="AB697" s="454"/>
      <c r="AC697" s="455"/>
      <c r="AD697" s="454"/>
      <c r="AE697" s="455"/>
      <c r="AF697" s="454"/>
      <c r="AG697" s="455"/>
    </row>
    <row r="698" spans="1:33" x14ac:dyDescent="0.2">
      <c r="A698" s="415">
        <f t="shared" si="21"/>
        <v>1390</v>
      </c>
      <c r="B698" s="416" t="str">
        <f t="shared" si="22"/>
        <v>Summer</v>
      </c>
      <c r="C698" s="453"/>
      <c r="D698" s="454"/>
      <c r="E698" s="455"/>
      <c r="F698" s="454"/>
      <c r="G698" s="455"/>
      <c r="H698" s="454"/>
      <c r="I698" s="455"/>
      <c r="J698" s="454"/>
      <c r="K698" s="455"/>
      <c r="L698" s="454"/>
      <c r="M698" s="455"/>
      <c r="N698" s="454"/>
      <c r="O698" s="455"/>
      <c r="P698" s="454"/>
      <c r="Q698" s="455"/>
      <c r="R698" s="454"/>
      <c r="S698" s="455"/>
      <c r="T698" s="454"/>
      <c r="U698" s="455"/>
      <c r="V698" s="454"/>
      <c r="W698" s="455"/>
      <c r="X698" s="454"/>
      <c r="Y698" s="455"/>
      <c r="Z698" s="454"/>
      <c r="AA698" s="455"/>
      <c r="AB698" s="454"/>
      <c r="AC698" s="455"/>
      <c r="AD698" s="454"/>
      <c r="AE698" s="455"/>
      <c r="AF698" s="454"/>
      <c r="AG698" s="455"/>
    </row>
    <row r="699" spans="1:33" x14ac:dyDescent="0.2">
      <c r="A699" s="415">
        <f t="shared" si="21"/>
        <v>1390</v>
      </c>
      <c r="B699" s="416" t="str">
        <f t="shared" si="22"/>
        <v>Autumn</v>
      </c>
      <c r="C699" s="453"/>
      <c r="D699" s="454"/>
      <c r="E699" s="455"/>
      <c r="F699" s="454"/>
      <c r="G699" s="455"/>
      <c r="H699" s="454"/>
      <c r="I699" s="455"/>
      <c r="J699" s="454"/>
      <c r="K699" s="455"/>
      <c r="L699" s="454"/>
      <c r="M699" s="455"/>
      <c r="N699" s="454"/>
      <c r="O699" s="455"/>
      <c r="P699" s="454"/>
      <c r="Q699" s="455"/>
      <c r="R699" s="454"/>
      <c r="S699" s="455"/>
      <c r="T699" s="454"/>
      <c r="U699" s="455"/>
      <c r="V699" s="454"/>
      <c r="W699" s="455"/>
      <c r="X699" s="454"/>
      <c r="Y699" s="455"/>
      <c r="Z699" s="454"/>
      <c r="AA699" s="455"/>
      <c r="AB699" s="454"/>
      <c r="AC699" s="455"/>
      <c r="AD699" s="454"/>
      <c r="AE699" s="455"/>
      <c r="AF699" s="454"/>
      <c r="AG699" s="455"/>
    </row>
    <row r="700" spans="1:33" x14ac:dyDescent="0.2">
      <c r="A700" s="415">
        <f t="shared" si="21"/>
        <v>1391</v>
      </c>
      <c r="B700" s="416" t="str">
        <f t="shared" si="22"/>
        <v>Winter</v>
      </c>
      <c r="C700" s="453"/>
      <c r="D700" s="454"/>
      <c r="E700" s="455"/>
      <c r="F700" s="454"/>
      <c r="G700" s="455"/>
      <c r="H700" s="454"/>
      <c r="I700" s="455"/>
      <c r="J700" s="454"/>
      <c r="K700" s="455"/>
      <c r="L700" s="454"/>
      <c r="M700" s="455"/>
      <c r="N700" s="454"/>
      <c r="O700" s="455"/>
      <c r="P700" s="454"/>
      <c r="Q700" s="455"/>
      <c r="R700" s="454"/>
      <c r="S700" s="455"/>
      <c r="T700" s="454"/>
      <c r="U700" s="455"/>
      <c r="V700" s="454"/>
      <c r="W700" s="455"/>
      <c r="X700" s="454"/>
      <c r="Y700" s="455"/>
      <c r="Z700" s="454"/>
      <c r="AA700" s="455"/>
      <c r="AB700" s="454"/>
      <c r="AC700" s="455"/>
      <c r="AD700" s="454"/>
      <c r="AE700" s="455"/>
      <c r="AF700" s="454"/>
      <c r="AG700" s="455"/>
    </row>
    <row r="701" spans="1:33" x14ac:dyDescent="0.2">
      <c r="A701" s="415">
        <f t="shared" si="21"/>
        <v>1391</v>
      </c>
      <c r="B701" s="416" t="str">
        <f t="shared" si="22"/>
        <v>Spring</v>
      </c>
      <c r="C701" s="453"/>
      <c r="D701" s="454"/>
      <c r="E701" s="455"/>
      <c r="F701" s="454"/>
      <c r="G701" s="455"/>
      <c r="H701" s="454"/>
      <c r="I701" s="455"/>
      <c r="J701" s="454"/>
      <c r="K701" s="455"/>
      <c r="L701" s="454"/>
      <c r="M701" s="455"/>
      <c r="N701" s="454"/>
      <c r="O701" s="455"/>
      <c r="P701" s="454"/>
      <c r="Q701" s="455"/>
      <c r="R701" s="454"/>
      <c r="S701" s="455"/>
      <c r="T701" s="454"/>
      <c r="U701" s="455"/>
      <c r="V701" s="454"/>
      <c r="W701" s="455"/>
      <c r="X701" s="454"/>
      <c r="Y701" s="455"/>
      <c r="Z701" s="454"/>
      <c r="AA701" s="455"/>
      <c r="AB701" s="454"/>
      <c r="AC701" s="455"/>
      <c r="AD701" s="454"/>
      <c r="AE701" s="455"/>
      <c r="AF701" s="454"/>
      <c r="AG701" s="455"/>
    </row>
    <row r="702" spans="1:33" x14ac:dyDescent="0.2">
      <c r="A702" s="415">
        <f t="shared" si="21"/>
        <v>1391</v>
      </c>
      <c r="B702" s="416" t="str">
        <f t="shared" si="22"/>
        <v>Summer</v>
      </c>
      <c r="C702" s="453"/>
      <c r="D702" s="454"/>
      <c r="E702" s="455"/>
      <c r="F702" s="454"/>
      <c r="G702" s="455"/>
      <c r="H702" s="454"/>
      <c r="I702" s="455"/>
      <c r="J702" s="454"/>
      <c r="K702" s="455"/>
      <c r="L702" s="454"/>
      <c r="M702" s="455"/>
      <c r="N702" s="454"/>
      <c r="O702" s="455"/>
      <c r="P702" s="454"/>
      <c r="Q702" s="455"/>
      <c r="R702" s="454"/>
      <c r="S702" s="455"/>
      <c r="T702" s="454"/>
      <c r="U702" s="455"/>
      <c r="V702" s="454"/>
      <c r="W702" s="455"/>
      <c r="X702" s="454"/>
      <c r="Y702" s="455"/>
      <c r="Z702" s="454"/>
      <c r="AA702" s="455"/>
      <c r="AB702" s="454"/>
      <c r="AC702" s="455"/>
      <c r="AD702" s="454"/>
      <c r="AE702" s="455"/>
      <c r="AF702" s="454"/>
      <c r="AG702" s="455"/>
    </row>
    <row r="703" spans="1:33" x14ac:dyDescent="0.2">
      <c r="A703" s="415">
        <f t="shared" si="21"/>
        <v>1391</v>
      </c>
      <c r="B703" s="416" t="str">
        <f t="shared" si="22"/>
        <v>Autumn</v>
      </c>
      <c r="C703" s="453"/>
      <c r="D703" s="454"/>
      <c r="E703" s="455"/>
      <c r="F703" s="454"/>
      <c r="G703" s="455"/>
      <c r="H703" s="454"/>
      <c r="I703" s="455"/>
      <c r="J703" s="454"/>
      <c r="K703" s="455"/>
      <c r="L703" s="454"/>
      <c r="M703" s="455"/>
      <c r="N703" s="454"/>
      <c r="O703" s="455"/>
      <c r="P703" s="454"/>
      <c r="Q703" s="455"/>
      <c r="R703" s="454"/>
      <c r="S703" s="455"/>
      <c r="T703" s="454"/>
      <c r="U703" s="455"/>
      <c r="V703" s="454"/>
      <c r="W703" s="455"/>
      <c r="X703" s="454"/>
      <c r="Y703" s="455"/>
      <c r="Z703" s="454"/>
      <c r="AA703" s="455"/>
      <c r="AB703" s="454"/>
      <c r="AC703" s="455"/>
      <c r="AD703" s="454"/>
      <c r="AE703" s="455"/>
      <c r="AF703" s="454"/>
      <c r="AG703" s="455"/>
    </row>
    <row r="704" spans="1:33" x14ac:dyDescent="0.2">
      <c r="A704" s="415">
        <f t="shared" si="21"/>
        <v>1392</v>
      </c>
      <c r="B704" s="416" t="str">
        <f t="shared" si="22"/>
        <v>Winter</v>
      </c>
      <c r="C704" s="453"/>
      <c r="D704" s="454"/>
      <c r="E704" s="455"/>
      <c r="F704" s="454"/>
      <c r="G704" s="455"/>
      <c r="H704" s="454"/>
      <c r="I704" s="455"/>
      <c r="J704" s="454"/>
      <c r="K704" s="455"/>
      <c r="L704" s="454"/>
      <c r="M704" s="455"/>
      <c r="N704" s="454"/>
      <c r="O704" s="455"/>
      <c r="P704" s="454"/>
      <c r="Q704" s="455"/>
      <c r="R704" s="454"/>
      <c r="S704" s="455"/>
      <c r="T704" s="454"/>
      <c r="U704" s="455"/>
      <c r="V704" s="454"/>
      <c r="W704" s="455"/>
      <c r="X704" s="454"/>
      <c r="Y704" s="455"/>
      <c r="Z704" s="454"/>
      <c r="AA704" s="455"/>
      <c r="AB704" s="454"/>
      <c r="AC704" s="455"/>
      <c r="AD704" s="454"/>
      <c r="AE704" s="455"/>
      <c r="AF704" s="454"/>
      <c r="AG704" s="455"/>
    </row>
    <row r="705" spans="1:33" x14ac:dyDescent="0.2">
      <c r="A705" s="415">
        <f t="shared" si="21"/>
        <v>1392</v>
      </c>
      <c r="B705" s="416" t="str">
        <f t="shared" si="22"/>
        <v>Spring</v>
      </c>
      <c r="C705" s="453"/>
      <c r="D705" s="454"/>
      <c r="E705" s="455"/>
      <c r="F705" s="454"/>
      <c r="G705" s="455"/>
      <c r="H705" s="454"/>
      <c r="I705" s="455"/>
      <c r="J705" s="454"/>
      <c r="K705" s="455"/>
      <c r="L705" s="454"/>
      <c r="M705" s="455"/>
      <c r="N705" s="454"/>
      <c r="O705" s="455"/>
      <c r="P705" s="454"/>
      <c r="Q705" s="455"/>
      <c r="R705" s="454"/>
      <c r="S705" s="455"/>
      <c r="T705" s="454"/>
      <c r="U705" s="455"/>
      <c r="V705" s="454"/>
      <c r="W705" s="455"/>
      <c r="X705" s="454"/>
      <c r="Y705" s="455"/>
      <c r="Z705" s="454"/>
      <c r="AA705" s="455"/>
      <c r="AB705" s="454"/>
      <c r="AC705" s="455"/>
      <c r="AD705" s="454"/>
      <c r="AE705" s="455"/>
      <c r="AF705" s="454"/>
      <c r="AG705" s="455"/>
    </row>
    <row r="706" spans="1:33" x14ac:dyDescent="0.2">
      <c r="A706" s="415">
        <f t="shared" si="21"/>
        <v>1392</v>
      </c>
      <c r="B706" s="416" t="str">
        <f t="shared" si="22"/>
        <v>Summer</v>
      </c>
      <c r="C706" s="453"/>
      <c r="D706" s="454"/>
      <c r="E706" s="455"/>
      <c r="F706" s="454"/>
      <c r="G706" s="455"/>
      <c r="H706" s="454"/>
      <c r="I706" s="455"/>
      <c r="J706" s="454"/>
      <c r="K706" s="455"/>
      <c r="L706" s="454"/>
      <c r="M706" s="455"/>
      <c r="N706" s="454"/>
      <c r="O706" s="455"/>
      <c r="P706" s="454"/>
      <c r="Q706" s="455"/>
      <c r="R706" s="454"/>
      <c r="S706" s="455"/>
      <c r="T706" s="454"/>
      <c r="U706" s="455"/>
      <c r="V706" s="454"/>
      <c r="W706" s="455"/>
      <c r="X706" s="454"/>
      <c r="Y706" s="455"/>
      <c r="Z706" s="454"/>
      <c r="AA706" s="455"/>
      <c r="AB706" s="454"/>
      <c r="AC706" s="455"/>
      <c r="AD706" s="454"/>
      <c r="AE706" s="455"/>
      <c r="AF706" s="454"/>
      <c r="AG706" s="455"/>
    </row>
    <row r="707" spans="1:33" x14ac:dyDescent="0.2">
      <c r="A707" s="415">
        <f t="shared" si="21"/>
        <v>1392</v>
      </c>
      <c r="B707" s="416" t="str">
        <f t="shared" si="22"/>
        <v>Autumn</v>
      </c>
      <c r="C707" s="453"/>
      <c r="D707" s="454"/>
      <c r="E707" s="455"/>
      <c r="F707" s="454"/>
      <c r="G707" s="455"/>
      <c r="H707" s="454"/>
      <c r="I707" s="455"/>
      <c r="J707" s="454"/>
      <c r="K707" s="455"/>
      <c r="L707" s="454"/>
      <c r="M707" s="455"/>
      <c r="N707" s="454"/>
      <c r="O707" s="455"/>
      <c r="P707" s="454"/>
      <c r="Q707" s="455"/>
      <c r="R707" s="454"/>
      <c r="S707" s="455"/>
      <c r="T707" s="454"/>
      <c r="U707" s="455"/>
      <c r="V707" s="454"/>
      <c r="W707" s="455"/>
      <c r="X707" s="454"/>
      <c r="Y707" s="455"/>
      <c r="Z707" s="454"/>
      <c r="AA707" s="455"/>
      <c r="AB707" s="454"/>
      <c r="AC707" s="455"/>
      <c r="AD707" s="454"/>
      <c r="AE707" s="455"/>
      <c r="AF707" s="454"/>
      <c r="AG707" s="455"/>
    </row>
    <row r="708" spans="1:33" x14ac:dyDescent="0.2">
      <c r="A708" s="415">
        <f t="shared" si="21"/>
        <v>1393</v>
      </c>
      <c r="B708" s="416" t="str">
        <f t="shared" si="22"/>
        <v>Winter</v>
      </c>
      <c r="C708" s="453"/>
      <c r="D708" s="454"/>
      <c r="E708" s="455"/>
      <c r="F708" s="454"/>
      <c r="G708" s="455"/>
      <c r="H708" s="454"/>
      <c r="I708" s="455"/>
      <c r="J708" s="454"/>
      <c r="K708" s="455"/>
      <c r="L708" s="454"/>
      <c r="M708" s="455"/>
      <c r="N708" s="454"/>
      <c r="O708" s="455"/>
      <c r="P708" s="454"/>
      <c r="Q708" s="455"/>
      <c r="R708" s="454"/>
      <c r="S708" s="455"/>
      <c r="T708" s="454"/>
      <c r="U708" s="455"/>
      <c r="V708" s="454"/>
      <c r="W708" s="455"/>
      <c r="X708" s="454"/>
      <c r="Y708" s="455"/>
      <c r="Z708" s="454"/>
      <c r="AA708" s="455"/>
      <c r="AB708" s="454"/>
      <c r="AC708" s="455"/>
      <c r="AD708" s="454"/>
      <c r="AE708" s="455"/>
      <c r="AF708" s="454"/>
      <c r="AG708" s="455"/>
    </row>
    <row r="709" spans="1:33" x14ac:dyDescent="0.2">
      <c r="A709" s="415">
        <f t="shared" ref="A709:A772" si="23">IF(B708="Autumn",A708+1,A708)</f>
        <v>1393</v>
      </c>
      <c r="B709" s="416" t="str">
        <f t="shared" si="22"/>
        <v>Spring</v>
      </c>
      <c r="C709" s="453"/>
      <c r="D709" s="454"/>
      <c r="E709" s="455"/>
      <c r="F709" s="454"/>
      <c r="G709" s="455"/>
      <c r="H709" s="454"/>
      <c r="I709" s="455"/>
      <c r="J709" s="454"/>
      <c r="K709" s="455"/>
      <c r="L709" s="454"/>
      <c r="M709" s="455"/>
      <c r="N709" s="454"/>
      <c r="O709" s="455"/>
      <c r="P709" s="454"/>
      <c r="Q709" s="455"/>
      <c r="R709" s="454"/>
      <c r="S709" s="455"/>
      <c r="T709" s="454"/>
      <c r="U709" s="455"/>
      <c r="V709" s="454"/>
      <c r="W709" s="455"/>
      <c r="X709" s="454"/>
      <c r="Y709" s="455"/>
      <c r="Z709" s="454"/>
      <c r="AA709" s="455"/>
      <c r="AB709" s="454"/>
      <c r="AC709" s="455"/>
      <c r="AD709" s="454"/>
      <c r="AE709" s="455"/>
      <c r="AF709" s="454"/>
      <c r="AG709" s="455"/>
    </row>
    <row r="710" spans="1:33" x14ac:dyDescent="0.2">
      <c r="A710" s="415">
        <f t="shared" si="23"/>
        <v>1393</v>
      </c>
      <c r="B710" s="416" t="str">
        <f t="shared" si="22"/>
        <v>Summer</v>
      </c>
      <c r="C710" s="453"/>
      <c r="D710" s="454"/>
      <c r="E710" s="455"/>
      <c r="F710" s="454"/>
      <c r="G710" s="455"/>
      <c r="H710" s="454"/>
      <c r="I710" s="455"/>
      <c r="J710" s="454"/>
      <c r="K710" s="455"/>
      <c r="L710" s="454"/>
      <c r="M710" s="455"/>
      <c r="N710" s="454"/>
      <c r="O710" s="455"/>
      <c r="P710" s="454"/>
      <c r="Q710" s="455"/>
      <c r="R710" s="454"/>
      <c r="S710" s="455"/>
      <c r="T710" s="454"/>
      <c r="U710" s="455"/>
      <c r="V710" s="454"/>
      <c r="W710" s="455"/>
      <c r="X710" s="454"/>
      <c r="Y710" s="455"/>
      <c r="Z710" s="454"/>
      <c r="AA710" s="455"/>
      <c r="AB710" s="454"/>
      <c r="AC710" s="455"/>
      <c r="AD710" s="454"/>
      <c r="AE710" s="455"/>
      <c r="AF710" s="454"/>
      <c r="AG710" s="455"/>
    </row>
    <row r="711" spans="1:33" x14ac:dyDescent="0.2">
      <c r="A711" s="415">
        <f t="shared" si="23"/>
        <v>1393</v>
      </c>
      <c r="B711" s="416" t="str">
        <f t="shared" si="22"/>
        <v>Autumn</v>
      </c>
      <c r="C711" s="453"/>
      <c r="D711" s="454"/>
      <c r="E711" s="455"/>
      <c r="F711" s="454"/>
      <c r="G711" s="455"/>
      <c r="H711" s="454"/>
      <c r="I711" s="455"/>
      <c r="J711" s="454"/>
      <c r="K711" s="455"/>
      <c r="L711" s="454"/>
      <c r="M711" s="455"/>
      <c r="N711" s="454"/>
      <c r="O711" s="455"/>
      <c r="P711" s="454"/>
      <c r="Q711" s="455"/>
      <c r="R711" s="454"/>
      <c r="S711" s="455"/>
      <c r="T711" s="454"/>
      <c r="U711" s="455"/>
      <c r="V711" s="454"/>
      <c r="W711" s="455"/>
      <c r="X711" s="454"/>
      <c r="Y711" s="455"/>
      <c r="Z711" s="454"/>
      <c r="AA711" s="455"/>
      <c r="AB711" s="454"/>
      <c r="AC711" s="455"/>
      <c r="AD711" s="454"/>
      <c r="AE711" s="455"/>
      <c r="AF711" s="454"/>
      <c r="AG711" s="455"/>
    </row>
    <row r="712" spans="1:33" x14ac:dyDescent="0.2">
      <c r="A712" s="415">
        <f t="shared" si="23"/>
        <v>1394</v>
      </c>
      <c r="B712" s="416" t="str">
        <f t="shared" si="22"/>
        <v>Winter</v>
      </c>
      <c r="C712" s="453"/>
      <c r="D712" s="454"/>
      <c r="E712" s="455"/>
      <c r="F712" s="454"/>
      <c r="G712" s="455"/>
      <c r="H712" s="454"/>
      <c r="I712" s="455"/>
      <c r="J712" s="454"/>
      <c r="K712" s="455"/>
      <c r="L712" s="454"/>
      <c r="M712" s="455"/>
      <c r="N712" s="454"/>
      <c r="O712" s="455"/>
      <c r="P712" s="454"/>
      <c r="Q712" s="455"/>
      <c r="R712" s="454"/>
      <c r="S712" s="455"/>
      <c r="T712" s="454"/>
      <c r="U712" s="455"/>
      <c r="V712" s="454"/>
      <c r="W712" s="455"/>
      <c r="X712" s="454"/>
      <c r="Y712" s="455"/>
      <c r="Z712" s="454"/>
      <c r="AA712" s="455"/>
      <c r="AB712" s="454"/>
      <c r="AC712" s="455"/>
      <c r="AD712" s="454"/>
      <c r="AE712" s="455"/>
      <c r="AF712" s="454"/>
      <c r="AG712" s="455"/>
    </row>
    <row r="713" spans="1:33" x14ac:dyDescent="0.2">
      <c r="A713" s="415">
        <f t="shared" si="23"/>
        <v>1394</v>
      </c>
      <c r="B713" s="416" t="str">
        <f t="shared" si="22"/>
        <v>Spring</v>
      </c>
      <c r="C713" s="453"/>
      <c r="D713" s="454"/>
      <c r="E713" s="455"/>
      <c r="F713" s="454"/>
      <c r="G713" s="455"/>
      <c r="H713" s="454"/>
      <c r="I713" s="455"/>
      <c r="J713" s="454"/>
      <c r="K713" s="455"/>
      <c r="L713" s="454"/>
      <c r="M713" s="455"/>
      <c r="N713" s="454"/>
      <c r="O713" s="455"/>
      <c r="P713" s="454"/>
      <c r="Q713" s="455"/>
      <c r="R713" s="454"/>
      <c r="S713" s="455"/>
      <c r="T713" s="454"/>
      <c r="U713" s="455"/>
      <c r="V713" s="454"/>
      <c r="W713" s="455"/>
      <c r="X713" s="454"/>
      <c r="Y713" s="455"/>
      <c r="Z713" s="454"/>
      <c r="AA713" s="455"/>
      <c r="AB713" s="454"/>
      <c r="AC713" s="455"/>
      <c r="AD713" s="454"/>
      <c r="AE713" s="455"/>
      <c r="AF713" s="454"/>
      <c r="AG713" s="455"/>
    </row>
    <row r="714" spans="1:33" x14ac:dyDescent="0.2">
      <c r="A714" s="415">
        <f t="shared" si="23"/>
        <v>1394</v>
      </c>
      <c r="B714" s="416" t="str">
        <f t="shared" si="22"/>
        <v>Summer</v>
      </c>
      <c r="C714" s="453"/>
      <c r="D714" s="454"/>
      <c r="E714" s="455"/>
      <c r="F714" s="454"/>
      <c r="G714" s="455"/>
      <c r="H714" s="454"/>
      <c r="I714" s="455"/>
      <c r="J714" s="454"/>
      <c r="K714" s="455"/>
      <c r="L714" s="454"/>
      <c r="M714" s="455"/>
      <c r="N714" s="454"/>
      <c r="O714" s="455"/>
      <c r="P714" s="454"/>
      <c r="Q714" s="455"/>
      <c r="R714" s="454"/>
      <c r="S714" s="455"/>
      <c r="T714" s="454"/>
      <c r="U714" s="455"/>
      <c r="V714" s="454"/>
      <c r="W714" s="455"/>
      <c r="X714" s="454"/>
      <c r="Y714" s="455"/>
      <c r="Z714" s="454"/>
      <c r="AA714" s="455"/>
      <c r="AB714" s="454"/>
      <c r="AC714" s="455"/>
      <c r="AD714" s="454"/>
      <c r="AE714" s="455"/>
      <c r="AF714" s="454"/>
      <c r="AG714" s="455"/>
    </row>
    <row r="715" spans="1:33" x14ac:dyDescent="0.2">
      <c r="A715" s="415">
        <f t="shared" si="23"/>
        <v>1394</v>
      </c>
      <c r="B715" s="416" t="str">
        <f t="shared" si="22"/>
        <v>Autumn</v>
      </c>
      <c r="C715" s="453"/>
      <c r="D715" s="454"/>
      <c r="E715" s="455"/>
      <c r="F715" s="454"/>
      <c r="G715" s="455"/>
      <c r="H715" s="454"/>
      <c r="I715" s="455"/>
      <c r="J715" s="454"/>
      <c r="K715" s="455"/>
      <c r="L715" s="454"/>
      <c r="M715" s="455"/>
      <c r="N715" s="454"/>
      <c r="O715" s="455"/>
      <c r="P715" s="454"/>
      <c r="Q715" s="455"/>
      <c r="R715" s="454"/>
      <c r="S715" s="455"/>
      <c r="T715" s="454"/>
      <c r="U715" s="455"/>
      <c r="V715" s="454"/>
      <c r="W715" s="455"/>
      <c r="X715" s="454"/>
      <c r="Y715" s="455"/>
      <c r="Z715" s="454"/>
      <c r="AA715" s="455"/>
      <c r="AB715" s="454"/>
      <c r="AC715" s="455"/>
      <c r="AD715" s="454"/>
      <c r="AE715" s="455"/>
      <c r="AF715" s="454"/>
      <c r="AG715" s="455"/>
    </row>
    <row r="716" spans="1:33" x14ac:dyDescent="0.2">
      <c r="A716" s="415">
        <f t="shared" si="23"/>
        <v>1395</v>
      </c>
      <c r="B716" s="416" t="str">
        <f t="shared" si="22"/>
        <v>Winter</v>
      </c>
      <c r="C716" s="453"/>
      <c r="D716" s="454"/>
      <c r="E716" s="455"/>
      <c r="F716" s="454"/>
      <c r="G716" s="455"/>
      <c r="H716" s="454"/>
      <c r="I716" s="455"/>
      <c r="J716" s="454"/>
      <c r="K716" s="455"/>
      <c r="L716" s="454"/>
      <c r="M716" s="455"/>
      <c r="N716" s="454"/>
      <c r="O716" s="455"/>
      <c r="P716" s="454"/>
      <c r="Q716" s="455"/>
      <c r="R716" s="454"/>
      <c r="S716" s="455"/>
      <c r="T716" s="454"/>
      <c r="U716" s="455"/>
      <c r="V716" s="454"/>
      <c r="W716" s="455"/>
      <c r="X716" s="454"/>
      <c r="Y716" s="455"/>
      <c r="Z716" s="454"/>
      <c r="AA716" s="455"/>
      <c r="AB716" s="454"/>
      <c r="AC716" s="455"/>
      <c r="AD716" s="454"/>
      <c r="AE716" s="455"/>
      <c r="AF716" s="454"/>
      <c r="AG716" s="455"/>
    </row>
    <row r="717" spans="1:33" x14ac:dyDescent="0.2">
      <c r="A717" s="415">
        <f t="shared" si="23"/>
        <v>1395</v>
      </c>
      <c r="B717" s="416" t="str">
        <f t="shared" si="22"/>
        <v>Spring</v>
      </c>
      <c r="C717" s="453"/>
      <c r="D717" s="454"/>
      <c r="E717" s="455"/>
      <c r="F717" s="454"/>
      <c r="G717" s="455"/>
      <c r="H717" s="454"/>
      <c r="I717" s="455"/>
      <c r="J717" s="454"/>
      <c r="K717" s="455"/>
      <c r="L717" s="454"/>
      <c r="M717" s="455"/>
      <c r="N717" s="454"/>
      <c r="O717" s="455"/>
      <c r="P717" s="454"/>
      <c r="Q717" s="455"/>
      <c r="R717" s="454"/>
      <c r="S717" s="455"/>
      <c r="T717" s="454"/>
      <c r="U717" s="455"/>
      <c r="V717" s="454"/>
      <c r="W717" s="455"/>
      <c r="X717" s="454"/>
      <c r="Y717" s="455"/>
      <c r="Z717" s="454"/>
      <c r="AA717" s="455"/>
      <c r="AB717" s="454"/>
      <c r="AC717" s="455"/>
      <c r="AD717" s="454"/>
      <c r="AE717" s="455"/>
      <c r="AF717" s="454"/>
      <c r="AG717" s="455"/>
    </row>
    <row r="718" spans="1:33" x14ac:dyDescent="0.2">
      <c r="A718" s="415">
        <f t="shared" si="23"/>
        <v>1395</v>
      </c>
      <c r="B718" s="416" t="str">
        <f t="shared" si="22"/>
        <v>Summer</v>
      </c>
      <c r="C718" s="453"/>
      <c r="D718" s="454"/>
      <c r="E718" s="455"/>
      <c r="F718" s="454"/>
      <c r="G718" s="455"/>
      <c r="H718" s="454"/>
      <c r="I718" s="455"/>
      <c r="J718" s="454"/>
      <c r="K718" s="455"/>
      <c r="L718" s="454"/>
      <c r="M718" s="455"/>
      <c r="N718" s="454"/>
      <c r="O718" s="455"/>
      <c r="P718" s="454"/>
      <c r="Q718" s="455"/>
      <c r="R718" s="454"/>
      <c r="S718" s="455"/>
      <c r="T718" s="454"/>
      <c r="U718" s="455"/>
      <c r="V718" s="454"/>
      <c r="W718" s="455"/>
      <c r="X718" s="454"/>
      <c r="Y718" s="455"/>
      <c r="Z718" s="454"/>
      <c r="AA718" s="455"/>
      <c r="AB718" s="454"/>
      <c r="AC718" s="455"/>
      <c r="AD718" s="454"/>
      <c r="AE718" s="455"/>
      <c r="AF718" s="454"/>
      <c r="AG718" s="455"/>
    </row>
    <row r="719" spans="1:33" x14ac:dyDescent="0.2">
      <c r="A719" s="415">
        <f t="shared" si="23"/>
        <v>1395</v>
      </c>
      <c r="B719" s="416" t="str">
        <f t="shared" si="22"/>
        <v>Autumn</v>
      </c>
      <c r="C719" s="453"/>
      <c r="D719" s="454"/>
      <c r="E719" s="455"/>
      <c r="F719" s="454"/>
      <c r="G719" s="455"/>
      <c r="H719" s="454"/>
      <c r="I719" s="455"/>
      <c r="J719" s="454"/>
      <c r="K719" s="455"/>
      <c r="L719" s="454"/>
      <c r="M719" s="455"/>
      <c r="N719" s="454"/>
      <c r="O719" s="455"/>
      <c r="P719" s="454"/>
      <c r="Q719" s="455"/>
      <c r="R719" s="454"/>
      <c r="S719" s="455"/>
      <c r="T719" s="454"/>
      <c r="U719" s="455"/>
      <c r="V719" s="454"/>
      <c r="W719" s="455"/>
      <c r="X719" s="454"/>
      <c r="Y719" s="455"/>
      <c r="Z719" s="454"/>
      <c r="AA719" s="455"/>
      <c r="AB719" s="454"/>
      <c r="AC719" s="455"/>
      <c r="AD719" s="454"/>
      <c r="AE719" s="455"/>
      <c r="AF719" s="454"/>
      <c r="AG719" s="455"/>
    </row>
    <row r="720" spans="1:33" x14ac:dyDescent="0.2">
      <c r="A720" s="415">
        <f t="shared" si="23"/>
        <v>1396</v>
      </c>
      <c r="B720" s="416" t="str">
        <f t="shared" si="22"/>
        <v>Winter</v>
      </c>
      <c r="C720" s="453"/>
      <c r="D720" s="454"/>
      <c r="E720" s="455"/>
      <c r="F720" s="454"/>
      <c r="G720" s="455"/>
      <c r="H720" s="454"/>
      <c r="I720" s="455"/>
      <c r="J720" s="454"/>
      <c r="K720" s="455"/>
      <c r="L720" s="454"/>
      <c r="M720" s="455"/>
      <c r="N720" s="454"/>
      <c r="O720" s="455"/>
      <c r="P720" s="454"/>
      <c r="Q720" s="455"/>
      <c r="R720" s="454"/>
      <c r="S720" s="455"/>
      <c r="T720" s="454"/>
      <c r="U720" s="455"/>
      <c r="V720" s="454"/>
      <c r="W720" s="455"/>
      <c r="X720" s="454"/>
      <c r="Y720" s="455"/>
      <c r="Z720" s="454"/>
      <c r="AA720" s="455"/>
      <c r="AB720" s="454"/>
      <c r="AC720" s="455"/>
      <c r="AD720" s="454"/>
      <c r="AE720" s="455"/>
      <c r="AF720" s="454"/>
      <c r="AG720" s="455"/>
    </row>
    <row r="721" spans="1:33" x14ac:dyDescent="0.2">
      <c r="A721" s="415">
        <f t="shared" si="23"/>
        <v>1396</v>
      </c>
      <c r="B721" s="416" t="str">
        <f t="shared" si="22"/>
        <v>Spring</v>
      </c>
      <c r="C721" s="453"/>
      <c r="D721" s="454"/>
      <c r="E721" s="455"/>
      <c r="F721" s="454"/>
      <c r="G721" s="455"/>
      <c r="H721" s="454"/>
      <c r="I721" s="455"/>
      <c r="J721" s="454"/>
      <c r="K721" s="455"/>
      <c r="L721" s="454"/>
      <c r="M721" s="455"/>
      <c r="N721" s="454"/>
      <c r="O721" s="455"/>
      <c r="P721" s="454"/>
      <c r="Q721" s="455"/>
      <c r="R721" s="454"/>
      <c r="S721" s="455"/>
      <c r="T721" s="454"/>
      <c r="U721" s="455"/>
      <c r="V721" s="454"/>
      <c r="W721" s="455"/>
      <c r="X721" s="454"/>
      <c r="Y721" s="455"/>
      <c r="Z721" s="454"/>
      <c r="AA721" s="455"/>
      <c r="AB721" s="454"/>
      <c r="AC721" s="455"/>
      <c r="AD721" s="454"/>
      <c r="AE721" s="455"/>
      <c r="AF721" s="454"/>
      <c r="AG721" s="455"/>
    </row>
    <row r="722" spans="1:33" x14ac:dyDescent="0.2">
      <c r="A722" s="415">
        <f t="shared" si="23"/>
        <v>1396</v>
      </c>
      <c r="B722" s="416" t="str">
        <f t="shared" si="22"/>
        <v>Summer</v>
      </c>
      <c r="C722" s="453"/>
      <c r="D722" s="454"/>
      <c r="E722" s="455"/>
      <c r="F722" s="454"/>
      <c r="G722" s="455"/>
      <c r="H722" s="454"/>
      <c r="I722" s="455"/>
      <c r="J722" s="454"/>
      <c r="K722" s="455"/>
      <c r="L722" s="454"/>
      <c r="M722" s="455"/>
      <c r="N722" s="454"/>
      <c r="O722" s="455"/>
      <c r="P722" s="454"/>
      <c r="Q722" s="455"/>
      <c r="R722" s="454"/>
      <c r="S722" s="455"/>
      <c r="T722" s="454"/>
      <c r="U722" s="455"/>
      <c r="V722" s="454"/>
      <c r="W722" s="455"/>
      <c r="X722" s="454"/>
      <c r="Y722" s="455"/>
      <c r="Z722" s="454"/>
      <c r="AA722" s="455"/>
      <c r="AB722" s="454"/>
      <c r="AC722" s="455"/>
      <c r="AD722" s="454"/>
      <c r="AE722" s="455"/>
      <c r="AF722" s="454"/>
      <c r="AG722" s="455"/>
    </row>
    <row r="723" spans="1:33" x14ac:dyDescent="0.2">
      <c r="A723" s="415">
        <f t="shared" si="23"/>
        <v>1396</v>
      </c>
      <c r="B723" s="416" t="str">
        <f t="shared" si="22"/>
        <v>Autumn</v>
      </c>
      <c r="C723" s="453"/>
      <c r="D723" s="454"/>
      <c r="E723" s="455"/>
      <c r="F723" s="454"/>
      <c r="G723" s="455"/>
      <c r="H723" s="454"/>
      <c r="I723" s="455"/>
      <c r="J723" s="454"/>
      <c r="K723" s="455"/>
      <c r="L723" s="454"/>
      <c r="M723" s="455"/>
      <c r="N723" s="454"/>
      <c r="O723" s="455"/>
      <c r="P723" s="454"/>
      <c r="Q723" s="455"/>
      <c r="R723" s="454"/>
      <c r="S723" s="455"/>
      <c r="T723" s="454"/>
      <c r="U723" s="455"/>
      <c r="V723" s="454"/>
      <c r="W723" s="455"/>
      <c r="X723" s="454"/>
      <c r="Y723" s="455"/>
      <c r="Z723" s="454"/>
      <c r="AA723" s="455"/>
      <c r="AB723" s="454"/>
      <c r="AC723" s="455"/>
      <c r="AD723" s="454"/>
      <c r="AE723" s="455"/>
      <c r="AF723" s="454"/>
      <c r="AG723" s="455"/>
    </row>
    <row r="724" spans="1:33" x14ac:dyDescent="0.2">
      <c r="A724" s="415">
        <f t="shared" si="23"/>
        <v>1397</v>
      </c>
      <c r="B724" s="416" t="str">
        <f t="shared" si="22"/>
        <v>Winter</v>
      </c>
      <c r="C724" s="453"/>
      <c r="D724" s="454"/>
      <c r="E724" s="455"/>
      <c r="F724" s="454"/>
      <c r="G724" s="455"/>
      <c r="H724" s="454"/>
      <c r="I724" s="455"/>
      <c r="J724" s="454"/>
      <c r="K724" s="455"/>
      <c r="L724" s="454"/>
      <c r="M724" s="455"/>
      <c r="N724" s="454"/>
      <c r="O724" s="455"/>
      <c r="P724" s="454"/>
      <c r="Q724" s="455"/>
      <c r="R724" s="454"/>
      <c r="S724" s="455"/>
      <c r="T724" s="454"/>
      <c r="U724" s="455"/>
      <c r="V724" s="454"/>
      <c r="W724" s="455"/>
      <c r="X724" s="454"/>
      <c r="Y724" s="455"/>
      <c r="Z724" s="454"/>
      <c r="AA724" s="455"/>
      <c r="AB724" s="454"/>
      <c r="AC724" s="455"/>
      <c r="AD724" s="454"/>
      <c r="AE724" s="455"/>
      <c r="AF724" s="454"/>
      <c r="AG724" s="455"/>
    </row>
    <row r="725" spans="1:33" x14ac:dyDescent="0.2">
      <c r="A725" s="415">
        <f t="shared" si="23"/>
        <v>1397</v>
      </c>
      <c r="B725" s="416" t="str">
        <f t="shared" si="22"/>
        <v>Spring</v>
      </c>
      <c r="C725" s="453"/>
      <c r="D725" s="454"/>
      <c r="E725" s="455"/>
      <c r="F725" s="454"/>
      <c r="G725" s="455"/>
      <c r="H725" s="454"/>
      <c r="I725" s="455"/>
      <c r="J725" s="454"/>
      <c r="K725" s="455"/>
      <c r="L725" s="454"/>
      <c r="M725" s="455"/>
      <c r="N725" s="454"/>
      <c r="O725" s="455"/>
      <c r="P725" s="454"/>
      <c r="Q725" s="455"/>
      <c r="R725" s="454"/>
      <c r="S725" s="455"/>
      <c r="T725" s="454"/>
      <c r="U725" s="455"/>
      <c r="V725" s="454"/>
      <c r="W725" s="455"/>
      <c r="X725" s="454"/>
      <c r="Y725" s="455"/>
      <c r="Z725" s="454"/>
      <c r="AA725" s="455"/>
      <c r="AB725" s="454"/>
      <c r="AC725" s="455"/>
      <c r="AD725" s="454"/>
      <c r="AE725" s="455"/>
      <c r="AF725" s="454"/>
      <c r="AG725" s="455"/>
    </row>
    <row r="726" spans="1:33" x14ac:dyDescent="0.2">
      <c r="A726" s="415">
        <f t="shared" si="23"/>
        <v>1397</v>
      </c>
      <c r="B726" s="416" t="str">
        <f t="shared" si="22"/>
        <v>Summer</v>
      </c>
      <c r="C726" s="453"/>
      <c r="D726" s="454"/>
      <c r="E726" s="455"/>
      <c r="F726" s="454"/>
      <c r="G726" s="455"/>
      <c r="H726" s="454"/>
      <c r="I726" s="455"/>
      <c r="J726" s="454"/>
      <c r="K726" s="455"/>
      <c r="L726" s="454"/>
      <c r="M726" s="455"/>
      <c r="N726" s="454"/>
      <c r="O726" s="455"/>
      <c r="P726" s="454"/>
      <c r="Q726" s="455"/>
      <c r="R726" s="454"/>
      <c r="S726" s="455"/>
      <c r="T726" s="454"/>
      <c r="U726" s="455"/>
      <c r="V726" s="454"/>
      <c r="W726" s="455"/>
      <c r="X726" s="454"/>
      <c r="Y726" s="455"/>
      <c r="Z726" s="454"/>
      <c r="AA726" s="455"/>
      <c r="AB726" s="454"/>
      <c r="AC726" s="455"/>
      <c r="AD726" s="454"/>
      <c r="AE726" s="455"/>
      <c r="AF726" s="454"/>
      <c r="AG726" s="455"/>
    </row>
    <row r="727" spans="1:33" x14ac:dyDescent="0.2">
      <c r="A727" s="415">
        <f t="shared" si="23"/>
        <v>1397</v>
      </c>
      <c r="B727" s="416" t="str">
        <f t="shared" si="22"/>
        <v>Autumn</v>
      </c>
      <c r="C727" s="453"/>
      <c r="D727" s="454"/>
      <c r="E727" s="455"/>
      <c r="F727" s="454"/>
      <c r="G727" s="455"/>
      <c r="H727" s="454"/>
      <c r="I727" s="455"/>
      <c r="J727" s="454"/>
      <c r="K727" s="455"/>
      <c r="L727" s="454"/>
      <c r="M727" s="455"/>
      <c r="N727" s="454"/>
      <c r="O727" s="455"/>
      <c r="P727" s="454"/>
      <c r="Q727" s="455"/>
      <c r="R727" s="454"/>
      <c r="S727" s="455"/>
      <c r="T727" s="454"/>
      <c r="U727" s="455"/>
      <c r="V727" s="454"/>
      <c r="W727" s="455"/>
      <c r="X727" s="454"/>
      <c r="Y727" s="455"/>
      <c r="Z727" s="454"/>
      <c r="AA727" s="455"/>
      <c r="AB727" s="454"/>
      <c r="AC727" s="455"/>
      <c r="AD727" s="454"/>
      <c r="AE727" s="455"/>
      <c r="AF727" s="454"/>
      <c r="AG727" s="455"/>
    </row>
    <row r="728" spans="1:33" x14ac:dyDescent="0.2">
      <c r="A728" s="415">
        <f t="shared" si="23"/>
        <v>1398</v>
      </c>
      <c r="B728" s="416" t="str">
        <f t="shared" si="22"/>
        <v>Winter</v>
      </c>
      <c r="C728" s="453"/>
      <c r="D728" s="454"/>
      <c r="E728" s="455"/>
      <c r="F728" s="454"/>
      <c r="G728" s="455"/>
      <c r="H728" s="454"/>
      <c r="I728" s="455"/>
      <c r="J728" s="454"/>
      <c r="K728" s="455"/>
      <c r="L728" s="454"/>
      <c r="M728" s="455"/>
      <c r="N728" s="454"/>
      <c r="O728" s="455"/>
      <c r="P728" s="454"/>
      <c r="Q728" s="455"/>
      <c r="R728" s="454"/>
      <c r="S728" s="455"/>
      <c r="T728" s="454"/>
      <c r="U728" s="455"/>
      <c r="V728" s="454"/>
      <c r="W728" s="455"/>
      <c r="X728" s="454"/>
      <c r="Y728" s="455"/>
      <c r="Z728" s="454"/>
      <c r="AA728" s="455"/>
      <c r="AB728" s="454"/>
      <c r="AC728" s="455"/>
      <c r="AD728" s="454"/>
      <c r="AE728" s="455"/>
      <c r="AF728" s="454"/>
      <c r="AG728" s="455"/>
    </row>
    <row r="729" spans="1:33" x14ac:dyDescent="0.2">
      <c r="A729" s="415">
        <f t="shared" si="23"/>
        <v>1398</v>
      </c>
      <c r="B729" s="416" t="str">
        <f t="shared" si="22"/>
        <v>Spring</v>
      </c>
      <c r="C729" s="453"/>
      <c r="D729" s="454"/>
      <c r="E729" s="455"/>
      <c r="F729" s="454"/>
      <c r="G729" s="455"/>
      <c r="H729" s="454"/>
      <c r="I729" s="455"/>
      <c r="J729" s="454"/>
      <c r="K729" s="455"/>
      <c r="L729" s="454"/>
      <c r="M729" s="455"/>
      <c r="N729" s="454"/>
      <c r="O729" s="455"/>
      <c r="P729" s="454"/>
      <c r="Q729" s="455"/>
      <c r="R729" s="454"/>
      <c r="S729" s="455"/>
      <c r="T729" s="454"/>
      <c r="U729" s="455"/>
      <c r="V729" s="454"/>
      <c r="W729" s="455"/>
      <c r="X729" s="454"/>
      <c r="Y729" s="455"/>
      <c r="Z729" s="454"/>
      <c r="AA729" s="455"/>
      <c r="AB729" s="454"/>
      <c r="AC729" s="455"/>
      <c r="AD729" s="454"/>
      <c r="AE729" s="455"/>
      <c r="AF729" s="454"/>
      <c r="AG729" s="455"/>
    </row>
    <row r="730" spans="1:33" x14ac:dyDescent="0.2">
      <c r="A730" s="415">
        <f t="shared" si="23"/>
        <v>1398</v>
      </c>
      <c r="B730" s="416" t="str">
        <f t="shared" si="22"/>
        <v>Summer</v>
      </c>
      <c r="C730" s="453"/>
      <c r="D730" s="454"/>
      <c r="E730" s="455"/>
      <c r="F730" s="454"/>
      <c r="G730" s="455"/>
      <c r="H730" s="454"/>
      <c r="I730" s="455"/>
      <c r="J730" s="454"/>
      <c r="K730" s="455"/>
      <c r="L730" s="454"/>
      <c r="M730" s="455"/>
      <c r="N730" s="454"/>
      <c r="O730" s="455"/>
      <c r="P730" s="454"/>
      <c r="Q730" s="455"/>
      <c r="R730" s="454"/>
      <c r="S730" s="455"/>
      <c r="T730" s="454"/>
      <c r="U730" s="455"/>
      <c r="V730" s="454"/>
      <c r="W730" s="455"/>
      <c r="X730" s="454"/>
      <c r="Y730" s="455"/>
      <c r="Z730" s="454"/>
      <c r="AA730" s="455"/>
      <c r="AB730" s="454"/>
      <c r="AC730" s="455"/>
      <c r="AD730" s="454"/>
      <c r="AE730" s="455"/>
      <c r="AF730" s="454"/>
      <c r="AG730" s="455"/>
    </row>
    <row r="731" spans="1:33" x14ac:dyDescent="0.2">
      <c r="A731" s="415">
        <f t="shared" si="23"/>
        <v>1398</v>
      </c>
      <c r="B731" s="416" t="str">
        <f t="shared" si="22"/>
        <v>Autumn</v>
      </c>
      <c r="C731" s="453"/>
      <c r="D731" s="454"/>
      <c r="E731" s="455"/>
      <c r="F731" s="454"/>
      <c r="G731" s="455"/>
      <c r="H731" s="454"/>
      <c r="I731" s="455"/>
      <c r="J731" s="454"/>
      <c r="K731" s="455"/>
      <c r="L731" s="454"/>
      <c r="M731" s="455"/>
      <c r="N731" s="454"/>
      <c r="O731" s="455"/>
      <c r="P731" s="454"/>
      <c r="Q731" s="455"/>
      <c r="R731" s="454"/>
      <c r="S731" s="455"/>
      <c r="T731" s="454"/>
      <c r="U731" s="455"/>
      <c r="V731" s="454"/>
      <c r="W731" s="455"/>
      <c r="X731" s="454"/>
      <c r="Y731" s="455"/>
      <c r="Z731" s="454"/>
      <c r="AA731" s="455"/>
      <c r="AB731" s="454"/>
      <c r="AC731" s="455"/>
      <c r="AD731" s="454"/>
      <c r="AE731" s="455"/>
      <c r="AF731" s="454"/>
      <c r="AG731" s="455"/>
    </row>
    <row r="732" spans="1:33" x14ac:dyDescent="0.2">
      <c r="A732" s="415">
        <f t="shared" si="23"/>
        <v>1399</v>
      </c>
      <c r="B732" s="416" t="str">
        <f t="shared" si="22"/>
        <v>Winter</v>
      </c>
      <c r="C732" s="453"/>
      <c r="D732" s="454"/>
      <c r="E732" s="455"/>
      <c r="F732" s="454"/>
      <c r="G732" s="455"/>
      <c r="H732" s="454"/>
      <c r="I732" s="455"/>
      <c r="J732" s="454"/>
      <c r="K732" s="455"/>
      <c r="L732" s="454"/>
      <c r="M732" s="455"/>
      <c r="N732" s="454"/>
      <c r="O732" s="455"/>
      <c r="P732" s="454"/>
      <c r="Q732" s="455"/>
      <c r="R732" s="454"/>
      <c r="S732" s="455"/>
      <c r="T732" s="454"/>
      <c r="U732" s="455"/>
      <c r="V732" s="454"/>
      <c r="W732" s="455"/>
      <c r="X732" s="454"/>
      <c r="Y732" s="455"/>
      <c r="Z732" s="454"/>
      <c r="AA732" s="455"/>
      <c r="AB732" s="454"/>
      <c r="AC732" s="455"/>
      <c r="AD732" s="454"/>
      <c r="AE732" s="455"/>
      <c r="AF732" s="454"/>
      <c r="AG732" s="455"/>
    </row>
    <row r="733" spans="1:33" x14ac:dyDescent="0.2">
      <c r="A733" s="415">
        <f t="shared" si="23"/>
        <v>1399</v>
      </c>
      <c r="B733" s="416" t="str">
        <f t="shared" si="22"/>
        <v>Spring</v>
      </c>
      <c r="C733" s="453"/>
      <c r="D733" s="454"/>
      <c r="E733" s="455"/>
      <c r="F733" s="454"/>
      <c r="G733" s="455"/>
      <c r="H733" s="454"/>
      <c r="I733" s="455"/>
      <c r="J733" s="454"/>
      <c r="K733" s="455"/>
      <c r="L733" s="454"/>
      <c r="M733" s="455"/>
      <c r="N733" s="454"/>
      <c r="O733" s="455"/>
      <c r="P733" s="454"/>
      <c r="Q733" s="455"/>
      <c r="R733" s="454"/>
      <c r="S733" s="455"/>
      <c r="T733" s="454"/>
      <c r="U733" s="455"/>
      <c r="V733" s="454"/>
      <c r="W733" s="455"/>
      <c r="X733" s="454"/>
      <c r="Y733" s="455"/>
      <c r="Z733" s="454"/>
      <c r="AA733" s="455"/>
      <c r="AB733" s="454"/>
      <c r="AC733" s="455"/>
      <c r="AD733" s="454"/>
      <c r="AE733" s="455"/>
      <c r="AF733" s="454"/>
      <c r="AG733" s="455"/>
    </row>
    <row r="734" spans="1:33" x14ac:dyDescent="0.2">
      <c r="A734" s="415">
        <f t="shared" si="23"/>
        <v>1399</v>
      </c>
      <c r="B734" s="416" t="str">
        <f t="shared" si="22"/>
        <v>Summer</v>
      </c>
      <c r="C734" s="453"/>
      <c r="D734" s="454"/>
      <c r="E734" s="455"/>
      <c r="F734" s="454"/>
      <c r="G734" s="455"/>
      <c r="H734" s="454"/>
      <c r="I734" s="455"/>
      <c r="J734" s="454"/>
      <c r="K734" s="455"/>
      <c r="L734" s="454"/>
      <c r="M734" s="455"/>
      <c r="N734" s="454"/>
      <c r="O734" s="455"/>
      <c r="P734" s="454"/>
      <c r="Q734" s="455"/>
      <c r="R734" s="454"/>
      <c r="S734" s="455"/>
      <c r="T734" s="454"/>
      <c r="U734" s="455"/>
      <c r="V734" s="454"/>
      <c r="W734" s="455"/>
      <c r="X734" s="454"/>
      <c r="Y734" s="455"/>
      <c r="Z734" s="454"/>
      <c r="AA734" s="455"/>
      <c r="AB734" s="454"/>
      <c r="AC734" s="455"/>
      <c r="AD734" s="454"/>
      <c r="AE734" s="455"/>
      <c r="AF734" s="454"/>
      <c r="AG734" s="455"/>
    </row>
    <row r="735" spans="1:33" x14ac:dyDescent="0.2">
      <c r="A735" s="415">
        <f t="shared" si="23"/>
        <v>1399</v>
      </c>
      <c r="B735" s="416" t="str">
        <f t="shared" si="22"/>
        <v>Autumn</v>
      </c>
      <c r="C735" s="453"/>
      <c r="D735" s="454"/>
      <c r="E735" s="455"/>
      <c r="F735" s="454"/>
      <c r="G735" s="455"/>
      <c r="H735" s="454"/>
      <c r="I735" s="455"/>
      <c r="J735" s="454"/>
      <c r="K735" s="455"/>
      <c r="L735" s="454"/>
      <c r="M735" s="455"/>
      <c r="N735" s="454"/>
      <c r="O735" s="455"/>
      <c r="P735" s="454"/>
      <c r="Q735" s="455"/>
      <c r="R735" s="454"/>
      <c r="S735" s="455"/>
      <c r="T735" s="454"/>
      <c r="U735" s="455"/>
      <c r="V735" s="454"/>
      <c r="W735" s="455"/>
      <c r="X735" s="454"/>
      <c r="Y735" s="455"/>
      <c r="Z735" s="454"/>
      <c r="AA735" s="455"/>
      <c r="AB735" s="454"/>
      <c r="AC735" s="455"/>
      <c r="AD735" s="454"/>
      <c r="AE735" s="455"/>
      <c r="AF735" s="454"/>
      <c r="AG735" s="455"/>
    </row>
    <row r="736" spans="1:33" x14ac:dyDescent="0.2">
      <c r="A736" s="415">
        <f t="shared" si="23"/>
        <v>1400</v>
      </c>
      <c r="B736" s="416" t="str">
        <f t="shared" si="22"/>
        <v>Winter</v>
      </c>
      <c r="C736" s="453"/>
      <c r="D736" s="454"/>
      <c r="E736" s="455"/>
      <c r="F736" s="454"/>
      <c r="G736" s="455"/>
      <c r="H736" s="454"/>
      <c r="I736" s="455"/>
      <c r="J736" s="454"/>
      <c r="K736" s="455"/>
      <c r="L736" s="454"/>
      <c r="M736" s="455"/>
      <c r="N736" s="454"/>
      <c r="O736" s="455"/>
      <c r="P736" s="454"/>
      <c r="Q736" s="455"/>
      <c r="R736" s="454"/>
      <c r="S736" s="455"/>
      <c r="T736" s="454"/>
      <c r="U736" s="455"/>
      <c r="V736" s="454"/>
      <c r="W736" s="455"/>
      <c r="X736" s="454"/>
      <c r="Y736" s="455"/>
      <c r="Z736" s="454"/>
      <c r="AA736" s="455"/>
      <c r="AB736" s="454"/>
      <c r="AC736" s="455"/>
      <c r="AD736" s="454"/>
      <c r="AE736" s="455"/>
      <c r="AF736" s="454"/>
      <c r="AG736" s="455"/>
    </row>
    <row r="737" spans="1:33" x14ac:dyDescent="0.2">
      <c r="A737" s="415">
        <f t="shared" si="23"/>
        <v>1400</v>
      </c>
      <c r="B737" s="416" t="str">
        <f t="shared" si="22"/>
        <v>Spring</v>
      </c>
      <c r="C737" s="453"/>
      <c r="D737" s="454"/>
      <c r="E737" s="455"/>
      <c r="F737" s="454"/>
      <c r="G737" s="455"/>
      <c r="H737" s="454"/>
      <c r="I737" s="455"/>
      <c r="J737" s="454"/>
      <c r="K737" s="455"/>
      <c r="L737" s="454"/>
      <c r="M737" s="455"/>
      <c r="N737" s="454"/>
      <c r="O737" s="455"/>
      <c r="P737" s="454"/>
      <c r="Q737" s="455"/>
      <c r="R737" s="454"/>
      <c r="S737" s="455"/>
      <c r="T737" s="454"/>
      <c r="U737" s="455"/>
      <c r="V737" s="454"/>
      <c r="W737" s="455"/>
      <c r="X737" s="454"/>
      <c r="Y737" s="455"/>
      <c r="Z737" s="454"/>
      <c r="AA737" s="455"/>
      <c r="AB737" s="454"/>
      <c r="AC737" s="455"/>
      <c r="AD737" s="454"/>
      <c r="AE737" s="455"/>
      <c r="AF737" s="454"/>
      <c r="AG737" s="455"/>
    </row>
    <row r="738" spans="1:33" x14ac:dyDescent="0.2">
      <c r="A738" s="415">
        <f t="shared" si="23"/>
        <v>1400</v>
      </c>
      <c r="B738" s="416" t="str">
        <f t="shared" si="22"/>
        <v>Summer</v>
      </c>
      <c r="C738" s="453"/>
      <c r="D738" s="454"/>
      <c r="E738" s="455"/>
      <c r="F738" s="454"/>
      <c r="G738" s="455"/>
      <c r="H738" s="454"/>
      <c r="I738" s="455"/>
      <c r="J738" s="454"/>
      <c r="K738" s="455"/>
      <c r="L738" s="454"/>
      <c r="M738" s="455"/>
      <c r="N738" s="454"/>
      <c r="O738" s="455"/>
      <c r="P738" s="454"/>
      <c r="Q738" s="455"/>
      <c r="R738" s="454"/>
      <c r="S738" s="455"/>
      <c r="T738" s="454"/>
      <c r="U738" s="455"/>
      <c r="V738" s="454"/>
      <c r="W738" s="455"/>
      <c r="X738" s="454"/>
      <c r="Y738" s="455"/>
      <c r="Z738" s="454"/>
      <c r="AA738" s="455"/>
      <c r="AB738" s="454"/>
      <c r="AC738" s="455"/>
      <c r="AD738" s="454"/>
      <c r="AE738" s="455"/>
      <c r="AF738" s="454"/>
      <c r="AG738" s="455"/>
    </row>
    <row r="739" spans="1:33" x14ac:dyDescent="0.2">
      <c r="A739" s="415">
        <f t="shared" si="23"/>
        <v>1400</v>
      </c>
      <c r="B739" s="416" t="str">
        <f t="shared" si="22"/>
        <v>Autumn</v>
      </c>
      <c r="C739" s="453"/>
      <c r="D739" s="454"/>
      <c r="E739" s="455"/>
      <c r="F739" s="454"/>
      <c r="G739" s="455"/>
      <c r="H739" s="454"/>
      <c r="I739" s="455"/>
      <c r="J739" s="454"/>
      <c r="K739" s="455"/>
      <c r="L739" s="454"/>
      <c r="M739" s="455"/>
      <c r="N739" s="454"/>
      <c r="O739" s="455"/>
      <c r="P739" s="454"/>
      <c r="Q739" s="455"/>
      <c r="R739" s="454"/>
      <c r="S739" s="455"/>
      <c r="T739" s="454"/>
      <c r="U739" s="455"/>
      <c r="V739" s="454"/>
      <c r="W739" s="455"/>
      <c r="X739" s="454"/>
      <c r="Y739" s="455"/>
      <c r="Z739" s="454"/>
      <c r="AA739" s="455"/>
      <c r="AB739" s="454"/>
      <c r="AC739" s="455"/>
      <c r="AD739" s="454"/>
      <c r="AE739" s="455"/>
      <c r="AF739" s="454"/>
      <c r="AG739" s="455"/>
    </row>
    <row r="740" spans="1:33" x14ac:dyDescent="0.2">
      <c r="A740" s="415">
        <f t="shared" si="23"/>
        <v>1401</v>
      </c>
      <c r="B740" s="416" t="str">
        <f t="shared" si="22"/>
        <v>Winter</v>
      </c>
      <c r="C740" s="453"/>
      <c r="D740" s="454"/>
      <c r="E740" s="455"/>
      <c r="F740" s="454"/>
      <c r="G740" s="455"/>
      <c r="H740" s="454"/>
      <c r="I740" s="455"/>
      <c r="J740" s="454"/>
      <c r="K740" s="455"/>
      <c r="L740" s="454"/>
      <c r="M740" s="455"/>
      <c r="N740" s="454"/>
      <c r="O740" s="455"/>
      <c r="P740" s="454"/>
      <c r="Q740" s="455"/>
      <c r="R740" s="454"/>
      <c r="S740" s="455"/>
      <c r="T740" s="454"/>
      <c r="U740" s="455"/>
      <c r="V740" s="454"/>
      <c r="W740" s="455"/>
      <c r="X740" s="454"/>
      <c r="Y740" s="455"/>
      <c r="Z740" s="454"/>
      <c r="AA740" s="455"/>
      <c r="AB740" s="454"/>
      <c r="AC740" s="455"/>
      <c r="AD740" s="454"/>
      <c r="AE740" s="455"/>
      <c r="AF740" s="454"/>
      <c r="AG740" s="455"/>
    </row>
    <row r="741" spans="1:33" x14ac:dyDescent="0.2">
      <c r="A741" s="415">
        <f t="shared" si="23"/>
        <v>1401</v>
      </c>
      <c r="B741" s="416" t="str">
        <f t="shared" si="22"/>
        <v>Spring</v>
      </c>
      <c r="C741" s="453"/>
      <c r="D741" s="454"/>
      <c r="E741" s="455"/>
      <c r="F741" s="454"/>
      <c r="G741" s="455"/>
      <c r="H741" s="454"/>
      <c r="I741" s="455"/>
      <c r="J741" s="454"/>
      <c r="K741" s="455"/>
      <c r="L741" s="454"/>
      <c r="M741" s="455"/>
      <c r="N741" s="454"/>
      <c r="O741" s="455"/>
      <c r="P741" s="454"/>
      <c r="Q741" s="455"/>
      <c r="R741" s="454"/>
      <c r="S741" s="455"/>
      <c r="T741" s="454"/>
      <c r="U741" s="455"/>
      <c r="V741" s="454"/>
      <c r="W741" s="455"/>
      <c r="X741" s="454"/>
      <c r="Y741" s="455"/>
      <c r="Z741" s="454"/>
      <c r="AA741" s="455"/>
      <c r="AB741" s="454"/>
      <c r="AC741" s="455"/>
      <c r="AD741" s="454"/>
      <c r="AE741" s="455"/>
      <c r="AF741" s="454"/>
      <c r="AG741" s="455"/>
    </row>
    <row r="742" spans="1:33" x14ac:dyDescent="0.2">
      <c r="A742" s="415">
        <f t="shared" si="23"/>
        <v>1401</v>
      </c>
      <c r="B742" s="416" t="str">
        <f t="shared" si="22"/>
        <v>Summer</v>
      </c>
      <c r="C742" s="453"/>
      <c r="D742" s="454"/>
      <c r="E742" s="455"/>
      <c r="F742" s="454"/>
      <c r="G742" s="455"/>
      <c r="H742" s="454"/>
      <c r="I742" s="455"/>
      <c r="J742" s="454"/>
      <c r="K742" s="455"/>
      <c r="L742" s="454"/>
      <c r="M742" s="455"/>
      <c r="N742" s="454"/>
      <c r="O742" s="455"/>
      <c r="P742" s="454"/>
      <c r="Q742" s="455"/>
      <c r="R742" s="454"/>
      <c r="S742" s="455"/>
      <c r="T742" s="454"/>
      <c r="U742" s="455"/>
      <c r="V742" s="454"/>
      <c r="W742" s="455"/>
      <c r="X742" s="454"/>
      <c r="Y742" s="455"/>
      <c r="Z742" s="454"/>
      <c r="AA742" s="455"/>
      <c r="AB742" s="454"/>
      <c r="AC742" s="455"/>
      <c r="AD742" s="454"/>
      <c r="AE742" s="455"/>
      <c r="AF742" s="454"/>
      <c r="AG742" s="455"/>
    </row>
    <row r="743" spans="1:33" x14ac:dyDescent="0.2">
      <c r="A743" s="415">
        <f t="shared" si="23"/>
        <v>1401</v>
      </c>
      <c r="B743" s="416" t="str">
        <f t="shared" si="22"/>
        <v>Autumn</v>
      </c>
      <c r="C743" s="453"/>
      <c r="D743" s="454"/>
      <c r="E743" s="455"/>
      <c r="F743" s="454"/>
      <c r="G743" s="455"/>
      <c r="H743" s="454"/>
      <c r="I743" s="455"/>
      <c r="J743" s="454"/>
      <c r="K743" s="455"/>
      <c r="L743" s="454"/>
      <c r="M743" s="455"/>
      <c r="N743" s="454"/>
      <c r="O743" s="455"/>
      <c r="P743" s="454"/>
      <c r="Q743" s="455"/>
      <c r="R743" s="454"/>
      <c r="S743" s="455"/>
      <c r="T743" s="454"/>
      <c r="U743" s="455"/>
      <c r="V743" s="454"/>
      <c r="W743" s="455"/>
      <c r="X743" s="454"/>
      <c r="Y743" s="455"/>
      <c r="Z743" s="454"/>
      <c r="AA743" s="455"/>
      <c r="AB743" s="454"/>
      <c r="AC743" s="455"/>
      <c r="AD743" s="454"/>
      <c r="AE743" s="455"/>
      <c r="AF743" s="454"/>
      <c r="AG743" s="455"/>
    </row>
    <row r="744" spans="1:33" x14ac:dyDescent="0.2">
      <c r="A744" s="415">
        <f t="shared" si="23"/>
        <v>1402</v>
      </c>
      <c r="B744" s="416" t="str">
        <f t="shared" si="22"/>
        <v>Winter</v>
      </c>
      <c r="C744" s="453"/>
      <c r="D744" s="454"/>
      <c r="E744" s="455"/>
      <c r="F744" s="454"/>
      <c r="G744" s="455"/>
      <c r="H744" s="454"/>
      <c r="I744" s="455"/>
      <c r="J744" s="454"/>
      <c r="K744" s="455"/>
      <c r="L744" s="454"/>
      <c r="M744" s="455"/>
      <c r="N744" s="454"/>
      <c r="O744" s="455"/>
      <c r="P744" s="454"/>
      <c r="Q744" s="455"/>
      <c r="R744" s="454"/>
      <c r="S744" s="455"/>
      <c r="T744" s="454"/>
      <c r="U744" s="455"/>
      <c r="V744" s="454"/>
      <c r="W744" s="455"/>
      <c r="X744" s="454"/>
      <c r="Y744" s="455"/>
      <c r="Z744" s="454"/>
      <c r="AA744" s="455"/>
      <c r="AB744" s="454"/>
      <c r="AC744" s="455"/>
      <c r="AD744" s="454"/>
      <c r="AE744" s="455"/>
      <c r="AF744" s="454"/>
      <c r="AG744" s="455"/>
    </row>
    <row r="745" spans="1:33" x14ac:dyDescent="0.2">
      <c r="A745" s="415">
        <f t="shared" si="23"/>
        <v>1402</v>
      </c>
      <c r="B745" s="416" t="str">
        <f t="shared" si="22"/>
        <v>Spring</v>
      </c>
      <c r="C745" s="453"/>
      <c r="D745" s="454"/>
      <c r="E745" s="455"/>
      <c r="F745" s="454"/>
      <c r="G745" s="455"/>
      <c r="H745" s="454"/>
      <c r="I745" s="455"/>
      <c r="J745" s="454"/>
      <c r="K745" s="455"/>
      <c r="L745" s="454"/>
      <c r="M745" s="455"/>
      <c r="N745" s="454"/>
      <c r="O745" s="455"/>
      <c r="P745" s="454"/>
      <c r="Q745" s="455"/>
      <c r="R745" s="454"/>
      <c r="S745" s="455"/>
      <c r="T745" s="454"/>
      <c r="U745" s="455"/>
      <c r="V745" s="454"/>
      <c r="W745" s="455"/>
      <c r="X745" s="454"/>
      <c r="Y745" s="455"/>
      <c r="Z745" s="454"/>
      <c r="AA745" s="455"/>
      <c r="AB745" s="454"/>
      <c r="AC745" s="455"/>
      <c r="AD745" s="454"/>
      <c r="AE745" s="455"/>
      <c r="AF745" s="454"/>
      <c r="AG745" s="455"/>
    </row>
    <row r="746" spans="1:33" x14ac:dyDescent="0.2">
      <c r="A746" s="415">
        <f t="shared" si="23"/>
        <v>1402</v>
      </c>
      <c r="B746" s="416" t="str">
        <f t="shared" si="22"/>
        <v>Summer</v>
      </c>
      <c r="C746" s="453"/>
      <c r="D746" s="454"/>
      <c r="E746" s="455"/>
      <c r="F746" s="454"/>
      <c r="G746" s="455"/>
      <c r="H746" s="454"/>
      <c r="I746" s="455"/>
      <c r="J746" s="454"/>
      <c r="K746" s="455"/>
      <c r="L746" s="454"/>
      <c r="M746" s="455"/>
      <c r="N746" s="454"/>
      <c r="O746" s="455"/>
      <c r="P746" s="454"/>
      <c r="Q746" s="455"/>
      <c r="R746" s="454"/>
      <c r="S746" s="455"/>
      <c r="T746" s="454"/>
      <c r="U746" s="455"/>
      <c r="V746" s="454"/>
      <c r="W746" s="455"/>
      <c r="X746" s="454"/>
      <c r="Y746" s="455"/>
      <c r="Z746" s="454"/>
      <c r="AA746" s="455"/>
      <c r="AB746" s="454"/>
      <c r="AC746" s="455"/>
      <c r="AD746" s="454"/>
      <c r="AE746" s="455"/>
      <c r="AF746" s="454"/>
      <c r="AG746" s="455"/>
    </row>
    <row r="747" spans="1:33" x14ac:dyDescent="0.2">
      <c r="A747" s="415">
        <f t="shared" si="23"/>
        <v>1402</v>
      </c>
      <c r="B747" s="416" t="str">
        <f t="shared" ref="B747:B810" si="24">IF(B746="spring","Summer",IF(B746="Summer","Autumn",IF(B746="Autumn","Winter",IF(B746="Winter","Spring"," "))))</f>
        <v>Autumn</v>
      </c>
      <c r="C747" s="453"/>
      <c r="D747" s="454"/>
      <c r="E747" s="455"/>
      <c r="F747" s="454"/>
      <c r="G747" s="455"/>
      <c r="H747" s="454"/>
      <c r="I747" s="455"/>
      <c r="J747" s="454"/>
      <c r="K747" s="455"/>
      <c r="L747" s="454"/>
      <c r="M747" s="455"/>
      <c r="N747" s="454"/>
      <c r="O747" s="455"/>
      <c r="P747" s="454"/>
      <c r="Q747" s="455"/>
      <c r="R747" s="454"/>
      <c r="S747" s="455"/>
      <c r="T747" s="454"/>
      <c r="U747" s="455"/>
      <c r="V747" s="454"/>
      <c r="W747" s="455"/>
      <c r="X747" s="454"/>
      <c r="Y747" s="455"/>
      <c r="Z747" s="454"/>
      <c r="AA747" s="455"/>
      <c r="AB747" s="454"/>
      <c r="AC747" s="455"/>
      <c r="AD747" s="454"/>
      <c r="AE747" s="455"/>
      <c r="AF747" s="454"/>
      <c r="AG747" s="455"/>
    </row>
    <row r="748" spans="1:33" x14ac:dyDescent="0.2">
      <c r="A748" s="415">
        <f t="shared" si="23"/>
        <v>1403</v>
      </c>
      <c r="B748" s="416" t="str">
        <f t="shared" si="24"/>
        <v>Winter</v>
      </c>
      <c r="C748" s="453"/>
      <c r="D748" s="454"/>
      <c r="E748" s="455"/>
      <c r="F748" s="454"/>
      <c r="G748" s="455"/>
      <c r="H748" s="454"/>
      <c r="I748" s="455"/>
      <c r="J748" s="454"/>
      <c r="K748" s="455"/>
      <c r="L748" s="454"/>
      <c r="M748" s="455"/>
      <c r="N748" s="454"/>
      <c r="O748" s="455"/>
      <c r="P748" s="454"/>
      <c r="Q748" s="455"/>
      <c r="R748" s="454"/>
      <c r="S748" s="455"/>
      <c r="T748" s="454"/>
      <c r="U748" s="455"/>
      <c r="V748" s="454"/>
      <c r="W748" s="455"/>
      <c r="X748" s="454"/>
      <c r="Y748" s="455"/>
      <c r="Z748" s="454"/>
      <c r="AA748" s="455"/>
      <c r="AB748" s="454"/>
      <c r="AC748" s="455"/>
      <c r="AD748" s="454"/>
      <c r="AE748" s="455"/>
      <c r="AF748" s="454"/>
      <c r="AG748" s="455"/>
    </row>
    <row r="749" spans="1:33" x14ac:dyDescent="0.2">
      <c r="A749" s="415">
        <f t="shared" si="23"/>
        <v>1403</v>
      </c>
      <c r="B749" s="416" t="str">
        <f t="shared" si="24"/>
        <v>Spring</v>
      </c>
      <c r="C749" s="453"/>
      <c r="D749" s="454"/>
      <c r="E749" s="455"/>
      <c r="F749" s="454"/>
      <c r="G749" s="455"/>
      <c r="H749" s="454"/>
      <c r="I749" s="455"/>
      <c r="J749" s="454"/>
      <c r="K749" s="455"/>
      <c r="L749" s="454"/>
      <c r="M749" s="455"/>
      <c r="N749" s="454"/>
      <c r="O749" s="455"/>
      <c r="P749" s="454"/>
      <c r="Q749" s="455"/>
      <c r="R749" s="454"/>
      <c r="S749" s="455"/>
      <c r="T749" s="454"/>
      <c r="U749" s="455"/>
      <c r="V749" s="454"/>
      <c r="W749" s="455"/>
      <c r="X749" s="454"/>
      <c r="Y749" s="455"/>
      <c r="Z749" s="454"/>
      <c r="AA749" s="455"/>
      <c r="AB749" s="454"/>
      <c r="AC749" s="455"/>
      <c r="AD749" s="454"/>
      <c r="AE749" s="455"/>
      <c r="AF749" s="454"/>
      <c r="AG749" s="455"/>
    </row>
    <row r="750" spans="1:33" x14ac:dyDescent="0.2">
      <c r="A750" s="415">
        <f t="shared" si="23"/>
        <v>1403</v>
      </c>
      <c r="B750" s="416" t="str">
        <f t="shared" si="24"/>
        <v>Summer</v>
      </c>
      <c r="C750" s="453"/>
      <c r="D750" s="454"/>
      <c r="E750" s="455"/>
      <c r="F750" s="454"/>
      <c r="G750" s="455"/>
      <c r="H750" s="454"/>
      <c r="I750" s="455"/>
      <c r="J750" s="454"/>
      <c r="K750" s="455"/>
      <c r="L750" s="454"/>
      <c r="M750" s="455"/>
      <c r="N750" s="454"/>
      <c r="O750" s="455"/>
      <c r="P750" s="454"/>
      <c r="Q750" s="455"/>
      <c r="R750" s="454"/>
      <c r="S750" s="455"/>
      <c r="T750" s="454"/>
      <c r="U750" s="455"/>
      <c r="V750" s="454"/>
      <c r="W750" s="455"/>
      <c r="X750" s="454"/>
      <c r="Y750" s="455"/>
      <c r="Z750" s="454"/>
      <c r="AA750" s="455"/>
      <c r="AB750" s="454"/>
      <c r="AC750" s="455"/>
      <c r="AD750" s="454"/>
      <c r="AE750" s="455"/>
      <c r="AF750" s="454"/>
      <c r="AG750" s="455"/>
    </row>
    <row r="751" spans="1:33" x14ac:dyDescent="0.2">
      <c r="A751" s="415">
        <f t="shared" si="23"/>
        <v>1403</v>
      </c>
      <c r="B751" s="416" t="str">
        <f t="shared" si="24"/>
        <v>Autumn</v>
      </c>
      <c r="C751" s="453"/>
      <c r="D751" s="454"/>
      <c r="E751" s="455"/>
      <c r="F751" s="454"/>
      <c r="G751" s="455"/>
      <c r="H751" s="454"/>
      <c r="I751" s="455"/>
      <c r="J751" s="454"/>
      <c r="K751" s="455"/>
      <c r="L751" s="454"/>
      <c r="M751" s="455"/>
      <c r="N751" s="454"/>
      <c r="O751" s="455"/>
      <c r="P751" s="454"/>
      <c r="Q751" s="455"/>
      <c r="R751" s="454"/>
      <c r="S751" s="455"/>
      <c r="T751" s="454"/>
      <c r="U751" s="455"/>
      <c r="V751" s="454"/>
      <c r="W751" s="455"/>
      <c r="X751" s="454"/>
      <c r="Y751" s="455"/>
      <c r="Z751" s="454"/>
      <c r="AA751" s="455"/>
      <c r="AB751" s="454"/>
      <c r="AC751" s="455"/>
      <c r="AD751" s="454"/>
      <c r="AE751" s="455"/>
      <c r="AF751" s="454"/>
      <c r="AG751" s="455"/>
    </row>
    <row r="752" spans="1:33" x14ac:dyDescent="0.2">
      <c r="A752" s="415">
        <f t="shared" si="23"/>
        <v>1404</v>
      </c>
      <c r="B752" s="416" t="str">
        <f t="shared" si="24"/>
        <v>Winter</v>
      </c>
      <c r="C752" s="453"/>
      <c r="D752" s="454"/>
      <c r="E752" s="455"/>
      <c r="F752" s="454"/>
      <c r="G752" s="455"/>
      <c r="H752" s="454"/>
      <c r="I752" s="455"/>
      <c r="J752" s="454"/>
      <c r="K752" s="455"/>
      <c r="L752" s="454"/>
      <c r="M752" s="455"/>
      <c r="N752" s="454"/>
      <c r="O752" s="455"/>
      <c r="P752" s="454"/>
      <c r="Q752" s="455"/>
      <c r="R752" s="454"/>
      <c r="S752" s="455"/>
      <c r="T752" s="454"/>
      <c r="U752" s="455"/>
      <c r="V752" s="454"/>
      <c r="W752" s="455"/>
      <c r="X752" s="454"/>
      <c r="Y752" s="455"/>
      <c r="Z752" s="454"/>
      <c r="AA752" s="455"/>
      <c r="AB752" s="454"/>
      <c r="AC752" s="455"/>
      <c r="AD752" s="454"/>
      <c r="AE752" s="455"/>
      <c r="AF752" s="454"/>
      <c r="AG752" s="455"/>
    </row>
    <row r="753" spans="1:33" x14ac:dyDescent="0.2">
      <c r="A753" s="415">
        <f t="shared" si="23"/>
        <v>1404</v>
      </c>
      <c r="B753" s="416" t="str">
        <f t="shared" si="24"/>
        <v>Spring</v>
      </c>
      <c r="C753" s="453"/>
      <c r="D753" s="454"/>
      <c r="E753" s="455"/>
      <c r="F753" s="454"/>
      <c r="G753" s="455"/>
      <c r="H753" s="454"/>
      <c r="I753" s="455"/>
      <c r="J753" s="454"/>
      <c r="K753" s="455"/>
      <c r="L753" s="454"/>
      <c r="M753" s="455"/>
      <c r="N753" s="454"/>
      <c r="O753" s="455"/>
      <c r="P753" s="454"/>
      <c r="Q753" s="455"/>
      <c r="R753" s="454"/>
      <c r="S753" s="455"/>
      <c r="T753" s="454"/>
      <c r="U753" s="455"/>
      <c r="V753" s="454"/>
      <c r="W753" s="455"/>
      <c r="X753" s="454"/>
      <c r="Y753" s="455"/>
      <c r="Z753" s="454"/>
      <c r="AA753" s="455"/>
      <c r="AB753" s="454"/>
      <c r="AC753" s="455"/>
      <c r="AD753" s="454"/>
      <c r="AE753" s="455"/>
      <c r="AF753" s="454"/>
      <c r="AG753" s="455"/>
    </row>
    <row r="754" spans="1:33" x14ac:dyDescent="0.2">
      <c r="A754" s="415">
        <f t="shared" si="23"/>
        <v>1404</v>
      </c>
      <c r="B754" s="416" t="str">
        <f t="shared" si="24"/>
        <v>Summer</v>
      </c>
      <c r="C754" s="453"/>
      <c r="D754" s="454"/>
      <c r="E754" s="455"/>
      <c r="F754" s="454"/>
      <c r="G754" s="455"/>
      <c r="H754" s="454"/>
      <c r="I754" s="455"/>
      <c r="J754" s="454"/>
      <c r="K754" s="455"/>
      <c r="L754" s="454"/>
      <c r="M754" s="455"/>
      <c r="N754" s="454"/>
      <c r="O754" s="455"/>
      <c r="P754" s="454"/>
      <c r="Q754" s="455"/>
      <c r="R754" s="454"/>
      <c r="S754" s="455"/>
      <c r="T754" s="454"/>
      <c r="U754" s="455"/>
      <c r="V754" s="454"/>
      <c r="W754" s="455"/>
      <c r="X754" s="454"/>
      <c r="Y754" s="455"/>
      <c r="Z754" s="454"/>
      <c r="AA754" s="455"/>
      <c r="AB754" s="454"/>
      <c r="AC754" s="455"/>
      <c r="AD754" s="454"/>
      <c r="AE754" s="455"/>
      <c r="AF754" s="454"/>
      <c r="AG754" s="455"/>
    </row>
    <row r="755" spans="1:33" x14ac:dyDescent="0.2">
      <c r="A755" s="415">
        <f t="shared" si="23"/>
        <v>1404</v>
      </c>
      <c r="B755" s="416" t="str">
        <f t="shared" si="24"/>
        <v>Autumn</v>
      </c>
      <c r="C755" s="453"/>
      <c r="D755" s="454"/>
      <c r="E755" s="455"/>
      <c r="F755" s="454"/>
      <c r="G755" s="455"/>
      <c r="H755" s="454"/>
      <c r="I755" s="455"/>
      <c r="J755" s="454"/>
      <c r="K755" s="455"/>
      <c r="L755" s="454"/>
      <c r="M755" s="455"/>
      <c r="N755" s="454"/>
      <c r="O755" s="455"/>
      <c r="P755" s="454"/>
      <c r="Q755" s="455"/>
      <c r="R755" s="454"/>
      <c r="S755" s="455"/>
      <c r="T755" s="454"/>
      <c r="U755" s="455"/>
      <c r="V755" s="454"/>
      <c r="W755" s="455"/>
      <c r="X755" s="454"/>
      <c r="Y755" s="455"/>
      <c r="Z755" s="454"/>
      <c r="AA755" s="455"/>
      <c r="AB755" s="454"/>
      <c r="AC755" s="455"/>
      <c r="AD755" s="454"/>
      <c r="AE755" s="455"/>
      <c r="AF755" s="454"/>
      <c r="AG755" s="455"/>
    </row>
    <row r="756" spans="1:33" x14ac:dyDescent="0.2">
      <c r="A756" s="415">
        <f t="shared" si="23"/>
        <v>1405</v>
      </c>
      <c r="B756" s="416" t="str">
        <f t="shared" si="24"/>
        <v>Winter</v>
      </c>
      <c r="C756" s="453"/>
      <c r="D756" s="454"/>
      <c r="E756" s="455"/>
      <c r="F756" s="454"/>
      <c r="G756" s="455"/>
      <c r="H756" s="454"/>
      <c r="I756" s="455"/>
      <c r="J756" s="454"/>
      <c r="K756" s="455"/>
      <c r="L756" s="454"/>
      <c r="M756" s="455"/>
      <c r="N756" s="454"/>
      <c r="O756" s="455"/>
      <c r="P756" s="454"/>
      <c r="Q756" s="455"/>
      <c r="R756" s="454"/>
      <c r="S756" s="455"/>
      <c r="T756" s="454"/>
      <c r="U756" s="455"/>
      <c r="V756" s="454"/>
      <c r="W756" s="455"/>
      <c r="X756" s="454"/>
      <c r="Y756" s="455"/>
      <c r="Z756" s="454"/>
      <c r="AA756" s="455"/>
      <c r="AB756" s="454"/>
      <c r="AC756" s="455"/>
      <c r="AD756" s="454"/>
      <c r="AE756" s="455"/>
      <c r="AF756" s="454"/>
      <c r="AG756" s="455"/>
    </row>
    <row r="757" spans="1:33" x14ac:dyDescent="0.2">
      <c r="A757" s="415">
        <f t="shared" si="23"/>
        <v>1405</v>
      </c>
      <c r="B757" s="416" t="str">
        <f t="shared" si="24"/>
        <v>Spring</v>
      </c>
      <c r="C757" s="453"/>
      <c r="D757" s="454"/>
      <c r="E757" s="455"/>
      <c r="F757" s="454"/>
      <c r="G757" s="455"/>
      <c r="H757" s="454"/>
      <c r="I757" s="455"/>
      <c r="J757" s="454"/>
      <c r="K757" s="455"/>
      <c r="L757" s="454"/>
      <c r="M757" s="455"/>
      <c r="N757" s="454"/>
      <c r="O757" s="455"/>
      <c r="P757" s="454"/>
      <c r="Q757" s="455"/>
      <c r="R757" s="454"/>
      <c r="S757" s="455"/>
      <c r="T757" s="454"/>
      <c r="U757" s="455"/>
      <c r="V757" s="454"/>
      <c r="W757" s="455"/>
      <c r="X757" s="454"/>
      <c r="Y757" s="455"/>
      <c r="Z757" s="454"/>
      <c r="AA757" s="455"/>
      <c r="AB757" s="454"/>
      <c r="AC757" s="455"/>
      <c r="AD757" s="454"/>
      <c r="AE757" s="455"/>
      <c r="AF757" s="454"/>
      <c r="AG757" s="455"/>
    </row>
    <row r="758" spans="1:33" x14ac:dyDescent="0.2">
      <c r="A758" s="415">
        <f t="shared" si="23"/>
        <v>1405</v>
      </c>
      <c r="B758" s="416" t="str">
        <f t="shared" si="24"/>
        <v>Summer</v>
      </c>
      <c r="C758" s="453"/>
      <c r="D758" s="454"/>
      <c r="E758" s="455"/>
      <c r="F758" s="454"/>
      <c r="G758" s="455"/>
      <c r="H758" s="454"/>
      <c r="I758" s="455"/>
      <c r="J758" s="454"/>
      <c r="K758" s="455"/>
      <c r="L758" s="454"/>
      <c r="M758" s="455"/>
      <c r="N758" s="454"/>
      <c r="O758" s="455"/>
      <c r="P758" s="454"/>
      <c r="Q758" s="455"/>
      <c r="R758" s="454"/>
      <c r="S758" s="455"/>
      <c r="T758" s="454"/>
      <c r="U758" s="455"/>
      <c r="V758" s="454"/>
      <c r="W758" s="455"/>
      <c r="X758" s="454"/>
      <c r="Y758" s="455"/>
      <c r="Z758" s="454"/>
      <c r="AA758" s="455"/>
      <c r="AB758" s="454"/>
      <c r="AC758" s="455"/>
      <c r="AD758" s="454"/>
      <c r="AE758" s="455"/>
      <c r="AF758" s="454"/>
      <c r="AG758" s="455"/>
    </row>
    <row r="759" spans="1:33" x14ac:dyDescent="0.2">
      <c r="A759" s="415">
        <f t="shared" si="23"/>
        <v>1405</v>
      </c>
      <c r="B759" s="416" t="str">
        <f t="shared" si="24"/>
        <v>Autumn</v>
      </c>
      <c r="C759" s="453"/>
      <c r="D759" s="454"/>
      <c r="E759" s="455"/>
      <c r="F759" s="454"/>
      <c r="G759" s="455"/>
      <c r="H759" s="454"/>
      <c r="I759" s="455"/>
      <c r="J759" s="454"/>
      <c r="K759" s="455"/>
      <c r="L759" s="454"/>
      <c r="M759" s="455"/>
      <c r="N759" s="454"/>
      <c r="O759" s="455"/>
      <c r="P759" s="454"/>
      <c r="Q759" s="455"/>
      <c r="R759" s="454"/>
      <c r="S759" s="455"/>
      <c r="T759" s="454"/>
      <c r="U759" s="455"/>
      <c r="V759" s="454"/>
      <c r="W759" s="455"/>
      <c r="X759" s="454"/>
      <c r="Y759" s="455"/>
      <c r="Z759" s="454"/>
      <c r="AA759" s="455"/>
      <c r="AB759" s="454"/>
      <c r="AC759" s="455"/>
      <c r="AD759" s="454"/>
      <c r="AE759" s="455"/>
      <c r="AF759" s="454"/>
      <c r="AG759" s="455"/>
    </row>
    <row r="760" spans="1:33" x14ac:dyDescent="0.2">
      <c r="A760" s="415">
        <f t="shared" si="23"/>
        <v>1406</v>
      </c>
      <c r="B760" s="416" t="str">
        <f t="shared" si="24"/>
        <v>Winter</v>
      </c>
      <c r="C760" s="453"/>
      <c r="D760" s="454"/>
      <c r="E760" s="455"/>
      <c r="F760" s="454"/>
      <c r="G760" s="455"/>
      <c r="H760" s="454"/>
      <c r="I760" s="455"/>
      <c r="J760" s="454"/>
      <c r="K760" s="455"/>
      <c r="L760" s="454"/>
      <c r="M760" s="455"/>
      <c r="N760" s="454"/>
      <c r="O760" s="455"/>
      <c r="P760" s="454"/>
      <c r="Q760" s="455"/>
      <c r="R760" s="454"/>
      <c r="S760" s="455"/>
      <c r="T760" s="454"/>
      <c r="U760" s="455"/>
      <c r="V760" s="454"/>
      <c r="W760" s="455"/>
      <c r="X760" s="454"/>
      <c r="Y760" s="455"/>
      <c r="Z760" s="454"/>
      <c r="AA760" s="455"/>
      <c r="AB760" s="454"/>
      <c r="AC760" s="455"/>
      <c r="AD760" s="454"/>
      <c r="AE760" s="455"/>
      <c r="AF760" s="454"/>
      <c r="AG760" s="455"/>
    </row>
    <row r="761" spans="1:33" x14ac:dyDescent="0.2">
      <c r="A761" s="415">
        <f t="shared" si="23"/>
        <v>1406</v>
      </c>
      <c r="B761" s="416" t="str">
        <f t="shared" si="24"/>
        <v>Spring</v>
      </c>
      <c r="C761" s="453"/>
      <c r="D761" s="454"/>
      <c r="E761" s="455"/>
      <c r="F761" s="454"/>
      <c r="G761" s="455"/>
      <c r="H761" s="454"/>
      <c r="I761" s="455"/>
      <c r="J761" s="454"/>
      <c r="K761" s="455"/>
      <c r="L761" s="454"/>
      <c r="M761" s="455"/>
      <c r="N761" s="454"/>
      <c r="O761" s="455"/>
      <c r="P761" s="454"/>
      <c r="Q761" s="455"/>
      <c r="R761" s="454"/>
      <c r="S761" s="455"/>
      <c r="T761" s="454"/>
      <c r="U761" s="455"/>
      <c r="V761" s="454"/>
      <c r="W761" s="455"/>
      <c r="X761" s="454"/>
      <c r="Y761" s="455"/>
      <c r="Z761" s="454"/>
      <c r="AA761" s="455"/>
      <c r="AB761" s="454"/>
      <c r="AC761" s="455"/>
      <c r="AD761" s="454"/>
      <c r="AE761" s="455"/>
      <c r="AF761" s="454"/>
      <c r="AG761" s="455"/>
    </row>
    <row r="762" spans="1:33" x14ac:dyDescent="0.2">
      <c r="A762" s="415">
        <f t="shared" si="23"/>
        <v>1406</v>
      </c>
      <c r="B762" s="416" t="str">
        <f t="shared" si="24"/>
        <v>Summer</v>
      </c>
      <c r="C762" s="453"/>
      <c r="D762" s="454"/>
      <c r="E762" s="455"/>
      <c r="F762" s="454"/>
      <c r="G762" s="455"/>
      <c r="H762" s="454"/>
      <c r="I762" s="455"/>
      <c r="J762" s="454"/>
      <c r="K762" s="455"/>
      <c r="L762" s="454"/>
      <c r="M762" s="455"/>
      <c r="N762" s="454"/>
      <c r="O762" s="455"/>
      <c r="P762" s="454"/>
      <c r="Q762" s="455"/>
      <c r="R762" s="454"/>
      <c r="S762" s="455"/>
      <c r="T762" s="454"/>
      <c r="U762" s="455"/>
      <c r="V762" s="454"/>
      <c r="W762" s="455"/>
      <c r="X762" s="454"/>
      <c r="Y762" s="455"/>
      <c r="Z762" s="454"/>
      <c r="AA762" s="455"/>
      <c r="AB762" s="454"/>
      <c r="AC762" s="455"/>
      <c r="AD762" s="454"/>
      <c r="AE762" s="455"/>
      <c r="AF762" s="454"/>
      <c r="AG762" s="455"/>
    </row>
    <row r="763" spans="1:33" x14ac:dyDescent="0.2">
      <c r="A763" s="415">
        <f t="shared" si="23"/>
        <v>1406</v>
      </c>
      <c r="B763" s="416" t="str">
        <f t="shared" si="24"/>
        <v>Autumn</v>
      </c>
      <c r="C763" s="453"/>
      <c r="D763" s="454"/>
      <c r="E763" s="455"/>
      <c r="F763" s="454"/>
      <c r="G763" s="455"/>
      <c r="H763" s="454"/>
      <c r="I763" s="455"/>
      <c r="J763" s="454"/>
      <c r="K763" s="455"/>
      <c r="L763" s="454"/>
      <c r="M763" s="455"/>
      <c r="N763" s="454"/>
      <c r="O763" s="455"/>
      <c r="P763" s="454"/>
      <c r="Q763" s="455"/>
      <c r="R763" s="454"/>
      <c r="S763" s="455"/>
      <c r="T763" s="454"/>
      <c r="U763" s="455"/>
      <c r="V763" s="454"/>
      <c r="W763" s="455"/>
      <c r="X763" s="454"/>
      <c r="Y763" s="455"/>
      <c r="Z763" s="454"/>
      <c r="AA763" s="455"/>
      <c r="AB763" s="454"/>
      <c r="AC763" s="455"/>
      <c r="AD763" s="454"/>
      <c r="AE763" s="455"/>
      <c r="AF763" s="454"/>
      <c r="AG763" s="455"/>
    </row>
    <row r="764" spans="1:33" x14ac:dyDescent="0.2">
      <c r="A764" s="415">
        <f t="shared" si="23"/>
        <v>1407</v>
      </c>
      <c r="B764" s="416" t="str">
        <f t="shared" si="24"/>
        <v>Winter</v>
      </c>
      <c r="C764" s="453"/>
      <c r="D764" s="454"/>
      <c r="E764" s="455"/>
      <c r="F764" s="454"/>
      <c r="G764" s="455"/>
      <c r="H764" s="454"/>
      <c r="I764" s="455"/>
      <c r="J764" s="454"/>
      <c r="K764" s="455"/>
      <c r="L764" s="454"/>
      <c r="M764" s="455"/>
      <c r="N764" s="454"/>
      <c r="O764" s="455"/>
      <c r="P764" s="454"/>
      <c r="Q764" s="455"/>
      <c r="R764" s="454"/>
      <c r="S764" s="455"/>
      <c r="T764" s="454"/>
      <c r="U764" s="455"/>
      <c r="V764" s="454"/>
      <c r="W764" s="455"/>
      <c r="X764" s="454"/>
      <c r="Y764" s="455"/>
      <c r="Z764" s="454"/>
      <c r="AA764" s="455"/>
      <c r="AB764" s="454"/>
      <c r="AC764" s="455"/>
      <c r="AD764" s="454"/>
      <c r="AE764" s="455"/>
      <c r="AF764" s="454"/>
      <c r="AG764" s="455"/>
    </row>
    <row r="765" spans="1:33" x14ac:dyDescent="0.2">
      <c r="A765" s="415">
        <f t="shared" si="23"/>
        <v>1407</v>
      </c>
      <c r="B765" s="416" t="str">
        <f t="shared" si="24"/>
        <v>Spring</v>
      </c>
      <c r="C765" s="453"/>
      <c r="D765" s="454"/>
      <c r="E765" s="455"/>
      <c r="F765" s="454"/>
      <c r="G765" s="455"/>
      <c r="H765" s="454"/>
      <c r="I765" s="455"/>
      <c r="J765" s="454"/>
      <c r="K765" s="455"/>
      <c r="L765" s="454"/>
      <c r="M765" s="455"/>
      <c r="N765" s="454"/>
      <c r="O765" s="455"/>
      <c r="P765" s="454"/>
      <c r="Q765" s="455"/>
      <c r="R765" s="454"/>
      <c r="S765" s="455"/>
      <c r="T765" s="454"/>
      <c r="U765" s="455"/>
      <c r="V765" s="454"/>
      <c r="W765" s="455"/>
      <c r="X765" s="454"/>
      <c r="Y765" s="455"/>
      <c r="Z765" s="454"/>
      <c r="AA765" s="455"/>
      <c r="AB765" s="454"/>
      <c r="AC765" s="455"/>
      <c r="AD765" s="454"/>
      <c r="AE765" s="455"/>
      <c r="AF765" s="454"/>
      <c r="AG765" s="455"/>
    </row>
    <row r="766" spans="1:33" x14ac:dyDescent="0.2">
      <c r="A766" s="415">
        <f t="shared" si="23"/>
        <v>1407</v>
      </c>
      <c r="B766" s="416" t="str">
        <f t="shared" si="24"/>
        <v>Summer</v>
      </c>
      <c r="C766" s="453"/>
      <c r="D766" s="454"/>
      <c r="E766" s="455"/>
      <c r="F766" s="454"/>
      <c r="G766" s="455"/>
      <c r="H766" s="454"/>
      <c r="I766" s="455"/>
      <c r="J766" s="454"/>
      <c r="K766" s="455"/>
      <c r="L766" s="454"/>
      <c r="M766" s="455"/>
      <c r="N766" s="454"/>
      <c r="O766" s="455"/>
      <c r="P766" s="454"/>
      <c r="Q766" s="455"/>
      <c r="R766" s="454"/>
      <c r="S766" s="455"/>
      <c r="T766" s="454"/>
      <c r="U766" s="455"/>
      <c r="V766" s="454"/>
      <c r="W766" s="455"/>
      <c r="X766" s="454"/>
      <c r="Y766" s="455"/>
      <c r="Z766" s="454"/>
      <c r="AA766" s="455"/>
      <c r="AB766" s="454"/>
      <c r="AC766" s="455"/>
      <c r="AD766" s="454"/>
      <c r="AE766" s="455"/>
      <c r="AF766" s="454"/>
      <c r="AG766" s="455"/>
    </row>
    <row r="767" spans="1:33" x14ac:dyDescent="0.2">
      <c r="A767" s="415">
        <f t="shared" si="23"/>
        <v>1407</v>
      </c>
      <c r="B767" s="416" t="str">
        <f t="shared" si="24"/>
        <v>Autumn</v>
      </c>
      <c r="C767" s="453"/>
      <c r="D767" s="454"/>
      <c r="E767" s="455"/>
      <c r="F767" s="454"/>
      <c r="G767" s="455"/>
      <c r="H767" s="454"/>
      <c r="I767" s="455"/>
      <c r="J767" s="454"/>
      <c r="K767" s="455"/>
      <c r="L767" s="454"/>
      <c r="M767" s="455"/>
      <c r="N767" s="454"/>
      <c r="O767" s="455"/>
      <c r="P767" s="454"/>
      <c r="Q767" s="455"/>
      <c r="R767" s="454"/>
      <c r="S767" s="455"/>
      <c r="T767" s="454"/>
      <c r="U767" s="455"/>
      <c r="V767" s="454"/>
      <c r="W767" s="455"/>
      <c r="X767" s="454"/>
      <c r="Y767" s="455"/>
      <c r="Z767" s="454"/>
      <c r="AA767" s="455"/>
      <c r="AB767" s="454"/>
      <c r="AC767" s="455"/>
      <c r="AD767" s="454"/>
      <c r="AE767" s="455"/>
      <c r="AF767" s="454"/>
      <c r="AG767" s="455"/>
    </row>
    <row r="768" spans="1:33" x14ac:dyDescent="0.2">
      <c r="A768" s="415">
        <f t="shared" si="23"/>
        <v>1408</v>
      </c>
      <c r="B768" s="416" t="str">
        <f t="shared" si="24"/>
        <v>Winter</v>
      </c>
      <c r="C768" s="453"/>
      <c r="D768" s="454"/>
      <c r="E768" s="455"/>
      <c r="F768" s="454"/>
      <c r="G768" s="455"/>
      <c r="H768" s="454"/>
      <c r="I768" s="455"/>
      <c r="J768" s="454"/>
      <c r="K768" s="455"/>
      <c r="L768" s="454"/>
      <c r="M768" s="455"/>
      <c r="N768" s="454"/>
      <c r="O768" s="455"/>
      <c r="P768" s="454"/>
      <c r="Q768" s="455"/>
      <c r="R768" s="454"/>
      <c r="S768" s="455"/>
      <c r="T768" s="454"/>
      <c r="U768" s="455"/>
      <c r="V768" s="454"/>
      <c r="W768" s="455"/>
      <c r="X768" s="454"/>
      <c r="Y768" s="455"/>
      <c r="Z768" s="454"/>
      <c r="AA768" s="455"/>
      <c r="AB768" s="454"/>
      <c r="AC768" s="455"/>
      <c r="AD768" s="454"/>
      <c r="AE768" s="455"/>
      <c r="AF768" s="454"/>
      <c r="AG768" s="455"/>
    </row>
    <row r="769" spans="1:33" x14ac:dyDescent="0.2">
      <c r="A769" s="415">
        <f t="shared" si="23"/>
        <v>1408</v>
      </c>
      <c r="B769" s="416" t="str">
        <f t="shared" si="24"/>
        <v>Spring</v>
      </c>
      <c r="C769" s="453"/>
      <c r="D769" s="454"/>
      <c r="E769" s="455"/>
      <c r="F769" s="454"/>
      <c r="G769" s="455"/>
      <c r="H769" s="454"/>
      <c r="I769" s="455"/>
      <c r="J769" s="454"/>
      <c r="K769" s="455"/>
      <c r="L769" s="454"/>
      <c r="M769" s="455"/>
      <c r="N769" s="454"/>
      <c r="O769" s="455"/>
      <c r="P769" s="454"/>
      <c r="Q769" s="455"/>
      <c r="R769" s="454"/>
      <c r="S769" s="455"/>
      <c r="T769" s="454"/>
      <c r="U769" s="455"/>
      <c r="V769" s="454"/>
      <c r="W769" s="455"/>
      <c r="X769" s="454"/>
      <c r="Y769" s="455"/>
      <c r="Z769" s="454"/>
      <c r="AA769" s="455"/>
      <c r="AB769" s="454"/>
      <c r="AC769" s="455"/>
      <c r="AD769" s="454"/>
      <c r="AE769" s="455"/>
      <c r="AF769" s="454"/>
      <c r="AG769" s="455"/>
    </row>
    <row r="770" spans="1:33" x14ac:dyDescent="0.2">
      <c r="A770" s="415">
        <f t="shared" si="23"/>
        <v>1408</v>
      </c>
      <c r="B770" s="416" t="str">
        <f t="shared" si="24"/>
        <v>Summer</v>
      </c>
      <c r="C770" s="453"/>
      <c r="D770" s="454"/>
      <c r="E770" s="455"/>
      <c r="F770" s="454"/>
      <c r="G770" s="455"/>
      <c r="H770" s="454"/>
      <c r="I770" s="455"/>
      <c r="J770" s="454"/>
      <c r="K770" s="455"/>
      <c r="L770" s="454"/>
      <c r="M770" s="455"/>
      <c r="N770" s="454"/>
      <c r="O770" s="455"/>
      <c r="P770" s="454"/>
      <c r="Q770" s="455"/>
      <c r="R770" s="454"/>
      <c r="S770" s="455"/>
      <c r="T770" s="454"/>
      <c r="U770" s="455"/>
      <c r="V770" s="454"/>
      <c r="W770" s="455"/>
      <c r="X770" s="454"/>
      <c r="Y770" s="455"/>
      <c r="Z770" s="454"/>
      <c r="AA770" s="455"/>
      <c r="AB770" s="454"/>
      <c r="AC770" s="455"/>
      <c r="AD770" s="454"/>
      <c r="AE770" s="455"/>
      <c r="AF770" s="454"/>
      <c r="AG770" s="455"/>
    </row>
    <row r="771" spans="1:33" x14ac:dyDescent="0.2">
      <c r="A771" s="415">
        <f t="shared" si="23"/>
        <v>1408</v>
      </c>
      <c r="B771" s="416" t="str">
        <f t="shared" si="24"/>
        <v>Autumn</v>
      </c>
      <c r="C771" s="453"/>
      <c r="D771" s="454"/>
      <c r="E771" s="455"/>
      <c r="F771" s="454"/>
      <c r="G771" s="455"/>
      <c r="H771" s="454"/>
      <c r="I771" s="455"/>
      <c r="J771" s="454"/>
      <c r="K771" s="455"/>
      <c r="L771" s="454"/>
      <c r="M771" s="455"/>
      <c r="N771" s="454"/>
      <c r="O771" s="455"/>
      <c r="P771" s="454"/>
      <c r="Q771" s="455"/>
      <c r="R771" s="454"/>
      <c r="S771" s="455"/>
      <c r="T771" s="454"/>
      <c r="U771" s="455"/>
      <c r="V771" s="454"/>
      <c r="W771" s="455"/>
      <c r="X771" s="454"/>
      <c r="Y771" s="455"/>
      <c r="Z771" s="454"/>
      <c r="AA771" s="455"/>
      <c r="AB771" s="454"/>
      <c r="AC771" s="455"/>
      <c r="AD771" s="454"/>
      <c r="AE771" s="455"/>
      <c r="AF771" s="454"/>
      <c r="AG771" s="455"/>
    </row>
    <row r="772" spans="1:33" x14ac:dyDescent="0.2">
      <c r="A772" s="415">
        <f t="shared" si="23"/>
        <v>1409</v>
      </c>
      <c r="B772" s="416" t="str">
        <f t="shared" si="24"/>
        <v>Winter</v>
      </c>
      <c r="C772" s="453"/>
      <c r="D772" s="454"/>
      <c r="E772" s="455"/>
      <c r="F772" s="454"/>
      <c r="G772" s="455"/>
      <c r="H772" s="454"/>
      <c r="I772" s="455"/>
      <c r="J772" s="454"/>
      <c r="K772" s="455"/>
      <c r="L772" s="454"/>
      <c r="M772" s="455"/>
      <c r="N772" s="454"/>
      <c r="O772" s="455"/>
      <c r="P772" s="454"/>
      <c r="Q772" s="455"/>
      <c r="R772" s="454"/>
      <c r="S772" s="455"/>
      <c r="T772" s="454"/>
      <c r="U772" s="455"/>
      <c r="V772" s="454"/>
      <c r="W772" s="455"/>
      <c r="X772" s="454"/>
      <c r="Y772" s="455"/>
      <c r="Z772" s="454"/>
      <c r="AA772" s="455"/>
      <c r="AB772" s="454"/>
      <c r="AC772" s="455"/>
      <c r="AD772" s="454"/>
      <c r="AE772" s="455"/>
      <c r="AF772" s="454"/>
      <c r="AG772" s="455"/>
    </row>
    <row r="773" spans="1:33" x14ac:dyDescent="0.2">
      <c r="A773" s="415">
        <f t="shared" ref="A773:A836" si="25">IF(B772="Autumn",A772+1,A772)</f>
        <v>1409</v>
      </c>
      <c r="B773" s="416" t="str">
        <f t="shared" si="24"/>
        <v>Spring</v>
      </c>
      <c r="C773" s="453"/>
      <c r="D773" s="454"/>
      <c r="E773" s="455"/>
      <c r="F773" s="454"/>
      <c r="G773" s="455"/>
      <c r="H773" s="454"/>
      <c r="I773" s="455"/>
      <c r="J773" s="454"/>
      <c r="K773" s="455"/>
      <c r="L773" s="454"/>
      <c r="M773" s="455"/>
      <c r="N773" s="454"/>
      <c r="O773" s="455"/>
      <c r="P773" s="454"/>
      <c r="Q773" s="455"/>
      <c r="R773" s="454"/>
      <c r="S773" s="455"/>
      <c r="T773" s="454"/>
      <c r="U773" s="455"/>
      <c r="V773" s="454"/>
      <c r="W773" s="455"/>
      <c r="X773" s="454"/>
      <c r="Y773" s="455"/>
      <c r="Z773" s="454"/>
      <c r="AA773" s="455"/>
      <c r="AB773" s="454"/>
      <c r="AC773" s="455"/>
      <c r="AD773" s="454"/>
      <c r="AE773" s="455"/>
      <c r="AF773" s="454"/>
      <c r="AG773" s="455"/>
    </row>
    <row r="774" spans="1:33" x14ac:dyDescent="0.2">
      <c r="A774" s="415">
        <f t="shared" si="25"/>
        <v>1409</v>
      </c>
      <c r="B774" s="416" t="str">
        <f t="shared" si="24"/>
        <v>Summer</v>
      </c>
      <c r="C774" s="453"/>
      <c r="D774" s="454"/>
      <c r="E774" s="455"/>
      <c r="F774" s="454"/>
      <c r="G774" s="455"/>
      <c r="H774" s="454"/>
      <c r="I774" s="455"/>
      <c r="J774" s="454"/>
      <c r="K774" s="455"/>
      <c r="L774" s="454"/>
      <c r="M774" s="455"/>
      <c r="N774" s="454"/>
      <c r="O774" s="455"/>
      <c r="P774" s="454"/>
      <c r="Q774" s="455"/>
      <c r="R774" s="454"/>
      <c r="S774" s="455"/>
      <c r="T774" s="454"/>
      <c r="U774" s="455"/>
      <c r="V774" s="454"/>
      <c r="W774" s="455"/>
      <c r="X774" s="454"/>
      <c r="Y774" s="455"/>
      <c r="Z774" s="454"/>
      <c r="AA774" s="455"/>
      <c r="AB774" s="454"/>
      <c r="AC774" s="455"/>
      <c r="AD774" s="454"/>
      <c r="AE774" s="455"/>
      <c r="AF774" s="454"/>
      <c r="AG774" s="455"/>
    </row>
    <row r="775" spans="1:33" x14ac:dyDescent="0.2">
      <c r="A775" s="415">
        <f t="shared" si="25"/>
        <v>1409</v>
      </c>
      <c r="B775" s="416" t="str">
        <f t="shared" si="24"/>
        <v>Autumn</v>
      </c>
      <c r="C775" s="453"/>
      <c r="D775" s="454"/>
      <c r="E775" s="455"/>
      <c r="F775" s="454"/>
      <c r="G775" s="455"/>
      <c r="H775" s="454"/>
      <c r="I775" s="455"/>
      <c r="J775" s="454"/>
      <c r="K775" s="455"/>
      <c r="L775" s="454"/>
      <c r="M775" s="455"/>
      <c r="N775" s="454"/>
      <c r="O775" s="455"/>
      <c r="P775" s="454"/>
      <c r="Q775" s="455"/>
      <c r="R775" s="454"/>
      <c r="S775" s="455"/>
      <c r="T775" s="454"/>
      <c r="U775" s="455"/>
      <c r="V775" s="454"/>
      <c r="W775" s="455"/>
      <c r="X775" s="454"/>
      <c r="Y775" s="455"/>
      <c r="Z775" s="454"/>
      <c r="AA775" s="455"/>
      <c r="AB775" s="454"/>
      <c r="AC775" s="455"/>
      <c r="AD775" s="454"/>
      <c r="AE775" s="455"/>
      <c r="AF775" s="454"/>
      <c r="AG775" s="455"/>
    </row>
    <row r="776" spans="1:33" x14ac:dyDescent="0.2">
      <c r="A776" s="415">
        <f t="shared" si="25"/>
        <v>1410</v>
      </c>
      <c r="B776" s="416" t="str">
        <f t="shared" si="24"/>
        <v>Winter</v>
      </c>
      <c r="C776" s="453"/>
      <c r="D776" s="454"/>
      <c r="E776" s="455"/>
      <c r="F776" s="454"/>
      <c r="G776" s="455"/>
      <c r="H776" s="454"/>
      <c r="I776" s="455"/>
      <c r="J776" s="454"/>
      <c r="K776" s="455"/>
      <c r="L776" s="454"/>
      <c r="M776" s="455"/>
      <c r="N776" s="454"/>
      <c r="O776" s="455"/>
      <c r="P776" s="454"/>
      <c r="Q776" s="455"/>
      <c r="R776" s="454"/>
      <c r="S776" s="455"/>
      <c r="T776" s="454"/>
      <c r="U776" s="455"/>
      <c r="V776" s="454"/>
      <c r="W776" s="455"/>
      <c r="X776" s="454"/>
      <c r="Y776" s="455"/>
      <c r="Z776" s="454"/>
      <c r="AA776" s="455"/>
      <c r="AB776" s="454"/>
      <c r="AC776" s="455"/>
      <c r="AD776" s="454"/>
      <c r="AE776" s="455"/>
      <c r="AF776" s="454"/>
      <c r="AG776" s="455"/>
    </row>
    <row r="777" spans="1:33" x14ac:dyDescent="0.2">
      <c r="A777" s="415">
        <f t="shared" si="25"/>
        <v>1410</v>
      </c>
      <c r="B777" s="416" t="str">
        <f t="shared" si="24"/>
        <v>Spring</v>
      </c>
      <c r="C777" s="453"/>
      <c r="D777" s="454"/>
      <c r="E777" s="455"/>
      <c r="F777" s="454"/>
      <c r="G777" s="455"/>
      <c r="H777" s="454"/>
      <c r="I777" s="455"/>
      <c r="J777" s="454"/>
      <c r="K777" s="455"/>
      <c r="L777" s="454"/>
      <c r="M777" s="455"/>
      <c r="N777" s="454"/>
      <c r="O777" s="455"/>
      <c r="P777" s="454"/>
      <c r="Q777" s="455"/>
      <c r="R777" s="454"/>
      <c r="S777" s="455"/>
      <c r="T777" s="454"/>
      <c r="U777" s="455"/>
      <c r="V777" s="454"/>
      <c r="W777" s="455"/>
      <c r="X777" s="454"/>
      <c r="Y777" s="455"/>
      <c r="Z777" s="454"/>
      <c r="AA777" s="455"/>
      <c r="AB777" s="454"/>
      <c r="AC777" s="455"/>
      <c r="AD777" s="454"/>
      <c r="AE777" s="455"/>
      <c r="AF777" s="454"/>
      <c r="AG777" s="455"/>
    </row>
    <row r="778" spans="1:33" x14ac:dyDescent="0.2">
      <c r="A778" s="415">
        <f t="shared" si="25"/>
        <v>1410</v>
      </c>
      <c r="B778" s="416" t="str">
        <f t="shared" si="24"/>
        <v>Summer</v>
      </c>
      <c r="C778" s="453"/>
      <c r="D778" s="454"/>
      <c r="E778" s="455"/>
      <c r="F778" s="454"/>
      <c r="G778" s="455"/>
      <c r="H778" s="454"/>
      <c r="I778" s="455"/>
      <c r="J778" s="454"/>
      <c r="K778" s="455"/>
      <c r="L778" s="454"/>
      <c r="M778" s="455"/>
      <c r="N778" s="454"/>
      <c r="O778" s="455"/>
      <c r="P778" s="454"/>
      <c r="Q778" s="455"/>
      <c r="R778" s="454"/>
      <c r="S778" s="455"/>
      <c r="T778" s="454"/>
      <c r="U778" s="455"/>
      <c r="V778" s="454"/>
      <c r="W778" s="455"/>
      <c r="X778" s="454"/>
      <c r="Y778" s="455"/>
      <c r="Z778" s="454"/>
      <c r="AA778" s="455"/>
      <c r="AB778" s="454"/>
      <c r="AC778" s="455"/>
      <c r="AD778" s="454"/>
      <c r="AE778" s="455"/>
      <c r="AF778" s="454"/>
      <c r="AG778" s="455"/>
    </row>
    <row r="779" spans="1:33" x14ac:dyDescent="0.2">
      <c r="A779" s="415">
        <f t="shared" si="25"/>
        <v>1410</v>
      </c>
      <c r="B779" s="416" t="str">
        <f t="shared" si="24"/>
        <v>Autumn</v>
      </c>
      <c r="C779" s="453"/>
      <c r="D779" s="454"/>
      <c r="E779" s="455"/>
      <c r="F779" s="454"/>
      <c r="G779" s="455"/>
      <c r="H779" s="454"/>
      <c r="I779" s="455"/>
      <c r="J779" s="454"/>
      <c r="K779" s="455"/>
      <c r="L779" s="454"/>
      <c r="M779" s="455"/>
      <c r="N779" s="454"/>
      <c r="O779" s="455"/>
      <c r="P779" s="454"/>
      <c r="Q779" s="455"/>
      <c r="R779" s="454"/>
      <c r="S779" s="455"/>
      <c r="T779" s="454"/>
      <c r="U779" s="455"/>
      <c r="V779" s="454"/>
      <c r="W779" s="455"/>
      <c r="X779" s="454"/>
      <c r="Y779" s="455"/>
      <c r="Z779" s="454"/>
      <c r="AA779" s="455"/>
      <c r="AB779" s="454"/>
      <c r="AC779" s="455"/>
      <c r="AD779" s="454"/>
      <c r="AE779" s="455"/>
      <c r="AF779" s="454"/>
      <c r="AG779" s="455"/>
    </row>
    <row r="780" spans="1:33" x14ac:dyDescent="0.2">
      <c r="A780" s="415">
        <f t="shared" si="25"/>
        <v>1411</v>
      </c>
      <c r="B780" s="416" t="str">
        <f t="shared" si="24"/>
        <v>Winter</v>
      </c>
      <c r="C780" s="453"/>
      <c r="D780" s="454"/>
      <c r="E780" s="455"/>
      <c r="F780" s="454"/>
      <c r="G780" s="455"/>
      <c r="H780" s="454"/>
      <c r="I780" s="455"/>
      <c r="J780" s="454"/>
      <c r="K780" s="455"/>
      <c r="L780" s="454"/>
      <c r="M780" s="455"/>
      <c r="N780" s="454"/>
      <c r="O780" s="455"/>
      <c r="P780" s="454"/>
      <c r="Q780" s="455"/>
      <c r="R780" s="454"/>
      <c r="S780" s="455"/>
      <c r="T780" s="454"/>
      <c r="U780" s="455"/>
      <c r="V780" s="454"/>
      <c r="W780" s="455"/>
      <c r="X780" s="454"/>
      <c r="Y780" s="455"/>
      <c r="Z780" s="454"/>
      <c r="AA780" s="455"/>
      <c r="AB780" s="454"/>
      <c r="AC780" s="455"/>
      <c r="AD780" s="454"/>
      <c r="AE780" s="455"/>
      <c r="AF780" s="454"/>
      <c r="AG780" s="455"/>
    </row>
    <row r="781" spans="1:33" x14ac:dyDescent="0.2">
      <c r="A781" s="415">
        <f t="shared" si="25"/>
        <v>1411</v>
      </c>
      <c r="B781" s="416" t="str">
        <f t="shared" si="24"/>
        <v>Spring</v>
      </c>
      <c r="C781" s="453"/>
      <c r="D781" s="454"/>
      <c r="E781" s="455"/>
      <c r="F781" s="454"/>
      <c r="G781" s="455"/>
      <c r="H781" s="454"/>
      <c r="I781" s="455"/>
      <c r="J781" s="454"/>
      <c r="K781" s="455"/>
      <c r="L781" s="454"/>
      <c r="M781" s="455"/>
      <c r="N781" s="454"/>
      <c r="O781" s="455"/>
      <c r="P781" s="454"/>
      <c r="Q781" s="455"/>
      <c r="R781" s="454"/>
      <c r="S781" s="455"/>
      <c r="T781" s="454"/>
      <c r="U781" s="455"/>
      <c r="V781" s="454"/>
      <c r="W781" s="455"/>
      <c r="X781" s="454"/>
      <c r="Y781" s="455"/>
      <c r="Z781" s="454"/>
      <c r="AA781" s="455"/>
      <c r="AB781" s="454"/>
      <c r="AC781" s="455"/>
      <c r="AD781" s="454"/>
      <c r="AE781" s="455"/>
      <c r="AF781" s="454"/>
      <c r="AG781" s="455"/>
    </row>
    <row r="782" spans="1:33" x14ac:dyDescent="0.2">
      <c r="A782" s="415">
        <f t="shared" si="25"/>
        <v>1411</v>
      </c>
      <c r="B782" s="416" t="str">
        <f t="shared" si="24"/>
        <v>Summer</v>
      </c>
      <c r="C782" s="453"/>
      <c r="D782" s="454"/>
      <c r="E782" s="455"/>
      <c r="F782" s="454"/>
      <c r="G782" s="455"/>
      <c r="H782" s="454"/>
      <c r="I782" s="455"/>
      <c r="J782" s="454"/>
      <c r="K782" s="455"/>
      <c r="L782" s="454"/>
      <c r="M782" s="455"/>
      <c r="N782" s="454"/>
      <c r="O782" s="455"/>
      <c r="P782" s="454"/>
      <c r="Q782" s="455"/>
      <c r="R782" s="454"/>
      <c r="S782" s="455"/>
      <c r="T782" s="454"/>
      <c r="U782" s="455"/>
      <c r="V782" s="454"/>
      <c r="W782" s="455"/>
      <c r="X782" s="454"/>
      <c r="Y782" s="455"/>
      <c r="Z782" s="454"/>
      <c r="AA782" s="455"/>
      <c r="AB782" s="454"/>
      <c r="AC782" s="455"/>
      <c r="AD782" s="454"/>
      <c r="AE782" s="455"/>
      <c r="AF782" s="454"/>
      <c r="AG782" s="455"/>
    </row>
    <row r="783" spans="1:33" x14ac:dyDescent="0.2">
      <c r="A783" s="415">
        <f t="shared" si="25"/>
        <v>1411</v>
      </c>
      <c r="B783" s="416" t="str">
        <f t="shared" si="24"/>
        <v>Autumn</v>
      </c>
      <c r="C783" s="453"/>
      <c r="D783" s="454"/>
      <c r="E783" s="455"/>
      <c r="F783" s="454"/>
      <c r="G783" s="455"/>
      <c r="H783" s="454"/>
      <c r="I783" s="455"/>
      <c r="J783" s="454"/>
      <c r="K783" s="455"/>
      <c r="L783" s="454"/>
      <c r="M783" s="455"/>
      <c r="N783" s="454"/>
      <c r="O783" s="455"/>
      <c r="P783" s="454"/>
      <c r="Q783" s="455"/>
      <c r="R783" s="454"/>
      <c r="S783" s="455"/>
      <c r="T783" s="454"/>
      <c r="U783" s="455"/>
      <c r="V783" s="454"/>
      <c r="W783" s="455"/>
      <c r="X783" s="454"/>
      <c r="Y783" s="455"/>
      <c r="Z783" s="454"/>
      <c r="AA783" s="455"/>
      <c r="AB783" s="454"/>
      <c r="AC783" s="455"/>
      <c r="AD783" s="454"/>
      <c r="AE783" s="455"/>
      <c r="AF783" s="454"/>
      <c r="AG783" s="455"/>
    </row>
    <row r="784" spans="1:33" x14ac:dyDescent="0.2">
      <c r="A784" s="415">
        <f t="shared" si="25"/>
        <v>1412</v>
      </c>
      <c r="B784" s="416" t="str">
        <f t="shared" si="24"/>
        <v>Winter</v>
      </c>
      <c r="C784" s="453"/>
      <c r="D784" s="454"/>
      <c r="E784" s="455"/>
      <c r="F784" s="454"/>
      <c r="G784" s="455"/>
      <c r="H784" s="454"/>
      <c r="I784" s="455"/>
      <c r="J784" s="454"/>
      <c r="K784" s="455"/>
      <c r="L784" s="454"/>
      <c r="M784" s="455"/>
      <c r="N784" s="454"/>
      <c r="O784" s="455"/>
      <c r="P784" s="454"/>
      <c r="Q784" s="455"/>
      <c r="R784" s="454"/>
      <c r="S784" s="455"/>
      <c r="T784" s="454"/>
      <c r="U784" s="455"/>
      <c r="V784" s="454"/>
      <c r="W784" s="455"/>
      <c r="X784" s="454"/>
      <c r="Y784" s="455"/>
      <c r="Z784" s="454"/>
      <c r="AA784" s="455"/>
      <c r="AB784" s="454"/>
      <c r="AC784" s="455"/>
      <c r="AD784" s="454"/>
      <c r="AE784" s="455"/>
      <c r="AF784" s="454"/>
      <c r="AG784" s="455"/>
    </row>
    <row r="785" spans="1:33" x14ac:dyDescent="0.2">
      <c r="A785" s="415">
        <f t="shared" si="25"/>
        <v>1412</v>
      </c>
      <c r="B785" s="416" t="str">
        <f t="shared" si="24"/>
        <v>Spring</v>
      </c>
      <c r="C785" s="453"/>
      <c r="D785" s="454"/>
      <c r="E785" s="455"/>
      <c r="F785" s="454"/>
      <c r="G785" s="455"/>
      <c r="H785" s="454"/>
      <c r="I785" s="455"/>
      <c r="J785" s="454"/>
      <c r="K785" s="455"/>
      <c r="L785" s="454"/>
      <c r="M785" s="455"/>
      <c r="N785" s="454"/>
      <c r="O785" s="455"/>
      <c r="P785" s="454"/>
      <c r="Q785" s="455"/>
      <c r="R785" s="454"/>
      <c r="S785" s="455"/>
      <c r="T785" s="454"/>
      <c r="U785" s="455"/>
      <c r="V785" s="454"/>
      <c r="W785" s="455"/>
      <c r="X785" s="454"/>
      <c r="Y785" s="455"/>
      <c r="Z785" s="454"/>
      <c r="AA785" s="455"/>
      <c r="AB785" s="454"/>
      <c r="AC785" s="455"/>
      <c r="AD785" s="454"/>
      <c r="AE785" s="455"/>
      <c r="AF785" s="454"/>
      <c r="AG785" s="455"/>
    </row>
    <row r="786" spans="1:33" x14ac:dyDescent="0.2">
      <c r="A786" s="415">
        <f t="shared" si="25"/>
        <v>1412</v>
      </c>
      <c r="B786" s="416" t="str">
        <f t="shared" si="24"/>
        <v>Summer</v>
      </c>
      <c r="C786" s="453"/>
      <c r="D786" s="454"/>
      <c r="E786" s="455"/>
      <c r="F786" s="454"/>
      <c r="G786" s="455"/>
      <c r="H786" s="454"/>
      <c r="I786" s="455"/>
      <c r="J786" s="454"/>
      <c r="K786" s="455"/>
      <c r="L786" s="454"/>
      <c r="M786" s="455"/>
      <c r="N786" s="454"/>
      <c r="O786" s="455"/>
      <c r="P786" s="454"/>
      <c r="Q786" s="455"/>
      <c r="R786" s="454"/>
      <c r="S786" s="455"/>
      <c r="T786" s="454"/>
      <c r="U786" s="455"/>
      <c r="V786" s="454"/>
      <c r="W786" s="455"/>
      <c r="X786" s="454"/>
      <c r="Y786" s="455"/>
      <c r="Z786" s="454"/>
      <c r="AA786" s="455"/>
      <c r="AB786" s="454"/>
      <c r="AC786" s="455"/>
      <c r="AD786" s="454"/>
      <c r="AE786" s="455"/>
      <c r="AF786" s="454"/>
      <c r="AG786" s="455"/>
    </row>
    <row r="787" spans="1:33" x14ac:dyDescent="0.2">
      <c r="A787" s="415">
        <f t="shared" si="25"/>
        <v>1412</v>
      </c>
      <c r="B787" s="416" t="str">
        <f t="shared" si="24"/>
        <v>Autumn</v>
      </c>
      <c r="C787" s="453"/>
      <c r="D787" s="454"/>
      <c r="E787" s="455"/>
      <c r="F787" s="454"/>
      <c r="G787" s="455"/>
      <c r="H787" s="454"/>
      <c r="I787" s="455"/>
      <c r="J787" s="454"/>
      <c r="K787" s="455"/>
      <c r="L787" s="454"/>
      <c r="M787" s="455"/>
      <c r="N787" s="454"/>
      <c r="O787" s="455"/>
      <c r="P787" s="454"/>
      <c r="Q787" s="455"/>
      <c r="R787" s="454"/>
      <c r="S787" s="455"/>
      <c r="T787" s="454"/>
      <c r="U787" s="455"/>
      <c r="V787" s="454"/>
      <c r="W787" s="455"/>
      <c r="X787" s="454"/>
      <c r="Y787" s="455"/>
      <c r="Z787" s="454"/>
      <c r="AA787" s="455"/>
      <c r="AB787" s="454"/>
      <c r="AC787" s="455"/>
      <c r="AD787" s="454"/>
      <c r="AE787" s="455"/>
      <c r="AF787" s="454"/>
      <c r="AG787" s="455"/>
    </row>
    <row r="788" spans="1:33" x14ac:dyDescent="0.2">
      <c r="A788" s="415">
        <f t="shared" si="25"/>
        <v>1413</v>
      </c>
      <c r="B788" s="416" t="str">
        <f t="shared" si="24"/>
        <v>Winter</v>
      </c>
      <c r="C788" s="453"/>
      <c r="D788" s="454"/>
      <c r="E788" s="455"/>
      <c r="F788" s="454"/>
      <c r="G788" s="455"/>
      <c r="H788" s="454"/>
      <c r="I788" s="455"/>
      <c r="J788" s="454"/>
      <c r="K788" s="455"/>
      <c r="L788" s="454"/>
      <c r="M788" s="455"/>
      <c r="N788" s="454"/>
      <c r="O788" s="455"/>
      <c r="P788" s="454"/>
      <c r="Q788" s="455"/>
      <c r="R788" s="454"/>
      <c r="S788" s="455"/>
      <c r="T788" s="454"/>
      <c r="U788" s="455"/>
      <c r="V788" s="454"/>
      <c r="W788" s="455"/>
      <c r="X788" s="454"/>
      <c r="Y788" s="455"/>
      <c r="Z788" s="454"/>
      <c r="AA788" s="455"/>
      <c r="AB788" s="454"/>
      <c r="AC788" s="455"/>
      <c r="AD788" s="454"/>
      <c r="AE788" s="455"/>
      <c r="AF788" s="454"/>
      <c r="AG788" s="455"/>
    </row>
    <row r="789" spans="1:33" x14ac:dyDescent="0.2">
      <c r="A789" s="415">
        <f t="shared" si="25"/>
        <v>1413</v>
      </c>
      <c r="B789" s="416" t="str">
        <f t="shared" si="24"/>
        <v>Spring</v>
      </c>
      <c r="C789" s="453"/>
      <c r="D789" s="454"/>
      <c r="E789" s="455"/>
      <c r="F789" s="454"/>
      <c r="G789" s="455"/>
      <c r="H789" s="454"/>
      <c r="I789" s="455"/>
      <c r="J789" s="454"/>
      <c r="K789" s="455"/>
      <c r="L789" s="454"/>
      <c r="M789" s="455"/>
      <c r="N789" s="454"/>
      <c r="O789" s="455"/>
      <c r="P789" s="454"/>
      <c r="Q789" s="455"/>
      <c r="R789" s="454"/>
      <c r="S789" s="455"/>
      <c r="T789" s="454"/>
      <c r="U789" s="455"/>
      <c r="V789" s="454"/>
      <c r="W789" s="455"/>
      <c r="X789" s="454"/>
      <c r="Y789" s="455"/>
      <c r="Z789" s="454"/>
      <c r="AA789" s="455"/>
      <c r="AB789" s="454"/>
      <c r="AC789" s="455"/>
      <c r="AD789" s="454"/>
      <c r="AE789" s="455"/>
      <c r="AF789" s="454"/>
      <c r="AG789" s="455"/>
    </row>
    <row r="790" spans="1:33" x14ac:dyDescent="0.2">
      <c r="A790" s="415">
        <f t="shared" si="25"/>
        <v>1413</v>
      </c>
      <c r="B790" s="416" t="str">
        <f t="shared" si="24"/>
        <v>Summer</v>
      </c>
      <c r="C790" s="453"/>
      <c r="D790" s="454"/>
      <c r="E790" s="455"/>
      <c r="F790" s="454"/>
      <c r="G790" s="455"/>
      <c r="H790" s="454"/>
      <c r="I790" s="455"/>
      <c r="J790" s="454"/>
      <c r="K790" s="455"/>
      <c r="L790" s="454"/>
      <c r="M790" s="455"/>
      <c r="N790" s="454"/>
      <c r="O790" s="455"/>
      <c r="P790" s="454"/>
      <c r="Q790" s="455"/>
      <c r="R790" s="454"/>
      <c r="S790" s="455"/>
      <c r="T790" s="454"/>
      <c r="U790" s="455"/>
      <c r="V790" s="454"/>
      <c r="W790" s="455"/>
      <c r="X790" s="454"/>
      <c r="Y790" s="455"/>
      <c r="Z790" s="454"/>
      <c r="AA790" s="455"/>
      <c r="AB790" s="454"/>
      <c r="AC790" s="455"/>
      <c r="AD790" s="454"/>
      <c r="AE790" s="455"/>
      <c r="AF790" s="454"/>
      <c r="AG790" s="455"/>
    </row>
    <row r="791" spans="1:33" x14ac:dyDescent="0.2">
      <c r="A791" s="415">
        <f t="shared" si="25"/>
        <v>1413</v>
      </c>
      <c r="B791" s="416" t="str">
        <f t="shared" si="24"/>
        <v>Autumn</v>
      </c>
      <c r="C791" s="453"/>
      <c r="D791" s="454"/>
      <c r="E791" s="455"/>
      <c r="F791" s="454"/>
      <c r="G791" s="455"/>
      <c r="H791" s="454"/>
      <c r="I791" s="455"/>
      <c r="J791" s="454"/>
      <c r="K791" s="455"/>
      <c r="L791" s="454"/>
      <c r="M791" s="455"/>
      <c r="N791" s="454"/>
      <c r="O791" s="455"/>
      <c r="P791" s="454"/>
      <c r="Q791" s="455"/>
      <c r="R791" s="454"/>
      <c r="S791" s="455"/>
      <c r="T791" s="454"/>
      <c r="U791" s="455"/>
      <c r="V791" s="454"/>
      <c r="W791" s="455"/>
      <c r="X791" s="454"/>
      <c r="Y791" s="455"/>
      <c r="Z791" s="454"/>
      <c r="AA791" s="455"/>
      <c r="AB791" s="454"/>
      <c r="AC791" s="455"/>
      <c r="AD791" s="454"/>
      <c r="AE791" s="455"/>
      <c r="AF791" s="454"/>
      <c r="AG791" s="455"/>
    </row>
    <row r="792" spans="1:33" x14ac:dyDescent="0.2">
      <c r="A792" s="415">
        <f t="shared" si="25"/>
        <v>1414</v>
      </c>
      <c r="B792" s="416" t="str">
        <f t="shared" si="24"/>
        <v>Winter</v>
      </c>
      <c r="C792" s="453"/>
      <c r="D792" s="454"/>
      <c r="E792" s="455"/>
      <c r="F792" s="454"/>
      <c r="G792" s="455"/>
      <c r="H792" s="454"/>
      <c r="I792" s="455"/>
      <c r="J792" s="454"/>
      <c r="K792" s="455"/>
      <c r="L792" s="454"/>
      <c r="M792" s="455"/>
      <c r="N792" s="454"/>
      <c r="O792" s="455"/>
      <c r="P792" s="454"/>
      <c r="Q792" s="455"/>
      <c r="R792" s="454"/>
      <c r="S792" s="455"/>
      <c r="T792" s="454"/>
      <c r="U792" s="455"/>
      <c r="V792" s="454"/>
      <c r="W792" s="455"/>
      <c r="X792" s="454"/>
      <c r="Y792" s="455"/>
      <c r="Z792" s="454"/>
      <c r="AA792" s="455"/>
      <c r="AB792" s="454"/>
      <c r="AC792" s="455"/>
      <c r="AD792" s="454"/>
      <c r="AE792" s="455"/>
      <c r="AF792" s="454"/>
      <c r="AG792" s="455"/>
    </row>
    <row r="793" spans="1:33" x14ac:dyDescent="0.2">
      <c r="A793" s="415">
        <f t="shared" si="25"/>
        <v>1414</v>
      </c>
      <c r="B793" s="416" t="str">
        <f t="shared" si="24"/>
        <v>Spring</v>
      </c>
      <c r="C793" s="453"/>
      <c r="D793" s="454"/>
      <c r="E793" s="455"/>
      <c r="F793" s="454"/>
      <c r="G793" s="455"/>
      <c r="H793" s="454"/>
      <c r="I793" s="455"/>
      <c r="J793" s="454"/>
      <c r="K793" s="455"/>
      <c r="L793" s="454"/>
      <c r="M793" s="455"/>
      <c r="N793" s="454"/>
      <c r="O793" s="455"/>
      <c r="P793" s="454"/>
      <c r="Q793" s="455"/>
      <c r="R793" s="454"/>
      <c r="S793" s="455"/>
      <c r="T793" s="454"/>
      <c r="U793" s="455"/>
      <c r="V793" s="454"/>
      <c r="W793" s="455"/>
      <c r="X793" s="454"/>
      <c r="Y793" s="455"/>
      <c r="Z793" s="454"/>
      <c r="AA793" s="455"/>
      <c r="AB793" s="454"/>
      <c r="AC793" s="455"/>
      <c r="AD793" s="454"/>
      <c r="AE793" s="455"/>
      <c r="AF793" s="454"/>
      <c r="AG793" s="455"/>
    </row>
    <row r="794" spans="1:33" x14ac:dyDescent="0.2">
      <c r="A794" s="415">
        <f t="shared" si="25"/>
        <v>1414</v>
      </c>
      <c r="B794" s="416" t="str">
        <f t="shared" si="24"/>
        <v>Summer</v>
      </c>
      <c r="C794" s="453"/>
      <c r="D794" s="454"/>
      <c r="E794" s="455"/>
      <c r="F794" s="454"/>
      <c r="G794" s="455"/>
      <c r="H794" s="454"/>
      <c r="I794" s="455"/>
      <c r="J794" s="454"/>
      <c r="K794" s="455"/>
      <c r="L794" s="454"/>
      <c r="M794" s="455"/>
      <c r="N794" s="454"/>
      <c r="O794" s="455"/>
      <c r="P794" s="454"/>
      <c r="Q794" s="455"/>
      <c r="R794" s="454"/>
      <c r="S794" s="455"/>
      <c r="T794" s="454"/>
      <c r="U794" s="455"/>
      <c r="V794" s="454"/>
      <c r="W794" s="455"/>
      <c r="X794" s="454"/>
      <c r="Y794" s="455"/>
      <c r="Z794" s="454"/>
      <c r="AA794" s="455"/>
      <c r="AB794" s="454"/>
      <c r="AC794" s="455"/>
      <c r="AD794" s="454"/>
      <c r="AE794" s="455"/>
      <c r="AF794" s="454"/>
      <c r="AG794" s="455"/>
    </row>
    <row r="795" spans="1:33" x14ac:dyDescent="0.2">
      <c r="A795" s="415">
        <f t="shared" si="25"/>
        <v>1414</v>
      </c>
      <c r="B795" s="416" t="str">
        <f t="shared" si="24"/>
        <v>Autumn</v>
      </c>
      <c r="C795" s="453"/>
      <c r="D795" s="454"/>
      <c r="E795" s="455"/>
      <c r="F795" s="454"/>
      <c r="G795" s="455"/>
      <c r="H795" s="454"/>
      <c r="I795" s="455"/>
      <c r="J795" s="454"/>
      <c r="K795" s="455"/>
      <c r="L795" s="454"/>
      <c r="M795" s="455"/>
      <c r="N795" s="454"/>
      <c r="O795" s="455"/>
      <c r="P795" s="454"/>
      <c r="Q795" s="455"/>
      <c r="R795" s="454"/>
      <c r="S795" s="455"/>
      <c r="T795" s="454"/>
      <c r="U795" s="455"/>
      <c r="V795" s="454"/>
      <c r="W795" s="455"/>
      <c r="X795" s="454"/>
      <c r="Y795" s="455"/>
      <c r="Z795" s="454"/>
      <c r="AA795" s="455"/>
      <c r="AB795" s="454"/>
      <c r="AC795" s="455"/>
      <c r="AD795" s="454"/>
      <c r="AE795" s="455"/>
      <c r="AF795" s="454"/>
      <c r="AG795" s="455"/>
    </row>
    <row r="796" spans="1:33" x14ac:dyDescent="0.2">
      <c r="A796" s="415">
        <f t="shared" si="25"/>
        <v>1415</v>
      </c>
      <c r="B796" s="416" t="str">
        <f t="shared" si="24"/>
        <v>Winter</v>
      </c>
      <c r="C796" s="453"/>
      <c r="D796" s="454"/>
      <c r="E796" s="455"/>
      <c r="F796" s="454"/>
      <c r="G796" s="455"/>
      <c r="H796" s="454"/>
      <c r="I796" s="455"/>
      <c r="J796" s="454"/>
      <c r="K796" s="455"/>
      <c r="L796" s="454"/>
      <c r="M796" s="455"/>
      <c r="N796" s="454"/>
      <c r="O796" s="455"/>
      <c r="P796" s="454"/>
      <c r="Q796" s="455"/>
      <c r="R796" s="454"/>
      <c r="S796" s="455"/>
      <c r="T796" s="454"/>
      <c r="U796" s="455"/>
      <c r="V796" s="454"/>
      <c r="W796" s="455"/>
      <c r="X796" s="454"/>
      <c r="Y796" s="455"/>
      <c r="Z796" s="454"/>
      <c r="AA796" s="455"/>
      <c r="AB796" s="454"/>
      <c r="AC796" s="455"/>
      <c r="AD796" s="454"/>
      <c r="AE796" s="455"/>
      <c r="AF796" s="454"/>
      <c r="AG796" s="455"/>
    </row>
    <row r="797" spans="1:33" x14ac:dyDescent="0.2">
      <c r="A797" s="415">
        <f t="shared" si="25"/>
        <v>1415</v>
      </c>
      <c r="B797" s="416" t="str">
        <f t="shared" si="24"/>
        <v>Spring</v>
      </c>
      <c r="C797" s="453"/>
      <c r="D797" s="454"/>
      <c r="E797" s="455"/>
      <c r="F797" s="454"/>
      <c r="G797" s="455"/>
      <c r="H797" s="454"/>
      <c r="I797" s="455"/>
      <c r="J797" s="454"/>
      <c r="K797" s="455"/>
      <c r="L797" s="454"/>
      <c r="M797" s="455"/>
      <c r="N797" s="454"/>
      <c r="O797" s="455"/>
      <c r="P797" s="454"/>
      <c r="Q797" s="455"/>
      <c r="R797" s="454"/>
      <c r="S797" s="455"/>
      <c r="T797" s="454"/>
      <c r="U797" s="455"/>
      <c r="V797" s="454"/>
      <c r="W797" s="455"/>
      <c r="X797" s="454"/>
      <c r="Y797" s="455"/>
      <c r="Z797" s="454"/>
      <c r="AA797" s="455"/>
      <c r="AB797" s="454"/>
      <c r="AC797" s="455"/>
      <c r="AD797" s="454"/>
      <c r="AE797" s="455"/>
      <c r="AF797" s="454"/>
      <c r="AG797" s="455"/>
    </row>
    <row r="798" spans="1:33" x14ac:dyDescent="0.2">
      <c r="A798" s="415">
        <f t="shared" si="25"/>
        <v>1415</v>
      </c>
      <c r="B798" s="416" t="str">
        <f t="shared" si="24"/>
        <v>Summer</v>
      </c>
      <c r="C798" s="453"/>
      <c r="D798" s="454"/>
      <c r="E798" s="455"/>
      <c r="F798" s="454"/>
      <c r="G798" s="455"/>
      <c r="H798" s="454"/>
      <c r="I798" s="455"/>
      <c r="J798" s="454"/>
      <c r="K798" s="455"/>
      <c r="L798" s="454"/>
      <c r="M798" s="455"/>
      <c r="N798" s="454"/>
      <c r="O798" s="455"/>
      <c r="P798" s="454"/>
      <c r="Q798" s="455"/>
      <c r="R798" s="454"/>
      <c r="S798" s="455"/>
      <c r="T798" s="454"/>
      <c r="U798" s="455"/>
      <c r="V798" s="454"/>
      <c r="W798" s="455"/>
      <c r="X798" s="454"/>
      <c r="Y798" s="455"/>
      <c r="Z798" s="454"/>
      <c r="AA798" s="455"/>
      <c r="AB798" s="454"/>
      <c r="AC798" s="455"/>
      <c r="AD798" s="454"/>
      <c r="AE798" s="455"/>
      <c r="AF798" s="454"/>
      <c r="AG798" s="455"/>
    </row>
    <row r="799" spans="1:33" x14ac:dyDescent="0.2">
      <c r="A799" s="415">
        <f t="shared" si="25"/>
        <v>1415</v>
      </c>
      <c r="B799" s="416" t="str">
        <f t="shared" si="24"/>
        <v>Autumn</v>
      </c>
      <c r="C799" s="453"/>
      <c r="D799" s="454"/>
      <c r="E799" s="455"/>
      <c r="F799" s="454"/>
      <c r="G799" s="455"/>
      <c r="H799" s="454"/>
      <c r="I799" s="455"/>
      <c r="J799" s="454"/>
      <c r="K799" s="455"/>
      <c r="L799" s="454"/>
      <c r="M799" s="455"/>
      <c r="N799" s="454"/>
      <c r="O799" s="455"/>
      <c r="P799" s="454"/>
      <c r="Q799" s="455"/>
      <c r="R799" s="454"/>
      <c r="S799" s="455"/>
      <c r="T799" s="454"/>
      <c r="U799" s="455"/>
      <c r="V799" s="454"/>
      <c r="W799" s="455"/>
      <c r="X799" s="454"/>
      <c r="Y799" s="455"/>
      <c r="Z799" s="454"/>
      <c r="AA799" s="455"/>
      <c r="AB799" s="454"/>
      <c r="AC799" s="455"/>
      <c r="AD799" s="454"/>
      <c r="AE799" s="455"/>
      <c r="AF799" s="454"/>
      <c r="AG799" s="455"/>
    </row>
    <row r="800" spans="1:33" x14ac:dyDescent="0.2">
      <c r="A800" s="415">
        <f t="shared" si="25"/>
        <v>1416</v>
      </c>
      <c r="B800" s="416" t="str">
        <f t="shared" si="24"/>
        <v>Winter</v>
      </c>
      <c r="C800" s="453"/>
      <c r="D800" s="454"/>
      <c r="E800" s="455"/>
      <c r="F800" s="454"/>
      <c r="G800" s="455"/>
      <c r="H800" s="454"/>
      <c r="I800" s="455"/>
      <c r="J800" s="454"/>
      <c r="K800" s="455"/>
      <c r="L800" s="454"/>
      <c r="M800" s="455"/>
      <c r="N800" s="454"/>
      <c r="O800" s="455"/>
      <c r="P800" s="454"/>
      <c r="Q800" s="455"/>
      <c r="R800" s="454"/>
      <c r="S800" s="455"/>
      <c r="T800" s="454"/>
      <c r="U800" s="455"/>
      <c r="V800" s="454"/>
      <c r="W800" s="455"/>
      <c r="X800" s="454"/>
      <c r="Y800" s="455"/>
      <c r="Z800" s="454"/>
      <c r="AA800" s="455"/>
      <c r="AB800" s="454"/>
      <c r="AC800" s="455"/>
      <c r="AD800" s="454"/>
      <c r="AE800" s="455"/>
      <c r="AF800" s="454"/>
      <c r="AG800" s="455"/>
    </row>
    <row r="801" spans="1:33" x14ac:dyDescent="0.2">
      <c r="A801" s="415">
        <f t="shared" si="25"/>
        <v>1416</v>
      </c>
      <c r="B801" s="416" t="str">
        <f t="shared" si="24"/>
        <v>Spring</v>
      </c>
      <c r="C801" s="453"/>
      <c r="D801" s="454"/>
      <c r="E801" s="455"/>
      <c r="F801" s="454"/>
      <c r="G801" s="455"/>
      <c r="H801" s="454"/>
      <c r="I801" s="455"/>
      <c r="J801" s="454"/>
      <c r="K801" s="455"/>
      <c r="L801" s="454"/>
      <c r="M801" s="455"/>
      <c r="N801" s="454"/>
      <c r="O801" s="455"/>
      <c r="P801" s="454"/>
      <c r="Q801" s="455"/>
      <c r="R801" s="454"/>
      <c r="S801" s="455"/>
      <c r="T801" s="454"/>
      <c r="U801" s="455"/>
      <c r="V801" s="454"/>
      <c r="W801" s="455"/>
      <c r="X801" s="454"/>
      <c r="Y801" s="455"/>
      <c r="Z801" s="454"/>
      <c r="AA801" s="455"/>
      <c r="AB801" s="454"/>
      <c r="AC801" s="455"/>
      <c r="AD801" s="454"/>
      <c r="AE801" s="455"/>
      <c r="AF801" s="454"/>
      <c r="AG801" s="455"/>
    </row>
    <row r="802" spans="1:33" x14ac:dyDescent="0.2">
      <c r="A802" s="415">
        <f t="shared" si="25"/>
        <v>1416</v>
      </c>
      <c r="B802" s="416" t="str">
        <f t="shared" si="24"/>
        <v>Summer</v>
      </c>
      <c r="C802" s="453"/>
      <c r="D802" s="454"/>
      <c r="E802" s="455"/>
      <c r="F802" s="454"/>
      <c r="G802" s="455"/>
      <c r="H802" s="454"/>
      <c r="I802" s="455"/>
      <c r="J802" s="454"/>
      <c r="K802" s="455"/>
      <c r="L802" s="454"/>
      <c r="M802" s="455"/>
      <c r="N802" s="454"/>
      <c r="O802" s="455"/>
      <c r="P802" s="454"/>
      <c r="Q802" s="455"/>
      <c r="R802" s="454"/>
      <c r="S802" s="455"/>
      <c r="T802" s="454"/>
      <c r="U802" s="455"/>
      <c r="V802" s="454"/>
      <c r="W802" s="455"/>
      <c r="X802" s="454"/>
      <c r="Y802" s="455"/>
      <c r="Z802" s="454"/>
      <c r="AA802" s="455"/>
      <c r="AB802" s="454"/>
      <c r="AC802" s="455"/>
      <c r="AD802" s="454"/>
      <c r="AE802" s="455"/>
      <c r="AF802" s="454"/>
      <c r="AG802" s="455"/>
    </row>
    <row r="803" spans="1:33" x14ac:dyDescent="0.2">
      <c r="A803" s="415">
        <f t="shared" si="25"/>
        <v>1416</v>
      </c>
      <c r="B803" s="416" t="str">
        <f t="shared" si="24"/>
        <v>Autumn</v>
      </c>
      <c r="C803" s="453"/>
      <c r="D803" s="454"/>
      <c r="E803" s="455"/>
      <c r="F803" s="454"/>
      <c r="G803" s="455"/>
      <c r="H803" s="454"/>
      <c r="I803" s="455"/>
      <c r="J803" s="454"/>
      <c r="K803" s="455"/>
      <c r="L803" s="454"/>
      <c r="M803" s="455"/>
      <c r="N803" s="454"/>
      <c r="O803" s="455"/>
      <c r="P803" s="454"/>
      <c r="Q803" s="455"/>
      <c r="R803" s="454"/>
      <c r="S803" s="455"/>
      <c r="T803" s="454"/>
      <c r="U803" s="455"/>
      <c r="V803" s="454"/>
      <c r="W803" s="455"/>
      <c r="X803" s="454"/>
      <c r="Y803" s="455"/>
      <c r="Z803" s="454"/>
      <c r="AA803" s="455"/>
      <c r="AB803" s="454"/>
      <c r="AC803" s="455"/>
      <c r="AD803" s="454"/>
      <c r="AE803" s="455"/>
      <c r="AF803" s="454"/>
      <c r="AG803" s="455"/>
    </row>
    <row r="804" spans="1:33" x14ac:dyDescent="0.2">
      <c r="A804" s="415">
        <f t="shared" si="25"/>
        <v>1417</v>
      </c>
      <c r="B804" s="416" t="str">
        <f t="shared" si="24"/>
        <v>Winter</v>
      </c>
      <c r="C804" s="453"/>
      <c r="D804" s="454"/>
      <c r="E804" s="455"/>
      <c r="F804" s="454"/>
      <c r="G804" s="455"/>
      <c r="H804" s="454"/>
      <c r="I804" s="455"/>
      <c r="J804" s="454"/>
      <c r="K804" s="455"/>
      <c r="L804" s="454"/>
      <c r="M804" s="455"/>
      <c r="N804" s="454"/>
      <c r="O804" s="455"/>
      <c r="P804" s="454"/>
      <c r="Q804" s="455"/>
      <c r="R804" s="454"/>
      <c r="S804" s="455"/>
      <c r="T804" s="454"/>
      <c r="U804" s="455"/>
      <c r="V804" s="454"/>
      <c r="W804" s="455"/>
      <c r="X804" s="454"/>
      <c r="Y804" s="455"/>
      <c r="Z804" s="454"/>
      <c r="AA804" s="455"/>
      <c r="AB804" s="454"/>
      <c r="AC804" s="455"/>
      <c r="AD804" s="454"/>
      <c r="AE804" s="455"/>
      <c r="AF804" s="454"/>
      <c r="AG804" s="455"/>
    </row>
    <row r="805" spans="1:33" x14ac:dyDescent="0.2">
      <c r="A805" s="415">
        <f t="shared" si="25"/>
        <v>1417</v>
      </c>
      <c r="B805" s="416" t="str">
        <f t="shared" si="24"/>
        <v>Spring</v>
      </c>
      <c r="C805" s="453"/>
      <c r="D805" s="454"/>
      <c r="E805" s="455"/>
      <c r="F805" s="454"/>
      <c r="G805" s="455"/>
      <c r="H805" s="454"/>
      <c r="I805" s="455"/>
      <c r="J805" s="454"/>
      <c r="K805" s="455"/>
      <c r="L805" s="454"/>
      <c r="M805" s="455"/>
      <c r="N805" s="454"/>
      <c r="O805" s="455"/>
      <c r="P805" s="454"/>
      <c r="Q805" s="455"/>
      <c r="R805" s="454"/>
      <c r="S805" s="455"/>
      <c r="T805" s="454"/>
      <c r="U805" s="455"/>
      <c r="V805" s="454"/>
      <c r="W805" s="455"/>
      <c r="X805" s="454"/>
      <c r="Y805" s="455"/>
      <c r="Z805" s="454"/>
      <c r="AA805" s="455"/>
      <c r="AB805" s="454"/>
      <c r="AC805" s="455"/>
      <c r="AD805" s="454"/>
      <c r="AE805" s="455"/>
      <c r="AF805" s="454"/>
      <c r="AG805" s="455"/>
    </row>
    <row r="806" spans="1:33" x14ac:dyDescent="0.2">
      <c r="A806" s="415">
        <f t="shared" si="25"/>
        <v>1417</v>
      </c>
      <c r="B806" s="416" t="str">
        <f t="shared" si="24"/>
        <v>Summer</v>
      </c>
      <c r="C806" s="453"/>
      <c r="D806" s="454"/>
      <c r="E806" s="455"/>
      <c r="F806" s="454"/>
      <c r="G806" s="455"/>
      <c r="H806" s="454"/>
      <c r="I806" s="455"/>
      <c r="J806" s="454"/>
      <c r="K806" s="455"/>
      <c r="L806" s="454"/>
      <c r="M806" s="455"/>
      <c r="N806" s="454"/>
      <c r="O806" s="455"/>
      <c r="P806" s="454"/>
      <c r="Q806" s="455"/>
      <c r="R806" s="454"/>
      <c r="S806" s="455"/>
      <c r="T806" s="454"/>
      <c r="U806" s="455"/>
      <c r="V806" s="454"/>
      <c r="W806" s="455"/>
      <c r="X806" s="454"/>
      <c r="Y806" s="455"/>
      <c r="Z806" s="454"/>
      <c r="AA806" s="455"/>
      <c r="AB806" s="454"/>
      <c r="AC806" s="455"/>
      <c r="AD806" s="454"/>
      <c r="AE806" s="455"/>
      <c r="AF806" s="454"/>
      <c r="AG806" s="455"/>
    </row>
    <row r="807" spans="1:33" x14ac:dyDescent="0.2">
      <c r="A807" s="415">
        <f t="shared" si="25"/>
        <v>1417</v>
      </c>
      <c r="B807" s="416" t="str">
        <f t="shared" si="24"/>
        <v>Autumn</v>
      </c>
      <c r="C807" s="453"/>
      <c r="D807" s="454"/>
      <c r="E807" s="455"/>
      <c r="F807" s="454"/>
      <c r="G807" s="455"/>
      <c r="H807" s="454"/>
      <c r="I807" s="455"/>
      <c r="J807" s="454"/>
      <c r="K807" s="455"/>
      <c r="L807" s="454"/>
      <c r="M807" s="455"/>
      <c r="N807" s="454"/>
      <c r="O807" s="455"/>
      <c r="P807" s="454"/>
      <c r="Q807" s="455"/>
      <c r="R807" s="454"/>
      <c r="S807" s="455"/>
      <c r="T807" s="454"/>
      <c r="U807" s="455"/>
      <c r="V807" s="454"/>
      <c r="W807" s="455"/>
      <c r="X807" s="454"/>
      <c r="Y807" s="455"/>
      <c r="Z807" s="454"/>
      <c r="AA807" s="455"/>
      <c r="AB807" s="454"/>
      <c r="AC807" s="455"/>
      <c r="AD807" s="454"/>
      <c r="AE807" s="455"/>
      <c r="AF807" s="454"/>
      <c r="AG807" s="455"/>
    </row>
    <row r="808" spans="1:33" x14ac:dyDescent="0.2">
      <c r="A808" s="415">
        <f t="shared" si="25"/>
        <v>1418</v>
      </c>
      <c r="B808" s="416" t="str">
        <f t="shared" si="24"/>
        <v>Winter</v>
      </c>
      <c r="C808" s="453"/>
      <c r="D808" s="454"/>
      <c r="E808" s="455"/>
      <c r="F808" s="454"/>
      <c r="G808" s="455"/>
      <c r="H808" s="454"/>
      <c r="I808" s="455"/>
      <c r="J808" s="454"/>
      <c r="K808" s="455"/>
      <c r="L808" s="454"/>
      <c r="M808" s="455"/>
      <c r="N808" s="454"/>
      <c r="O808" s="455"/>
      <c r="P808" s="454"/>
      <c r="Q808" s="455"/>
      <c r="R808" s="454"/>
      <c r="S808" s="455"/>
      <c r="T808" s="454"/>
      <c r="U808" s="455"/>
      <c r="V808" s="454"/>
      <c r="W808" s="455"/>
      <c r="X808" s="454"/>
      <c r="Y808" s="455"/>
      <c r="Z808" s="454"/>
      <c r="AA808" s="455"/>
      <c r="AB808" s="454"/>
      <c r="AC808" s="455"/>
      <c r="AD808" s="454"/>
      <c r="AE808" s="455"/>
      <c r="AF808" s="454"/>
      <c r="AG808" s="455"/>
    </row>
    <row r="809" spans="1:33" x14ac:dyDescent="0.2">
      <c r="A809" s="415">
        <f t="shared" si="25"/>
        <v>1418</v>
      </c>
      <c r="B809" s="416" t="str">
        <f t="shared" si="24"/>
        <v>Spring</v>
      </c>
      <c r="C809" s="453"/>
      <c r="D809" s="454"/>
      <c r="E809" s="455"/>
      <c r="F809" s="454"/>
      <c r="G809" s="455"/>
      <c r="H809" s="454"/>
      <c r="I809" s="455"/>
      <c r="J809" s="454"/>
      <c r="K809" s="455"/>
      <c r="L809" s="454"/>
      <c r="M809" s="455"/>
      <c r="N809" s="454"/>
      <c r="O809" s="455"/>
      <c r="P809" s="454"/>
      <c r="Q809" s="455"/>
      <c r="R809" s="454"/>
      <c r="S809" s="455"/>
      <c r="T809" s="454"/>
      <c r="U809" s="455"/>
      <c r="V809" s="454"/>
      <c r="W809" s="455"/>
      <c r="X809" s="454"/>
      <c r="Y809" s="455"/>
      <c r="Z809" s="454"/>
      <c r="AA809" s="455"/>
      <c r="AB809" s="454"/>
      <c r="AC809" s="455"/>
      <c r="AD809" s="454"/>
      <c r="AE809" s="455"/>
      <c r="AF809" s="454"/>
      <c r="AG809" s="455"/>
    </row>
    <row r="810" spans="1:33" x14ac:dyDescent="0.2">
      <c r="A810" s="415">
        <f t="shared" si="25"/>
        <v>1418</v>
      </c>
      <c r="B810" s="416" t="str">
        <f t="shared" si="24"/>
        <v>Summer</v>
      </c>
      <c r="C810" s="453"/>
      <c r="D810" s="454"/>
      <c r="E810" s="455"/>
      <c r="F810" s="454"/>
      <c r="G810" s="455"/>
      <c r="H810" s="454"/>
      <c r="I810" s="455"/>
      <c r="J810" s="454"/>
      <c r="K810" s="455"/>
      <c r="L810" s="454"/>
      <c r="M810" s="455"/>
      <c r="N810" s="454"/>
      <c r="O810" s="455"/>
      <c r="P810" s="454"/>
      <c r="Q810" s="455"/>
      <c r="R810" s="454"/>
      <c r="S810" s="455"/>
      <c r="T810" s="454"/>
      <c r="U810" s="455"/>
      <c r="V810" s="454"/>
      <c r="W810" s="455"/>
      <c r="X810" s="454"/>
      <c r="Y810" s="455"/>
      <c r="Z810" s="454"/>
      <c r="AA810" s="455"/>
      <c r="AB810" s="454"/>
      <c r="AC810" s="455"/>
      <c r="AD810" s="454"/>
      <c r="AE810" s="455"/>
      <c r="AF810" s="454"/>
      <c r="AG810" s="455"/>
    </row>
    <row r="811" spans="1:33" x14ac:dyDescent="0.2">
      <c r="A811" s="415">
        <f t="shared" si="25"/>
        <v>1418</v>
      </c>
      <c r="B811" s="416" t="str">
        <f t="shared" ref="B811:B874" si="26">IF(B810="spring","Summer",IF(B810="Summer","Autumn",IF(B810="Autumn","Winter",IF(B810="Winter","Spring"," "))))</f>
        <v>Autumn</v>
      </c>
      <c r="C811" s="453"/>
      <c r="D811" s="454"/>
      <c r="E811" s="455"/>
      <c r="F811" s="454"/>
      <c r="G811" s="455"/>
      <c r="H811" s="454"/>
      <c r="I811" s="455"/>
      <c r="J811" s="454"/>
      <c r="K811" s="455"/>
      <c r="L811" s="454"/>
      <c r="M811" s="455"/>
      <c r="N811" s="454"/>
      <c r="O811" s="455"/>
      <c r="P811" s="454"/>
      <c r="Q811" s="455"/>
      <c r="R811" s="454"/>
      <c r="S811" s="455"/>
      <c r="T811" s="454"/>
      <c r="U811" s="455"/>
      <c r="V811" s="454"/>
      <c r="W811" s="455"/>
      <c r="X811" s="454"/>
      <c r="Y811" s="455"/>
      <c r="Z811" s="454"/>
      <c r="AA811" s="455"/>
      <c r="AB811" s="454"/>
      <c r="AC811" s="455"/>
      <c r="AD811" s="454"/>
      <c r="AE811" s="455"/>
      <c r="AF811" s="454"/>
      <c r="AG811" s="455"/>
    </row>
    <row r="812" spans="1:33" x14ac:dyDescent="0.2">
      <c r="A812" s="415">
        <f t="shared" si="25"/>
        <v>1419</v>
      </c>
      <c r="B812" s="416" t="str">
        <f t="shared" si="26"/>
        <v>Winter</v>
      </c>
      <c r="C812" s="453"/>
      <c r="D812" s="454"/>
      <c r="E812" s="455"/>
      <c r="F812" s="454"/>
      <c r="G812" s="455"/>
      <c r="H812" s="454"/>
      <c r="I812" s="455"/>
      <c r="J812" s="454"/>
      <c r="K812" s="455"/>
      <c r="L812" s="454"/>
      <c r="M812" s="455"/>
      <c r="N812" s="454"/>
      <c r="O812" s="455"/>
      <c r="P812" s="454"/>
      <c r="Q812" s="455"/>
      <c r="R812" s="454"/>
      <c r="S812" s="455"/>
      <c r="T812" s="454"/>
      <c r="U812" s="455"/>
      <c r="V812" s="454"/>
      <c r="W812" s="455"/>
      <c r="X812" s="454"/>
      <c r="Y812" s="455"/>
      <c r="Z812" s="454"/>
      <c r="AA812" s="455"/>
      <c r="AB812" s="454"/>
      <c r="AC812" s="455"/>
      <c r="AD812" s="454"/>
      <c r="AE812" s="455"/>
      <c r="AF812" s="454"/>
      <c r="AG812" s="455"/>
    </row>
    <row r="813" spans="1:33" x14ac:dyDescent="0.2">
      <c r="A813" s="415">
        <f t="shared" si="25"/>
        <v>1419</v>
      </c>
      <c r="B813" s="416" t="str">
        <f t="shared" si="26"/>
        <v>Spring</v>
      </c>
      <c r="C813" s="453"/>
      <c r="D813" s="454"/>
      <c r="E813" s="455"/>
      <c r="F813" s="454"/>
      <c r="G813" s="455"/>
      <c r="H813" s="454"/>
      <c r="I813" s="455"/>
      <c r="J813" s="454"/>
      <c r="K813" s="455"/>
      <c r="L813" s="454"/>
      <c r="M813" s="455"/>
      <c r="N813" s="454"/>
      <c r="O813" s="455"/>
      <c r="P813" s="454"/>
      <c r="Q813" s="455"/>
      <c r="R813" s="454"/>
      <c r="S813" s="455"/>
      <c r="T813" s="454"/>
      <c r="U813" s="455"/>
      <c r="V813" s="454"/>
      <c r="W813" s="455"/>
      <c r="X813" s="454"/>
      <c r="Y813" s="455"/>
      <c r="Z813" s="454"/>
      <c r="AA813" s="455"/>
      <c r="AB813" s="454"/>
      <c r="AC813" s="455"/>
      <c r="AD813" s="454"/>
      <c r="AE813" s="455"/>
      <c r="AF813" s="454"/>
      <c r="AG813" s="455"/>
    </row>
    <row r="814" spans="1:33" x14ac:dyDescent="0.2">
      <c r="A814" s="415">
        <f t="shared" si="25"/>
        <v>1419</v>
      </c>
      <c r="B814" s="416" t="str">
        <f t="shared" si="26"/>
        <v>Summer</v>
      </c>
      <c r="C814" s="453"/>
      <c r="D814" s="454"/>
      <c r="E814" s="455"/>
      <c r="F814" s="454"/>
      <c r="G814" s="455"/>
      <c r="H814" s="454"/>
      <c r="I814" s="455"/>
      <c r="J814" s="454"/>
      <c r="K814" s="455"/>
      <c r="L814" s="454"/>
      <c r="M814" s="455"/>
      <c r="N814" s="454"/>
      <c r="O814" s="455"/>
      <c r="P814" s="454"/>
      <c r="Q814" s="455"/>
      <c r="R814" s="454"/>
      <c r="S814" s="455"/>
      <c r="T814" s="454"/>
      <c r="U814" s="455"/>
      <c r="V814" s="454"/>
      <c r="W814" s="455"/>
      <c r="X814" s="454"/>
      <c r="Y814" s="455"/>
      <c r="Z814" s="454"/>
      <c r="AA814" s="455"/>
      <c r="AB814" s="454"/>
      <c r="AC814" s="455"/>
      <c r="AD814" s="454"/>
      <c r="AE814" s="455"/>
      <c r="AF814" s="454"/>
      <c r="AG814" s="455"/>
    </row>
    <row r="815" spans="1:33" x14ac:dyDescent="0.2">
      <c r="A815" s="415">
        <f t="shared" si="25"/>
        <v>1419</v>
      </c>
      <c r="B815" s="416" t="str">
        <f t="shared" si="26"/>
        <v>Autumn</v>
      </c>
      <c r="C815" s="453"/>
      <c r="D815" s="454"/>
      <c r="E815" s="455"/>
      <c r="F815" s="454"/>
      <c r="G815" s="455"/>
      <c r="H815" s="454"/>
      <c r="I815" s="455"/>
      <c r="J815" s="454"/>
      <c r="K815" s="455"/>
      <c r="L815" s="454"/>
      <c r="M815" s="455"/>
      <c r="N815" s="454"/>
      <c r="O815" s="455"/>
      <c r="P815" s="454"/>
      <c r="Q815" s="455"/>
      <c r="R815" s="454"/>
      <c r="S815" s="455"/>
      <c r="T815" s="454"/>
      <c r="U815" s="455"/>
      <c r="V815" s="454"/>
      <c r="W815" s="455"/>
      <c r="X815" s="454"/>
      <c r="Y815" s="455"/>
      <c r="Z815" s="454"/>
      <c r="AA815" s="455"/>
      <c r="AB815" s="454"/>
      <c r="AC815" s="455"/>
      <c r="AD815" s="454"/>
      <c r="AE815" s="455"/>
      <c r="AF815" s="454"/>
      <c r="AG815" s="455"/>
    </row>
    <row r="816" spans="1:33" x14ac:dyDescent="0.2">
      <c r="A816" s="415">
        <f t="shared" si="25"/>
        <v>1420</v>
      </c>
      <c r="B816" s="416" t="str">
        <f t="shared" si="26"/>
        <v>Winter</v>
      </c>
      <c r="C816" s="453"/>
      <c r="D816" s="454"/>
      <c r="E816" s="455"/>
      <c r="F816" s="454"/>
      <c r="G816" s="455"/>
      <c r="H816" s="454"/>
      <c r="I816" s="455"/>
      <c r="J816" s="454"/>
      <c r="K816" s="455"/>
      <c r="L816" s="454"/>
      <c r="M816" s="455"/>
      <c r="N816" s="454"/>
      <c r="O816" s="455"/>
      <c r="P816" s="454"/>
      <c r="Q816" s="455"/>
      <c r="R816" s="454"/>
      <c r="S816" s="455"/>
      <c r="T816" s="454"/>
      <c r="U816" s="455"/>
      <c r="V816" s="454"/>
      <c r="W816" s="455"/>
      <c r="X816" s="454"/>
      <c r="Y816" s="455"/>
      <c r="Z816" s="454"/>
      <c r="AA816" s="455"/>
      <c r="AB816" s="454"/>
      <c r="AC816" s="455"/>
      <c r="AD816" s="454"/>
      <c r="AE816" s="455"/>
      <c r="AF816" s="454"/>
      <c r="AG816" s="455"/>
    </row>
    <row r="817" spans="1:33" x14ac:dyDescent="0.2">
      <c r="A817" s="415">
        <f t="shared" si="25"/>
        <v>1420</v>
      </c>
      <c r="B817" s="416" t="str">
        <f t="shared" si="26"/>
        <v>Spring</v>
      </c>
      <c r="C817" s="453"/>
      <c r="D817" s="454"/>
      <c r="E817" s="455"/>
      <c r="F817" s="454"/>
      <c r="G817" s="455"/>
      <c r="H817" s="454"/>
      <c r="I817" s="455"/>
      <c r="J817" s="454"/>
      <c r="K817" s="455"/>
      <c r="L817" s="454"/>
      <c r="M817" s="455"/>
      <c r="N817" s="454"/>
      <c r="O817" s="455"/>
      <c r="P817" s="454"/>
      <c r="Q817" s="455"/>
      <c r="R817" s="454"/>
      <c r="S817" s="455"/>
      <c r="T817" s="454"/>
      <c r="U817" s="455"/>
      <c r="V817" s="454"/>
      <c r="W817" s="455"/>
      <c r="X817" s="454"/>
      <c r="Y817" s="455"/>
      <c r="Z817" s="454"/>
      <c r="AA817" s="455"/>
      <c r="AB817" s="454"/>
      <c r="AC817" s="455"/>
      <c r="AD817" s="454"/>
      <c r="AE817" s="455"/>
      <c r="AF817" s="454"/>
      <c r="AG817" s="455"/>
    </row>
    <row r="818" spans="1:33" x14ac:dyDescent="0.2">
      <c r="A818" s="415">
        <f t="shared" si="25"/>
        <v>1420</v>
      </c>
      <c r="B818" s="416" t="str">
        <f t="shared" si="26"/>
        <v>Summer</v>
      </c>
      <c r="C818" s="453"/>
      <c r="D818" s="454"/>
      <c r="E818" s="455"/>
      <c r="F818" s="454"/>
      <c r="G818" s="455"/>
      <c r="H818" s="454"/>
      <c r="I818" s="455"/>
      <c r="J818" s="454"/>
      <c r="K818" s="455"/>
      <c r="L818" s="454"/>
      <c r="M818" s="455"/>
      <c r="N818" s="454"/>
      <c r="O818" s="455"/>
      <c r="P818" s="454"/>
      <c r="Q818" s="455"/>
      <c r="R818" s="454"/>
      <c r="S818" s="455"/>
      <c r="T818" s="454"/>
      <c r="U818" s="455"/>
      <c r="V818" s="454"/>
      <c r="W818" s="455"/>
      <c r="X818" s="454"/>
      <c r="Y818" s="455"/>
      <c r="Z818" s="454"/>
      <c r="AA818" s="455"/>
      <c r="AB818" s="454"/>
      <c r="AC818" s="455"/>
      <c r="AD818" s="454"/>
      <c r="AE818" s="455"/>
      <c r="AF818" s="454"/>
      <c r="AG818" s="455"/>
    </row>
    <row r="819" spans="1:33" x14ac:dyDescent="0.2">
      <c r="A819" s="415">
        <f t="shared" si="25"/>
        <v>1420</v>
      </c>
      <c r="B819" s="416" t="str">
        <f t="shared" si="26"/>
        <v>Autumn</v>
      </c>
      <c r="C819" s="453"/>
      <c r="D819" s="454"/>
      <c r="E819" s="455"/>
      <c r="F819" s="454"/>
      <c r="G819" s="455"/>
      <c r="H819" s="454"/>
      <c r="I819" s="455"/>
      <c r="J819" s="454"/>
      <c r="K819" s="455"/>
      <c r="L819" s="454"/>
      <c r="M819" s="455"/>
      <c r="N819" s="454"/>
      <c r="O819" s="455"/>
      <c r="P819" s="454"/>
      <c r="Q819" s="455"/>
      <c r="R819" s="454"/>
      <c r="S819" s="455"/>
      <c r="T819" s="454"/>
      <c r="U819" s="455"/>
      <c r="V819" s="454"/>
      <c r="W819" s="455"/>
      <c r="X819" s="454"/>
      <c r="Y819" s="455"/>
      <c r="Z819" s="454"/>
      <c r="AA819" s="455"/>
      <c r="AB819" s="454"/>
      <c r="AC819" s="455"/>
      <c r="AD819" s="454"/>
      <c r="AE819" s="455"/>
      <c r="AF819" s="454"/>
      <c r="AG819" s="455"/>
    </row>
    <row r="820" spans="1:33" x14ac:dyDescent="0.2">
      <c r="A820" s="415">
        <f t="shared" si="25"/>
        <v>1421</v>
      </c>
      <c r="B820" s="416" t="str">
        <f t="shared" si="26"/>
        <v>Winter</v>
      </c>
      <c r="C820" s="453"/>
      <c r="D820" s="454"/>
      <c r="E820" s="455"/>
      <c r="F820" s="454"/>
      <c r="G820" s="455"/>
      <c r="H820" s="454"/>
      <c r="I820" s="455"/>
      <c r="J820" s="454"/>
      <c r="K820" s="455"/>
      <c r="L820" s="454"/>
      <c r="M820" s="455"/>
      <c r="N820" s="454"/>
      <c r="O820" s="455"/>
      <c r="P820" s="454"/>
      <c r="Q820" s="455"/>
      <c r="R820" s="454"/>
      <c r="S820" s="455"/>
      <c r="T820" s="454"/>
      <c r="U820" s="455"/>
      <c r="V820" s="454"/>
      <c r="W820" s="455"/>
      <c r="X820" s="454"/>
      <c r="Y820" s="455"/>
      <c r="Z820" s="454"/>
      <c r="AA820" s="455"/>
      <c r="AB820" s="454"/>
      <c r="AC820" s="455"/>
      <c r="AD820" s="454"/>
      <c r="AE820" s="455"/>
      <c r="AF820" s="454"/>
      <c r="AG820" s="455"/>
    </row>
    <row r="821" spans="1:33" x14ac:dyDescent="0.2">
      <c r="A821" s="415">
        <f t="shared" si="25"/>
        <v>1421</v>
      </c>
      <c r="B821" s="416" t="str">
        <f t="shared" si="26"/>
        <v>Spring</v>
      </c>
      <c r="C821" s="453"/>
      <c r="D821" s="454"/>
      <c r="E821" s="455"/>
      <c r="F821" s="454"/>
      <c r="G821" s="455"/>
      <c r="H821" s="454"/>
      <c r="I821" s="455"/>
      <c r="J821" s="454"/>
      <c r="K821" s="455"/>
      <c r="L821" s="454"/>
      <c r="M821" s="455"/>
      <c r="N821" s="454"/>
      <c r="O821" s="455"/>
      <c r="P821" s="454"/>
      <c r="Q821" s="455"/>
      <c r="R821" s="454"/>
      <c r="S821" s="455"/>
      <c r="T821" s="454"/>
      <c r="U821" s="455"/>
      <c r="V821" s="454"/>
      <c r="W821" s="455"/>
      <c r="X821" s="454"/>
      <c r="Y821" s="455"/>
      <c r="Z821" s="454"/>
      <c r="AA821" s="455"/>
      <c r="AB821" s="454"/>
      <c r="AC821" s="455"/>
      <c r="AD821" s="454"/>
      <c r="AE821" s="455"/>
      <c r="AF821" s="454"/>
      <c r="AG821" s="455"/>
    </row>
    <row r="822" spans="1:33" x14ac:dyDescent="0.2">
      <c r="A822" s="415">
        <f t="shared" si="25"/>
        <v>1421</v>
      </c>
      <c r="B822" s="416" t="str">
        <f t="shared" si="26"/>
        <v>Summer</v>
      </c>
      <c r="C822" s="453"/>
      <c r="D822" s="454"/>
      <c r="E822" s="455"/>
      <c r="F822" s="454"/>
      <c r="G822" s="455"/>
      <c r="H822" s="454"/>
      <c r="I822" s="455"/>
      <c r="J822" s="454"/>
      <c r="K822" s="455"/>
      <c r="L822" s="454"/>
      <c r="M822" s="455"/>
      <c r="N822" s="454"/>
      <c r="O822" s="455"/>
      <c r="P822" s="454"/>
      <c r="Q822" s="455"/>
      <c r="R822" s="454"/>
      <c r="S822" s="455"/>
      <c r="T822" s="454"/>
      <c r="U822" s="455"/>
      <c r="V822" s="454"/>
      <c r="W822" s="455"/>
      <c r="X822" s="454"/>
      <c r="Y822" s="455"/>
      <c r="Z822" s="454"/>
      <c r="AA822" s="455"/>
      <c r="AB822" s="454"/>
      <c r="AC822" s="455"/>
      <c r="AD822" s="454"/>
      <c r="AE822" s="455"/>
      <c r="AF822" s="454"/>
      <c r="AG822" s="455"/>
    </row>
    <row r="823" spans="1:33" x14ac:dyDescent="0.2">
      <c r="A823" s="415">
        <f t="shared" si="25"/>
        <v>1421</v>
      </c>
      <c r="B823" s="416" t="str">
        <f t="shared" si="26"/>
        <v>Autumn</v>
      </c>
      <c r="C823" s="453"/>
      <c r="D823" s="454"/>
      <c r="E823" s="455"/>
      <c r="F823" s="454"/>
      <c r="G823" s="455"/>
      <c r="H823" s="454"/>
      <c r="I823" s="455"/>
      <c r="J823" s="454"/>
      <c r="K823" s="455"/>
      <c r="L823" s="454"/>
      <c r="M823" s="455"/>
      <c r="N823" s="454"/>
      <c r="O823" s="455"/>
      <c r="P823" s="454"/>
      <c r="Q823" s="455"/>
      <c r="R823" s="454"/>
      <c r="S823" s="455"/>
      <c r="T823" s="454"/>
      <c r="U823" s="455"/>
      <c r="V823" s="454"/>
      <c r="W823" s="455"/>
      <c r="X823" s="454"/>
      <c r="Y823" s="455"/>
      <c r="Z823" s="454"/>
      <c r="AA823" s="455"/>
      <c r="AB823" s="454"/>
      <c r="AC823" s="455"/>
      <c r="AD823" s="454"/>
      <c r="AE823" s="455"/>
      <c r="AF823" s="454"/>
      <c r="AG823" s="455"/>
    </row>
    <row r="824" spans="1:33" x14ac:dyDescent="0.2">
      <c r="A824" s="415">
        <f t="shared" si="25"/>
        <v>1422</v>
      </c>
      <c r="B824" s="416" t="str">
        <f t="shared" si="26"/>
        <v>Winter</v>
      </c>
      <c r="C824" s="453"/>
      <c r="D824" s="454"/>
      <c r="E824" s="455"/>
      <c r="F824" s="454"/>
      <c r="G824" s="455"/>
      <c r="H824" s="454"/>
      <c r="I824" s="455"/>
      <c r="J824" s="454"/>
      <c r="K824" s="455"/>
      <c r="L824" s="454"/>
      <c r="M824" s="455"/>
      <c r="N824" s="454"/>
      <c r="O824" s="455"/>
      <c r="P824" s="454"/>
      <c r="Q824" s="455"/>
      <c r="R824" s="454"/>
      <c r="S824" s="455"/>
      <c r="T824" s="454"/>
      <c r="U824" s="455"/>
      <c r="V824" s="454"/>
      <c r="W824" s="455"/>
      <c r="X824" s="454"/>
      <c r="Y824" s="455"/>
      <c r="Z824" s="454"/>
      <c r="AA824" s="455"/>
      <c r="AB824" s="454"/>
      <c r="AC824" s="455"/>
      <c r="AD824" s="454"/>
      <c r="AE824" s="455"/>
      <c r="AF824" s="454"/>
      <c r="AG824" s="455"/>
    </row>
    <row r="825" spans="1:33" x14ac:dyDescent="0.2">
      <c r="A825" s="415">
        <f t="shared" si="25"/>
        <v>1422</v>
      </c>
      <c r="B825" s="416" t="str">
        <f t="shared" si="26"/>
        <v>Spring</v>
      </c>
      <c r="C825" s="453"/>
      <c r="D825" s="454"/>
      <c r="E825" s="455"/>
      <c r="F825" s="454"/>
      <c r="G825" s="455"/>
      <c r="H825" s="454"/>
      <c r="I825" s="455"/>
      <c r="J825" s="454"/>
      <c r="K825" s="455"/>
      <c r="L825" s="454"/>
      <c r="M825" s="455"/>
      <c r="N825" s="454"/>
      <c r="O825" s="455"/>
      <c r="P825" s="454"/>
      <c r="Q825" s="455"/>
      <c r="R825" s="454"/>
      <c r="S825" s="455"/>
      <c r="T825" s="454"/>
      <c r="U825" s="455"/>
      <c r="V825" s="454"/>
      <c r="W825" s="455"/>
      <c r="X825" s="454"/>
      <c r="Y825" s="455"/>
      <c r="Z825" s="454"/>
      <c r="AA825" s="455"/>
      <c r="AB825" s="454"/>
      <c r="AC825" s="455"/>
      <c r="AD825" s="454"/>
      <c r="AE825" s="455"/>
      <c r="AF825" s="454"/>
      <c r="AG825" s="455"/>
    </row>
    <row r="826" spans="1:33" x14ac:dyDescent="0.2">
      <c r="A826" s="415">
        <f t="shared" si="25"/>
        <v>1422</v>
      </c>
      <c r="B826" s="416" t="str">
        <f t="shared" si="26"/>
        <v>Summer</v>
      </c>
      <c r="C826" s="453"/>
      <c r="D826" s="454"/>
      <c r="E826" s="455"/>
      <c r="F826" s="454"/>
      <c r="G826" s="455"/>
      <c r="H826" s="454"/>
      <c r="I826" s="455"/>
      <c r="J826" s="454"/>
      <c r="K826" s="455"/>
      <c r="L826" s="454"/>
      <c r="M826" s="455"/>
      <c r="N826" s="454"/>
      <c r="O826" s="455"/>
      <c r="P826" s="454"/>
      <c r="Q826" s="455"/>
      <c r="R826" s="454"/>
      <c r="S826" s="455"/>
      <c r="T826" s="454"/>
      <c r="U826" s="455"/>
      <c r="V826" s="454"/>
      <c r="W826" s="455"/>
      <c r="X826" s="454"/>
      <c r="Y826" s="455"/>
      <c r="Z826" s="454"/>
      <c r="AA826" s="455"/>
      <c r="AB826" s="454"/>
      <c r="AC826" s="455"/>
      <c r="AD826" s="454"/>
      <c r="AE826" s="455"/>
      <c r="AF826" s="454"/>
      <c r="AG826" s="455"/>
    </row>
    <row r="827" spans="1:33" x14ac:dyDescent="0.2">
      <c r="A827" s="415">
        <f t="shared" si="25"/>
        <v>1422</v>
      </c>
      <c r="B827" s="416" t="str">
        <f t="shared" si="26"/>
        <v>Autumn</v>
      </c>
      <c r="C827" s="453"/>
      <c r="D827" s="454"/>
      <c r="E827" s="455"/>
      <c r="F827" s="454"/>
      <c r="G827" s="455"/>
      <c r="H827" s="454"/>
      <c r="I827" s="455"/>
      <c r="J827" s="454"/>
      <c r="K827" s="455"/>
      <c r="L827" s="454"/>
      <c r="M827" s="455"/>
      <c r="N827" s="454"/>
      <c r="O827" s="455"/>
      <c r="P827" s="454"/>
      <c r="Q827" s="455"/>
      <c r="R827" s="454"/>
      <c r="S827" s="455"/>
      <c r="T827" s="454"/>
      <c r="U827" s="455"/>
      <c r="V827" s="454"/>
      <c r="W827" s="455"/>
      <c r="X827" s="454"/>
      <c r="Y827" s="455"/>
      <c r="Z827" s="454"/>
      <c r="AA827" s="455"/>
      <c r="AB827" s="454"/>
      <c r="AC827" s="455"/>
      <c r="AD827" s="454"/>
      <c r="AE827" s="455"/>
      <c r="AF827" s="454"/>
      <c r="AG827" s="455"/>
    </row>
    <row r="828" spans="1:33" x14ac:dyDescent="0.2">
      <c r="A828" s="415">
        <f t="shared" si="25"/>
        <v>1423</v>
      </c>
      <c r="B828" s="416" t="str">
        <f t="shared" si="26"/>
        <v>Winter</v>
      </c>
      <c r="C828" s="453"/>
      <c r="D828" s="454"/>
      <c r="E828" s="455"/>
      <c r="F828" s="454"/>
      <c r="G828" s="455"/>
      <c r="H828" s="454"/>
      <c r="I828" s="455"/>
      <c r="J828" s="454"/>
      <c r="K828" s="455"/>
      <c r="L828" s="454"/>
      <c r="M828" s="455"/>
      <c r="N828" s="454"/>
      <c r="O828" s="455"/>
      <c r="P828" s="454"/>
      <c r="Q828" s="455"/>
      <c r="R828" s="454"/>
      <c r="S828" s="455"/>
      <c r="T828" s="454"/>
      <c r="U828" s="455"/>
      <c r="V828" s="454"/>
      <c r="W828" s="455"/>
      <c r="X828" s="454"/>
      <c r="Y828" s="455"/>
      <c r="Z828" s="454"/>
      <c r="AA828" s="455"/>
      <c r="AB828" s="454"/>
      <c r="AC828" s="455"/>
      <c r="AD828" s="454"/>
      <c r="AE828" s="455"/>
      <c r="AF828" s="454"/>
      <c r="AG828" s="455"/>
    </row>
    <row r="829" spans="1:33" x14ac:dyDescent="0.2">
      <c r="A829" s="415">
        <f t="shared" si="25"/>
        <v>1423</v>
      </c>
      <c r="B829" s="416" t="str">
        <f t="shared" si="26"/>
        <v>Spring</v>
      </c>
      <c r="C829" s="453"/>
      <c r="D829" s="454"/>
      <c r="E829" s="455"/>
      <c r="F829" s="454"/>
      <c r="G829" s="455"/>
      <c r="H829" s="454"/>
      <c r="I829" s="455"/>
      <c r="J829" s="454"/>
      <c r="K829" s="455"/>
      <c r="L829" s="454"/>
      <c r="M829" s="455"/>
      <c r="N829" s="454"/>
      <c r="O829" s="455"/>
      <c r="P829" s="454"/>
      <c r="Q829" s="455"/>
      <c r="R829" s="454"/>
      <c r="S829" s="455"/>
      <c r="T829" s="454"/>
      <c r="U829" s="455"/>
      <c r="V829" s="454"/>
      <c r="W829" s="455"/>
      <c r="X829" s="454"/>
      <c r="Y829" s="455"/>
      <c r="Z829" s="454"/>
      <c r="AA829" s="455"/>
      <c r="AB829" s="454"/>
      <c r="AC829" s="455"/>
      <c r="AD829" s="454"/>
      <c r="AE829" s="455"/>
      <c r="AF829" s="454"/>
      <c r="AG829" s="455"/>
    </row>
    <row r="830" spans="1:33" x14ac:dyDescent="0.2">
      <c r="A830" s="415">
        <f t="shared" si="25"/>
        <v>1423</v>
      </c>
      <c r="B830" s="416" t="str">
        <f t="shared" si="26"/>
        <v>Summer</v>
      </c>
      <c r="C830" s="453"/>
      <c r="D830" s="454"/>
      <c r="E830" s="455"/>
      <c r="F830" s="454"/>
      <c r="G830" s="455"/>
      <c r="H830" s="454"/>
      <c r="I830" s="455"/>
      <c r="J830" s="454"/>
      <c r="K830" s="455"/>
      <c r="L830" s="454"/>
      <c r="M830" s="455"/>
      <c r="N830" s="454"/>
      <c r="O830" s="455"/>
      <c r="P830" s="454"/>
      <c r="Q830" s="455"/>
      <c r="R830" s="454"/>
      <c r="S830" s="455"/>
      <c r="T830" s="454"/>
      <c r="U830" s="455"/>
      <c r="V830" s="454"/>
      <c r="W830" s="455"/>
      <c r="X830" s="454"/>
      <c r="Y830" s="455"/>
      <c r="Z830" s="454"/>
      <c r="AA830" s="455"/>
      <c r="AB830" s="454"/>
      <c r="AC830" s="455"/>
      <c r="AD830" s="454"/>
      <c r="AE830" s="455"/>
      <c r="AF830" s="454"/>
      <c r="AG830" s="455"/>
    </row>
    <row r="831" spans="1:33" x14ac:dyDescent="0.2">
      <c r="A831" s="415">
        <f t="shared" si="25"/>
        <v>1423</v>
      </c>
      <c r="B831" s="416" t="str">
        <f t="shared" si="26"/>
        <v>Autumn</v>
      </c>
      <c r="C831" s="453"/>
      <c r="D831" s="454"/>
      <c r="E831" s="455"/>
      <c r="F831" s="454"/>
      <c r="G831" s="455"/>
      <c r="H831" s="454"/>
      <c r="I831" s="455"/>
      <c r="J831" s="454"/>
      <c r="K831" s="455"/>
      <c r="L831" s="454"/>
      <c r="M831" s="455"/>
      <c r="N831" s="454"/>
      <c r="O831" s="455"/>
      <c r="P831" s="454"/>
      <c r="Q831" s="455"/>
      <c r="R831" s="454"/>
      <c r="S831" s="455"/>
      <c r="T831" s="454"/>
      <c r="U831" s="455"/>
      <c r="V831" s="454"/>
      <c r="W831" s="455"/>
      <c r="X831" s="454"/>
      <c r="Y831" s="455"/>
      <c r="Z831" s="454"/>
      <c r="AA831" s="455"/>
      <c r="AB831" s="454"/>
      <c r="AC831" s="455"/>
      <c r="AD831" s="454"/>
      <c r="AE831" s="455"/>
      <c r="AF831" s="454"/>
      <c r="AG831" s="455"/>
    </row>
    <row r="832" spans="1:33" x14ac:dyDescent="0.2">
      <c r="A832" s="415">
        <f t="shared" si="25"/>
        <v>1424</v>
      </c>
      <c r="B832" s="416" t="str">
        <f t="shared" si="26"/>
        <v>Winter</v>
      </c>
      <c r="C832" s="453"/>
      <c r="D832" s="454"/>
      <c r="E832" s="455"/>
      <c r="F832" s="454"/>
      <c r="G832" s="455"/>
      <c r="H832" s="454"/>
      <c r="I832" s="455"/>
      <c r="J832" s="454"/>
      <c r="K832" s="455"/>
      <c r="L832" s="454"/>
      <c r="M832" s="455"/>
      <c r="N832" s="454"/>
      <c r="O832" s="455"/>
      <c r="P832" s="454"/>
      <c r="Q832" s="455"/>
      <c r="R832" s="454"/>
      <c r="S832" s="455"/>
      <c r="T832" s="454"/>
      <c r="U832" s="455"/>
      <c r="V832" s="454"/>
      <c r="W832" s="455"/>
      <c r="X832" s="454"/>
      <c r="Y832" s="455"/>
      <c r="Z832" s="454"/>
      <c r="AA832" s="455"/>
      <c r="AB832" s="454"/>
      <c r="AC832" s="455"/>
      <c r="AD832" s="454"/>
      <c r="AE832" s="455"/>
      <c r="AF832" s="454"/>
      <c r="AG832" s="455"/>
    </row>
    <row r="833" spans="1:33" x14ac:dyDescent="0.2">
      <c r="A833" s="415">
        <f t="shared" si="25"/>
        <v>1424</v>
      </c>
      <c r="B833" s="416" t="str">
        <f t="shared" si="26"/>
        <v>Spring</v>
      </c>
      <c r="C833" s="453"/>
      <c r="D833" s="454"/>
      <c r="E833" s="455"/>
      <c r="F833" s="454"/>
      <c r="G833" s="455"/>
      <c r="H833" s="454"/>
      <c r="I833" s="455"/>
      <c r="J833" s="454"/>
      <c r="K833" s="455"/>
      <c r="L833" s="454"/>
      <c r="M833" s="455"/>
      <c r="N833" s="454"/>
      <c r="O833" s="455"/>
      <c r="P833" s="454"/>
      <c r="Q833" s="455"/>
      <c r="R833" s="454"/>
      <c r="S833" s="455"/>
      <c r="T833" s="454"/>
      <c r="U833" s="455"/>
      <c r="V833" s="454"/>
      <c r="W833" s="455"/>
      <c r="X833" s="454"/>
      <c r="Y833" s="455"/>
      <c r="Z833" s="454"/>
      <c r="AA833" s="455"/>
      <c r="AB833" s="454"/>
      <c r="AC833" s="455"/>
      <c r="AD833" s="454"/>
      <c r="AE833" s="455"/>
      <c r="AF833" s="454"/>
      <c r="AG833" s="455"/>
    </row>
    <row r="834" spans="1:33" x14ac:dyDescent="0.2">
      <c r="A834" s="415">
        <f t="shared" si="25"/>
        <v>1424</v>
      </c>
      <c r="B834" s="416" t="str">
        <f t="shared" si="26"/>
        <v>Summer</v>
      </c>
      <c r="C834" s="453"/>
      <c r="D834" s="454"/>
      <c r="E834" s="455"/>
      <c r="F834" s="454"/>
      <c r="G834" s="455"/>
      <c r="H834" s="454"/>
      <c r="I834" s="455"/>
      <c r="J834" s="454"/>
      <c r="K834" s="455"/>
      <c r="L834" s="454"/>
      <c r="M834" s="455"/>
      <c r="N834" s="454"/>
      <c r="O834" s="455"/>
      <c r="P834" s="454"/>
      <c r="Q834" s="455"/>
      <c r="R834" s="454"/>
      <c r="S834" s="455"/>
      <c r="T834" s="454"/>
      <c r="U834" s="455"/>
      <c r="V834" s="454"/>
      <c r="W834" s="455"/>
      <c r="X834" s="454"/>
      <c r="Y834" s="455"/>
      <c r="Z834" s="454"/>
      <c r="AA834" s="455"/>
      <c r="AB834" s="454"/>
      <c r="AC834" s="455"/>
      <c r="AD834" s="454"/>
      <c r="AE834" s="455"/>
      <c r="AF834" s="454"/>
      <c r="AG834" s="455"/>
    </row>
    <row r="835" spans="1:33" x14ac:dyDescent="0.2">
      <c r="A835" s="415">
        <f t="shared" si="25"/>
        <v>1424</v>
      </c>
      <c r="B835" s="416" t="str">
        <f t="shared" si="26"/>
        <v>Autumn</v>
      </c>
      <c r="C835" s="453"/>
      <c r="D835" s="454"/>
      <c r="E835" s="455"/>
      <c r="F835" s="454"/>
      <c r="G835" s="455"/>
      <c r="H835" s="454"/>
      <c r="I835" s="455"/>
      <c r="J835" s="454"/>
      <c r="K835" s="455"/>
      <c r="L835" s="454"/>
      <c r="M835" s="455"/>
      <c r="N835" s="454"/>
      <c r="O835" s="455"/>
      <c r="P835" s="454"/>
      <c r="Q835" s="455"/>
      <c r="R835" s="454"/>
      <c r="S835" s="455"/>
      <c r="T835" s="454"/>
      <c r="U835" s="455"/>
      <c r="V835" s="454"/>
      <c r="W835" s="455"/>
      <c r="X835" s="454"/>
      <c r="Y835" s="455"/>
      <c r="Z835" s="454"/>
      <c r="AA835" s="455"/>
      <c r="AB835" s="454"/>
      <c r="AC835" s="455"/>
      <c r="AD835" s="454"/>
      <c r="AE835" s="455"/>
      <c r="AF835" s="454"/>
      <c r="AG835" s="455"/>
    </row>
    <row r="836" spans="1:33" x14ac:dyDescent="0.2">
      <c r="A836" s="415">
        <f t="shared" si="25"/>
        <v>1425</v>
      </c>
      <c r="B836" s="416" t="str">
        <f t="shared" si="26"/>
        <v>Winter</v>
      </c>
      <c r="C836" s="453"/>
      <c r="D836" s="454"/>
      <c r="E836" s="455"/>
      <c r="F836" s="454"/>
      <c r="G836" s="455"/>
      <c r="H836" s="454"/>
      <c r="I836" s="455"/>
      <c r="J836" s="454"/>
      <c r="K836" s="455"/>
      <c r="L836" s="454"/>
      <c r="M836" s="455"/>
      <c r="N836" s="454"/>
      <c r="O836" s="455"/>
      <c r="P836" s="454"/>
      <c r="Q836" s="455"/>
      <c r="R836" s="454"/>
      <c r="S836" s="455"/>
      <c r="T836" s="454"/>
      <c r="U836" s="455"/>
      <c r="V836" s="454"/>
      <c r="W836" s="455"/>
      <c r="X836" s="454"/>
      <c r="Y836" s="455"/>
      <c r="Z836" s="454"/>
      <c r="AA836" s="455"/>
      <c r="AB836" s="454"/>
      <c r="AC836" s="455"/>
      <c r="AD836" s="454"/>
      <c r="AE836" s="455"/>
      <c r="AF836" s="454"/>
      <c r="AG836" s="455"/>
    </row>
    <row r="837" spans="1:33" x14ac:dyDescent="0.2">
      <c r="A837" s="415">
        <f t="shared" ref="A837:A900" si="27">IF(B836="Autumn",A836+1,A836)</f>
        <v>1425</v>
      </c>
      <c r="B837" s="416" t="str">
        <f t="shared" si="26"/>
        <v>Spring</v>
      </c>
      <c r="C837" s="453"/>
      <c r="D837" s="454"/>
      <c r="E837" s="455"/>
      <c r="F837" s="454"/>
      <c r="G837" s="455"/>
      <c r="H837" s="454"/>
      <c r="I837" s="455"/>
      <c r="J837" s="454"/>
      <c r="K837" s="455"/>
      <c r="L837" s="454"/>
      <c r="M837" s="455"/>
      <c r="N837" s="454"/>
      <c r="O837" s="455"/>
      <c r="P837" s="454"/>
      <c r="Q837" s="455"/>
      <c r="R837" s="454"/>
      <c r="S837" s="455"/>
      <c r="T837" s="454"/>
      <c r="U837" s="455"/>
      <c r="V837" s="454"/>
      <c r="W837" s="455"/>
      <c r="X837" s="454"/>
      <c r="Y837" s="455"/>
      <c r="Z837" s="454"/>
      <c r="AA837" s="455"/>
      <c r="AB837" s="454"/>
      <c r="AC837" s="455"/>
      <c r="AD837" s="454"/>
      <c r="AE837" s="455"/>
      <c r="AF837" s="454"/>
      <c r="AG837" s="455"/>
    </row>
    <row r="838" spans="1:33" x14ac:dyDescent="0.2">
      <c r="A838" s="415">
        <f t="shared" si="27"/>
        <v>1425</v>
      </c>
      <c r="B838" s="416" t="str">
        <f t="shared" si="26"/>
        <v>Summer</v>
      </c>
      <c r="C838" s="453"/>
      <c r="D838" s="454"/>
      <c r="E838" s="455"/>
      <c r="F838" s="454"/>
      <c r="G838" s="455"/>
      <c r="H838" s="454"/>
      <c r="I838" s="455"/>
      <c r="J838" s="454"/>
      <c r="K838" s="455"/>
      <c r="L838" s="454"/>
      <c r="M838" s="455"/>
      <c r="N838" s="454"/>
      <c r="O838" s="455"/>
      <c r="P838" s="454"/>
      <c r="Q838" s="455"/>
      <c r="R838" s="454"/>
      <c r="S838" s="455"/>
      <c r="T838" s="454"/>
      <c r="U838" s="455"/>
      <c r="V838" s="454"/>
      <c r="W838" s="455"/>
      <c r="X838" s="454"/>
      <c r="Y838" s="455"/>
      <c r="Z838" s="454"/>
      <c r="AA838" s="455"/>
      <c r="AB838" s="454"/>
      <c r="AC838" s="455"/>
      <c r="AD838" s="454"/>
      <c r="AE838" s="455"/>
      <c r="AF838" s="454"/>
      <c r="AG838" s="455"/>
    </row>
    <row r="839" spans="1:33" x14ac:dyDescent="0.2">
      <c r="A839" s="415">
        <f t="shared" si="27"/>
        <v>1425</v>
      </c>
      <c r="B839" s="416" t="str">
        <f t="shared" si="26"/>
        <v>Autumn</v>
      </c>
      <c r="C839" s="453"/>
      <c r="D839" s="454"/>
      <c r="E839" s="455"/>
      <c r="F839" s="454"/>
      <c r="G839" s="455"/>
      <c r="H839" s="454"/>
      <c r="I839" s="455"/>
      <c r="J839" s="454"/>
      <c r="K839" s="455"/>
      <c r="L839" s="454"/>
      <c r="M839" s="455"/>
      <c r="N839" s="454"/>
      <c r="O839" s="455"/>
      <c r="P839" s="454"/>
      <c r="Q839" s="455"/>
      <c r="R839" s="454"/>
      <c r="S839" s="455"/>
      <c r="T839" s="454"/>
      <c r="U839" s="455"/>
      <c r="V839" s="454"/>
      <c r="W839" s="455"/>
      <c r="X839" s="454"/>
      <c r="Y839" s="455"/>
      <c r="Z839" s="454"/>
      <c r="AA839" s="455"/>
      <c r="AB839" s="454"/>
      <c r="AC839" s="455"/>
      <c r="AD839" s="454"/>
      <c r="AE839" s="455"/>
      <c r="AF839" s="454"/>
      <c r="AG839" s="455"/>
    </row>
    <row r="840" spans="1:33" x14ac:dyDescent="0.2">
      <c r="A840" s="415">
        <f t="shared" si="27"/>
        <v>1426</v>
      </c>
      <c r="B840" s="416" t="str">
        <f t="shared" si="26"/>
        <v>Winter</v>
      </c>
      <c r="C840" s="453"/>
      <c r="D840" s="454"/>
      <c r="E840" s="455"/>
      <c r="F840" s="454"/>
      <c r="G840" s="455"/>
      <c r="H840" s="454"/>
      <c r="I840" s="455"/>
      <c r="J840" s="454"/>
      <c r="K840" s="455"/>
      <c r="L840" s="454"/>
      <c r="M840" s="455"/>
      <c r="N840" s="454"/>
      <c r="O840" s="455"/>
      <c r="P840" s="454"/>
      <c r="Q840" s="455"/>
      <c r="R840" s="454"/>
      <c r="S840" s="455"/>
      <c r="T840" s="454"/>
      <c r="U840" s="455"/>
      <c r="V840" s="454"/>
      <c r="W840" s="455"/>
      <c r="X840" s="454"/>
      <c r="Y840" s="455"/>
      <c r="Z840" s="454"/>
      <c r="AA840" s="455"/>
      <c r="AB840" s="454"/>
      <c r="AC840" s="455"/>
      <c r="AD840" s="454"/>
      <c r="AE840" s="455"/>
      <c r="AF840" s="454"/>
      <c r="AG840" s="455"/>
    </row>
    <row r="841" spans="1:33" x14ac:dyDescent="0.2">
      <c r="A841" s="415">
        <f t="shared" si="27"/>
        <v>1426</v>
      </c>
      <c r="B841" s="416" t="str">
        <f t="shared" si="26"/>
        <v>Spring</v>
      </c>
      <c r="C841" s="453"/>
      <c r="D841" s="454"/>
      <c r="E841" s="455"/>
      <c r="F841" s="454"/>
      <c r="G841" s="455"/>
      <c r="H841" s="454"/>
      <c r="I841" s="455"/>
      <c r="J841" s="454"/>
      <c r="K841" s="455"/>
      <c r="L841" s="454"/>
      <c r="M841" s="455"/>
      <c r="N841" s="454"/>
      <c r="O841" s="455"/>
      <c r="P841" s="454"/>
      <c r="Q841" s="455"/>
      <c r="R841" s="454"/>
      <c r="S841" s="455"/>
      <c r="T841" s="454"/>
      <c r="U841" s="455"/>
      <c r="V841" s="454"/>
      <c r="W841" s="455"/>
      <c r="X841" s="454"/>
      <c r="Y841" s="455"/>
      <c r="Z841" s="454"/>
      <c r="AA841" s="455"/>
      <c r="AB841" s="454"/>
      <c r="AC841" s="455"/>
      <c r="AD841" s="454"/>
      <c r="AE841" s="455"/>
      <c r="AF841" s="454"/>
      <c r="AG841" s="455"/>
    </row>
    <row r="842" spans="1:33" x14ac:dyDescent="0.2">
      <c r="A842" s="415">
        <f t="shared" si="27"/>
        <v>1426</v>
      </c>
      <c r="B842" s="416" t="str">
        <f t="shared" si="26"/>
        <v>Summer</v>
      </c>
      <c r="C842" s="453"/>
      <c r="D842" s="454"/>
      <c r="E842" s="455"/>
      <c r="F842" s="454"/>
      <c r="G842" s="455"/>
      <c r="H842" s="454"/>
      <c r="I842" s="455"/>
      <c r="J842" s="454"/>
      <c r="K842" s="455"/>
      <c r="L842" s="454"/>
      <c r="M842" s="455"/>
      <c r="N842" s="454"/>
      <c r="O842" s="455"/>
      <c r="P842" s="454"/>
      <c r="Q842" s="455"/>
      <c r="R842" s="454"/>
      <c r="S842" s="455"/>
      <c r="T842" s="454"/>
      <c r="U842" s="455"/>
      <c r="V842" s="454"/>
      <c r="W842" s="455"/>
      <c r="X842" s="454"/>
      <c r="Y842" s="455"/>
      <c r="Z842" s="454"/>
      <c r="AA842" s="455"/>
      <c r="AB842" s="454"/>
      <c r="AC842" s="455"/>
      <c r="AD842" s="454"/>
      <c r="AE842" s="455"/>
      <c r="AF842" s="454"/>
      <c r="AG842" s="455"/>
    </row>
    <row r="843" spans="1:33" x14ac:dyDescent="0.2">
      <c r="A843" s="415">
        <f t="shared" si="27"/>
        <v>1426</v>
      </c>
      <c r="B843" s="416" t="str">
        <f t="shared" si="26"/>
        <v>Autumn</v>
      </c>
      <c r="C843" s="453"/>
      <c r="D843" s="454"/>
      <c r="E843" s="455"/>
      <c r="F843" s="454"/>
      <c r="G843" s="455"/>
      <c r="H843" s="454"/>
      <c r="I843" s="455"/>
      <c r="J843" s="454"/>
      <c r="K843" s="455"/>
      <c r="L843" s="454"/>
      <c r="M843" s="455"/>
      <c r="N843" s="454"/>
      <c r="O843" s="455"/>
      <c r="P843" s="454"/>
      <c r="Q843" s="455"/>
      <c r="R843" s="454"/>
      <c r="S843" s="455"/>
      <c r="T843" s="454"/>
      <c r="U843" s="455"/>
      <c r="V843" s="454"/>
      <c r="W843" s="455"/>
      <c r="X843" s="454"/>
      <c r="Y843" s="455"/>
      <c r="Z843" s="454"/>
      <c r="AA843" s="455"/>
      <c r="AB843" s="454"/>
      <c r="AC843" s="455"/>
      <c r="AD843" s="454"/>
      <c r="AE843" s="455"/>
      <c r="AF843" s="454"/>
      <c r="AG843" s="455"/>
    </row>
    <row r="844" spans="1:33" x14ac:dyDescent="0.2">
      <c r="A844" s="415">
        <f t="shared" si="27"/>
        <v>1427</v>
      </c>
      <c r="B844" s="416" t="str">
        <f t="shared" si="26"/>
        <v>Winter</v>
      </c>
      <c r="C844" s="453"/>
      <c r="D844" s="454"/>
      <c r="E844" s="455"/>
      <c r="F844" s="454"/>
      <c r="G844" s="455"/>
      <c r="H844" s="454"/>
      <c r="I844" s="455"/>
      <c r="J844" s="454"/>
      <c r="K844" s="455"/>
      <c r="L844" s="454"/>
      <c r="M844" s="455"/>
      <c r="N844" s="454"/>
      <c r="O844" s="455"/>
      <c r="P844" s="454"/>
      <c r="Q844" s="455"/>
      <c r="R844" s="454"/>
      <c r="S844" s="455"/>
      <c r="T844" s="454"/>
      <c r="U844" s="455"/>
      <c r="V844" s="454"/>
      <c r="W844" s="455"/>
      <c r="X844" s="454"/>
      <c r="Y844" s="455"/>
      <c r="Z844" s="454"/>
      <c r="AA844" s="455"/>
      <c r="AB844" s="454"/>
      <c r="AC844" s="455"/>
      <c r="AD844" s="454"/>
      <c r="AE844" s="455"/>
      <c r="AF844" s="454"/>
      <c r="AG844" s="455"/>
    </row>
    <row r="845" spans="1:33" x14ac:dyDescent="0.2">
      <c r="A845" s="415">
        <f t="shared" si="27"/>
        <v>1427</v>
      </c>
      <c r="B845" s="416" t="str">
        <f t="shared" si="26"/>
        <v>Spring</v>
      </c>
      <c r="C845" s="453"/>
      <c r="D845" s="454"/>
      <c r="E845" s="455"/>
      <c r="F845" s="454"/>
      <c r="G845" s="455"/>
      <c r="H845" s="454"/>
      <c r="I845" s="455"/>
      <c r="J845" s="454"/>
      <c r="K845" s="455"/>
      <c r="L845" s="454"/>
      <c r="M845" s="455"/>
      <c r="N845" s="454"/>
      <c r="O845" s="455"/>
      <c r="P845" s="454"/>
      <c r="Q845" s="455"/>
      <c r="R845" s="454"/>
      <c r="S845" s="455"/>
      <c r="T845" s="454"/>
      <c r="U845" s="455"/>
      <c r="V845" s="454"/>
      <c r="W845" s="455"/>
      <c r="X845" s="454"/>
      <c r="Y845" s="455"/>
      <c r="Z845" s="454"/>
      <c r="AA845" s="455"/>
      <c r="AB845" s="454"/>
      <c r="AC845" s="455"/>
      <c r="AD845" s="454"/>
      <c r="AE845" s="455"/>
      <c r="AF845" s="454"/>
      <c r="AG845" s="455"/>
    </row>
    <row r="846" spans="1:33" x14ac:dyDescent="0.2">
      <c r="A846" s="415">
        <f t="shared" si="27"/>
        <v>1427</v>
      </c>
      <c r="B846" s="416" t="str">
        <f t="shared" si="26"/>
        <v>Summer</v>
      </c>
      <c r="C846" s="453"/>
      <c r="D846" s="454"/>
      <c r="E846" s="455"/>
      <c r="F846" s="454"/>
      <c r="G846" s="455"/>
      <c r="H846" s="454"/>
      <c r="I846" s="455"/>
      <c r="J846" s="454"/>
      <c r="K846" s="455"/>
      <c r="L846" s="454"/>
      <c r="M846" s="455"/>
      <c r="N846" s="454"/>
      <c r="O846" s="455"/>
      <c r="P846" s="454"/>
      <c r="Q846" s="455"/>
      <c r="R846" s="454"/>
      <c r="S846" s="455"/>
      <c r="T846" s="454"/>
      <c r="U846" s="455"/>
      <c r="V846" s="454"/>
      <c r="W846" s="455"/>
      <c r="X846" s="454"/>
      <c r="Y846" s="455"/>
      <c r="Z846" s="454"/>
      <c r="AA846" s="455"/>
      <c r="AB846" s="454"/>
      <c r="AC846" s="455"/>
      <c r="AD846" s="454"/>
      <c r="AE846" s="455"/>
      <c r="AF846" s="454"/>
      <c r="AG846" s="455"/>
    </row>
    <row r="847" spans="1:33" x14ac:dyDescent="0.2">
      <c r="A847" s="415">
        <f t="shared" si="27"/>
        <v>1427</v>
      </c>
      <c r="B847" s="416" t="str">
        <f t="shared" si="26"/>
        <v>Autumn</v>
      </c>
      <c r="C847" s="453"/>
      <c r="D847" s="454"/>
      <c r="E847" s="455"/>
      <c r="F847" s="454"/>
      <c r="G847" s="455"/>
      <c r="H847" s="454"/>
      <c r="I847" s="455"/>
      <c r="J847" s="454"/>
      <c r="K847" s="455"/>
      <c r="L847" s="454"/>
      <c r="M847" s="455"/>
      <c r="N847" s="454"/>
      <c r="O847" s="455"/>
      <c r="P847" s="454"/>
      <c r="Q847" s="455"/>
      <c r="R847" s="454"/>
      <c r="S847" s="455"/>
      <c r="T847" s="454"/>
      <c r="U847" s="455"/>
      <c r="V847" s="454"/>
      <c r="W847" s="455"/>
      <c r="X847" s="454"/>
      <c r="Y847" s="455"/>
      <c r="Z847" s="454"/>
      <c r="AA847" s="455"/>
      <c r="AB847" s="454"/>
      <c r="AC847" s="455"/>
      <c r="AD847" s="454"/>
      <c r="AE847" s="455"/>
      <c r="AF847" s="454"/>
      <c r="AG847" s="455"/>
    </row>
    <row r="848" spans="1:33" x14ac:dyDescent="0.2">
      <c r="A848" s="415">
        <f t="shared" si="27"/>
        <v>1428</v>
      </c>
      <c r="B848" s="416" t="str">
        <f t="shared" si="26"/>
        <v>Winter</v>
      </c>
      <c r="C848" s="453"/>
      <c r="D848" s="454"/>
      <c r="E848" s="455"/>
      <c r="F848" s="454"/>
      <c r="G848" s="455"/>
      <c r="H848" s="454"/>
      <c r="I848" s="455"/>
      <c r="J848" s="454"/>
      <c r="K848" s="455"/>
      <c r="L848" s="454"/>
      <c r="M848" s="455"/>
      <c r="N848" s="454"/>
      <c r="O848" s="455"/>
      <c r="P848" s="454"/>
      <c r="Q848" s="455"/>
      <c r="R848" s="454"/>
      <c r="S848" s="455"/>
      <c r="T848" s="454"/>
      <c r="U848" s="455"/>
      <c r="V848" s="454"/>
      <c r="W848" s="455"/>
      <c r="X848" s="454"/>
      <c r="Y848" s="455"/>
      <c r="Z848" s="454"/>
      <c r="AA848" s="455"/>
      <c r="AB848" s="454"/>
      <c r="AC848" s="455"/>
      <c r="AD848" s="454"/>
      <c r="AE848" s="455"/>
      <c r="AF848" s="454"/>
      <c r="AG848" s="455"/>
    </row>
    <row r="849" spans="1:33" x14ac:dyDescent="0.2">
      <c r="A849" s="415">
        <f t="shared" si="27"/>
        <v>1428</v>
      </c>
      <c r="B849" s="416" t="str">
        <f t="shared" si="26"/>
        <v>Spring</v>
      </c>
      <c r="C849" s="453"/>
      <c r="D849" s="454"/>
      <c r="E849" s="455"/>
      <c r="F849" s="454"/>
      <c r="G849" s="455"/>
      <c r="H849" s="454"/>
      <c r="I849" s="455"/>
      <c r="J849" s="454"/>
      <c r="K849" s="455"/>
      <c r="L849" s="454"/>
      <c r="M849" s="455"/>
      <c r="N849" s="454"/>
      <c r="O849" s="455"/>
      <c r="P849" s="454"/>
      <c r="Q849" s="455"/>
      <c r="R849" s="454"/>
      <c r="S849" s="455"/>
      <c r="T849" s="454"/>
      <c r="U849" s="455"/>
      <c r="V849" s="454"/>
      <c r="W849" s="455"/>
      <c r="X849" s="454"/>
      <c r="Y849" s="455"/>
      <c r="Z849" s="454"/>
      <c r="AA849" s="455"/>
      <c r="AB849" s="454"/>
      <c r="AC849" s="455"/>
      <c r="AD849" s="454"/>
      <c r="AE849" s="455"/>
      <c r="AF849" s="454"/>
      <c r="AG849" s="455"/>
    </row>
    <row r="850" spans="1:33" x14ac:dyDescent="0.2">
      <c r="A850" s="415">
        <f t="shared" si="27"/>
        <v>1428</v>
      </c>
      <c r="B850" s="416" t="str">
        <f t="shared" si="26"/>
        <v>Summer</v>
      </c>
      <c r="C850" s="453"/>
      <c r="D850" s="454"/>
      <c r="E850" s="455"/>
      <c r="F850" s="454"/>
      <c r="G850" s="455"/>
      <c r="H850" s="454"/>
      <c r="I850" s="455"/>
      <c r="J850" s="454"/>
      <c r="K850" s="455"/>
      <c r="L850" s="454"/>
      <c r="M850" s="455"/>
      <c r="N850" s="454"/>
      <c r="O850" s="455"/>
      <c r="P850" s="454"/>
      <c r="Q850" s="455"/>
      <c r="R850" s="454"/>
      <c r="S850" s="455"/>
      <c r="T850" s="454"/>
      <c r="U850" s="455"/>
      <c r="V850" s="454"/>
      <c r="W850" s="455"/>
      <c r="X850" s="454"/>
      <c r="Y850" s="455"/>
      <c r="Z850" s="454"/>
      <c r="AA850" s="455"/>
      <c r="AB850" s="454"/>
      <c r="AC850" s="455"/>
      <c r="AD850" s="454"/>
      <c r="AE850" s="455"/>
      <c r="AF850" s="454"/>
      <c r="AG850" s="455"/>
    </row>
    <row r="851" spans="1:33" x14ac:dyDescent="0.2">
      <c r="A851" s="415">
        <f t="shared" si="27"/>
        <v>1428</v>
      </c>
      <c r="B851" s="416" t="str">
        <f t="shared" si="26"/>
        <v>Autumn</v>
      </c>
      <c r="C851" s="453"/>
      <c r="D851" s="454"/>
      <c r="E851" s="455"/>
      <c r="F851" s="454"/>
      <c r="G851" s="455"/>
      <c r="H851" s="454"/>
      <c r="I851" s="455"/>
      <c r="J851" s="454"/>
      <c r="K851" s="455"/>
      <c r="L851" s="454"/>
      <c r="M851" s="455"/>
      <c r="N851" s="454"/>
      <c r="O851" s="455"/>
      <c r="P851" s="454"/>
      <c r="Q851" s="455"/>
      <c r="R851" s="454"/>
      <c r="S851" s="455"/>
      <c r="T851" s="454"/>
      <c r="U851" s="455"/>
      <c r="V851" s="454"/>
      <c r="W851" s="455"/>
      <c r="X851" s="454"/>
      <c r="Y851" s="455"/>
      <c r="Z851" s="454"/>
      <c r="AA851" s="455"/>
      <c r="AB851" s="454"/>
      <c r="AC851" s="455"/>
      <c r="AD851" s="454"/>
      <c r="AE851" s="455"/>
      <c r="AF851" s="454"/>
      <c r="AG851" s="455"/>
    </row>
    <row r="852" spans="1:33" x14ac:dyDescent="0.2">
      <c r="A852" s="415">
        <f t="shared" si="27"/>
        <v>1429</v>
      </c>
      <c r="B852" s="416" t="str">
        <f t="shared" si="26"/>
        <v>Winter</v>
      </c>
      <c r="C852" s="453"/>
      <c r="D852" s="454"/>
      <c r="E852" s="455"/>
      <c r="F852" s="454"/>
      <c r="G852" s="455"/>
      <c r="H852" s="454"/>
      <c r="I852" s="455"/>
      <c r="J852" s="454"/>
      <c r="K852" s="455"/>
      <c r="L852" s="454"/>
      <c r="M852" s="455"/>
      <c r="N852" s="454"/>
      <c r="O852" s="455"/>
      <c r="P852" s="454"/>
      <c r="Q852" s="455"/>
      <c r="R852" s="454"/>
      <c r="S852" s="455"/>
      <c r="T852" s="454"/>
      <c r="U852" s="455"/>
      <c r="V852" s="454"/>
      <c r="W852" s="455"/>
      <c r="X852" s="454"/>
      <c r="Y852" s="455"/>
      <c r="Z852" s="454"/>
      <c r="AA852" s="455"/>
      <c r="AB852" s="454"/>
      <c r="AC852" s="455"/>
      <c r="AD852" s="454"/>
      <c r="AE852" s="455"/>
      <c r="AF852" s="454"/>
      <c r="AG852" s="455"/>
    </row>
    <row r="853" spans="1:33" x14ac:dyDescent="0.2">
      <c r="A853" s="415">
        <f t="shared" si="27"/>
        <v>1429</v>
      </c>
      <c r="B853" s="416" t="str">
        <f t="shared" si="26"/>
        <v>Spring</v>
      </c>
      <c r="C853" s="453"/>
      <c r="D853" s="454"/>
      <c r="E853" s="455"/>
      <c r="F853" s="454"/>
      <c r="G853" s="455"/>
      <c r="H853" s="454"/>
      <c r="I853" s="455"/>
      <c r="J853" s="454"/>
      <c r="K853" s="455"/>
      <c r="L853" s="454"/>
      <c r="M853" s="455"/>
      <c r="N853" s="454"/>
      <c r="O853" s="455"/>
      <c r="P853" s="454"/>
      <c r="Q853" s="455"/>
      <c r="R853" s="454"/>
      <c r="S853" s="455"/>
      <c r="T853" s="454"/>
      <c r="U853" s="455"/>
      <c r="V853" s="454"/>
      <c r="W853" s="455"/>
      <c r="X853" s="454"/>
      <c r="Y853" s="455"/>
      <c r="Z853" s="454"/>
      <c r="AA853" s="455"/>
      <c r="AB853" s="454"/>
      <c r="AC853" s="455"/>
      <c r="AD853" s="454"/>
      <c r="AE853" s="455"/>
      <c r="AF853" s="454"/>
      <c r="AG853" s="455"/>
    </row>
    <row r="854" spans="1:33" x14ac:dyDescent="0.2">
      <c r="A854" s="415">
        <f t="shared" si="27"/>
        <v>1429</v>
      </c>
      <c r="B854" s="416" t="str">
        <f t="shared" si="26"/>
        <v>Summer</v>
      </c>
      <c r="C854" s="453"/>
      <c r="D854" s="454"/>
      <c r="E854" s="455"/>
      <c r="F854" s="454"/>
      <c r="G854" s="455"/>
      <c r="H854" s="454"/>
      <c r="I854" s="455"/>
      <c r="J854" s="454"/>
      <c r="K854" s="455"/>
      <c r="L854" s="454"/>
      <c r="M854" s="455"/>
      <c r="N854" s="454"/>
      <c r="O854" s="455"/>
      <c r="P854" s="454"/>
      <c r="Q854" s="455"/>
      <c r="R854" s="454"/>
      <c r="S854" s="455"/>
      <c r="T854" s="454"/>
      <c r="U854" s="455"/>
      <c r="V854" s="454"/>
      <c r="W854" s="455"/>
      <c r="X854" s="454"/>
      <c r="Y854" s="455"/>
      <c r="Z854" s="454"/>
      <c r="AA854" s="455"/>
      <c r="AB854" s="454"/>
      <c r="AC854" s="455"/>
      <c r="AD854" s="454"/>
      <c r="AE854" s="455"/>
      <c r="AF854" s="454"/>
      <c r="AG854" s="455"/>
    </row>
    <row r="855" spans="1:33" x14ac:dyDescent="0.2">
      <c r="A855" s="415">
        <f t="shared" si="27"/>
        <v>1429</v>
      </c>
      <c r="B855" s="416" t="str">
        <f t="shared" si="26"/>
        <v>Autumn</v>
      </c>
      <c r="C855" s="453"/>
      <c r="D855" s="454"/>
      <c r="E855" s="455"/>
      <c r="F855" s="454"/>
      <c r="G855" s="455"/>
      <c r="H855" s="454"/>
      <c r="I855" s="455"/>
      <c r="J855" s="454"/>
      <c r="K855" s="455"/>
      <c r="L855" s="454"/>
      <c r="M855" s="455"/>
      <c r="N855" s="454"/>
      <c r="O855" s="455"/>
      <c r="P855" s="454"/>
      <c r="Q855" s="455"/>
      <c r="R855" s="454"/>
      <c r="S855" s="455"/>
      <c r="T855" s="454"/>
      <c r="U855" s="455"/>
      <c r="V855" s="454"/>
      <c r="W855" s="455"/>
      <c r="X855" s="454"/>
      <c r="Y855" s="455"/>
      <c r="Z855" s="454"/>
      <c r="AA855" s="455"/>
      <c r="AB855" s="454"/>
      <c r="AC855" s="455"/>
      <c r="AD855" s="454"/>
      <c r="AE855" s="455"/>
      <c r="AF855" s="454"/>
      <c r="AG855" s="455"/>
    </row>
    <row r="856" spans="1:33" x14ac:dyDescent="0.2">
      <c r="A856" s="415">
        <f t="shared" si="27"/>
        <v>1430</v>
      </c>
      <c r="B856" s="416" t="str">
        <f t="shared" si="26"/>
        <v>Winter</v>
      </c>
      <c r="C856" s="453"/>
      <c r="D856" s="454"/>
      <c r="E856" s="455"/>
      <c r="F856" s="454"/>
      <c r="G856" s="455"/>
      <c r="H856" s="454"/>
      <c r="I856" s="455"/>
      <c r="J856" s="454"/>
      <c r="K856" s="455"/>
      <c r="L856" s="454"/>
      <c r="M856" s="455"/>
      <c r="N856" s="454"/>
      <c r="O856" s="455"/>
      <c r="P856" s="454"/>
      <c r="Q856" s="455"/>
      <c r="R856" s="454"/>
      <c r="S856" s="455"/>
      <c r="T856" s="454"/>
      <c r="U856" s="455"/>
      <c r="V856" s="454"/>
      <c r="W856" s="455"/>
      <c r="X856" s="454"/>
      <c r="Y856" s="455"/>
      <c r="Z856" s="454"/>
      <c r="AA856" s="455"/>
      <c r="AB856" s="454"/>
      <c r="AC856" s="455"/>
      <c r="AD856" s="454"/>
      <c r="AE856" s="455"/>
      <c r="AF856" s="454"/>
      <c r="AG856" s="455"/>
    </row>
    <row r="857" spans="1:33" x14ac:dyDescent="0.2">
      <c r="A857" s="415">
        <f t="shared" si="27"/>
        <v>1430</v>
      </c>
      <c r="B857" s="416" t="str">
        <f t="shared" si="26"/>
        <v>Spring</v>
      </c>
      <c r="C857" s="453"/>
      <c r="D857" s="454"/>
      <c r="E857" s="455"/>
      <c r="F857" s="454"/>
      <c r="G857" s="455"/>
      <c r="H857" s="454"/>
      <c r="I857" s="455"/>
      <c r="J857" s="454"/>
      <c r="K857" s="455"/>
      <c r="L857" s="454"/>
      <c r="M857" s="455"/>
      <c r="N857" s="454"/>
      <c r="O857" s="455"/>
      <c r="P857" s="454"/>
      <c r="Q857" s="455"/>
      <c r="R857" s="454"/>
      <c r="S857" s="455"/>
      <c r="T857" s="454"/>
      <c r="U857" s="455"/>
      <c r="V857" s="454"/>
      <c r="W857" s="455"/>
      <c r="X857" s="454"/>
      <c r="Y857" s="455"/>
      <c r="Z857" s="454"/>
      <c r="AA857" s="455"/>
      <c r="AB857" s="454"/>
      <c r="AC857" s="455"/>
      <c r="AD857" s="454"/>
      <c r="AE857" s="455"/>
      <c r="AF857" s="454"/>
      <c r="AG857" s="455"/>
    </row>
    <row r="858" spans="1:33" x14ac:dyDescent="0.2">
      <c r="A858" s="415">
        <f t="shared" si="27"/>
        <v>1430</v>
      </c>
      <c r="B858" s="416" t="str">
        <f t="shared" si="26"/>
        <v>Summer</v>
      </c>
      <c r="C858" s="453"/>
      <c r="D858" s="454"/>
      <c r="E858" s="455"/>
      <c r="F858" s="454"/>
      <c r="G858" s="455"/>
      <c r="H858" s="454"/>
      <c r="I858" s="455"/>
      <c r="J858" s="454"/>
      <c r="K858" s="455"/>
      <c r="L858" s="454"/>
      <c r="M858" s="455"/>
      <c r="N858" s="454"/>
      <c r="O858" s="455"/>
      <c r="P858" s="454"/>
      <c r="Q858" s="455"/>
      <c r="R858" s="454"/>
      <c r="S858" s="455"/>
      <c r="T858" s="454"/>
      <c r="U858" s="455"/>
      <c r="V858" s="454"/>
      <c r="W858" s="455"/>
      <c r="X858" s="454"/>
      <c r="Y858" s="455"/>
      <c r="Z858" s="454"/>
      <c r="AA858" s="455"/>
      <c r="AB858" s="454"/>
      <c r="AC858" s="455"/>
      <c r="AD858" s="454"/>
      <c r="AE858" s="455"/>
      <c r="AF858" s="454"/>
      <c r="AG858" s="455"/>
    </row>
    <row r="859" spans="1:33" x14ac:dyDescent="0.2">
      <c r="A859" s="415">
        <f t="shared" si="27"/>
        <v>1430</v>
      </c>
      <c r="B859" s="416" t="str">
        <f t="shared" si="26"/>
        <v>Autumn</v>
      </c>
      <c r="C859" s="453"/>
      <c r="D859" s="454"/>
      <c r="E859" s="455"/>
      <c r="F859" s="454"/>
      <c r="G859" s="455"/>
      <c r="H859" s="454"/>
      <c r="I859" s="455"/>
      <c r="J859" s="454"/>
      <c r="K859" s="455"/>
      <c r="L859" s="454"/>
      <c r="M859" s="455"/>
      <c r="N859" s="454"/>
      <c r="O859" s="455"/>
      <c r="P859" s="454"/>
      <c r="Q859" s="455"/>
      <c r="R859" s="454"/>
      <c r="S859" s="455"/>
      <c r="T859" s="454"/>
      <c r="U859" s="455"/>
      <c r="V859" s="454"/>
      <c r="W859" s="455"/>
      <c r="X859" s="454"/>
      <c r="Y859" s="455"/>
      <c r="Z859" s="454"/>
      <c r="AA859" s="455"/>
      <c r="AB859" s="454"/>
      <c r="AC859" s="455"/>
      <c r="AD859" s="454"/>
      <c r="AE859" s="455"/>
      <c r="AF859" s="454"/>
      <c r="AG859" s="455"/>
    </row>
    <row r="860" spans="1:33" x14ac:dyDescent="0.2">
      <c r="A860" s="415">
        <f t="shared" si="27"/>
        <v>1431</v>
      </c>
      <c r="B860" s="416" t="str">
        <f t="shared" si="26"/>
        <v>Winter</v>
      </c>
      <c r="C860" s="453"/>
      <c r="D860" s="454"/>
      <c r="E860" s="455"/>
      <c r="F860" s="454"/>
      <c r="G860" s="455"/>
      <c r="H860" s="454"/>
      <c r="I860" s="455"/>
      <c r="J860" s="454"/>
      <c r="K860" s="455"/>
      <c r="L860" s="454"/>
      <c r="M860" s="455"/>
      <c r="N860" s="454"/>
      <c r="O860" s="455"/>
      <c r="P860" s="454"/>
      <c r="Q860" s="455"/>
      <c r="R860" s="454"/>
      <c r="S860" s="455"/>
      <c r="T860" s="454"/>
      <c r="U860" s="455"/>
      <c r="V860" s="454"/>
      <c r="W860" s="455"/>
      <c r="X860" s="454"/>
      <c r="Y860" s="455"/>
      <c r="Z860" s="454"/>
      <c r="AA860" s="455"/>
      <c r="AB860" s="454"/>
      <c r="AC860" s="455"/>
      <c r="AD860" s="454"/>
      <c r="AE860" s="455"/>
      <c r="AF860" s="454"/>
      <c r="AG860" s="455"/>
    </row>
    <row r="861" spans="1:33" x14ac:dyDescent="0.2">
      <c r="A861" s="415">
        <f t="shared" si="27"/>
        <v>1431</v>
      </c>
      <c r="B861" s="416" t="str">
        <f t="shared" si="26"/>
        <v>Spring</v>
      </c>
      <c r="C861" s="453"/>
      <c r="D861" s="454"/>
      <c r="E861" s="455"/>
      <c r="F861" s="454"/>
      <c r="G861" s="455"/>
      <c r="H861" s="454"/>
      <c r="I861" s="455"/>
      <c r="J861" s="454"/>
      <c r="K861" s="455"/>
      <c r="L861" s="454"/>
      <c r="M861" s="455"/>
      <c r="N861" s="454"/>
      <c r="O861" s="455"/>
      <c r="P861" s="454"/>
      <c r="Q861" s="455"/>
      <c r="R861" s="454"/>
      <c r="S861" s="455"/>
      <c r="T861" s="454"/>
      <c r="U861" s="455"/>
      <c r="V861" s="454"/>
      <c r="W861" s="455"/>
      <c r="X861" s="454"/>
      <c r="Y861" s="455"/>
      <c r="Z861" s="454"/>
      <c r="AA861" s="455"/>
      <c r="AB861" s="454"/>
      <c r="AC861" s="455"/>
      <c r="AD861" s="454"/>
      <c r="AE861" s="455"/>
      <c r="AF861" s="454"/>
      <c r="AG861" s="455"/>
    </row>
    <row r="862" spans="1:33" x14ac:dyDescent="0.2">
      <c r="A862" s="415">
        <f t="shared" si="27"/>
        <v>1431</v>
      </c>
      <c r="B862" s="416" t="str">
        <f t="shared" si="26"/>
        <v>Summer</v>
      </c>
      <c r="C862" s="453"/>
      <c r="D862" s="454"/>
      <c r="E862" s="455"/>
      <c r="F862" s="454"/>
      <c r="G862" s="455"/>
      <c r="H862" s="454"/>
      <c r="I862" s="455"/>
      <c r="J862" s="454"/>
      <c r="K862" s="455"/>
      <c r="L862" s="454"/>
      <c r="M862" s="455"/>
      <c r="N862" s="454"/>
      <c r="O862" s="455"/>
      <c r="P862" s="454"/>
      <c r="Q862" s="455"/>
      <c r="R862" s="454"/>
      <c r="S862" s="455"/>
      <c r="T862" s="454"/>
      <c r="U862" s="455"/>
      <c r="V862" s="454"/>
      <c r="W862" s="455"/>
      <c r="X862" s="454"/>
      <c r="Y862" s="455"/>
      <c r="Z862" s="454"/>
      <c r="AA862" s="455"/>
      <c r="AB862" s="454"/>
      <c r="AC862" s="455"/>
      <c r="AD862" s="454"/>
      <c r="AE862" s="455"/>
      <c r="AF862" s="454"/>
      <c r="AG862" s="455"/>
    </row>
    <row r="863" spans="1:33" x14ac:dyDescent="0.2">
      <c r="A863" s="415">
        <f t="shared" si="27"/>
        <v>1431</v>
      </c>
      <c r="B863" s="416" t="str">
        <f t="shared" si="26"/>
        <v>Autumn</v>
      </c>
      <c r="C863" s="453"/>
      <c r="D863" s="454"/>
      <c r="E863" s="455"/>
      <c r="F863" s="454"/>
      <c r="G863" s="455"/>
      <c r="H863" s="454"/>
      <c r="I863" s="455"/>
      <c r="J863" s="454"/>
      <c r="K863" s="455"/>
      <c r="L863" s="454"/>
      <c r="M863" s="455"/>
      <c r="N863" s="454"/>
      <c r="O863" s="455"/>
      <c r="P863" s="454"/>
      <c r="Q863" s="455"/>
      <c r="R863" s="454"/>
      <c r="S863" s="455"/>
      <c r="T863" s="454"/>
      <c r="U863" s="455"/>
      <c r="V863" s="454"/>
      <c r="W863" s="455"/>
      <c r="X863" s="454"/>
      <c r="Y863" s="455"/>
      <c r="Z863" s="454"/>
      <c r="AA863" s="455"/>
      <c r="AB863" s="454"/>
      <c r="AC863" s="455"/>
      <c r="AD863" s="454"/>
      <c r="AE863" s="455"/>
      <c r="AF863" s="454"/>
      <c r="AG863" s="455"/>
    </row>
    <row r="864" spans="1:33" x14ac:dyDescent="0.2">
      <c r="A864" s="415">
        <f t="shared" si="27"/>
        <v>1432</v>
      </c>
      <c r="B864" s="416" t="str">
        <f t="shared" si="26"/>
        <v>Winter</v>
      </c>
      <c r="C864" s="453"/>
      <c r="D864" s="454"/>
      <c r="E864" s="455"/>
      <c r="F864" s="454"/>
      <c r="G864" s="455"/>
      <c r="H864" s="454"/>
      <c r="I864" s="455"/>
      <c r="J864" s="454"/>
      <c r="K864" s="455"/>
      <c r="L864" s="454"/>
      <c r="M864" s="455"/>
      <c r="N864" s="454"/>
      <c r="O864" s="455"/>
      <c r="P864" s="454"/>
      <c r="Q864" s="455"/>
      <c r="R864" s="454"/>
      <c r="S864" s="455"/>
      <c r="T864" s="454"/>
      <c r="U864" s="455"/>
      <c r="V864" s="454"/>
      <c r="W864" s="455"/>
      <c r="X864" s="454"/>
      <c r="Y864" s="455"/>
      <c r="Z864" s="454"/>
      <c r="AA864" s="455"/>
      <c r="AB864" s="454"/>
      <c r="AC864" s="455"/>
      <c r="AD864" s="454"/>
      <c r="AE864" s="455"/>
      <c r="AF864" s="454"/>
      <c r="AG864" s="455"/>
    </row>
    <row r="865" spans="1:33" x14ac:dyDescent="0.2">
      <c r="A865" s="415">
        <f t="shared" si="27"/>
        <v>1432</v>
      </c>
      <c r="B865" s="416" t="str">
        <f t="shared" si="26"/>
        <v>Spring</v>
      </c>
      <c r="C865" s="453"/>
      <c r="D865" s="454"/>
      <c r="E865" s="455"/>
      <c r="F865" s="454"/>
      <c r="G865" s="455"/>
      <c r="H865" s="454"/>
      <c r="I865" s="455"/>
      <c r="J865" s="454"/>
      <c r="K865" s="455"/>
      <c r="L865" s="454"/>
      <c r="M865" s="455"/>
      <c r="N865" s="454"/>
      <c r="O865" s="455"/>
      <c r="P865" s="454"/>
      <c r="Q865" s="455"/>
      <c r="R865" s="454"/>
      <c r="S865" s="455"/>
      <c r="T865" s="454"/>
      <c r="U865" s="455"/>
      <c r="V865" s="454"/>
      <c r="W865" s="455"/>
      <c r="X865" s="454"/>
      <c r="Y865" s="455"/>
      <c r="Z865" s="454"/>
      <c r="AA865" s="455"/>
      <c r="AB865" s="454"/>
      <c r="AC865" s="455"/>
      <c r="AD865" s="454"/>
      <c r="AE865" s="455"/>
      <c r="AF865" s="454"/>
      <c r="AG865" s="455"/>
    </row>
    <row r="866" spans="1:33" x14ac:dyDescent="0.2">
      <c r="A866" s="415">
        <f t="shared" si="27"/>
        <v>1432</v>
      </c>
      <c r="B866" s="416" t="str">
        <f t="shared" si="26"/>
        <v>Summer</v>
      </c>
      <c r="C866" s="453"/>
      <c r="D866" s="454"/>
      <c r="E866" s="455"/>
      <c r="F866" s="454"/>
      <c r="G866" s="455"/>
      <c r="H866" s="454"/>
      <c r="I866" s="455"/>
      <c r="J866" s="454"/>
      <c r="K866" s="455"/>
      <c r="L866" s="454"/>
      <c r="M866" s="455"/>
      <c r="N866" s="454"/>
      <c r="O866" s="455"/>
      <c r="P866" s="454"/>
      <c r="Q866" s="455"/>
      <c r="R866" s="454"/>
      <c r="S866" s="455"/>
      <c r="T866" s="454"/>
      <c r="U866" s="455"/>
      <c r="V866" s="454"/>
      <c r="W866" s="455"/>
      <c r="X866" s="454"/>
      <c r="Y866" s="455"/>
      <c r="Z866" s="454"/>
      <c r="AA866" s="455"/>
      <c r="AB866" s="454"/>
      <c r="AC866" s="455"/>
      <c r="AD866" s="454"/>
      <c r="AE866" s="455"/>
      <c r="AF866" s="454"/>
      <c r="AG866" s="455"/>
    </row>
    <row r="867" spans="1:33" x14ac:dyDescent="0.2">
      <c r="A867" s="415">
        <f t="shared" si="27"/>
        <v>1432</v>
      </c>
      <c r="B867" s="416" t="str">
        <f t="shared" si="26"/>
        <v>Autumn</v>
      </c>
      <c r="C867" s="453"/>
      <c r="D867" s="454"/>
      <c r="E867" s="455"/>
      <c r="F867" s="454"/>
      <c r="G867" s="455"/>
      <c r="H867" s="454"/>
      <c r="I867" s="455"/>
      <c r="J867" s="454"/>
      <c r="K867" s="455"/>
      <c r="L867" s="454"/>
      <c r="M867" s="455"/>
      <c r="N867" s="454"/>
      <c r="O867" s="455"/>
      <c r="P867" s="454"/>
      <c r="Q867" s="455"/>
      <c r="R867" s="454"/>
      <c r="S867" s="455"/>
      <c r="T867" s="454"/>
      <c r="U867" s="455"/>
      <c r="V867" s="454"/>
      <c r="W867" s="455"/>
      <c r="X867" s="454"/>
      <c r="Y867" s="455"/>
      <c r="Z867" s="454"/>
      <c r="AA867" s="455"/>
      <c r="AB867" s="454"/>
      <c r="AC867" s="455"/>
      <c r="AD867" s="454"/>
      <c r="AE867" s="455"/>
      <c r="AF867" s="454"/>
      <c r="AG867" s="455"/>
    </row>
    <row r="868" spans="1:33" x14ac:dyDescent="0.2">
      <c r="A868" s="415">
        <f t="shared" si="27"/>
        <v>1433</v>
      </c>
      <c r="B868" s="416" t="str">
        <f t="shared" si="26"/>
        <v>Winter</v>
      </c>
      <c r="C868" s="453"/>
      <c r="D868" s="454"/>
      <c r="E868" s="455"/>
      <c r="F868" s="454"/>
      <c r="G868" s="455"/>
      <c r="H868" s="454"/>
      <c r="I868" s="455"/>
      <c r="J868" s="454"/>
      <c r="K868" s="455"/>
      <c r="L868" s="454"/>
      <c r="M868" s="455"/>
      <c r="N868" s="454"/>
      <c r="O868" s="455"/>
      <c r="P868" s="454"/>
      <c r="Q868" s="455"/>
      <c r="R868" s="454"/>
      <c r="S868" s="455"/>
      <c r="T868" s="454"/>
      <c r="U868" s="455"/>
      <c r="V868" s="454"/>
      <c r="W868" s="455"/>
      <c r="X868" s="454"/>
      <c r="Y868" s="455"/>
      <c r="Z868" s="454"/>
      <c r="AA868" s="455"/>
      <c r="AB868" s="454"/>
      <c r="AC868" s="455"/>
      <c r="AD868" s="454"/>
      <c r="AE868" s="455"/>
      <c r="AF868" s="454"/>
      <c r="AG868" s="455"/>
    </row>
    <row r="869" spans="1:33" x14ac:dyDescent="0.2">
      <c r="A869" s="415">
        <f t="shared" si="27"/>
        <v>1433</v>
      </c>
      <c r="B869" s="416" t="str">
        <f t="shared" si="26"/>
        <v>Spring</v>
      </c>
      <c r="C869" s="453"/>
      <c r="D869" s="454"/>
      <c r="E869" s="455"/>
      <c r="F869" s="454"/>
      <c r="G869" s="455"/>
      <c r="H869" s="454"/>
      <c r="I869" s="455"/>
      <c r="J869" s="454"/>
      <c r="K869" s="455"/>
      <c r="L869" s="454"/>
      <c r="M869" s="455"/>
      <c r="N869" s="454"/>
      <c r="O869" s="455"/>
      <c r="P869" s="454"/>
      <c r="Q869" s="455"/>
      <c r="R869" s="454"/>
      <c r="S869" s="455"/>
      <c r="T869" s="454"/>
      <c r="U869" s="455"/>
      <c r="V869" s="454"/>
      <c r="W869" s="455"/>
      <c r="X869" s="454"/>
      <c r="Y869" s="455"/>
      <c r="Z869" s="454"/>
      <c r="AA869" s="455"/>
      <c r="AB869" s="454"/>
      <c r="AC869" s="455"/>
      <c r="AD869" s="454"/>
      <c r="AE869" s="455"/>
      <c r="AF869" s="454"/>
      <c r="AG869" s="455"/>
    </row>
    <row r="870" spans="1:33" x14ac:dyDescent="0.2">
      <c r="A870" s="415">
        <f t="shared" si="27"/>
        <v>1433</v>
      </c>
      <c r="B870" s="416" t="str">
        <f t="shared" si="26"/>
        <v>Summer</v>
      </c>
      <c r="C870" s="453"/>
      <c r="D870" s="454"/>
      <c r="E870" s="455"/>
      <c r="F870" s="454"/>
      <c r="G870" s="455"/>
      <c r="H870" s="454"/>
      <c r="I870" s="455"/>
      <c r="J870" s="454"/>
      <c r="K870" s="455"/>
      <c r="L870" s="454"/>
      <c r="M870" s="455"/>
      <c r="N870" s="454"/>
      <c r="O870" s="455"/>
      <c r="P870" s="454"/>
      <c r="Q870" s="455"/>
      <c r="R870" s="454"/>
      <c r="S870" s="455"/>
      <c r="T870" s="454"/>
      <c r="U870" s="455"/>
      <c r="V870" s="454"/>
      <c r="W870" s="455"/>
      <c r="X870" s="454"/>
      <c r="Y870" s="455"/>
      <c r="Z870" s="454"/>
      <c r="AA870" s="455"/>
      <c r="AB870" s="454"/>
      <c r="AC870" s="455"/>
      <c r="AD870" s="454"/>
      <c r="AE870" s="455"/>
      <c r="AF870" s="454"/>
      <c r="AG870" s="455"/>
    </row>
    <row r="871" spans="1:33" x14ac:dyDescent="0.2">
      <c r="A871" s="415">
        <f t="shared" si="27"/>
        <v>1433</v>
      </c>
      <c r="B871" s="416" t="str">
        <f t="shared" si="26"/>
        <v>Autumn</v>
      </c>
      <c r="C871" s="453"/>
      <c r="D871" s="454"/>
      <c r="E871" s="455"/>
      <c r="F871" s="454"/>
      <c r="G871" s="455"/>
      <c r="H871" s="454"/>
      <c r="I871" s="455"/>
      <c r="J871" s="454"/>
      <c r="K871" s="455"/>
      <c r="L871" s="454"/>
      <c r="M871" s="455"/>
      <c r="N871" s="454"/>
      <c r="O871" s="455"/>
      <c r="P871" s="454"/>
      <c r="Q871" s="455"/>
      <c r="R871" s="454"/>
      <c r="S871" s="455"/>
      <c r="T871" s="454"/>
      <c r="U871" s="455"/>
      <c r="V871" s="454"/>
      <c r="W871" s="455"/>
      <c r="X871" s="454"/>
      <c r="Y871" s="455"/>
      <c r="Z871" s="454"/>
      <c r="AA871" s="455"/>
      <c r="AB871" s="454"/>
      <c r="AC871" s="455"/>
      <c r="AD871" s="454"/>
      <c r="AE871" s="455"/>
      <c r="AF871" s="454"/>
      <c r="AG871" s="455"/>
    </row>
    <row r="872" spans="1:33" x14ac:dyDescent="0.2">
      <c r="A872" s="415">
        <f t="shared" si="27"/>
        <v>1434</v>
      </c>
      <c r="B872" s="416" t="str">
        <f t="shared" si="26"/>
        <v>Winter</v>
      </c>
      <c r="C872" s="453"/>
      <c r="D872" s="454"/>
      <c r="E872" s="455"/>
      <c r="F872" s="454"/>
      <c r="G872" s="455"/>
      <c r="H872" s="454"/>
      <c r="I872" s="455"/>
      <c r="J872" s="454"/>
      <c r="K872" s="455"/>
      <c r="L872" s="454"/>
      <c r="M872" s="455"/>
      <c r="N872" s="454"/>
      <c r="O872" s="455"/>
      <c r="P872" s="454"/>
      <c r="Q872" s="455"/>
      <c r="R872" s="454"/>
      <c r="S872" s="455"/>
      <c r="T872" s="454"/>
      <c r="U872" s="455"/>
      <c r="V872" s="454"/>
      <c r="W872" s="455"/>
      <c r="X872" s="454"/>
      <c r="Y872" s="455"/>
      <c r="Z872" s="454"/>
      <c r="AA872" s="455"/>
      <c r="AB872" s="454"/>
      <c r="AC872" s="455"/>
      <c r="AD872" s="454"/>
      <c r="AE872" s="455"/>
      <c r="AF872" s="454"/>
      <c r="AG872" s="455"/>
    </row>
    <row r="873" spans="1:33" x14ac:dyDescent="0.2">
      <c r="A873" s="415">
        <f t="shared" si="27"/>
        <v>1434</v>
      </c>
      <c r="B873" s="416" t="str">
        <f t="shared" si="26"/>
        <v>Spring</v>
      </c>
      <c r="C873" s="453"/>
      <c r="D873" s="454"/>
      <c r="E873" s="455"/>
      <c r="F873" s="454"/>
      <c r="G873" s="455"/>
      <c r="H873" s="454"/>
      <c r="I873" s="455"/>
      <c r="J873" s="454"/>
      <c r="K873" s="455"/>
      <c r="L873" s="454"/>
      <c r="M873" s="455"/>
      <c r="N873" s="454"/>
      <c r="O873" s="455"/>
      <c r="P873" s="454"/>
      <c r="Q873" s="455"/>
      <c r="R873" s="454"/>
      <c r="S873" s="455"/>
      <c r="T873" s="454"/>
      <c r="U873" s="455"/>
      <c r="V873" s="454"/>
      <c r="W873" s="455"/>
      <c r="X873" s="454"/>
      <c r="Y873" s="455"/>
      <c r="Z873" s="454"/>
      <c r="AA873" s="455"/>
      <c r="AB873" s="454"/>
      <c r="AC873" s="455"/>
      <c r="AD873" s="454"/>
      <c r="AE873" s="455"/>
      <c r="AF873" s="454"/>
      <c r="AG873" s="455"/>
    </row>
    <row r="874" spans="1:33" x14ac:dyDescent="0.2">
      <c r="A874" s="415">
        <f t="shared" si="27"/>
        <v>1434</v>
      </c>
      <c r="B874" s="416" t="str">
        <f t="shared" si="26"/>
        <v>Summer</v>
      </c>
      <c r="C874" s="453"/>
      <c r="D874" s="454"/>
      <c r="E874" s="455"/>
      <c r="F874" s="454"/>
      <c r="G874" s="455"/>
      <c r="H874" s="454"/>
      <c r="I874" s="455"/>
      <c r="J874" s="454"/>
      <c r="K874" s="455"/>
      <c r="L874" s="454"/>
      <c r="M874" s="455"/>
      <c r="N874" s="454"/>
      <c r="O874" s="455"/>
      <c r="P874" s="454"/>
      <c r="Q874" s="455"/>
      <c r="R874" s="454"/>
      <c r="S874" s="455"/>
      <c r="T874" s="454"/>
      <c r="U874" s="455"/>
      <c r="V874" s="454"/>
      <c r="W874" s="455"/>
      <c r="X874" s="454"/>
      <c r="Y874" s="455"/>
      <c r="Z874" s="454"/>
      <c r="AA874" s="455"/>
      <c r="AB874" s="454"/>
      <c r="AC874" s="455"/>
      <c r="AD874" s="454"/>
      <c r="AE874" s="455"/>
      <c r="AF874" s="454"/>
      <c r="AG874" s="455"/>
    </row>
    <row r="875" spans="1:33" x14ac:dyDescent="0.2">
      <c r="A875" s="415">
        <f t="shared" si="27"/>
        <v>1434</v>
      </c>
      <c r="B875" s="416" t="str">
        <f t="shared" ref="B875:B938" si="28">IF(B874="spring","Summer",IF(B874="Summer","Autumn",IF(B874="Autumn","Winter",IF(B874="Winter","Spring"," "))))</f>
        <v>Autumn</v>
      </c>
      <c r="C875" s="453"/>
      <c r="D875" s="454"/>
      <c r="E875" s="455"/>
      <c r="F875" s="454"/>
      <c r="G875" s="455"/>
      <c r="H875" s="454"/>
      <c r="I875" s="455"/>
      <c r="J875" s="454"/>
      <c r="K875" s="455"/>
      <c r="L875" s="454"/>
      <c r="M875" s="455"/>
      <c r="N875" s="454"/>
      <c r="O875" s="455"/>
      <c r="P875" s="454"/>
      <c r="Q875" s="455"/>
      <c r="R875" s="454"/>
      <c r="S875" s="455"/>
      <c r="T875" s="454"/>
      <c r="U875" s="455"/>
      <c r="V875" s="454"/>
      <c r="W875" s="455"/>
      <c r="X875" s="454"/>
      <c r="Y875" s="455"/>
      <c r="Z875" s="454"/>
      <c r="AA875" s="455"/>
      <c r="AB875" s="454"/>
      <c r="AC875" s="455"/>
      <c r="AD875" s="454"/>
      <c r="AE875" s="455"/>
      <c r="AF875" s="454"/>
      <c r="AG875" s="455"/>
    </row>
    <row r="876" spans="1:33" x14ac:dyDescent="0.2">
      <c r="A876" s="415">
        <f t="shared" si="27"/>
        <v>1435</v>
      </c>
      <c r="B876" s="416" t="str">
        <f t="shared" si="28"/>
        <v>Winter</v>
      </c>
      <c r="C876" s="453"/>
      <c r="D876" s="454"/>
      <c r="E876" s="455"/>
      <c r="F876" s="454"/>
      <c r="G876" s="455"/>
      <c r="H876" s="454"/>
      <c r="I876" s="455"/>
      <c r="J876" s="454"/>
      <c r="K876" s="455"/>
      <c r="L876" s="454"/>
      <c r="M876" s="455"/>
      <c r="N876" s="454"/>
      <c r="O876" s="455"/>
      <c r="P876" s="454"/>
      <c r="Q876" s="455"/>
      <c r="R876" s="454"/>
      <c r="S876" s="455"/>
      <c r="T876" s="454"/>
      <c r="U876" s="455"/>
      <c r="V876" s="454"/>
      <c r="W876" s="455"/>
      <c r="X876" s="454"/>
      <c r="Y876" s="455"/>
      <c r="Z876" s="454"/>
      <c r="AA876" s="455"/>
      <c r="AB876" s="454"/>
      <c r="AC876" s="455"/>
      <c r="AD876" s="454"/>
      <c r="AE876" s="455"/>
      <c r="AF876" s="454"/>
      <c r="AG876" s="455"/>
    </row>
    <row r="877" spans="1:33" x14ac:dyDescent="0.2">
      <c r="A877" s="415">
        <f t="shared" si="27"/>
        <v>1435</v>
      </c>
      <c r="B877" s="416" t="str">
        <f t="shared" si="28"/>
        <v>Spring</v>
      </c>
      <c r="C877" s="453"/>
      <c r="D877" s="454"/>
      <c r="E877" s="455"/>
      <c r="F877" s="454"/>
      <c r="G877" s="455"/>
      <c r="H877" s="454"/>
      <c r="I877" s="455"/>
      <c r="J877" s="454"/>
      <c r="K877" s="455"/>
      <c r="L877" s="454"/>
      <c r="M877" s="455"/>
      <c r="N877" s="454"/>
      <c r="O877" s="455"/>
      <c r="P877" s="454"/>
      <c r="Q877" s="455"/>
      <c r="R877" s="454"/>
      <c r="S877" s="455"/>
      <c r="T877" s="454"/>
      <c r="U877" s="455"/>
      <c r="V877" s="454"/>
      <c r="W877" s="455"/>
      <c r="X877" s="454"/>
      <c r="Y877" s="455"/>
      <c r="Z877" s="454"/>
      <c r="AA877" s="455"/>
      <c r="AB877" s="454"/>
      <c r="AC877" s="455"/>
      <c r="AD877" s="454"/>
      <c r="AE877" s="455"/>
      <c r="AF877" s="454"/>
      <c r="AG877" s="455"/>
    </row>
    <row r="878" spans="1:33" x14ac:dyDescent="0.2">
      <c r="A878" s="415">
        <f t="shared" si="27"/>
        <v>1435</v>
      </c>
      <c r="B878" s="416" t="str">
        <f t="shared" si="28"/>
        <v>Summer</v>
      </c>
      <c r="C878" s="453"/>
      <c r="D878" s="454"/>
      <c r="E878" s="455"/>
      <c r="F878" s="454"/>
      <c r="G878" s="455"/>
      <c r="H878" s="454"/>
      <c r="I878" s="455"/>
      <c r="J878" s="454"/>
      <c r="K878" s="455"/>
      <c r="L878" s="454"/>
      <c r="M878" s="455"/>
      <c r="N878" s="454"/>
      <c r="O878" s="455"/>
      <c r="P878" s="454"/>
      <c r="Q878" s="455"/>
      <c r="R878" s="454"/>
      <c r="S878" s="455"/>
      <c r="T878" s="454"/>
      <c r="U878" s="455"/>
      <c r="V878" s="454"/>
      <c r="W878" s="455"/>
      <c r="X878" s="454"/>
      <c r="Y878" s="455"/>
      <c r="Z878" s="454"/>
      <c r="AA878" s="455"/>
      <c r="AB878" s="454"/>
      <c r="AC878" s="455"/>
      <c r="AD878" s="454"/>
      <c r="AE878" s="455"/>
      <c r="AF878" s="454"/>
      <c r="AG878" s="455"/>
    </row>
    <row r="879" spans="1:33" x14ac:dyDescent="0.2">
      <c r="A879" s="415">
        <f t="shared" si="27"/>
        <v>1435</v>
      </c>
      <c r="B879" s="416" t="str">
        <f t="shared" si="28"/>
        <v>Autumn</v>
      </c>
      <c r="C879" s="453"/>
      <c r="D879" s="454"/>
      <c r="E879" s="455"/>
      <c r="F879" s="454"/>
      <c r="G879" s="455"/>
      <c r="H879" s="454"/>
      <c r="I879" s="455"/>
      <c r="J879" s="454"/>
      <c r="K879" s="455"/>
      <c r="L879" s="454"/>
      <c r="M879" s="455"/>
      <c r="N879" s="454"/>
      <c r="O879" s="455"/>
      <c r="P879" s="454"/>
      <c r="Q879" s="455"/>
      <c r="R879" s="454"/>
      <c r="S879" s="455"/>
      <c r="T879" s="454"/>
      <c r="U879" s="455"/>
      <c r="V879" s="454"/>
      <c r="W879" s="455"/>
      <c r="X879" s="454"/>
      <c r="Y879" s="455"/>
      <c r="Z879" s="454"/>
      <c r="AA879" s="455"/>
      <c r="AB879" s="454"/>
      <c r="AC879" s="455"/>
      <c r="AD879" s="454"/>
      <c r="AE879" s="455"/>
      <c r="AF879" s="454"/>
      <c r="AG879" s="455"/>
    </row>
    <row r="880" spans="1:33" x14ac:dyDescent="0.2">
      <c r="A880" s="415">
        <f t="shared" si="27"/>
        <v>1436</v>
      </c>
      <c r="B880" s="416" t="str">
        <f t="shared" si="28"/>
        <v>Winter</v>
      </c>
      <c r="C880" s="453"/>
      <c r="D880" s="454"/>
      <c r="E880" s="455"/>
      <c r="F880" s="454"/>
      <c r="G880" s="455"/>
      <c r="H880" s="454"/>
      <c r="I880" s="455"/>
      <c r="J880" s="454"/>
      <c r="K880" s="455"/>
      <c r="L880" s="454"/>
      <c r="M880" s="455"/>
      <c r="N880" s="454"/>
      <c r="O880" s="455"/>
      <c r="P880" s="454"/>
      <c r="Q880" s="455"/>
      <c r="R880" s="454"/>
      <c r="S880" s="455"/>
      <c r="T880" s="454"/>
      <c r="U880" s="455"/>
      <c r="V880" s="454"/>
      <c r="W880" s="455"/>
      <c r="X880" s="454"/>
      <c r="Y880" s="455"/>
      <c r="Z880" s="454"/>
      <c r="AA880" s="455"/>
      <c r="AB880" s="454"/>
      <c r="AC880" s="455"/>
      <c r="AD880" s="454"/>
      <c r="AE880" s="455"/>
      <c r="AF880" s="454"/>
      <c r="AG880" s="455"/>
    </row>
    <row r="881" spans="1:33" x14ac:dyDescent="0.2">
      <c r="A881" s="415">
        <f t="shared" si="27"/>
        <v>1436</v>
      </c>
      <c r="B881" s="416" t="str">
        <f t="shared" si="28"/>
        <v>Spring</v>
      </c>
      <c r="C881" s="453"/>
      <c r="D881" s="454"/>
      <c r="E881" s="455"/>
      <c r="F881" s="454"/>
      <c r="G881" s="455"/>
      <c r="H881" s="454"/>
      <c r="I881" s="455"/>
      <c r="J881" s="454"/>
      <c r="K881" s="455"/>
      <c r="L881" s="454"/>
      <c r="M881" s="455"/>
      <c r="N881" s="454"/>
      <c r="O881" s="455"/>
      <c r="P881" s="454"/>
      <c r="Q881" s="455"/>
      <c r="R881" s="454"/>
      <c r="S881" s="455"/>
      <c r="T881" s="454"/>
      <c r="U881" s="455"/>
      <c r="V881" s="454"/>
      <c r="W881" s="455"/>
      <c r="X881" s="454"/>
      <c r="Y881" s="455"/>
      <c r="Z881" s="454"/>
      <c r="AA881" s="455"/>
      <c r="AB881" s="454"/>
      <c r="AC881" s="455"/>
      <c r="AD881" s="454"/>
      <c r="AE881" s="455"/>
      <c r="AF881" s="454"/>
      <c r="AG881" s="455"/>
    </row>
    <row r="882" spans="1:33" x14ac:dyDescent="0.2">
      <c r="A882" s="415">
        <f t="shared" si="27"/>
        <v>1436</v>
      </c>
      <c r="B882" s="416" t="str">
        <f t="shared" si="28"/>
        <v>Summer</v>
      </c>
      <c r="C882" s="453"/>
      <c r="D882" s="454"/>
      <c r="E882" s="455"/>
      <c r="F882" s="454"/>
      <c r="G882" s="455"/>
      <c r="H882" s="454"/>
      <c r="I882" s="455"/>
      <c r="J882" s="454"/>
      <c r="K882" s="455"/>
      <c r="L882" s="454"/>
      <c r="M882" s="455"/>
      <c r="N882" s="454"/>
      <c r="O882" s="455"/>
      <c r="P882" s="454"/>
      <c r="Q882" s="455"/>
      <c r="R882" s="454"/>
      <c r="S882" s="455"/>
      <c r="T882" s="454"/>
      <c r="U882" s="455"/>
      <c r="V882" s="454"/>
      <c r="W882" s="455"/>
      <c r="X882" s="454"/>
      <c r="Y882" s="455"/>
      <c r="Z882" s="454"/>
      <c r="AA882" s="455"/>
      <c r="AB882" s="454"/>
      <c r="AC882" s="455"/>
      <c r="AD882" s="454"/>
      <c r="AE882" s="455"/>
      <c r="AF882" s="454"/>
      <c r="AG882" s="455"/>
    </row>
    <row r="883" spans="1:33" x14ac:dyDescent="0.2">
      <c r="A883" s="415">
        <f t="shared" si="27"/>
        <v>1436</v>
      </c>
      <c r="B883" s="416" t="str">
        <f t="shared" si="28"/>
        <v>Autumn</v>
      </c>
      <c r="C883" s="453"/>
      <c r="D883" s="454"/>
      <c r="E883" s="455"/>
      <c r="F883" s="454"/>
      <c r="G883" s="455"/>
      <c r="H883" s="454"/>
      <c r="I883" s="455"/>
      <c r="J883" s="454"/>
      <c r="K883" s="455"/>
      <c r="L883" s="454"/>
      <c r="M883" s="455"/>
      <c r="N883" s="454"/>
      <c r="O883" s="455"/>
      <c r="P883" s="454"/>
      <c r="Q883" s="455"/>
      <c r="R883" s="454"/>
      <c r="S883" s="455"/>
      <c r="T883" s="454"/>
      <c r="U883" s="455"/>
      <c r="V883" s="454"/>
      <c r="W883" s="455"/>
      <c r="X883" s="454"/>
      <c r="Y883" s="455"/>
      <c r="Z883" s="454"/>
      <c r="AA883" s="455"/>
      <c r="AB883" s="454"/>
      <c r="AC883" s="455"/>
      <c r="AD883" s="454"/>
      <c r="AE883" s="455"/>
      <c r="AF883" s="454"/>
      <c r="AG883" s="455"/>
    </row>
    <row r="884" spans="1:33" x14ac:dyDescent="0.2">
      <c r="A884" s="415">
        <f t="shared" si="27"/>
        <v>1437</v>
      </c>
      <c r="B884" s="416" t="str">
        <f t="shared" si="28"/>
        <v>Winter</v>
      </c>
      <c r="C884" s="453"/>
      <c r="D884" s="454"/>
      <c r="E884" s="455"/>
      <c r="F884" s="454"/>
      <c r="G884" s="455"/>
      <c r="H884" s="454"/>
      <c r="I884" s="455"/>
      <c r="J884" s="454"/>
      <c r="K884" s="455"/>
      <c r="L884" s="454"/>
      <c r="M884" s="455"/>
      <c r="N884" s="454"/>
      <c r="O884" s="455"/>
      <c r="P884" s="454"/>
      <c r="Q884" s="455"/>
      <c r="R884" s="454"/>
      <c r="S884" s="455"/>
      <c r="T884" s="454"/>
      <c r="U884" s="455"/>
      <c r="V884" s="454"/>
      <c r="W884" s="455"/>
      <c r="X884" s="454"/>
      <c r="Y884" s="455"/>
      <c r="Z884" s="454"/>
      <c r="AA884" s="455"/>
      <c r="AB884" s="454"/>
      <c r="AC884" s="455"/>
      <c r="AD884" s="454"/>
      <c r="AE884" s="455"/>
      <c r="AF884" s="454"/>
      <c r="AG884" s="455"/>
    </row>
    <row r="885" spans="1:33" x14ac:dyDescent="0.2">
      <c r="A885" s="415">
        <f t="shared" si="27"/>
        <v>1437</v>
      </c>
      <c r="B885" s="416" t="str">
        <f t="shared" si="28"/>
        <v>Spring</v>
      </c>
      <c r="C885" s="453"/>
      <c r="D885" s="454"/>
      <c r="E885" s="455"/>
      <c r="F885" s="454"/>
      <c r="G885" s="455"/>
      <c r="H885" s="454"/>
      <c r="I885" s="455"/>
      <c r="J885" s="454"/>
      <c r="K885" s="455"/>
      <c r="L885" s="454"/>
      <c r="M885" s="455"/>
      <c r="N885" s="454"/>
      <c r="O885" s="455"/>
      <c r="P885" s="454"/>
      <c r="Q885" s="455"/>
      <c r="R885" s="454"/>
      <c r="S885" s="455"/>
      <c r="T885" s="454"/>
      <c r="U885" s="455"/>
      <c r="V885" s="454"/>
      <c r="W885" s="455"/>
      <c r="X885" s="454"/>
      <c r="Y885" s="455"/>
      <c r="Z885" s="454"/>
      <c r="AA885" s="455"/>
      <c r="AB885" s="454"/>
      <c r="AC885" s="455"/>
      <c r="AD885" s="454"/>
      <c r="AE885" s="455"/>
      <c r="AF885" s="454"/>
      <c r="AG885" s="455"/>
    </row>
    <row r="886" spans="1:33" x14ac:dyDescent="0.2">
      <c r="A886" s="415">
        <f t="shared" si="27"/>
        <v>1437</v>
      </c>
      <c r="B886" s="416" t="str">
        <f t="shared" si="28"/>
        <v>Summer</v>
      </c>
      <c r="C886" s="453"/>
      <c r="D886" s="454"/>
      <c r="E886" s="455"/>
      <c r="F886" s="454"/>
      <c r="G886" s="455"/>
      <c r="H886" s="454"/>
      <c r="I886" s="455"/>
      <c r="J886" s="454"/>
      <c r="K886" s="455"/>
      <c r="L886" s="454"/>
      <c r="M886" s="455"/>
      <c r="N886" s="454"/>
      <c r="O886" s="455"/>
      <c r="P886" s="454"/>
      <c r="Q886" s="455"/>
      <c r="R886" s="454"/>
      <c r="S886" s="455"/>
      <c r="T886" s="454"/>
      <c r="U886" s="455"/>
      <c r="V886" s="454"/>
      <c r="W886" s="455"/>
      <c r="X886" s="454"/>
      <c r="Y886" s="455"/>
      <c r="Z886" s="454"/>
      <c r="AA886" s="455"/>
      <c r="AB886" s="454"/>
      <c r="AC886" s="455"/>
      <c r="AD886" s="454"/>
      <c r="AE886" s="455"/>
      <c r="AF886" s="454"/>
      <c r="AG886" s="455"/>
    </row>
    <row r="887" spans="1:33" x14ac:dyDescent="0.2">
      <c r="A887" s="415">
        <f t="shared" si="27"/>
        <v>1437</v>
      </c>
      <c r="B887" s="416" t="str">
        <f t="shared" si="28"/>
        <v>Autumn</v>
      </c>
      <c r="C887" s="453"/>
      <c r="D887" s="454"/>
      <c r="E887" s="455"/>
      <c r="F887" s="454"/>
      <c r="G887" s="455"/>
      <c r="H887" s="454"/>
      <c r="I887" s="455"/>
      <c r="J887" s="454"/>
      <c r="K887" s="455"/>
      <c r="L887" s="454"/>
      <c r="M887" s="455"/>
      <c r="N887" s="454"/>
      <c r="O887" s="455"/>
      <c r="P887" s="454"/>
      <c r="Q887" s="455"/>
      <c r="R887" s="454"/>
      <c r="S887" s="455"/>
      <c r="T887" s="454"/>
      <c r="U887" s="455"/>
      <c r="V887" s="454"/>
      <c r="W887" s="455"/>
      <c r="X887" s="454"/>
      <c r="Y887" s="455"/>
      <c r="Z887" s="454"/>
      <c r="AA887" s="455"/>
      <c r="AB887" s="454"/>
      <c r="AC887" s="455"/>
      <c r="AD887" s="454"/>
      <c r="AE887" s="455"/>
      <c r="AF887" s="454"/>
      <c r="AG887" s="455"/>
    </row>
    <row r="888" spans="1:33" x14ac:dyDescent="0.2">
      <c r="A888" s="415">
        <f t="shared" si="27"/>
        <v>1438</v>
      </c>
      <c r="B888" s="416" t="str">
        <f t="shared" si="28"/>
        <v>Winter</v>
      </c>
      <c r="C888" s="453"/>
      <c r="D888" s="454"/>
      <c r="E888" s="455"/>
      <c r="F888" s="454"/>
      <c r="G888" s="455"/>
      <c r="H888" s="454"/>
      <c r="I888" s="455"/>
      <c r="J888" s="454"/>
      <c r="K888" s="455"/>
      <c r="L888" s="454"/>
      <c r="M888" s="455"/>
      <c r="N888" s="454"/>
      <c r="O888" s="455"/>
      <c r="P888" s="454"/>
      <c r="Q888" s="455"/>
      <c r="R888" s="454"/>
      <c r="S888" s="455"/>
      <c r="T888" s="454"/>
      <c r="U888" s="455"/>
      <c r="V888" s="454"/>
      <c r="W888" s="455"/>
      <c r="X888" s="454"/>
      <c r="Y888" s="455"/>
      <c r="Z888" s="454"/>
      <c r="AA888" s="455"/>
      <c r="AB888" s="454"/>
      <c r="AC888" s="455"/>
      <c r="AD888" s="454"/>
      <c r="AE888" s="455"/>
      <c r="AF888" s="454"/>
      <c r="AG888" s="455"/>
    </row>
    <row r="889" spans="1:33" x14ac:dyDescent="0.2">
      <c r="A889" s="415">
        <f t="shared" si="27"/>
        <v>1438</v>
      </c>
      <c r="B889" s="416" t="str">
        <f t="shared" si="28"/>
        <v>Spring</v>
      </c>
      <c r="C889" s="453"/>
      <c r="D889" s="454"/>
      <c r="E889" s="455"/>
      <c r="F889" s="454"/>
      <c r="G889" s="455"/>
      <c r="H889" s="454"/>
      <c r="I889" s="455"/>
      <c r="J889" s="454"/>
      <c r="K889" s="455"/>
      <c r="L889" s="454"/>
      <c r="M889" s="455"/>
      <c r="N889" s="454"/>
      <c r="O889" s="455"/>
      <c r="P889" s="454"/>
      <c r="Q889" s="455"/>
      <c r="R889" s="454"/>
      <c r="S889" s="455"/>
      <c r="T889" s="454"/>
      <c r="U889" s="455"/>
      <c r="V889" s="454"/>
      <c r="W889" s="455"/>
      <c r="X889" s="454"/>
      <c r="Y889" s="455"/>
      <c r="Z889" s="454"/>
      <c r="AA889" s="455"/>
      <c r="AB889" s="454"/>
      <c r="AC889" s="455"/>
      <c r="AD889" s="454"/>
      <c r="AE889" s="455"/>
      <c r="AF889" s="454"/>
      <c r="AG889" s="455"/>
    </row>
    <row r="890" spans="1:33" x14ac:dyDescent="0.2">
      <c r="A890" s="415">
        <f t="shared" si="27"/>
        <v>1438</v>
      </c>
      <c r="B890" s="416" t="str">
        <f t="shared" si="28"/>
        <v>Summer</v>
      </c>
      <c r="C890" s="453"/>
      <c r="D890" s="454"/>
      <c r="E890" s="455"/>
      <c r="F890" s="454"/>
      <c r="G890" s="455"/>
      <c r="H890" s="454"/>
      <c r="I890" s="455"/>
      <c r="J890" s="454"/>
      <c r="K890" s="455"/>
      <c r="L890" s="454"/>
      <c r="M890" s="455"/>
      <c r="N890" s="454"/>
      <c r="O890" s="455"/>
      <c r="P890" s="454"/>
      <c r="Q890" s="455"/>
      <c r="R890" s="454"/>
      <c r="S890" s="455"/>
      <c r="T890" s="454"/>
      <c r="U890" s="455"/>
      <c r="V890" s="454"/>
      <c r="W890" s="455"/>
      <c r="X890" s="454"/>
      <c r="Y890" s="455"/>
      <c r="Z890" s="454"/>
      <c r="AA890" s="455"/>
      <c r="AB890" s="454"/>
      <c r="AC890" s="455"/>
      <c r="AD890" s="454"/>
      <c r="AE890" s="455"/>
      <c r="AF890" s="454"/>
      <c r="AG890" s="455"/>
    </row>
    <row r="891" spans="1:33" x14ac:dyDescent="0.2">
      <c r="A891" s="415">
        <f t="shared" si="27"/>
        <v>1438</v>
      </c>
      <c r="B891" s="416" t="str">
        <f t="shared" si="28"/>
        <v>Autumn</v>
      </c>
      <c r="C891" s="453"/>
      <c r="D891" s="454"/>
      <c r="E891" s="455"/>
      <c r="F891" s="454"/>
      <c r="G891" s="455"/>
      <c r="H891" s="454"/>
      <c r="I891" s="455"/>
      <c r="J891" s="454"/>
      <c r="K891" s="455"/>
      <c r="L891" s="454"/>
      <c r="M891" s="455"/>
      <c r="N891" s="454"/>
      <c r="O891" s="455"/>
      <c r="P891" s="454"/>
      <c r="Q891" s="455"/>
      <c r="R891" s="454"/>
      <c r="S891" s="455"/>
      <c r="T891" s="454"/>
      <c r="U891" s="455"/>
      <c r="V891" s="454"/>
      <c r="W891" s="455"/>
      <c r="X891" s="454"/>
      <c r="Y891" s="455"/>
      <c r="Z891" s="454"/>
      <c r="AA891" s="455"/>
      <c r="AB891" s="454"/>
      <c r="AC891" s="455"/>
      <c r="AD891" s="454"/>
      <c r="AE891" s="455"/>
      <c r="AF891" s="454"/>
      <c r="AG891" s="455"/>
    </row>
    <row r="892" spans="1:33" x14ac:dyDescent="0.2">
      <c r="A892" s="415">
        <f t="shared" si="27"/>
        <v>1439</v>
      </c>
      <c r="B892" s="416" t="str">
        <f t="shared" si="28"/>
        <v>Winter</v>
      </c>
      <c r="C892" s="453"/>
      <c r="D892" s="454"/>
      <c r="E892" s="455"/>
      <c r="F892" s="454"/>
      <c r="G892" s="455"/>
      <c r="H892" s="454"/>
      <c r="I892" s="455"/>
      <c r="J892" s="454"/>
      <c r="K892" s="455"/>
      <c r="L892" s="454"/>
      <c r="M892" s="455"/>
      <c r="N892" s="454"/>
      <c r="O892" s="455"/>
      <c r="P892" s="454"/>
      <c r="Q892" s="455"/>
      <c r="R892" s="454"/>
      <c r="S892" s="455"/>
      <c r="T892" s="454"/>
      <c r="U892" s="455"/>
      <c r="V892" s="454"/>
      <c r="W892" s="455"/>
      <c r="X892" s="454"/>
      <c r="Y892" s="455"/>
      <c r="Z892" s="454"/>
      <c r="AA892" s="455"/>
      <c r="AB892" s="454"/>
      <c r="AC892" s="455"/>
      <c r="AD892" s="454"/>
      <c r="AE892" s="455"/>
      <c r="AF892" s="454"/>
      <c r="AG892" s="455"/>
    </row>
    <row r="893" spans="1:33" x14ac:dyDescent="0.2">
      <c r="A893" s="415">
        <f t="shared" si="27"/>
        <v>1439</v>
      </c>
      <c r="B893" s="416" t="str">
        <f t="shared" si="28"/>
        <v>Spring</v>
      </c>
      <c r="C893" s="453"/>
      <c r="D893" s="454"/>
      <c r="E893" s="455"/>
      <c r="F893" s="454"/>
      <c r="G893" s="455"/>
      <c r="H893" s="454"/>
      <c r="I893" s="455"/>
      <c r="J893" s="454"/>
      <c r="K893" s="455"/>
      <c r="L893" s="454"/>
      <c r="M893" s="455"/>
      <c r="N893" s="454"/>
      <c r="O893" s="455"/>
      <c r="P893" s="454"/>
      <c r="Q893" s="455"/>
      <c r="R893" s="454"/>
      <c r="S893" s="455"/>
      <c r="T893" s="454"/>
      <c r="U893" s="455"/>
      <c r="V893" s="454"/>
      <c r="W893" s="455"/>
      <c r="X893" s="454"/>
      <c r="Y893" s="455"/>
      <c r="Z893" s="454"/>
      <c r="AA893" s="455"/>
      <c r="AB893" s="454"/>
      <c r="AC893" s="455"/>
      <c r="AD893" s="454"/>
      <c r="AE893" s="455"/>
      <c r="AF893" s="454"/>
      <c r="AG893" s="455"/>
    </row>
    <row r="894" spans="1:33" x14ac:dyDescent="0.2">
      <c r="A894" s="415">
        <f t="shared" si="27"/>
        <v>1439</v>
      </c>
      <c r="B894" s="416" t="str">
        <f t="shared" si="28"/>
        <v>Summer</v>
      </c>
      <c r="C894" s="453"/>
      <c r="D894" s="454"/>
      <c r="E894" s="455"/>
      <c r="F894" s="454"/>
      <c r="G894" s="455"/>
      <c r="H894" s="454"/>
      <c r="I894" s="455"/>
      <c r="J894" s="454"/>
      <c r="K894" s="455"/>
      <c r="L894" s="454"/>
      <c r="M894" s="455"/>
      <c r="N894" s="454"/>
      <c r="O894" s="455"/>
      <c r="P894" s="454"/>
      <c r="Q894" s="455"/>
      <c r="R894" s="454"/>
      <c r="S894" s="455"/>
      <c r="T894" s="454"/>
      <c r="U894" s="455"/>
      <c r="V894" s="454"/>
      <c r="W894" s="455"/>
      <c r="X894" s="454"/>
      <c r="Y894" s="455"/>
      <c r="Z894" s="454"/>
      <c r="AA894" s="455"/>
      <c r="AB894" s="454"/>
      <c r="AC894" s="455"/>
      <c r="AD894" s="454"/>
      <c r="AE894" s="455"/>
      <c r="AF894" s="454"/>
      <c r="AG894" s="455"/>
    </row>
    <row r="895" spans="1:33" x14ac:dyDescent="0.2">
      <c r="A895" s="415">
        <f t="shared" si="27"/>
        <v>1439</v>
      </c>
      <c r="B895" s="416" t="str">
        <f t="shared" si="28"/>
        <v>Autumn</v>
      </c>
      <c r="C895" s="453"/>
      <c r="D895" s="454"/>
      <c r="E895" s="455"/>
      <c r="F895" s="454"/>
      <c r="G895" s="455"/>
      <c r="H895" s="454"/>
      <c r="I895" s="455"/>
      <c r="J895" s="454"/>
      <c r="K895" s="455"/>
      <c r="L895" s="454"/>
      <c r="M895" s="455"/>
      <c r="N895" s="454"/>
      <c r="O895" s="455"/>
      <c r="P895" s="454"/>
      <c r="Q895" s="455"/>
      <c r="R895" s="454"/>
      <c r="S895" s="455"/>
      <c r="T895" s="454"/>
      <c r="U895" s="455"/>
      <c r="V895" s="454"/>
      <c r="W895" s="455"/>
      <c r="X895" s="454"/>
      <c r="Y895" s="455"/>
      <c r="Z895" s="454"/>
      <c r="AA895" s="455"/>
      <c r="AB895" s="454"/>
      <c r="AC895" s="455"/>
      <c r="AD895" s="454"/>
      <c r="AE895" s="455"/>
      <c r="AF895" s="454"/>
      <c r="AG895" s="455"/>
    </row>
    <row r="896" spans="1:33" x14ac:dyDescent="0.2">
      <c r="A896" s="415">
        <f t="shared" si="27"/>
        <v>1440</v>
      </c>
      <c r="B896" s="416" t="str">
        <f t="shared" si="28"/>
        <v>Winter</v>
      </c>
      <c r="C896" s="453"/>
      <c r="D896" s="454"/>
      <c r="E896" s="455"/>
      <c r="F896" s="454"/>
      <c r="G896" s="455"/>
      <c r="H896" s="454"/>
      <c r="I896" s="455"/>
      <c r="J896" s="454"/>
      <c r="K896" s="455"/>
      <c r="L896" s="454"/>
      <c r="M896" s="455"/>
      <c r="N896" s="454"/>
      <c r="O896" s="455"/>
      <c r="P896" s="454"/>
      <c r="Q896" s="455"/>
      <c r="R896" s="454"/>
      <c r="S896" s="455"/>
      <c r="T896" s="454"/>
      <c r="U896" s="455"/>
      <c r="V896" s="454"/>
      <c r="W896" s="455"/>
      <c r="X896" s="454"/>
      <c r="Y896" s="455"/>
      <c r="Z896" s="454"/>
      <c r="AA896" s="455"/>
      <c r="AB896" s="454"/>
      <c r="AC896" s="455"/>
      <c r="AD896" s="454"/>
      <c r="AE896" s="455"/>
      <c r="AF896" s="454"/>
      <c r="AG896" s="455"/>
    </row>
    <row r="897" spans="1:33" x14ac:dyDescent="0.2">
      <c r="A897" s="415">
        <f t="shared" si="27"/>
        <v>1440</v>
      </c>
      <c r="B897" s="416" t="str">
        <f t="shared" si="28"/>
        <v>Spring</v>
      </c>
      <c r="C897" s="453"/>
      <c r="D897" s="454"/>
      <c r="E897" s="455"/>
      <c r="F897" s="454"/>
      <c r="G897" s="455"/>
      <c r="H897" s="454"/>
      <c r="I897" s="455"/>
      <c r="J897" s="454"/>
      <c r="K897" s="455"/>
      <c r="L897" s="454"/>
      <c r="M897" s="455"/>
      <c r="N897" s="454"/>
      <c r="O897" s="455"/>
      <c r="P897" s="454"/>
      <c r="Q897" s="455"/>
      <c r="R897" s="454"/>
      <c r="S897" s="455"/>
      <c r="T897" s="454"/>
      <c r="U897" s="455"/>
      <c r="V897" s="454"/>
      <c r="W897" s="455"/>
      <c r="X897" s="454"/>
      <c r="Y897" s="455"/>
      <c r="Z897" s="454"/>
      <c r="AA897" s="455"/>
      <c r="AB897" s="454"/>
      <c r="AC897" s="455"/>
      <c r="AD897" s="454"/>
      <c r="AE897" s="455"/>
      <c r="AF897" s="454"/>
      <c r="AG897" s="455"/>
    </row>
    <row r="898" spans="1:33" x14ac:dyDescent="0.2">
      <c r="A898" s="415">
        <f t="shared" si="27"/>
        <v>1440</v>
      </c>
      <c r="B898" s="416" t="str">
        <f t="shared" si="28"/>
        <v>Summer</v>
      </c>
      <c r="C898" s="453"/>
      <c r="D898" s="454"/>
      <c r="E898" s="455"/>
      <c r="F898" s="454"/>
      <c r="G898" s="455"/>
      <c r="H898" s="454"/>
      <c r="I898" s="455"/>
      <c r="J898" s="454"/>
      <c r="K898" s="455"/>
      <c r="L898" s="454"/>
      <c r="M898" s="455"/>
      <c r="N898" s="454"/>
      <c r="O898" s="455"/>
      <c r="P898" s="454"/>
      <c r="Q898" s="455"/>
      <c r="R898" s="454"/>
      <c r="S898" s="455"/>
      <c r="T898" s="454"/>
      <c r="U898" s="455"/>
      <c r="V898" s="454"/>
      <c r="W898" s="455"/>
      <c r="X898" s="454"/>
      <c r="Y898" s="455"/>
      <c r="Z898" s="454"/>
      <c r="AA898" s="455"/>
      <c r="AB898" s="454"/>
      <c r="AC898" s="455"/>
      <c r="AD898" s="454"/>
      <c r="AE898" s="455"/>
      <c r="AF898" s="454"/>
      <c r="AG898" s="455"/>
    </row>
    <row r="899" spans="1:33" x14ac:dyDescent="0.2">
      <c r="A899" s="415">
        <f t="shared" si="27"/>
        <v>1440</v>
      </c>
      <c r="B899" s="416" t="str">
        <f t="shared" si="28"/>
        <v>Autumn</v>
      </c>
      <c r="C899" s="453"/>
      <c r="D899" s="454"/>
      <c r="E899" s="455"/>
      <c r="F899" s="454"/>
      <c r="G899" s="455"/>
      <c r="H899" s="454"/>
      <c r="I899" s="455"/>
      <c r="J899" s="454"/>
      <c r="K899" s="455"/>
      <c r="L899" s="454"/>
      <c r="M899" s="455"/>
      <c r="N899" s="454"/>
      <c r="O899" s="455"/>
      <c r="P899" s="454"/>
      <c r="Q899" s="455"/>
      <c r="R899" s="454"/>
      <c r="S899" s="455"/>
      <c r="T899" s="454"/>
      <c r="U899" s="455"/>
      <c r="V899" s="454"/>
      <c r="W899" s="455"/>
      <c r="X899" s="454"/>
      <c r="Y899" s="455"/>
      <c r="Z899" s="454"/>
      <c r="AA899" s="455"/>
      <c r="AB899" s="454"/>
      <c r="AC899" s="455"/>
      <c r="AD899" s="454"/>
      <c r="AE899" s="455"/>
      <c r="AF899" s="454"/>
      <c r="AG899" s="455"/>
    </row>
    <row r="900" spans="1:33" x14ac:dyDescent="0.2">
      <c r="A900" s="415">
        <f t="shared" si="27"/>
        <v>1441</v>
      </c>
      <c r="B900" s="416" t="str">
        <f t="shared" si="28"/>
        <v>Winter</v>
      </c>
      <c r="C900" s="453"/>
      <c r="D900" s="454"/>
      <c r="E900" s="455"/>
      <c r="F900" s="454"/>
      <c r="G900" s="455"/>
      <c r="H900" s="454"/>
      <c r="I900" s="455"/>
      <c r="J900" s="454"/>
      <c r="K900" s="455"/>
      <c r="L900" s="454"/>
      <c r="M900" s="455"/>
      <c r="N900" s="454"/>
      <c r="O900" s="455"/>
      <c r="P900" s="454"/>
      <c r="Q900" s="455"/>
      <c r="R900" s="454"/>
      <c r="S900" s="455"/>
      <c r="T900" s="454"/>
      <c r="U900" s="455"/>
      <c r="V900" s="454"/>
      <c r="W900" s="455"/>
      <c r="X900" s="454"/>
      <c r="Y900" s="455"/>
      <c r="Z900" s="454"/>
      <c r="AA900" s="455"/>
      <c r="AB900" s="454"/>
      <c r="AC900" s="455"/>
      <c r="AD900" s="454"/>
      <c r="AE900" s="455"/>
      <c r="AF900" s="454"/>
      <c r="AG900" s="455"/>
    </row>
    <row r="901" spans="1:33" x14ac:dyDescent="0.2">
      <c r="A901" s="415">
        <f t="shared" ref="A901:A964" si="29">IF(B900="Autumn",A900+1,A900)</f>
        <v>1441</v>
      </c>
      <c r="B901" s="416" t="str">
        <f t="shared" si="28"/>
        <v>Spring</v>
      </c>
      <c r="C901" s="453"/>
      <c r="D901" s="454"/>
      <c r="E901" s="455"/>
      <c r="F901" s="454"/>
      <c r="G901" s="455"/>
      <c r="H901" s="454"/>
      <c r="I901" s="455"/>
      <c r="J901" s="454"/>
      <c r="K901" s="455"/>
      <c r="L901" s="454"/>
      <c r="M901" s="455"/>
      <c r="N901" s="454"/>
      <c r="O901" s="455"/>
      <c r="P901" s="454"/>
      <c r="Q901" s="455"/>
      <c r="R901" s="454"/>
      <c r="S901" s="455"/>
      <c r="T901" s="454"/>
      <c r="U901" s="455"/>
      <c r="V901" s="454"/>
      <c r="W901" s="455"/>
      <c r="X901" s="454"/>
      <c r="Y901" s="455"/>
      <c r="Z901" s="454"/>
      <c r="AA901" s="455"/>
      <c r="AB901" s="454"/>
      <c r="AC901" s="455"/>
      <c r="AD901" s="454"/>
      <c r="AE901" s="455"/>
      <c r="AF901" s="454"/>
      <c r="AG901" s="455"/>
    </row>
    <row r="902" spans="1:33" x14ac:dyDescent="0.2">
      <c r="A902" s="415">
        <f t="shared" si="29"/>
        <v>1441</v>
      </c>
      <c r="B902" s="416" t="str">
        <f t="shared" si="28"/>
        <v>Summer</v>
      </c>
      <c r="C902" s="453"/>
      <c r="D902" s="454"/>
      <c r="E902" s="455"/>
      <c r="F902" s="454"/>
      <c r="G902" s="455"/>
      <c r="H902" s="454"/>
      <c r="I902" s="455"/>
      <c r="J902" s="454"/>
      <c r="K902" s="455"/>
      <c r="L902" s="454"/>
      <c r="M902" s="455"/>
      <c r="N902" s="454"/>
      <c r="O902" s="455"/>
      <c r="P902" s="454"/>
      <c r="Q902" s="455"/>
      <c r="R902" s="454"/>
      <c r="S902" s="455"/>
      <c r="T902" s="454"/>
      <c r="U902" s="455"/>
      <c r="V902" s="454"/>
      <c r="W902" s="455"/>
      <c r="X902" s="454"/>
      <c r="Y902" s="455"/>
      <c r="Z902" s="454"/>
      <c r="AA902" s="455"/>
      <c r="AB902" s="454"/>
      <c r="AC902" s="455"/>
      <c r="AD902" s="454"/>
      <c r="AE902" s="455"/>
      <c r="AF902" s="454"/>
      <c r="AG902" s="455"/>
    </row>
    <row r="903" spans="1:33" x14ac:dyDescent="0.2">
      <c r="A903" s="415">
        <f t="shared" si="29"/>
        <v>1441</v>
      </c>
      <c r="B903" s="416" t="str">
        <f t="shared" si="28"/>
        <v>Autumn</v>
      </c>
      <c r="C903" s="453"/>
      <c r="D903" s="454"/>
      <c r="E903" s="455"/>
      <c r="F903" s="454"/>
      <c r="G903" s="455"/>
      <c r="H903" s="454"/>
      <c r="I903" s="455"/>
      <c r="J903" s="454"/>
      <c r="K903" s="455"/>
      <c r="L903" s="454"/>
      <c r="M903" s="455"/>
      <c r="N903" s="454"/>
      <c r="O903" s="455"/>
      <c r="P903" s="454"/>
      <c r="Q903" s="455"/>
      <c r="R903" s="454"/>
      <c r="S903" s="455"/>
      <c r="T903" s="454"/>
      <c r="U903" s="455"/>
      <c r="V903" s="454"/>
      <c r="W903" s="455"/>
      <c r="X903" s="454"/>
      <c r="Y903" s="455"/>
      <c r="Z903" s="454"/>
      <c r="AA903" s="455"/>
      <c r="AB903" s="454"/>
      <c r="AC903" s="455"/>
      <c r="AD903" s="454"/>
      <c r="AE903" s="455"/>
      <c r="AF903" s="454"/>
      <c r="AG903" s="455"/>
    </row>
    <row r="904" spans="1:33" x14ac:dyDescent="0.2">
      <c r="A904" s="415">
        <f t="shared" si="29"/>
        <v>1442</v>
      </c>
      <c r="B904" s="416" t="str">
        <f t="shared" si="28"/>
        <v>Winter</v>
      </c>
      <c r="C904" s="453"/>
      <c r="D904" s="454"/>
      <c r="E904" s="455"/>
      <c r="F904" s="454"/>
      <c r="G904" s="455"/>
      <c r="H904" s="454"/>
      <c r="I904" s="455"/>
      <c r="J904" s="454"/>
      <c r="K904" s="455"/>
      <c r="L904" s="454"/>
      <c r="M904" s="455"/>
      <c r="N904" s="454"/>
      <c r="O904" s="455"/>
      <c r="P904" s="454"/>
      <c r="Q904" s="455"/>
      <c r="R904" s="454"/>
      <c r="S904" s="455"/>
      <c r="T904" s="454"/>
      <c r="U904" s="455"/>
      <c r="V904" s="454"/>
      <c r="W904" s="455"/>
      <c r="X904" s="454"/>
      <c r="Y904" s="455"/>
      <c r="Z904" s="454"/>
      <c r="AA904" s="455"/>
      <c r="AB904" s="454"/>
      <c r="AC904" s="455"/>
      <c r="AD904" s="454"/>
      <c r="AE904" s="455"/>
      <c r="AF904" s="454"/>
      <c r="AG904" s="455"/>
    </row>
    <row r="905" spans="1:33" x14ac:dyDescent="0.2">
      <c r="A905" s="415">
        <f t="shared" si="29"/>
        <v>1442</v>
      </c>
      <c r="B905" s="416" t="str">
        <f t="shared" si="28"/>
        <v>Spring</v>
      </c>
      <c r="C905" s="453"/>
      <c r="D905" s="454"/>
      <c r="E905" s="455"/>
      <c r="F905" s="454"/>
      <c r="G905" s="455"/>
      <c r="H905" s="454"/>
      <c r="I905" s="455"/>
      <c r="J905" s="454"/>
      <c r="K905" s="455"/>
      <c r="L905" s="454"/>
      <c r="M905" s="455"/>
      <c r="N905" s="454"/>
      <c r="O905" s="455"/>
      <c r="P905" s="454"/>
      <c r="Q905" s="455"/>
      <c r="R905" s="454"/>
      <c r="S905" s="455"/>
      <c r="T905" s="454"/>
      <c r="U905" s="455"/>
      <c r="V905" s="454"/>
      <c r="W905" s="455"/>
      <c r="X905" s="454"/>
      <c r="Y905" s="455"/>
      <c r="Z905" s="454"/>
      <c r="AA905" s="455"/>
      <c r="AB905" s="454"/>
      <c r="AC905" s="455"/>
      <c r="AD905" s="454"/>
      <c r="AE905" s="455"/>
      <c r="AF905" s="454"/>
      <c r="AG905" s="455"/>
    </row>
    <row r="906" spans="1:33" x14ac:dyDescent="0.2">
      <c r="A906" s="415">
        <f t="shared" si="29"/>
        <v>1442</v>
      </c>
      <c r="B906" s="416" t="str">
        <f t="shared" si="28"/>
        <v>Summer</v>
      </c>
      <c r="C906" s="453"/>
      <c r="D906" s="454"/>
      <c r="E906" s="455"/>
      <c r="F906" s="454"/>
      <c r="G906" s="455"/>
      <c r="H906" s="454"/>
      <c r="I906" s="455"/>
      <c r="J906" s="454"/>
      <c r="K906" s="455"/>
      <c r="L906" s="454"/>
      <c r="M906" s="455"/>
      <c r="N906" s="454"/>
      <c r="O906" s="455"/>
      <c r="P906" s="454"/>
      <c r="Q906" s="455"/>
      <c r="R906" s="454"/>
      <c r="S906" s="455"/>
      <c r="T906" s="454"/>
      <c r="U906" s="455"/>
      <c r="V906" s="454"/>
      <c r="W906" s="455"/>
      <c r="X906" s="454"/>
      <c r="Y906" s="455"/>
      <c r="Z906" s="454"/>
      <c r="AA906" s="455"/>
      <c r="AB906" s="454"/>
      <c r="AC906" s="455"/>
      <c r="AD906" s="454"/>
      <c r="AE906" s="455"/>
      <c r="AF906" s="454"/>
      <c r="AG906" s="455"/>
    </row>
    <row r="907" spans="1:33" x14ac:dyDescent="0.2">
      <c r="A907" s="415">
        <f t="shared" si="29"/>
        <v>1442</v>
      </c>
      <c r="B907" s="416" t="str">
        <f t="shared" si="28"/>
        <v>Autumn</v>
      </c>
      <c r="C907" s="453"/>
      <c r="D907" s="454"/>
      <c r="E907" s="455"/>
      <c r="F907" s="454"/>
      <c r="G907" s="455"/>
      <c r="H907" s="454"/>
      <c r="I907" s="455"/>
      <c r="J907" s="454"/>
      <c r="K907" s="455"/>
      <c r="L907" s="454"/>
      <c r="M907" s="455"/>
      <c r="N907" s="454"/>
      <c r="O907" s="455"/>
      <c r="P907" s="454"/>
      <c r="Q907" s="455"/>
      <c r="R907" s="454"/>
      <c r="S907" s="455"/>
      <c r="T907" s="454"/>
      <c r="U907" s="455"/>
      <c r="V907" s="454"/>
      <c r="W907" s="455"/>
      <c r="X907" s="454"/>
      <c r="Y907" s="455"/>
      <c r="Z907" s="454"/>
      <c r="AA907" s="455"/>
      <c r="AB907" s="454"/>
      <c r="AC907" s="455"/>
      <c r="AD907" s="454"/>
      <c r="AE907" s="455"/>
      <c r="AF907" s="454"/>
      <c r="AG907" s="455"/>
    </row>
    <row r="908" spans="1:33" x14ac:dyDescent="0.2">
      <c r="A908" s="415">
        <f t="shared" si="29"/>
        <v>1443</v>
      </c>
      <c r="B908" s="416" t="str">
        <f t="shared" si="28"/>
        <v>Winter</v>
      </c>
      <c r="C908" s="453"/>
      <c r="D908" s="454"/>
      <c r="E908" s="455"/>
      <c r="F908" s="454"/>
      <c r="G908" s="455"/>
      <c r="H908" s="454"/>
      <c r="I908" s="455"/>
      <c r="J908" s="454"/>
      <c r="K908" s="455"/>
      <c r="L908" s="454"/>
      <c r="M908" s="455"/>
      <c r="N908" s="454"/>
      <c r="O908" s="455"/>
      <c r="P908" s="454"/>
      <c r="Q908" s="455"/>
      <c r="R908" s="454"/>
      <c r="S908" s="455"/>
      <c r="T908" s="454"/>
      <c r="U908" s="455"/>
      <c r="V908" s="454"/>
      <c r="W908" s="455"/>
      <c r="X908" s="454"/>
      <c r="Y908" s="455"/>
      <c r="Z908" s="454"/>
      <c r="AA908" s="455"/>
      <c r="AB908" s="454"/>
      <c r="AC908" s="455"/>
      <c r="AD908" s="454"/>
      <c r="AE908" s="455"/>
      <c r="AF908" s="454"/>
      <c r="AG908" s="455"/>
    </row>
    <row r="909" spans="1:33" x14ac:dyDescent="0.2">
      <c r="A909" s="415">
        <f t="shared" si="29"/>
        <v>1443</v>
      </c>
      <c r="B909" s="416" t="str">
        <f t="shared" si="28"/>
        <v>Spring</v>
      </c>
      <c r="C909" s="453"/>
      <c r="D909" s="454"/>
      <c r="E909" s="455"/>
      <c r="F909" s="454"/>
      <c r="G909" s="455"/>
      <c r="H909" s="454"/>
      <c r="I909" s="455"/>
      <c r="J909" s="454"/>
      <c r="K909" s="455"/>
      <c r="L909" s="454"/>
      <c r="M909" s="455"/>
      <c r="N909" s="454"/>
      <c r="O909" s="455"/>
      <c r="P909" s="454"/>
      <c r="Q909" s="455"/>
      <c r="R909" s="454"/>
      <c r="S909" s="455"/>
      <c r="T909" s="454"/>
      <c r="U909" s="455"/>
      <c r="V909" s="454"/>
      <c r="W909" s="455"/>
      <c r="X909" s="454"/>
      <c r="Y909" s="455"/>
      <c r="Z909" s="454"/>
      <c r="AA909" s="455"/>
      <c r="AB909" s="454"/>
      <c r="AC909" s="455"/>
      <c r="AD909" s="454"/>
      <c r="AE909" s="455"/>
      <c r="AF909" s="454"/>
      <c r="AG909" s="455"/>
    </row>
    <row r="910" spans="1:33" x14ac:dyDescent="0.2">
      <c r="A910" s="415">
        <f t="shared" si="29"/>
        <v>1443</v>
      </c>
      <c r="B910" s="416" t="str">
        <f t="shared" si="28"/>
        <v>Summer</v>
      </c>
      <c r="C910" s="453"/>
      <c r="D910" s="454"/>
      <c r="E910" s="455"/>
      <c r="F910" s="454"/>
      <c r="G910" s="455"/>
      <c r="H910" s="454"/>
      <c r="I910" s="455"/>
      <c r="J910" s="454"/>
      <c r="K910" s="455"/>
      <c r="L910" s="454"/>
      <c r="M910" s="455"/>
      <c r="N910" s="454"/>
      <c r="O910" s="455"/>
      <c r="P910" s="454"/>
      <c r="Q910" s="455"/>
      <c r="R910" s="454"/>
      <c r="S910" s="455"/>
      <c r="T910" s="454"/>
      <c r="U910" s="455"/>
      <c r="V910" s="454"/>
      <c r="W910" s="455"/>
      <c r="X910" s="454"/>
      <c r="Y910" s="455"/>
      <c r="Z910" s="454"/>
      <c r="AA910" s="455"/>
      <c r="AB910" s="454"/>
      <c r="AC910" s="455"/>
      <c r="AD910" s="454"/>
      <c r="AE910" s="455"/>
      <c r="AF910" s="454"/>
      <c r="AG910" s="455"/>
    </row>
    <row r="911" spans="1:33" x14ac:dyDescent="0.2">
      <c r="A911" s="415">
        <f t="shared" si="29"/>
        <v>1443</v>
      </c>
      <c r="B911" s="416" t="str">
        <f t="shared" si="28"/>
        <v>Autumn</v>
      </c>
      <c r="C911" s="453"/>
      <c r="D911" s="454"/>
      <c r="E911" s="455"/>
      <c r="F911" s="454"/>
      <c r="G911" s="455"/>
      <c r="H911" s="454"/>
      <c r="I911" s="455"/>
      <c r="J911" s="454"/>
      <c r="K911" s="455"/>
      <c r="L911" s="454"/>
      <c r="M911" s="455"/>
      <c r="N911" s="454"/>
      <c r="O911" s="455"/>
      <c r="P911" s="454"/>
      <c r="Q911" s="455"/>
      <c r="R911" s="454"/>
      <c r="S911" s="455"/>
      <c r="T911" s="454"/>
      <c r="U911" s="455"/>
      <c r="V911" s="454"/>
      <c r="W911" s="455"/>
      <c r="X911" s="454"/>
      <c r="Y911" s="455"/>
      <c r="Z911" s="454"/>
      <c r="AA911" s="455"/>
      <c r="AB911" s="454"/>
      <c r="AC911" s="455"/>
      <c r="AD911" s="454"/>
      <c r="AE911" s="455"/>
      <c r="AF911" s="454"/>
      <c r="AG911" s="455"/>
    </row>
    <row r="912" spans="1:33" x14ac:dyDescent="0.2">
      <c r="A912" s="415">
        <f t="shared" si="29"/>
        <v>1444</v>
      </c>
      <c r="B912" s="416" t="str">
        <f t="shared" si="28"/>
        <v>Winter</v>
      </c>
      <c r="C912" s="453"/>
      <c r="D912" s="454"/>
      <c r="E912" s="455"/>
      <c r="F912" s="454"/>
      <c r="G912" s="455"/>
      <c r="H912" s="454"/>
      <c r="I912" s="455"/>
      <c r="J912" s="454"/>
      <c r="K912" s="455"/>
      <c r="L912" s="454"/>
      <c r="M912" s="455"/>
      <c r="N912" s="454"/>
      <c r="O912" s="455"/>
      <c r="P912" s="454"/>
      <c r="Q912" s="455"/>
      <c r="R912" s="454"/>
      <c r="S912" s="455"/>
      <c r="T912" s="454"/>
      <c r="U912" s="455"/>
      <c r="V912" s="454"/>
      <c r="W912" s="455"/>
      <c r="X912" s="454"/>
      <c r="Y912" s="455"/>
      <c r="Z912" s="454"/>
      <c r="AA912" s="455"/>
      <c r="AB912" s="454"/>
      <c r="AC912" s="455"/>
      <c r="AD912" s="454"/>
      <c r="AE912" s="455"/>
      <c r="AF912" s="454"/>
      <c r="AG912" s="455"/>
    </row>
    <row r="913" spans="1:33" x14ac:dyDescent="0.2">
      <c r="A913" s="415">
        <f t="shared" si="29"/>
        <v>1444</v>
      </c>
      <c r="B913" s="416" t="str">
        <f t="shared" si="28"/>
        <v>Spring</v>
      </c>
      <c r="C913" s="453"/>
      <c r="D913" s="454"/>
      <c r="E913" s="455"/>
      <c r="F913" s="454"/>
      <c r="G913" s="455"/>
      <c r="H913" s="454"/>
      <c r="I913" s="455"/>
      <c r="J913" s="454"/>
      <c r="K913" s="455"/>
      <c r="L913" s="454"/>
      <c r="M913" s="455"/>
      <c r="N913" s="454"/>
      <c r="O913" s="455"/>
      <c r="P913" s="454"/>
      <c r="Q913" s="455"/>
      <c r="R913" s="454"/>
      <c r="S913" s="455"/>
      <c r="T913" s="454"/>
      <c r="U913" s="455"/>
      <c r="V913" s="454"/>
      <c r="W913" s="455"/>
      <c r="X913" s="454"/>
      <c r="Y913" s="455"/>
      <c r="Z913" s="454"/>
      <c r="AA913" s="455"/>
      <c r="AB913" s="454"/>
      <c r="AC913" s="455"/>
      <c r="AD913" s="454"/>
      <c r="AE913" s="455"/>
      <c r="AF913" s="454"/>
      <c r="AG913" s="455"/>
    </row>
    <row r="914" spans="1:33" x14ac:dyDescent="0.2">
      <c r="A914" s="415">
        <f t="shared" si="29"/>
        <v>1444</v>
      </c>
      <c r="B914" s="416" t="str">
        <f t="shared" si="28"/>
        <v>Summer</v>
      </c>
      <c r="C914" s="453"/>
      <c r="D914" s="454"/>
      <c r="E914" s="455"/>
      <c r="F914" s="454"/>
      <c r="G914" s="455"/>
      <c r="H914" s="454"/>
      <c r="I914" s="455"/>
      <c r="J914" s="454"/>
      <c r="K914" s="455"/>
      <c r="L914" s="454"/>
      <c r="M914" s="455"/>
      <c r="N914" s="454"/>
      <c r="O914" s="455"/>
      <c r="P914" s="454"/>
      <c r="Q914" s="455"/>
      <c r="R914" s="454"/>
      <c r="S914" s="455"/>
      <c r="T914" s="454"/>
      <c r="U914" s="455"/>
      <c r="V914" s="454"/>
      <c r="W914" s="455"/>
      <c r="X914" s="454"/>
      <c r="Y914" s="455"/>
      <c r="Z914" s="454"/>
      <c r="AA914" s="455"/>
      <c r="AB914" s="454"/>
      <c r="AC914" s="455"/>
      <c r="AD914" s="454"/>
      <c r="AE914" s="455"/>
      <c r="AF914" s="454"/>
      <c r="AG914" s="455"/>
    </row>
    <row r="915" spans="1:33" x14ac:dyDescent="0.2">
      <c r="A915" s="415">
        <f t="shared" si="29"/>
        <v>1444</v>
      </c>
      <c r="B915" s="416" t="str">
        <f t="shared" si="28"/>
        <v>Autumn</v>
      </c>
      <c r="C915" s="453"/>
      <c r="D915" s="454"/>
      <c r="E915" s="455"/>
      <c r="F915" s="454"/>
      <c r="G915" s="455"/>
      <c r="H915" s="454"/>
      <c r="I915" s="455"/>
      <c r="J915" s="454"/>
      <c r="K915" s="455"/>
      <c r="L915" s="454"/>
      <c r="M915" s="455"/>
      <c r="N915" s="454"/>
      <c r="O915" s="455"/>
      <c r="P915" s="454"/>
      <c r="Q915" s="455"/>
      <c r="R915" s="454"/>
      <c r="S915" s="455"/>
      <c r="T915" s="454"/>
      <c r="U915" s="455"/>
      <c r="V915" s="454"/>
      <c r="W915" s="455"/>
      <c r="X915" s="454"/>
      <c r="Y915" s="455"/>
      <c r="Z915" s="454"/>
      <c r="AA915" s="455"/>
      <c r="AB915" s="454"/>
      <c r="AC915" s="455"/>
      <c r="AD915" s="454"/>
      <c r="AE915" s="455"/>
      <c r="AF915" s="454"/>
      <c r="AG915" s="455"/>
    </row>
    <row r="916" spans="1:33" x14ac:dyDescent="0.2">
      <c r="A916" s="415">
        <f t="shared" si="29"/>
        <v>1445</v>
      </c>
      <c r="B916" s="416" t="str">
        <f t="shared" si="28"/>
        <v>Winter</v>
      </c>
      <c r="C916" s="453"/>
      <c r="D916" s="454"/>
      <c r="E916" s="455"/>
      <c r="F916" s="454"/>
      <c r="G916" s="455"/>
      <c r="H916" s="454"/>
      <c r="I916" s="455"/>
      <c r="J916" s="454"/>
      <c r="K916" s="455"/>
      <c r="L916" s="454"/>
      <c r="M916" s="455"/>
      <c r="N916" s="454"/>
      <c r="O916" s="455"/>
      <c r="P916" s="454"/>
      <c r="Q916" s="455"/>
      <c r="R916" s="454"/>
      <c r="S916" s="455"/>
      <c r="T916" s="454"/>
      <c r="U916" s="455"/>
      <c r="V916" s="454"/>
      <c r="W916" s="455"/>
      <c r="X916" s="454"/>
      <c r="Y916" s="455"/>
      <c r="Z916" s="454"/>
      <c r="AA916" s="455"/>
      <c r="AB916" s="454"/>
      <c r="AC916" s="455"/>
      <c r="AD916" s="454"/>
      <c r="AE916" s="455"/>
      <c r="AF916" s="454"/>
      <c r="AG916" s="455"/>
    </row>
    <row r="917" spans="1:33" x14ac:dyDescent="0.2">
      <c r="A917" s="415">
        <f t="shared" si="29"/>
        <v>1445</v>
      </c>
      <c r="B917" s="416" t="str">
        <f t="shared" si="28"/>
        <v>Spring</v>
      </c>
      <c r="C917" s="453"/>
      <c r="D917" s="454"/>
      <c r="E917" s="455"/>
      <c r="F917" s="454"/>
      <c r="G917" s="455"/>
      <c r="H917" s="454"/>
      <c r="I917" s="455"/>
      <c r="J917" s="454"/>
      <c r="K917" s="455"/>
      <c r="L917" s="454"/>
      <c r="M917" s="455"/>
      <c r="N917" s="454"/>
      <c r="O917" s="455"/>
      <c r="P917" s="454"/>
      <c r="Q917" s="455"/>
      <c r="R917" s="454"/>
      <c r="S917" s="455"/>
      <c r="T917" s="454"/>
      <c r="U917" s="455"/>
      <c r="V917" s="454"/>
      <c r="W917" s="455"/>
      <c r="X917" s="454"/>
      <c r="Y917" s="455"/>
      <c r="Z917" s="454"/>
      <c r="AA917" s="455"/>
      <c r="AB917" s="454"/>
      <c r="AC917" s="455"/>
      <c r="AD917" s="454"/>
      <c r="AE917" s="455"/>
      <c r="AF917" s="454"/>
      <c r="AG917" s="455"/>
    </row>
    <row r="918" spans="1:33" x14ac:dyDescent="0.2">
      <c r="A918" s="415">
        <f t="shared" si="29"/>
        <v>1445</v>
      </c>
      <c r="B918" s="416" t="str">
        <f t="shared" si="28"/>
        <v>Summer</v>
      </c>
      <c r="C918" s="453"/>
      <c r="D918" s="454"/>
      <c r="E918" s="455"/>
      <c r="F918" s="454"/>
      <c r="G918" s="455"/>
      <c r="H918" s="454"/>
      <c r="I918" s="455"/>
      <c r="J918" s="454"/>
      <c r="K918" s="455"/>
      <c r="L918" s="454"/>
      <c r="M918" s="455"/>
      <c r="N918" s="454"/>
      <c r="O918" s="455"/>
      <c r="P918" s="454"/>
      <c r="Q918" s="455"/>
      <c r="R918" s="454"/>
      <c r="S918" s="455"/>
      <c r="T918" s="454"/>
      <c r="U918" s="455"/>
      <c r="V918" s="454"/>
      <c r="W918" s="455"/>
      <c r="X918" s="454"/>
      <c r="Y918" s="455"/>
      <c r="Z918" s="454"/>
      <c r="AA918" s="455"/>
      <c r="AB918" s="454"/>
      <c r="AC918" s="455"/>
      <c r="AD918" s="454"/>
      <c r="AE918" s="455"/>
      <c r="AF918" s="454"/>
      <c r="AG918" s="455"/>
    </row>
    <row r="919" spans="1:33" x14ac:dyDescent="0.2">
      <c r="A919" s="415">
        <f t="shared" si="29"/>
        <v>1445</v>
      </c>
      <c r="B919" s="416" t="str">
        <f t="shared" si="28"/>
        <v>Autumn</v>
      </c>
      <c r="C919" s="453"/>
      <c r="D919" s="454"/>
      <c r="E919" s="455"/>
      <c r="F919" s="454"/>
      <c r="G919" s="455"/>
      <c r="H919" s="454"/>
      <c r="I919" s="455"/>
      <c r="J919" s="454"/>
      <c r="K919" s="455"/>
      <c r="L919" s="454"/>
      <c r="M919" s="455"/>
      <c r="N919" s="454"/>
      <c r="O919" s="455"/>
      <c r="P919" s="454"/>
      <c r="Q919" s="455"/>
      <c r="R919" s="454"/>
      <c r="S919" s="455"/>
      <c r="T919" s="454"/>
      <c r="U919" s="455"/>
      <c r="V919" s="454"/>
      <c r="W919" s="455"/>
      <c r="X919" s="454"/>
      <c r="Y919" s="455"/>
      <c r="Z919" s="454"/>
      <c r="AA919" s="455"/>
      <c r="AB919" s="454"/>
      <c r="AC919" s="455"/>
      <c r="AD919" s="454"/>
      <c r="AE919" s="455"/>
      <c r="AF919" s="454"/>
      <c r="AG919" s="455"/>
    </row>
    <row r="920" spans="1:33" x14ac:dyDescent="0.2">
      <c r="A920" s="415">
        <f t="shared" si="29"/>
        <v>1446</v>
      </c>
      <c r="B920" s="416" t="str">
        <f t="shared" si="28"/>
        <v>Winter</v>
      </c>
      <c r="C920" s="453"/>
      <c r="D920" s="454"/>
      <c r="E920" s="455"/>
      <c r="F920" s="454"/>
      <c r="G920" s="455"/>
      <c r="H920" s="454"/>
      <c r="I920" s="455"/>
      <c r="J920" s="454"/>
      <c r="K920" s="455"/>
      <c r="L920" s="454"/>
      <c r="M920" s="455"/>
      <c r="N920" s="454"/>
      <c r="O920" s="455"/>
      <c r="P920" s="454"/>
      <c r="Q920" s="455"/>
      <c r="R920" s="454"/>
      <c r="S920" s="455"/>
      <c r="T920" s="454"/>
      <c r="U920" s="455"/>
      <c r="V920" s="454"/>
      <c r="W920" s="455"/>
      <c r="X920" s="454"/>
      <c r="Y920" s="455"/>
      <c r="Z920" s="454"/>
      <c r="AA920" s="455"/>
      <c r="AB920" s="454"/>
      <c r="AC920" s="455"/>
      <c r="AD920" s="454"/>
      <c r="AE920" s="455"/>
      <c r="AF920" s="454"/>
      <c r="AG920" s="455"/>
    </row>
    <row r="921" spans="1:33" x14ac:dyDescent="0.2">
      <c r="A921" s="415">
        <f t="shared" si="29"/>
        <v>1446</v>
      </c>
      <c r="B921" s="416" t="str">
        <f t="shared" si="28"/>
        <v>Spring</v>
      </c>
      <c r="C921" s="453"/>
      <c r="D921" s="454"/>
      <c r="E921" s="455"/>
      <c r="F921" s="454"/>
      <c r="G921" s="455"/>
      <c r="H921" s="454"/>
      <c r="I921" s="455"/>
      <c r="J921" s="454"/>
      <c r="K921" s="455"/>
      <c r="L921" s="454"/>
      <c r="M921" s="455"/>
      <c r="N921" s="454"/>
      <c r="O921" s="455"/>
      <c r="P921" s="454"/>
      <c r="Q921" s="455"/>
      <c r="R921" s="454"/>
      <c r="S921" s="455"/>
      <c r="T921" s="454"/>
      <c r="U921" s="455"/>
      <c r="V921" s="454"/>
      <c r="W921" s="455"/>
      <c r="X921" s="454"/>
      <c r="Y921" s="455"/>
      <c r="Z921" s="454"/>
      <c r="AA921" s="455"/>
      <c r="AB921" s="454"/>
      <c r="AC921" s="455"/>
      <c r="AD921" s="454"/>
      <c r="AE921" s="455"/>
      <c r="AF921" s="454"/>
      <c r="AG921" s="455"/>
    </row>
    <row r="922" spans="1:33" x14ac:dyDescent="0.2">
      <c r="A922" s="415">
        <f t="shared" si="29"/>
        <v>1446</v>
      </c>
      <c r="B922" s="416" t="str">
        <f t="shared" si="28"/>
        <v>Summer</v>
      </c>
      <c r="C922" s="453"/>
      <c r="D922" s="454"/>
      <c r="E922" s="455"/>
      <c r="F922" s="454"/>
      <c r="G922" s="455"/>
      <c r="H922" s="454"/>
      <c r="I922" s="455"/>
      <c r="J922" s="454"/>
      <c r="K922" s="455"/>
      <c r="L922" s="454"/>
      <c r="M922" s="455"/>
      <c r="N922" s="454"/>
      <c r="O922" s="455"/>
      <c r="P922" s="454"/>
      <c r="Q922" s="455"/>
      <c r="R922" s="454"/>
      <c r="S922" s="455"/>
      <c r="T922" s="454"/>
      <c r="U922" s="455"/>
      <c r="V922" s="454"/>
      <c r="W922" s="455"/>
      <c r="X922" s="454"/>
      <c r="Y922" s="455"/>
      <c r="Z922" s="454"/>
      <c r="AA922" s="455"/>
      <c r="AB922" s="454"/>
      <c r="AC922" s="455"/>
      <c r="AD922" s="454"/>
      <c r="AE922" s="455"/>
      <c r="AF922" s="454"/>
      <c r="AG922" s="455"/>
    </row>
    <row r="923" spans="1:33" x14ac:dyDescent="0.2">
      <c r="A923" s="415">
        <f t="shared" si="29"/>
        <v>1446</v>
      </c>
      <c r="B923" s="416" t="str">
        <f t="shared" si="28"/>
        <v>Autumn</v>
      </c>
      <c r="C923" s="453"/>
      <c r="D923" s="454"/>
      <c r="E923" s="455"/>
      <c r="F923" s="454"/>
      <c r="G923" s="455"/>
      <c r="H923" s="454"/>
      <c r="I923" s="455"/>
      <c r="J923" s="454"/>
      <c r="K923" s="455"/>
      <c r="L923" s="454"/>
      <c r="M923" s="455"/>
      <c r="N923" s="454"/>
      <c r="O923" s="455"/>
      <c r="P923" s="454"/>
      <c r="Q923" s="455"/>
      <c r="R923" s="454"/>
      <c r="S923" s="455"/>
      <c r="T923" s="454"/>
      <c r="U923" s="455"/>
      <c r="V923" s="454"/>
      <c r="W923" s="455"/>
      <c r="X923" s="454"/>
      <c r="Y923" s="455"/>
      <c r="Z923" s="454"/>
      <c r="AA923" s="455"/>
      <c r="AB923" s="454"/>
      <c r="AC923" s="455"/>
      <c r="AD923" s="454"/>
      <c r="AE923" s="455"/>
      <c r="AF923" s="454"/>
      <c r="AG923" s="455"/>
    </row>
    <row r="924" spans="1:33" x14ac:dyDescent="0.2">
      <c r="A924" s="415">
        <f t="shared" si="29"/>
        <v>1447</v>
      </c>
      <c r="B924" s="416" t="str">
        <f t="shared" si="28"/>
        <v>Winter</v>
      </c>
      <c r="C924" s="453"/>
      <c r="D924" s="454"/>
      <c r="E924" s="455"/>
      <c r="F924" s="454"/>
      <c r="G924" s="455"/>
      <c r="H924" s="454"/>
      <c r="I924" s="455"/>
      <c r="J924" s="454"/>
      <c r="K924" s="455"/>
      <c r="L924" s="454"/>
      <c r="M924" s="455"/>
      <c r="N924" s="454"/>
      <c r="O924" s="455"/>
      <c r="P924" s="454"/>
      <c r="Q924" s="455"/>
      <c r="R924" s="454"/>
      <c r="S924" s="455"/>
      <c r="T924" s="454"/>
      <c r="U924" s="455"/>
      <c r="V924" s="454"/>
      <c r="W924" s="455"/>
      <c r="X924" s="454"/>
      <c r="Y924" s="455"/>
      <c r="Z924" s="454"/>
      <c r="AA924" s="455"/>
      <c r="AB924" s="454"/>
      <c r="AC924" s="455"/>
      <c r="AD924" s="454"/>
      <c r="AE924" s="455"/>
      <c r="AF924" s="454"/>
      <c r="AG924" s="455"/>
    </row>
    <row r="925" spans="1:33" x14ac:dyDescent="0.2">
      <c r="A925" s="415">
        <f t="shared" si="29"/>
        <v>1447</v>
      </c>
      <c r="B925" s="416" t="str">
        <f t="shared" si="28"/>
        <v>Spring</v>
      </c>
      <c r="C925" s="453"/>
      <c r="D925" s="454"/>
      <c r="E925" s="455"/>
      <c r="F925" s="454"/>
      <c r="G925" s="455"/>
      <c r="H925" s="454"/>
      <c r="I925" s="455"/>
      <c r="J925" s="454"/>
      <c r="K925" s="455"/>
      <c r="L925" s="454"/>
      <c r="M925" s="455"/>
      <c r="N925" s="454"/>
      <c r="O925" s="455"/>
      <c r="P925" s="454"/>
      <c r="Q925" s="455"/>
      <c r="R925" s="454"/>
      <c r="S925" s="455"/>
      <c r="T925" s="454"/>
      <c r="U925" s="455"/>
      <c r="V925" s="454"/>
      <c r="W925" s="455"/>
      <c r="X925" s="454"/>
      <c r="Y925" s="455"/>
      <c r="Z925" s="454"/>
      <c r="AA925" s="455"/>
      <c r="AB925" s="454"/>
      <c r="AC925" s="455"/>
      <c r="AD925" s="454"/>
      <c r="AE925" s="455"/>
      <c r="AF925" s="454"/>
      <c r="AG925" s="455"/>
    </row>
    <row r="926" spans="1:33" x14ac:dyDescent="0.2">
      <c r="A926" s="415">
        <f t="shared" si="29"/>
        <v>1447</v>
      </c>
      <c r="B926" s="416" t="str">
        <f t="shared" si="28"/>
        <v>Summer</v>
      </c>
      <c r="C926" s="453"/>
      <c r="D926" s="454"/>
      <c r="E926" s="455"/>
      <c r="F926" s="454"/>
      <c r="G926" s="455"/>
      <c r="H926" s="454"/>
      <c r="I926" s="455"/>
      <c r="J926" s="454"/>
      <c r="K926" s="455"/>
      <c r="L926" s="454"/>
      <c r="M926" s="455"/>
      <c r="N926" s="454"/>
      <c r="O926" s="455"/>
      <c r="P926" s="454"/>
      <c r="Q926" s="455"/>
      <c r="R926" s="454"/>
      <c r="S926" s="455"/>
      <c r="T926" s="454"/>
      <c r="U926" s="455"/>
      <c r="V926" s="454"/>
      <c r="W926" s="455"/>
      <c r="X926" s="454"/>
      <c r="Y926" s="455"/>
      <c r="Z926" s="454"/>
      <c r="AA926" s="455"/>
      <c r="AB926" s="454"/>
      <c r="AC926" s="455"/>
      <c r="AD926" s="454"/>
      <c r="AE926" s="455"/>
      <c r="AF926" s="454"/>
      <c r="AG926" s="455"/>
    </row>
    <row r="927" spans="1:33" x14ac:dyDescent="0.2">
      <c r="A927" s="415">
        <f t="shared" si="29"/>
        <v>1447</v>
      </c>
      <c r="B927" s="416" t="str">
        <f t="shared" si="28"/>
        <v>Autumn</v>
      </c>
      <c r="C927" s="453"/>
      <c r="D927" s="454"/>
      <c r="E927" s="455"/>
      <c r="F927" s="454"/>
      <c r="G927" s="455"/>
      <c r="H927" s="454"/>
      <c r="I927" s="455"/>
      <c r="J927" s="454"/>
      <c r="K927" s="455"/>
      <c r="L927" s="454"/>
      <c r="M927" s="455"/>
      <c r="N927" s="454"/>
      <c r="O927" s="455"/>
      <c r="P927" s="454"/>
      <c r="Q927" s="455"/>
      <c r="R927" s="454"/>
      <c r="S927" s="455"/>
      <c r="T927" s="454"/>
      <c r="U927" s="455"/>
      <c r="V927" s="454"/>
      <c r="W927" s="455"/>
      <c r="X927" s="454"/>
      <c r="Y927" s="455"/>
      <c r="Z927" s="454"/>
      <c r="AA927" s="455"/>
      <c r="AB927" s="454"/>
      <c r="AC927" s="455"/>
      <c r="AD927" s="454"/>
      <c r="AE927" s="455"/>
      <c r="AF927" s="454"/>
      <c r="AG927" s="455"/>
    </row>
    <row r="928" spans="1:33" x14ac:dyDescent="0.2">
      <c r="A928" s="415">
        <f t="shared" si="29"/>
        <v>1448</v>
      </c>
      <c r="B928" s="416" t="str">
        <f t="shared" si="28"/>
        <v>Winter</v>
      </c>
      <c r="C928" s="453"/>
      <c r="D928" s="454"/>
      <c r="E928" s="455"/>
      <c r="F928" s="454"/>
      <c r="G928" s="455"/>
      <c r="H928" s="454"/>
      <c r="I928" s="455"/>
      <c r="J928" s="454"/>
      <c r="K928" s="455"/>
      <c r="L928" s="454"/>
      <c r="M928" s="455"/>
      <c r="N928" s="454"/>
      <c r="O928" s="455"/>
      <c r="P928" s="454"/>
      <c r="Q928" s="455"/>
      <c r="R928" s="454"/>
      <c r="S928" s="455"/>
      <c r="T928" s="454"/>
      <c r="U928" s="455"/>
      <c r="V928" s="454"/>
      <c r="W928" s="455"/>
      <c r="X928" s="454"/>
      <c r="Y928" s="455"/>
      <c r="Z928" s="454"/>
      <c r="AA928" s="455"/>
      <c r="AB928" s="454"/>
      <c r="AC928" s="455"/>
      <c r="AD928" s="454"/>
      <c r="AE928" s="455"/>
      <c r="AF928" s="454"/>
      <c r="AG928" s="455"/>
    </row>
    <row r="929" spans="1:33" x14ac:dyDescent="0.2">
      <c r="A929" s="415">
        <f t="shared" si="29"/>
        <v>1448</v>
      </c>
      <c r="B929" s="416" t="str">
        <f t="shared" si="28"/>
        <v>Spring</v>
      </c>
      <c r="C929" s="453"/>
      <c r="D929" s="454"/>
      <c r="E929" s="455"/>
      <c r="F929" s="454"/>
      <c r="G929" s="455"/>
      <c r="H929" s="454"/>
      <c r="I929" s="455"/>
      <c r="J929" s="454"/>
      <c r="K929" s="455"/>
      <c r="L929" s="454"/>
      <c r="M929" s="455"/>
      <c r="N929" s="454"/>
      <c r="O929" s="455"/>
      <c r="P929" s="454"/>
      <c r="Q929" s="455"/>
      <c r="R929" s="454"/>
      <c r="S929" s="455"/>
      <c r="T929" s="454"/>
      <c r="U929" s="455"/>
      <c r="V929" s="454"/>
      <c r="W929" s="455"/>
      <c r="X929" s="454"/>
      <c r="Y929" s="455"/>
      <c r="Z929" s="454"/>
      <c r="AA929" s="455"/>
      <c r="AB929" s="454"/>
      <c r="AC929" s="455"/>
      <c r="AD929" s="454"/>
      <c r="AE929" s="455"/>
      <c r="AF929" s="454"/>
      <c r="AG929" s="455"/>
    </row>
    <row r="930" spans="1:33" x14ac:dyDescent="0.2">
      <c r="A930" s="415">
        <f t="shared" si="29"/>
        <v>1448</v>
      </c>
      <c r="B930" s="416" t="str">
        <f t="shared" si="28"/>
        <v>Summer</v>
      </c>
      <c r="C930" s="453"/>
      <c r="D930" s="454"/>
      <c r="E930" s="455"/>
      <c r="F930" s="454"/>
      <c r="G930" s="455"/>
      <c r="H930" s="454"/>
      <c r="I930" s="455"/>
      <c r="J930" s="454"/>
      <c r="K930" s="455"/>
      <c r="L930" s="454"/>
      <c r="M930" s="455"/>
      <c r="N930" s="454"/>
      <c r="O930" s="455"/>
      <c r="P930" s="454"/>
      <c r="Q930" s="455"/>
      <c r="R930" s="454"/>
      <c r="S930" s="455"/>
      <c r="T930" s="454"/>
      <c r="U930" s="455"/>
      <c r="V930" s="454"/>
      <c r="W930" s="455"/>
      <c r="X930" s="454"/>
      <c r="Y930" s="455"/>
      <c r="Z930" s="454"/>
      <c r="AA930" s="455"/>
      <c r="AB930" s="454"/>
      <c r="AC930" s="455"/>
      <c r="AD930" s="454"/>
      <c r="AE930" s="455"/>
      <c r="AF930" s="454"/>
      <c r="AG930" s="455"/>
    </row>
    <row r="931" spans="1:33" x14ac:dyDescent="0.2">
      <c r="A931" s="415">
        <f t="shared" si="29"/>
        <v>1448</v>
      </c>
      <c r="B931" s="416" t="str">
        <f t="shared" si="28"/>
        <v>Autumn</v>
      </c>
      <c r="C931" s="453"/>
      <c r="D931" s="454"/>
      <c r="E931" s="455"/>
      <c r="F931" s="454"/>
      <c r="G931" s="455"/>
      <c r="H931" s="454"/>
      <c r="I931" s="455"/>
      <c r="J931" s="454"/>
      <c r="K931" s="455"/>
      <c r="L931" s="454"/>
      <c r="M931" s="455"/>
      <c r="N931" s="454"/>
      <c r="O931" s="455"/>
      <c r="P931" s="454"/>
      <c r="Q931" s="455"/>
      <c r="R931" s="454"/>
      <c r="S931" s="455"/>
      <c r="T931" s="454"/>
      <c r="U931" s="455"/>
      <c r="V931" s="454"/>
      <c r="W931" s="455"/>
      <c r="X931" s="454"/>
      <c r="Y931" s="455"/>
      <c r="Z931" s="454"/>
      <c r="AA931" s="455"/>
      <c r="AB931" s="454"/>
      <c r="AC931" s="455"/>
      <c r="AD931" s="454"/>
      <c r="AE931" s="455"/>
      <c r="AF931" s="454"/>
      <c r="AG931" s="455"/>
    </row>
    <row r="932" spans="1:33" x14ac:dyDescent="0.2">
      <c r="A932" s="415">
        <f t="shared" si="29"/>
        <v>1449</v>
      </c>
      <c r="B932" s="416" t="str">
        <f t="shared" si="28"/>
        <v>Winter</v>
      </c>
      <c r="C932" s="453"/>
      <c r="D932" s="454"/>
      <c r="E932" s="455"/>
      <c r="F932" s="454"/>
      <c r="G932" s="455"/>
      <c r="H932" s="454"/>
      <c r="I932" s="455"/>
      <c r="J932" s="454"/>
      <c r="K932" s="455"/>
      <c r="L932" s="454"/>
      <c r="M932" s="455"/>
      <c r="N932" s="454"/>
      <c r="O932" s="455"/>
      <c r="P932" s="454"/>
      <c r="Q932" s="455"/>
      <c r="R932" s="454"/>
      <c r="S932" s="455"/>
      <c r="T932" s="454"/>
      <c r="U932" s="455"/>
      <c r="V932" s="454"/>
      <c r="W932" s="455"/>
      <c r="X932" s="454"/>
      <c r="Y932" s="455"/>
      <c r="Z932" s="454"/>
      <c r="AA932" s="455"/>
      <c r="AB932" s="454"/>
      <c r="AC932" s="455"/>
      <c r="AD932" s="454"/>
      <c r="AE932" s="455"/>
      <c r="AF932" s="454"/>
      <c r="AG932" s="455"/>
    </row>
    <row r="933" spans="1:33" x14ac:dyDescent="0.2">
      <c r="A933" s="415">
        <f t="shared" si="29"/>
        <v>1449</v>
      </c>
      <c r="B933" s="416" t="str">
        <f t="shared" si="28"/>
        <v>Spring</v>
      </c>
      <c r="C933" s="453"/>
      <c r="D933" s="454"/>
      <c r="E933" s="455"/>
      <c r="F933" s="454"/>
      <c r="G933" s="455"/>
      <c r="H933" s="454"/>
      <c r="I933" s="455"/>
      <c r="J933" s="454"/>
      <c r="K933" s="455"/>
      <c r="L933" s="454"/>
      <c r="M933" s="455"/>
      <c r="N933" s="454"/>
      <c r="O933" s="455"/>
      <c r="P933" s="454"/>
      <c r="Q933" s="455"/>
      <c r="R933" s="454"/>
      <c r="S933" s="455"/>
      <c r="T933" s="454"/>
      <c r="U933" s="455"/>
      <c r="V933" s="454"/>
      <c r="W933" s="455"/>
      <c r="X933" s="454"/>
      <c r="Y933" s="455"/>
      <c r="Z933" s="454"/>
      <c r="AA933" s="455"/>
      <c r="AB933" s="454"/>
      <c r="AC933" s="455"/>
      <c r="AD933" s="454"/>
      <c r="AE933" s="455"/>
      <c r="AF933" s="454"/>
      <c r="AG933" s="455"/>
    </row>
    <row r="934" spans="1:33" x14ac:dyDescent="0.2">
      <c r="A934" s="415">
        <f t="shared" si="29"/>
        <v>1449</v>
      </c>
      <c r="B934" s="416" t="str">
        <f t="shared" si="28"/>
        <v>Summer</v>
      </c>
      <c r="C934" s="453"/>
      <c r="D934" s="454"/>
      <c r="E934" s="455"/>
      <c r="F934" s="454"/>
      <c r="G934" s="455"/>
      <c r="H934" s="454"/>
      <c r="I934" s="455"/>
      <c r="J934" s="454"/>
      <c r="K934" s="455"/>
      <c r="L934" s="454"/>
      <c r="M934" s="455"/>
      <c r="N934" s="454"/>
      <c r="O934" s="455"/>
      <c r="P934" s="454"/>
      <c r="Q934" s="455"/>
      <c r="R934" s="454"/>
      <c r="S934" s="455"/>
      <c r="T934" s="454"/>
      <c r="U934" s="455"/>
      <c r="V934" s="454"/>
      <c r="W934" s="455"/>
      <c r="X934" s="454"/>
      <c r="Y934" s="455"/>
      <c r="Z934" s="454"/>
      <c r="AA934" s="455"/>
      <c r="AB934" s="454"/>
      <c r="AC934" s="455"/>
      <c r="AD934" s="454"/>
      <c r="AE934" s="455"/>
      <c r="AF934" s="454"/>
      <c r="AG934" s="455"/>
    </row>
    <row r="935" spans="1:33" x14ac:dyDescent="0.2">
      <c r="A935" s="415">
        <f t="shared" si="29"/>
        <v>1449</v>
      </c>
      <c r="B935" s="416" t="str">
        <f t="shared" si="28"/>
        <v>Autumn</v>
      </c>
      <c r="C935" s="453"/>
      <c r="D935" s="454"/>
      <c r="E935" s="455"/>
      <c r="F935" s="454"/>
      <c r="G935" s="455"/>
      <c r="H935" s="454"/>
      <c r="I935" s="455"/>
      <c r="J935" s="454"/>
      <c r="K935" s="455"/>
      <c r="L935" s="454"/>
      <c r="M935" s="455"/>
      <c r="N935" s="454"/>
      <c r="O935" s="455"/>
      <c r="P935" s="454"/>
      <c r="Q935" s="455"/>
      <c r="R935" s="454"/>
      <c r="S935" s="455"/>
      <c r="T935" s="454"/>
      <c r="U935" s="455"/>
      <c r="V935" s="454"/>
      <c r="W935" s="455"/>
      <c r="X935" s="454"/>
      <c r="Y935" s="455"/>
      <c r="Z935" s="454"/>
      <c r="AA935" s="455"/>
      <c r="AB935" s="454"/>
      <c r="AC935" s="455"/>
      <c r="AD935" s="454"/>
      <c r="AE935" s="455"/>
      <c r="AF935" s="454"/>
      <c r="AG935" s="455"/>
    </row>
    <row r="936" spans="1:33" x14ac:dyDescent="0.2">
      <c r="A936" s="415">
        <f t="shared" si="29"/>
        <v>1450</v>
      </c>
      <c r="B936" s="416" t="str">
        <f t="shared" si="28"/>
        <v>Winter</v>
      </c>
      <c r="C936" s="453"/>
      <c r="D936" s="454"/>
      <c r="E936" s="455"/>
      <c r="F936" s="454"/>
      <c r="G936" s="455"/>
      <c r="H936" s="454"/>
      <c r="I936" s="455"/>
      <c r="J936" s="454"/>
      <c r="K936" s="455"/>
      <c r="L936" s="454"/>
      <c r="M936" s="455"/>
      <c r="N936" s="454"/>
      <c r="O936" s="455"/>
      <c r="P936" s="454"/>
      <c r="Q936" s="455"/>
      <c r="R936" s="454"/>
      <c r="S936" s="455"/>
      <c r="T936" s="454"/>
      <c r="U936" s="455"/>
      <c r="V936" s="454"/>
      <c r="W936" s="455"/>
      <c r="X936" s="454"/>
      <c r="Y936" s="455"/>
      <c r="Z936" s="454"/>
      <c r="AA936" s="455"/>
      <c r="AB936" s="454"/>
      <c r="AC936" s="455"/>
      <c r="AD936" s="454"/>
      <c r="AE936" s="455"/>
      <c r="AF936" s="454"/>
      <c r="AG936" s="455"/>
    </row>
    <row r="937" spans="1:33" x14ac:dyDescent="0.2">
      <c r="A937" s="415">
        <f t="shared" si="29"/>
        <v>1450</v>
      </c>
      <c r="B937" s="416" t="str">
        <f t="shared" si="28"/>
        <v>Spring</v>
      </c>
      <c r="C937" s="453"/>
      <c r="D937" s="454"/>
      <c r="E937" s="455"/>
      <c r="F937" s="454"/>
      <c r="G937" s="455"/>
      <c r="H937" s="454"/>
      <c r="I937" s="455"/>
      <c r="J937" s="454"/>
      <c r="K937" s="455"/>
      <c r="L937" s="454"/>
      <c r="M937" s="455"/>
      <c r="N937" s="454"/>
      <c r="O937" s="455"/>
      <c r="P937" s="454"/>
      <c r="Q937" s="455"/>
      <c r="R937" s="454"/>
      <c r="S937" s="455"/>
      <c r="T937" s="454"/>
      <c r="U937" s="455"/>
      <c r="V937" s="454"/>
      <c r="W937" s="455"/>
      <c r="X937" s="454"/>
      <c r="Y937" s="455"/>
      <c r="Z937" s="454"/>
      <c r="AA937" s="455"/>
      <c r="AB937" s="454"/>
      <c r="AC937" s="455"/>
      <c r="AD937" s="454"/>
      <c r="AE937" s="455"/>
      <c r="AF937" s="454"/>
      <c r="AG937" s="455"/>
    </row>
    <row r="938" spans="1:33" x14ac:dyDescent="0.2">
      <c r="A938" s="415">
        <f t="shared" si="29"/>
        <v>1450</v>
      </c>
      <c r="B938" s="416" t="str">
        <f t="shared" si="28"/>
        <v>Summer</v>
      </c>
      <c r="C938" s="453"/>
      <c r="D938" s="454"/>
      <c r="E938" s="455"/>
      <c r="F938" s="454"/>
      <c r="G938" s="455"/>
      <c r="H938" s="454"/>
      <c r="I938" s="455"/>
      <c r="J938" s="454"/>
      <c r="K938" s="455"/>
      <c r="L938" s="454"/>
      <c r="M938" s="455"/>
      <c r="N938" s="454"/>
      <c r="O938" s="455"/>
      <c r="P938" s="454"/>
      <c r="Q938" s="455"/>
      <c r="R938" s="454"/>
      <c r="S938" s="455"/>
      <c r="T938" s="454"/>
      <c r="U938" s="455"/>
      <c r="V938" s="454"/>
      <c r="W938" s="455"/>
      <c r="X938" s="454"/>
      <c r="Y938" s="455"/>
      <c r="Z938" s="454"/>
      <c r="AA938" s="455"/>
      <c r="AB938" s="454"/>
      <c r="AC938" s="455"/>
      <c r="AD938" s="454"/>
      <c r="AE938" s="455"/>
      <c r="AF938" s="454"/>
      <c r="AG938" s="455"/>
    </row>
    <row r="939" spans="1:33" x14ac:dyDescent="0.2">
      <c r="A939" s="415">
        <f t="shared" si="29"/>
        <v>1450</v>
      </c>
      <c r="B939" s="416" t="str">
        <f t="shared" ref="B939:B1002" si="30">IF(B938="spring","Summer",IF(B938="Summer","Autumn",IF(B938="Autumn","Winter",IF(B938="Winter","Spring"," "))))</f>
        <v>Autumn</v>
      </c>
      <c r="C939" s="453"/>
      <c r="D939" s="454"/>
      <c r="E939" s="455"/>
      <c r="F939" s="454"/>
      <c r="G939" s="455"/>
      <c r="H939" s="454"/>
      <c r="I939" s="455"/>
      <c r="J939" s="454"/>
      <c r="K939" s="455"/>
      <c r="L939" s="454"/>
      <c r="M939" s="455"/>
      <c r="N939" s="454"/>
      <c r="O939" s="455"/>
      <c r="P939" s="454"/>
      <c r="Q939" s="455"/>
      <c r="R939" s="454"/>
      <c r="S939" s="455"/>
      <c r="T939" s="454"/>
      <c r="U939" s="455"/>
      <c r="V939" s="454"/>
      <c r="W939" s="455"/>
      <c r="X939" s="454"/>
      <c r="Y939" s="455"/>
      <c r="Z939" s="454"/>
      <c r="AA939" s="455"/>
      <c r="AB939" s="454"/>
      <c r="AC939" s="455"/>
      <c r="AD939" s="454"/>
      <c r="AE939" s="455"/>
      <c r="AF939" s="454"/>
      <c r="AG939" s="455"/>
    </row>
    <row r="940" spans="1:33" x14ac:dyDescent="0.2">
      <c r="A940" s="415">
        <f t="shared" si="29"/>
        <v>1451</v>
      </c>
      <c r="B940" s="416" t="str">
        <f t="shared" si="30"/>
        <v>Winter</v>
      </c>
      <c r="C940" s="453"/>
      <c r="D940" s="454"/>
      <c r="E940" s="455"/>
      <c r="F940" s="454"/>
      <c r="G940" s="455"/>
      <c r="H940" s="454"/>
      <c r="I940" s="455"/>
      <c r="J940" s="454"/>
      <c r="K940" s="455"/>
      <c r="L940" s="454"/>
      <c r="M940" s="455"/>
      <c r="N940" s="454"/>
      <c r="O940" s="455"/>
      <c r="P940" s="454"/>
      <c r="Q940" s="455"/>
      <c r="R940" s="454"/>
      <c r="S940" s="455"/>
      <c r="T940" s="454"/>
      <c r="U940" s="455"/>
      <c r="V940" s="454"/>
      <c r="W940" s="455"/>
      <c r="X940" s="454"/>
      <c r="Y940" s="455"/>
      <c r="Z940" s="454"/>
      <c r="AA940" s="455"/>
      <c r="AB940" s="454"/>
      <c r="AC940" s="455"/>
      <c r="AD940" s="454"/>
      <c r="AE940" s="455"/>
      <c r="AF940" s="454"/>
      <c r="AG940" s="455"/>
    </row>
    <row r="941" spans="1:33" x14ac:dyDescent="0.2">
      <c r="A941" s="415">
        <f t="shared" si="29"/>
        <v>1451</v>
      </c>
      <c r="B941" s="416" t="str">
        <f t="shared" si="30"/>
        <v>Spring</v>
      </c>
      <c r="C941" s="453"/>
      <c r="D941" s="454"/>
      <c r="E941" s="455"/>
      <c r="F941" s="454"/>
      <c r="G941" s="455"/>
      <c r="H941" s="454"/>
      <c r="I941" s="455"/>
      <c r="J941" s="454"/>
      <c r="K941" s="455"/>
      <c r="L941" s="454"/>
      <c r="M941" s="455"/>
      <c r="N941" s="454"/>
      <c r="O941" s="455"/>
      <c r="P941" s="454"/>
      <c r="Q941" s="455"/>
      <c r="R941" s="454"/>
      <c r="S941" s="455"/>
      <c r="T941" s="454"/>
      <c r="U941" s="455"/>
      <c r="V941" s="454"/>
      <c r="W941" s="455"/>
      <c r="X941" s="454"/>
      <c r="Y941" s="455"/>
      <c r="Z941" s="454"/>
      <c r="AA941" s="455"/>
      <c r="AB941" s="454"/>
      <c r="AC941" s="455"/>
      <c r="AD941" s="454"/>
      <c r="AE941" s="455"/>
      <c r="AF941" s="454"/>
      <c r="AG941" s="455"/>
    </row>
    <row r="942" spans="1:33" x14ac:dyDescent="0.2">
      <c r="A942" s="415">
        <f t="shared" si="29"/>
        <v>1451</v>
      </c>
      <c r="B942" s="416" t="str">
        <f t="shared" si="30"/>
        <v>Summer</v>
      </c>
      <c r="C942" s="453"/>
      <c r="D942" s="454"/>
      <c r="E942" s="455"/>
      <c r="F942" s="454"/>
      <c r="G942" s="455"/>
      <c r="H942" s="454"/>
      <c r="I942" s="455"/>
      <c r="J942" s="454"/>
      <c r="K942" s="455"/>
      <c r="L942" s="454"/>
      <c r="M942" s="455"/>
      <c r="N942" s="454"/>
      <c r="O942" s="455"/>
      <c r="P942" s="454"/>
      <c r="Q942" s="455"/>
      <c r="R942" s="454"/>
      <c r="S942" s="455"/>
      <c r="T942" s="454"/>
      <c r="U942" s="455"/>
      <c r="V942" s="454"/>
      <c r="W942" s="455"/>
      <c r="X942" s="454"/>
      <c r="Y942" s="455"/>
      <c r="Z942" s="454"/>
      <c r="AA942" s="455"/>
      <c r="AB942" s="454"/>
      <c r="AC942" s="455"/>
      <c r="AD942" s="454"/>
      <c r="AE942" s="455"/>
      <c r="AF942" s="454"/>
      <c r="AG942" s="455"/>
    </row>
    <row r="943" spans="1:33" x14ac:dyDescent="0.2">
      <c r="A943" s="415">
        <f t="shared" si="29"/>
        <v>1451</v>
      </c>
      <c r="B943" s="416" t="str">
        <f t="shared" si="30"/>
        <v>Autumn</v>
      </c>
      <c r="C943" s="453"/>
      <c r="D943" s="454"/>
      <c r="E943" s="455"/>
      <c r="F943" s="454"/>
      <c r="G943" s="455"/>
      <c r="H943" s="454"/>
      <c r="I943" s="455"/>
      <c r="J943" s="454"/>
      <c r="K943" s="455"/>
      <c r="L943" s="454"/>
      <c r="M943" s="455"/>
      <c r="N943" s="454"/>
      <c r="O943" s="455"/>
      <c r="P943" s="454"/>
      <c r="Q943" s="455"/>
      <c r="R943" s="454"/>
      <c r="S943" s="455"/>
      <c r="T943" s="454"/>
      <c r="U943" s="455"/>
      <c r="V943" s="454"/>
      <c r="W943" s="455"/>
      <c r="X943" s="454"/>
      <c r="Y943" s="455"/>
      <c r="Z943" s="454"/>
      <c r="AA943" s="455"/>
      <c r="AB943" s="454"/>
      <c r="AC943" s="455"/>
      <c r="AD943" s="454"/>
      <c r="AE943" s="455"/>
      <c r="AF943" s="454"/>
      <c r="AG943" s="455"/>
    </row>
    <row r="944" spans="1:33" x14ac:dyDescent="0.2">
      <c r="A944" s="415">
        <f t="shared" si="29"/>
        <v>1452</v>
      </c>
      <c r="B944" s="416" t="str">
        <f t="shared" si="30"/>
        <v>Winter</v>
      </c>
      <c r="C944" s="453"/>
      <c r="D944" s="454"/>
      <c r="E944" s="455"/>
      <c r="F944" s="454"/>
      <c r="G944" s="455"/>
      <c r="H944" s="454"/>
      <c r="I944" s="455"/>
      <c r="J944" s="454"/>
      <c r="K944" s="455"/>
      <c r="L944" s="454"/>
      <c r="M944" s="455"/>
      <c r="N944" s="454"/>
      <c r="O944" s="455"/>
      <c r="P944" s="454"/>
      <c r="Q944" s="455"/>
      <c r="R944" s="454"/>
      <c r="S944" s="455"/>
      <c r="T944" s="454"/>
      <c r="U944" s="455"/>
      <c r="V944" s="454"/>
      <c r="W944" s="455"/>
      <c r="X944" s="454"/>
      <c r="Y944" s="455"/>
      <c r="Z944" s="454"/>
      <c r="AA944" s="455"/>
      <c r="AB944" s="454"/>
      <c r="AC944" s="455"/>
      <c r="AD944" s="454"/>
      <c r="AE944" s="455"/>
      <c r="AF944" s="454"/>
      <c r="AG944" s="455"/>
    </row>
    <row r="945" spans="1:33" x14ac:dyDescent="0.2">
      <c r="A945" s="415">
        <f t="shared" si="29"/>
        <v>1452</v>
      </c>
      <c r="B945" s="416" t="str">
        <f t="shared" si="30"/>
        <v>Spring</v>
      </c>
      <c r="C945" s="453"/>
      <c r="D945" s="454"/>
      <c r="E945" s="455"/>
      <c r="F945" s="454"/>
      <c r="G945" s="455"/>
      <c r="H945" s="454"/>
      <c r="I945" s="455"/>
      <c r="J945" s="454"/>
      <c r="K945" s="455"/>
      <c r="L945" s="454"/>
      <c r="M945" s="455"/>
      <c r="N945" s="454"/>
      <c r="O945" s="455"/>
      <c r="P945" s="454"/>
      <c r="Q945" s="455"/>
      <c r="R945" s="454"/>
      <c r="S945" s="455"/>
      <c r="T945" s="454"/>
      <c r="U945" s="455"/>
      <c r="V945" s="454"/>
      <c r="W945" s="455"/>
      <c r="X945" s="454"/>
      <c r="Y945" s="455"/>
      <c r="Z945" s="454"/>
      <c r="AA945" s="455"/>
      <c r="AB945" s="454"/>
      <c r="AC945" s="455"/>
      <c r="AD945" s="454"/>
      <c r="AE945" s="455"/>
      <c r="AF945" s="454"/>
      <c r="AG945" s="455"/>
    </row>
    <row r="946" spans="1:33" x14ac:dyDescent="0.2">
      <c r="A946" s="415">
        <f t="shared" si="29"/>
        <v>1452</v>
      </c>
      <c r="B946" s="416" t="str">
        <f t="shared" si="30"/>
        <v>Summer</v>
      </c>
      <c r="C946" s="453"/>
      <c r="D946" s="454"/>
      <c r="E946" s="455"/>
      <c r="F946" s="454"/>
      <c r="G946" s="455"/>
      <c r="H946" s="454"/>
      <c r="I946" s="455"/>
      <c r="J946" s="454"/>
      <c r="K946" s="455"/>
      <c r="L946" s="454"/>
      <c r="M946" s="455"/>
      <c r="N946" s="454"/>
      <c r="O946" s="455"/>
      <c r="P946" s="454"/>
      <c r="Q946" s="455"/>
      <c r="R946" s="454"/>
      <c r="S946" s="455"/>
      <c r="T946" s="454"/>
      <c r="U946" s="455"/>
      <c r="V946" s="454"/>
      <c r="W946" s="455"/>
      <c r="X946" s="454"/>
      <c r="Y946" s="455"/>
      <c r="Z946" s="454"/>
      <c r="AA946" s="455"/>
      <c r="AB946" s="454"/>
      <c r="AC946" s="455"/>
      <c r="AD946" s="454"/>
      <c r="AE946" s="455"/>
      <c r="AF946" s="454"/>
      <c r="AG946" s="455"/>
    </row>
    <row r="947" spans="1:33" x14ac:dyDescent="0.2">
      <c r="A947" s="415">
        <f t="shared" si="29"/>
        <v>1452</v>
      </c>
      <c r="B947" s="416" t="str">
        <f t="shared" si="30"/>
        <v>Autumn</v>
      </c>
      <c r="C947" s="453"/>
      <c r="D947" s="454"/>
      <c r="E947" s="455"/>
      <c r="F947" s="454"/>
      <c r="G947" s="455"/>
      <c r="H947" s="454"/>
      <c r="I947" s="455"/>
      <c r="J947" s="454"/>
      <c r="K947" s="455"/>
      <c r="L947" s="454"/>
      <c r="M947" s="455"/>
      <c r="N947" s="454"/>
      <c r="O947" s="455"/>
      <c r="P947" s="454"/>
      <c r="Q947" s="455"/>
      <c r="R947" s="454"/>
      <c r="S947" s="455"/>
      <c r="T947" s="454"/>
      <c r="U947" s="455"/>
      <c r="V947" s="454"/>
      <c r="W947" s="455"/>
      <c r="X947" s="454"/>
      <c r="Y947" s="455"/>
      <c r="Z947" s="454"/>
      <c r="AA947" s="455"/>
      <c r="AB947" s="454"/>
      <c r="AC947" s="455"/>
      <c r="AD947" s="454"/>
      <c r="AE947" s="455"/>
      <c r="AF947" s="454"/>
      <c r="AG947" s="455"/>
    </row>
    <row r="948" spans="1:33" x14ac:dyDescent="0.2">
      <c r="A948" s="415">
        <f t="shared" si="29"/>
        <v>1453</v>
      </c>
      <c r="B948" s="416" t="str">
        <f t="shared" si="30"/>
        <v>Winter</v>
      </c>
      <c r="C948" s="453"/>
      <c r="D948" s="454"/>
      <c r="E948" s="455"/>
      <c r="F948" s="454"/>
      <c r="G948" s="455"/>
      <c r="H948" s="454"/>
      <c r="I948" s="455"/>
      <c r="J948" s="454"/>
      <c r="K948" s="455"/>
      <c r="L948" s="454"/>
      <c r="M948" s="455"/>
      <c r="N948" s="454"/>
      <c r="O948" s="455"/>
      <c r="P948" s="454"/>
      <c r="Q948" s="455"/>
      <c r="R948" s="454"/>
      <c r="S948" s="455"/>
      <c r="T948" s="454"/>
      <c r="U948" s="455"/>
      <c r="V948" s="454"/>
      <c r="W948" s="455"/>
      <c r="X948" s="454"/>
      <c r="Y948" s="455"/>
      <c r="Z948" s="454"/>
      <c r="AA948" s="455"/>
      <c r="AB948" s="454"/>
      <c r="AC948" s="455"/>
      <c r="AD948" s="454"/>
      <c r="AE948" s="455"/>
      <c r="AF948" s="454"/>
      <c r="AG948" s="455"/>
    </row>
    <row r="949" spans="1:33" x14ac:dyDescent="0.2">
      <c r="A949" s="415">
        <f t="shared" si="29"/>
        <v>1453</v>
      </c>
      <c r="B949" s="416" t="str">
        <f t="shared" si="30"/>
        <v>Spring</v>
      </c>
      <c r="C949" s="453"/>
      <c r="D949" s="454"/>
      <c r="E949" s="455"/>
      <c r="F949" s="454"/>
      <c r="G949" s="455"/>
      <c r="H949" s="454"/>
      <c r="I949" s="455"/>
      <c r="J949" s="454"/>
      <c r="K949" s="455"/>
      <c r="L949" s="454"/>
      <c r="M949" s="455"/>
      <c r="N949" s="454"/>
      <c r="O949" s="455"/>
      <c r="P949" s="454"/>
      <c r="Q949" s="455"/>
      <c r="R949" s="454"/>
      <c r="S949" s="455"/>
      <c r="T949" s="454"/>
      <c r="U949" s="455"/>
      <c r="V949" s="454"/>
      <c r="W949" s="455"/>
      <c r="X949" s="454"/>
      <c r="Y949" s="455"/>
      <c r="Z949" s="454"/>
      <c r="AA949" s="455"/>
      <c r="AB949" s="454"/>
      <c r="AC949" s="455"/>
      <c r="AD949" s="454"/>
      <c r="AE949" s="455"/>
      <c r="AF949" s="454"/>
      <c r="AG949" s="455"/>
    </row>
    <row r="950" spans="1:33" x14ac:dyDescent="0.2">
      <c r="A950" s="415">
        <f t="shared" si="29"/>
        <v>1453</v>
      </c>
      <c r="B950" s="416" t="str">
        <f t="shared" si="30"/>
        <v>Summer</v>
      </c>
      <c r="C950" s="453"/>
      <c r="D950" s="454"/>
      <c r="E950" s="455"/>
      <c r="F950" s="454"/>
      <c r="G950" s="455"/>
      <c r="H950" s="454"/>
      <c r="I950" s="455"/>
      <c r="J950" s="454"/>
      <c r="K950" s="455"/>
      <c r="L950" s="454"/>
      <c r="M950" s="455"/>
      <c r="N950" s="454"/>
      <c r="O950" s="455"/>
      <c r="P950" s="454"/>
      <c r="Q950" s="455"/>
      <c r="R950" s="454"/>
      <c r="S950" s="455"/>
      <c r="T950" s="454"/>
      <c r="U950" s="455"/>
      <c r="V950" s="454"/>
      <c r="W950" s="455"/>
      <c r="X950" s="454"/>
      <c r="Y950" s="455"/>
      <c r="Z950" s="454"/>
      <c r="AA950" s="455"/>
      <c r="AB950" s="454"/>
      <c r="AC950" s="455"/>
      <c r="AD950" s="454"/>
      <c r="AE950" s="455"/>
      <c r="AF950" s="454"/>
      <c r="AG950" s="455"/>
    </row>
    <row r="951" spans="1:33" x14ac:dyDescent="0.2">
      <c r="A951" s="415">
        <f t="shared" si="29"/>
        <v>1453</v>
      </c>
      <c r="B951" s="416" t="str">
        <f t="shared" si="30"/>
        <v>Autumn</v>
      </c>
      <c r="C951" s="453"/>
      <c r="D951" s="454"/>
      <c r="E951" s="455"/>
      <c r="F951" s="454"/>
      <c r="G951" s="455"/>
      <c r="H951" s="454"/>
      <c r="I951" s="455"/>
      <c r="J951" s="454"/>
      <c r="K951" s="455"/>
      <c r="L951" s="454"/>
      <c r="M951" s="455"/>
      <c r="N951" s="454"/>
      <c r="O951" s="455"/>
      <c r="P951" s="454"/>
      <c r="Q951" s="455"/>
      <c r="R951" s="454"/>
      <c r="S951" s="455"/>
      <c r="T951" s="454"/>
      <c r="U951" s="455"/>
      <c r="V951" s="454"/>
      <c r="W951" s="455"/>
      <c r="X951" s="454"/>
      <c r="Y951" s="455"/>
      <c r="Z951" s="454"/>
      <c r="AA951" s="455"/>
      <c r="AB951" s="454"/>
      <c r="AC951" s="455"/>
      <c r="AD951" s="454"/>
      <c r="AE951" s="455"/>
      <c r="AF951" s="454"/>
      <c r="AG951" s="455"/>
    </row>
    <row r="952" spans="1:33" x14ac:dyDescent="0.2">
      <c r="A952" s="415">
        <f t="shared" si="29"/>
        <v>1454</v>
      </c>
      <c r="B952" s="416" t="str">
        <f t="shared" si="30"/>
        <v>Winter</v>
      </c>
      <c r="C952" s="453"/>
      <c r="D952" s="454"/>
      <c r="E952" s="455"/>
      <c r="F952" s="454"/>
      <c r="G952" s="455"/>
      <c r="H952" s="454"/>
      <c r="I952" s="455"/>
      <c r="J952" s="454"/>
      <c r="K952" s="455"/>
      <c r="L952" s="454"/>
      <c r="M952" s="455"/>
      <c r="N952" s="454"/>
      <c r="O952" s="455"/>
      <c r="P952" s="454"/>
      <c r="Q952" s="455"/>
      <c r="R952" s="454"/>
      <c r="S952" s="455"/>
      <c r="T952" s="454"/>
      <c r="U952" s="455"/>
      <c r="V952" s="454"/>
      <c r="W952" s="455"/>
      <c r="X952" s="454"/>
      <c r="Y952" s="455"/>
      <c r="Z952" s="454"/>
      <c r="AA952" s="455"/>
      <c r="AB952" s="454"/>
      <c r="AC952" s="455"/>
      <c r="AD952" s="454"/>
      <c r="AE952" s="455"/>
      <c r="AF952" s="454"/>
      <c r="AG952" s="455"/>
    </row>
    <row r="953" spans="1:33" x14ac:dyDescent="0.2">
      <c r="A953" s="415">
        <f t="shared" si="29"/>
        <v>1454</v>
      </c>
      <c r="B953" s="416" t="str">
        <f t="shared" si="30"/>
        <v>Spring</v>
      </c>
      <c r="C953" s="453"/>
      <c r="D953" s="454"/>
      <c r="E953" s="455"/>
      <c r="F953" s="454"/>
      <c r="G953" s="455"/>
      <c r="H953" s="454"/>
      <c r="I953" s="455"/>
      <c r="J953" s="454"/>
      <c r="K953" s="455"/>
      <c r="L953" s="454"/>
      <c r="M953" s="455"/>
      <c r="N953" s="454"/>
      <c r="O953" s="455"/>
      <c r="P953" s="454"/>
      <c r="Q953" s="455"/>
      <c r="R953" s="454"/>
      <c r="S953" s="455"/>
      <c r="T953" s="454"/>
      <c r="U953" s="455"/>
      <c r="V953" s="454"/>
      <c r="W953" s="455"/>
      <c r="X953" s="454"/>
      <c r="Y953" s="455"/>
      <c r="Z953" s="454"/>
      <c r="AA953" s="455"/>
      <c r="AB953" s="454"/>
      <c r="AC953" s="455"/>
      <c r="AD953" s="454"/>
      <c r="AE953" s="455"/>
      <c r="AF953" s="454"/>
      <c r="AG953" s="455"/>
    </row>
    <row r="954" spans="1:33" x14ac:dyDescent="0.2">
      <c r="A954" s="415">
        <f t="shared" si="29"/>
        <v>1454</v>
      </c>
      <c r="B954" s="416" t="str">
        <f t="shared" si="30"/>
        <v>Summer</v>
      </c>
      <c r="C954" s="453"/>
      <c r="D954" s="454"/>
      <c r="E954" s="455"/>
      <c r="F954" s="454"/>
      <c r="G954" s="455"/>
      <c r="H954" s="454"/>
      <c r="I954" s="455"/>
      <c r="J954" s="454"/>
      <c r="K954" s="455"/>
      <c r="L954" s="454"/>
      <c r="M954" s="455"/>
      <c r="N954" s="454"/>
      <c r="O954" s="455"/>
      <c r="P954" s="454"/>
      <c r="Q954" s="455"/>
      <c r="R954" s="454"/>
      <c r="S954" s="455"/>
      <c r="T954" s="454"/>
      <c r="U954" s="455"/>
      <c r="V954" s="454"/>
      <c r="W954" s="455"/>
      <c r="X954" s="454"/>
      <c r="Y954" s="455"/>
      <c r="Z954" s="454"/>
      <c r="AA954" s="455"/>
      <c r="AB954" s="454"/>
      <c r="AC954" s="455"/>
      <c r="AD954" s="454"/>
      <c r="AE954" s="455"/>
      <c r="AF954" s="454"/>
      <c r="AG954" s="455"/>
    </row>
    <row r="955" spans="1:33" x14ac:dyDescent="0.2">
      <c r="A955" s="415">
        <f t="shared" si="29"/>
        <v>1454</v>
      </c>
      <c r="B955" s="416" t="str">
        <f t="shared" si="30"/>
        <v>Autumn</v>
      </c>
      <c r="C955" s="453"/>
      <c r="D955" s="454"/>
      <c r="E955" s="455"/>
      <c r="F955" s="454"/>
      <c r="G955" s="455"/>
      <c r="H955" s="454"/>
      <c r="I955" s="455"/>
      <c r="J955" s="454"/>
      <c r="K955" s="455"/>
      <c r="L955" s="454"/>
      <c r="M955" s="455"/>
      <c r="N955" s="454"/>
      <c r="O955" s="455"/>
      <c r="P955" s="454"/>
      <c r="Q955" s="455"/>
      <c r="R955" s="454"/>
      <c r="S955" s="455"/>
      <c r="T955" s="454"/>
      <c r="U955" s="455"/>
      <c r="V955" s="454"/>
      <c r="W955" s="455"/>
      <c r="X955" s="454"/>
      <c r="Y955" s="455"/>
      <c r="Z955" s="454"/>
      <c r="AA955" s="455"/>
      <c r="AB955" s="454"/>
      <c r="AC955" s="455"/>
      <c r="AD955" s="454"/>
      <c r="AE955" s="455"/>
      <c r="AF955" s="454"/>
      <c r="AG955" s="455"/>
    </row>
    <row r="956" spans="1:33" x14ac:dyDescent="0.2">
      <c r="A956" s="415">
        <f t="shared" si="29"/>
        <v>1455</v>
      </c>
      <c r="B956" s="416" t="str">
        <f t="shared" si="30"/>
        <v>Winter</v>
      </c>
      <c r="C956" s="453"/>
      <c r="D956" s="454"/>
      <c r="E956" s="455"/>
      <c r="F956" s="454"/>
      <c r="G956" s="455"/>
      <c r="H956" s="454"/>
      <c r="I956" s="455"/>
      <c r="J956" s="454"/>
      <c r="K956" s="455"/>
      <c r="L956" s="454"/>
      <c r="M956" s="455"/>
      <c r="N956" s="454"/>
      <c r="O956" s="455"/>
      <c r="P956" s="454"/>
      <c r="Q956" s="455"/>
      <c r="R956" s="454"/>
      <c r="S956" s="455"/>
      <c r="T956" s="454"/>
      <c r="U956" s="455"/>
      <c r="V956" s="454"/>
      <c r="W956" s="455"/>
      <c r="X956" s="454"/>
      <c r="Y956" s="455"/>
      <c r="Z956" s="454"/>
      <c r="AA956" s="455"/>
      <c r="AB956" s="454"/>
      <c r="AC956" s="455"/>
      <c r="AD956" s="454"/>
      <c r="AE956" s="455"/>
      <c r="AF956" s="454"/>
      <c r="AG956" s="455"/>
    </row>
    <row r="957" spans="1:33" x14ac:dyDescent="0.2">
      <c r="A957" s="415">
        <f t="shared" si="29"/>
        <v>1455</v>
      </c>
      <c r="B957" s="416" t="str">
        <f t="shared" si="30"/>
        <v>Spring</v>
      </c>
      <c r="C957" s="453"/>
      <c r="D957" s="454"/>
      <c r="E957" s="455"/>
      <c r="F957" s="454"/>
      <c r="G957" s="455"/>
      <c r="H957" s="454"/>
      <c r="I957" s="455"/>
      <c r="J957" s="454"/>
      <c r="K957" s="455"/>
      <c r="L957" s="454"/>
      <c r="M957" s="455"/>
      <c r="N957" s="454"/>
      <c r="O957" s="455"/>
      <c r="P957" s="454"/>
      <c r="Q957" s="455"/>
      <c r="R957" s="454"/>
      <c r="S957" s="455"/>
      <c r="T957" s="454"/>
      <c r="U957" s="455"/>
      <c r="V957" s="454"/>
      <c r="W957" s="455"/>
      <c r="X957" s="454"/>
      <c r="Y957" s="455"/>
      <c r="Z957" s="454"/>
      <c r="AA957" s="455"/>
      <c r="AB957" s="454"/>
      <c r="AC957" s="455"/>
      <c r="AD957" s="454"/>
      <c r="AE957" s="455"/>
      <c r="AF957" s="454"/>
      <c r="AG957" s="455"/>
    </row>
    <row r="958" spans="1:33" x14ac:dyDescent="0.2">
      <c r="A958" s="415">
        <f t="shared" si="29"/>
        <v>1455</v>
      </c>
      <c r="B958" s="416" t="str">
        <f t="shared" si="30"/>
        <v>Summer</v>
      </c>
      <c r="C958" s="453"/>
      <c r="D958" s="454"/>
      <c r="E958" s="455"/>
      <c r="F958" s="454"/>
      <c r="G958" s="455"/>
      <c r="H958" s="454"/>
      <c r="I958" s="455"/>
      <c r="J958" s="454"/>
      <c r="K958" s="455"/>
      <c r="L958" s="454"/>
      <c r="M958" s="455"/>
      <c r="N958" s="454"/>
      <c r="O958" s="455"/>
      <c r="P958" s="454"/>
      <c r="Q958" s="455"/>
      <c r="R958" s="454"/>
      <c r="S958" s="455"/>
      <c r="T958" s="454"/>
      <c r="U958" s="455"/>
      <c r="V958" s="454"/>
      <c r="W958" s="455"/>
      <c r="X958" s="454"/>
      <c r="Y958" s="455"/>
      <c r="Z958" s="454"/>
      <c r="AA958" s="455"/>
      <c r="AB958" s="454"/>
      <c r="AC958" s="455"/>
      <c r="AD958" s="454"/>
      <c r="AE958" s="455"/>
      <c r="AF958" s="454"/>
      <c r="AG958" s="455"/>
    </row>
    <row r="959" spans="1:33" x14ac:dyDescent="0.2">
      <c r="A959" s="415">
        <f t="shared" si="29"/>
        <v>1455</v>
      </c>
      <c r="B959" s="416" t="str">
        <f t="shared" si="30"/>
        <v>Autumn</v>
      </c>
      <c r="C959" s="453"/>
      <c r="D959" s="454"/>
      <c r="E959" s="455"/>
      <c r="F959" s="454"/>
      <c r="G959" s="455"/>
      <c r="H959" s="454"/>
      <c r="I959" s="455"/>
      <c r="J959" s="454"/>
      <c r="K959" s="455"/>
      <c r="L959" s="454"/>
      <c r="M959" s="455"/>
      <c r="N959" s="454"/>
      <c r="O959" s="455"/>
      <c r="P959" s="454"/>
      <c r="Q959" s="455"/>
      <c r="R959" s="454"/>
      <c r="S959" s="455"/>
      <c r="T959" s="454"/>
      <c r="U959" s="455"/>
      <c r="V959" s="454"/>
      <c r="W959" s="455"/>
      <c r="X959" s="454"/>
      <c r="Y959" s="455"/>
      <c r="Z959" s="454"/>
      <c r="AA959" s="455"/>
      <c r="AB959" s="454"/>
      <c r="AC959" s="455"/>
      <c r="AD959" s="454"/>
      <c r="AE959" s="455"/>
      <c r="AF959" s="454"/>
      <c r="AG959" s="455"/>
    </row>
    <row r="960" spans="1:33" x14ac:dyDescent="0.2">
      <c r="A960" s="415">
        <f t="shared" si="29"/>
        <v>1456</v>
      </c>
      <c r="B960" s="416" t="str">
        <f t="shared" si="30"/>
        <v>Winter</v>
      </c>
      <c r="C960" s="453"/>
      <c r="D960" s="454"/>
      <c r="E960" s="455"/>
      <c r="F960" s="454"/>
      <c r="G960" s="455"/>
      <c r="H960" s="454"/>
      <c r="I960" s="455"/>
      <c r="J960" s="454"/>
      <c r="K960" s="455"/>
      <c r="L960" s="454"/>
      <c r="M960" s="455"/>
      <c r="N960" s="454"/>
      <c r="O960" s="455"/>
      <c r="P960" s="454"/>
      <c r="Q960" s="455"/>
      <c r="R960" s="454"/>
      <c r="S960" s="455"/>
      <c r="T960" s="454"/>
      <c r="U960" s="455"/>
      <c r="V960" s="454"/>
      <c r="W960" s="455"/>
      <c r="X960" s="454"/>
      <c r="Y960" s="455"/>
      <c r="Z960" s="454"/>
      <c r="AA960" s="455"/>
      <c r="AB960" s="454"/>
      <c r="AC960" s="455"/>
      <c r="AD960" s="454"/>
      <c r="AE960" s="455"/>
      <c r="AF960" s="454"/>
      <c r="AG960" s="455"/>
    </row>
    <row r="961" spans="1:33" x14ac:dyDescent="0.2">
      <c r="A961" s="415">
        <f t="shared" si="29"/>
        <v>1456</v>
      </c>
      <c r="B961" s="416" t="str">
        <f t="shared" si="30"/>
        <v>Spring</v>
      </c>
      <c r="C961" s="453"/>
      <c r="D961" s="454"/>
      <c r="E961" s="455"/>
      <c r="F961" s="454"/>
      <c r="G961" s="455"/>
      <c r="H961" s="454"/>
      <c r="I961" s="455"/>
      <c r="J961" s="454"/>
      <c r="K961" s="455"/>
      <c r="L961" s="454"/>
      <c r="M961" s="455"/>
      <c r="N961" s="454"/>
      <c r="O961" s="455"/>
      <c r="P961" s="454"/>
      <c r="Q961" s="455"/>
      <c r="R961" s="454"/>
      <c r="S961" s="455"/>
      <c r="T961" s="454"/>
      <c r="U961" s="455"/>
      <c r="V961" s="454"/>
      <c r="W961" s="455"/>
      <c r="X961" s="454"/>
      <c r="Y961" s="455"/>
      <c r="Z961" s="454"/>
      <c r="AA961" s="455"/>
      <c r="AB961" s="454"/>
      <c r="AC961" s="455"/>
      <c r="AD961" s="454"/>
      <c r="AE961" s="455"/>
      <c r="AF961" s="454"/>
      <c r="AG961" s="455"/>
    </row>
    <row r="962" spans="1:33" x14ac:dyDescent="0.2">
      <c r="A962" s="415">
        <f t="shared" si="29"/>
        <v>1456</v>
      </c>
      <c r="B962" s="416" t="str">
        <f t="shared" si="30"/>
        <v>Summer</v>
      </c>
      <c r="C962" s="453"/>
      <c r="D962" s="454"/>
      <c r="E962" s="455"/>
      <c r="F962" s="454"/>
      <c r="G962" s="455"/>
      <c r="H962" s="454"/>
      <c r="I962" s="455"/>
      <c r="J962" s="454"/>
      <c r="K962" s="455"/>
      <c r="L962" s="454"/>
      <c r="M962" s="455"/>
      <c r="N962" s="454"/>
      <c r="O962" s="455"/>
      <c r="P962" s="454"/>
      <c r="Q962" s="455"/>
      <c r="R962" s="454"/>
      <c r="S962" s="455"/>
      <c r="T962" s="454"/>
      <c r="U962" s="455"/>
      <c r="V962" s="454"/>
      <c r="W962" s="455"/>
      <c r="X962" s="454"/>
      <c r="Y962" s="455"/>
      <c r="Z962" s="454"/>
      <c r="AA962" s="455"/>
      <c r="AB962" s="454"/>
      <c r="AC962" s="455"/>
      <c r="AD962" s="454"/>
      <c r="AE962" s="455"/>
      <c r="AF962" s="454"/>
      <c r="AG962" s="455"/>
    </row>
    <row r="963" spans="1:33" x14ac:dyDescent="0.2">
      <c r="A963" s="415">
        <f t="shared" si="29"/>
        <v>1456</v>
      </c>
      <c r="B963" s="416" t="str">
        <f t="shared" si="30"/>
        <v>Autumn</v>
      </c>
      <c r="C963" s="453"/>
      <c r="D963" s="454"/>
      <c r="E963" s="455"/>
      <c r="F963" s="454"/>
      <c r="G963" s="455"/>
      <c r="H963" s="454"/>
      <c r="I963" s="455"/>
      <c r="J963" s="454"/>
      <c r="K963" s="455"/>
      <c r="L963" s="454"/>
      <c r="M963" s="455"/>
      <c r="N963" s="454"/>
      <c r="O963" s="455"/>
      <c r="P963" s="454"/>
      <c r="Q963" s="455"/>
      <c r="R963" s="454"/>
      <c r="S963" s="455"/>
      <c r="T963" s="454"/>
      <c r="U963" s="455"/>
      <c r="V963" s="454"/>
      <c r="W963" s="455"/>
      <c r="X963" s="454"/>
      <c r="Y963" s="455"/>
      <c r="Z963" s="454"/>
      <c r="AA963" s="455"/>
      <c r="AB963" s="454"/>
      <c r="AC963" s="455"/>
      <c r="AD963" s="454"/>
      <c r="AE963" s="455"/>
      <c r="AF963" s="454"/>
      <c r="AG963" s="455"/>
    </row>
    <row r="964" spans="1:33" x14ac:dyDescent="0.2">
      <c r="A964" s="415">
        <f t="shared" si="29"/>
        <v>1457</v>
      </c>
      <c r="B964" s="416" t="str">
        <f t="shared" si="30"/>
        <v>Winter</v>
      </c>
      <c r="C964" s="453"/>
      <c r="D964" s="454"/>
      <c r="E964" s="455"/>
      <c r="F964" s="454"/>
      <c r="G964" s="455"/>
      <c r="H964" s="454"/>
      <c r="I964" s="455"/>
      <c r="J964" s="454"/>
      <c r="K964" s="455"/>
      <c r="L964" s="454"/>
      <c r="M964" s="455"/>
      <c r="N964" s="454"/>
      <c r="O964" s="455"/>
      <c r="P964" s="454"/>
      <c r="Q964" s="455"/>
      <c r="R964" s="454"/>
      <c r="S964" s="455"/>
      <c r="T964" s="454"/>
      <c r="U964" s="455"/>
      <c r="V964" s="454"/>
      <c r="W964" s="455"/>
      <c r="X964" s="454"/>
      <c r="Y964" s="455"/>
      <c r="Z964" s="454"/>
      <c r="AA964" s="455"/>
      <c r="AB964" s="454"/>
      <c r="AC964" s="455"/>
      <c r="AD964" s="454"/>
      <c r="AE964" s="455"/>
      <c r="AF964" s="454"/>
      <c r="AG964" s="455"/>
    </row>
    <row r="965" spans="1:33" x14ac:dyDescent="0.2">
      <c r="A965" s="415">
        <f t="shared" ref="A965:A1028" si="31">IF(B964="Autumn",A964+1,A964)</f>
        <v>1457</v>
      </c>
      <c r="B965" s="416" t="str">
        <f t="shared" si="30"/>
        <v>Spring</v>
      </c>
      <c r="C965" s="453"/>
      <c r="D965" s="454"/>
      <c r="E965" s="455"/>
      <c r="F965" s="454"/>
      <c r="G965" s="455"/>
      <c r="H965" s="454"/>
      <c r="I965" s="455"/>
      <c r="J965" s="454"/>
      <c r="K965" s="455"/>
      <c r="L965" s="454"/>
      <c r="M965" s="455"/>
      <c r="N965" s="454"/>
      <c r="O965" s="455"/>
      <c r="P965" s="454"/>
      <c r="Q965" s="455"/>
      <c r="R965" s="454"/>
      <c r="S965" s="455"/>
      <c r="T965" s="454"/>
      <c r="U965" s="455"/>
      <c r="V965" s="454"/>
      <c r="W965" s="455"/>
      <c r="X965" s="454"/>
      <c r="Y965" s="455"/>
      <c r="Z965" s="454"/>
      <c r="AA965" s="455"/>
      <c r="AB965" s="454"/>
      <c r="AC965" s="455"/>
      <c r="AD965" s="454"/>
      <c r="AE965" s="455"/>
      <c r="AF965" s="454"/>
      <c r="AG965" s="455"/>
    </row>
    <row r="966" spans="1:33" x14ac:dyDescent="0.2">
      <c r="A966" s="415">
        <f t="shared" si="31"/>
        <v>1457</v>
      </c>
      <c r="B966" s="416" t="str">
        <f t="shared" si="30"/>
        <v>Summer</v>
      </c>
      <c r="C966" s="453"/>
      <c r="D966" s="454"/>
      <c r="E966" s="455"/>
      <c r="F966" s="454"/>
      <c r="G966" s="455"/>
      <c r="H966" s="454"/>
      <c r="I966" s="455"/>
      <c r="J966" s="454"/>
      <c r="K966" s="455"/>
      <c r="L966" s="454"/>
      <c r="M966" s="455"/>
      <c r="N966" s="454"/>
      <c r="O966" s="455"/>
      <c r="P966" s="454"/>
      <c r="Q966" s="455"/>
      <c r="R966" s="454"/>
      <c r="S966" s="455"/>
      <c r="T966" s="454"/>
      <c r="U966" s="455"/>
      <c r="V966" s="454"/>
      <c r="W966" s="455"/>
      <c r="X966" s="454"/>
      <c r="Y966" s="455"/>
      <c r="Z966" s="454"/>
      <c r="AA966" s="455"/>
      <c r="AB966" s="454"/>
      <c r="AC966" s="455"/>
      <c r="AD966" s="454"/>
      <c r="AE966" s="455"/>
      <c r="AF966" s="454"/>
      <c r="AG966" s="455"/>
    </row>
    <row r="967" spans="1:33" x14ac:dyDescent="0.2">
      <c r="A967" s="415">
        <f t="shared" si="31"/>
        <v>1457</v>
      </c>
      <c r="B967" s="416" t="str">
        <f t="shared" si="30"/>
        <v>Autumn</v>
      </c>
      <c r="C967" s="453"/>
      <c r="D967" s="454"/>
      <c r="E967" s="455"/>
      <c r="F967" s="454"/>
      <c r="G967" s="455"/>
      <c r="H967" s="454"/>
      <c r="I967" s="455"/>
      <c r="J967" s="454"/>
      <c r="K967" s="455"/>
      <c r="L967" s="454"/>
      <c r="M967" s="455"/>
      <c r="N967" s="454"/>
      <c r="O967" s="455"/>
      <c r="P967" s="454"/>
      <c r="Q967" s="455"/>
      <c r="R967" s="454"/>
      <c r="S967" s="455"/>
      <c r="T967" s="454"/>
      <c r="U967" s="455"/>
      <c r="V967" s="454"/>
      <c r="W967" s="455"/>
      <c r="X967" s="454"/>
      <c r="Y967" s="455"/>
      <c r="Z967" s="454"/>
      <c r="AA967" s="455"/>
      <c r="AB967" s="454"/>
      <c r="AC967" s="455"/>
      <c r="AD967" s="454"/>
      <c r="AE967" s="455"/>
      <c r="AF967" s="454"/>
      <c r="AG967" s="455"/>
    </row>
    <row r="968" spans="1:33" x14ac:dyDescent="0.2">
      <c r="A968" s="415">
        <f t="shared" si="31"/>
        <v>1458</v>
      </c>
      <c r="B968" s="416" t="str">
        <f t="shared" si="30"/>
        <v>Winter</v>
      </c>
      <c r="C968" s="453"/>
      <c r="D968" s="454"/>
      <c r="E968" s="455"/>
      <c r="F968" s="454"/>
      <c r="G968" s="455"/>
      <c r="H968" s="454"/>
      <c r="I968" s="455"/>
      <c r="J968" s="454"/>
      <c r="K968" s="455"/>
      <c r="L968" s="454"/>
      <c r="M968" s="455"/>
      <c r="N968" s="454"/>
      <c r="O968" s="455"/>
      <c r="P968" s="454"/>
      <c r="Q968" s="455"/>
      <c r="R968" s="454"/>
      <c r="S968" s="455"/>
      <c r="T968" s="454"/>
      <c r="U968" s="455"/>
      <c r="V968" s="454"/>
      <c r="W968" s="455"/>
      <c r="X968" s="454"/>
      <c r="Y968" s="455"/>
      <c r="Z968" s="454"/>
      <c r="AA968" s="455"/>
      <c r="AB968" s="454"/>
      <c r="AC968" s="455"/>
      <c r="AD968" s="454"/>
      <c r="AE968" s="455"/>
      <c r="AF968" s="454"/>
      <c r="AG968" s="455"/>
    </row>
    <row r="969" spans="1:33" x14ac:dyDescent="0.2">
      <c r="A969" s="415">
        <f t="shared" si="31"/>
        <v>1458</v>
      </c>
      <c r="B969" s="416" t="str">
        <f t="shared" si="30"/>
        <v>Spring</v>
      </c>
      <c r="C969" s="453"/>
      <c r="D969" s="454"/>
      <c r="E969" s="455"/>
      <c r="F969" s="454"/>
      <c r="G969" s="455"/>
      <c r="H969" s="454"/>
      <c r="I969" s="455"/>
      <c r="J969" s="454"/>
      <c r="K969" s="455"/>
      <c r="L969" s="454"/>
      <c r="M969" s="455"/>
      <c r="N969" s="454"/>
      <c r="O969" s="455"/>
      <c r="P969" s="454"/>
      <c r="Q969" s="455"/>
      <c r="R969" s="454"/>
      <c r="S969" s="455"/>
      <c r="T969" s="454"/>
      <c r="U969" s="455"/>
      <c r="V969" s="454"/>
      <c r="W969" s="455"/>
      <c r="X969" s="454"/>
      <c r="Y969" s="455"/>
      <c r="Z969" s="454"/>
      <c r="AA969" s="455"/>
      <c r="AB969" s="454"/>
      <c r="AC969" s="455"/>
      <c r="AD969" s="454"/>
      <c r="AE969" s="455"/>
      <c r="AF969" s="454"/>
      <c r="AG969" s="455"/>
    </row>
    <row r="970" spans="1:33" x14ac:dyDescent="0.2">
      <c r="A970" s="415">
        <f t="shared" si="31"/>
        <v>1458</v>
      </c>
      <c r="B970" s="416" t="str">
        <f t="shared" si="30"/>
        <v>Summer</v>
      </c>
      <c r="C970" s="453"/>
      <c r="D970" s="454"/>
      <c r="E970" s="455"/>
      <c r="F970" s="454"/>
      <c r="G970" s="455"/>
      <c r="H970" s="454"/>
      <c r="I970" s="455"/>
      <c r="J970" s="454"/>
      <c r="K970" s="455"/>
      <c r="L970" s="454"/>
      <c r="M970" s="455"/>
      <c r="N970" s="454"/>
      <c r="O970" s="455"/>
      <c r="P970" s="454"/>
      <c r="Q970" s="455"/>
      <c r="R970" s="454"/>
      <c r="S970" s="455"/>
      <c r="T970" s="454"/>
      <c r="U970" s="455"/>
      <c r="V970" s="454"/>
      <c r="W970" s="455"/>
      <c r="X970" s="454"/>
      <c r="Y970" s="455"/>
      <c r="Z970" s="454"/>
      <c r="AA970" s="455"/>
      <c r="AB970" s="454"/>
      <c r="AC970" s="455"/>
      <c r="AD970" s="454"/>
      <c r="AE970" s="455"/>
      <c r="AF970" s="454"/>
      <c r="AG970" s="455"/>
    </row>
    <row r="971" spans="1:33" x14ac:dyDescent="0.2">
      <c r="A971" s="415">
        <f t="shared" si="31"/>
        <v>1458</v>
      </c>
      <c r="B971" s="416" t="str">
        <f t="shared" si="30"/>
        <v>Autumn</v>
      </c>
      <c r="C971" s="453"/>
      <c r="D971" s="454"/>
      <c r="E971" s="455"/>
      <c r="F971" s="454"/>
      <c r="G971" s="455"/>
      <c r="H971" s="454"/>
      <c r="I971" s="455"/>
      <c r="J971" s="454"/>
      <c r="K971" s="455"/>
      <c r="L971" s="454"/>
      <c r="M971" s="455"/>
      <c r="N971" s="454"/>
      <c r="O971" s="455"/>
      <c r="P971" s="454"/>
      <c r="Q971" s="455"/>
      <c r="R971" s="454"/>
      <c r="S971" s="455"/>
      <c r="T971" s="454"/>
      <c r="U971" s="455"/>
      <c r="V971" s="454"/>
      <c r="W971" s="455"/>
      <c r="X971" s="454"/>
      <c r="Y971" s="455"/>
      <c r="Z971" s="454"/>
      <c r="AA971" s="455"/>
      <c r="AB971" s="454"/>
      <c r="AC971" s="455"/>
      <c r="AD971" s="454"/>
      <c r="AE971" s="455"/>
      <c r="AF971" s="454"/>
      <c r="AG971" s="455"/>
    </row>
    <row r="972" spans="1:33" x14ac:dyDescent="0.2">
      <c r="A972" s="415">
        <f t="shared" si="31"/>
        <v>1459</v>
      </c>
      <c r="B972" s="416" t="str">
        <f t="shared" si="30"/>
        <v>Winter</v>
      </c>
      <c r="C972" s="453"/>
      <c r="D972" s="454"/>
      <c r="E972" s="455"/>
      <c r="F972" s="454"/>
      <c r="G972" s="455"/>
      <c r="H972" s="454"/>
      <c r="I972" s="455"/>
      <c r="J972" s="454"/>
      <c r="K972" s="455"/>
      <c r="L972" s="454"/>
      <c r="M972" s="455"/>
      <c r="N972" s="454"/>
      <c r="O972" s="455"/>
      <c r="P972" s="454"/>
      <c r="Q972" s="455"/>
      <c r="R972" s="454"/>
      <c r="S972" s="455"/>
      <c r="T972" s="454"/>
      <c r="U972" s="455"/>
      <c r="V972" s="454"/>
      <c r="W972" s="455"/>
      <c r="X972" s="454"/>
      <c r="Y972" s="455"/>
      <c r="Z972" s="454"/>
      <c r="AA972" s="455"/>
      <c r="AB972" s="454"/>
      <c r="AC972" s="455"/>
      <c r="AD972" s="454"/>
      <c r="AE972" s="455"/>
      <c r="AF972" s="454"/>
      <c r="AG972" s="455"/>
    </row>
    <row r="973" spans="1:33" x14ac:dyDescent="0.2">
      <c r="A973" s="415">
        <f t="shared" si="31"/>
        <v>1459</v>
      </c>
      <c r="B973" s="416" t="str">
        <f t="shared" si="30"/>
        <v>Spring</v>
      </c>
      <c r="C973" s="453"/>
      <c r="D973" s="454"/>
      <c r="E973" s="455"/>
      <c r="F973" s="454"/>
      <c r="G973" s="455"/>
      <c r="H973" s="454"/>
      <c r="I973" s="455"/>
      <c r="J973" s="454"/>
      <c r="K973" s="455"/>
      <c r="L973" s="454"/>
      <c r="M973" s="455"/>
      <c r="N973" s="454"/>
      <c r="O973" s="455"/>
      <c r="P973" s="454"/>
      <c r="Q973" s="455"/>
      <c r="R973" s="454"/>
      <c r="S973" s="455"/>
      <c r="T973" s="454"/>
      <c r="U973" s="455"/>
      <c r="V973" s="454"/>
      <c r="W973" s="455"/>
      <c r="X973" s="454"/>
      <c r="Y973" s="455"/>
      <c r="Z973" s="454"/>
      <c r="AA973" s="455"/>
      <c r="AB973" s="454"/>
      <c r="AC973" s="455"/>
      <c r="AD973" s="454"/>
      <c r="AE973" s="455"/>
      <c r="AF973" s="454"/>
      <c r="AG973" s="455"/>
    </row>
    <row r="974" spans="1:33" x14ac:dyDescent="0.2">
      <c r="A974" s="415">
        <f t="shared" si="31"/>
        <v>1459</v>
      </c>
      <c r="B974" s="416" t="str">
        <f t="shared" si="30"/>
        <v>Summer</v>
      </c>
      <c r="C974" s="453"/>
      <c r="D974" s="454"/>
      <c r="E974" s="455"/>
      <c r="F974" s="454"/>
      <c r="G974" s="455"/>
      <c r="H974" s="454"/>
      <c r="I974" s="455"/>
      <c r="J974" s="454"/>
      <c r="K974" s="455"/>
      <c r="L974" s="454"/>
      <c r="M974" s="455"/>
      <c r="N974" s="454"/>
      <c r="O974" s="455"/>
      <c r="P974" s="454"/>
      <c r="Q974" s="455"/>
      <c r="R974" s="454"/>
      <c r="S974" s="455"/>
      <c r="T974" s="454"/>
      <c r="U974" s="455"/>
      <c r="V974" s="454"/>
      <c r="W974" s="455"/>
      <c r="X974" s="454"/>
      <c r="Y974" s="455"/>
      <c r="Z974" s="454"/>
      <c r="AA974" s="455"/>
      <c r="AB974" s="454"/>
      <c r="AC974" s="455"/>
      <c r="AD974" s="454"/>
      <c r="AE974" s="455"/>
      <c r="AF974" s="454"/>
      <c r="AG974" s="455"/>
    </row>
    <row r="975" spans="1:33" x14ac:dyDescent="0.2">
      <c r="A975" s="415">
        <f t="shared" si="31"/>
        <v>1459</v>
      </c>
      <c r="B975" s="416" t="str">
        <f t="shared" si="30"/>
        <v>Autumn</v>
      </c>
      <c r="C975" s="453"/>
      <c r="D975" s="454"/>
      <c r="E975" s="455"/>
      <c r="F975" s="454"/>
      <c r="G975" s="455"/>
      <c r="H975" s="454"/>
      <c r="I975" s="455"/>
      <c r="J975" s="454"/>
      <c r="K975" s="455"/>
      <c r="L975" s="454"/>
      <c r="M975" s="455"/>
      <c r="N975" s="454"/>
      <c r="O975" s="455"/>
      <c r="P975" s="454"/>
      <c r="Q975" s="455"/>
      <c r="R975" s="454"/>
      <c r="S975" s="455"/>
      <c r="T975" s="454"/>
      <c r="U975" s="455"/>
      <c r="V975" s="454"/>
      <c r="W975" s="455"/>
      <c r="X975" s="454"/>
      <c r="Y975" s="455"/>
      <c r="Z975" s="454"/>
      <c r="AA975" s="455"/>
      <c r="AB975" s="454"/>
      <c r="AC975" s="455"/>
      <c r="AD975" s="454"/>
      <c r="AE975" s="455"/>
      <c r="AF975" s="454"/>
      <c r="AG975" s="455"/>
    </row>
    <row r="976" spans="1:33" x14ac:dyDescent="0.2">
      <c r="A976" s="415">
        <f t="shared" si="31"/>
        <v>1460</v>
      </c>
      <c r="B976" s="416" t="str">
        <f t="shared" si="30"/>
        <v>Winter</v>
      </c>
      <c r="C976" s="453"/>
      <c r="D976" s="454"/>
      <c r="E976" s="455"/>
      <c r="F976" s="454"/>
      <c r="G976" s="455"/>
      <c r="H976" s="454"/>
      <c r="I976" s="455"/>
      <c r="J976" s="454"/>
      <c r="K976" s="455"/>
      <c r="L976" s="454"/>
      <c r="M976" s="455"/>
      <c r="N976" s="454"/>
      <c r="O976" s="455"/>
      <c r="P976" s="454"/>
      <c r="Q976" s="455"/>
      <c r="R976" s="454"/>
      <c r="S976" s="455"/>
      <c r="T976" s="454"/>
      <c r="U976" s="455"/>
      <c r="V976" s="454"/>
      <c r="W976" s="455"/>
      <c r="X976" s="454"/>
      <c r="Y976" s="455"/>
      <c r="Z976" s="454"/>
      <c r="AA976" s="455"/>
      <c r="AB976" s="454"/>
      <c r="AC976" s="455"/>
      <c r="AD976" s="454"/>
      <c r="AE976" s="455"/>
      <c r="AF976" s="454"/>
      <c r="AG976" s="455"/>
    </row>
    <row r="977" spans="1:33" x14ac:dyDescent="0.2">
      <c r="A977" s="415">
        <f t="shared" si="31"/>
        <v>1460</v>
      </c>
      <c r="B977" s="416" t="str">
        <f t="shared" si="30"/>
        <v>Spring</v>
      </c>
      <c r="C977" s="453"/>
      <c r="D977" s="454"/>
      <c r="E977" s="455"/>
      <c r="F977" s="454"/>
      <c r="G977" s="455"/>
      <c r="H977" s="454"/>
      <c r="I977" s="455"/>
      <c r="J977" s="454"/>
      <c r="K977" s="455"/>
      <c r="L977" s="454"/>
      <c r="M977" s="455"/>
      <c r="N977" s="454"/>
      <c r="O977" s="455"/>
      <c r="P977" s="454"/>
      <c r="Q977" s="455"/>
      <c r="R977" s="454"/>
      <c r="S977" s="455"/>
      <c r="T977" s="454"/>
      <c r="U977" s="455"/>
      <c r="V977" s="454"/>
      <c r="W977" s="455"/>
      <c r="X977" s="454"/>
      <c r="Y977" s="455"/>
      <c r="Z977" s="454"/>
      <c r="AA977" s="455"/>
      <c r="AB977" s="454"/>
      <c r="AC977" s="455"/>
      <c r="AD977" s="454"/>
      <c r="AE977" s="455"/>
      <c r="AF977" s="454"/>
      <c r="AG977" s="455"/>
    </row>
    <row r="978" spans="1:33" x14ac:dyDescent="0.2">
      <c r="A978" s="415">
        <f t="shared" si="31"/>
        <v>1460</v>
      </c>
      <c r="B978" s="416" t="str">
        <f t="shared" si="30"/>
        <v>Summer</v>
      </c>
      <c r="C978" s="453"/>
      <c r="D978" s="454"/>
      <c r="E978" s="455"/>
      <c r="F978" s="454"/>
      <c r="G978" s="455"/>
      <c r="H978" s="454"/>
      <c r="I978" s="455"/>
      <c r="J978" s="454"/>
      <c r="K978" s="455"/>
      <c r="L978" s="454"/>
      <c r="M978" s="455"/>
      <c r="N978" s="454"/>
      <c r="O978" s="455"/>
      <c r="P978" s="454"/>
      <c r="Q978" s="455"/>
      <c r="R978" s="454"/>
      <c r="S978" s="455"/>
      <c r="T978" s="454"/>
      <c r="U978" s="455"/>
      <c r="V978" s="454"/>
      <c r="W978" s="455"/>
      <c r="X978" s="454"/>
      <c r="Y978" s="455"/>
      <c r="Z978" s="454"/>
      <c r="AA978" s="455"/>
      <c r="AB978" s="454"/>
      <c r="AC978" s="455"/>
      <c r="AD978" s="454"/>
      <c r="AE978" s="455"/>
      <c r="AF978" s="454"/>
      <c r="AG978" s="455"/>
    </row>
    <row r="979" spans="1:33" x14ac:dyDescent="0.2">
      <c r="A979" s="415">
        <f t="shared" si="31"/>
        <v>1460</v>
      </c>
      <c r="B979" s="416" t="str">
        <f t="shared" si="30"/>
        <v>Autumn</v>
      </c>
      <c r="C979" s="453"/>
      <c r="D979" s="454"/>
      <c r="E979" s="455"/>
      <c r="F979" s="454"/>
      <c r="G979" s="455"/>
      <c r="H979" s="454"/>
      <c r="I979" s="455"/>
      <c r="J979" s="454"/>
      <c r="K979" s="455"/>
      <c r="L979" s="454"/>
      <c r="M979" s="455"/>
      <c r="N979" s="454"/>
      <c r="O979" s="455"/>
      <c r="P979" s="454"/>
      <c r="Q979" s="455"/>
      <c r="R979" s="454"/>
      <c r="S979" s="455"/>
      <c r="T979" s="454"/>
      <c r="U979" s="455"/>
      <c r="V979" s="454"/>
      <c r="W979" s="455"/>
      <c r="X979" s="454"/>
      <c r="Y979" s="455"/>
      <c r="Z979" s="454"/>
      <c r="AA979" s="455"/>
      <c r="AB979" s="454"/>
      <c r="AC979" s="455"/>
      <c r="AD979" s="454"/>
      <c r="AE979" s="455"/>
      <c r="AF979" s="454"/>
      <c r="AG979" s="455"/>
    </row>
    <row r="980" spans="1:33" x14ac:dyDescent="0.2">
      <c r="A980" s="415">
        <f t="shared" si="31"/>
        <v>1461</v>
      </c>
      <c r="B980" s="416" t="str">
        <f t="shared" si="30"/>
        <v>Winter</v>
      </c>
      <c r="C980" s="453"/>
      <c r="D980" s="454"/>
      <c r="E980" s="455"/>
      <c r="F980" s="454"/>
      <c r="G980" s="455"/>
      <c r="H980" s="454"/>
      <c r="I980" s="455"/>
      <c r="J980" s="454"/>
      <c r="K980" s="455"/>
      <c r="L980" s="454"/>
      <c r="M980" s="455"/>
      <c r="N980" s="454"/>
      <c r="O980" s="455"/>
      <c r="P980" s="454"/>
      <c r="Q980" s="455"/>
      <c r="R980" s="454"/>
      <c r="S980" s="455"/>
      <c r="T980" s="454"/>
      <c r="U980" s="455"/>
      <c r="V980" s="454"/>
      <c r="W980" s="455"/>
      <c r="X980" s="454"/>
      <c r="Y980" s="455"/>
      <c r="Z980" s="454"/>
      <c r="AA980" s="455"/>
      <c r="AB980" s="454"/>
      <c r="AC980" s="455"/>
      <c r="AD980" s="454"/>
      <c r="AE980" s="455"/>
      <c r="AF980" s="454"/>
      <c r="AG980" s="455"/>
    </row>
    <row r="981" spans="1:33" x14ac:dyDescent="0.2">
      <c r="A981" s="415">
        <f t="shared" si="31"/>
        <v>1461</v>
      </c>
      <c r="B981" s="416" t="str">
        <f t="shared" si="30"/>
        <v>Spring</v>
      </c>
      <c r="C981" s="453"/>
      <c r="D981" s="454"/>
      <c r="E981" s="455"/>
      <c r="F981" s="454"/>
      <c r="G981" s="455"/>
      <c r="H981" s="454"/>
      <c r="I981" s="455"/>
      <c r="J981" s="454"/>
      <c r="K981" s="455"/>
      <c r="L981" s="454"/>
      <c r="M981" s="455"/>
      <c r="N981" s="454"/>
      <c r="O981" s="455"/>
      <c r="P981" s="454"/>
      <c r="Q981" s="455"/>
      <c r="R981" s="454"/>
      <c r="S981" s="455"/>
      <c r="T981" s="454"/>
      <c r="U981" s="455"/>
      <c r="V981" s="454"/>
      <c r="W981" s="455"/>
      <c r="X981" s="454"/>
      <c r="Y981" s="455"/>
      <c r="Z981" s="454"/>
      <c r="AA981" s="455"/>
      <c r="AB981" s="454"/>
      <c r="AC981" s="455"/>
      <c r="AD981" s="454"/>
      <c r="AE981" s="455"/>
      <c r="AF981" s="454"/>
      <c r="AG981" s="455"/>
    </row>
    <row r="982" spans="1:33" x14ac:dyDescent="0.2">
      <c r="A982" s="415">
        <f t="shared" si="31"/>
        <v>1461</v>
      </c>
      <c r="B982" s="416" t="str">
        <f t="shared" si="30"/>
        <v>Summer</v>
      </c>
      <c r="C982" s="453"/>
      <c r="D982" s="454"/>
      <c r="E982" s="455"/>
      <c r="F982" s="454"/>
      <c r="G982" s="455"/>
      <c r="H982" s="454"/>
      <c r="I982" s="455"/>
      <c r="J982" s="454"/>
      <c r="K982" s="455"/>
      <c r="L982" s="454"/>
      <c r="M982" s="455"/>
      <c r="N982" s="454"/>
      <c r="O982" s="455"/>
      <c r="P982" s="454"/>
      <c r="Q982" s="455"/>
      <c r="R982" s="454"/>
      <c r="S982" s="455"/>
      <c r="T982" s="454"/>
      <c r="U982" s="455"/>
      <c r="V982" s="454"/>
      <c r="W982" s="455"/>
      <c r="X982" s="454"/>
      <c r="Y982" s="455"/>
      <c r="Z982" s="454"/>
      <c r="AA982" s="455"/>
      <c r="AB982" s="454"/>
      <c r="AC982" s="455"/>
      <c r="AD982" s="454"/>
      <c r="AE982" s="455"/>
      <c r="AF982" s="454"/>
      <c r="AG982" s="455"/>
    </row>
    <row r="983" spans="1:33" x14ac:dyDescent="0.2">
      <c r="A983" s="415">
        <f t="shared" si="31"/>
        <v>1461</v>
      </c>
      <c r="B983" s="416" t="str">
        <f t="shared" si="30"/>
        <v>Autumn</v>
      </c>
      <c r="C983" s="453"/>
      <c r="D983" s="454"/>
      <c r="E983" s="455"/>
      <c r="F983" s="454"/>
      <c r="G983" s="455"/>
      <c r="H983" s="454"/>
      <c r="I983" s="455"/>
      <c r="J983" s="454"/>
      <c r="K983" s="455"/>
      <c r="L983" s="454"/>
      <c r="M983" s="455"/>
      <c r="N983" s="454"/>
      <c r="O983" s="455"/>
      <c r="P983" s="454"/>
      <c r="Q983" s="455"/>
      <c r="R983" s="454"/>
      <c r="S983" s="455"/>
      <c r="T983" s="454"/>
      <c r="U983" s="455"/>
      <c r="V983" s="454"/>
      <c r="W983" s="455"/>
      <c r="X983" s="454"/>
      <c r="Y983" s="455"/>
      <c r="Z983" s="454"/>
      <c r="AA983" s="455"/>
      <c r="AB983" s="454"/>
      <c r="AC983" s="455"/>
      <c r="AD983" s="454"/>
      <c r="AE983" s="455"/>
      <c r="AF983" s="454"/>
      <c r="AG983" s="455"/>
    </row>
    <row r="984" spans="1:33" x14ac:dyDescent="0.2">
      <c r="A984" s="415">
        <f t="shared" si="31"/>
        <v>1462</v>
      </c>
      <c r="B984" s="416" t="str">
        <f t="shared" si="30"/>
        <v>Winter</v>
      </c>
      <c r="C984" s="453"/>
      <c r="D984" s="454"/>
      <c r="E984" s="455"/>
      <c r="F984" s="454"/>
      <c r="G984" s="455"/>
      <c r="H984" s="454"/>
      <c r="I984" s="455"/>
      <c r="J984" s="454"/>
      <c r="K984" s="455"/>
      <c r="L984" s="454"/>
      <c r="M984" s="455"/>
      <c r="N984" s="454"/>
      <c r="O984" s="455"/>
      <c r="P984" s="454"/>
      <c r="Q984" s="455"/>
      <c r="R984" s="454"/>
      <c r="S984" s="455"/>
      <c r="T984" s="454"/>
      <c r="U984" s="455"/>
      <c r="V984" s="454"/>
      <c r="W984" s="455"/>
      <c r="X984" s="454"/>
      <c r="Y984" s="455"/>
      <c r="Z984" s="454"/>
      <c r="AA984" s="455"/>
      <c r="AB984" s="454"/>
      <c r="AC984" s="455"/>
      <c r="AD984" s="454"/>
      <c r="AE984" s="455"/>
      <c r="AF984" s="454"/>
      <c r="AG984" s="455"/>
    </row>
    <row r="985" spans="1:33" x14ac:dyDescent="0.2">
      <c r="A985" s="415">
        <f t="shared" si="31"/>
        <v>1462</v>
      </c>
      <c r="B985" s="416" t="str">
        <f t="shared" si="30"/>
        <v>Spring</v>
      </c>
      <c r="C985" s="453"/>
      <c r="D985" s="454"/>
      <c r="E985" s="455"/>
      <c r="F985" s="454"/>
      <c r="G985" s="455"/>
      <c r="H985" s="454"/>
      <c r="I985" s="455"/>
      <c r="J985" s="454"/>
      <c r="K985" s="455"/>
      <c r="L985" s="454"/>
      <c r="M985" s="455"/>
      <c r="N985" s="454"/>
      <c r="O985" s="455"/>
      <c r="P985" s="454"/>
      <c r="Q985" s="455"/>
      <c r="R985" s="454"/>
      <c r="S985" s="455"/>
      <c r="T985" s="454"/>
      <c r="U985" s="455"/>
      <c r="V985" s="454"/>
      <c r="W985" s="455"/>
      <c r="X985" s="454"/>
      <c r="Y985" s="455"/>
      <c r="Z985" s="454"/>
      <c r="AA985" s="455"/>
      <c r="AB985" s="454"/>
      <c r="AC985" s="455"/>
      <c r="AD985" s="454"/>
      <c r="AE985" s="455"/>
      <c r="AF985" s="454"/>
      <c r="AG985" s="455"/>
    </row>
    <row r="986" spans="1:33" x14ac:dyDescent="0.2">
      <c r="A986" s="415">
        <f t="shared" si="31"/>
        <v>1462</v>
      </c>
      <c r="B986" s="416" t="str">
        <f t="shared" si="30"/>
        <v>Summer</v>
      </c>
      <c r="C986" s="453"/>
      <c r="D986" s="454"/>
      <c r="E986" s="455"/>
      <c r="F986" s="454"/>
      <c r="G986" s="455"/>
      <c r="H986" s="454"/>
      <c r="I986" s="455"/>
      <c r="J986" s="454"/>
      <c r="K986" s="455"/>
      <c r="L986" s="454"/>
      <c r="M986" s="455"/>
      <c r="N986" s="454"/>
      <c r="O986" s="455"/>
      <c r="P986" s="454"/>
      <c r="Q986" s="455"/>
      <c r="R986" s="454"/>
      <c r="S986" s="455"/>
      <c r="T986" s="454"/>
      <c r="U986" s="455"/>
      <c r="V986" s="454"/>
      <c r="W986" s="455"/>
      <c r="X986" s="454"/>
      <c r="Y986" s="455"/>
      <c r="Z986" s="454"/>
      <c r="AA986" s="455"/>
      <c r="AB986" s="454"/>
      <c r="AC986" s="455"/>
      <c r="AD986" s="454"/>
      <c r="AE986" s="455"/>
      <c r="AF986" s="454"/>
      <c r="AG986" s="455"/>
    </row>
    <row r="987" spans="1:33" x14ac:dyDescent="0.2">
      <c r="A987" s="415">
        <f t="shared" si="31"/>
        <v>1462</v>
      </c>
      <c r="B987" s="416" t="str">
        <f t="shared" si="30"/>
        <v>Autumn</v>
      </c>
      <c r="C987" s="453"/>
      <c r="D987" s="454"/>
      <c r="E987" s="455"/>
      <c r="F987" s="454"/>
      <c r="G987" s="455"/>
      <c r="H987" s="454"/>
      <c r="I987" s="455"/>
      <c r="J987" s="454"/>
      <c r="K987" s="455"/>
      <c r="L987" s="454"/>
      <c r="M987" s="455"/>
      <c r="N987" s="454"/>
      <c r="O987" s="455"/>
      <c r="P987" s="454"/>
      <c r="Q987" s="455"/>
      <c r="R987" s="454"/>
      <c r="S987" s="455"/>
      <c r="T987" s="454"/>
      <c r="U987" s="455"/>
      <c r="V987" s="454"/>
      <c r="W987" s="455"/>
      <c r="X987" s="454"/>
      <c r="Y987" s="455"/>
      <c r="Z987" s="454"/>
      <c r="AA987" s="455"/>
      <c r="AB987" s="454"/>
      <c r="AC987" s="455"/>
      <c r="AD987" s="454"/>
      <c r="AE987" s="455"/>
      <c r="AF987" s="454"/>
      <c r="AG987" s="455"/>
    </row>
    <row r="988" spans="1:33" x14ac:dyDescent="0.2">
      <c r="A988" s="415">
        <f t="shared" si="31"/>
        <v>1463</v>
      </c>
      <c r="B988" s="416" t="str">
        <f t="shared" si="30"/>
        <v>Winter</v>
      </c>
      <c r="C988" s="453"/>
      <c r="D988" s="454"/>
      <c r="E988" s="455"/>
      <c r="F988" s="454"/>
      <c r="G988" s="455"/>
      <c r="H988" s="454"/>
      <c r="I988" s="455"/>
      <c r="J988" s="454"/>
      <c r="K988" s="455"/>
      <c r="L988" s="454"/>
      <c r="M988" s="455"/>
      <c r="N988" s="454"/>
      <c r="O988" s="455"/>
      <c r="P988" s="454"/>
      <c r="Q988" s="455"/>
      <c r="R988" s="454"/>
      <c r="S988" s="455"/>
      <c r="T988" s="454"/>
      <c r="U988" s="455"/>
      <c r="V988" s="454"/>
      <c r="W988" s="455"/>
      <c r="X988" s="454"/>
      <c r="Y988" s="455"/>
      <c r="Z988" s="454"/>
      <c r="AA988" s="455"/>
      <c r="AB988" s="454"/>
      <c r="AC988" s="455"/>
      <c r="AD988" s="454"/>
      <c r="AE988" s="455"/>
      <c r="AF988" s="454"/>
      <c r="AG988" s="455"/>
    </row>
    <row r="989" spans="1:33" x14ac:dyDescent="0.2">
      <c r="A989" s="415">
        <f t="shared" si="31"/>
        <v>1463</v>
      </c>
      <c r="B989" s="416" t="str">
        <f t="shared" si="30"/>
        <v>Spring</v>
      </c>
      <c r="C989" s="453"/>
      <c r="D989" s="454"/>
      <c r="E989" s="455"/>
      <c r="F989" s="454"/>
      <c r="G989" s="455"/>
      <c r="H989" s="454"/>
      <c r="I989" s="455"/>
      <c r="J989" s="454"/>
      <c r="K989" s="455"/>
      <c r="L989" s="454"/>
      <c r="M989" s="455"/>
      <c r="N989" s="454"/>
      <c r="O989" s="455"/>
      <c r="P989" s="454"/>
      <c r="Q989" s="455"/>
      <c r="R989" s="454"/>
      <c r="S989" s="455"/>
      <c r="T989" s="454"/>
      <c r="U989" s="455"/>
      <c r="V989" s="454"/>
      <c r="W989" s="455"/>
      <c r="X989" s="454"/>
      <c r="Y989" s="455"/>
      <c r="Z989" s="454"/>
      <c r="AA989" s="455"/>
      <c r="AB989" s="454"/>
      <c r="AC989" s="455"/>
      <c r="AD989" s="454"/>
      <c r="AE989" s="455"/>
      <c r="AF989" s="454"/>
      <c r="AG989" s="455"/>
    </row>
    <row r="990" spans="1:33" x14ac:dyDescent="0.2">
      <c r="A990" s="415">
        <f t="shared" si="31"/>
        <v>1463</v>
      </c>
      <c r="B990" s="416" t="str">
        <f t="shared" si="30"/>
        <v>Summer</v>
      </c>
      <c r="C990" s="453"/>
      <c r="D990" s="454"/>
      <c r="E990" s="455"/>
      <c r="F990" s="454"/>
      <c r="G990" s="455"/>
      <c r="H990" s="454"/>
      <c r="I990" s="455"/>
      <c r="J990" s="454"/>
      <c r="K990" s="455"/>
      <c r="L990" s="454"/>
      <c r="M990" s="455"/>
      <c r="N990" s="454"/>
      <c r="O990" s="455"/>
      <c r="P990" s="454"/>
      <c r="Q990" s="455"/>
      <c r="R990" s="454"/>
      <c r="S990" s="455"/>
      <c r="T990" s="454"/>
      <c r="U990" s="455"/>
      <c r="V990" s="454"/>
      <c r="W990" s="455"/>
      <c r="X990" s="454"/>
      <c r="Y990" s="455"/>
      <c r="Z990" s="454"/>
      <c r="AA990" s="455"/>
      <c r="AB990" s="454"/>
      <c r="AC990" s="455"/>
      <c r="AD990" s="454"/>
      <c r="AE990" s="455"/>
      <c r="AF990" s="454"/>
      <c r="AG990" s="455"/>
    </row>
    <row r="991" spans="1:33" x14ac:dyDescent="0.2">
      <c r="A991" s="415">
        <f t="shared" si="31"/>
        <v>1463</v>
      </c>
      <c r="B991" s="416" t="str">
        <f t="shared" si="30"/>
        <v>Autumn</v>
      </c>
      <c r="C991" s="453"/>
      <c r="D991" s="454"/>
      <c r="E991" s="455"/>
      <c r="F991" s="454"/>
      <c r="G991" s="455"/>
      <c r="H991" s="454"/>
      <c r="I991" s="455"/>
      <c r="J991" s="454"/>
      <c r="K991" s="455"/>
      <c r="L991" s="454"/>
      <c r="M991" s="455"/>
      <c r="N991" s="454"/>
      <c r="O991" s="455"/>
      <c r="P991" s="454"/>
      <c r="Q991" s="455"/>
      <c r="R991" s="454"/>
      <c r="S991" s="455"/>
      <c r="T991" s="454"/>
      <c r="U991" s="455"/>
      <c r="V991" s="454"/>
      <c r="W991" s="455"/>
      <c r="X991" s="454"/>
      <c r="Y991" s="455"/>
      <c r="Z991" s="454"/>
      <c r="AA991" s="455"/>
      <c r="AB991" s="454"/>
      <c r="AC991" s="455"/>
      <c r="AD991" s="454"/>
      <c r="AE991" s="455"/>
      <c r="AF991" s="454"/>
      <c r="AG991" s="455"/>
    </row>
    <row r="992" spans="1:33" x14ac:dyDescent="0.2">
      <c r="A992" s="415">
        <f t="shared" si="31"/>
        <v>1464</v>
      </c>
      <c r="B992" s="416" t="str">
        <f t="shared" si="30"/>
        <v>Winter</v>
      </c>
      <c r="C992" s="453"/>
      <c r="D992" s="454"/>
      <c r="E992" s="455"/>
      <c r="F992" s="454"/>
      <c r="G992" s="455"/>
      <c r="H992" s="454"/>
      <c r="I992" s="455"/>
      <c r="J992" s="454"/>
      <c r="K992" s="455"/>
      <c r="L992" s="454"/>
      <c r="M992" s="455"/>
      <c r="N992" s="454"/>
      <c r="O992" s="455"/>
      <c r="P992" s="454"/>
      <c r="Q992" s="455"/>
      <c r="R992" s="454"/>
      <c r="S992" s="455"/>
      <c r="T992" s="454"/>
      <c r="U992" s="455"/>
      <c r="V992" s="454"/>
      <c r="W992" s="455"/>
      <c r="X992" s="454"/>
      <c r="Y992" s="455"/>
      <c r="Z992" s="454"/>
      <c r="AA992" s="455"/>
      <c r="AB992" s="454"/>
      <c r="AC992" s="455"/>
      <c r="AD992" s="454"/>
      <c r="AE992" s="455"/>
      <c r="AF992" s="454"/>
      <c r="AG992" s="455"/>
    </row>
    <row r="993" spans="1:33" x14ac:dyDescent="0.2">
      <c r="A993" s="415">
        <f t="shared" si="31"/>
        <v>1464</v>
      </c>
      <c r="B993" s="416" t="str">
        <f t="shared" si="30"/>
        <v>Spring</v>
      </c>
      <c r="C993" s="453"/>
      <c r="D993" s="454"/>
      <c r="E993" s="455"/>
      <c r="F993" s="454"/>
      <c r="G993" s="455"/>
      <c r="H993" s="454"/>
      <c r="I993" s="455"/>
      <c r="J993" s="454"/>
      <c r="K993" s="455"/>
      <c r="L993" s="454"/>
      <c r="M993" s="455"/>
      <c r="N993" s="454"/>
      <c r="O993" s="455"/>
      <c r="P993" s="454"/>
      <c r="Q993" s="455"/>
      <c r="R993" s="454"/>
      <c r="S993" s="455"/>
      <c r="T993" s="454"/>
      <c r="U993" s="455"/>
      <c r="V993" s="454"/>
      <c r="W993" s="455"/>
      <c r="X993" s="454"/>
      <c r="Y993" s="455"/>
      <c r="Z993" s="454"/>
      <c r="AA993" s="455"/>
      <c r="AB993" s="454"/>
      <c r="AC993" s="455"/>
      <c r="AD993" s="454"/>
      <c r="AE993" s="455"/>
      <c r="AF993" s="454"/>
      <c r="AG993" s="455"/>
    </row>
    <row r="994" spans="1:33" x14ac:dyDescent="0.2">
      <c r="A994" s="415">
        <f t="shared" si="31"/>
        <v>1464</v>
      </c>
      <c r="B994" s="416" t="str">
        <f t="shared" si="30"/>
        <v>Summer</v>
      </c>
      <c r="C994" s="453"/>
      <c r="D994" s="454"/>
      <c r="E994" s="455"/>
      <c r="F994" s="454"/>
      <c r="G994" s="455"/>
      <c r="H994" s="454"/>
      <c r="I994" s="455"/>
      <c r="J994" s="454"/>
      <c r="K994" s="455"/>
      <c r="L994" s="454"/>
      <c r="M994" s="455"/>
      <c r="N994" s="454"/>
      <c r="O994" s="455"/>
      <c r="P994" s="454"/>
      <c r="Q994" s="455"/>
      <c r="R994" s="454"/>
      <c r="S994" s="455"/>
      <c r="T994" s="454"/>
      <c r="U994" s="455"/>
      <c r="V994" s="454"/>
      <c r="W994" s="455"/>
      <c r="X994" s="454"/>
      <c r="Y994" s="455"/>
      <c r="Z994" s="454"/>
      <c r="AA994" s="455"/>
      <c r="AB994" s="454"/>
      <c r="AC994" s="455"/>
      <c r="AD994" s="454"/>
      <c r="AE994" s="455"/>
      <c r="AF994" s="454"/>
      <c r="AG994" s="455"/>
    </row>
    <row r="995" spans="1:33" x14ac:dyDescent="0.2">
      <c r="A995" s="415">
        <f t="shared" si="31"/>
        <v>1464</v>
      </c>
      <c r="B995" s="416" t="str">
        <f t="shared" si="30"/>
        <v>Autumn</v>
      </c>
      <c r="C995" s="453"/>
      <c r="D995" s="454"/>
      <c r="E995" s="455"/>
      <c r="F995" s="454"/>
      <c r="G995" s="455"/>
      <c r="H995" s="454"/>
      <c r="I995" s="455"/>
      <c r="J995" s="454"/>
      <c r="K995" s="455"/>
      <c r="L995" s="454"/>
      <c r="M995" s="455"/>
      <c r="N995" s="454"/>
      <c r="O995" s="455"/>
      <c r="P995" s="454"/>
      <c r="Q995" s="455"/>
      <c r="R995" s="454"/>
      <c r="S995" s="455"/>
      <c r="T995" s="454"/>
      <c r="U995" s="455"/>
      <c r="V995" s="454"/>
      <c r="W995" s="455"/>
      <c r="X995" s="454"/>
      <c r="Y995" s="455"/>
      <c r="Z995" s="454"/>
      <c r="AA995" s="455"/>
      <c r="AB995" s="454"/>
      <c r="AC995" s="455"/>
      <c r="AD995" s="454"/>
      <c r="AE995" s="455"/>
      <c r="AF995" s="454"/>
      <c r="AG995" s="455"/>
    </row>
    <row r="996" spans="1:33" x14ac:dyDescent="0.2">
      <c r="A996" s="415">
        <f t="shared" si="31"/>
        <v>1465</v>
      </c>
      <c r="B996" s="416" t="str">
        <f t="shared" si="30"/>
        <v>Winter</v>
      </c>
      <c r="C996" s="453"/>
      <c r="D996" s="454"/>
      <c r="E996" s="455"/>
      <c r="F996" s="454"/>
      <c r="G996" s="455"/>
      <c r="H996" s="454"/>
      <c r="I996" s="455"/>
      <c r="J996" s="454"/>
      <c r="K996" s="455"/>
      <c r="L996" s="454"/>
      <c r="M996" s="455"/>
      <c r="N996" s="454"/>
      <c r="O996" s="455"/>
      <c r="P996" s="454"/>
      <c r="Q996" s="455"/>
      <c r="R996" s="454"/>
      <c r="S996" s="455"/>
      <c r="T996" s="454"/>
      <c r="U996" s="455"/>
      <c r="V996" s="454"/>
      <c r="W996" s="455"/>
      <c r="X996" s="454"/>
      <c r="Y996" s="455"/>
      <c r="Z996" s="454"/>
      <c r="AA996" s="455"/>
      <c r="AB996" s="454"/>
      <c r="AC996" s="455"/>
      <c r="AD996" s="454"/>
      <c r="AE996" s="455"/>
      <c r="AF996" s="454"/>
      <c r="AG996" s="455"/>
    </row>
    <row r="997" spans="1:33" x14ac:dyDescent="0.2">
      <c r="A997" s="415">
        <f t="shared" si="31"/>
        <v>1465</v>
      </c>
      <c r="B997" s="416" t="str">
        <f t="shared" si="30"/>
        <v>Spring</v>
      </c>
      <c r="C997" s="453"/>
      <c r="D997" s="454"/>
      <c r="E997" s="455"/>
      <c r="F997" s="454"/>
      <c r="G997" s="455"/>
      <c r="H997" s="454"/>
      <c r="I997" s="455"/>
      <c r="J997" s="454"/>
      <c r="K997" s="455"/>
      <c r="L997" s="454"/>
      <c r="M997" s="455"/>
      <c r="N997" s="454"/>
      <c r="O997" s="455"/>
      <c r="P997" s="454"/>
      <c r="Q997" s="455"/>
      <c r="R997" s="454"/>
      <c r="S997" s="455"/>
      <c r="T997" s="454"/>
      <c r="U997" s="455"/>
      <c r="V997" s="454"/>
      <c r="W997" s="455"/>
      <c r="X997" s="454"/>
      <c r="Y997" s="455"/>
      <c r="Z997" s="454"/>
      <c r="AA997" s="455"/>
      <c r="AB997" s="454"/>
      <c r="AC997" s="455"/>
      <c r="AD997" s="454"/>
      <c r="AE997" s="455"/>
      <c r="AF997" s="454"/>
      <c r="AG997" s="455"/>
    </row>
    <row r="998" spans="1:33" x14ac:dyDescent="0.2">
      <c r="A998" s="415">
        <f t="shared" si="31"/>
        <v>1465</v>
      </c>
      <c r="B998" s="416" t="str">
        <f t="shared" si="30"/>
        <v>Summer</v>
      </c>
      <c r="C998" s="453"/>
      <c r="D998" s="454"/>
      <c r="E998" s="455"/>
      <c r="F998" s="454"/>
      <c r="G998" s="455"/>
      <c r="H998" s="454"/>
      <c r="I998" s="455"/>
      <c r="J998" s="454"/>
      <c r="K998" s="455"/>
      <c r="L998" s="454"/>
      <c r="M998" s="455"/>
      <c r="N998" s="454"/>
      <c r="O998" s="455"/>
      <c r="P998" s="454"/>
      <c r="Q998" s="455"/>
      <c r="R998" s="454"/>
      <c r="S998" s="455"/>
      <c r="T998" s="454"/>
      <c r="U998" s="455"/>
      <c r="V998" s="454"/>
      <c r="W998" s="455"/>
      <c r="X998" s="454"/>
      <c r="Y998" s="455"/>
      <c r="Z998" s="454"/>
      <c r="AA998" s="455"/>
      <c r="AB998" s="454"/>
      <c r="AC998" s="455"/>
      <c r="AD998" s="454"/>
      <c r="AE998" s="455"/>
      <c r="AF998" s="454"/>
      <c r="AG998" s="455"/>
    </row>
    <row r="999" spans="1:33" x14ac:dyDescent="0.2">
      <c r="A999" s="415">
        <f t="shared" si="31"/>
        <v>1465</v>
      </c>
      <c r="B999" s="416" t="str">
        <f t="shared" si="30"/>
        <v>Autumn</v>
      </c>
      <c r="C999" s="453"/>
      <c r="D999" s="454"/>
      <c r="E999" s="455"/>
      <c r="F999" s="454"/>
      <c r="G999" s="455"/>
      <c r="H999" s="454"/>
      <c r="I999" s="455"/>
      <c r="J999" s="454"/>
      <c r="K999" s="455"/>
      <c r="L999" s="454"/>
      <c r="M999" s="455"/>
      <c r="N999" s="454"/>
      <c r="O999" s="455"/>
      <c r="P999" s="454"/>
      <c r="Q999" s="455"/>
      <c r="R999" s="454"/>
      <c r="S999" s="455"/>
      <c r="T999" s="454"/>
      <c r="U999" s="455"/>
      <c r="V999" s="454"/>
      <c r="W999" s="455"/>
      <c r="X999" s="454"/>
      <c r="Y999" s="455"/>
      <c r="Z999" s="454"/>
      <c r="AA999" s="455"/>
      <c r="AB999" s="454"/>
      <c r="AC999" s="455"/>
      <c r="AD999" s="454"/>
      <c r="AE999" s="455"/>
      <c r="AF999" s="454"/>
      <c r="AG999" s="455"/>
    </row>
    <row r="1000" spans="1:33" x14ac:dyDescent="0.2">
      <c r="A1000" s="415">
        <f t="shared" si="31"/>
        <v>1466</v>
      </c>
      <c r="B1000" s="416" t="str">
        <f t="shared" si="30"/>
        <v>Winter</v>
      </c>
      <c r="C1000" s="453"/>
      <c r="D1000" s="454"/>
      <c r="E1000" s="455"/>
      <c r="F1000" s="454"/>
      <c r="G1000" s="455"/>
      <c r="H1000" s="454"/>
      <c r="I1000" s="455"/>
      <c r="J1000" s="454"/>
      <c r="K1000" s="455"/>
      <c r="L1000" s="454"/>
      <c r="M1000" s="455"/>
      <c r="N1000" s="454"/>
      <c r="O1000" s="455"/>
      <c r="P1000" s="454"/>
      <c r="Q1000" s="455"/>
      <c r="R1000" s="454"/>
      <c r="S1000" s="455"/>
      <c r="T1000" s="454"/>
      <c r="U1000" s="455"/>
      <c r="V1000" s="454"/>
      <c r="W1000" s="455"/>
      <c r="X1000" s="454"/>
      <c r="Y1000" s="455"/>
      <c r="Z1000" s="454"/>
      <c r="AA1000" s="455"/>
      <c r="AB1000" s="454"/>
      <c r="AC1000" s="455"/>
      <c r="AD1000" s="454"/>
      <c r="AE1000" s="455"/>
      <c r="AF1000" s="454"/>
      <c r="AG1000" s="455"/>
    </row>
    <row r="1001" spans="1:33" x14ac:dyDescent="0.2">
      <c r="A1001" s="415">
        <f t="shared" si="31"/>
        <v>1466</v>
      </c>
      <c r="B1001" s="416" t="str">
        <f t="shared" si="30"/>
        <v>Spring</v>
      </c>
      <c r="C1001" s="453"/>
      <c r="D1001" s="454"/>
      <c r="E1001" s="455"/>
      <c r="F1001" s="454"/>
      <c r="G1001" s="455"/>
      <c r="H1001" s="454"/>
      <c r="I1001" s="455"/>
      <c r="J1001" s="454"/>
      <c r="K1001" s="455"/>
      <c r="L1001" s="454"/>
      <c r="M1001" s="455"/>
      <c r="N1001" s="454"/>
      <c r="O1001" s="455"/>
      <c r="P1001" s="454"/>
      <c r="Q1001" s="455"/>
      <c r="R1001" s="454"/>
      <c r="S1001" s="455"/>
      <c r="T1001" s="454"/>
      <c r="U1001" s="455"/>
      <c r="V1001" s="454"/>
      <c r="W1001" s="455"/>
      <c r="X1001" s="454"/>
      <c r="Y1001" s="455"/>
      <c r="Z1001" s="454"/>
      <c r="AA1001" s="455"/>
      <c r="AB1001" s="454"/>
      <c r="AC1001" s="455"/>
      <c r="AD1001" s="454"/>
      <c r="AE1001" s="455"/>
      <c r="AF1001" s="454"/>
      <c r="AG1001" s="455"/>
    </row>
    <row r="1002" spans="1:33" x14ac:dyDescent="0.2">
      <c r="A1002" s="415">
        <f t="shared" si="31"/>
        <v>1466</v>
      </c>
      <c r="B1002" s="416" t="str">
        <f t="shared" si="30"/>
        <v>Summer</v>
      </c>
      <c r="C1002" s="453"/>
      <c r="D1002" s="454"/>
      <c r="E1002" s="455"/>
      <c r="F1002" s="454"/>
      <c r="G1002" s="455"/>
      <c r="H1002" s="454"/>
      <c r="I1002" s="455"/>
      <c r="J1002" s="454"/>
      <c r="K1002" s="455"/>
      <c r="L1002" s="454"/>
      <c r="M1002" s="455"/>
      <c r="N1002" s="454"/>
      <c r="O1002" s="455"/>
      <c r="P1002" s="454"/>
      <c r="Q1002" s="455"/>
      <c r="R1002" s="454"/>
      <c r="S1002" s="455"/>
      <c r="T1002" s="454"/>
      <c r="U1002" s="455"/>
      <c r="V1002" s="454"/>
      <c r="W1002" s="455"/>
      <c r="X1002" s="454"/>
      <c r="Y1002" s="455"/>
      <c r="Z1002" s="454"/>
      <c r="AA1002" s="455"/>
      <c r="AB1002" s="454"/>
      <c r="AC1002" s="455"/>
      <c r="AD1002" s="454"/>
      <c r="AE1002" s="455"/>
      <c r="AF1002" s="454"/>
      <c r="AG1002" s="455"/>
    </row>
    <row r="1003" spans="1:33" x14ac:dyDescent="0.2">
      <c r="A1003" s="415">
        <f t="shared" si="31"/>
        <v>1466</v>
      </c>
      <c r="B1003" s="416" t="str">
        <f t="shared" ref="B1003:B1066" si="32">IF(B1002="spring","Summer",IF(B1002="Summer","Autumn",IF(B1002="Autumn","Winter",IF(B1002="Winter","Spring"," "))))</f>
        <v>Autumn</v>
      </c>
      <c r="C1003" s="453"/>
      <c r="D1003" s="454"/>
      <c r="E1003" s="455"/>
      <c r="F1003" s="454"/>
      <c r="G1003" s="455"/>
      <c r="H1003" s="454"/>
      <c r="I1003" s="455"/>
      <c r="J1003" s="454"/>
      <c r="K1003" s="455"/>
      <c r="L1003" s="454"/>
      <c r="M1003" s="455"/>
      <c r="N1003" s="454"/>
      <c r="O1003" s="455"/>
      <c r="P1003" s="454"/>
      <c r="Q1003" s="455"/>
      <c r="R1003" s="454"/>
      <c r="S1003" s="455"/>
      <c r="T1003" s="454"/>
      <c r="U1003" s="455"/>
      <c r="V1003" s="454"/>
      <c r="W1003" s="455"/>
      <c r="X1003" s="454"/>
      <c r="Y1003" s="455"/>
      <c r="Z1003" s="454"/>
      <c r="AA1003" s="455"/>
      <c r="AB1003" s="454"/>
      <c r="AC1003" s="455"/>
      <c r="AD1003" s="454"/>
      <c r="AE1003" s="455"/>
      <c r="AF1003" s="454"/>
      <c r="AG1003" s="455"/>
    </row>
    <row r="1004" spans="1:33" x14ac:dyDescent="0.2">
      <c r="A1004" s="415">
        <f t="shared" si="31"/>
        <v>1467</v>
      </c>
      <c r="B1004" s="416" t="str">
        <f t="shared" si="32"/>
        <v>Winter</v>
      </c>
      <c r="C1004" s="453"/>
      <c r="D1004" s="454"/>
      <c r="E1004" s="455"/>
      <c r="F1004" s="454"/>
      <c r="G1004" s="455"/>
      <c r="H1004" s="454"/>
      <c r="I1004" s="455"/>
      <c r="J1004" s="454"/>
      <c r="K1004" s="455"/>
      <c r="L1004" s="454"/>
      <c r="M1004" s="455"/>
      <c r="N1004" s="454"/>
      <c r="O1004" s="455"/>
      <c r="P1004" s="454"/>
      <c r="Q1004" s="455"/>
      <c r="R1004" s="454"/>
      <c r="S1004" s="455"/>
      <c r="T1004" s="454"/>
      <c r="U1004" s="455"/>
      <c r="V1004" s="454"/>
      <c r="W1004" s="455"/>
      <c r="X1004" s="454"/>
      <c r="Y1004" s="455"/>
      <c r="Z1004" s="454"/>
      <c r="AA1004" s="455"/>
      <c r="AB1004" s="454"/>
      <c r="AC1004" s="455"/>
      <c r="AD1004" s="454"/>
      <c r="AE1004" s="455"/>
      <c r="AF1004" s="454"/>
      <c r="AG1004" s="455"/>
    </row>
    <row r="1005" spans="1:33" x14ac:dyDescent="0.2">
      <c r="A1005" s="415">
        <f t="shared" si="31"/>
        <v>1467</v>
      </c>
      <c r="B1005" s="416" t="str">
        <f t="shared" si="32"/>
        <v>Spring</v>
      </c>
      <c r="C1005" s="453"/>
      <c r="D1005" s="454"/>
      <c r="E1005" s="455"/>
      <c r="F1005" s="454"/>
      <c r="G1005" s="455"/>
      <c r="H1005" s="454"/>
      <c r="I1005" s="455"/>
      <c r="J1005" s="454"/>
      <c r="K1005" s="455"/>
      <c r="L1005" s="454"/>
      <c r="M1005" s="455"/>
      <c r="N1005" s="454"/>
      <c r="O1005" s="455"/>
      <c r="P1005" s="454"/>
      <c r="Q1005" s="455"/>
      <c r="R1005" s="454"/>
      <c r="S1005" s="455"/>
      <c r="T1005" s="454"/>
      <c r="U1005" s="455"/>
      <c r="V1005" s="454"/>
      <c r="W1005" s="455"/>
      <c r="X1005" s="454"/>
      <c r="Y1005" s="455"/>
      <c r="Z1005" s="454"/>
      <c r="AA1005" s="455"/>
      <c r="AB1005" s="454"/>
      <c r="AC1005" s="455"/>
      <c r="AD1005" s="454"/>
      <c r="AE1005" s="455"/>
      <c r="AF1005" s="454"/>
      <c r="AG1005" s="455"/>
    </row>
    <row r="1006" spans="1:33" x14ac:dyDescent="0.2">
      <c r="A1006" s="415">
        <f t="shared" si="31"/>
        <v>1467</v>
      </c>
      <c r="B1006" s="416" t="str">
        <f t="shared" si="32"/>
        <v>Summer</v>
      </c>
      <c r="C1006" s="453"/>
      <c r="D1006" s="454"/>
      <c r="E1006" s="455"/>
      <c r="F1006" s="454"/>
      <c r="G1006" s="455"/>
      <c r="H1006" s="454"/>
      <c r="I1006" s="455"/>
      <c r="J1006" s="454"/>
      <c r="K1006" s="455"/>
      <c r="L1006" s="454"/>
      <c r="M1006" s="455"/>
      <c r="N1006" s="454"/>
      <c r="O1006" s="455"/>
      <c r="P1006" s="454"/>
      <c r="Q1006" s="455"/>
      <c r="R1006" s="454"/>
      <c r="S1006" s="455"/>
      <c r="T1006" s="454"/>
      <c r="U1006" s="455"/>
      <c r="V1006" s="454"/>
      <c r="W1006" s="455"/>
      <c r="X1006" s="454"/>
      <c r="Y1006" s="455"/>
      <c r="Z1006" s="454"/>
      <c r="AA1006" s="455"/>
      <c r="AB1006" s="454"/>
      <c r="AC1006" s="455"/>
      <c r="AD1006" s="454"/>
      <c r="AE1006" s="455"/>
      <c r="AF1006" s="454"/>
      <c r="AG1006" s="455"/>
    </row>
    <row r="1007" spans="1:33" x14ac:dyDescent="0.2">
      <c r="A1007" s="415">
        <f t="shared" si="31"/>
        <v>1467</v>
      </c>
      <c r="B1007" s="416" t="str">
        <f t="shared" si="32"/>
        <v>Autumn</v>
      </c>
      <c r="C1007" s="453"/>
      <c r="D1007" s="454"/>
      <c r="E1007" s="455"/>
      <c r="F1007" s="454"/>
      <c r="G1007" s="455"/>
      <c r="H1007" s="454"/>
      <c r="I1007" s="455"/>
      <c r="J1007" s="454"/>
      <c r="K1007" s="455"/>
      <c r="L1007" s="454"/>
      <c r="M1007" s="455"/>
      <c r="N1007" s="454"/>
      <c r="O1007" s="455"/>
      <c r="P1007" s="454"/>
      <c r="Q1007" s="455"/>
      <c r="R1007" s="454"/>
      <c r="S1007" s="455"/>
      <c r="T1007" s="454"/>
      <c r="U1007" s="455"/>
      <c r="V1007" s="454"/>
      <c r="W1007" s="455"/>
      <c r="X1007" s="454"/>
      <c r="Y1007" s="455"/>
      <c r="Z1007" s="454"/>
      <c r="AA1007" s="455"/>
      <c r="AB1007" s="454"/>
      <c r="AC1007" s="455"/>
      <c r="AD1007" s="454"/>
      <c r="AE1007" s="455"/>
      <c r="AF1007" s="454"/>
      <c r="AG1007" s="455"/>
    </row>
    <row r="1008" spans="1:33" x14ac:dyDescent="0.2">
      <c r="A1008" s="415">
        <f t="shared" si="31"/>
        <v>1468</v>
      </c>
      <c r="B1008" s="416" t="str">
        <f t="shared" si="32"/>
        <v>Winter</v>
      </c>
      <c r="C1008" s="453"/>
      <c r="D1008" s="454"/>
      <c r="E1008" s="455"/>
      <c r="F1008" s="454"/>
      <c r="G1008" s="455"/>
      <c r="H1008" s="454"/>
      <c r="I1008" s="455"/>
      <c r="J1008" s="454"/>
      <c r="K1008" s="455"/>
      <c r="L1008" s="454"/>
      <c r="M1008" s="455"/>
      <c r="N1008" s="454"/>
      <c r="O1008" s="455"/>
      <c r="P1008" s="454"/>
      <c r="Q1008" s="455"/>
      <c r="R1008" s="454"/>
      <c r="S1008" s="455"/>
      <c r="T1008" s="454"/>
      <c r="U1008" s="455"/>
      <c r="V1008" s="454"/>
      <c r="W1008" s="455"/>
      <c r="X1008" s="454"/>
      <c r="Y1008" s="455"/>
      <c r="Z1008" s="454"/>
      <c r="AA1008" s="455"/>
      <c r="AB1008" s="454"/>
      <c r="AC1008" s="455"/>
      <c r="AD1008" s="454"/>
      <c r="AE1008" s="455"/>
      <c r="AF1008" s="454"/>
      <c r="AG1008" s="455"/>
    </row>
    <row r="1009" spans="1:33" x14ac:dyDescent="0.2">
      <c r="A1009" s="415">
        <f t="shared" si="31"/>
        <v>1468</v>
      </c>
      <c r="B1009" s="416" t="str">
        <f t="shared" si="32"/>
        <v>Spring</v>
      </c>
      <c r="C1009" s="453"/>
      <c r="D1009" s="454"/>
      <c r="E1009" s="455"/>
      <c r="F1009" s="454"/>
      <c r="G1009" s="455"/>
      <c r="H1009" s="454"/>
      <c r="I1009" s="455"/>
      <c r="J1009" s="454"/>
      <c r="K1009" s="455"/>
      <c r="L1009" s="454"/>
      <c r="M1009" s="455"/>
      <c r="N1009" s="454"/>
      <c r="O1009" s="455"/>
      <c r="P1009" s="454"/>
      <c r="Q1009" s="455"/>
      <c r="R1009" s="454"/>
      <c r="S1009" s="455"/>
      <c r="T1009" s="454"/>
      <c r="U1009" s="455"/>
      <c r="V1009" s="454"/>
      <c r="W1009" s="455"/>
      <c r="X1009" s="454"/>
      <c r="Y1009" s="455"/>
      <c r="Z1009" s="454"/>
      <c r="AA1009" s="455"/>
      <c r="AB1009" s="454"/>
      <c r="AC1009" s="455"/>
      <c r="AD1009" s="454"/>
      <c r="AE1009" s="455"/>
      <c r="AF1009" s="454"/>
      <c r="AG1009" s="455"/>
    </row>
    <row r="1010" spans="1:33" x14ac:dyDescent="0.2">
      <c r="A1010" s="415">
        <f t="shared" si="31"/>
        <v>1468</v>
      </c>
      <c r="B1010" s="416" t="str">
        <f t="shared" si="32"/>
        <v>Summer</v>
      </c>
      <c r="C1010" s="453"/>
      <c r="D1010" s="454"/>
      <c r="E1010" s="455"/>
      <c r="F1010" s="454"/>
      <c r="G1010" s="455"/>
      <c r="H1010" s="454"/>
      <c r="I1010" s="455"/>
      <c r="J1010" s="454"/>
      <c r="K1010" s="455"/>
      <c r="L1010" s="454"/>
      <c r="M1010" s="455"/>
      <c r="N1010" s="454"/>
      <c r="O1010" s="455"/>
      <c r="P1010" s="454"/>
      <c r="Q1010" s="455"/>
      <c r="R1010" s="454"/>
      <c r="S1010" s="455"/>
      <c r="T1010" s="454"/>
      <c r="U1010" s="455"/>
      <c r="V1010" s="454"/>
      <c r="W1010" s="455"/>
      <c r="X1010" s="454"/>
      <c r="Y1010" s="455"/>
      <c r="Z1010" s="454"/>
      <c r="AA1010" s="455"/>
      <c r="AB1010" s="454"/>
      <c r="AC1010" s="455"/>
      <c r="AD1010" s="454"/>
      <c r="AE1010" s="455"/>
      <c r="AF1010" s="454"/>
      <c r="AG1010" s="455"/>
    </row>
    <row r="1011" spans="1:33" x14ac:dyDescent="0.2">
      <c r="A1011" s="415">
        <f t="shared" si="31"/>
        <v>1468</v>
      </c>
      <c r="B1011" s="416" t="str">
        <f t="shared" si="32"/>
        <v>Autumn</v>
      </c>
      <c r="C1011" s="453"/>
      <c r="D1011" s="454"/>
      <c r="E1011" s="455"/>
      <c r="F1011" s="454"/>
      <c r="G1011" s="455"/>
      <c r="H1011" s="454"/>
      <c r="I1011" s="455"/>
      <c r="J1011" s="454"/>
      <c r="K1011" s="455"/>
      <c r="L1011" s="454"/>
      <c r="M1011" s="455"/>
      <c r="N1011" s="454"/>
      <c r="O1011" s="455"/>
      <c r="P1011" s="454"/>
      <c r="Q1011" s="455"/>
      <c r="R1011" s="454"/>
      <c r="S1011" s="455"/>
      <c r="T1011" s="454"/>
      <c r="U1011" s="455"/>
      <c r="V1011" s="454"/>
      <c r="W1011" s="455"/>
      <c r="X1011" s="454"/>
      <c r="Y1011" s="455"/>
      <c r="Z1011" s="454"/>
      <c r="AA1011" s="455"/>
      <c r="AB1011" s="454"/>
      <c r="AC1011" s="455"/>
      <c r="AD1011" s="454"/>
      <c r="AE1011" s="455"/>
      <c r="AF1011" s="454"/>
      <c r="AG1011" s="455"/>
    </row>
    <row r="1012" spans="1:33" x14ac:dyDescent="0.2">
      <c r="A1012" s="415">
        <f t="shared" si="31"/>
        <v>1469</v>
      </c>
      <c r="B1012" s="416" t="str">
        <f t="shared" si="32"/>
        <v>Winter</v>
      </c>
      <c r="C1012" s="453"/>
      <c r="D1012" s="454"/>
      <c r="E1012" s="455"/>
      <c r="F1012" s="454"/>
      <c r="G1012" s="455"/>
      <c r="H1012" s="454"/>
      <c r="I1012" s="455"/>
      <c r="J1012" s="454"/>
      <c r="K1012" s="455"/>
      <c r="L1012" s="454"/>
      <c r="M1012" s="455"/>
      <c r="N1012" s="454"/>
      <c r="O1012" s="455"/>
      <c r="P1012" s="454"/>
      <c r="Q1012" s="455"/>
      <c r="R1012" s="454"/>
      <c r="S1012" s="455"/>
      <c r="T1012" s="454"/>
      <c r="U1012" s="455"/>
      <c r="V1012" s="454"/>
      <c r="W1012" s="455"/>
      <c r="X1012" s="454"/>
      <c r="Y1012" s="455"/>
      <c r="Z1012" s="454"/>
      <c r="AA1012" s="455"/>
      <c r="AB1012" s="454"/>
      <c r="AC1012" s="455"/>
      <c r="AD1012" s="454"/>
      <c r="AE1012" s="455"/>
      <c r="AF1012" s="454"/>
      <c r="AG1012" s="455"/>
    </row>
    <row r="1013" spans="1:33" x14ac:dyDescent="0.2">
      <c r="A1013" s="415">
        <f t="shared" si="31"/>
        <v>1469</v>
      </c>
      <c r="B1013" s="416" t="str">
        <f t="shared" si="32"/>
        <v>Spring</v>
      </c>
      <c r="C1013" s="453"/>
      <c r="D1013" s="454"/>
      <c r="E1013" s="455"/>
      <c r="F1013" s="454"/>
      <c r="G1013" s="455"/>
      <c r="H1013" s="454"/>
      <c r="I1013" s="455"/>
      <c r="J1013" s="454"/>
      <c r="K1013" s="455"/>
      <c r="L1013" s="454"/>
      <c r="M1013" s="455"/>
      <c r="N1013" s="454"/>
      <c r="O1013" s="455"/>
      <c r="P1013" s="454"/>
      <c r="Q1013" s="455"/>
      <c r="R1013" s="454"/>
      <c r="S1013" s="455"/>
      <c r="T1013" s="454"/>
      <c r="U1013" s="455"/>
      <c r="V1013" s="454"/>
      <c r="W1013" s="455"/>
      <c r="X1013" s="454"/>
      <c r="Y1013" s="455"/>
      <c r="Z1013" s="454"/>
      <c r="AA1013" s="455"/>
      <c r="AB1013" s="454"/>
      <c r="AC1013" s="455"/>
      <c r="AD1013" s="454"/>
      <c r="AE1013" s="455"/>
      <c r="AF1013" s="454"/>
      <c r="AG1013" s="455"/>
    </row>
    <row r="1014" spans="1:33" x14ac:dyDescent="0.2">
      <c r="A1014" s="415">
        <f t="shared" si="31"/>
        <v>1469</v>
      </c>
      <c r="B1014" s="416" t="str">
        <f t="shared" si="32"/>
        <v>Summer</v>
      </c>
      <c r="C1014" s="453"/>
      <c r="D1014" s="454"/>
      <c r="E1014" s="455"/>
      <c r="F1014" s="454"/>
      <c r="G1014" s="455"/>
      <c r="H1014" s="454"/>
      <c r="I1014" s="455"/>
      <c r="J1014" s="454"/>
      <c r="K1014" s="455"/>
      <c r="L1014" s="454"/>
      <c r="M1014" s="455"/>
      <c r="N1014" s="454"/>
      <c r="O1014" s="455"/>
      <c r="P1014" s="454"/>
      <c r="Q1014" s="455"/>
      <c r="R1014" s="454"/>
      <c r="S1014" s="455"/>
      <c r="T1014" s="454"/>
      <c r="U1014" s="455"/>
      <c r="V1014" s="454"/>
      <c r="W1014" s="455"/>
      <c r="X1014" s="454"/>
      <c r="Y1014" s="455"/>
      <c r="Z1014" s="454"/>
      <c r="AA1014" s="455"/>
      <c r="AB1014" s="454"/>
      <c r="AC1014" s="455"/>
      <c r="AD1014" s="454"/>
      <c r="AE1014" s="455"/>
      <c r="AF1014" s="454"/>
      <c r="AG1014" s="455"/>
    </row>
    <row r="1015" spans="1:33" x14ac:dyDescent="0.2">
      <c r="A1015" s="415">
        <f t="shared" si="31"/>
        <v>1469</v>
      </c>
      <c r="B1015" s="416" t="str">
        <f t="shared" si="32"/>
        <v>Autumn</v>
      </c>
      <c r="C1015" s="453"/>
      <c r="D1015" s="454"/>
      <c r="E1015" s="455"/>
      <c r="F1015" s="454"/>
      <c r="G1015" s="455"/>
      <c r="H1015" s="454"/>
      <c r="I1015" s="455"/>
      <c r="J1015" s="454"/>
      <c r="K1015" s="455"/>
      <c r="L1015" s="454"/>
      <c r="M1015" s="455"/>
      <c r="N1015" s="454"/>
      <c r="O1015" s="455"/>
      <c r="P1015" s="454"/>
      <c r="Q1015" s="455"/>
      <c r="R1015" s="454"/>
      <c r="S1015" s="455"/>
      <c r="T1015" s="454"/>
      <c r="U1015" s="455"/>
      <c r="V1015" s="454"/>
      <c r="W1015" s="455"/>
      <c r="X1015" s="454"/>
      <c r="Y1015" s="455"/>
      <c r="Z1015" s="454"/>
      <c r="AA1015" s="455"/>
      <c r="AB1015" s="454"/>
      <c r="AC1015" s="455"/>
      <c r="AD1015" s="454"/>
      <c r="AE1015" s="455"/>
      <c r="AF1015" s="454"/>
      <c r="AG1015" s="455"/>
    </row>
    <row r="1016" spans="1:33" x14ac:dyDescent="0.2">
      <c r="A1016" s="415">
        <f t="shared" si="31"/>
        <v>1470</v>
      </c>
      <c r="B1016" s="416" t="str">
        <f t="shared" si="32"/>
        <v>Winter</v>
      </c>
      <c r="C1016" s="453"/>
      <c r="D1016" s="454"/>
      <c r="E1016" s="455"/>
      <c r="F1016" s="454"/>
      <c r="G1016" s="455"/>
      <c r="H1016" s="454"/>
      <c r="I1016" s="455"/>
      <c r="J1016" s="454"/>
      <c r="K1016" s="455"/>
      <c r="L1016" s="454"/>
      <c r="M1016" s="455"/>
      <c r="N1016" s="454"/>
      <c r="O1016" s="455"/>
      <c r="P1016" s="454"/>
      <c r="Q1016" s="455"/>
      <c r="R1016" s="454"/>
      <c r="S1016" s="455"/>
      <c r="T1016" s="454"/>
      <c r="U1016" s="455"/>
      <c r="V1016" s="454"/>
      <c r="W1016" s="455"/>
      <c r="X1016" s="454"/>
      <c r="Y1016" s="455"/>
      <c r="Z1016" s="454"/>
      <c r="AA1016" s="455"/>
      <c r="AB1016" s="454"/>
      <c r="AC1016" s="455"/>
      <c r="AD1016" s="454"/>
      <c r="AE1016" s="455"/>
      <c r="AF1016" s="454"/>
      <c r="AG1016" s="455"/>
    </row>
    <row r="1017" spans="1:33" x14ac:dyDescent="0.2">
      <c r="A1017" s="415">
        <f t="shared" si="31"/>
        <v>1470</v>
      </c>
      <c r="B1017" s="416" t="str">
        <f t="shared" si="32"/>
        <v>Spring</v>
      </c>
      <c r="C1017" s="453"/>
      <c r="D1017" s="454"/>
      <c r="E1017" s="455"/>
      <c r="F1017" s="454"/>
      <c r="G1017" s="455"/>
      <c r="H1017" s="454"/>
      <c r="I1017" s="455"/>
      <c r="J1017" s="454"/>
      <c r="K1017" s="455"/>
      <c r="L1017" s="454"/>
      <c r="M1017" s="455"/>
      <c r="N1017" s="454"/>
      <c r="O1017" s="455"/>
      <c r="P1017" s="454"/>
      <c r="Q1017" s="455"/>
      <c r="R1017" s="454"/>
      <c r="S1017" s="455"/>
      <c r="T1017" s="454"/>
      <c r="U1017" s="455"/>
      <c r="V1017" s="454"/>
      <c r="W1017" s="455"/>
      <c r="X1017" s="454"/>
      <c r="Y1017" s="455"/>
      <c r="Z1017" s="454"/>
      <c r="AA1017" s="455"/>
      <c r="AB1017" s="454"/>
      <c r="AC1017" s="455"/>
      <c r="AD1017" s="454"/>
      <c r="AE1017" s="455"/>
      <c r="AF1017" s="454"/>
      <c r="AG1017" s="455"/>
    </row>
    <row r="1018" spans="1:33" x14ac:dyDescent="0.2">
      <c r="A1018" s="415">
        <f t="shared" si="31"/>
        <v>1470</v>
      </c>
      <c r="B1018" s="416" t="str">
        <f t="shared" si="32"/>
        <v>Summer</v>
      </c>
      <c r="C1018" s="453"/>
      <c r="D1018" s="454"/>
      <c r="E1018" s="455"/>
      <c r="F1018" s="454"/>
      <c r="G1018" s="455"/>
      <c r="H1018" s="454"/>
      <c r="I1018" s="455"/>
      <c r="J1018" s="454"/>
      <c r="K1018" s="455"/>
      <c r="L1018" s="454"/>
      <c r="M1018" s="455"/>
      <c r="N1018" s="454"/>
      <c r="O1018" s="455"/>
      <c r="P1018" s="454"/>
      <c r="Q1018" s="455"/>
      <c r="R1018" s="454"/>
      <c r="S1018" s="455"/>
      <c r="T1018" s="454"/>
      <c r="U1018" s="455"/>
      <c r="V1018" s="454"/>
      <c r="W1018" s="455"/>
      <c r="X1018" s="454"/>
      <c r="Y1018" s="455"/>
      <c r="Z1018" s="454"/>
      <c r="AA1018" s="455"/>
      <c r="AB1018" s="454"/>
      <c r="AC1018" s="455"/>
      <c r="AD1018" s="454"/>
      <c r="AE1018" s="455"/>
      <c r="AF1018" s="454"/>
      <c r="AG1018" s="455"/>
    </row>
    <row r="1019" spans="1:33" x14ac:dyDescent="0.2">
      <c r="A1019" s="415">
        <f t="shared" si="31"/>
        <v>1470</v>
      </c>
      <c r="B1019" s="416" t="str">
        <f t="shared" si="32"/>
        <v>Autumn</v>
      </c>
      <c r="C1019" s="453"/>
      <c r="D1019" s="454"/>
      <c r="E1019" s="455"/>
      <c r="F1019" s="454"/>
      <c r="G1019" s="455"/>
      <c r="H1019" s="454"/>
      <c r="I1019" s="455"/>
      <c r="J1019" s="454"/>
      <c r="K1019" s="455"/>
      <c r="L1019" s="454"/>
      <c r="M1019" s="455"/>
      <c r="N1019" s="454"/>
      <c r="O1019" s="455"/>
      <c r="P1019" s="454"/>
      <c r="Q1019" s="455"/>
      <c r="R1019" s="454"/>
      <c r="S1019" s="455"/>
      <c r="T1019" s="454"/>
      <c r="U1019" s="455"/>
      <c r="V1019" s="454"/>
      <c r="W1019" s="455"/>
      <c r="X1019" s="454"/>
      <c r="Y1019" s="455"/>
      <c r="Z1019" s="454"/>
      <c r="AA1019" s="455"/>
      <c r="AB1019" s="454"/>
      <c r="AC1019" s="455"/>
      <c r="AD1019" s="454"/>
      <c r="AE1019" s="455"/>
      <c r="AF1019" s="454"/>
      <c r="AG1019" s="455"/>
    </row>
    <row r="1020" spans="1:33" x14ac:dyDescent="0.2">
      <c r="A1020" s="415">
        <f t="shared" si="31"/>
        <v>1471</v>
      </c>
      <c r="B1020" s="416" t="str">
        <f t="shared" si="32"/>
        <v>Winter</v>
      </c>
      <c r="C1020" s="453"/>
      <c r="D1020" s="454"/>
      <c r="E1020" s="455"/>
      <c r="F1020" s="454"/>
      <c r="G1020" s="455"/>
      <c r="H1020" s="454"/>
      <c r="I1020" s="455"/>
      <c r="J1020" s="454"/>
      <c r="K1020" s="455"/>
      <c r="L1020" s="454"/>
      <c r="M1020" s="455"/>
      <c r="N1020" s="454"/>
      <c r="O1020" s="455"/>
      <c r="P1020" s="454"/>
      <c r="Q1020" s="455"/>
      <c r="R1020" s="454"/>
      <c r="S1020" s="455"/>
      <c r="T1020" s="454"/>
      <c r="U1020" s="455"/>
      <c r="V1020" s="454"/>
      <c r="W1020" s="455"/>
      <c r="X1020" s="454"/>
      <c r="Y1020" s="455"/>
      <c r="Z1020" s="454"/>
      <c r="AA1020" s="455"/>
      <c r="AB1020" s="454"/>
      <c r="AC1020" s="455"/>
      <c r="AD1020" s="454"/>
      <c r="AE1020" s="455"/>
      <c r="AF1020" s="454"/>
      <c r="AG1020" s="455"/>
    </row>
    <row r="1021" spans="1:33" x14ac:dyDescent="0.2">
      <c r="A1021" s="415">
        <f t="shared" si="31"/>
        <v>1471</v>
      </c>
      <c r="B1021" s="416" t="str">
        <f t="shared" si="32"/>
        <v>Spring</v>
      </c>
      <c r="C1021" s="453"/>
      <c r="D1021" s="454"/>
      <c r="E1021" s="455"/>
      <c r="F1021" s="454"/>
      <c r="G1021" s="455"/>
      <c r="H1021" s="454"/>
      <c r="I1021" s="455"/>
      <c r="J1021" s="454"/>
      <c r="K1021" s="455"/>
      <c r="L1021" s="454"/>
      <c r="M1021" s="455"/>
      <c r="N1021" s="454"/>
      <c r="O1021" s="455"/>
      <c r="P1021" s="454"/>
      <c r="Q1021" s="455"/>
      <c r="R1021" s="454"/>
      <c r="S1021" s="455"/>
      <c r="T1021" s="454"/>
      <c r="U1021" s="455"/>
      <c r="V1021" s="454"/>
      <c r="W1021" s="455"/>
      <c r="X1021" s="454"/>
      <c r="Y1021" s="455"/>
      <c r="Z1021" s="454"/>
      <c r="AA1021" s="455"/>
      <c r="AB1021" s="454"/>
      <c r="AC1021" s="455"/>
      <c r="AD1021" s="454"/>
      <c r="AE1021" s="455"/>
      <c r="AF1021" s="454"/>
      <c r="AG1021" s="455"/>
    </row>
    <row r="1022" spans="1:33" x14ac:dyDescent="0.2">
      <c r="A1022" s="415">
        <f t="shared" si="31"/>
        <v>1471</v>
      </c>
      <c r="B1022" s="416" t="str">
        <f t="shared" si="32"/>
        <v>Summer</v>
      </c>
      <c r="C1022" s="453"/>
      <c r="D1022" s="454"/>
      <c r="E1022" s="455"/>
      <c r="F1022" s="454"/>
      <c r="G1022" s="455"/>
      <c r="H1022" s="454"/>
      <c r="I1022" s="455"/>
      <c r="J1022" s="454"/>
      <c r="K1022" s="455"/>
      <c r="L1022" s="454"/>
      <c r="M1022" s="455"/>
      <c r="N1022" s="454"/>
      <c r="O1022" s="455"/>
      <c r="P1022" s="454"/>
      <c r="Q1022" s="455"/>
      <c r="R1022" s="454"/>
      <c r="S1022" s="455"/>
      <c r="T1022" s="454"/>
      <c r="U1022" s="455"/>
      <c r="V1022" s="454"/>
      <c r="W1022" s="455"/>
      <c r="X1022" s="454"/>
      <c r="Y1022" s="455"/>
      <c r="Z1022" s="454"/>
      <c r="AA1022" s="455"/>
      <c r="AB1022" s="454"/>
      <c r="AC1022" s="455"/>
      <c r="AD1022" s="454"/>
      <c r="AE1022" s="455"/>
      <c r="AF1022" s="454"/>
      <c r="AG1022" s="455"/>
    </row>
    <row r="1023" spans="1:33" x14ac:dyDescent="0.2">
      <c r="A1023" s="415">
        <f t="shared" si="31"/>
        <v>1471</v>
      </c>
      <c r="B1023" s="416" t="str">
        <f t="shared" si="32"/>
        <v>Autumn</v>
      </c>
      <c r="C1023" s="453"/>
      <c r="D1023" s="454"/>
      <c r="E1023" s="455"/>
      <c r="F1023" s="454"/>
      <c r="G1023" s="455"/>
      <c r="H1023" s="454"/>
      <c r="I1023" s="455"/>
      <c r="J1023" s="454"/>
      <c r="K1023" s="455"/>
      <c r="L1023" s="454"/>
      <c r="M1023" s="455"/>
      <c r="N1023" s="454"/>
      <c r="O1023" s="455"/>
      <c r="P1023" s="454"/>
      <c r="Q1023" s="455"/>
      <c r="R1023" s="454"/>
      <c r="S1023" s="455"/>
      <c r="T1023" s="454"/>
      <c r="U1023" s="455"/>
      <c r="V1023" s="454"/>
      <c r="W1023" s="455"/>
      <c r="X1023" s="454"/>
      <c r="Y1023" s="455"/>
      <c r="Z1023" s="454"/>
      <c r="AA1023" s="455"/>
      <c r="AB1023" s="454"/>
      <c r="AC1023" s="455"/>
      <c r="AD1023" s="454"/>
      <c r="AE1023" s="455"/>
      <c r="AF1023" s="454"/>
      <c r="AG1023" s="455"/>
    </row>
    <row r="1024" spans="1:33" x14ac:dyDescent="0.2">
      <c r="A1024" s="415">
        <f t="shared" si="31"/>
        <v>1472</v>
      </c>
      <c r="B1024" s="416" t="str">
        <f t="shared" si="32"/>
        <v>Winter</v>
      </c>
      <c r="C1024" s="453"/>
      <c r="D1024" s="454"/>
      <c r="E1024" s="455"/>
      <c r="F1024" s="454"/>
      <c r="G1024" s="455"/>
      <c r="H1024" s="454"/>
      <c r="I1024" s="455"/>
      <c r="J1024" s="454"/>
      <c r="K1024" s="455"/>
      <c r="L1024" s="454"/>
      <c r="M1024" s="455"/>
      <c r="N1024" s="454"/>
      <c r="O1024" s="455"/>
      <c r="P1024" s="454"/>
      <c r="Q1024" s="455"/>
      <c r="R1024" s="454"/>
      <c r="S1024" s="455"/>
      <c r="T1024" s="454"/>
      <c r="U1024" s="455"/>
      <c r="V1024" s="454"/>
      <c r="W1024" s="455"/>
      <c r="X1024" s="454"/>
      <c r="Y1024" s="455"/>
      <c r="Z1024" s="454"/>
      <c r="AA1024" s="455"/>
      <c r="AB1024" s="454"/>
      <c r="AC1024" s="455"/>
      <c r="AD1024" s="454"/>
      <c r="AE1024" s="455"/>
      <c r="AF1024" s="454"/>
      <c r="AG1024" s="455"/>
    </row>
    <row r="1025" spans="1:33" x14ac:dyDescent="0.2">
      <c r="A1025" s="415">
        <f t="shared" si="31"/>
        <v>1472</v>
      </c>
      <c r="B1025" s="416" t="str">
        <f t="shared" si="32"/>
        <v>Spring</v>
      </c>
      <c r="C1025" s="453"/>
      <c r="D1025" s="454"/>
      <c r="E1025" s="455"/>
      <c r="F1025" s="454"/>
      <c r="G1025" s="455"/>
      <c r="H1025" s="454"/>
      <c r="I1025" s="455"/>
      <c r="J1025" s="454"/>
      <c r="K1025" s="455"/>
      <c r="L1025" s="454"/>
      <c r="M1025" s="455"/>
      <c r="N1025" s="454"/>
      <c r="O1025" s="455"/>
      <c r="P1025" s="454"/>
      <c r="Q1025" s="455"/>
      <c r="R1025" s="454"/>
      <c r="S1025" s="455"/>
      <c r="T1025" s="454"/>
      <c r="U1025" s="455"/>
      <c r="V1025" s="454"/>
      <c r="W1025" s="455"/>
      <c r="X1025" s="454"/>
      <c r="Y1025" s="455"/>
      <c r="Z1025" s="454"/>
      <c r="AA1025" s="455"/>
      <c r="AB1025" s="454"/>
      <c r="AC1025" s="455"/>
      <c r="AD1025" s="454"/>
      <c r="AE1025" s="455"/>
      <c r="AF1025" s="454"/>
      <c r="AG1025" s="455"/>
    </row>
    <row r="1026" spans="1:33" x14ac:dyDescent="0.2">
      <c r="A1026" s="415">
        <f t="shared" si="31"/>
        <v>1472</v>
      </c>
      <c r="B1026" s="416" t="str">
        <f t="shared" si="32"/>
        <v>Summer</v>
      </c>
      <c r="C1026" s="453"/>
      <c r="D1026" s="454"/>
      <c r="E1026" s="455"/>
      <c r="F1026" s="454"/>
      <c r="G1026" s="455"/>
      <c r="H1026" s="454"/>
      <c r="I1026" s="455"/>
      <c r="J1026" s="454"/>
      <c r="K1026" s="455"/>
      <c r="L1026" s="454"/>
      <c r="M1026" s="455"/>
      <c r="N1026" s="454"/>
      <c r="O1026" s="455"/>
      <c r="P1026" s="454"/>
      <c r="Q1026" s="455"/>
      <c r="R1026" s="454"/>
      <c r="S1026" s="455"/>
      <c r="T1026" s="454"/>
      <c r="U1026" s="455"/>
      <c r="V1026" s="454"/>
      <c r="W1026" s="455"/>
      <c r="X1026" s="454"/>
      <c r="Y1026" s="455"/>
      <c r="Z1026" s="454"/>
      <c r="AA1026" s="455"/>
      <c r="AB1026" s="454"/>
      <c r="AC1026" s="455"/>
      <c r="AD1026" s="454"/>
      <c r="AE1026" s="455"/>
      <c r="AF1026" s="454"/>
      <c r="AG1026" s="455"/>
    </row>
    <row r="1027" spans="1:33" x14ac:dyDescent="0.2">
      <c r="A1027" s="415">
        <f t="shared" si="31"/>
        <v>1472</v>
      </c>
      <c r="B1027" s="416" t="str">
        <f t="shared" si="32"/>
        <v>Autumn</v>
      </c>
      <c r="C1027" s="453"/>
      <c r="D1027" s="454"/>
      <c r="E1027" s="455"/>
      <c r="F1027" s="454"/>
      <c r="G1027" s="455"/>
      <c r="H1027" s="454"/>
      <c r="I1027" s="455"/>
      <c r="J1027" s="454"/>
      <c r="K1027" s="455"/>
      <c r="L1027" s="454"/>
      <c r="M1027" s="455"/>
      <c r="N1027" s="454"/>
      <c r="O1027" s="455"/>
      <c r="P1027" s="454"/>
      <c r="Q1027" s="455"/>
      <c r="R1027" s="454"/>
      <c r="S1027" s="455"/>
      <c r="T1027" s="454"/>
      <c r="U1027" s="455"/>
      <c r="V1027" s="454"/>
      <c r="W1027" s="455"/>
      <c r="X1027" s="454"/>
      <c r="Y1027" s="455"/>
      <c r="Z1027" s="454"/>
      <c r="AA1027" s="455"/>
      <c r="AB1027" s="454"/>
      <c r="AC1027" s="455"/>
      <c r="AD1027" s="454"/>
      <c r="AE1027" s="455"/>
      <c r="AF1027" s="454"/>
      <c r="AG1027" s="455"/>
    </row>
    <row r="1028" spans="1:33" x14ac:dyDescent="0.2">
      <c r="A1028" s="415">
        <f t="shared" si="31"/>
        <v>1473</v>
      </c>
      <c r="B1028" s="416" t="str">
        <f t="shared" si="32"/>
        <v>Winter</v>
      </c>
      <c r="C1028" s="453"/>
      <c r="D1028" s="454"/>
      <c r="E1028" s="455"/>
      <c r="F1028" s="454"/>
      <c r="G1028" s="455"/>
      <c r="H1028" s="454"/>
      <c r="I1028" s="455"/>
      <c r="J1028" s="454"/>
      <c r="K1028" s="455"/>
      <c r="L1028" s="454"/>
      <c r="M1028" s="455"/>
      <c r="N1028" s="454"/>
      <c r="O1028" s="455"/>
      <c r="P1028" s="454"/>
      <c r="Q1028" s="455"/>
      <c r="R1028" s="454"/>
      <c r="S1028" s="455"/>
      <c r="T1028" s="454"/>
      <c r="U1028" s="455"/>
      <c r="V1028" s="454"/>
      <c r="W1028" s="455"/>
      <c r="X1028" s="454"/>
      <c r="Y1028" s="455"/>
      <c r="Z1028" s="454"/>
      <c r="AA1028" s="455"/>
      <c r="AB1028" s="454"/>
      <c r="AC1028" s="455"/>
      <c r="AD1028" s="454"/>
      <c r="AE1028" s="455"/>
      <c r="AF1028" s="454"/>
      <c r="AG1028" s="455"/>
    </row>
    <row r="1029" spans="1:33" x14ac:dyDescent="0.2">
      <c r="A1029" s="415">
        <f t="shared" ref="A1029:A1092" si="33">IF(B1028="Autumn",A1028+1,A1028)</f>
        <v>1473</v>
      </c>
      <c r="B1029" s="416" t="str">
        <f t="shared" si="32"/>
        <v>Spring</v>
      </c>
      <c r="C1029" s="453"/>
      <c r="D1029" s="454"/>
      <c r="E1029" s="455"/>
      <c r="F1029" s="454"/>
      <c r="G1029" s="455"/>
      <c r="H1029" s="454"/>
      <c r="I1029" s="455"/>
      <c r="J1029" s="454"/>
      <c r="K1029" s="455"/>
      <c r="L1029" s="454"/>
      <c r="M1029" s="455"/>
      <c r="N1029" s="454"/>
      <c r="O1029" s="455"/>
      <c r="P1029" s="454"/>
      <c r="Q1029" s="455"/>
      <c r="R1029" s="454"/>
      <c r="S1029" s="455"/>
      <c r="T1029" s="454"/>
      <c r="U1029" s="455"/>
      <c r="V1029" s="454"/>
      <c r="W1029" s="455"/>
      <c r="X1029" s="454"/>
      <c r="Y1029" s="455"/>
      <c r="Z1029" s="454"/>
      <c r="AA1029" s="455"/>
      <c r="AB1029" s="454"/>
      <c r="AC1029" s="455"/>
      <c r="AD1029" s="454"/>
      <c r="AE1029" s="455"/>
      <c r="AF1029" s="454"/>
      <c r="AG1029" s="455"/>
    </row>
    <row r="1030" spans="1:33" x14ac:dyDescent="0.2">
      <c r="A1030" s="415">
        <f t="shared" si="33"/>
        <v>1473</v>
      </c>
      <c r="B1030" s="416" t="str">
        <f t="shared" si="32"/>
        <v>Summer</v>
      </c>
      <c r="C1030" s="453"/>
      <c r="D1030" s="454"/>
      <c r="E1030" s="455"/>
      <c r="F1030" s="454"/>
      <c r="G1030" s="455"/>
      <c r="H1030" s="454"/>
      <c r="I1030" s="455"/>
      <c r="J1030" s="454"/>
      <c r="K1030" s="455"/>
      <c r="L1030" s="454"/>
      <c r="M1030" s="455"/>
      <c r="N1030" s="454"/>
      <c r="O1030" s="455"/>
      <c r="P1030" s="454"/>
      <c r="Q1030" s="455"/>
      <c r="R1030" s="454"/>
      <c r="S1030" s="455"/>
      <c r="T1030" s="454"/>
      <c r="U1030" s="455"/>
      <c r="V1030" s="454"/>
      <c r="W1030" s="455"/>
      <c r="X1030" s="454"/>
      <c r="Y1030" s="455"/>
      <c r="Z1030" s="454"/>
      <c r="AA1030" s="455"/>
      <c r="AB1030" s="454"/>
      <c r="AC1030" s="455"/>
      <c r="AD1030" s="454"/>
      <c r="AE1030" s="455"/>
      <c r="AF1030" s="454"/>
      <c r="AG1030" s="455"/>
    </row>
    <row r="1031" spans="1:33" x14ac:dyDescent="0.2">
      <c r="A1031" s="415">
        <f t="shared" si="33"/>
        <v>1473</v>
      </c>
      <c r="B1031" s="416" t="str">
        <f t="shared" si="32"/>
        <v>Autumn</v>
      </c>
      <c r="C1031" s="453"/>
      <c r="D1031" s="454"/>
      <c r="E1031" s="455"/>
      <c r="F1031" s="454"/>
      <c r="G1031" s="455"/>
      <c r="H1031" s="454"/>
      <c r="I1031" s="455"/>
      <c r="J1031" s="454"/>
      <c r="K1031" s="455"/>
      <c r="L1031" s="454"/>
      <c r="M1031" s="455"/>
      <c r="N1031" s="454"/>
      <c r="O1031" s="455"/>
      <c r="P1031" s="454"/>
      <c r="Q1031" s="455"/>
      <c r="R1031" s="454"/>
      <c r="S1031" s="455"/>
      <c r="T1031" s="454"/>
      <c r="U1031" s="455"/>
      <c r="V1031" s="454"/>
      <c r="W1031" s="455"/>
      <c r="X1031" s="454"/>
      <c r="Y1031" s="455"/>
      <c r="Z1031" s="454"/>
      <c r="AA1031" s="455"/>
      <c r="AB1031" s="454"/>
      <c r="AC1031" s="455"/>
      <c r="AD1031" s="454"/>
      <c r="AE1031" s="455"/>
      <c r="AF1031" s="454"/>
      <c r="AG1031" s="455"/>
    </row>
    <row r="1032" spans="1:33" x14ac:dyDescent="0.2">
      <c r="A1032" s="415">
        <f t="shared" si="33"/>
        <v>1474</v>
      </c>
      <c r="B1032" s="416" t="str">
        <f t="shared" si="32"/>
        <v>Winter</v>
      </c>
      <c r="C1032" s="453"/>
      <c r="D1032" s="454"/>
      <c r="E1032" s="455"/>
      <c r="F1032" s="454"/>
      <c r="G1032" s="455"/>
      <c r="H1032" s="454"/>
      <c r="I1032" s="455"/>
      <c r="J1032" s="454"/>
      <c r="K1032" s="455"/>
      <c r="L1032" s="454"/>
      <c r="M1032" s="455"/>
      <c r="N1032" s="454"/>
      <c r="O1032" s="455"/>
      <c r="P1032" s="454"/>
      <c r="Q1032" s="455"/>
      <c r="R1032" s="454"/>
      <c r="S1032" s="455"/>
      <c r="T1032" s="454"/>
      <c r="U1032" s="455"/>
      <c r="V1032" s="454"/>
      <c r="W1032" s="455"/>
      <c r="X1032" s="454"/>
      <c r="Y1032" s="455"/>
      <c r="Z1032" s="454"/>
      <c r="AA1032" s="455"/>
      <c r="AB1032" s="454"/>
      <c r="AC1032" s="455"/>
      <c r="AD1032" s="454"/>
      <c r="AE1032" s="455"/>
      <c r="AF1032" s="454"/>
      <c r="AG1032" s="455"/>
    </row>
    <row r="1033" spans="1:33" x14ac:dyDescent="0.2">
      <c r="A1033" s="415">
        <f t="shared" si="33"/>
        <v>1474</v>
      </c>
      <c r="B1033" s="416" t="str">
        <f t="shared" si="32"/>
        <v>Spring</v>
      </c>
      <c r="C1033" s="453"/>
      <c r="D1033" s="454"/>
      <c r="E1033" s="455"/>
      <c r="F1033" s="454"/>
      <c r="G1033" s="455"/>
      <c r="H1033" s="454"/>
      <c r="I1033" s="455"/>
      <c r="J1033" s="454"/>
      <c r="K1033" s="455"/>
      <c r="L1033" s="454"/>
      <c r="M1033" s="455"/>
      <c r="N1033" s="454"/>
      <c r="O1033" s="455"/>
      <c r="P1033" s="454"/>
      <c r="Q1033" s="455"/>
      <c r="R1033" s="454"/>
      <c r="S1033" s="455"/>
      <c r="T1033" s="454"/>
      <c r="U1033" s="455"/>
      <c r="V1033" s="454"/>
      <c r="W1033" s="455"/>
      <c r="X1033" s="454"/>
      <c r="Y1033" s="455"/>
      <c r="Z1033" s="454"/>
      <c r="AA1033" s="455"/>
      <c r="AB1033" s="454"/>
      <c r="AC1033" s="455"/>
      <c r="AD1033" s="454"/>
      <c r="AE1033" s="455"/>
      <c r="AF1033" s="454"/>
      <c r="AG1033" s="455"/>
    </row>
    <row r="1034" spans="1:33" x14ac:dyDescent="0.2">
      <c r="A1034" s="415">
        <f t="shared" si="33"/>
        <v>1474</v>
      </c>
      <c r="B1034" s="416" t="str">
        <f t="shared" si="32"/>
        <v>Summer</v>
      </c>
      <c r="C1034" s="453"/>
      <c r="D1034" s="454"/>
      <c r="E1034" s="455"/>
      <c r="F1034" s="454"/>
      <c r="G1034" s="455"/>
      <c r="H1034" s="454"/>
      <c r="I1034" s="455"/>
      <c r="J1034" s="454"/>
      <c r="K1034" s="455"/>
      <c r="L1034" s="454"/>
      <c r="M1034" s="455"/>
      <c r="N1034" s="454"/>
      <c r="O1034" s="455"/>
      <c r="P1034" s="454"/>
      <c r="Q1034" s="455"/>
      <c r="R1034" s="454"/>
      <c r="S1034" s="455"/>
      <c r="T1034" s="454"/>
      <c r="U1034" s="455"/>
      <c r="V1034" s="454"/>
      <c r="W1034" s="455"/>
      <c r="X1034" s="454"/>
      <c r="Y1034" s="455"/>
      <c r="Z1034" s="454"/>
      <c r="AA1034" s="455"/>
      <c r="AB1034" s="454"/>
      <c r="AC1034" s="455"/>
      <c r="AD1034" s="454"/>
      <c r="AE1034" s="455"/>
      <c r="AF1034" s="454"/>
      <c r="AG1034" s="455"/>
    </row>
    <row r="1035" spans="1:33" x14ac:dyDescent="0.2">
      <c r="A1035" s="415">
        <f t="shared" si="33"/>
        <v>1474</v>
      </c>
      <c r="B1035" s="416" t="str">
        <f t="shared" si="32"/>
        <v>Autumn</v>
      </c>
      <c r="C1035" s="453"/>
      <c r="D1035" s="454"/>
      <c r="E1035" s="455"/>
      <c r="F1035" s="454"/>
      <c r="G1035" s="455"/>
      <c r="H1035" s="454"/>
      <c r="I1035" s="455"/>
      <c r="J1035" s="454"/>
      <c r="K1035" s="455"/>
      <c r="L1035" s="454"/>
      <c r="M1035" s="455"/>
      <c r="N1035" s="454"/>
      <c r="O1035" s="455"/>
      <c r="P1035" s="454"/>
      <c r="Q1035" s="455"/>
      <c r="R1035" s="454"/>
      <c r="S1035" s="455"/>
      <c r="T1035" s="454"/>
      <c r="U1035" s="455"/>
      <c r="V1035" s="454"/>
      <c r="W1035" s="455"/>
      <c r="X1035" s="454"/>
      <c r="Y1035" s="455"/>
      <c r="Z1035" s="454"/>
      <c r="AA1035" s="455"/>
      <c r="AB1035" s="454"/>
      <c r="AC1035" s="455"/>
      <c r="AD1035" s="454"/>
      <c r="AE1035" s="455"/>
      <c r="AF1035" s="454"/>
      <c r="AG1035" s="455"/>
    </row>
    <row r="1036" spans="1:33" x14ac:dyDescent="0.2">
      <c r="A1036" s="415">
        <f t="shared" si="33"/>
        <v>1475</v>
      </c>
      <c r="B1036" s="416" t="str">
        <f t="shared" si="32"/>
        <v>Winter</v>
      </c>
      <c r="C1036" s="453"/>
      <c r="D1036" s="454"/>
      <c r="E1036" s="455"/>
      <c r="F1036" s="454"/>
      <c r="G1036" s="455"/>
      <c r="H1036" s="454"/>
      <c r="I1036" s="455"/>
      <c r="J1036" s="454"/>
      <c r="K1036" s="455"/>
      <c r="L1036" s="454"/>
      <c r="M1036" s="455"/>
      <c r="N1036" s="454"/>
      <c r="O1036" s="455"/>
      <c r="P1036" s="454"/>
      <c r="Q1036" s="455"/>
      <c r="R1036" s="454"/>
      <c r="S1036" s="455"/>
      <c r="T1036" s="454"/>
      <c r="U1036" s="455"/>
      <c r="V1036" s="454"/>
      <c r="W1036" s="455"/>
      <c r="X1036" s="454"/>
      <c r="Y1036" s="455"/>
      <c r="Z1036" s="454"/>
      <c r="AA1036" s="455"/>
      <c r="AB1036" s="454"/>
      <c r="AC1036" s="455"/>
      <c r="AD1036" s="454"/>
      <c r="AE1036" s="455"/>
      <c r="AF1036" s="454"/>
      <c r="AG1036" s="455"/>
    </row>
    <row r="1037" spans="1:33" x14ac:dyDescent="0.2">
      <c r="A1037" s="415">
        <f t="shared" si="33"/>
        <v>1475</v>
      </c>
      <c r="B1037" s="416" t="str">
        <f t="shared" si="32"/>
        <v>Spring</v>
      </c>
      <c r="C1037" s="453"/>
      <c r="D1037" s="454"/>
      <c r="E1037" s="455"/>
      <c r="F1037" s="454"/>
      <c r="G1037" s="455"/>
      <c r="H1037" s="454"/>
      <c r="I1037" s="455"/>
      <c r="J1037" s="454"/>
      <c r="K1037" s="455"/>
      <c r="L1037" s="454"/>
      <c r="M1037" s="455"/>
      <c r="N1037" s="454"/>
      <c r="O1037" s="455"/>
      <c r="P1037" s="454"/>
      <c r="Q1037" s="455"/>
      <c r="R1037" s="454"/>
      <c r="S1037" s="455"/>
      <c r="T1037" s="454"/>
      <c r="U1037" s="455"/>
      <c r="V1037" s="454"/>
      <c r="W1037" s="455"/>
      <c r="X1037" s="454"/>
      <c r="Y1037" s="455"/>
      <c r="Z1037" s="454"/>
      <c r="AA1037" s="455"/>
      <c r="AB1037" s="454"/>
      <c r="AC1037" s="455"/>
      <c r="AD1037" s="454"/>
      <c r="AE1037" s="455"/>
      <c r="AF1037" s="454"/>
      <c r="AG1037" s="455"/>
    </row>
    <row r="1038" spans="1:33" x14ac:dyDescent="0.2">
      <c r="A1038" s="415">
        <f t="shared" si="33"/>
        <v>1475</v>
      </c>
      <c r="B1038" s="416" t="str">
        <f t="shared" si="32"/>
        <v>Summer</v>
      </c>
      <c r="C1038" s="453"/>
      <c r="D1038" s="454"/>
      <c r="E1038" s="455"/>
      <c r="F1038" s="454"/>
      <c r="G1038" s="455"/>
      <c r="H1038" s="454"/>
      <c r="I1038" s="455"/>
      <c r="J1038" s="454"/>
      <c r="K1038" s="455"/>
      <c r="L1038" s="454"/>
      <c r="M1038" s="455"/>
      <c r="N1038" s="454"/>
      <c r="O1038" s="455"/>
      <c r="P1038" s="454"/>
      <c r="Q1038" s="455"/>
      <c r="R1038" s="454"/>
      <c r="S1038" s="455"/>
      <c r="T1038" s="454"/>
      <c r="U1038" s="455"/>
      <c r="V1038" s="454"/>
      <c r="W1038" s="455"/>
      <c r="X1038" s="454"/>
      <c r="Y1038" s="455"/>
      <c r="Z1038" s="454"/>
      <c r="AA1038" s="455"/>
      <c r="AB1038" s="454"/>
      <c r="AC1038" s="455"/>
      <c r="AD1038" s="454"/>
      <c r="AE1038" s="455"/>
      <c r="AF1038" s="454"/>
      <c r="AG1038" s="455"/>
    </row>
    <row r="1039" spans="1:33" x14ac:dyDescent="0.2">
      <c r="A1039" s="415">
        <f t="shared" si="33"/>
        <v>1475</v>
      </c>
      <c r="B1039" s="416" t="str">
        <f t="shared" si="32"/>
        <v>Autumn</v>
      </c>
      <c r="C1039" s="453"/>
      <c r="D1039" s="454"/>
      <c r="E1039" s="455"/>
      <c r="F1039" s="454"/>
      <c r="G1039" s="455"/>
      <c r="H1039" s="454"/>
      <c r="I1039" s="455"/>
      <c r="J1039" s="454"/>
      <c r="K1039" s="455"/>
      <c r="L1039" s="454"/>
      <c r="M1039" s="455"/>
      <c r="N1039" s="454"/>
      <c r="O1039" s="455"/>
      <c r="P1039" s="454"/>
      <c r="Q1039" s="455"/>
      <c r="R1039" s="454"/>
      <c r="S1039" s="455"/>
      <c r="T1039" s="454"/>
      <c r="U1039" s="455"/>
      <c r="V1039" s="454"/>
      <c r="W1039" s="455"/>
      <c r="X1039" s="454"/>
      <c r="Y1039" s="455"/>
      <c r="Z1039" s="454"/>
      <c r="AA1039" s="455"/>
      <c r="AB1039" s="454"/>
      <c r="AC1039" s="455"/>
      <c r="AD1039" s="454"/>
      <c r="AE1039" s="455"/>
      <c r="AF1039" s="454"/>
      <c r="AG1039" s="455"/>
    </row>
    <row r="1040" spans="1:33" x14ac:dyDescent="0.2">
      <c r="A1040" s="415">
        <f t="shared" si="33"/>
        <v>1476</v>
      </c>
      <c r="B1040" s="416" t="str">
        <f t="shared" si="32"/>
        <v>Winter</v>
      </c>
      <c r="C1040" s="453"/>
      <c r="D1040" s="454"/>
      <c r="E1040" s="455"/>
      <c r="F1040" s="454"/>
      <c r="G1040" s="455"/>
      <c r="H1040" s="454"/>
      <c r="I1040" s="455"/>
      <c r="J1040" s="454"/>
      <c r="K1040" s="455"/>
      <c r="L1040" s="454"/>
      <c r="M1040" s="455"/>
      <c r="N1040" s="454"/>
      <c r="O1040" s="455"/>
      <c r="P1040" s="454"/>
      <c r="Q1040" s="455"/>
      <c r="R1040" s="454"/>
      <c r="S1040" s="455"/>
      <c r="T1040" s="454"/>
      <c r="U1040" s="455"/>
      <c r="V1040" s="454"/>
      <c r="W1040" s="455"/>
      <c r="X1040" s="454"/>
      <c r="Y1040" s="455"/>
      <c r="Z1040" s="454"/>
      <c r="AA1040" s="455"/>
      <c r="AB1040" s="454"/>
      <c r="AC1040" s="455"/>
      <c r="AD1040" s="454"/>
      <c r="AE1040" s="455"/>
      <c r="AF1040" s="454"/>
      <c r="AG1040" s="455"/>
    </row>
    <row r="1041" spans="1:33" x14ac:dyDescent="0.2">
      <c r="A1041" s="415">
        <f t="shared" si="33"/>
        <v>1476</v>
      </c>
      <c r="B1041" s="416" t="str">
        <f t="shared" si="32"/>
        <v>Spring</v>
      </c>
      <c r="C1041" s="453"/>
      <c r="D1041" s="454"/>
      <c r="E1041" s="455"/>
      <c r="F1041" s="454"/>
      <c r="G1041" s="455"/>
      <c r="H1041" s="454"/>
      <c r="I1041" s="455"/>
      <c r="J1041" s="454"/>
      <c r="K1041" s="455"/>
      <c r="L1041" s="454"/>
      <c r="M1041" s="455"/>
      <c r="N1041" s="454"/>
      <c r="O1041" s="455"/>
      <c r="P1041" s="454"/>
      <c r="Q1041" s="455"/>
      <c r="R1041" s="454"/>
      <c r="S1041" s="455"/>
      <c r="T1041" s="454"/>
      <c r="U1041" s="455"/>
      <c r="V1041" s="454"/>
      <c r="W1041" s="455"/>
      <c r="X1041" s="454"/>
      <c r="Y1041" s="455"/>
      <c r="Z1041" s="454"/>
      <c r="AA1041" s="455"/>
      <c r="AB1041" s="454"/>
      <c r="AC1041" s="455"/>
      <c r="AD1041" s="454"/>
      <c r="AE1041" s="455"/>
      <c r="AF1041" s="454"/>
      <c r="AG1041" s="455"/>
    </row>
    <row r="1042" spans="1:33" x14ac:dyDescent="0.2">
      <c r="A1042" s="415">
        <f t="shared" si="33"/>
        <v>1476</v>
      </c>
      <c r="B1042" s="416" t="str">
        <f t="shared" si="32"/>
        <v>Summer</v>
      </c>
      <c r="C1042" s="453"/>
      <c r="D1042" s="454"/>
      <c r="E1042" s="455"/>
      <c r="F1042" s="454"/>
      <c r="G1042" s="455"/>
      <c r="H1042" s="454"/>
      <c r="I1042" s="455"/>
      <c r="J1042" s="454"/>
      <c r="K1042" s="455"/>
      <c r="L1042" s="454"/>
      <c r="M1042" s="455"/>
      <c r="N1042" s="454"/>
      <c r="O1042" s="455"/>
      <c r="P1042" s="454"/>
      <c r="Q1042" s="455"/>
      <c r="R1042" s="454"/>
      <c r="S1042" s="455"/>
      <c r="T1042" s="454"/>
      <c r="U1042" s="455"/>
      <c r="V1042" s="454"/>
      <c r="W1042" s="455"/>
      <c r="X1042" s="454"/>
      <c r="Y1042" s="455"/>
      <c r="Z1042" s="454"/>
      <c r="AA1042" s="455"/>
      <c r="AB1042" s="454"/>
      <c r="AC1042" s="455"/>
      <c r="AD1042" s="454"/>
      <c r="AE1042" s="455"/>
      <c r="AF1042" s="454"/>
      <c r="AG1042" s="455"/>
    </row>
    <row r="1043" spans="1:33" x14ac:dyDescent="0.2">
      <c r="A1043" s="415">
        <f t="shared" si="33"/>
        <v>1476</v>
      </c>
      <c r="B1043" s="416" t="str">
        <f t="shared" si="32"/>
        <v>Autumn</v>
      </c>
      <c r="C1043" s="453"/>
      <c r="D1043" s="454"/>
      <c r="E1043" s="455"/>
      <c r="F1043" s="454"/>
      <c r="G1043" s="455"/>
      <c r="H1043" s="454"/>
      <c r="I1043" s="455"/>
      <c r="J1043" s="454"/>
      <c r="K1043" s="455"/>
      <c r="L1043" s="454"/>
      <c r="M1043" s="455"/>
      <c r="N1043" s="454"/>
      <c r="O1043" s="455"/>
      <c r="P1043" s="454"/>
      <c r="Q1043" s="455"/>
      <c r="R1043" s="454"/>
      <c r="S1043" s="455"/>
      <c r="T1043" s="454"/>
      <c r="U1043" s="455"/>
      <c r="V1043" s="454"/>
      <c r="W1043" s="455"/>
      <c r="X1043" s="454"/>
      <c r="Y1043" s="455"/>
      <c r="Z1043" s="454"/>
      <c r="AA1043" s="455"/>
      <c r="AB1043" s="454"/>
      <c r="AC1043" s="455"/>
      <c r="AD1043" s="454"/>
      <c r="AE1043" s="455"/>
      <c r="AF1043" s="454"/>
      <c r="AG1043" s="455"/>
    </row>
    <row r="1044" spans="1:33" x14ac:dyDescent="0.2">
      <c r="A1044" s="415">
        <f t="shared" si="33"/>
        <v>1477</v>
      </c>
      <c r="B1044" s="416" t="str">
        <f t="shared" si="32"/>
        <v>Winter</v>
      </c>
      <c r="C1044" s="453"/>
      <c r="D1044" s="454"/>
      <c r="E1044" s="455"/>
      <c r="F1044" s="454"/>
      <c r="G1044" s="455"/>
      <c r="H1044" s="454"/>
      <c r="I1044" s="455"/>
      <c r="J1044" s="454"/>
      <c r="K1044" s="455"/>
      <c r="L1044" s="454"/>
      <c r="M1044" s="455"/>
      <c r="N1044" s="454"/>
      <c r="O1044" s="455"/>
      <c r="P1044" s="454"/>
      <c r="Q1044" s="455"/>
      <c r="R1044" s="454"/>
      <c r="S1044" s="455"/>
      <c r="T1044" s="454"/>
      <c r="U1044" s="455"/>
      <c r="V1044" s="454"/>
      <c r="W1044" s="455"/>
      <c r="X1044" s="454"/>
      <c r="Y1044" s="455"/>
      <c r="Z1044" s="454"/>
      <c r="AA1044" s="455"/>
      <c r="AB1044" s="454"/>
      <c r="AC1044" s="455"/>
      <c r="AD1044" s="454"/>
      <c r="AE1044" s="455"/>
      <c r="AF1044" s="454"/>
      <c r="AG1044" s="455"/>
    </row>
    <row r="1045" spans="1:33" x14ac:dyDescent="0.2">
      <c r="A1045" s="415">
        <f t="shared" si="33"/>
        <v>1477</v>
      </c>
      <c r="B1045" s="416" t="str">
        <f t="shared" si="32"/>
        <v>Spring</v>
      </c>
      <c r="C1045" s="453"/>
      <c r="D1045" s="454"/>
      <c r="E1045" s="455"/>
      <c r="F1045" s="454"/>
      <c r="G1045" s="455"/>
      <c r="H1045" s="454"/>
      <c r="I1045" s="455"/>
      <c r="J1045" s="454"/>
      <c r="K1045" s="455"/>
      <c r="L1045" s="454"/>
      <c r="M1045" s="455"/>
      <c r="N1045" s="454"/>
      <c r="O1045" s="455"/>
      <c r="P1045" s="454"/>
      <c r="Q1045" s="455"/>
      <c r="R1045" s="454"/>
      <c r="S1045" s="455"/>
      <c r="T1045" s="454"/>
      <c r="U1045" s="455"/>
      <c r="V1045" s="454"/>
      <c r="W1045" s="455"/>
      <c r="X1045" s="454"/>
      <c r="Y1045" s="455"/>
      <c r="Z1045" s="454"/>
      <c r="AA1045" s="455"/>
      <c r="AB1045" s="454"/>
      <c r="AC1045" s="455"/>
      <c r="AD1045" s="454"/>
      <c r="AE1045" s="455"/>
      <c r="AF1045" s="454"/>
      <c r="AG1045" s="455"/>
    </row>
    <row r="1046" spans="1:33" x14ac:dyDescent="0.2">
      <c r="A1046" s="415">
        <f t="shared" si="33"/>
        <v>1477</v>
      </c>
      <c r="B1046" s="416" t="str">
        <f t="shared" si="32"/>
        <v>Summer</v>
      </c>
      <c r="C1046" s="453"/>
      <c r="D1046" s="454"/>
      <c r="E1046" s="455"/>
      <c r="F1046" s="454"/>
      <c r="G1046" s="455"/>
      <c r="H1046" s="454"/>
      <c r="I1046" s="455"/>
      <c r="J1046" s="454"/>
      <c r="K1046" s="455"/>
      <c r="L1046" s="454"/>
      <c r="M1046" s="455"/>
      <c r="N1046" s="454"/>
      <c r="O1046" s="455"/>
      <c r="P1046" s="454"/>
      <c r="Q1046" s="455"/>
      <c r="R1046" s="454"/>
      <c r="S1046" s="455"/>
      <c r="T1046" s="454"/>
      <c r="U1046" s="455"/>
      <c r="V1046" s="454"/>
      <c r="W1046" s="455"/>
      <c r="X1046" s="454"/>
      <c r="Y1046" s="455"/>
      <c r="Z1046" s="454"/>
      <c r="AA1046" s="455"/>
      <c r="AB1046" s="454"/>
      <c r="AC1046" s="455"/>
      <c r="AD1046" s="454"/>
      <c r="AE1046" s="455"/>
      <c r="AF1046" s="454"/>
      <c r="AG1046" s="455"/>
    </row>
    <row r="1047" spans="1:33" x14ac:dyDescent="0.2">
      <c r="A1047" s="415">
        <f t="shared" si="33"/>
        <v>1477</v>
      </c>
      <c r="B1047" s="416" t="str">
        <f t="shared" si="32"/>
        <v>Autumn</v>
      </c>
      <c r="C1047" s="453"/>
      <c r="D1047" s="454"/>
      <c r="E1047" s="455"/>
      <c r="F1047" s="454"/>
      <c r="G1047" s="455"/>
      <c r="H1047" s="454"/>
      <c r="I1047" s="455"/>
      <c r="J1047" s="454"/>
      <c r="K1047" s="455"/>
      <c r="L1047" s="454"/>
      <c r="M1047" s="455"/>
      <c r="N1047" s="454"/>
      <c r="O1047" s="455"/>
      <c r="P1047" s="454"/>
      <c r="Q1047" s="455"/>
      <c r="R1047" s="454"/>
      <c r="S1047" s="455"/>
      <c r="T1047" s="454"/>
      <c r="U1047" s="455"/>
      <c r="V1047" s="454"/>
      <c r="W1047" s="455"/>
      <c r="X1047" s="454"/>
      <c r="Y1047" s="455"/>
      <c r="Z1047" s="454"/>
      <c r="AA1047" s="455"/>
      <c r="AB1047" s="454"/>
      <c r="AC1047" s="455"/>
      <c r="AD1047" s="454"/>
      <c r="AE1047" s="455"/>
      <c r="AF1047" s="454"/>
      <c r="AG1047" s="455"/>
    </row>
    <row r="1048" spans="1:33" x14ac:dyDescent="0.2">
      <c r="A1048" s="415">
        <f t="shared" si="33"/>
        <v>1478</v>
      </c>
      <c r="B1048" s="416" t="str">
        <f t="shared" si="32"/>
        <v>Winter</v>
      </c>
      <c r="C1048" s="453"/>
      <c r="D1048" s="454"/>
      <c r="E1048" s="455"/>
      <c r="F1048" s="454"/>
      <c r="G1048" s="455"/>
      <c r="H1048" s="454"/>
      <c r="I1048" s="455"/>
      <c r="J1048" s="454"/>
      <c r="K1048" s="455"/>
      <c r="L1048" s="454"/>
      <c r="M1048" s="455"/>
      <c r="N1048" s="454"/>
      <c r="O1048" s="455"/>
      <c r="P1048" s="454"/>
      <c r="Q1048" s="455"/>
      <c r="R1048" s="454"/>
      <c r="S1048" s="455"/>
      <c r="T1048" s="454"/>
      <c r="U1048" s="455"/>
      <c r="V1048" s="454"/>
      <c r="W1048" s="455"/>
      <c r="X1048" s="454"/>
      <c r="Y1048" s="455"/>
      <c r="Z1048" s="454"/>
      <c r="AA1048" s="455"/>
      <c r="AB1048" s="454"/>
      <c r="AC1048" s="455"/>
      <c r="AD1048" s="454"/>
      <c r="AE1048" s="455"/>
      <c r="AF1048" s="454"/>
      <c r="AG1048" s="455"/>
    </row>
    <row r="1049" spans="1:33" x14ac:dyDescent="0.2">
      <c r="A1049" s="415">
        <f t="shared" si="33"/>
        <v>1478</v>
      </c>
      <c r="B1049" s="416" t="str">
        <f t="shared" si="32"/>
        <v>Spring</v>
      </c>
      <c r="C1049" s="453"/>
      <c r="D1049" s="454"/>
      <c r="E1049" s="455"/>
      <c r="F1049" s="454"/>
      <c r="G1049" s="455"/>
      <c r="H1049" s="454"/>
      <c r="I1049" s="455"/>
      <c r="J1049" s="454"/>
      <c r="K1049" s="455"/>
      <c r="L1049" s="454"/>
      <c r="M1049" s="455"/>
      <c r="N1049" s="454"/>
      <c r="O1049" s="455"/>
      <c r="P1049" s="454"/>
      <c r="Q1049" s="455"/>
      <c r="R1049" s="454"/>
      <c r="S1049" s="455"/>
      <c r="T1049" s="454"/>
      <c r="U1049" s="455"/>
      <c r="V1049" s="454"/>
      <c r="W1049" s="455"/>
      <c r="X1049" s="454"/>
      <c r="Y1049" s="455"/>
      <c r="Z1049" s="454"/>
      <c r="AA1049" s="455"/>
      <c r="AB1049" s="454"/>
      <c r="AC1049" s="455"/>
      <c r="AD1049" s="454"/>
      <c r="AE1049" s="455"/>
      <c r="AF1049" s="454"/>
      <c r="AG1049" s="455"/>
    </row>
    <row r="1050" spans="1:33" x14ac:dyDescent="0.2">
      <c r="A1050" s="415">
        <f t="shared" si="33"/>
        <v>1478</v>
      </c>
      <c r="B1050" s="416" t="str">
        <f t="shared" si="32"/>
        <v>Summer</v>
      </c>
      <c r="C1050" s="453"/>
      <c r="D1050" s="454"/>
      <c r="E1050" s="455"/>
      <c r="F1050" s="454"/>
      <c r="G1050" s="455"/>
      <c r="H1050" s="454"/>
      <c r="I1050" s="455"/>
      <c r="J1050" s="454"/>
      <c r="K1050" s="455"/>
      <c r="L1050" s="454"/>
      <c r="M1050" s="455"/>
      <c r="N1050" s="454"/>
      <c r="O1050" s="455"/>
      <c r="P1050" s="454"/>
      <c r="Q1050" s="455"/>
      <c r="R1050" s="454"/>
      <c r="S1050" s="455"/>
      <c r="T1050" s="454"/>
      <c r="U1050" s="455"/>
      <c r="V1050" s="454"/>
      <c r="W1050" s="455"/>
      <c r="X1050" s="454"/>
      <c r="Y1050" s="455"/>
      <c r="Z1050" s="454"/>
      <c r="AA1050" s="455"/>
      <c r="AB1050" s="454"/>
      <c r="AC1050" s="455"/>
      <c r="AD1050" s="454"/>
      <c r="AE1050" s="455"/>
      <c r="AF1050" s="454"/>
      <c r="AG1050" s="455"/>
    </row>
    <row r="1051" spans="1:33" x14ac:dyDescent="0.2">
      <c r="A1051" s="415">
        <f t="shared" si="33"/>
        <v>1478</v>
      </c>
      <c r="B1051" s="416" t="str">
        <f t="shared" si="32"/>
        <v>Autumn</v>
      </c>
      <c r="C1051" s="453"/>
      <c r="D1051" s="454"/>
      <c r="E1051" s="455"/>
      <c r="F1051" s="454"/>
      <c r="G1051" s="455"/>
      <c r="H1051" s="454"/>
      <c r="I1051" s="455"/>
      <c r="J1051" s="454"/>
      <c r="K1051" s="455"/>
      <c r="L1051" s="454"/>
      <c r="M1051" s="455"/>
      <c r="N1051" s="454"/>
      <c r="O1051" s="455"/>
      <c r="P1051" s="454"/>
      <c r="Q1051" s="455"/>
      <c r="R1051" s="454"/>
      <c r="S1051" s="455"/>
      <c r="T1051" s="454"/>
      <c r="U1051" s="455"/>
      <c r="V1051" s="454"/>
      <c r="W1051" s="455"/>
      <c r="X1051" s="454"/>
      <c r="Y1051" s="455"/>
      <c r="Z1051" s="454"/>
      <c r="AA1051" s="455"/>
      <c r="AB1051" s="454"/>
      <c r="AC1051" s="455"/>
      <c r="AD1051" s="454"/>
      <c r="AE1051" s="455"/>
      <c r="AF1051" s="454"/>
      <c r="AG1051" s="455"/>
    </row>
    <row r="1052" spans="1:33" x14ac:dyDescent="0.2">
      <c r="A1052" s="415">
        <f t="shared" si="33"/>
        <v>1479</v>
      </c>
      <c r="B1052" s="416" t="str">
        <f t="shared" si="32"/>
        <v>Winter</v>
      </c>
      <c r="C1052" s="453"/>
      <c r="D1052" s="454"/>
      <c r="E1052" s="455"/>
      <c r="F1052" s="454"/>
      <c r="G1052" s="455"/>
      <c r="H1052" s="454"/>
      <c r="I1052" s="455"/>
      <c r="J1052" s="454"/>
      <c r="K1052" s="455"/>
      <c r="L1052" s="454"/>
      <c r="M1052" s="455"/>
      <c r="N1052" s="454"/>
      <c r="O1052" s="455"/>
      <c r="P1052" s="454"/>
      <c r="Q1052" s="455"/>
      <c r="R1052" s="454"/>
      <c r="S1052" s="455"/>
      <c r="T1052" s="454"/>
      <c r="U1052" s="455"/>
      <c r="V1052" s="454"/>
      <c r="W1052" s="455"/>
      <c r="X1052" s="454"/>
      <c r="Y1052" s="455"/>
      <c r="Z1052" s="454"/>
      <c r="AA1052" s="455"/>
      <c r="AB1052" s="454"/>
      <c r="AC1052" s="455"/>
      <c r="AD1052" s="454"/>
      <c r="AE1052" s="455"/>
      <c r="AF1052" s="454"/>
      <c r="AG1052" s="455"/>
    </row>
    <row r="1053" spans="1:33" x14ac:dyDescent="0.2">
      <c r="A1053" s="415">
        <f t="shared" si="33"/>
        <v>1479</v>
      </c>
      <c r="B1053" s="416" t="str">
        <f t="shared" si="32"/>
        <v>Spring</v>
      </c>
      <c r="C1053" s="453"/>
      <c r="D1053" s="454"/>
      <c r="E1053" s="455"/>
      <c r="F1053" s="454"/>
      <c r="G1053" s="455"/>
      <c r="H1053" s="454"/>
      <c r="I1053" s="455"/>
      <c r="J1053" s="454"/>
      <c r="K1053" s="455"/>
      <c r="L1053" s="454"/>
      <c r="M1053" s="455"/>
      <c r="N1053" s="454"/>
      <c r="O1053" s="455"/>
      <c r="P1053" s="454"/>
      <c r="Q1053" s="455"/>
      <c r="R1053" s="454"/>
      <c r="S1053" s="455"/>
      <c r="T1053" s="454"/>
      <c r="U1053" s="455"/>
      <c r="V1053" s="454"/>
      <c r="W1053" s="455"/>
      <c r="X1053" s="454"/>
      <c r="Y1053" s="455"/>
      <c r="Z1053" s="454"/>
      <c r="AA1053" s="455"/>
      <c r="AB1053" s="454"/>
      <c r="AC1053" s="455"/>
      <c r="AD1053" s="454"/>
      <c r="AE1053" s="455"/>
      <c r="AF1053" s="454"/>
      <c r="AG1053" s="455"/>
    </row>
    <row r="1054" spans="1:33" x14ac:dyDescent="0.2">
      <c r="A1054" s="415">
        <f t="shared" si="33"/>
        <v>1479</v>
      </c>
      <c r="B1054" s="416" t="str">
        <f t="shared" si="32"/>
        <v>Summer</v>
      </c>
      <c r="C1054" s="453"/>
      <c r="D1054" s="454"/>
      <c r="E1054" s="455"/>
      <c r="F1054" s="454"/>
      <c r="G1054" s="455"/>
      <c r="H1054" s="454"/>
      <c r="I1054" s="455"/>
      <c r="J1054" s="454"/>
      <c r="K1054" s="455"/>
      <c r="L1054" s="454"/>
      <c r="M1054" s="455"/>
      <c r="N1054" s="454"/>
      <c r="O1054" s="455"/>
      <c r="P1054" s="454"/>
      <c r="Q1054" s="455"/>
      <c r="R1054" s="454"/>
      <c r="S1054" s="455"/>
      <c r="T1054" s="454"/>
      <c r="U1054" s="455"/>
      <c r="V1054" s="454"/>
      <c r="W1054" s="455"/>
      <c r="X1054" s="454"/>
      <c r="Y1054" s="455"/>
      <c r="Z1054" s="454"/>
      <c r="AA1054" s="455"/>
      <c r="AB1054" s="454"/>
      <c r="AC1054" s="455"/>
      <c r="AD1054" s="454"/>
      <c r="AE1054" s="455"/>
      <c r="AF1054" s="454"/>
      <c r="AG1054" s="455"/>
    </row>
    <row r="1055" spans="1:33" x14ac:dyDescent="0.2">
      <c r="A1055" s="415">
        <f t="shared" si="33"/>
        <v>1479</v>
      </c>
      <c r="B1055" s="416" t="str">
        <f t="shared" si="32"/>
        <v>Autumn</v>
      </c>
      <c r="C1055" s="453"/>
      <c r="D1055" s="454"/>
      <c r="E1055" s="455"/>
      <c r="F1055" s="454"/>
      <c r="G1055" s="455"/>
      <c r="H1055" s="454"/>
      <c r="I1055" s="455"/>
      <c r="J1055" s="454"/>
      <c r="K1055" s="455"/>
      <c r="L1055" s="454"/>
      <c r="M1055" s="455"/>
      <c r="N1055" s="454"/>
      <c r="O1055" s="455"/>
      <c r="P1055" s="454"/>
      <c r="Q1055" s="455"/>
      <c r="R1055" s="454"/>
      <c r="S1055" s="455"/>
      <c r="T1055" s="454"/>
      <c r="U1055" s="455"/>
      <c r="V1055" s="454"/>
      <c r="W1055" s="455"/>
      <c r="X1055" s="454"/>
      <c r="Y1055" s="455"/>
      <c r="Z1055" s="454"/>
      <c r="AA1055" s="455"/>
      <c r="AB1055" s="454"/>
      <c r="AC1055" s="455"/>
      <c r="AD1055" s="454"/>
      <c r="AE1055" s="455"/>
      <c r="AF1055" s="454"/>
      <c r="AG1055" s="455"/>
    </row>
    <row r="1056" spans="1:33" x14ac:dyDescent="0.2">
      <c r="A1056" s="415">
        <f t="shared" si="33"/>
        <v>1480</v>
      </c>
      <c r="B1056" s="416" t="str">
        <f t="shared" si="32"/>
        <v>Winter</v>
      </c>
      <c r="C1056" s="453"/>
      <c r="D1056" s="454"/>
      <c r="E1056" s="455"/>
      <c r="F1056" s="454"/>
      <c r="G1056" s="455"/>
      <c r="H1056" s="454"/>
      <c r="I1056" s="455"/>
      <c r="J1056" s="454"/>
      <c r="K1056" s="455"/>
      <c r="L1056" s="454"/>
      <c r="M1056" s="455"/>
      <c r="N1056" s="454"/>
      <c r="O1056" s="455"/>
      <c r="P1056" s="454"/>
      <c r="Q1056" s="455"/>
      <c r="R1056" s="454"/>
      <c r="S1056" s="455"/>
      <c r="T1056" s="454"/>
      <c r="U1056" s="455"/>
      <c r="V1056" s="454"/>
      <c r="W1056" s="455"/>
      <c r="X1056" s="454"/>
      <c r="Y1056" s="455"/>
      <c r="Z1056" s="454"/>
      <c r="AA1056" s="455"/>
      <c r="AB1056" s="454"/>
      <c r="AC1056" s="455"/>
      <c r="AD1056" s="454"/>
      <c r="AE1056" s="455"/>
      <c r="AF1056" s="454"/>
      <c r="AG1056" s="455"/>
    </row>
    <row r="1057" spans="1:33" x14ac:dyDescent="0.2">
      <c r="A1057" s="415">
        <f t="shared" si="33"/>
        <v>1480</v>
      </c>
      <c r="B1057" s="416" t="str">
        <f t="shared" si="32"/>
        <v>Spring</v>
      </c>
      <c r="C1057" s="453"/>
      <c r="D1057" s="454"/>
      <c r="E1057" s="455"/>
      <c r="F1057" s="454"/>
      <c r="G1057" s="455"/>
      <c r="H1057" s="454"/>
      <c r="I1057" s="455"/>
      <c r="J1057" s="454"/>
      <c r="K1057" s="455"/>
      <c r="L1057" s="454"/>
      <c r="M1057" s="455"/>
      <c r="N1057" s="454"/>
      <c r="O1057" s="455"/>
      <c r="P1057" s="454"/>
      <c r="Q1057" s="455"/>
      <c r="R1057" s="454"/>
      <c r="S1057" s="455"/>
      <c r="T1057" s="454"/>
      <c r="U1057" s="455"/>
      <c r="V1057" s="454"/>
      <c r="W1057" s="455"/>
      <c r="X1057" s="454"/>
      <c r="Y1057" s="455"/>
      <c r="Z1057" s="454"/>
      <c r="AA1057" s="455"/>
      <c r="AB1057" s="454"/>
      <c r="AC1057" s="455"/>
      <c r="AD1057" s="454"/>
      <c r="AE1057" s="455"/>
      <c r="AF1057" s="454"/>
      <c r="AG1057" s="455"/>
    </row>
    <row r="1058" spans="1:33" x14ac:dyDescent="0.2">
      <c r="A1058" s="415">
        <f t="shared" si="33"/>
        <v>1480</v>
      </c>
      <c r="B1058" s="416" t="str">
        <f t="shared" si="32"/>
        <v>Summer</v>
      </c>
      <c r="C1058" s="453"/>
      <c r="D1058" s="454"/>
      <c r="E1058" s="455"/>
      <c r="F1058" s="454"/>
      <c r="G1058" s="455"/>
      <c r="H1058" s="454"/>
      <c r="I1058" s="455"/>
      <c r="J1058" s="454"/>
      <c r="K1058" s="455"/>
      <c r="L1058" s="454"/>
      <c r="M1058" s="455"/>
      <c r="N1058" s="454"/>
      <c r="O1058" s="455"/>
      <c r="P1058" s="454"/>
      <c r="Q1058" s="455"/>
      <c r="R1058" s="454"/>
      <c r="S1058" s="455"/>
      <c r="T1058" s="454"/>
      <c r="U1058" s="455"/>
      <c r="V1058" s="454"/>
      <c r="W1058" s="455"/>
      <c r="X1058" s="454"/>
      <c r="Y1058" s="455"/>
      <c r="Z1058" s="454"/>
      <c r="AA1058" s="455"/>
      <c r="AB1058" s="454"/>
      <c r="AC1058" s="455"/>
      <c r="AD1058" s="454"/>
      <c r="AE1058" s="455"/>
      <c r="AF1058" s="454"/>
      <c r="AG1058" s="455"/>
    </row>
    <row r="1059" spans="1:33" x14ac:dyDescent="0.2">
      <c r="A1059" s="415">
        <f t="shared" si="33"/>
        <v>1480</v>
      </c>
      <c r="B1059" s="416" t="str">
        <f t="shared" si="32"/>
        <v>Autumn</v>
      </c>
      <c r="C1059" s="453"/>
      <c r="D1059" s="454"/>
      <c r="E1059" s="455"/>
      <c r="F1059" s="454"/>
      <c r="G1059" s="455"/>
      <c r="H1059" s="454"/>
      <c r="I1059" s="455"/>
      <c r="J1059" s="454"/>
      <c r="K1059" s="455"/>
      <c r="L1059" s="454"/>
      <c r="M1059" s="455"/>
      <c r="N1059" s="454"/>
      <c r="O1059" s="455"/>
      <c r="P1059" s="454"/>
      <c r="Q1059" s="455"/>
      <c r="R1059" s="454"/>
      <c r="S1059" s="455"/>
      <c r="T1059" s="454"/>
      <c r="U1059" s="455"/>
      <c r="V1059" s="454"/>
      <c r="W1059" s="455"/>
      <c r="X1059" s="454"/>
      <c r="Y1059" s="455"/>
      <c r="Z1059" s="454"/>
      <c r="AA1059" s="455"/>
      <c r="AB1059" s="454"/>
      <c r="AC1059" s="455"/>
      <c r="AD1059" s="454"/>
      <c r="AE1059" s="455"/>
      <c r="AF1059" s="454"/>
      <c r="AG1059" s="455"/>
    </row>
    <row r="1060" spans="1:33" x14ac:dyDescent="0.2">
      <c r="A1060" s="415">
        <f t="shared" si="33"/>
        <v>1481</v>
      </c>
      <c r="B1060" s="416" t="str">
        <f t="shared" si="32"/>
        <v>Winter</v>
      </c>
      <c r="C1060" s="453"/>
      <c r="D1060" s="454"/>
      <c r="E1060" s="455"/>
      <c r="F1060" s="454"/>
      <c r="G1060" s="455"/>
      <c r="H1060" s="454"/>
      <c r="I1060" s="455"/>
      <c r="J1060" s="454"/>
      <c r="K1060" s="455"/>
      <c r="L1060" s="454"/>
      <c r="M1060" s="455"/>
      <c r="N1060" s="454"/>
      <c r="O1060" s="455"/>
      <c r="P1060" s="454"/>
      <c r="Q1060" s="455"/>
      <c r="R1060" s="454"/>
      <c r="S1060" s="455"/>
      <c r="T1060" s="454"/>
      <c r="U1060" s="455"/>
      <c r="V1060" s="454"/>
      <c r="W1060" s="455"/>
      <c r="X1060" s="454"/>
      <c r="Y1060" s="455"/>
      <c r="Z1060" s="454"/>
      <c r="AA1060" s="455"/>
      <c r="AB1060" s="454"/>
      <c r="AC1060" s="455"/>
      <c r="AD1060" s="454"/>
      <c r="AE1060" s="455"/>
      <c r="AF1060" s="454"/>
      <c r="AG1060" s="455"/>
    </row>
    <row r="1061" spans="1:33" x14ac:dyDescent="0.2">
      <c r="A1061" s="415">
        <f t="shared" si="33"/>
        <v>1481</v>
      </c>
      <c r="B1061" s="416" t="str">
        <f t="shared" si="32"/>
        <v>Spring</v>
      </c>
      <c r="C1061" s="453"/>
      <c r="D1061" s="454"/>
      <c r="E1061" s="455"/>
      <c r="F1061" s="454"/>
      <c r="G1061" s="455"/>
      <c r="H1061" s="454"/>
      <c r="I1061" s="455"/>
      <c r="J1061" s="454"/>
      <c r="K1061" s="455"/>
      <c r="L1061" s="454"/>
      <c r="M1061" s="455"/>
      <c r="N1061" s="454"/>
      <c r="O1061" s="455"/>
      <c r="P1061" s="454"/>
      <c r="Q1061" s="455"/>
      <c r="R1061" s="454"/>
      <c r="S1061" s="455"/>
      <c r="T1061" s="454"/>
      <c r="U1061" s="455"/>
      <c r="V1061" s="454"/>
      <c r="W1061" s="455"/>
      <c r="X1061" s="454"/>
      <c r="Y1061" s="455"/>
      <c r="Z1061" s="454"/>
      <c r="AA1061" s="455"/>
      <c r="AB1061" s="454"/>
      <c r="AC1061" s="455"/>
      <c r="AD1061" s="454"/>
      <c r="AE1061" s="455"/>
      <c r="AF1061" s="454"/>
      <c r="AG1061" s="455"/>
    </row>
    <row r="1062" spans="1:33" x14ac:dyDescent="0.2">
      <c r="A1062" s="415">
        <f t="shared" si="33"/>
        <v>1481</v>
      </c>
      <c r="B1062" s="416" t="str">
        <f t="shared" si="32"/>
        <v>Summer</v>
      </c>
      <c r="C1062" s="453"/>
      <c r="D1062" s="454"/>
      <c r="E1062" s="455"/>
      <c r="F1062" s="454"/>
      <c r="G1062" s="455"/>
      <c r="H1062" s="454"/>
      <c r="I1062" s="455"/>
      <c r="J1062" s="454"/>
      <c r="K1062" s="455"/>
      <c r="L1062" s="454"/>
      <c r="M1062" s="455"/>
      <c r="N1062" s="454"/>
      <c r="O1062" s="455"/>
      <c r="P1062" s="454"/>
      <c r="Q1062" s="455"/>
      <c r="R1062" s="454"/>
      <c r="S1062" s="455"/>
      <c r="T1062" s="454"/>
      <c r="U1062" s="455"/>
      <c r="V1062" s="454"/>
      <c r="W1062" s="455"/>
      <c r="X1062" s="454"/>
      <c r="Y1062" s="455"/>
      <c r="Z1062" s="454"/>
      <c r="AA1062" s="455"/>
      <c r="AB1062" s="454"/>
      <c r="AC1062" s="455"/>
      <c r="AD1062" s="454"/>
      <c r="AE1062" s="455"/>
      <c r="AF1062" s="454"/>
      <c r="AG1062" s="455"/>
    </row>
    <row r="1063" spans="1:33" x14ac:dyDescent="0.2">
      <c r="A1063" s="415">
        <f t="shared" si="33"/>
        <v>1481</v>
      </c>
      <c r="B1063" s="416" t="str">
        <f t="shared" si="32"/>
        <v>Autumn</v>
      </c>
      <c r="C1063" s="453"/>
      <c r="D1063" s="454"/>
      <c r="E1063" s="455"/>
      <c r="F1063" s="454"/>
      <c r="G1063" s="455"/>
      <c r="H1063" s="454"/>
      <c r="I1063" s="455"/>
      <c r="J1063" s="454"/>
      <c r="K1063" s="455"/>
      <c r="L1063" s="454"/>
      <c r="M1063" s="455"/>
      <c r="N1063" s="454"/>
      <c r="O1063" s="455"/>
      <c r="P1063" s="454"/>
      <c r="Q1063" s="455"/>
      <c r="R1063" s="454"/>
      <c r="S1063" s="455"/>
      <c r="T1063" s="454"/>
      <c r="U1063" s="455"/>
      <c r="V1063" s="454"/>
      <c r="W1063" s="455"/>
      <c r="X1063" s="454"/>
      <c r="Y1063" s="455"/>
      <c r="Z1063" s="454"/>
      <c r="AA1063" s="455"/>
      <c r="AB1063" s="454"/>
      <c r="AC1063" s="455"/>
      <c r="AD1063" s="454"/>
      <c r="AE1063" s="455"/>
      <c r="AF1063" s="454"/>
      <c r="AG1063" s="455"/>
    </row>
    <row r="1064" spans="1:33" x14ac:dyDescent="0.2">
      <c r="A1064" s="415">
        <f t="shared" si="33"/>
        <v>1482</v>
      </c>
      <c r="B1064" s="416" t="str">
        <f t="shared" si="32"/>
        <v>Winter</v>
      </c>
      <c r="C1064" s="453"/>
      <c r="D1064" s="454"/>
      <c r="E1064" s="455"/>
      <c r="F1064" s="454"/>
      <c r="G1064" s="455"/>
      <c r="H1064" s="454"/>
      <c r="I1064" s="455"/>
      <c r="J1064" s="454"/>
      <c r="K1064" s="455"/>
      <c r="L1064" s="454"/>
      <c r="M1064" s="455"/>
      <c r="N1064" s="454"/>
      <c r="O1064" s="455"/>
      <c r="P1064" s="454"/>
      <c r="Q1064" s="455"/>
      <c r="R1064" s="454"/>
      <c r="S1064" s="455"/>
      <c r="T1064" s="454"/>
      <c r="U1064" s="455"/>
      <c r="V1064" s="454"/>
      <c r="W1064" s="455"/>
      <c r="X1064" s="454"/>
      <c r="Y1064" s="455"/>
      <c r="Z1064" s="454"/>
      <c r="AA1064" s="455"/>
      <c r="AB1064" s="454"/>
      <c r="AC1064" s="455"/>
      <c r="AD1064" s="454"/>
      <c r="AE1064" s="455"/>
      <c r="AF1064" s="454"/>
      <c r="AG1064" s="455"/>
    </row>
    <row r="1065" spans="1:33" x14ac:dyDescent="0.2">
      <c r="A1065" s="415">
        <f t="shared" si="33"/>
        <v>1482</v>
      </c>
      <c r="B1065" s="416" t="str">
        <f t="shared" si="32"/>
        <v>Spring</v>
      </c>
      <c r="C1065" s="453"/>
      <c r="D1065" s="454"/>
      <c r="E1065" s="455"/>
      <c r="F1065" s="454"/>
      <c r="G1065" s="455"/>
      <c r="H1065" s="454"/>
      <c r="I1065" s="455"/>
      <c r="J1065" s="454"/>
      <c r="K1065" s="455"/>
      <c r="L1065" s="454"/>
      <c r="M1065" s="455"/>
      <c r="N1065" s="454"/>
      <c r="O1065" s="455"/>
      <c r="P1065" s="454"/>
      <c r="Q1065" s="455"/>
      <c r="R1065" s="454"/>
      <c r="S1065" s="455"/>
      <c r="T1065" s="454"/>
      <c r="U1065" s="455"/>
      <c r="V1065" s="454"/>
      <c r="W1065" s="455"/>
      <c r="X1065" s="454"/>
      <c r="Y1065" s="455"/>
      <c r="Z1065" s="454"/>
      <c r="AA1065" s="455"/>
      <c r="AB1065" s="454"/>
      <c r="AC1065" s="455"/>
      <c r="AD1065" s="454"/>
      <c r="AE1065" s="455"/>
      <c r="AF1065" s="454"/>
      <c r="AG1065" s="455"/>
    </row>
    <row r="1066" spans="1:33" x14ac:dyDescent="0.2">
      <c r="A1066" s="415">
        <f t="shared" si="33"/>
        <v>1482</v>
      </c>
      <c r="B1066" s="416" t="str">
        <f t="shared" si="32"/>
        <v>Summer</v>
      </c>
      <c r="C1066" s="453"/>
      <c r="D1066" s="454"/>
      <c r="E1066" s="455"/>
      <c r="F1066" s="454"/>
      <c r="G1066" s="455"/>
      <c r="H1066" s="454"/>
      <c r="I1066" s="455"/>
      <c r="J1066" s="454"/>
      <c r="K1066" s="455"/>
      <c r="L1066" s="454"/>
      <c r="M1066" s="455"/>
      <c r="N1066" s="454"/>
      <c r="O1066" s="455"/>
      <c r="P1066" s="454"/>
      <c r="Q1066" s="455"/>
      <c r="R1066" s="454"/>
      <c r="S1066" s="455"/>
      <c r="T1066" s="454"/>
      <c r="U1066" s="455"/>
      <c r="V1066" s="454"/>
      <c r="W1066" s="455"/>
      <c r="X1066" s="454"/>
      <c r="Y1066" s="455"/>
      <c r="Z1066" s="454"/>
      <c r="AA1066" s="455"/>
      <c r="AB1066" s="454"/>
      <c r="AC1066" s="455"/>
      <c r="AD1066" s="454"/>
      <c r="AE1066" s="455"/>
      <c r="AF1066" s="454"/>
      <c r="AG1066" s="455"/>
    </row>
    <row r="1067" spans="1:33" x14ac:dyDescent="0.2">
      <c r="A1067" s="415">
        <f t="shared" si="33"/>
        <v>1482</v>
      </c>
      <c r="B1067" s="416" t="str">
        <f t="shared" ref="B1067:B1130" si="34">IF(B1066="spring","Summer",IF(B1066="Summer","Autumn",IF(B1066="Autumn","Winter",IF(B1066="Winter","Spring"," "))))</f>
        <v>Autumn</v>
      </c>
      <c r="C1067" s="453"/>
      <c r="D1067" s="454"/>
      <c r="E1067" s="455"/>
      <c r="F1067" s="454"/>
      <c r="G1067" s="455"/>
      <c r="H1067" s="454"/>
      <c r="I1067" s="455"/>
      <c r="J1067" s="454"/>
      <c r="K1067" s="455"/>
      <c r="L1067" s="454"/>
      <c r="M1067" s="455"/>
      <c r="N1067" s="454"/>
      <c r="O1067" s="455"/>
      <c r="P1067" s="454"/>
      <c r="Q1067" s="455"/>
      <c r="R1067" s="454"/>
      <c r="S1067" s="455"/>
      <c r="T1067" s="454"/>
      <c r="U1067" s="455"/>
      <c r="V1067" s="454"/>
      <c r="W1067" s="455"/>
      <c r="X1067" s="454"/>
      <c r="Y1067" s="455"/>
      <c r="Z1067" s="454"/>
      <c r="AA1067" s="455"/>
      <c r="AB1067" s="454"/>
      <c r="AC1067" s="455"/>
      <c r="AD1067" s="454"/>
      <c r="AE1067" s="455"/>
      <c r="AF1067" s="454"/>
      <c r="AG1067" s="455"/>
    </row>
    <row r="1068" spans="1:33" x14ac:dyDescent="0.2">
      <c r="A1068" s="415">
        <f t="shared" si="33"/>
        <v>1483</v>
      </c>
      <c r="B1068" s="416" t="str">
        <f t="shared" si="34"/>
        <v>Winter</v>
      </c>
      <c r="C1068" s="453"/>
      <c r="D1068" s="454"/>
      <c r="E1068" s="455"/>
      <c r="F1068" s="454"/>
      <c r="G1068" s="455"/>
      <c r="H1068" s="454"/>
      <c r="I1068" s="455"/>
      <c r="J1068" s="454"/>
      <c r="K1068" s="455"/>
      <c r="L1068" s="454"/>
      <c r="M1068" s="455"/>
      <c r="N1068" s="454"/>
      <c r="O1068" s="455"/>
      <c r="P1068" s="454"/>
      <c r="Q1068" s="455"/>
      <c r="R1068" s="454"/>
      <c r="S1068" s="455"/>
      <c r="T1068" s="454"/>
      <c r="U1068" s="455"/>
      <c r="V1068" s="454"/>
      <c r="W1068" s="455"/>
      <c r="X1068" s="454"/>
      <c r="Y1068" s="455"/>
      <c r="Z1068" s="454"/>
      <c r="AA1068" s="455"/>
      <c r="AB1068" s="454"/>
      <c r="AC1068" s="455"/>
      <c r="AD1068" s="454"/>
      <c r="AE1068" s="455"/>
      <c r="AF1068" s="454"/>
      <c r="AG1068" s="455"/>
    </row>
    <row r="1069" spans="1:33" x14ac:dyDescent="0.2">
      <c r="A1069" s="415">
        <f t="shared" si="33"/>
        <v>1483</v>
      </c>
      <c r="B1069" s="416" t="str">
        <f t="shared" si="34"/>
        <v>Spring</v>
      </c>
      <c r="C1069" s="453"/>
      <c r="D1069" s="454"/>
      <c r="E1069" s="455"/>
      <c r="F1069" s="454"/>
      <c r="G1069" s="455"/>
      <c r="H1069" s="454"/>
      <c r="I1069" s="455"/>
      <c r="J1069" s="454"/>
      <c r="K1069" s="455"/>
      <c r="L1069" s="454"/>
      <c r="M1069" s="455"/>
      <c r="N1069" s="454"/>
      <c r="O1069" s="455"/>
      <c r="P1069" s="454"/>
      <c r="Q1069" s="455"/>
      <c r="R1069" s="454"/>
      <c r="S1069" s="455"/>
      <c r="T1069" s="454"/>
      <c r="U1069" s="455"/>
      <c r="V1069" s="454"/>
      <c r="W1069" s="455"/>
      <c r="X1069" s="454"/>
      <c r="Y1069" s="455"/>
      <c r="Z1069" s="454"/>
      <c r="AA1069" s="455"/>
      <c r="AB1069" s="454"/>
      <c r="AC1069" s="455"/>
      <c r="AD1069" s="454"/>
      <c r="AE1069" s="455"/>
      <c r="AF1069" s="454"/>
      <c r="AG1069" s="455"/>
    </row>
    <row r="1070" spans="1:33" x14ac:dyDescent="0.2">
      <c r="A1070" s="415">
        <f t="shared" si="33"/>
        <v>1483</v>
      </c>
      <c r="B1070" s="416" t="str">
        <f t="shared" si="34"/>
        <v>Summer</v>
      </c>
      <c r="C1070" s="453"/>
      <c r="D1070" s="454"/>
      <c r="E1070" s="455"/>
      <c r="F1070" s="454"/>
      <c r="G1070" s="455"/>
      <c r="H1070" s="454"/>
      <c r="I1070" s="455"/>
      <c r="J1070" s="454"/>
      <c r="K1070" s="455"/>
      <c r="L1070" s="454"/>
      <c r="M1070" s="455"/>
      <c r="N1070" s="454"/>
      <c r="O1070" s="455"/>
      <c r="P1070" s="454"/>
      <c r="Q1070" s="455"/>
      <c r="R1070" s="454"/>
      <c r="S1070" s="455"/>
      <c r="T1070" s="454"/>
      <c r="U1070" s="455"/>
      <c r="V1070" s="454"/>
      <c r="W1070" s="455"/>
      <c r="X1070" s="454"/>
      <c r="Y1070" s="455"/>
      <c r="Z1070" s="454"/>
      <c r="AA1070" s="455"/>
      <c r="AB1070" s="454"/>
      <c r="AC1070" s="455"/>
      <c r="AD1070" s="454"/>
      <c r="AE1070" s="455"/>
      <c r="AF1070" s="454"/>
      <c r="AG1070" s="455"/>
    </row>
    <row r="1071" spans="1:33" x14ac:dyDescent="0.2">
      <c r="A1071" s="415">
        <f t="shared" si="33"/>
        <v>1483</v>
      </c>
      <c r="B1071" s="416" t="str">
        <f t="shared" si="34"/>
        <v>Autumn</v>
      </c>
      <c r="C1071" s="453"/>
      <c r="D1071" s="454"/>
      <c r="E1071" s="455"/>
      <c r="F1071" s="454"/>
      <c r="G1071" s="455"/>
      <c r="H1071" s="454"/>
      <c r="I1071" s="455"/>
      <c r="J1071" s="454"/>
      <c r="K1071" s="455"/>
      <c r="L1071" s="454"/>
      <c r="M1071" s="455"/>
      <c r="N1071" s="454"/>
      <c r="O1071" s="455"/>
      <c r="P1071" s="454"/>
      <c r="Q1071" s="455"/>
      <c r="R1071" s="454"/>
      <c r="S1071" s="455"/>
      <c r="T1071" s="454"/>
      <c r="U1071" s="455"/>
      <c r="V1071" s="454"/>
      <c r="W1071" s="455"/>
      <c r="X1071" s="454"/>
      <c r="Y1071" s="455"/>
      <c r="Z1071" s="454"/>
      <c r="AA1071" s="455"/>
      <c r="AB1071" s="454"/>
      <c r="AC1071" s="455"/>
      <c r="AD1071" s="454"/>
      <c r="AE1071" s="455"/>
      <c r="AF1071" s="454"/>
      <c r="AG1071" s="455"/>
    </row>
    <row r="1072" spans="1:33" x14ac:dyDescent="0.2">
      <c r="A1072" s="415">
        <f t="shared" si="33"/>
        <v>1484</v>
      </c>
      <c r="B1072" s="416" t="str">
        <f t="shared" si="34"/>
        <v>Winter</v>
      </c>
      <c r="C1072" s="453"/>
      <c r="D1072" s="454"/>
      <c r="E1072" s="455"/>
      <c r="F1072" s="454"/>
      <c r="G1072" s="455"/>
      <c r="H1072" s="454"/>
      <c r="I1072" s="455"/>
      <c r="J1072" s="454"/>
      <c r="K1072" s="455"/>
      <c r="L1072" s="454"/>
      <c r="M1072" s="455"/>
      <c r="N1072" s="454"/>
      <c r="O1072" s="455"/>
      <c r="P1072" s="454"/>
      <c r="Q1072" s="455"/>
      <c r="R1072" s="454"/>
      <c r="S1072" s="455"/>
      <c r="T1072" s="454"/>
      <c r="U1072" s="455"/>
      <c r="V1072" s="454"/>
      <c r="W1072" s="455"/>
      <c r="X1072" s="454"/>
      <c r="Y1072" s="455"/>
      <c r="Z1072" s="454"/>
      <c r="AA1072" s="455"/>
      <c r="AB1072" s="454"/>
      <c r="AC1072" s="455"/>
      <c r="AD1072" s="454"/>
      <c r="AE1072" s="455"/>
      <c r="AF1072" s="454"/>
      <c r="AG1072" s="455"/>
    </row>
    <row r="1073" spans="1:33" x14ac:dyDescent="0.2">
      <c r="A1073" s="415">
        <f t="shared" si="33"/>
        <v>1484</v>
      </c>
      <c r="B1073" s="416" t="str">
        <f t="shared" si="34"/>
        <v>Spring</v>
      </c>
      <c r="C1073" s="453"/>
      <c r="D1073" s="454"/>
      <c r="E1073" s="455"/>
      <c r="F1073" s="454"/>
      <c r="G1073" s="455"/>
      <c r="H1073" s="454"/>
      <c r="I1073" s="455"/>
      <c r="J1073" s="454"/>
      <c r="K1073" s="455"/>
      <c r="L1073" s="454"/>
      <c r="M1073" s="455"/>
      <c r="N1073" s="454"/>
      <c r="O1073" s="455"/>
      <c r="P1073" s="454"/>
      <c r="Q1073" s="455"/>
      <c r="R1073" s="454"/>
      <c r="S1073" s="455"/>
      <c r="T1073" s="454"/>
      <c r="U1073" s="455"/>
      <c r="V1073" s="454"/>
      <c r="W1073" s="455"/>
      <c r="X1073" s="454"/>
      <c r="Y1073" s="455"/>
      <c r="Z1073" s="454"/>
      <c r="AA1073" s="455"/>
      <c r="AB1073" s="454"/>
      <c r="AC1073" s="455"/>
      <c r="AD1073" s="454"/>
      <c r="AE1073" s="455"/>
      <c r="AF1073" s="454"/>
      <c r="AG1073" s="455"/>
    </row>
    <row r="1074" spans="1:33" x14ac:dyDescent="0.2">
      <c r="A1074" s="415">
        <f t="shared" si="33"/>
        <v>1484</v>
      </c>
      <c r="B1074" s="416" t="str">
        <f t="shared" si="34"/>
        <v>Summer</v>
      </c>
      <c r="C1074" s="453"/>
      <c r="D1074" s="454"/>
      <c r="E1074" s="455"/>
      <c r="F1074" s="454"/>
      <c r="G1074" s="455"/>
      <c r="H1074" s="454"/>
      <c r="I1074" s="455"/>
      <c r="J1074" s="454"/>
      <c r="K1074" s="455"/>
      <c r="L1074" s="454"/>
      <c r="M1074" s="455"/>
      <c r="N1074" s="454"/>
      <c r="O1074" s="455"/>
      <c r="P1074" s="454"/>
      <c r="Q1074" s="455"/>
      <c r="R1074" s="454"/>
      <c r="S1074" s="455"/>
      <c r="T1074" s="454"/>
      <c r="U1074" s="455"/>
      <c r="V1074" s="454"/>
      <c r="W1074" s="455"/>
      <c r="X1074" s="454"/>
      <c r="Y1074" s="455"/>
      <c r="Z1074" s="454"/>
      <c r="AA1074" s="455"/>
      <c r="AB1074" s="454"/>
      <c r="AC1074" s="455"/>
      <c r="AD1074" s="454"/>
      <c r="AE1074" s="455"/>
      <c r="AF1074" s="454"/>
      <c r="AG1074" s="455"/>
    </row>
    <row r="1075" spans="1:33" x14ac:dyDescent="0.2">
      <c r="A1075" s="415">
        <f t="shared" si="33"/>
        <v>1484</v>
      </c>
      <c r="B1075" s="416" t="str">
        <f t="shared" si="34"/>
        <v>Autumn</v>
      </c>
      <c r="C1075" s="453"/>
      <c r="D1075" s="454"/>
      <c r="E1075" s="455"/>
      <c r="F1075" s="454"/>
      <c r="G1075" s="455"/>
      <c r="H1075" s="454"/>
      <c r="I1075" s="455"/>
      <c r="J1075" s="454"/>
      <c r="K1075" s="455"/>
      <c r="L1075" s="454"/>
      <c r="M1075" s="455"/>
      <c r="N1075" s="454"/>
      <c r="O1075" s="455"/>
      <c r="P1075" s="454"/>
      <c r="Q1075" s="455"/>
      <c r="R1075" s="454"/>
      <c r="S1075" s="455"/>
      <c r="T1075" s="454"/>
      <c r="U1075" s="455"/>
      <c r="V1075" s="454"/>
      <c r="W1075" s="455"/>
      <c r="X1075" s="454"/>
      <c r="Y1075" s="455"/>
      <c r="Z1075" s="454"/>
      <c r="AA1075" s="455"/>
      <c r="AB1075" s="454"/>
      <c r="AC1075" s="455"/>
      <c r="AD1075" s="454"/>
      <c r="AE1075" s="455"/>
      <c r="AF1075" s="454"/>
      <c r="AG1075" s="455"/>
    </row>
    <row r="1076" spans="1:33" x14ac:dyDescent="0.2">
      <c r="A1076" s="415">
        <f t="shared" si="33"/>
        <v>1485</v>
      </c>
      <c r="B1076" s="416" t="str">
        <f t="shared" si="34"/>
        <v>Winter</v>
      </c>
      <c r="C1076" s="453"/>
      <c r="D1076" s="454"/>
      <c r="E1076" s="455"/>
      <c r="F1076" s="454"/>
      <c r="G1076" s="455"/>
      <c r="H1076" s="454"/>
      <c r="I1076" s="455"/>
      <c r="J1076" s="454"/>
      <c r="K1076" s="455"/>
      <c r="L1076" s="454"/>
      <c r="M1076" s="455"/>
      <c r="N1076" s="454"/>
      <c r="O1076" s="455"/>
      <c r="P1076" s="454"/>
      <c r="Q1076" s="455"/>
      <c r="R1076" s="454"/>
      <c r="S1076" s="455"/>
      <c r="T1076" s="454"/>
      <c r="U1076" s="455"/>
      <c r="V1076" s="454"/>
      <c r="W1076" s="455"/>
      <c r="X1076" s="454"/>
      <c r="Y1076" s="455"/>
      <c r="Z1076" s="454"/>
      <c r="AA1076" s="455"/>
      <c r="AB1076" s="454"/>
      <c r="AC1076" s="455"/>
      <c r="AD1076" s="454"/>
      <c r="AE1076" s="455"/>
      <c r="AF1076" s="454"/>
      <c r="AG1076" s="455"/>
    </row>
    <row r="1077" spans="1:33" x14ac:dyDescent="0.2">
      <c r="A1077" s="415">
        <f t="shared" si="33"/>
        <v>1485</v>
      </c>
      <c r="B1077" s="416" t="str">
        <f t="shared" si="34"/>
        <v>Spring</v>
      </c>
      <c r="C1077" s="453"/>
      <c r="D1077" s="454"/>
      <c r="E1077" s="455"/>
      <c r="F1077" s="454"/>
      <c r="G1077" s="455"/>
      <c r="H1077" s="454"/>
      <c r="I1077" s="455"/>
      <c r="J1077" s="454"/>
      <c r="K1077" s="455"/>
      <c r="L1077" s="454"/>
      <c r="M1077" s="455"/>
      <c r="N1077" s="454"/>
      <c r="O1077" s="455"/>
      <c r="P1077" s="454"/>
      <c r="Q1077" s="455"/>
      <c r="R1077" s="454"/>
      <c r="S1077" s="455"/>
      <c r="T1077" s="454"/>
      <c r="U1077" s="455"/>
      <c r="V1077" s="454"/>
      <c r="W1077" s="455"/>
      <c r="X1077" s="454"/>
      <c r="Y1077" s="455"/>
      <c r="Z1077" s="454"/>
      <c r="AA1077" s="455"/>
      <c r="AB1077" s="454"/>
      <c r="AC1077" s="455"/>
      <c r="AD1077" s="454"/>
      <c r="AE1077" s="455"/>
      <c r="AF1077" s="454"/>
      <c r="AG1077" s="455"/>
    </row>
    <row r="1078" spans="1:33" x14ac:dyDescent="0.2">
      <c r="A1078" s="415">
        <f t="shared" si="33"/>
        <v>1485</v>
      </c>
      <c r="B1078" s="416" t="str">
        <f t="shared" si="34"/>
        <v>Summer</v>
      </c>
      <c r="C1078" s="453"/>
      <c r="D1078" s="454"/>
      <c r="E1078" s="455"/>
      <c r="F1078" s="454"/>
      <c r="G1078" s="455"/>
      <c r="H1078" s="454"/>
      <c r="I1078" s="455"/>
      <c r="J1078" s="454"/>
      <c r="K1078" s="455"/>
      <c r="L1078" s="454"/>
      <c r="M1078" s="455"/>
      <c r="N1078" s="454"/>
      <c r="O1078" s="455"/>
      <c r="P1078" s="454"/>
      <c r="Q1078" s="455"/>
      <c r="R1078" s="454"/>
      <c r="S1078" s="455"/>
      <c r="T1078" s="454"/>
      <c r="U1078" s="455"/>
      <c r="V1078" s="454"/>
      <c r="W1078" s="455"/>
      <c r="X1078" s="454"/>
      <c r="Y1078" s="455"/>
      <c r="Z1078" s="454"/>
      <c r="AA1078" s="455"/>
      <c r="AB1078" s="454"/>
      <c r="AC1078" s="455"/>
      <c r="AD1078" s="454"/>
      <c r="AE1078" s="455"/>
      <c r="AF1078" s="454"/>
      <c r="AG1078" s="455"/>
    </row>
    <row r="1079" spans="1:33" x14ac:dyDescent="0.2">
      <c r="A1079" s="415">
        <f t="shared" si="33"/>
        <v>1485</v>
      </c>
      <c r="B1079" s="416" t="str">
        <f t="shared" si="34"/>
        <v>Autumn</v>
      </c>
      <c r="C1079" s="453"/>
      <c r="D1079" s="454"/>
      <c r="E1079" s="455"/>
      <c r="F1079" s="454"/>
      <c r="G1079" s="455"/>
      <c r="H1079" s="454"/>
      <c r="I1079" s="455"/>
      <c r="J1079" s="454"/>
      <c r="K1079" s="455"/>
      <c r="L1079" s="454"/>
      <c r="M1079" s="455"/>
      <c r="N1079" s="454"/>
      <c r="O1079" s="455"/>
      <c r="P1079" s="454"/>
      <c r="Q1079" s="455"/>
      <c r="R1079" s="454"/>
      <c r="S1079" s="455"/>
      <c r="T1079" s="454"/>
      <c r="U1079" s="455"/>
      <c r="V1079" s="454"/>
      <c r="W1079" s="455"/>
      <c r="X1079" s="454"/>
      <c r="Y1079" s="455"/>
      <c r="Z1079" s="454"/>
      <c r="AA1079" s="455"/>
      <c r="AB1079" s="454"/>
      <c r="AC1079" s="455"/>
      <c r="AD1079" s="454"/>
      <c r="AE1079" s="455"/>
      <c r="AF1079" s="454"/>
      <c r="AG1079" s="455"/>
    </row>
    <row r="1080" spans="1:33" x14ac:dyDescent="0.2">
      <c r="A1080" s="415">
        <f t="shared" si="33"/>
        <v>1486</v>
      </c>
      <c r="B1080" s="416" t="str">
        <f t="shared" si="34"/>
        <v>Winter</v>
      </c>
      <c r="C1080" s="453"/>
      <c r="D1080" s="454"/>
      <c r="E1080" s="455"/>
      <c r="F1080" s="454"/>
      <c r="G1080" s="455"/>
      <c r="H1080" s="454"/>
      <c r="I1080" s="455"/>
      <c r="J1080" s="454"/>
      <c r="K1080" s="455"/>
      <c r="L1080" s="454"/>
      <c r="M1080" s="455"/>
      <c r="N1080" s="454"/>
      <c r="O1080" s="455"/>
      <c r="P1080" s="454"/>
      <c r="Q1080" s="455"/>
      <c r="R1080" s="454"/>
      <c r="S1080" s="455"/>
      <c r="T1080" s="454"/>
      <c r="U1080" s="455"/>
      <c r="V1080" s="454"/>
      <c r="W1080" s="455"/>
      <c r="X1080" s="454"/>
      <c r="Y1080" s="455"/>
      <c r="Z1080" s="454"/>
      <c r="AA1080" s="455"/>
      <c r="AB1080" s="454"/>
      <c r="AC1080" s="455"/>
      <c r="AD1080" s="454"/>
      <c r="AE1080" s="455"/>
      <c r="AF1080" s="454"/>
      <c r="AG1080" s="455"/>
    </row>
    <row r="1081" spans="1:33" x14ac:dyDescent="0.2">
      <c r="A1081" s="415">
        <f t="shared" si="33"/>
        <v>1486</v>
      </c>
      <c r="B1081" s="416" t="str">
        <f t="shared" si="34"/>
        <v>Spring</v>
      </c>
      <c r="C1081" s="453"/>
      <c r="D1081" s="454"/>
      <c r="E1081" s="455"/>
      <c r="F1081" s="454"/>
      <c r="G1081" s="455"/>
      <c r="H1081" s="454"/>
      <c r="I1081" s="455"/>
      <c r="J1081" s="454"/>
      <c r="K1081" s="455"/>
      <c r="L1081" s="454"/>
      <c r="M1081" s="455"/>
      <c r="N1081" s="454"/>
      <c r="O1081" s="455"/>
      <c r="P1081" s="454"/>
      <c r="Q1081" s="455"/>
      <c r="R1081" s="454"/>
      <c r="S1081" s="455"/>
      <c r="T1081" s="454"/>
      <c r="U1081" s="455"/>
      <c r="V1081" s="454"/>
      <c r="W1081" s="455"/>
      <c r="X1081" s="454"/>
      <c r="Y1081" s="455"/>
      <c r="Z1081" s="454"/>
      <c r="AA1081" s="455"/>
      <c r="AB1081" s="454"/>
      <c r="AC1081" s="455"/>
      <c r="AD1081" s="454"/>
      <c r="AE1081" s="455"/>
      <c r="AF1081" s="454"/>
      <c r="AG1081" s="455"/>
    </row>
    <row r="1082" spans="1:33" x14ac:dyDescent="0.2">
      <c r="A1082" s="415">
        <f t="shared" si="33"/>
        <v>1486</v>
      </c>
      <c r="B1082" s="416" t="str">
        <f t="shared" si="34"/>
        <v>Summer</v>
      </c>
      <c r="C1082" s="453"/>
      <c r="D1082" s="454"/>
      <c r="E1082" s="455"/>
      <c r="F1082" s="454"/>
      <c r="G1082" s="455"/>
      <c r="H1082" s="454"/>
      <c r="I1082" s="455"/>
      <c r="J1082" s="454"/>
      <c r="K1082" s="455"/>
      <c r="L1082" s="454"/>
      <c r="M1082" s="455"/>
      <c r="N1082" s="454"/>
      <c r="O1082" s="455"/>
      <c r="P1082" s="454"/>
      <c r="Q1082" s="455"/>
      <c r="R1082" s="454"/>
      <c r="S1082" s="455"/>
      <c r="T1082" s="454"/>
      <c r="U1082" s="455"/>
      <c r="V1082" s="454"/>
      <c r="W1082" s="455"/>
      <c r="X1082" s="454"/>
      <c r="Y1082" s="455"/>
      <c r="Z1082" s="454"/>
      <c r="AA1082" s="455"/>
      <c r="AB1082" s="454"/>
      <c r="AC1082" s="455"/>
      <c r="AD1082" s="454"/>
      <c r="AE1082" s="455"/>
      <c r="AF1082" s="454"/>
      <c r="AG1082" s="455"/>
    </row>
    <row r="1083" spans="1:33" x14ac:dyDescent="0.2">
      <c r="A1083" s="415">
        <f t="shared" si="33"/>
        <v>1486</v>
      </c>
      <c r="B1083" s="416" t="str">
        <f t="shared" si="34"/>
        <v>Autumn</v>
      </c>
      <c r="C1083" s="453"/>
      <c r="D1083" s="454"/>
      <c r="E1083" s="455"/>
      <c r="F1083" s="454"/>
      <c r="G1083" s="455"/>
      <c r="H1083" s="454"/>
      <c r="I1083" s="455"/>
      <c r="J1083" s="454"/>
      <c r="K1083" s="455"/>
      <c r="L1083" s="454"/>
      <c r="M1083" s="455"/>
      <c r="N1083" s="454"/>
      <c r="O1083" s="455"/>
      <c r="P1083" s="454"/>
      <c r="Q1083" s="455"/>
      <c r="R1083" s="454"/>
      <c r="S1083" s="455"/>
      <c r="T1083" s="454"/>
      <c r="U1083" s="455"/>
      <c r="V1083" s="454"/>
      <c r="W1083" s="455"/>
      <c r="X1083" s="454"/>
      <c r="Y1083" s="455"/>
      <c r="Z1083" s="454"/>
      <c r="AA1083" s="455"/>
      <c r="AB1083" s="454"/>
      <c r="AC1083" s="455"/>
      <c r="AD1083" s="454"/>
      <c r="AE1083" s="455"/>
      <c r="AF1083" s="454"/>
      <c r="AG1083" s="455"/>
    </row>
    <row r="1084" spans="1:33" x14ac:dyDescent="0.2">
      <c r="A1084" s="415">
        <f t="shared" si="33"/>
        <v>1487</v>
      </c>
      <c r="B1084" s="416" t="str">
        <f t="shared" si="34"/>
        <v>Winter</v>
      </c>
      <c r="C1084" s="453"/>
      <c r="D1084" s="454"/>
      <c r="E1084" s="455"/>
      <c r="F1084" s="454"/>
      <c r="G1084" s="455"/>
      <c r="H1084" s="454"/>
      <c r="I1084" s="455"/>
      <c r="J1084" s="454"/>
      <c r="K1084" s="455"/>
      <c r="L1084" s="454"/>
      <c r="M1084" s="455"/>
      <c r="N1084" s="454"/>
      <c r="O1084" s="455"/>
      <c r="P1084" s="454"/>
      <c r="Q1084" s="455"/>
      <c r="R1084" s="454"/>
      <c r="S1084" s="455"/>
      <c r="T1084" s="454"/>
      <c r="U1084" s="455"/>
      <c r="V1084" s="454"/>
      <c r="W1084" s="455"/>
      <c r="X1084" s="454"/>
      <c r="Y1084" s="455"/>
      <c r="Z1084" s="454"/>
      <c r="AA1084" s="455"/>
      <c r="AB1084" s="454"/>
      <c r="AC1084" s="455"/>
      <c r="AD1084" s="454"/>
      <c r="AE1084" s="455"/>
      <c r="AF1084" s="454"/>
      <c r="AG1084" s="455"/>
    </row>
    <row r="1085" spans="1:33" x14ac:dyDescent="0.2">
      <c r="A1085" s="415">
        <f t="shared" si="33"/>
        <v>1487</v>
      </c>
      <c r="B1085" s="416" t="str">
        <f t="shared" si="34"/>
        <v>Spring</v>
      </c>
      <c r="C1085" s="453"/>
      <c r="D1085" s="454"/>
      <c r="E1085" s="455"/>
      <c r="F1085" s="454"/>
      <c r="G1085" s="455"/>
      <c r="H1085" s="454"/>
      <c r="I1085" s="455"/>
      <c r="J1085" s="454"/>
      <c r="K1085" s="455"/>
      <c r="L1085" s="454"/>
      <c r="M1085" s="455"/>
      <c r="N1085" s="454"/>
      <c r="O1085" s="455"/>
      <c r="P1085" s="454"/>
      <c r="Q1085" s="455"/>
      <c r="R1085" s="454"/>
      <c r="S1085" s="455"/>
      <c r="T1085" s="454"/>
      <c r="U1085" s="455"/>
      <c r="V1085" s="454"/>
      <c r="W1085" s="455"/>
      <c r="X1085" s="454"/>
      <c r="Y1085" s="455"/>
      <c r="Z1085" s="454"/>
      <c r="AA1085" s="455"/>
      <c r="AB1085" s="454"/>
      <c r="AC1085" s="455"/>
      <c r="AD1085" s="454"/>
      <c r="AE1085" s="455"/>
      <c r="AF1085" s="454"/>
      <c r="AG1085" s="455"/>
    </row>
    <row r="1086" spans="1:33" x14ac:dyDescent="0.2">
      <c r="A1086" s="415">
        <f t="shared" si="33"/>
        <v>1487</v>
      </c>
      <c r="B1086" s="416" t="str">
        <f t="shared" si="34"/>
        <v>Summer</v>
      </c>
      <c r="C1086" s="453"/>
      <c r="D1086" s="454"/>
      <c r="E1086" s="455"/>
      <c r="F1086" s="454"/>
      <c r="G1086" s="455"/>
      <c r="H1086" s="454"/>
      <c r="I1086" s="455"/>
      <c r="J1086" s="454"/>
      <c r="K1086" s="455"/>
      <c r="L1086" s="454"/>
      <c r="M1086" s="455"/>
      <c r="N1086" s="454"/>
      <c r="O1086" s="455"/>
      <c r="P1086" s="454"/>
      <c r="Q1086" s="455"/>
      <c r="R1086" s="454"/>
      <c r="S1086" s="455"/>
      <c r="T1086" s="454"/>
      <c r="U1086" s="455"/>
      <c r="V1086" s="454"/>
      <c r="W1086" s="455"/>
      <c r="X1086" s="454"/>
      <c r="Y1086" s="455"/>
      <c r="Z1086" s="454"/>
      <c r="AA1086" s="455"/>
      <c r="AB1086" s="454"/>
      <c r="AC1086" s="455"/>
      <c r="AD1086" s="454"/>
      <c r="AE1086" s="455"/>
      <c r="AF1086" s="454"/>
      <c r="AG1086" s="455"/>
    </row>
    <row r="1087" spans="1:33" x14ac:dyDescent="0.2">
      <c r="A1087" s="415">
        <f t="shared" si="33"/>
        <v>1487</v>
      </c>
      <c r="B1087" s="416" t="str">
        <f t="shared" si="34"/>
        <v>Autumn</v>
      </c>
      <c r="C1087" s="453"/>
      <c r="D1087" s="454"/>
      <c r="E1087" s="455"/>
      <c r="F1087" s="454"/>
      <c r="G1087" s="455"/>
      <c r="H1087" s="454"/>
      <c r="I1087" s="455"/>
      <c r="J1087" s="454"/>
      <c r="K1087" s="455"/>
      <c r="L1087" s="454"/>
      <c r="M1087" s="455"/>
      <c r="N1087" s="454"/>
      <c r="O1087" s="455"/>
      <c r="P1087" s="454"/>
      <c r="Q1087" s="455"/>
      <c r="R1087" s="454"/>
      <c r="S1087" s="455"/>
      <c r="T1087" s="454"/>
      <c r="U1087" s="455"/>
      <c r="V1087" s="454"/>
      <c r="W1087" s="455"/>
      <c r="X1087" s="454"/>
      <c r="Y1087" s="455"/>
      <c r="Z1087" s="454"/>
      <c r="AA1087" s="455"/>
      <c r="AB1087" s="454"/>
      <c r="AC1087" s="455"/>
      <c r="AD1087" s="454"/>
      <c r="AE1087" s="455"/>
      <c r="AF1087" s="454"/>
      <c r="AG1087" s="455"/>
    </row>
    <row r="1088" spans="1:33" x14ac:dyDescent="0.2">
      <c r="A1088" s="415">
        <f t="shared" si="33"/>
        <v>1488</v>
      </c>
      <c r="B1088" s="416" t="str">
        <f t="shared" si="34"/>
        <v>Winter</v>
      </c>
      <c r="C1088" s="453"/>
      <c r="D1088" s="454"/>
      <c r="E1088" s="455"/>
      <c r="F1088" s="454"/>
      <c r="G1088" s="455"/>
      <c r="H1088" s="454"/>
      <c r="I1088" s="455"/>
      <c r="J1088" s="454"/>
      <c r="K1088" s="455"/>
      <c r="L1088" s="454"/>
      <c r="M1088" s="455"/>
      <c r="N1088" s="454"/>
      <c r="O1088" s="455"/>
      <c r="P1088" s="454"/>
      <c r="Q1088" s="455"/>
      <c r="R1088" s="454"/>
      <c r="S1088" s="455"/>
      <c r="T1088" s="454"/>
      <c r="U1088" s="455"/>
      <c r="V1088" s="454"/>
      <c r="W1088" s="455"/>
      <c r="X1088" s="454"/>
      <c r="Y1088" s="455"/>
      <c r="Z1088" s="454"/>
      <c r="AA1088" s="455"/>
      <c r="AB1088" s="454"/>
      <c r="AC1088" s="455"/>
      <c r="AD1088" s="454"/>
      <c r="AE1088" s="455"/>
      <c r="AF1088" s="454"/>
      <c r="AG1088" s="455"/>
    </row>
    <row r="1089" spans="1:33" x14ac:dyDescent="0.2">
      <c r="A1089" s="415">
        <f t="shared" si="33"/>
        <v>1488</v>
      </c>
      <c r="B1089" s="416" t="str">
        <f t="shared" si="34"/>
        <v>Spring</v>
      </c>
      <c r="C1089" s="453"/>
      <c r="D1089" s="454"/>
      <c r="E1089" s="455"/>
      <c r="F1089" s="454"/>
      <c r="G1089" s="455"/>
      <c r="H1089" s="454"/>
      <c r="I1089" s="455"/>
      <c r="J1089" s="454"/>
      <c r="K1089" s="455"/>
      <c r="L1089" s="454"/>
      <c r="M1089" s="455"/>
      <c r="N1089" s="454"/>
      <c r="O1089" s="455"/>
      <c r="P1089" s="454"/>
      <c r="Q1089" s="455"/>
      <c r="R1089" s="454"/>
      <c r="S1089" s="455"/>
      <c r="T1089" s="454"/>
      <c r="U1089" s="455"/>
      <c r="V1089" s="454"/>
      <c r="W1089" s="455"/>
      <c r="X1089" s="454"/>
      <c r="Y1089" s="455"/>
      <c r="Z1089" s="454"/>
      <c r="AA1089" s="455"/>
      <c r="AB1089" s="454"/>
      <c r="AC1089" s="455"/>
      <c r="AD1089" s="454"/>
      <c r="AE1089" s="455"/>
      <c r="AF1089" s="454"/>
      <c r="AG1089" s="455"/>
    </row>
    <row r="1090" spans="1:33" x14ac:dyDescent="0.2">
      <c r="A1090" s="415">
        <f t="shared" si="33"/>
        <v>1488</v>
      </c>
      <c r="B1090" s="416" t="str">
        <f t="shared" si="34"/>
        <v>Summer</v>
      </c>
      <c r="C1090" s="453"/>
      <c r="D1090" s="454"/>
      <c r="E1090" s="455"/>
      <c r="F1090" s="454"/>
      <c r="G1090" s="455"/>
      <c r="H1090" s="454"/>
      <c r="I1090" s="455"/>
      <c r="J1090" s="454"/>
      <c r="K1090" s="455"/>
      <c r="L1090" s="454"/>
      <c r="M1090" s="455"/>
      <c r="N1090" s="454"/>
      <c r="O1090" s="455"/>
      <c r="P1090" s="454"/>
      <c r="Q1090" s="455"/>
      <c r="R1090" s="454"/>
      <c r="S1090" s="455"/>
      <c r="T1090" s="454"/>
      <c r="U1090" s="455"/>
      <c r="V1090" s="454"/>
      <c r="W1090" s="455"/>
      <c r="X1090" s="454"/>
      <c r="Y1090" s="455"/>
      <c r="Z1090" s="454"/>
      <c r="AA1090" s="455"/>
      <c r="AB1090" s="454"/>
      <c r="AC1090" s="455"/>
      <c r="AD1090" s="454"/>
      <c r="AE1090" s="455"/>
      <c r="AF1090" s="454"/>
      <c r="AG1090" s="455"/>
    </row>
    <row r="1091" spans="1:33" x14ac:dyDescent="0.2">
      <c r="A1091" s="415">
        <f t="shared" si="33"/>
        <v>1488</v>
      </c>
      <c r="B1091" s="416" t="str">
        <f t="shared" si="34"/>
        <v>Autumn</v>
      </c>
      <c r="C1091" s="453"/>
      <c r="D1091" s="454"/>
      <c r="E1091" s="455"/>
      <c r="F1091" s="454"/>
      <c r="G1091" s="455"/>
      <c r="H1091" s="454"/>
      <c r="I1091" s="455"/>
      <c r="J1091" s="454"/>
      <c r="K1091" s="455"/>
      <c r="L1091" s="454"/>
      <c r="M1091" s="455"/>
      <c r="N1091" s="454"/>
      <c r="O1091" s="455"/>
      <c r="P1091" s="454"/>
      <c r="Q1091" s="455"/>
      <c r="R1091" s="454"/>
      <c r="S1091" s="455"/>
      <c r="T1091" s="454"/>
      <c r="U1091" s="455"/>
      <c r="V1091" s="454"/>
      <c r="W1091" s="455"/>
      <c r="X1091" s="454"/>
      <c r="Y1091" s="455"/>
      <c r="Z1091" s="454"/>
      <c r="AA1091" s="455"/>
      <c r="AB1091" s="454"/>
      <c r="AC1091" s="455"/>
      <c r="AD1091" s="454"/>
      <c r="AE1091" s="455"/>
      <c r="AF1091" s="454"/>
      <c r="AG1091" s="455"/>
    </row>
    <row r="1092" spans="1:33" x14ac:dyDescent="0.2">
      <c r="A1092" s="415">
        <f t="shared" si="33"/>
        <v>1489</v>
      </c>
      <c r="B1092" s="416" t="str">
        <f t="shared" si="34"/>
        <v>Winter</v>
      </c>
      <c r="C1092" s="453"/>
      <c r="D1092" s="454"/>
      <c r="E1092" s="455"/>
      <c r="F1092" s="454"/>
      <c r="G1092" s="455"/>
      <c r="H1092" s="454"/>
      <c r="I1092" s="455"/>
      <c r="J1092" s="454"/>
      <c r="K1092" s="455"/>
      <c r="L1092" s="454"/>
      <c r="M1092" s="455"/>
      <c r="N1092" s="454"/>
      <c r="O1092" s="455"/>
      <c r="P1092" s="454"/>
      <c r="Q1092" s="455"/>
      <c r="R1092" s="454"/>
      <c r="S1092" s="455"/>
      <c r="T1092" s="454"/>
      <c r="U1092" s="455"/>
      <c r="V1092" s="454"/>
      <c r="W1092" s="455"/>
      <c r="X1092" s="454"/>
      <c r="Y1092" s="455"/>
      <c r="Z1092" s="454"/>
      <c r="AA1092" s="455"/>
      <c r="AB1092" s="454"/>
      <c r="AC1092" s="455"/>
      <c r="AD1092" s="454"/>
      <c r="AE1092" s="455"/>
      <c r="AF1092" s="454"/>
      <c r="AG1092" s="455"/>
    </row>
    <row r="1093" spans="1:33" x14ac:dyDescent="0.2">
      <c r="A1093" s="415">
        <f t="shared" ref="A1093:A1156" si="35">IF(B1092="Autumn",A1092+1,A1092)</f>
        <v>1489</v>
      </c>
      <c r="B1093" s="416" t="str">
        <f t="shared" si="34"/>
        <v>Spring</v>
      </c>
      <c r="C1093" s="453"/>
      <c r="D1093" s="454"/>
      <c r="E1093" s="455"/>
      <c r="F1093" s="454"/>
      <c r="G1093" s="455"/>
      <c r="H1093" s="454"/>
      <c r="I1093" s="455"/>
      <c r="J1093" s="454"/>
      <c r="K1093" s="455"/>
      <c r="L1093" s="454"/>
      <c r="M1093" s="455"/>
      <c r="N1093" s="454"/>
      <c r="O1093" s="455"/>
      <c r="P1093" s="454"/>
      <c r="Q1093" s="455"/>
      <c r="R1093" s="454"/>
      <c r="S1093" s="455"/>
      <c r="T1093" s="454"/>
      <c r="U1093" s="455"/>
      <c r="V1093" s="454"/>
      <c r="W1093" s="455"/>
      <c r="X1093" s="454"/>
      <c r="Y1093" s="455"/>
      <c r="Z1093" s="454"/>
      <c r="AA1093" s="455"/>
      <c r="AB1093" s="454"/>
      <c r="AC1093" s="455"/>
      <c r="AD1093" s="454"/>
      <c r="AE1093" s="455"/>
      <c r="AF1093" s="454"/>
      <c r="AG1093" s="455"/>
    </row>
    <row r="1094" spans="1:33" x14ac:dyDescent="0.2">
      <c r="A1094" s="415">
        <f t="shared" si="35"/>
        <v>1489</v>
      </c>
      <c r="B1094" s="416" t="str">
        <f t="shared" si="34"/>
        <v>Summer</v>
      </c>
      <c r="C1094" s="453"/>
      <c r="D1094" s="454"/>
      <c r="E1094" s="455"/>
      <c r="F1094" s="454"/>
      <c r="G1094" s="455"/>
      <c r="H1094" s="454"/>
      <c r="I1094" s="455"/>
      <c r="J1094" s="454"/>
      <c r="K1094" s="455"/>
      <c r="L1094" s="454"/>
      <c r="M1094" s="455"/>
      <c r="N1094" s="454"/>
      <c r="O1094" s="455"/>
      <c r="P1094" s="454"/>
      <c r="Q1094" s="455"/>
      <c r="R1094" s="454"/>
      <c r="S1094" s="455"/>
      <c r="T1094" s="454"/>
      <c r="U1094" s="455"/>
      <c r="V1094" s="454"/>
      <c r="W1094" s="455"/>
      <c r="X1094" s="454"/>
      <c r="Y1094" s="455"/>
      <c r="Z1094" s="454"/>
      <c r="AA1094" s="455"/>
      <c r="AB1094" s="454"/>
      <c r="AC1094" s="455"/>
      <c r="AD1094" s="454"/>
      <c r="AE1094" s="455"/>
      <c r="AF1094" s="454"/>
      <c r="AG1094" s="455"/>
    </row>
    <row r="1095" spans="1:33" x14ac:dyDescent="0.2">
      <c r="A1095" s="415">
        <f t="shared" si="35"/>
        <v>1489</v>
      </c>
      <c r="B1095" s="416" t="str">
        <f t="shared" si="34"/>
        <v>Autumn</v>
      </c>
      <c r="C1095" s="453"/>
      <c r="D1095" s="454"/>
      <c r="E1095" s="455"/>
      <c r="F1095" s="454"/>
      <c r="G1095" s="455"/>
      <c r="H1095" s="454"/>
      <c r="I1095" s="455"/>
      <c r="J1095" s="454"/>
      <c r="K1095" s="455"/>
      <c r="L1095" s="454"/>
      <c r="M1095" s="455"/>
      <c r="N1095" s="454"/>
      <c r="O1095" s="455"/>
      <c r="P1095" s="454"/>
      <c r="Q1095" s="455"/>
      <c r="R1095" s="454"/>
      <c r="S1095" s="455"/>
      <c r="T1095" s="454"/>
      <c r="U1095" s="455"/>
      <c r="V1095" s="454"/>
      <c r="W1095" s="455"/>
      <c r="X1095" s="454"/>
      <c r="Y1095" s="455"/>
      <c r="Z1095" s="454"/>
      <c r="AA1095" s="455"/>
      <c r="AB1095" s="454"/>
      <c r="AC1095" s="455"/>
      <c r="AD1095" s="454"/>
      <c r="AE1095" s="455"/>
      <c r="AF1095" s="454"/>
      <c r="AG1095" s="455"/>
    </row>
    <row r="1096" spans="1:33" x14ac:dyDescent="0.2">
      <c r="A1096" s="415">
        <f t="shared" si="35"/>
        <v>1490</v>
      </c>
      <c r="B1096" s="416" t="str">
        <f t="shared" si="34"/>
        <v>Winter</v>
      </c>
      <c r="C1096" s="453"/>
      <c r="D1096" s="454"/>
      <c r="E1096" s="455"/>
      <c r="F1096" s="454"/>
      <c r="G1096" s="455"/>
      <c r="H1096" s="454"/>
      <c r="I1096" s="455"/>
      <c r="J1096" s="454"/>
      <c r="K1096" s="455"/>
      <c r="L1096" s="454"/>
      <c r="M1096" s="455"/>
      <c r="N1096" s="454"/>
      <c r="O1096" s="455"/>
      <c r="P1096" s="454"/>
      <c r="Q1096" s="455"/>
      <c r="R1096" s="454"/>
      <c r="S1096" s="455"/>
      <c r="T1096" s="454"/>
      <c r="U1096" s="455"/>
      <c r="V1096" s="454"/>
      <c r="W1096" s="455"/>
      <c r="X1096" s="454"/>
      <c r="Y1096" s="455"/>
      <c r="Z1096" s="454"/>
      <c r="AA1096" s="455"/>
      <c r="AB1096" s="454"/>
      <c r="AC1096" s="455"/>
      <c r="AD1096" s="454"/>
      <c r="AE1096" s="455"/>
      <c r="AF1096" s="454"/>
      <c r="AG1096" s="455"/>
    </row>
    <row r="1097" spans="1:33" x14ac:dyDescent="0.2">
      <c r="A1097" s="415">
        <f t="shared" si="35"/>
        <v>1490</v>
      </c>
      <c r="B1097" s="416" t="str">
        <f t="shared" si="34"/>
        <v>Spring</v>
      </c>
      <c r="C1097" s="453"/>
      <c r="D1097" s="454"/>
      <c r="E1097" s="455"/>
      <c r="F1097" s="454"/>
      <c r="G1097" s="455"/>
      <c r="H1097" s="454"/>
      <c r="I1097" s="455"/>
      <c r="J1097" s="454"/>
      <c r="K1097" s="455"/>
      <c r="L1097" s="454"/>
      <c r="M1097" s="455"/>
      <c r="N1097" s="454"/>
      <c r="O1097" s="455"/>
      <c r="P1097" s="454"/>
      <c r="Q1097" s="455"/>
      <c r="R1097" s="454"/>
      <c r="S1097" s="455"/>
      <c r="T1097" s="454"/>
      <c r="U1097" s="455"/>
      <c r="V1097" s="454"/>
      <c r="W1097" s="455"/>
      <c r="X1097" s="454"/>
      <c r="Y1097" s="455"/>
      <c r="Z1097" s="454"/>
      <c r="AA1097" s="455"/>
      <c r="AB1097" s="454"/>
      <c r="AC1097" s="455"/>
      <c r="AD1097" s="454"/>
      <c r="AE1097" s="455"/>
      <c r="AF1097" s="454"/>
      <c r="AG1097" s="455"/>
    </row>
    <row r="1098" spans="1:33" x14ac:dyDescent="0.2">
      <c r="A1098" s="415">
        <f t="shared" si="35"/>
        <v>1490</v>
      </c>
      <c r="B1098" s="416" t="str">
        <f t="shared" si="34"/>
        <v>Summer</v>
      </c>
      <c r="C1098" s="453"/>
      <c r="D1098" s="454"/>
      <c r="E1098" s="455"/>
      <c r="F1098" s="454"/>
      <c r="G1098" s="455"/>
      <c r="H1098" s="454"/>
      <c r="I1098" s="455"/>
      <c r="J1098" s="454"/>
      <c r="K1098" s="455"/>
      <c r="L1098" s="454"/>
      <c r="M1098" s="455"/>
      <c r="N1098" s="454"/>
      <c r="O1098" s="455"/>
      <c r="P1098" s="454"/>
      <c r="Q1098" s="455"/>
      <c r="R1098" s="454"/>
      <c r="S1098" s="455"/>
      <c r="T1098" s="454"/>
      <c r="U1098" s="455"/>
      <c r="V1098" s="454"/>
      <c r="W1098" s="455"/>
      <c r="X1098" s="454"/>
      <c r="Y1098" s="455"/>
      <c r="Z1098" s="454"/>
      <c r="AA1098" s="455"/>
      <c r="AB1098" s="454"/>
      <c r="AC1098" s="455"/>
      <c r="AD1098" s="454"/>
      <c r="AE1098" s="455"/>
      <c r="AF1098" s="454"/>
      <c r="AG1098" s="455"/>
    </row>
    <row r="1099" spans="1:33" x14ac:dyDescent="0.2">
      <c r="A1099" s="415">
        <f t="shared" si="35"/>
        <v>1490</v>
      </c>
      <c r="B1099" s="416" t="str">
        <f t="shared" si="34"/>
        <v>Autumn</v>
      </c>
      <c r="C1099" s="453"/>
      <c r="D1099" s="454"/>
      <c r="E1099" s="455"/>
      <c r="F1099" s="454"/>
      <c r="G1099" s="455"/>
      <c r="H1099" s="454"/>
      <c r="I1099" s="455"/>
      <c r="J1099" s="454"/>
      <c r="K1099" s="455"/>
      <c r="L1099" s="454"/>
      <c r="M1099" s="455"/>
      <c r="N1099" s="454"/>
      <c r="O1099" s="455"/>
      <c r="P1099" s="454"/>
      <c r="Q1099" s="455"/>
      <c r="R1099" s="454"/>
      <c r="S1099" s="455"/>
      <c r="T1099" s="454"/>
      <c r="U1099" s="455"/>
      <c r="V1099" s="454"/>
      <c r="W1099" s="455"/>
      <c r="X1099" s="454"/>
      <c r="Y1099" s="455"/>
      <c r="Z1099" s="454"/>
      <c r="AA1099" s="455"/>
      <c r="AB1099" s="454"/>
      <c r="AC1099" s="455"/>
      <c r="AD1099" s="454"/>
      <c r="AE1099" s="455"/>
      <c r="AF1099" s="454"/>
      <c r="AG1099" s="455"/>
    </row>
    <row r="1100" spans="1:33" x14ac:dyDescent="0.2">
      <c r="A1100" s="415">
        <f t="shared" si="35"/>
        <v>1491</v>
      </c>
      <c r="B1100" s="416" t="str">
        <f t="shared" si="34"/>
        <v>Winter</v>
      </c>
      <c r="C1100" s="453"/>
      <c r="D1100" s="454"/>
      <c r="E1100" s="455"/>
      <c r="F1100" s="454"/>
      <c r="G1100" s="455"/>
      <c r="H1100" s="454"/>
      <c r="I1100" s="455"/>
      <c r="J1100" s="454"/>
      <c r="K1100" s="455"/>
      <c r="L1100" s="454"/>
      <c r="M1100" s="455"/>
      <c r="N1100" s="454"/>
      <c r="O1100" s="455"/>
      <c r="P1100" s="454"/>
      <c r="Q1100" s="455"/>
      <c r="R1100" s="454"/>
      <c r="S1100" s="455"/>
      <c r="T1100" s="454"/>
      <c r="U1100" s="455"/>
      <c r="V1100" s="454"/>
      <c r="W1100" s="455"/>
      <c r="X1100" s="454"/>
      <c r="Y1100" s="455"/>
      <c r="Z1100" s="454"/>
      <c r="AA1100" s="455"/>
      <c r="AB1100" s="454"/>
      <c r="AC1100" s="455"/>
      <c r="AD1100" s="454"/>
      <c r="AE1100" s="455"/>
      <c r="AF1100" s="454"/>
      <c r="AG1100" s="455"/>
    </row>
    <row r="1101" spans="1:33" x14ac:dyDescent="0.2">
      <c r="A1101" s="415">
        <f t="shared" si="35"/>
        <v>1491</v>
      </c>
      <c r="B1101" s="416" t="str">
        <f t="shared" si="34"/>
        <v>Spring</v>
      </c>
      <c r="C1101" s="453"/>
      <c r="D1101" s="454"/>
      <c r="E1101" s="455"/>
      <c r="F1101" s="454"/>
      <c r="G1101" s="455"/>
      <c r="H1101" s="454"/>
      <c r="I1101" s="455"/>
      <c r="J1101" s="454"/>
      <c r="K1101" s="455"/>
      <c r="L1101" s="454"/>
      <c r="M1101" s="455"/>
      <c r="N1101" s="454"/>
      <c r="O1101" s="455"/>
      <c r="P1101" s="454"/>
      <c r="Q1101" s="455"/>
      <c r="R1101" s="454"/>
      <c r="S1101" s="455"/>
      <c r="T1101" s="454"/>
      <c r="U1101" s="455"/>
      <c r="V1101" s="454"/>
      <c r="W1101" s="455"/>
      <c r="X1101" s="454"/>
      <c r="Y1101" s="455"/>
      <c r="Z1101" s="454"/>
      <c r="AA1101" s="455"/>
      <c r="AB1101" s="454"/>
      <c r="AC1101" s="455"/>
      <c r="AD1101" s="454"/>
      <c r="AE1101" s="455"/>
      <c r="AF1101" s="454"/>
      <c r="AG1101" s="455"/>
    </row>
    <row r="1102" spans="1:33" x14ac:dyDescent="0.2">
      <c r="A1102" s="415">
        <f t="shared" si="35"/>
        <v>1491</v>
      </c>
      <c r="B1102" s="416" t="str">
        <f t="shared" si="34"/>
        <v>Summer</v>
      </c>
      <c r="C1102" s="453"/>
      <c r="D1102" s="454"/>
      <c r="E1102" s="455"/>
      <c r="F1102" s="454"/>
      <c r="G1102" s="455"/>
      <c r="H1102" s="454"/>
      <c r="I1102" s="455"/>
      <c r="J1102" s="454"/>
      <c r="K1102" s="455"/>
      <c r="L1102" s="454"/>
      <c r="M1102" s="455"/>
      <c r="N1102" s="454"/>
      <c r="O1102" s="455"/>
      <c r="P1102" s="454"/>
      <c r="Q1102" s="455"/>
      <c r="R1102" s="454"/>
      <c r="S1102" s="455"/>
      <c r="T1102" s="454"/>
      <c r="U1102" s="455"/>
      <c r="V1102" s="454"/>
      <c r="W1102" s="455"/>
      <c r="X1102" s="454"/>
      <c r="Y1102" s="455"/>
      <c r="Z1102" s="454"/>
      <c r="AA1102" s="455"/>
      <c r="AB1102" s="454"/>
      <c r="AC1102" s="455"/>
      <c r="AD1102" s="454"/>
      <c r="AE1102" s="455"/>
      <c r="AF1102" s="454"/>
      <c r="AG1102" s="455"/>
    </row>
    <row r="1103" spans="1:33" x14ac:dyDescent="0.2">
      <c r="A1103" s="415">
        <f t="shared" si="35"/>
        <v>1491</v>
      </c>
      <c r="B1103" s="416" t="str">
        <f t="shared" si="34"/>
        <v>Autumn</v>
      </c>
      <c r="C1103" s="453"/>
      <c r="D1103" s="454"/>
      <c r="E1103" s="455"/>
      <c r="F1103" s="454"/>
      <c r="G1103" s="455"/>
      <c r="H1103" s="454"/>
      <c r="I1103" s="455"/>
      <c r="J1103" s="454"/>
      <c r="K1103" s="455"/>
      <c r="L1103" s="454"/>
      <c r="M1103" s="455"/>
      <c r="N1103" s="454"/>
      <c r="O1103" s="455"/>
      <c r="P1103" s="454"/>
      <c r="Q1103" s="455"/>
      <c r="R1103" s="454"/>
      <c r="S1103" s="455"/>
      <c r="T1103" s="454"/>
      <c r="U1103" s="455"/>
      <c r="V1103" s="454"/>
      <c r="W1103" s="455"/>
      <c r="X1103" s="454"/>
      <c r="Y1103" s="455"/>
      <c r="Z1103" s="454"/>
      <c r="AA1103" s="455"/>
      <c r="AB1103" s="454"/>
      <c r="AC1103" s="455"/>
      <c r="AD1103" s="454"/>
      <c r="AE1103" s="455"/>
      <c r="AF1103" s="454"/>
      <c r="AG1103" s="455"/>
    </row>
    <row r="1104" spans="1:33" x14ac:dyDescent="0.2">
      <c r="A1104" s="415">
        <f t="shared" si="35"/>
        <v>1492</v>
      </c>
      <c r="B1104" s="416" t="str">
        <f t="shared" si="34"/>
        <v>Winter</v>
      </c>
      <c r="C1104" s="453"/>
      <c r="D1104" s="454"/>
      <c r="E1104" s="455"/>
      <c r="F1104" s="454"/>
      <c r="G1104" s="455"/>
      <c r="H1104" s="454"/>
      <c r="I1104" s="455"/>
      <c r="J1104" s="454"/>
      <c r="K1104" s="455"/>
      <c r="L1104" s="454"/>
      <c r="M1104" s="455"/>
      <c r="N1104" s="454"/>
      <c r="O1104" s="455"/>
      <c r="P1104" s="454"/>
      <c r="Q1104" s="455"/>
      <c r="R1104" s="454"/>
      <c r="S1104" s="455"/>
      <c r="T1104" s="454"/>
      <c r="U1104" s="455"/>
      <c r="V1104" s="454"/>
      <c r="W1104" s="455"/>
      <c r="X1104" s="454"/>
      <c r="Y1104" s="455"/>
      <c r="Z1104" s="454"/>
      <c r="AA1104" s="455"/>
      <c r="AB1104" s="454"/>
      <c r="AC1104" s="455"/>
      <c r="AD1104" s="454"/>
      <c r="AE1104" s="455"/>
      <c r="AF1104" s="454"/>
      <c r="AG1104" s="455"/>
    </row>
    <row r="1105" spans="1:33" x14ac:dyDescent="0.2">
      <c r="A1105" s="415">
        <f t="shared" si="35"/>
        <v>1492</v>
      </c>
      <c r="B1105" s="416" t="str">
        <f t="shared" si="34"/>
        <v>Spring</v>
      </c>
      <c r="C1105" s="453"/>
      <c r="D1105" s="454"/>
      <c r="E1105" s="455"/>
      <c r="F1105" s="454"/>
      <c r="G1105" s="455"/>
      <c r="H1105" s="454"/>
      <c r="I1105" s="455"/>
      <c r="J1105" s="454"/>
      <c r="K1105" s="455"/>
      <c r="L1105" s="454"/>
      <c r="M1105" s="455"/>
      <c r="N1105" s="454"/>
      <c r="O1105" s="455"/>
      <c r="P1105" s="454"/>
      <c r="Q1105" s="455"/>
      <c r="R1105" s="454"/>
      <c r="S1105" s="455"/>
      <c r="T1105" s="454"/>
      <c r="U1105" s="455"/>
      <c r="V1105" s="454"/>
      <c r="W1105" s="455"/>
      <c r="X1105" s="454"/>
      <c r="Y1105" s="455"/>
      <c r="Z1105" s="454"/>
      <c r="AA1105" s="455"/>
      <c r="AB1105" s="454"/>
      <c r="AC1105" s="455"/>
      <c r="AD1105" s="454"/>
      <c r="AE1105" s="455"/>
      <c r="AF1105" s="454"/>
      <c r="AG1105" s="455"/>
    </row>
    <row r="1106" spans="1:33" x14ac:dyDescent="0.2">
      <c r="A1106" s="415">
        <f t="shared" si="35"/>
        <v>1492</v>
      </c>
      <c r="B1106" s="416" t="str">
        <f t="shared" si="34"/>
        <v>Summer</v>
      </c>
      <c r="C1106" s="453"/>
      <c r="D1106" s="454"/>
      <c r="E1106" s="455"/>
      <c r="F1106" s="454"/>
      <c r="G1106" s="455"/>
      <c r="H1106" s="454"/>
      <c r="I1106" s="455"/>
      <c r="J1106" s="454"/>
      <c r="K1106" s="455"/>
      <c r="L1106" s="454"/>
      <c r="M1106" s="455"/>
      <c r="N1106" s="454"/>
      <c r="O1106" s="455"/>
      <c r="P1106" s="454"/>
      <c r="Q1106" s="455"/>
      <c r="R1106" s="454"/>
      <c r="S1106" s="455"/>
      <c r="T1106" s="454"/>
      <c r="U1106" s="455"/>
      <c r="V1106" s="454"/>
      <c r="W1106" s="455"/>
      <c r="X1106" s="454"/>
      <c r="Y1106" s="455"/>
      <c r="Z1106" s="454"/>
      <c r="AA1106" s="455"/>
      <c r="AB1106" s="454"/>
      <c r="AC1106" s="455"/>
      <c r="AD1106" s="454"/>
      <c r="AE1106" s="455"/>
      <c r="AF1106" s="454"/>
      <c r="AG1106" s="455"/>
    </row>
    <row r="1107" spans="1:33" x14ac:dyDescent="0.2">
      <c r="A1107" s="415">
        <f t="shared" si="35"/>
        <v>1492</v>
      </c>
      <c r="B1107" s="416" t="str">
        <f t="shared" si="34"/>
        <v>Autumn</v>
      </c>
      <c r="C1107" s="453"/>
      <c r="D1107" s="454"/>
      <c r="E1107" s="455"/>
      <c r="F1107" s="454"/>
      <c r="G1107" s="455"/>
      <c r="H1107" s="454"/>
      <c r="I1107" s="455"/>
      <c r="J1107" s="454"/>
      <c r="K1107" s="455"/>
      <c r="L1107" s="454"/>
      <c r="M1107" s="455"/>
      <c r="N1107" s="454"/>
      <c r="O1107" s="455"/>
      <c r="P1107" s="454"/>
      <c r="Q1107" s="455"/>
      <c r="R1107" s="454"/>
      <c r="S1107" s="455"/>
      <c r="T1107" s="454"/>
      <c r="U1107" s="455"/>
      <c r="V1107" s="454"/>
      <c r="W1107" s="455"/>
      <c r="X1107" s="454"/>
      <c r="Y1107" s="455"/>
      <c r="Z1107" s="454"/>
      <c r="AA1107" s="455"/>
      <c r="AB1107" s="454"/>
      <c r="AC1107" s="455"/>
      <c r="AD1107" s="454"/>
      <c r="AE1107" s="455"/>
      <c r="AF1107" s="454"/>
      <c r="AG1107" s="455"/>
    </row>
    <row r="1108" spans="1:33" x14ac:dyDescent="0.2">
      <c r="A1108" s="415">
        <f t="shared" si="35"/>
        <v>1493</v>
      </c>
      <c r="B1108" s="416" t="str">
        <f t="shared" si="34"/>
        <v>Winter</v>
      </c>
      <c r="C1108" s="453"/>
      <c r="D1108" s="454"/>
      <c r="E1108" s="455"/>
      <c r="F1108" s="454"/>
      <c r="G1108" s="455"/>
      <c r="H1108" s="454"/>
      <c r="I1108" s="455"/>
      <c r="J1108" s="454"/>
      <c r="K1108" s="455"/>
      <c r="L1108" s="454"/>
      <c r="M1108" s="455"/>
      <c r="N1108" s="454"/>
      <c r="O1108" s="455"/>
      <c r="P1108" s="454"/>
      <c r="Q1108" s="455"/>
      <c r="R1108" s="454"/>
      <c r="S1108" s="455"/>
      <c r="T1108" s="454"/>
      <c r="U1108" s="455"/>
      <c r="V1108" s="454"/>
      <c r="W1108" s="455"/>
      <c r="X1108" s="454"/>
      <c r="Y1108" s="455"/>
      <c r="Z1108" s="454"/>
      <c r="AA1108" s="455"/>
      <c r="AB1108" s="454"/>
      <c r="AC1108" s="455"/>
      <c r="AD1108" s="454"/>
      <c r="AE1108" s="455"/>
      <c r="AF1108" s="454"/>
      <c r="AG1108" s="455"/>
    </row>
    <row r="1109" spans="1:33" x14ac:dyDescent="0.2">
      <c r="A1109" s="415">
        <f t="shared" si="35"/>
        <v>1493</v>
      </c>
      <c r="B1109" s="416" t="str">
        <f t="shared" si="34"/>
        <v>Spring</v>
      </c>
      <c r="C1109" s="453"/>
      <c r="D1109" s="454"/>
      <c r="E1109" s="455"/>
      <c r="F1109" s="454"/>
      <c r="G1109" s="455"/>
      <c r="H1109" s="454"/>
      <c r="I1109" s="455"/>
      <c r="J1109" s="454"/>
      <c r="K1109" s="455"/>
      <c r="L1109" s="454"/>
      <c r="M1109" s="455"/>
      <c r="N1109" s="454"/>
      <c r="O1109" s="455"/>
      <c r="P1109" s="454"/>
      <c r="Q1109" s="455"/>
      <c r="R1109" s="454"/>
      <c r="S1109" s="455"/>
      <c r="T1109" s="454"/>
      <c r="U1109" s="455"/>
      <c r="V1109" s="454"/>
      <c r="W1109" s="455"/>
      <c r="X1109" s="454"/>
      <c r="Y1109" s="455"/>
      <c r="Z1109" s="454"/>
      <c r="AA1109" s="455"/>
      <c r="AB1109" s="454"/>
      <c r="AC1109" s="455"/>
      <c r="AD1109" s="454"/>
      <c r="AE1109" s="455"/>
      <c r="AF1109" s="454"/>
      <c r="AG1109" s="455"/>
    </row>
    <row r="1110" spans="1:33" x14ac:dyDescent="0.2">
      <c r="A1110" s="415">
        <f t="shared" si="35"/>
        <v>1493</v>
      </c>
      <c r="B1110" s="416" t="str">
        <f t="shared" si="34"/>
        <v>Summer</v>
      </c>
      <c r="C1110" s="453"/>
      <c r="D1110" s="454"/>
      <c r="E1110" s="455"/>
      <c r="F1110" s="454"/>
      <c r="G1110" s="455"/>
      <c r="H1110" s="454"/>
      <c r="I1110" s="455"/>
      <c r="J1110" s="454"/>
      <c r="K1110" s="455"/>
      <c r="L1110" s="454"/>
      <c r="M1110" s="455"/>
      <c r="N1110" s="454"/>
      <c r="O1110" s="455"/>
      <c r="P1110" s="454"/>
      <c r="Q1110" s="455"/>
      <c r="R1110" s="454"/>
      <c r="S1110" s="455"/>
      <c r="T1110" s="454"/>
      <c r="U1110" s="455"/>
      <c r="V1110" s="454"/>
      <c r="W1110" s="455"/>
      <c r="X1110" s="454"/>
      <c r="Y1110" s="455"/>
      <c r="Z1110" s="454"/>
      <c r="AA1110" s="455"/>
      <c r="AB1110" s="454"/>
      <c r="AC1110" s="455"/>
      <c r="AD1110" s="454"/>
      <c r="AE1110" s="455"/>
      <c r="AF1110" s="454"/>
      <c r="AG1110" s="455"/>
    </row>
    <row r="1111" spans="1:33" x14ac:dyDescent="0.2">
      <c r="A1111" s="415">
        <f t="shared" si="35"/>
        <v>1493</v>
      </c>
      <c r="B1111" s="416" t="str">
        <f t="shared" si="34"/>
        <v>Autumn</v>
      </c>
      <c r="C1111" s="453"/>
      <c r="D1111" s="454"/>
      <c r="E1111" s="455"/>
      <c r="F1111" s="454"/>
      <c r="G1111" s="455"/>
      <c r="H1111" s="454"/>
      <c r="I1111" s="455"/>
      <c r="J1111" s="454"/>
      <c r="K1111" s="455"/>
      <c r="L1111" s="454"/>
      <c r="M1111" s="455"/>
      <c r="N1111" s="454"/>
      <c r="O1111" s="455"/>
      <c r="P1111" s="454"/>
      <c r="Q1111" s="455"/>
      <c r="R1111" s="454"/>
      <c r="S1111" s="455"/>
      <c r="T1111" s="454"/>
      <c r="U1111" s="455"/>
      <c r="V1111" s="454"/>
      <c r="W1111" s="455"/>
      <c r="X1111" s="454"/>
      <c r="Y1111" s="455"/>
      <c r="Z1111" s="454"/>
      <c r="AA1111" s="455"/>
      <c r="AB1111" s="454"/>
      <c r="AC1111" s="455"/>
      <c r="AD1111" s="454"/>
      <c r="AE1111" s="455"/>
      <c r="AF1111" s="454"/>
      <c r="AG1111" s="455"/>
    </row>
    <row r="1112" spans="1:33" x14ac:dyDescent="0.2">
      <c r="A1112" s="415">
        <f t="shared" si="35"/>
        <v>1494</v>
      </c>
      <c r="B1112" s="416" t="str">
        <f t="shared" si="34"/>
        <v>Winter</v>
      </c>
      <c r="C1112" s="453"/>
      <c r="D1112" s="454"/>
      <c r="E1112" s="455"/>
      <c r="F1112" s="454"/>
      <c r="G1112" s="455"/>
      <c r="H1112" s="454"/>
      <c r="I1112" s="455"/>
      <c r="J1112" s="454"/>
      <c r="K1112" s="455"/>
      <c r="L1112" s="454"/>
      <c r="M1112" s="455"/>
      <c r="N1112" s="454"/>
      <c r="O1112" s="455"/>
      <c r="P1112" s="454"/>
      <c r="Q1112" s="455"/>
      <c r="R1112" s="454"/>
      <c r="S1112" s="455"/>
      <c r="T1112" s="454"/>
      <c r="U1112" s="455"/>
      <c r="V1112" s="454"/>
      <c r="W1112" s="455"/>
      <c r="X1112" s="454"/>
      <c r="Y1112" s="455"/>
      <c r="Z1112" s="454"/>
      <c r="AA1112" s="455"/>
      <c r="AB1112" s="454"/>
      <c r="AC1112" s="455"/>
      <c r="AD1112" s="454"/>
      <c r="AE1112" s="455"/>
      <c r="AF1112" s="454"/>
      <c r="AG1112" s="455"/>
    </row>
    <row r="1113" spans="1:33" x14ac:dyDescent="0.2">
      <c r="A1113" s="415">
        <f t="shared" si="35"/>
        <v>1494</v>
      </c>
      <c r="B1113" s="416" t="str">
        <f t="shared" si="34"/>
        <v>Spring</v>
      </c>
      <c r="C1113" s="453"/>
      <c r="D1113" s="454"/>
      <c r="E1113" s="455"/>
      <c r="F1113" s="454"/>
      <c r="G1113" s="455"/>
      <c r="H1113" s="454"/>
      <c r="I1113" s="455"/>
      <c r="J1113" s="454"/>
      <c r="K1113" s="455"/>
      <c r="L1113" s="454"/>
      <c r="M1113" s="455"/>
      <c r="N1113" s="454"/>
      <c r="O1113" s="455"/>
      <c r="P1113" s="454"/>
      <c r="Q1113" s="455"/>
      <c r="R1113" s="454"/>
      <c r="S1113" s="455"/>
      <c r="T1113" s="454"/>
      <c r="U1113" s="455"/>
      <c r="V1113" s="454"/>
      <c r="W1113" s="455"/>
      <c r="X1113" s="454"/>
      <c r="Y1113" s="455"/>
      <c r="Z1113" s="454"/>
      <c r="AA1113" s="455"/>
      <c r="AB1113" s="454"/>
      <c r="AC1113" s="455"/>
      <c r="AD1113" s="454"/>
      <c r="AE1113" s="455"/>
      <c r="AF1113" s="454"/>
      <c r="AG1113" s="455"/>
    </row>
    <row r="1114" spans="1:33" x14ac:dyDescent="0.2">
      <c r="A1114" s="415">
        <f t="shared" si="35"/>
        <v>1494</v>
      </c>
      <c r="B1114" s="416" t="str">
        <f t="shared" si="34"/>
        <v>Summer</v>
      </c>
      <c r="C1114" s="453"/>
      <c r="D1114" s="454"/>
      <c r="E1114" s="455"/>
      <c r="F1114" s="454"/>
      <c r="G1114" s="455"/>
      <c r="H1114" s="454"/>
      <c r="I1114" s="455"/>
      <c r="J1114" s="454"/>
      <c r="K1114" s="455"/>
      <c r="L1114" s="454"/>
      <c r="M1114" s="455"/>
      <c r="N1114" s="454"/>
      <c r="O1114" s="455"/>
      <c r="P1114" s="454"/>
      <c r="Q1114" s="455"/>
      <c r="R1114" s="454"/>
      <c r="S1114" s="455"/>
      <c r="T1114" s="454"/>
      <c r="U1114" s="455"/>
      <c r="V1114" s="454"/>
      <c r="W1114" s="455"/>
      <c r="X1114" s="454"/>
      <c r="Y1114" s="455"/>
      <c r="Z1114" s="454"/>
      <c r="AA1114" s="455"/>
      <c r="AB1114" s="454"/>
      <c r="AC1114" s="455"/>
      <c r="AD1114" s="454"/>
      <c r="AE1114" s="455"/>
      <c r="AF1114" s="454"/>
      <c r="AG1114" s="455"/>
    </row>
    <row r="1115" spans="1:33" x14ac:dyDescent="0.2">
      <c r="A1115" s="415">
        <f t="shared" si="35"/>
        <v>1494</v>
      </c>
      <c r="B1115" s="416" t="str">
        <f t="shared" si="34"/>
        <v>Autumn</v>
      </c>
      <c r="C1115" s="453"/>
      <c r="D1115" s="454"/>
      <c r="E1115" s="455"/>
      <c r="F1115" s="454"/>
      <c r="G1115" s="455"/>
      <c r="H1115" s="454"/>
      <c r="I1115" s="455"/>
      <c r="J1115" s="454"/>
      <c r="K1115" s="455"/>
      <c r="L1115" s="454"/>
      <c r="M1115" s="455"/>
      <c r="N1115" s="454"/>
      <c r="O1115" s="455"/>
      <c r="P1115" s="454"/>
      <c r="Q1115" s="455"/>
      <c r="R1115" s="454"/>
      <c r="S1115" s="455"/>
      <c r="T1115" s="454"/>
      <c r="U1115" s="455"/>
      <c r="V1115" s="454"/>
      <c r="W1115" s="455"/>
      <c r="X1115" s="454"/>
      <c r="Y1115" s="455"/>
      <c r="Z1115" s="454"/>
      <c r="AA1115" s="455"/>
      <c r="AB1115" s="454"/>
      <c r="AC1115" s="455"/>
      <c r="AD1115" s="454"/>
      <c r="AE1115" s="455"/>
      <c r="AF1115" s="454"/>
      <c r="AG1115" s="455"/>
    </row>
    <row r="1116" spans="1:33" x14ac:dyDescent="0.2">
      <c r="A1116" s="415">
        <f t="shared" si="35"/>
        <v>1495</v>
      </c>
      <c r="B1116" s="416" t="str">
        <f t="shared" si="34"/>
        <v>Winter</v>
      </c>
      <c r="C1116" s="453"/>
      <c r="D1116" s="454"/>
      <c r="E1116" s="455"/>
      <c r="F1116" s="454"/>
      <c r="G1116" s="455"/>
      <c r="H1116" s="454"/>
      <c r="I1116" s="455"/>
      <c r="J1116" s="454"/>
      <c r="K1116" s="455"/>
      <c r="L1116" s="454"/>
      <c r="M1116" s="455"/>
      <c r="N1116" s="454"/>
      <c r="O1116" s="455"/>
      <c r="P1116" s="454"/>
      <c r="Q1116" s="455"/>
      <c r="R1116" s="454"/>
      <c r="S1116" s="455"/>
      <c r="T1116" s="454"/>
      <c r="U1116" s="455"/>
      <c r="V1116" s="454"/>
      <c r="W1116" s="455"/>
      <c r="X1116" s="454"/>
      <c r="Y1116" s="455"/>
      <c r="Z1116" s="454"/>
      <c r="AA1116" s="455"/>
      <c r="AB1116" s="454"/>
      <c r="AC1116" s="455"/>
      <c r="AD1116" s="454"/>
      <c r="AE1116" s="455"/>
      <c r="AF1116" s="454"/>
      <c r="AG1116" s="455"/>
    </row>
    <row r="1117" spans="1:33" x14ac:dyDescent="0.2">
      <c r="A1117" s="415">
        <f t="shared" si="35"/>
        <v>1495</v>
      </c>
      <c r="B1117" s="416" t="str">
        <f t="shared" si="34"/>
        <v>Spring</v>
      </c>
      <c r="C1117" s="453"/>
      <c r="D1117" s="454"/>
      <c r="E1117" s="455"/>
      <c r="F1117" s="454"/>
      <c r="G1117" s="455"/>
      <c r="H1117" s="454"/>
      <c r="I1117" s="455"/>
      <c r="J1117" s="454"/>
      <c r="K1117" s="455"/>
      <c r="L1117" s="454"/>
      <c r="M1117" s="455"/>
      <c r="N1117" s="454"/>
      <c r="O1117" s="455"/>
      <c r="P1117" s="454"/>
      <c r="Q1117" s="455"/>
      <c r="R1117" s="454"/>
      <c r="S1117" s="455"/>
      <c r="T1117" s="454"/>
      <c r="U1117" s="455"/>
      <c r="V1117" s="454"/>
      <c r="W1117" s="455"/>
      <c r="X1117" s="454"/>
      <c r="Y1117" s="455"/>
      <c r="Z1117" s="454"/>
      <c r="AA1117" s="455"/>
      <c r="AB1117" s="454"/>
      <c r="AC1117" s="455"/>
      <c r="AD1117" s="454"/>
      <c r="AE1117" s="455"/>
      <c r="AF1117" s="454"/>
      <c r="AG1117" s="455"/>
    </row>
    <row r="1118" spans="1:33" x14ac:dyDescent="0.2">
      <c r="A1118" s="415">
        <f t="shared" si="35"/>
        <v>1495</v>
      </c>
      <c r="B1118" s="416" t="str">
        <f t="shared" si="34"/>
        <v>Summer</v>
      </c>
      <c r="C1118" s="453"/>
      <c r="D1118" s="454"/>
      <c r="E1118" s="455"/>
      <c r="F1118" s="454"/>
      <c r="G1118" s="455"/>
      <c r="H1118" s="454"/>
      <c r="I1118" s="455"/>
      <c r="J1118" s="454"/>
      <c r="K1118" s="455"/>
      <c r="L1118" s="454"/>
      <c r="M1118" s="455"/>
      <c r="N1118" s="454"/>
      <c r="O1118" s="455"/>
      <c r="P1118" s="454"/>
      <c r="Q1118" s="455"/>
      <c r="R1118" s="454"/>
      <c r="S1118" s="455"/>
      <c r="T1118" s="454"/>
      <c r="U1118" s="455"/>
      <c r="V1118" s="454"/>
      <c r="W1118" s="455"/>
      <c r="X1118" s="454"/>
      <c r="Y1118" s="455"/>
      <c r="Z1118" s="454"/>
      <c r="AA1118" s="455"/>
      <c r="AB1118" s="454"/>
      <c r="AC1118" s="455"/>
      <c r="AD1118" s="454"/>
      <c r="AE1118" s="455"/>
      <c r="AF1118" s="454"/>
      <c r="AG1118" s="455"/>
    </row>
    <row r="1119" spans="1:33" x14ac:dyDescent="0.2">
      <c r="A1119" s="415">
        <f t="shared" si="35"/>
        <v>1495</v>
      </c>
      <c r="B1119" s="416" t="str">
        <f t="shared" si="34"/>
        <v>Autumn</v>
      </c>
      <c r="C1119" s="453"/>
      <c r="D1119" s="454"/>
      <c r="E1119" s="455"/>
      <c r="F1119" s="454"/>
      <c r="G1119" s="455"/>
      <c r="H1119" s="454"/>
      <c r="I1119" s="455"/>
      <c r="J1119" s="454"/>
      <c r="K1119" s="455"/>
      <c r="L1119" s="454"/>
      <c r="M1119" s="455"/>
      <c r="N1119" s="454"/>
      <c r="O1119" s="455"/>
      <c r="P1119" s="454"/>
      <c r="Q1119" s="455"/>
      <c r="R1119" s="454"/>
      <c r="S1119" s="455"/>
      <c r="T1119" s="454"/>
      <c r="U1119" s="455"/>
      <c r="V1119" s="454"/>
      <c r="W1119" s="455"/>
      <c r="X1119" s="454"/>
      <c r="Y1119" s="455"/>
      <c r="Z1119" s="454"/>
      <c r="AA1119" s="455"/>
      <c r="AB1119" s="454"/>
      <c r="AC1119" s="455"/>
      <c r="AD1119" s="454"/>
      <c r="AE1119" s="455"/>
      <c r="AF1119" s="454"/>
      <c r="AG1119" s="455"/>
    </row>
    <row r="1120" spans="1:33" x14ac:dyDescent="0.2">
      <c r="A1120" s="415">
        <f t="shared" si="35"/>
        <v>1496</v>
      </c>
      <c r="B1120" s="416" t="str">
        <f t="shared" si="34"/>
        <v>Winter</v>
      </c>
      <c r="C1120" s="453"/>
      <c r="D1120" s="454"/>
      <c r="E1120" s="455"/>
      <c r="F1120" s="454"/>
      <c r="G1120" s="455"/>
      <c r="H1120" s="454"/>
      <c r="I1120" s="455"/>
      <c r="J1120" s="454"/>
      <c r="K1120" s="455"/>
      <c r="L1120" s="454"/>
      <c r="M1120" s="455"/>
      <c r="N1120" s="454"/>
      <c r="O1120" s="455"/>
      <c r="P1120" s="454"/>
      <c r="Q1120" s="455"/>
      <c r="R1120" s="454"/>
      <c r="S1120" s="455"/>
      <c r="T1120" s="454"/>
      <c r="U1120" s="455"/>
      <c r="V1120" s="454"/>
      <c r="W1120" s="455"/>
      <c r="X1120" s="454"/>
      <c r="Y1120" s="455"/>
      <c r="Z1120" s="454"/>
      <c r="AA1120" s="455"/>
      <c r="AB1120" s="454"/>
      <c r="AC1120" s="455"/>
      <c r="AD1120" s="454"/>
      <c r="AE1120" s="455"/>
      <c r="AF1120" s="454"/>
      <c r="AG1120" s="455"/>
    </row>
    <row r="1121" spans="1:33" x14ac:dyDescent="0.2">
      <c r="A1121" s="415">
        <f t="shared" si="35"/>
        <v>1496</v>
      </c>
      <c r="B1121" s="416" t="str">
        <f t="shared" si="34"/>
        <v>Spring</v>
      </c>
      <c r="C1121" s="453"/>
      <c r="D1121" s="454"/>
      <c r="E1121" s="455"/>
      <c r="F1121" s="454"/>
      <c r="G1121" s="455"/>
      <c r="H1121" s="454"/>
      <c r="I1121" s="455"/>
      <c r="J1121" s="454"/>
      <c r="K1121" s="455"/>
      <c r="L1121" s="454"/>
      <c r="M1121" s="455"/>
      <c r="N1121" s="454"/>
      <c r="O1121" s="455"/>
      <c r="P1121" s="454"/>
      <c r="Q1121" s="455"/>
      <c r="R1121" s="454"/>
      <c r="S1121" s="455"/>
      <c r="T1121" s="454"/>
      <c r="U1121" s="455"/>
      <c r="V1121" s="454"/>
      <c r="W1121" s="455"/>
      <c r="X1121" s="454"/>
      <c r="Y1121" s="455"/>
      <c r="Z1121" s="454"/>
      <c r="AA1121" s="455"/>
      <c r="AB1121" s="454"/>
      <c r="AC1121" s="455"/>
      <c r="AD1121" s="454"/>
      <c r="AE1121" s="455"/>
      <c r="AF1121" s="454"/>
      <c r="AG1121" s="455"/>
    </row>
    <row r="1122" spans="1:33" x14ac:dyDescent="0.2">
      <c r="A1122" s="415">
        <f t="shared" si="35"/>
        <v>1496</v>
      </c>
      <c r="B1122" s="416" t="str">
        <f t="shared" si="34"/>
        <v>Summer</v>
      </c>
      <c r="C1122" s="453"/>
      <c r="D1122" s="454"/>
      <c r="E1122" s="455"/>
      <c r="F1122" s="454"/>
      <c r="G1122" s="455"/>
      <c r="H1122" s="454"/>
      <c r="I1122" s="455"/>
      <c r="J1122" s="454"/>
      <c r="K1122" s="455"/>
      <c r="L1122" s="454"/>
      <c r="M1122" s="455"/>
      <c r="N1122" s="454"/>
      <c r="O1122" s="455"/>
      <c r="P1122" s="454"/>
      <c r="Q1122" s="455"/>
      <c r="R1122" s="454"/>
      <c r="S1122" s="455"/>
      <c r="T1122" s="454"/>
      <c r="U1122" s="455"/>
      <c r="V1122" s="454"/>
      <c r="W1122" s="455"/>
      <c r="X1122" s="454"/>
      <c r="Y1122" s="455"/>
      <c r="Z1122" s="454"/>
      <c r="AA1122" s="455"/>
      <c r="AB1122" s="454"/>
      <c r="AC1122" s="455"/>
      <c r="AD1122" s="454"/>
      <c r="AE1122" s="455"/>
      <c r="AF1122" s="454"/>
      <c r="AG1122" s="455"/>
    </row>
    <row r="1123" spans="1:33" x14ac:dyDescent="0.2">
      <c r="A1123" s="415">
        <f t="shared" si="35"/>
        <v>1496</v>
      </c>
      <c r="B1123" s="416" t="str">
        <f t="shared" si="34"/>
        <v>Autumn</v>
      </c>
      <c r="C1123" s="453"/>
      <c r="D1123" s="454"/>
      <c r="E1123" s="455"/>
      <c r="F1123" s="454"/>
      <c r="G1123" s="455"/>
      <c r="H1123" s="454"/>
      <c r="I1123" s="455"/>
      <c r="J1123" s="454"/>
      <c r="K1123" s="455"/>
      <c r="L1123" s="454"/>
      <c r="M1123" s="455"/>
      <c r="N1123" s="454"/>
      <c r="O1123" s="455"/>
      <c r="P1123" s="454"/>
      <c r="Q1123" s="455"/>
      <c r="R1123" s="454"/>
      <c r="S1123" s="455"/>
      <c r="T1123" s="454"/>
      <c r="U1123" s="455"/>
      <c r="V1123" s="454"/>
      <c r="W1123" s="455"/>
      <c r="X1123" s="454"/>
      <c r="Y1123" s="455"/>
      <c r="Z1123" s="454"/>
      <c r="AA1123" s="455"/>
      <c r="AB1123" s="454"/>
      <c r="AC1123" s="455"/>
      <c r="AD1123" s="454"/>
      <c r="AE1123" s="455"/>
      <c r="AF1123" s="454"/>
      <c r="AG1123" s="455"/>
    </row>
    <row r="1124" spans="1:33" x14ac:dyDescent="0.2">
      <c r="A1124" s="415">
        <f t="shared" si="35"/>
        <v>1497</v>
      </c>
      <c r="B1124" s="416" t="str">
        <f t="shared" si="34"/>
        <v>Winter</v>
      </c>
      <c r="C1124" s="453"/>
      <c r="D1124" s="454"/>
      <c r="E1124" s="455"/>
      <c r="F1124" s="454"/>
      <c r="G1124" s="455"/>
      <c r="H1124" s="454"/>
      <c r="I1124" s="455"/>
      <c r="J1124" s="454"/>
      <c r="K1124" s="455"/>
      <c r="L1124" s="454"/>
      <c r="M1124" s="455"/>
      <c r="N1124" s="454"/>
      <c r="O1124" s="455"/>
      <c r="P1124" s="454"/>
      <c r="Q1124" s="455"/>
      <c r="R1124" s="454"/>
      <c r="S1124" s="455"/>
      <c r="T1124" s="454"/>
      <c r="U1124" s="455"/>
      <c r="V1124" s="454"/>
      <c r="W1124" s="455"/>
      <c r="X1124" s="454"/>
      <c r="Y1124" s="455"/>
      <c r="Z1124" s="454"/>
      <c r="AA1124" s="455"/>
      <c r="AB1124" s="454"/>
      <c r="AC1124" s="455"/>
      <c r="AD1124" s="454"/>
      <c r="AE1124" s="455"/>
      <c r="AF1124" s="454"/>
      <c r="AG1124" s="455"/>
    </row>
    <row r="1125" spans="1:33" x14ac:dyDescent="0.2">
      <c r="A1125" s="415">
        <f t="shared" si="35"/>
        <v>1497</v>
      </c>
      <c r="B1125" s="416" t="str">
        <f t="shared" si="34"/>
        <v>Spring</v>
      </c>
      <c r="C1125" s="453"/>
      <c r="D1125" s="454"/>
      <c r="E1125" s="455"/>
      <c r="F1125" s="454"/>
      <c r="G1125" s="455"/>
      <c r="H1125" s="454"/>
      <c r="I1125" s="455"/>
      <c r="J1125" s="454"/>
      <c r="K1125" s="455"/>
      <c r="L1125" s="454"/>
      <c r="M1125" s="455"/>
      <c r="N1125" s="454"/>
      <c r="O1125" s="455"/>
      <c r="P1125" s="454"/>
      <c r="Q1125" s="455"/>
      <c r="R1125" s="454"/>
      <c r="S1125" s="455"/>
      <c r="T1125" s="454"/>
      <c r="U1125" s="455"/>
      <c r="V1125" s="454"/>
      <c r="W1125" s="455"/>
      <c r="X1125" s="454"/>
      <c r="Y1125" s="455"/>
      <c r="Z1125" s="454"/>
      <c r="AA1125" s="455"/>
      <c r="AB1125" s="454"/>
      <c r="AC1125" s="455"/>
      <c r="AD1125" s="454"/>
      <c r="AE1125" s="455"/>
      <c r="AF1125" s="454"/>
      <c r="AG1125" s="455"/>
    </row>
    <row r="1126" spans="1:33" x14ac:dyDescent="0.2">
      <c r="A1126" s="415">
        <f t="shared" si="35"/>
        <v>1497</v>
      </c>
      <c r="B1126" s="416" t="str">
        <f t="shared" si="34"/>
        <v>Summer</v>
      </c>
      <c r="C1126" s="453"/>
      <c r="D1126" s="454"/>
      <c r="E1126" s="455"/>
      <c r="F1126" s="454"/>
      <c r="G1126" s="455"/>
      <c r="H1126" s="454"/>
      <c r="I1126" s="455"/>
      <c r="J1126" s="454"/>
      <c r="K1126" s="455"/>
      <c r="L1126" s="454"/>
      <c r="M1126" s="455"/>
      <c r="N1126" s="454"/>
      <c r="O1126" s="455"/>
      <c r="P1126" s="454"/>
      <c r="Q1126" s="455"/>
      <c r="R1126" s="454"/>
      <c r="S1126" s="455"/>
      <c r="T1126" s="454"/>
      <c r="U1126" s="455"/>
      <c r="V1126" s="454"/>
      <c r="W1126" s="455"/>
      <c r="X1126" s="454"/>
      <c r="Y1126" s="455"/>
      <c r="Z1126" s="454"/>
      <c r="AA1126" s="455"/>
      <c r="AB1126" s="454"/>
      <c r="AC1126" s="455"/>
      <c r="AD1126" s="454"/>
      <c r="AE1126" s="455"/>
      <c r="AF1126" s="454"/>
      <c r="AG1126" s="455"/>
    </row>
    <row r="1127" spans="1:33" x14ac:dyDescent="0.2">
      <c r="A1127" s="415">
        <f t="shared" si="35"/>
        <v>1497</v>
      </c>
      <c r="B1127" s="416" t="str">
        <f t="shared" si="34"/>
        <v>Autumn</v>
      </c>
      <c r="C1127" s="453"/>
      <c r="D1127" s="454"/>
      <c r="E1127" s="455"/>
      <c r="F1127" s="454"/>
      <c r="G1127" s="455"/>
      <c r="H1127" s="454"/>
      <c r="I1127" s="455"/>
      <c r="J1127" s="454"/>
      <c r="K1127" s="455"/>
      <c r="L1127" s="454"/>
      <c r="M1127" s="455"/>
      <c r="N1127" s="454"/>
      <c r="O1127" s="455"/>
      <c r="P1127" s="454"/>
      <c r="Q1127" s="455"/>
      <c r="R1127" s="454"/>
      <c r="S1127" s="455"/>
      <c r="T1127" s="454"/>
      <c r="U1127" s="455"/>
      <c r="V1127" s="454"/>
      <c r="W1127" s="455"/>
      <c r="X1127" s="454"/>
      <c r="Y1127" s="455"/>
      <c r="Z1127" s="454"/>
      <c r="AA1127" s="455"/>
      <c r="AB1127" s="454"/>
      <c r="AC1127" s="455"/>
      <c r="AD1127" s="454"/>
      <c r="AE1127" s="455"/>
      <c r="AF1127" s="454"/>
      <c r="AG1127" s="455"/>
    </row>
    <row r="1128" spans="1:33" x14ac:dyDescent="0.2">
      <c r="A1128" s="415">
        <f t="shared" si="35"/>
        <v>1498</v>
      </c>
      <c r="B1128" s="416" t="str">
        <f t="shared" si="34"/>
        <v>Winter</v>
      </c>
      <c r="C1128" s="453"/>
      <c r="D1128" s="454"/>
      <c r="E1128" s="455"/>
      <c r="F1128" s="454"/>
      <c r="G1128" s="455"/>
      <c r="H1128" s="454"/>
      <c r="I1128" s="455"/>
      <c r="J1128" s="454"/>
      <c r="K1128" s="455"/>
      <c r="L1128" s="454"/>
      <c r="M1128" s="455"/>
      <c r="N1128" s="454"/>
      <c r="O1128" s="455"/>
      <c r="P1128" s="454"/>
      <c r="Q1128" s="455"/>
      <c r="R1128" s="454"/>
      <c r="S1128" s="455"/>
      <c r="T1128" s="454"/>
      <c r="U1128" s="455"/>
      <c r="V1128" s="454"/>
      <c r="W1128" s="455"/>
      <c r="X1128" s="454"/>
      <c r="Y1128" s="455"/>
      <c r="Z1128" s="454"/>
      <c r="AA1128" s="455"/>
      <c r="AB1128" s="454"/>
      <c r="AC1128" s="455"/>
      <c r="AD1128" s="454"/>
      <c r="AE1128" s="455"/>
      <c r="AF1128" s="454"/>
      <c r="AG1128" s="455"/>
    </row>
    <row r="1129" spans="1:33" x14ac:dyDescent="0.2">
      <c r="A1129" s="415">
        <f t="shared" si="35"/>
        <v>1498</v>
      </c>
      <c r="B1129" s="416" t="str">
        <f t="shared" si="34"/>
        <v>Spring</v>
      </c>
      <c r="C1129" s="453"/>
      <c r="D1129" s="454"/>
      <c r="E1129" s="455"/>
      <c r="F1129" s="454"/>
      <c r="G1129" s="455"/>
      <c r="H1129" s="454"/>
      <c r="I1129" s="455"/>
      <c r="J1129" s="454"/>
      <c r="K1129" s="455"/>
      <c r="L1129" s="454"/>
      <c r="M1129" s="455"/>
      <c r="N1129" s="454"/>
      <c r="O1129" s="455"/>
      <c r="P1129" s="454"/>
      <c r="Q1129" s="455"/>
      <c r="R1129" s="454"/>
      <c r="S1129" s="455"/>
      <c r="T1129" s="454"/>
      <c r="U1129" s="455"/>
      <c r="V1129" s="454"/>
      <c r="W1129" s="455"/>
      <c r="X1129" s="454"/>
      <c r="Y1129" s="455"/>
      <c r="Z1129" s="454"/>
      <c r="AA1129" s="455"/>
      <c r="AB1129" s="454"/>
      <c r="AC1129" s="455"/>
      <c r="AD1129" s="454"/>
      <c r="AE1129" s="455"/>
      <c r="AF1129" s="454"/>
      <c r="AG1129" s="455"/>
    </row>
    <row r="1130" spans="1:33" x14ac:dyDescent="0.2">
      <c r="A1130" s="415">
        <f t="shared" si="35"/>
        <v>1498</v>
      </c>
      <c r="B1130" s="416" t="str">
        <f t="shared" si="34"/>
        <v>Summer</v>
      </c>
      <c r="C1130" s="453"/>
      <c r="D1130" s="454"/>
      <c r="E1130" s="455"/>
      <c r="F1130" s="454"/>
      <c r="G1130" s="455"/>
      <c r="H1130" s="454"/>
      <c r="I1130" s="455"/>
      <c r="J1130" s="454"/>
      <c r="K1130" s="455"/>
      <c r="L1130" s="454"/>
      <c r="M1130" s="455"/>
      <c r="N1130" s="454"/>
      <c r="O1130" s="455"/>
      <c r="P1130" s="454"/>
      <c r="Q1130" s="455"/>
      <c r="R1130" s="454"/>
      <c r="S1130" s="455"/>
      <c r="T1130" s="454"/>
      <c r="U1130" s="455"/>
      <c r="V1130" s="454"/>
      <c r="W1130" s="455"/>
      <c r="X1130" s="454"/>
      <c r="Y1130" s="455"/>
      <c r="Z1130" s="454"/>
      <c r="AA1130" s="455"/>
      <c r="AB1130" s="454"/>
      <c r="AC1130" s="455"/>
      <c r="AD1130" s="454"/>
      <c r="AE1130" s="455"/>
      <c r="AF1130" s="454"/>
      <c r="AG1130" s="455"/>
    </row>
    <row r="1131" spans="1:33" x14ac:dyDescent="0.2">
      <c r="A1131" s="415">
        <f t="shared" si="35"/>
        <v>1498</v>
      </c>
      <c r="B1131" s="416" t="str">
        <f t="shared" ref="B1131:B1194" si="36">IF(B1130="spring","Summer",IF(B1130="Summer","Autumn",IF(B1130="Autumn","Winter",IF(B1130="Winter","Spring"," "))))</f>
        <v>Autumn</v>
      </c>
      <c r="C1131" s="453"/>
      <c r="D1131" s="454"/>
      <c r="E1131" s="455"/>
      <c r="F1131" s="454"/>
      <c r="G1131" s="455"/>
      <c r="H1131" s="454"/>
      <c r="I1131" s="455"/>
      <c r="J1131" s="454"/>
      <c r="K1131" s="455"/>
      <c r="L1131" s="454"/>
      <c r="M1131" s="455"/>
      <c r="N1131" s="454"/>
      <c r="O1131" s="455"/>
      <c r="P1131" s="454"/>
      <c r="Q1131" s="455"/>
      <c r="R1131" s="454"/>
      <c r="S1131" s="455"/>
      <c r="T1131" s="454"/>
      <c r="U1131" s="455"/>
      <c r="V1131" s="454"/>
      <c r="W1131" s="455"/>
      <c r="X1131" s="454"/>
      <c r="Y1131" s="455"/>
      <c r="Z1131" s="454"/>
      <c r="AA1131" s="455"/>
      <c r="AB1131" s="454"/>
      <c r="AC1131" s="455"/>
      <c r="AD1131" s="454"/>
      <c r="AE1131" s="455"/>
      <c r="AF1131" s="454"/>
      <c r="AG1131" s="455"/>
    </row>
    <row r="1132" spans="1:33" x14ac:dyDescent="0.2">
      <c r="A1132" s="415">
        <f t="shared" si="35"/>
        <v>1499</v>
      </c>
      <c r="B1132" s="416" t="str">
        <f t="shared" si="36"/>
        <v>Winter</v>
      </c>
      <c r="C1132" s="453"/>
      <c r="D1132" s="454"/>
      <c r="E1132" s="455"/>
      <c r="F1132" s="454"/>
      <c r="G1132" s="455"/>
      <c r="H1132" s="454"/>
      <c r="I1132" s="455"/>
      <c r="J1132" s="454"/>
      <c r="K1132" s="455"/>
      <c r="L1132" s="454"/>
      <c r="M1132" s="455"/>
      <c r="N1132" s="454"/>
      <c r="O1132" s="455"/>
      <c r="P1132" s="454"/>
      <c r="Q1132" s="455"/>
      <c r="R1132" s="454"/>
      <c r="S1132" s="455"/>
      <c r="T1132" s="454"/>
      <c r="U1132" s="455"/>
      <c r="V1132" s="454"/>
      <c r="W1132" s="455"/>
      <c r="X1132" s="454"/>
      <c r="Y1132" s="455"/>
      <c r="Z1132" s="454"/>
      <c r="AA1132" s="455"/>
      <c r="AB1132" s="454"/>
      <c r="AC1132" s="455"/>
      <c r="AD1132" s="454"/>
      <c r="AE1132" s="455"/>
      <c r="AF1132" s="454"/>
      <c r="AG1132" s="455"/>
    </row>
    <row r="1133" spans="1:33" x14ac:dyDescent="0.2">
      <c r="A1133" s="415">
        <f t="shared" si="35"/>
        <v>1499</v>
      </c>
      <c r="B1133" s="416" t="str">
        <f t="shared" si="36"/>
        <v>Spring</v>
      </c>
      <c r="C1133" s="453"/>
      <c r="D1133" s="454"/>
      <c r="E1133" s="455"/>
      <c r="F1133" s="454"/>
      <c r="G1133" s="455"/>
      <c r="H1133" s="454"/>
      <c r="I1133" s="455"/>
      <c r="J1133" s="454"/>
      <c r="K1133" s="455"/>
      <c r="L1133" s="454"/>
      <c r="M1133" s="455"/>
      <c r="N1133" s="454"/>
      <c r="O1133" s="455"/>
      <c r="P1133" s="454"/>
      <c r="Q1133" s="455"/>
      <c r="R1133" s="454"/>
      <c r="S1133" s="455"/>
      <c r="T1133" s="454"/>
      <c r="U1133" s="455"/>
      <c r="V1133" s="454"/>
      <c r="W1133" s="455"/>
      <c r="X1133" s="454"/>
      <c r="Y1133" s="455"/>
      <c r="Z1133" s="454"/>
      <c r="AA1133" s="455"/>
      <c r="AB1133" s="454"/>
      <c r="AC1133" s="455"/>
      <c r="AD1133" s="454"/>
      <c r="AE1133" s="455"/>
      <c r="AF1133" s="454"/>
      <c r="AG1133" s="455"/>
    </row>
    <row r="1134" spans="1:33" x14ac:dyDescent="0.2">
      <c r="A1134" s="415">
        <f t="shared" si="35"/>
        <v>1499</v>
      </c>
      <c r="B1134" s="416" t="str">
        <f t="shared" si="36"/>
        <v>Summer</v>
      </c>
      <c r="C1134" s="453"/>
      <c r="D1134" s="454"/>
      <c r="E1134" s="455"/>
      <c r="F1134" s="454"/>
      <c r="G1134" s="455"/>
      <c r="H1134" s="454"/>
      <c r="I1134" s="455"/>
      <c r="J1134" s="454"/>
      <c r="K1134" s="455"/>
      <c r="L1134" s="454"/>
      <c r="M1134" s="455"/>
      <c r="N1134" s="454"/>
      <c r="O1134" s="455"/>
      <c r="P1134" s="454"/>
      <c r="Q1134" s="455"/>
      <c r="R1134" s="454"/>
      <c r="S1134" s="455"/>
      <c r="T1134" s="454"/>
      <c r="U1134" s="455"/>
      <c r="V1134" s="454"/>
      <c r="W1134" s="455"/>
      <c r="X1134" s="454"/>
      <c r="Y1134" s="455"/>
      <c r="Z1134" s="454"/>
      <c r="AA1134" s="455"/>
      <c r="AB1134" s="454"/>
      <c r="AC1134" s="455"/>
      <c r="AD1134" s="454"/>
      <c r="AE1134" s="455"/>
      <c r="AF1134" s="454"/>
      <c r="AG1134" s="455"/>
    </row>
    <row r="1135" spans="1:33" x14ac:dyDescent="0.2">
      <c r="A1135" s="415">
        <f t="shared" si="35"/>
        <v>1499</v>
      </c>
      <c r="B1135" s="416" t="str">
        <f t="shared" si="36"/>
        <v>Autumn</v>
      </c>
      <c r="C1135" s="453"/>
      <c r="D1135" s="454"/>
      <c r="E1135" s="455"/>
      <c r="F1135" s="454"/>
      <c r="G1135" s="455"/>
      <c r="H1135" s="454"/>
      <c r="I1135" s="455"/>
      <c r="J1135" s="454"/>
      <c r="K1135" s="455"/>
      <c r="L1135" s="454"/>
      <c r="M1135" s="455"/>
      <c r="N1135" s="454"/>
      <c r="O1135" s="455"/>
      <c r="P1135" s="454"/>
      <c r="Q1135" s="455"/>
      <c r="R1135" s="454"/>
      <c r="S1135" s="455"/>
      <c r="T1135" s="454"/>
      <c r="U1135" s="455"/>
      <c r="V1135" s="454"/>
      <c r="W1135" s="455"/>
      <c r="X1135" s="454"/>
      <c r="Y1135" s="455"/>
      <c r="Z1135" s="454"/>
      <c r="AA1135" s="455"/>
      <c r="AB1135" s="454"/>
      <c r="AC1135" s="455"/>
      <c r="AD1135" s="454"/>
      <c r="AE1135" s="455"/>
      <c r="AF1135" s="454"/>
      <c r="AG1135" s="455"/>
    </row>
    <row r="1136" spans="1:33" x14ac:dyDescent="0.2">
      <c r="A1136" s="415">
        <f t="shared" si="35"/>
        <v>1500</v>
      </c>
      <c r="B1136" s="416" t="str">
        <f t="shared" si="36"/>
        <v>Winter</v>
      </c>
      <c r="C1136" s="453"/>
      <c r="D1136" s="454"/>
      <c r="E1136" s="455"/>
      <c r="F1136" s="454"/>
      <c r="G1136" s="455"/>
      <c r="H1136" s="454"/>
      <c r="I1136" s="455"/>
      <c r="J1136" s="454"/>
      <c r="K1136" s="455"/>
      <c r="L1136" s="454"/>
      <c r="M1136" s="455"/>
      <c r="N1136" s="454"/>
      <c r="O1136" s="455"/>
      <c r="P1136" s="454"/>
      <c r="Q1136" s="455"/>
      <c r="R1136" s="454"/>
      <c r="S1136" s="455"/>
      <c r="T1136" s="454"/>
      <c r="U1136" s="455"/>
      <c r="V1136" s="454"/>
      <c r="W1136" s="455"/>
      <c r="X1136" s="454"/>
      <c r="Y1136" s="455"/>
      <c r="Z1136" s="454"/>
      <c r="AA1136" s="455"/>
      <c r="AB1136" s="454"/>
      <c r="AC1136" s="455"/>
      <c r="AD1136" s="454"/>
      <c r="AE1136" s="455"/>
      <c r="AF1136" s="454"/>
      <c r="AG1136" s="455"/>
    </row>
    <row r="1137" spans="1:33" x14ac:dyDescent="0.2">
      <c r="A1137" s="415">
        <f t="shared" si="35"/>
        <v>1500</v>
      </c>
      <c r="B1137" s="416" t="str">
        <f t="shared" si="36"/>
        <v>Spring</v>
      </c>
      <c r="C1137" s="453"/>
      <c r="D1137" s="454"/>
      <c r="E1137" s="455"/>
      <c r="F1137" s="454"/>
      <c r="G1137" s="455"/>
      <c r="H1137" s="454"/>
      <c r="I1137" s="455"/>
      <c r="J1137" s="454"/>
      <c r="K1137" s="455"/>
      <c r="L1137" s="454"/>
      <c r="M1137" s="455"/>
      <c r="N1137" s="454"/>
      <c r="O1137" s="455"/>
      <c r="P1137" s="454"/>
      <c r="Q1137" s="455"/>
      <c r="R1137" s="454"/>
      <c r="S1137" s="455"/>
      <c r="T1137" s="454"/>
      <c r="U1137" s="455"/>
      <c r="V1137" s="454"/>
      <c r="W1137" s="455"/>
      <c r="X1137" s="454"/>
      <c r="Y1137" s="455"/>
      <c r="Z1137" s="454"/>
      <c r="AA1137" s="455"/>
      <c r="AB1137" s="454"/>
      <c r="AC1137" s="455"/>
      <c r="AD1137" s="454"/>
      <c r="AE1137" s="455"/>
      <c r="AF1137" s="454"/>
      <c r="AG1137" s="455"/>
    </row>
    <row r="1138" spans="1:33" x14ac:dyDescent="0.2">
      <c r="A1138" s="415">
        <f t="shared" si="35"/>
        <v>1500</v>
      </c>
      <c r="B1138" s="416" t="str">
        <f t="shared" si="36"/>
        <v>Summer</v>
      </c>
      <c r="C1138" s="453"/>
      <c r="D1138" s="454"/>
      <c r="E1138" s="455"/>
      <c r="F1138" s="454"/>
      <c r="G1138" s="455"/>
      <c r="H1138" s="454"/>
      <c r="I1138" s="455"/>
      <c r="J1138" s="454"/>
      <c r="K1138" s="455"/>
      <c r="L1138" s="454"/>
      <c r="M1138" s="455"/>
      <c r="N1138" s="454"/>
      <c r="O1138" s="455"/>
      <c r="P1138" s="454"/>
      <c r="Q1138" s="455"/>
      <c r="R1138" s="454"/>
      <c r="S1138" s="455"/>
      <c r="T1138" s="454"/>
      <c r="U1138" s="455"/>
      <c r="V1138" s="454"/>
      <c r="W1138" s="455"/>
      <c r="X1138" s="454"/>
      <c r="Y1138" s="455"/>
      <c r="Z1138" s="454"/>
      <c r="AA1138" s="455"/>
      <c r="AB1138" s="454"/>
      <c r="AC1138" s="455"/>
      <c r="AD1138" s="454"/>
      <c r="AE1138" s="455"/>
      <c r="AF1138" s="454"/>
      <c r="AG1138" s="455"/>
    </row>
    <row r="1139" spans="1:33" x14ac:dyDescent="0.2">
      <c r="A1139" s="415">
        <f t="shared" si="35"/>
        <v>1500</v>
      </c>
      <c r="B1139" s="416" t="str">
        <f t="shared" si="36"/>
        <v>Autumn</v>
      </c>
      <c r="C1139" s="453"/>
      <c r="D1139" s="454"/>
      <c r="E1139" s="455"/>
      <c r="F1139" s="454"/>
      <c r="G1139" s="455"/>
      <c r="H1139" s="454"/>
      <c r="I1139" s="455"/>
      <c r="J1139" s="454"/>
      <c r="K1139" s="455"/>
      <c r="L1139" s="454"/>
      <c r="M1139" s="455"/>
      <c r="N1139" s="454"/>
      <c r="O1139" s="455"/>
      <c r="P1139" s="454"/>
      <c r="Q1139" s="455"/>
      <c r="R1139" s="454"/>
      <c r="S1139" s="455"/>
      <c r="T1139" s="454"/>
      <c r="U1139" s="455"/>
      <c r="V1139" s="454"/>
      <c r="W1139" s="455"/>
      <c r="X1139" s="454"/>
      <c r="Y1139" s="455"/>
      <c r="Z1139" s="454"/>
      <c r="AA1139" s="455"/>
      <c r="AB1139" s="454"/>
      <c r="AC1139" s="455"/>
      <c r="AD1139" s="454"/>
      <c r="AE1139" s="455"/>
      <c r="AF1139" s="454"/>
      <c r="AG1139" s="455"/>
    </row>
    <row r="1140" spans="1:33" x14ac:dyDescent="0.2">
      <c r="A1140" s="415">
        <f t="shared" si="35"/>
        <v>1501</v>
      </c>
      <c r="B1140" s="416" t="str">
        <f t="shared" si="36"/>
        <v>Winter</v>
      </c>
      <c r="C1140" s="453"/>
      <c r="D1140" s="454"/>
      <c r="E1140" s="455"/>
      <c r="F1140" s="454"/>
      <c r="G1140" s="455"/>
      <c r="H1140" s="454"/>
      <c r="I1140" s="455"/>
      <c r="J1140" s="454"/>
      <c r="K1140" s="455"/>
      <c r="L1140" s="454"/>
      <c r="M1140" s="455"/>
      <c r="N1140" s="454"/>
      <c r="O1140" s="455"/>
      <c r="P1140" s="454"/>
      <c r="Q1140" s="455"/>
      <c r="R1140" s="454"/>
      <c r="S1140" s="455"/>
      <c r="T1140" s="454"/>
      <c r="U1140" s="455"/>
      <c r="V1140" s="454"/>
      <c r="W1140" s="455"/>
      <c r="X1140" s="454"/>
      <c r="Y1140" s="455"/>
      <c r="Z1140" s="454"/>
      <c r="AA1140" s="455"/>
      <c r="AB1140" s="454"/>
      <c r="AC1140" s="455"/>
      <c r="AD1140" s="454"/>
      <c r="AE1140" s="455"/>
      <c r="AF1140" s="454"/>
      <c r="AG1140" s="455"/>
    </row>
    <row r="1141" spans="1:33" x14ac:dyDescent="0.2">
      <c r="A1141" s="415">
        <f t="shared" si="35"/>
        <v>1501</v>
      </c>
      <c r="B1141" s="416" t="str">
        <f t="shared" si="36"/>
        <v>Spring</v>
      </c>
      <c r="C1141" s="453"/>
      <c r="D1141" s="454"/>
      <c r="E1141" s="455"/>
      <c r="F1141" s="454"/>
      <c r="G1141" s="455"/>
      <c r="H1141" s="454"/>
      <c r="I1141" s="455"/>
      <c r="J1141" s="454"/>
      <c r="K1141" s="455"/>
      <c r="L1141" s="454"/>
      <c r="M1141" s="455"/>
      <c r="N1141" s="454"/>
      <c r="O1141" s="455"/>
      <c r="P1141" s="454"/>
      <c r="Q1141" s="455"/>
      <c r="R1141" s="454"/>
      <c r="S1141" s="455"/>
      <c r="T1141" s="454"/>
      <c r="U1141" s="455"/>
      <c r="V1141" s="454"/>
      <c r="W1141" s="455"/>
      <c r="X1141" s="454"/>
      <c r="Y1141" s="455"/>
      <c r="Z1141" s="454"/>
      <c r="AA1141" s="455"/>
      <c r="AB1141" s="454"/>
      <c r="AC1141" s="455"/>
      <c r="AD1141" s="454"/>
      <c r="AE1141" s="455"/>
      <c r="AF1141" s="454"/>
      <c r="AG1141" s="455"/>
    </row>
    <row r="1142" spans="1:33" x14ac:dyDescent="0.2">
      <c r="A1142" s="415">
        <f t="shared" si="35"/>
        <v>1501</v>
      </c>
      <c r="B1142" s="416" t="str">
        <f t="shared" si="36"/>
        <v>Summer</v>
      </c>
      <c r="C1142" s="453"/>
      <c r="D1142" s="454"/>
      <c r="E1142" s="455"/>
      <c r="F1142" s="454"/>
      <c r="G1142" s="455"/>
      <c r="H1142" s="454"/>
      <c r="I1142" s="455"/>
      <c r="J1142" s="454"/>
      <c r="K1142" s="455"/>
      <c r="L1142" s="454"/>
      <c r="M1142" s="455"/>
      <c r="N1142" s="454"/>
      <c r="O1142" s="455"/>
      <c r="P1142" s="454"/>
      <c r="Q1142" s="455"/>
      <c r="R1142" s="454"/>
      <c r="S1142" s="455"/>
      <c r="T1142" s="454"/>
      <c r="U1142" s="455"/>
      <c r="V1142" s="454"/>
      <c r="W1142" s="455"/>
      <c r="X1142" s="454"/>
      <c r="Y1142" s="455"/>
      <c r="Z1142" s="454"/>
      <c r="AA1142" s="455"/>
      <c r="AB1142" s="454"/>
      <c r="AC1142" s="455"/>
      <c r="AD1142" s="454"/>
      <c r="AE1142" s="455"/>
      <c r="AF1142" s="454"/>
      <c r="AG1142" s="455"/>
    </row>
    <row r="1143" spans="1:33" x14ac:dyDescent="0.2">
      <c r="A1143" s="415">
        <f t="shared" si="35"/>
        <v>1501</v>
      </c>
      <c r="B1143" s="416" t="str">
        <f t="shared" si="36"/>
        <v>Autumn</v>
      </c>
      <c r="C1143" s="453"/>
      <c r="D1143" s="454"/>
      <c r="E1143" s="455"/>
      <c r="F1143" s="454"/>
      <c r="G1143" s="455"/>
      <c r="H1143" s="454"/>
      <c r="I1143" s="455"/>
      <c r="J1143" s="454"/>
      <c r="K1143" s="455"/>
      <c r="L1143" s="454"/>
      <c r="M1143" s="455"/>
      <c r="N1143" s="454"/>
      <c r="O1143" s="455"/>
      <c r="P1143" s="454"/>
      <c r="Q1143" s="455"/>
      <c r="R1143" s="454"/>
      <c r="S1143" s="455"/>
      <c r="T1143" s="454"/>
      <c r="U1143" s="455"/>
      <c r="V1143" s="454"/>
      <c r="W1143" s="455"/>
      <c r="X1143" s="454"/>
      <c r="Y1143" s="455"/>
      <c r="Z1143" s="454"/>
      <c r="AA1143" s="455"/>
      <c r="AB1143" s="454"/>
      <c r="AC1143" s="455"/>
      <c r="AD1143" s="454"/>
      <c r="AE1143" s="455"/>
      <c r="AF1143" s="454"/>
      <c r="AG1143" s="455"/>
    </row>
    <row r="1144" spans="1:33" x14ac:dyDescent="0.2">
      <c r="A1144" s="415">
        <f t="shared" si="35"/>
        <v>1502</v>
      </c>
      <c r="B1144" s="416" t="str">
        <f t="shared" si="36"/>
        <v>Winter</v>
      </c>
      <c r="C1144" s="453"/>
      <c r="D1144" s="454"/>
      <c r="E1144" s="455"/>
      <c r="F1144" s="454"/>
      <c r="G1144" s="455"/>
      <c r="H1144" s="454"/>
      <c r="I1144" s="455"/>
      <c r="J1144" s="454"/>
      <c r="K1144" s="455"/>
      <c r="L1144" s="454"/>
      <c r="M1144" s="455"/>
      <c r="N1144" s="454"/>
      <c r="O1144" s="455"/>
      <c r="P1144" s="454"/>
      <c r="Q1144" s="455"/>
      <c r="R1144" s="454"/>
      <c r="S1144" s="455"/>
      <c r="T1144" s="454"/>
      <c r="U1144" s="455"/>
      <c r="V1144" s="454"/>
      <c r="W1144" s="455"/>
      <c r="X1144" s="454"/>
      <c r="Y1144" s="455"/>
      <c r="Z1144" s="454"/>
      <c r="AA1144" s="455"/>
      <c r="AB1144" s="454"/>
      <c r="AC1144" s="455"/>
      <c r="AD1144" s="454"/>
      <c r="AE1144" s="455"/>
      <c r="AF1144" s="454"/>
      <c r="AG1144" s="455"/>
    </row>
    <row r="1145" spans="1:33" x14ac:dyDescent="0.2">
      <c r="A1145" s="415">
        <f t="shared" si="35"/>
        <v>1502</v>
      </c>
      <c r="B1145" s="416" t="str">
        <f t="shared" si="36"/>
        <v>Spring</v>
      </c>
      <c r="C1145" s="453"/>
      <c r="D1145" s="454"/>
      <c r="E1145" s="455"/>
      <c r="F1145" s="454"/>
      <c r="G1145" s="455"/>
      <c r="H1145" s="454"/>
      <c r="I1145" s="455"/>
      <c r="J1145" s="454"/>
      <c r="K1145" s="455"/>
      <c r="L1145" s="454"/>
      <c r="M1145" s="455"/>
      <c r="N1145" s="454"/>
      <c r="O1145" s="455"/>
      <c r="P1145" s="454"/>
      <c r="Q1145" s="455"/>
      <c r="R1145" s="454"/>
      <c r="S1145" s="455"/>
      <c r="T1145" s="454"/>
      <c r="U1145" s="455"/>
      <c r="V1145" s="454"/>
      <c r="W1145" s="455"/>
      <c r="X1145" s="454"/>
      <c r="Y1145" s="455"/>
      <c r="Z1145" s="454"/>
      <c r="AA1145" s="455"/>
      <c r="AB1145" s="454"/>
      <c r="AC1145" s="455"/>
      <c r="AD1145" s="454"/>
      <c r="AE1145" s="455"/>
      <c r="AF1145" s="454"/>
      <c r="AG1145" s="455"/>
    </row>
    <row r="1146" spans="1:33" x14ac:dyDescent="0.2">
      <c r="A1146" s="415">
        <f t="shared" si="35"/>
        <v>1502</v>
      </c>
      <c r="B1146" s="416" t="str">
        <f t="shared" si="36"/>
        <v>Summer</v>
      </c>
      <c r="C1146" s="453"/>
      <c r="D1146" s="454"/>
      <c r="E1146" s="455"/>
      <c r="F1146" s="454"/>
      <c r="G1146" s="455"/>
      <c r="H1146" s="454"/>
      <c r="I1146" s="455"/>
      <c r="J1146" s="454"/>
      <c r="K1146" s="455"/>
      <c r="L1146" s="454"/>
      <c r="M1146" s="455"/>
      <c r="N1146" s="454"/>
      <c r="O1146" s="455"/>
      <c r="P1146" s="454"/>
      <c r="Q1146" s="455"/>
      <c r="R1146" s="454"/>
      <c r="S1146" s="455"/>
      <c r="T1146" s="454"/>
      <c r="U1146" s="455"/>
      <c r="V1146" s="454"/>
      <c r="W1146" s="455"/>
      <c r="X1146" s="454"/>
      <c r="Y1146" s="455"/>
      <c r="Z1146" s="454"/>
      <c r="AA1146" s="455"/>
      <c r="AB1146" s="454"/>
      <c r="AC1146" s="455"/>
      <c r="AD1146" s="454"/>
      <c r="AE1146" s="455"/>
      <c r="AF1146" s="454"/>
      <c r="AG1146" s="455"/>
    </row>
    <row r="1147" spans="1:33" x14ac:dyDescent="0.2">
      <c r="A1147" s="415">
        <f t="shared" si="35"/>
        <v>1502</v>
      </c>
      <c r="B1147" s="416" t="str">
        <f t="shared" si="36"/>
        <v>Autumn</v>
      </c>
      <c r="C1147" s="453"/>
      <c r="D1147" s="454"/>
      <c r="E1147" s="455"/>
      <c r="F1147" s="454"/>
      <c r="G1147" s="455"/>
      <c r="H1147" s="454"/>
      <c r="I1147" s="455"/>
      <c r="J1147" s="454"/>
      <c r="K1147" s="455"/>
      <c r="L1147" s="454"/>
      <c r="M1147" s="455"/>
      <c r="N1147" s="454"/>
      <c r="O1147" s="455"/>
      <c r="P1147" s="454"/>
      <c r="Q1147" s="455"/>
      <c r="R1147" s="454"/>
      <c r="S1147" s="455"/>
      <c r="T1147" s="454"/>
      <c r="U1147" s="455"/>
      <c r="V1147" s="454"/>
      <c r="W1147" s="455"/>
      <c r="X1147" s="454"/>
      <c r="Y1147" s="455"/>
      <c r="Z1147" s="454"/>
      <c r="AA1147" s="455"/>
      <c r="AB1147" s="454"/>
      <c r="AC1147" s="455"/>
      <c r="AD1147" s="454"/>
      <c r="AE1147" s="455"/>
      <c r="AF1147" s="454"/>
      <c r="AG1147" s="455"/>
    </row>
    <row r="1148" spans="1:33" x14ac:dyDescent="0.2">
      <c r="A1148" s="415">
        <f t="shared" si="35"/>
        <v>1503</v>
      </c>
      <c r="B1148" s="416" t="str">
        <f t="shared" si="36"/>
        <v>Winter</v>
      </c>
      <c r="C1148" s="453"/>
      <c r="D1148" s="454"/>
      <c r="E1148" s="455"/>
      <c r="F1148" s="454"/>
      <c r="G1148" s="455"/>
      <c r="H1148" s="454"/>
      <c r="I1148" s="455"/>
      <c r="J1148" s="454"/>
      <c r="K1148" s="455"/>
      <c r="L1148" s="454"/>
      <c r="M1148" s="455"/>
      <c r="N1148" s="454"/>
      <c r="O1148" s="455"/>
      <c r="P1148" s="454"/>
      <c r="Q1148" s="455"/>
      <c r="R1148" s="454"/>
      <c r="S1148" s="455"/>
      <c r="T1148" s="454"/>
      <c r="U1148" s="455"/>
      <c r="V1148" s="454"/>
      <c r="W1148" s="455"/>
      <c r="X1148" s="454"/>
      <c r="Y1148" s="455"/>
      <c r="Z1148" s="454"/>
      <c r="AA1148" s="455"/>
      <c r="AB1148" s="454"/>
      <c r="AC1148" s="455"/>
      <c r="AD1148" s="454"/>
      <c r="AE1148" s="455"/>
      <c r="AF1148" s="454"/>
      <c r="AG1148" s="455"/>
    </row>
    <row r="1149" spans="1:33" x14ac:dyDescent="0.2">
      <c r="A1149" s="415">
        <f t="shared" si="35"/>
        <v>1503</v>
      </c>
      <c r="B1149" s="416" t="str">
        <f t="shared" si="36"/>
        <v>Spring</v>
      </c>
      <c r="C1149" s="453"/>
      <c r="D1149" s="454"/>
      <c r="E1149" s="455"/>
      <c r="F1149" s="454"/>
      <c r="G1149" s="455"/>
      <c r="H1149" s="454"/>
      <c r="I1149" s="455"/>
      <c r="J1149" s="454"/>
      <c r="K1149" s="455"/>
      <c r="L1149" s="454"/>
      <c r="M1149" s="455"/>
      <c r="N1149" s="454"/>
      <c r="O1149" s="455"/>
      <c r="P1149" s="454"/>
      <c r="Q1149" s="455"/>
      <c r="R1149" s="454"/>
      <c r="S1149" s="455"/>
      <c r="T1149" s="454"/>
      <c r="U1149" s="455"/>
      <c r="V1149" s="454"/>
      <c r="W1149" s="455"/>
      <c r="X1149" s="454"/>
      <c r="Y1149" s="455"/>
      <c r="Z1149" s="454"/>
      <c r="AA1149" s="455"/>
      <c r="AB1149" s="454"/>
      <c r="AC1149" s="455"/>
      <c r="AD1149" s="454"/>
      <c r="AE1149" s="455"/>
      <c r="AF1149" s="454"/>
      <c r="AG1149" s="455"/>
    </row>
    <row r="1150" spans="1:33" x14ac:dyDescent="0.2">
      <c r="A1150" s="415">
        <f t="shared" si="35"/>
        <v>1503</v>
      </c>
      <c r="B1150" s="416" t="str">
        <f t="shared" si="36"/>
        <v>Summer</v>
      </c>
      <c r="C1150" s="453"/>
      <c r="D1150" s="454"/>
      <c r="E1150" s="455"/>
      <c r="F1150" s="454"/>
      <c r="G1150" s="455"/>
      <c r="H1150" s="454"/>
      <c r="I1150" s="455"/>
      <c r="J1150" s="454"/>
      <c r="K1150" s="455"/>
      <c r="L1150" s="454"/>
      <c r="M1150" s="455"/>
      <c r="N1150" s="454"/>
      <c r="O1150" s="455"/>
      <c r="P1150" s="454"/>
      <c r="Q1150" s="455"/>
      <c r="R1150" s="454"/>
      <c r="S1150" s="455"/>
      <c r="T1150" s="454"/>
      <c r="U1150" s="455"/>
      <c r="V1150" s="454"/>
      <c r="W1150" s="455"/>
      <c r="X1150" s="454"/>
      <c r="Y1150" s="455"/>
      <c r="Z1150" s="454"/>
      <c r="AA1150" s="455"/>
      <c r="AB1150" s="454"/>
      <c r="AC1150" s="455"/>
      <c r="AD1150" s="454"/>
      <c r="AE1150" s="455"/>
      <c r="AF1150" s="454"/>
      <c r="AG1150" s="455"/>
    </row>
    <row r="1151" spans="1:33" x14ac:dyDescent="0.2">
      <c r="A1151" s="415">
        <f t="shared" si="35"/>
        <v>1503</v>
      </c>
      <c r="B1151" s="416" t="str">
        <f t="shared" si="36"/>
        <v>Autumn</v>
      </c>
      <c r="C1151" s="453"/>
      <c r="D1151" s="454"/>
      <c r="E1151" s="455"/>
      <c r="F1151" s="454"/>
      <c r="G1151" s="455"/>
      <c r="H1151" s="454"/>
      <c r="I1151" s="455"/>
      <c r="J1151" s="454"/>
      <c r="K1151" s="455"/>
      <c r="L1151" s="454"/>
      <c r="M1151" s="455"/>
      <c r="N1151" s="454"/>
      <c r="O1151" s="455"/>
      <c r="P1151" s="454"/>
      <c r="Q1151" s="455"/>
      <c r="R1151" s="454"/>
      <c r="S1151" s="455"/>
      <c r="T1151" s="454"/>
      <c r="U1151" s="455"/>
      <c r="V1151" s="454"/>
      <c r="W1151" s="455"/>
      <c r="X1151" s="454"/>
      <c r="Y1151" s="455"/>
      <c r="Z1151" s="454"/>
      <c r="AA1151" s="455"/>
      <c r="AB1151" s="454"/>
      <c r="AC1151" s="455"/>
      <c r="AD1151" s="454"/>
      <c r="AE1151" s="455"/>
      <c r="AF1151" s="454"/>
      <c r="AG1151" s="455"/>
    </row>
    <row r="1152" spans="1:33" x14ac:dyDescent="0.2">
      <c r="A1152" s="415">
        <f t="shared" si="35"/>
        <v>1504</v>
      </c>
      <c r="B1152" s="416" t="str">
        <f t="shared" si="36"/>
        <v>Winter</v>
      </c>
      <c r="C1152" s="453"/>
      <c r="D1152" s="454"/>
      <c r="E1152" s="455"/>
      <c r="F1152" s="454"/>
      <c r="G1152" s="455"/>
      <c r="H1152" s="454"/>
      <c r="I1152" s="455"/>
      <c r="J1152" s="454"/>
      <c r="K1152" s="455"/>
      <c r="L1152" s="454"/>
      <c r="M1152" s="455"/>
      <c r="N1152" s="454"/>
      <c r="O1152" s="455"/>
      <c r="P1152" s="454"/>
      <c r="Q1152" s="455"/>
      <c r="R1152" s="454"/>
      <c r="S1152" s="455"/>
      <c r="T1152" s="454"/>
      <c r="U1152" s="455"/>
      <c r="V1152" s="454"/>
      <c r="W1152" s="455"/>
      <c r="X1152" s="454"/>
      <c r="Y1152" s="455"/>
      <c r="Z1152" s="454"/>
      <c r="AA1152" s="455"/>
      <c r="AB1152" s="454"/>
      <c r="AC1152" s="455"/>
      <c r="AD1152" s="454"/>
      <c r="AE1152" s="455"/>
      <c r="AF1152" s="454"/>
      <c r="AG1152" s="455"/>
    </row>
    <row r="1153" spans="1:33" x14ac:dyDescent="0.2">
      <c r="A1153" s="415">
        <f t="shared" si="35"/>
        <v>1504</v>
      </c>
      <c r="B1153" s="416" t="str">
        <f t="shared" si="36"/>
        <v>Spring</v>
      </c>
      <c r="C1153" s="453"/>
      <c r="D1153" s="454"/>
      <c r="E1153" s="455"/>
      <c r="F1153" s="454"/>
      <c r="G1153" s="455"/>
      <c r="H1153" s="454"/>
      <c r="I1153" s="455"/>
      <c r="J1153" s="454"/>
      <c r="K1153" s="455"/>
      <c r="L1153" s="454"/>
      <c r="M1153" s="455"/>
      <c r="N1153" s="454"/>
      <c r="O1153" s="455"/>
      <c r="P1153" s="454"/>
      <c r="Q1153" s="455"/>
      <c r="R1153" s="454"/>
      <c r="S1153" s="455"/>
      <c r="T1153" s="454"/>
      <c r="U1153" s="455"/>
      <c r="V1153" s="454"/>
      <c r="W1153" s="455"/>
      <c r="X1153" s="454"/>
      <c r="Y1153" s="455"/>
      <c r="Z1153" s="454"/>
      <c r="AA1153" s="455"/>
      <c r="AB1153" s="454"/>
      <c r="AC1153" s="455"/>
      <c r="AD1153" s="454"/>
      <c r="AE1153" s="455"/>
      <c r="AF1153" s="454"/>
      <c r="AG1153" s="455"/>
    </row>
    <row r="1154" spans="1:33" x14ac:dyDescent="0.2">
      <c r="A1154" s="415">
        <f t="shared" si="35"/>
        <v>1504</v>
      </c>
      <c r="B1154" s="416" t="str">
        <f t="shared" si="36"/>
        <v>Summer</v>
      </c>
      <c r="C1154" s="453"/>
      <c r="D1154" s="454"/>
      <c r="E1154" s="455"/>
      <c r="F1154" s="454"/>
      <c r="G1154" s="455"/>
      <c r="H1154" s="454"/>
      <c r="I1154" s="455"/>
      <c r="J1154" s="454"/>
      <c r="K1154" s="455"/>
      <c r="L1154" s="454"/>
      <c r="M1154" s="455"/>
      <c r="N1154" s="454"/>
      <c r="O1154" s="455"/>
      <c r="P1154" s="454"/>
      <c r="Q1154" s="455"/>
      <c r="R1154" s="454"/>
      <c r="S1154" s="455"/>
      <c r="T1154" s="454"/>
      <c r="U1154" s="455"/>
      <c r="V1154" s="454"/>
      <c r="W1154" s="455"/>
      <c r="X1154" s="454"/>
      <c r="Y1154" s="455"/>
      <c r="Z1154" s="454"/>
      <c r="AA1154" s="455"/>
      <c r="AB1154" s="454"/>
      <c r="AC1154" s="455"/>
      <c r="AD1154" s="454"/>
      <c r="AE1154" s="455"/>
      <c r="AF1154" s="454"/>
      <c r="AG1154" s="455"/>
    </row>
    <row r="1155" spans="1:33" x14ac:dyDescent="0.2">
      <c r="A1155" s="415">
        <f t="shared" si="35"/>
        <v>1504</v>
      </c>
      <c r="B1155" s="416" t="str">
        <f t="shared" si="36"/>
        <v>Autumn</v>
      </c>
      <c r="C1155" s="453"/>
      <c r="D1155" s="454"/>
      <c r="E1155" s="455"/>
      <c r="F1155" s="454"/>
      <c r="G1155" s="455"/>
      <c r="H1155" s="454"/>
      <c r="I1155" s="455"/>
      <c r="J1155" s="454"/>
      <c r="K1155" s="455"/>
      <c r="L1155" s="454"/>
      <c r="M1155" s="455"/>
      <c r="N1155" s="454"/>
      <c r="O1155" s="455"/>
      <c r="P1155" s="454"/>
      <c r="Q1155" s="455"/>
      <c r="R1155" s="454"/>
      <c r="S1155" s="455"/>
      <c r="T1155" s="454"/>
      <c r="U1155" s="455"/>
      <c r="V1155" s="454"/>
      <c r="W1155" s="455"/>
      <c r="X1155" s="454"/>
      <c r="Y1155" s="455"/>
      <c r="Z1155" s="454"/>
      <c r="AA1155" s="455"/>
      <c r="AB1155" s="454"/>
      <c r="AC1155" s="455"/>
      <c r="AD1155" s="454"/>
      <c r="AE1155" s="455"/>
      <c r="AF1155" s="454"/>
      <c r="AG1155" s="455"/>
    </row>
    <row r="1156" spans="1:33" x14ac:dyDescent="0.2">
      <c r="A1156" s="415">
        <f t="shared" si="35"/>
        <v>1505</v>
      </c>
      <c r="B1156" s="416" t="str">
        <f t="shared" si="36"/>
        <v>Winter</v>
      </c>
      <c r="C1156" s="453"/>
      <c r="D1156" s="454"/>
      <c r="E1156" s="455"/>
      <c r="F1156" s="454"/>
      <c r="G1156" s="455"/>
      <c r="H1156" s="454"/>
      <c r="I1156" s="455"/>
      <c r="J1156" s="454"/>
      <c r="K1156" s="455"/>
      <c r="L1156" s="454"/>
      <c r="M1156" s="455"/>
      <c r="N1156" s="454"/>
      <c r="O1156" s="455"/>
      <c r="P1156" s="454"/>
      <c r="Q1156" s="455"/>
      <c r="R1156" s="454"/>
      <c r="S1156" s="455"/>
      <c r="T1156" s="454"/>
      <c r="U1156" s="455"/>
      <c r="V1156" s="454"/>
      <c r="W1156" s="455"/>
      <c r="X1156" s="454"/>
      <c r="Y1156" s="455"/>
      <c r="Z1156" s="454"/>
      <c r="AA1156" s="455"/>
      <c r="AB1156" s="454"/>
      <c r="AC1156" s="455"/>
      <c r="AD1156" s="454"/>
      <c r="AE1156" s="455"/>
      <c r="AF1156" s="454"/>
      <c r="AG1156" s="455"/>
    </row>
    <row r="1157" spans="1:33" x14ac:dyDescent="0.2">
      <c r="A1157" s="415">
        <f t="shared" ref="A1157:A1220" si="37">IF(B1156="Autumn",A1156+1,A1156)</f>
        <v>1505</v>
      </c>
      <c r="B1157" s="416" t="str">
        <f t="shared" si="36"/>
        <v>Spring</v>
      </c>
      <c r="C1157" s="453"/>
      <c r="D1157" s="454"/>
      <c r="E1157" s="455"/>
      <c r="F1157" s="454"/>
      <c r="G1157" s="455"/>
      <c r="H1157" s="454"/>
      <c r="I1157" s="455"/>
      <c r="J1157" s="454"/>
      <c r="K1157" s="455"/>
      <c r="L1157" s="454"/>
      <c r="M1157" s="455"/>
      <c r="N1157" s="454"/>
      <c r="O1157" s="455"/>
      <c r="P1157" s="454"/>
      <c r="Q1157" s="455"/>
      <c r="R1157" s="454"/>
      <c r="S1157" s="455"/>
      <c r="T1157" s="454"/>
      <c r="U1157" s="455"/>
      <c r="V1157" s="454"/>
      <c r="W1157" s="455"/>
      <c r="X1157" s="454"/>
      <c r="Y1157" s="455"/>
      <c r="Z1157" s="454"/>
      <c r="AA1157" s="455"/>
      <c r="AB1157" s="454"/>
      <c r="AC1157" s="455"/>
      <c r="AD1157" s="454"/>
      <c r="AE1157" s="455"/>
      <c r="AF1157" s="454"/>
      <c r="AG1157" s="455"/>
    </row>
    <row r="1158" spans="1:33" x14ac:dyDescent="0.2">
      <c r="A1158" s="415">
        <f t="shared" si="37"/>
        <v>1505</v>
      </c>
      <c r="B1158" s="416" t="str">
        <f t="shared" si="36"/>
        <v>Summer</v>
      </c>
      <c r="C1158" s="453"/>
      <c r="D1158" s="454"/>
      <c r="E1158" s="455"/>
      <c r="F1158" s="454"/>
      <c r="G1158" s="455"/>
      <c r="H1158" s="454"/>
      <c r="I1158" s="455"/>
      <c r="J1158" s="454"/>
      <c r="K1158" s="455"/>
      <c r="L1158" s="454"/>
      <c r="M1158" s="455"/>
      <c r="N1158" s="454"/>
      <c r="O1158" s="455"/>
      <c r="P1158" s="454"/>
      <c r="Q1158" s="455"/>
      <c r="R1158" s="454"/>
      <c r="S1158" s="455"/>
      <c r="T1158" s="454"/>
      <c r="U1158" s="455"/>
      <c r="V1158" s="454"/>
      <c r="W1158" s="455"/>
      <c r="X1158" s="454"/>
      <c r="Y1158" s="455"/>
      <c r="Z1158" s="454"/>
      <c r="AA1158" s="455"/>
      <c r="AB1158" s="454"/>
      <c r="AC1158" s="455"/>
      <c r="AD1158" s="454"/>
      <c r="AE1158" s="455"/>
      <c r="AF1158" s="454"/>
      <c r="AG1158" s="455"/>
    </row>
    <row r="1159" spans="1:33" x14ac:dyDescent="0.2">
      <c r="A1159" s="415">
        <f t="shared" si="37"/>
        <v>1505</v>
      </c>
      <c r="B1159" s="416" t="str">
        <f t="shared" si="36"/>
        <v>Autumn</v>
      </c>
      <c r="C1159" s="453"/>
      <c r="D1159" s="454"/>
      <c r="E1159" s="455"/>
      <c r="F1159" s="454"/>
      <c r="G1159" s="455"/>
      <c r="H1159" s="454"/>
      <c r="I1159" s="455"/>
      <c r="J1159" s="454"/>
      <c r="K1159" s="455"/>
      <c r="L1159" s="454"/>
      <c r="M1159" s="455"/>
      <c r="N1159" s="454"/>
      <c r="O1159" s="455"/>
      <c r="P1159" s="454"/>
      <c r="Q1159" s="455"/>
      <c r="R1159" s="454"/>
      <c r="S1159" s="455"/>
      <c r="T1159" s="454"/>
      <c r="U1159" s="455"/>
      <c r="V1159" s="454"/>
      <c r="W1159" s="455"/>
      <c r="X1159" s="454"/>
      <c r="Y1159" s="455"/>
      <c r="Z1159" s="454"/>
      <c r="AA1159" s="455"/>
      <c r="AB1159" s="454"/>
      <c r="AC1159" s="455"/>
      <c r="AD1159" s="454"/>
      <c r="AE1159" s="455"/>
      <c r="AF1159" s="454"/>
      <c r="AG1159" s="455"/>
    </row>
    <row r="1160" spans="1:33" x14ac:dyDescent="0.2">
      <c r="A1160" s="415">
        <f t="shared" si="37"/>
        <v>1506</v>
      </c>
      <c r="B1160" s="416" t="str">
        <f t="shared" si="36"/>
        <v>Winter</v>
      </c>
      <c r="C1160" s="453"/>
      <c r="D1160" s="454"/>
      <c r="E1160" s="455"/>
      <c r="F1160" s="454"/>
      <c r="G1160" s="455"/>
      <c r="H1160" s="454"/>
      <c r="I1160" s="455"/>
      <c r="J1160" s="454"/>
      <c r="K1160" s="455"/>
      <c r="L1160" s="454"/>
      <c r="M1160" s="455"/>
      <c r="N1160" s="454"/>
      <c r="O1160" s="455"/>
      <c r="P1160" s="454"/>
      <c r="Q1160" s="455"/>
      <c r="R1160" s="454"/>
      <c r="S1160" s="455"/>
      <c r="T1160" s="454"/>
      <c r="U1160" s="455"/>
      <c r="V1160" s="454"/>
      <c r="W1160" s="455"/>
      <c r="X1160" s="454"/>
      <c r="Y1160" s="455"/>
      <c r="Z1160" s="454"/>
      <c r="AA1160" s="455"/>
      <c r="AB1160" s="454"/>
      <c r="AC1160" s="455"/>
      <c r="AD1160" s="454"/>
      <c r="AE1160" s="455"/>
      <c r="AF1160" s="454"/>
      <c r="AG1160" s="455"/>
    </row>
    <row r="1161" spans="1:33" x14ac:dyDescent="0.2">
      <c r="A1161" s="415">
        <f t="shared" si="37"/>
        <v>1506</v>
      </c>
      <c r="B1161" s="416" t="str">
        <f t="shared" si="36"/>
        <v>Spring</v>
      </c>
      <c r="C1161" s="453"/>
      <c r="D1161" s="454"/>
      <c r="E1161" s="455"/>
      <c r="F1161" s="454"/>
      <c r="G1161" s="455"/>
      <c r="H1161" s="454"/>
      <c r="I1161" s="455"/>
      <c r="J1161" s="454"/>
      <c r="K1161" s="455"/>
      <c r="L1161" s="454"/>
      <c r="M1161" s="455"/>
      <c r="N1161" s="454"/>
      <c r="O1161" s="455"/>
      <c r="P1161" s="454"/>
      <c r="Q1161" s="455"/>
      <c r="R1161" s="454"/>
      <c r="S1161" s="455"/>
      <c r="T1161" s="454"/>
      <c r="U1161" s="455"/>
      <c r="V1161" s="454"/>
      <c r="W1161" s="455"/>
      <c r="X1161" s="454"/>
      <c r="Y1161" s="455"/>
      <c r="Z1161" s="454"/>
      <c r="AA1161" s="455"/>
      <c r="AB1161" s="454"/>
      <c r="AC1161" s="455"/>
      <c r="AD1161" s="454"/>
      <c r="AE1161" s="455"/>
      <c r="AF1161" s="454"/>
      <c r="AG1161" s="455"/>
    </row>
    <row r="1162" spans="1:33" x14ac:dyDescent="0.2">
      <c r="A1162" s="415">
        <f t="shared" si="37"/>
        <v>1506</v>
      </c>
      <c r="B1162" s="416" t="str">
        <f t="shared" si="36"/>
        <v>Summer</v>
      </c>
      <c r="C1162" s="453"/>
      <c r="D1162" s="454"/>
      <c r="E1162" s="455"/>
      <c r="F1162" s="454"/>
      <c r="G1162" s="455"/>
      <c r="H1162" s="454"/>
      <c r="I1162" s="455"/>
      <c r="J1162" s="454"/>
      <c r="K1162" s="455"/>
      <c r="L1162" s="454"/>
      <c r="M1162" s="455"/>
      <c r="N1162" s="454"/>
      <c r="O1162" s="455"/>
      <c r="P1162" s="454"/>
      <c r="Q1162" s="455"/>
      <c r="R1162" s="454"/>
      <c r="S1162" s="455"/>
      <c r="T1162" s="454"/>
      <c r="U1162" s="455"/>
      <c r="V1162" s="454"/>
      <c r="W1162" s="455"/>
      <c r="X1162" s="454"/>
      <c r="Y1162" s="455"/>
      <c r="Z1162" s="454"/>
      <c r="AA1162" s="455"/>
      <c r="AB1162" s="454"/>
      <c r="AC1162" s="455"/>
      <c r="AD1162" s="454"/>
      <c r="AE1162" s="455"/>
      <c r="AF1162" s="454"/>
      <c r="AG1162" s="455"/>
    </row>
    <row r="1163" spans="1:33" x14ac:dyDescent="0.2">
      <c r="A1163" s="415">
        <f t="shared" si="37"/>
        <v>1506</v>
      </c>
      <c r="B1163" s="416" t="str">
        <f t="shared" si="36"/>
        <v>Autumn</v>
      </c>
      <c r="C1163" s="453"/>
      <c r="D1163" s="454"/>
      <c r="E1163" s="455"/>
      <c r="F1163" s="454"/>
      <c r="G1163" s="455"/>
      <c r="H1163" s="454"/>
      <c r="I1163" s="455"/>
      <c r="J1163" s="454"/>
      <c r="K1163" s="455"/>
      <c r="L1163" s="454"/>
      <c r="M1163" s="455"/>
      <c r="N1163" s="454"/>
      <c r="O1163" s="455"/>
      <c r="P1163" s="454"/>
      <c r="Q1163" s="455"/>
      <c r="R1163" s="454"/>
      <c r="S1163" s="455"/>
      <c r="T1163" s="454"/>
      <c r="U1163" s="455"/>
      <c r="V1163" s="454"/>
      <c r="W1163" s="455"/>
      <c r="X1163" s="454"/>
      <c r="Y1163" s="455"/>
      <c r="Z1163" s="454"/>
      <c r="AA1163" s="455"/>
      <c r="AB1163" s="454"/>
      <c r="AC1163" s="455"/>
      <c r="AD1163" s="454"/>
      <c r="AE1163" s="455"/>
      <c r="AF1163" s="454"/>
      <c r="AG1163" s="455"/>
    </row>
    <row r="1164" spans="1:33" x14ac:dyDescent="0.2">
      <c r="A1164" s="415">
        <f t="shared" si="37"/>
        <v>1507</v>
      </c>
      <c r="B1164" s="416" t="str">
        <f t="shared" si="36"/>
        <v>Winter</v>
      </c>
      <c r="C1164" s="453"/>
      <c r="D1164" s="454"/>
      <c r="E1164" s="455"/>
      <c r="F1164" s="454"/>
      <c r="G1164" s="455"/>
      <c r="H1164" s="454"/>
      <c r="I1164" s="455"/>
      <c r="J1164" s="454"/>
      <c r="K1164" s="455"/>
      <c r="L1164" s="454"/>
      <c r="M1164" s="455"/>
      <c r="N1164" s="454"/>
      <c r="O1164" s="455"/>
      <c r="P1164" s="454"/>
      <c r="Q1164" s="455"/>
      <c r="R1164" s="454"/>
      <c r="S1164" s="455"/>
      <c r="T1164" s="454"/>
      <c r="U1164" s="455"/>
      <c r="V1164" s="454"/>
      <c r="W1164" s="455"/>
      <c r="X1164" s="454"/>
      <c r="Y1164" s="455"/>
      <c r="Z1164" s="454"/>
      <c r="AA1164" s="455"/>
      <c r="AB1164" s="454"/>
      <c r="AC1164" s="455"/>
      <c r="AD1164" s="454"/>
      <c r="AE1164" s="455"/>
      <c r="AF1164" s="454"/>
      <c r="AG1164" s="455"/>
    </row>
    <row r="1165" spans="1:33" x14ac:dyDescent="0.2">
      <c r="A1165" s="415">
        <f t="shared" si="37"/>
        <v>1507</v>
      </c>
      <c r="B1165" s="416" t="str">
        <f t="shared" si="36"/>
        <v>Spring</v>
      </c>
      <c r="C1165" s="453"/>
      <c r="D1165" s="454"/>
      <c r="E1165" s="455"/>
      <c r="F1165" s="454"/>
      <c r="G1165" s="455"/>
      <c r="H1165" s="454"/>
      <c r="I1165" s="455"/>
      <c r="J1165" s="454"/>
      <c r="K1165" s="455"/>
      <c r="L1165" s="454"/>
      <c r="M1165" s="455"/>
      <c r="N1165" s="454"/>
      <c r="O1165" s="455"/>
      <c r="P1165" s="454"/>
      <c r="Q1165" s="455"/>
      <c r="R1165" s="454"/>
      <c r="S1165" s="455"/>
      <c r="T1165" s="454"/>
      <c r="U1165" s="455"/>
      <c r="V1165" s="454"/>
      <c r="W1165" s="455"/>
      <c r="X1165" s="454"/>
      <c r="Y1165" s="455"/>
      <c r="Z1165" s="454"/>
      <c r="AA1165" s="455"/>
      <c r="AB1165" s="454"/>
      <c r="AC1165" s="455"/>
      <c r="AD1165" s="454"/>
      <c r="AE1165" s="455"/>
      <c r="AF1165" s="454"/>
      <c r="AG1165" s="455"/>
    </row>
    <row r="1166" spans="1:33" x14ac:dyDescent="0.2">
      <c r="A1166" s="415">
        <f t="shared" si="37"/>
        <v>1507</v>
      </c>
      <c r="B1166" s="416" t="str">
        <f t="shared" si="36"/>
        <v>Summer</v>
      </c>
      <c r="C1166" s="453"/>
      <c r="D1166" s="454"/>
      <c r="E1166" s="455"/>
      <c r="F1166" s="454"/>
      <c r="G1166" s="455"/>
      <c r="H1166" s="454"/>
      <c r="I1166" s="455"/>
      <c r="J1166" s="454"/>
      <c r="K1166" s="455"/>
      <c r="L1166" s="454"/>
      <c r="M1166" s="455"/>
      <c r="N1166" s="454"/>
      <c r="O1166" s="455"/>
      <c r="P1166" s="454"/>
      <c r="Q1166" s="455"/>
      <c r="R1166" s="454"/>
      <c r="S1166" s="455"/>
      <c r="T1166" s="454"/>
      <c r="U1166" s="455"/>
      <c r="V1166" s="454"/>
      <c r="W1166" s="455"/>
      <c r="X1166" s="454"/>
      <c r="Y1166" s="455"/>
      <c r="Z1166" s="454"/>
      <c r="AA1166" s="455"/>
      <c r="AB1166" s="454"/>
      <c r="AC1166" s="455"/>
      <c r="AD1166" s="454"/>
      <c r="AE1166" s="455"/>
      <c r="AF1166" s="454"/>
      <c r="AG1166" s="455"/>
    </row>
    <row r="1167" spans="1:33" x14ac:dyDescent="0.2">
      <c r="A1167" s="415">
        <f t="shared" si="37"/>
        <v>1507</v>
      </c>
      <c r="B1167" s="416" t="str">
        <f t="shared" si="36"/>
        <v>Autumn</v>
      </c>
      <c r="C1167" s="453"/>
      <c r="D1167" s="454"/>
      <c r="E1167" s="455"/>
      <c r="F1167" s="454"/>
      <c r="G1167" s="455"/>
      <c r="H1167" s="454"/>
      <c r="I1167" s="455"/>
      <c r="J1167" s="454"/>
      <c r="K1167" s="455"/>
      <c r="L1167" s="454"/>
      <c r="M1167" s="455"/>
      <c r="N1167" s="454"/>
      <c r="O1167" s="455"/>
      <c r="P1167" s="454"/>
      <c r="Q1167" s="455"/>
      <c r="R1167" s="454"/>
      <c r="S1167" s="455"/>
      <c r="T1167" s="454"/>
      <c r="U1167" s="455"/>
      <c r="V1167" s="454"/>
      <c r="W1167" s="455"/>
      <c r="X1167" s="454"/>
      <c r="Y1167" s="455"/>
      <c r="Z1167" s="454"/>
      <c r="AA1167" s="455"/>
      <c r="AB1167" s="454"/>
      <c r="AC1167" s="455"/>
      <c r="AD1167" s="454"/>
      <c r="AE1167" s="455"/>
      <c r="AF1167" s="454"/>
      <c r="AG1167" s="455"/>
    </row>
    <row r="1168" spans="1:33" x14ac:dyDescent="0.2">
      <c r="A1168" s="415">
        <f t="shared" si="37"/>
        <v>1508</v>
      </c>
      <c r="B1168" s="416" t="str">
        <f t="shared" si="36"/>
        <v>Winter</v>
      </c>
      <c r="C1168" s="453"/>
      <c r="D1168" s="454"/>
      <c r="E1168" s="455"/>
      <c r="F1168" s="454"/>
      <c r="G1168" s="455"/>
      <c r="H1168" s="454"/>
      <c r="I1168" s="455"/>
      <c r="J1168" s="454"/>
      <c r="K1168" s="455"/>
      <c r="L1168" s="454"/>
      <c r="M1168" s="455"/>
      <c r="N1168" s="454"/>
      <c r="O1168" s="455"/>
      <c r="P1168" s="454"/>
      <c r="Q1168" s="455"/>
      <c r="R1168" s="454"/>
      <c r="S1168" s="455"/>
      <c r="T1168" s="454"/>
      <c r="U1168" s="455"/>
      <c r="V1168" s="454"/>
      <c r="W1168" s="455"/>
      <c r="X1168" s="454"/>
      <c r="Y1168" s="455"/>
      <c r="Z1168" s="454"/>
      <c r="AA1168" s="455"/>
      <c r="AB1168" s="454"/>
      <c r="AC1168" s="455"/>
      <c r="AD1168" s="454"/>
      <c r="AE1168" s="455"/>
      <c r="AF1168" s="454"/>
      <c r="AG1168" s="455"/>
    </row>
    <row r="1169" spans="1:33" x14ac:dyDescent="0.2">
      <c r="A1169" s="415">
        <f t="shared" si="37"/>
        <v>1508</v>
      </c>
      <c r="B1169" s="416" t="str">
        <f t="shared" si="36"/>
        <v>Spring</v>
      </c>
      <c r="C1169" s="453"/>
      <c r="D1169" s="454"/>
      <c r="E1169" s="455"/>
      <c r="F1169" s="454"/>
      <c r="G1169" s="455"/>
      <c r="H1169" s="454"/>
      <c r="I1169" s="455"/>
      <c r="J1169" s="454"/>
      <c r="K1169" s="455"/>
      <c r="L1169" s="454"/>
      <c r="M1169" s="455"/>
      <c r="N1169" s="454"/>
      <c r="O1169" s="455"/>
      <c r="P1169" s="454"/>
      <c r="Q1169" s="455"/>
      <c r="R1169" s="454"/>
      <c r="S1169" s="455"/>
      <c r="T1169" s="454"/>
      <c r="U1169" s="455"/>
      <c r="V1169" s="454"/>
      <c r="W1169" s="455"/>
      <c r="X1169" s="454"/>
      <c r="Y1169" s="455"/>
      <c r="Z1169" s="454"/>
      <c r="AA1169" s="455"/>
      <c r="AB1169" s="454"/>
      <c r="AC1169" s="455"/>
      <c r="AD1169" s="454"/>
      <c r="AE1169" s="455"/>
      <c r="AF1169" s="454"/>
      <c r="AG1169" s="455"/>
    </row>
    <row r="1170" spans="1:33" x14ac:dyDescent="0.2">
      <c r="A1170" s="415">
        <f t="shared" si="37"/>
        <v>1508</v>
      </c>
      <c r="B1170" s="416" t="str">
        <f t="shared" si="36"/>
        <v>Summer</v>
      </c>
      <c r="C1170" s="453"/>
      <c r="D1170" s="454"/>
      <c r="E1170" s="455"/>
      <c r="F1170" s="454"/>
      <c r="G1170" s="455"/>
      <c r="H1170" s="454"/>
      <c r="I1170" s="455"/>
      <c r="J1170" s="454"/>
      <c r="K1170" s="455"/>
      <c r="L1170" s="454"/>
      <c r="M1170" s="455"/>
      <c r="N1170" s="454"/>
      <c r="O1170" s="455"/>
      <c r="P1170" s="454"/>
      <c r="Q1170" s="455"/>
      <c r="R1170" s="454"/>
      <c r="S1170" s="455"/>
      <c r="T1170" s="454"/>
      <c r="U1170" s="455"/>
      <c r="V1170" s="454"/>
      <c r="W1170" s="455"/>
      <c r="X1170" s="454"/>
      <c r="Y1170" s="455"/>
      <c r="Z1170" s="454"/>
      <c r="AA1170" s="455"/>
      <c r="AB1170" s="454"/>
      <c r="AC1170" s="455"/>
      <c r="AD1170" s="454"/>
      <c r="AE1170" s="455"/>
      <c r="AF1170" s="454"/>
      <c r="AG1170" s="455"/>
    </row>
    <row r="1171" spans="1:33" x14ac:dyDescent="0.2">
      <c r="A1171" s="415">
        <f t="shared" si="37"/>
        <v>1508</v>
      </c>
      <c r="B1171" s="416" t="str">
        <f t="shared" si="36"/>
        <v>Autumn</v>
      </c>
      <c r="C1171" s="453"/>
      <c r="D1171" s="454"/>
      <c r="E1171" s="455"/>
      <c r="F1171" s="454"/>
      <c r="G1171" s="455"/>
      <c r="H1171" s="454"/>
      <c r="I1171" s="455"/>
      <c r="J1171" s="454"/>
      <c r="K1171" s="455"/>
      <c r="L1171" s="454"/>
      <c r="M1171" s="455"/>
      <c r="N1171" s="454"/>
      <c r="O1171" s="455"/>
      <c r="P1171" s="454"/>
      <c r="Q1171" s="455"/>
      <c r="R1171" s="454"/>
      <c r="S1171" s="455"/>
      <c r="T1171" s="454"/>
      <c r="U1171" s="455"/>
      <c r="V1171" s="454"/>
      <c r="W1171" s="455"/>
      <c r="X1171" s="454"/>
      <c r="Y1171" s="455"/>
      <c r="Z1171" s="454"/>
      <c r="AA1171" s="455"/>
      <c r="AB1171" s="454"/>
      <c r="AC1171" s="455"/>
      <c r="AD1171" s="454"/>
      <c r="AE1171" s="455"/>
      <c r="AF1171" s="454"/>
      <c r="AG1171" s="455"/>
    </row>
    <row r="1172" spans="1:33" x14ac:dyDescent="0.2">
      <c r="A1172" s="415">
        <f t="shared" si="37"/>
        <v>1509</v>
      </c>
      <c r="B1172" s="416" t="str">
        <f t="shared" si="36"/>
        <v>Winter</v>
      </c>
      <c r="C1172" s="453"/>
      <c r="D1172" s="454"/>
      <c r="E1172" s="455"/>
      <c r="F1172" s="454"/>
      <c r="G1172" s="455"/>
      <c r="H1172" s="454"/>
      <c r="I1172" s="455"/>
      <c r="J1172" s="454"/>
      <c r="K1172" s="455"/>
      <c r="L1172" s="454"/>
      <c r="M1172" s="455"/>
      <c r="N1172" s="454"/>
      <c r="O1172" s="455"/>
      <c r="P1172" s="454"/>
      <c r="Q1172" s="455"/>
      <c r="R1172" s="454"/>
      <c r="S1172" s="455"/>
      <c r="T1172" s="454"/>
      <c r="U1172" s="455"/>
      <c r="V1172" s="454"/>
      <c r="W1172" s="455"/>
      <c r="X1172" s="454"/>
      <c r="Y1172" s="455"/>
      <c r="Z1172" s="454"/>
      <c r="AA1172" s="455"/>
      <c r="AB1172" s="454"/>
      <c r="AC1172" s="455"/>
      <c r="AD1172" s="454"/>
      <c r="AE1172" s="455"/>
      <c r="AF1172" s="454"/>
      <c r="AG1172" s="455"/>
    </row>
    <row r="1173" spans="1:33" x14ac:dyDescent="0.2">
      <c r="A1173" s="415">
        <f t="shared" si="37"/>
        <v>1509</v>
      </c>
      <c r="B1173" s="416" t="str">
        <f t="shared" si="36"/>
        <v>Spring</v>
      </c>
      <c r="C1173" s="453"/>
      <c r="D1173" s="454"/>
      <c r="E1173" s="455"/>
      <c r="F1173" s="454"/>
      <c r="G1173" s="455"/>
      <c r="H1173" s="454"/>
      <c r="I1173" s="455"/>
      <c r="J1173" s="454"/>
      <c r="K1173" s="455"/>
      <c r="L1173" s="454"/>
      <c r="M1173" s="455"/>
      <c r="N1173" s="454"/>
      <c r="O1173" s="455"/>
      <c r="P1173" s="454"/>
      <c r="Q1173" s="455"/>
      <c r="R1173" s="454"/>
      <c r="S1173" s="455"/>
      <c r="T1173" s="454"/>
      <c r="U1173" s="455"/>
      <c r="V1173" s="454"/>
      <c r="W1173" s="455"/>
      <c r="X1173" s="454"/>
      <c r="Y1173" s="455"/>
      <c r="Z1173" s="454"/>
      <c r="AA1173" s="455"/>
      <c r="AB1173" s="454"/>
      <c r="AC1173" s="455"/>
      <c r="AD1173" s="454"/>
      <c r="AE1173" s="455"/>
      <c r="AF1173" s="454"/>
      <c r="AG1173" s="455"/>
    </row>
    <row r="1174" spans="1:33" x14ac:dyDescent="0.2">
      <c r="A1174" s="415">
        <f t="shared" si="37"/>
        <v>1509</v>
      </c>
      <c r="B1174" s="416" t="str">
        <f t="shared" si="36"/>
        <v>Summer</v>
      </c>
      <c r="C1174" s="453"/>
      <c r="D1174" s="454"/>
      <c r="E1174" s="455"/>
      <c r="F1174" s="454"/>
      <c r="G1174" s="455"/>
      <c r="H1174" s="454"/>
      <c r="I1174" s="455"/>
      <c r="J1174" s="454"/>
      <c r="K1174" s="455"/>
      <c r="L1174" s="454"/>
      <c r="M1174" s="455"/>
      <c r="N1174" s="454"/>
      <c r="O1174" s="455"/>
      <c r="P1174" s="454"/>
      <c r="Q1174" s="455"/>
      <c r="R1174" s="454"/>
      <c r="S1174" s="455"/>
      <c r="T1174" s="454"/>
      <c r="U1174" s="455"/>
      <c r="V1174" s="454"/>
      <c r="W1174" s="455"/>
      <c r="X1174" s="454"/>
      <c r="Y1174" s="455"/>
      <c r="Z1174" s="454"/>
      <c r="AA1174" s="455"/>
      <c r="AB1174" s="454"/>
      <c r="AC1174" s="455"/>
      <c r="AD1174" s="454"/>
      <c r="AE1174" s="455"/>
      <c r="AF1174" s="454"/>
      <c r="AG1174" s="455"/>
    </row>
    <row r="1175" spans="1:33" x14ac:dyDescent="0.2">
      <c r="A1175" s="415">
        <f t="shared" si="37"/>
        <v>1509</v>
      </c>
      <c r="B1175" s="416" t="str">
        <f t="shared" si="36"/>
        <v>Autumn</v>
      </c>
      <c r="C1175" s="453"/>
      <c r="D1175" s="454"/>
      <c r="E1175" s="455"/>
      <c r="F1175" s="454"/>
      <c r="G1175" s="455"/>
      <c r="H1175" s="454"/>
      <c r="I1175" s="455"/>
      <c r="J1175" s="454"/>
      <c r="K1175" s="455"/>
      <c r="L1175" s="454"/>
      <c r="M1175" s="455"/>
      <c r="N1175" s="454"/>
      <c r="O1175" s="455"/>
      <c r="P1175" s="454"/>
      <c r="Q1175" s="455"/>
      <c r="R1175" s="454"/>
      <c r="S1175" s="455"/>
      <c r="T1175" s="454"/>
      <c r="U1175" s="455"/>
      <c r="V1175" s="454"/>
      <c r="W1175" s="455"/>
      <c r="X1175" s="454"/>
      <c r="Y1175" s="455"/>
      <c r="Z1175" s="454"/>
      <c r="AA1175" s="455"/>
      <c r="AB1175" s="454"/>
      <c r="AC1175" s="455"/>
      <c r="AD1175" s="454"/>
      <c r="AE1175" s="455"/>
      <c r="AF1175" s="454"/>
      <c r="AG1175" s="455"/>
    </row>
    <row r="1176" spans="1:33" x14ac:dyDescent="0.2">
      <c r="A1176" s="415">
        <f t="shared" si="37"/>
        <v>1510</v>
      </c>
      <c r="B1176" s="416" t="str">
        <f t="shared" si="36"/>
        <v>Winter</v>
      </c>
      <c r="C1176" s="453"/>
      <c r="D1176" s="454"/>
      <c r="E1176" s="455"/>
      <c r="F1176" s="454"/>
      <c r="G1176" s="455"/>
      <c r="H1176" s="454"/>
      <c r="I1176" s="455"/>
      <c r="J1176" s="454"/>
      <c r="K1176" s="455"/>
      <c r="L1176" s="454"/>
      <c r="M1176" s="455"/>
      <c r="N1176" s="454"/>
      <c r="O1176" s="455"/>
      <c r="P1176" s="454"/>
      <c r="Q1176" s="455"/>
      <c r="R1176" s="454"/>
      <c r="S1176" s="455"/>
      <c r="T1176" s="454"/>
      <c r="U1176" s="455"/>
      <c r="V1176" s="454"/>
      <c r="W1176" s="455"/>
      <c r="X1176" s="454"/>
      <c r="Y1176" s="455"/>
      <c r="Z1176" s="454"/>
      <c r="AA1176" s="455"/>
      <c r="AB1176" s="454"/>
      <c r="AC1176" s="455"/>
      <c r="AD1176" s="454"/>
      <c r="AE1176" s="455"/>
      <c r="AF1176" s="454"/>
      <c r="AG1176" s="455"/>
    </row>
    <row r="1177" spans="1:33" x14ac:dyDescent="0.2">
      <c r="A1177" s="415">
        <f t="shared" si="37"/>
        <v>1510</v>
      </c>
      <c r="B1177" s="416" t="str">
        <f t="shared" si="36"/>
        <v>Spring</v>
      </c>
      <c r="C1177" s="453"/>
      <c r="D1177" s="454"/>
      <c r="E1177" s="455"/>
      <c r="F1177" s="454"/>
      <c r="G1177" s="455"/>
      <c r="H1177" s="454"/>
      <c r="I1177" s="455"/>
      <c r="J1177" s="454"/>
      <c r="K1177" s="455"/>
      <c r="L1177" s="454"/>
      <c r="M1177" s="455"/>
      <c r="N1177" s="454"/>
      <c r="O1177" s="455"/>
      <c r="P1177" s="454"/>
      <c r="Q1177" s="455"/>
      <c r="R1177" s="454"/>
      <c r="S1177" s="455"/>
      <c r="T1177" s="454"/>
      <c r="U1177" s="455"/>
      <c r="V1177" s="454"/>
      <c r="W1177" s="455"/>
      <c r="X1177" s="454"/>
      <c r="Y1177" s="455"/>
      <c r="Z1177" s="454"/>
      <c r="AA1177" s="455"/>
      <c r="AB1177" s="454"/>
      <c r="AC1177" s="455"/>
      <c r="AD1177" s="454"/>
      <c r="AE1177" s="455"/>
      <c r="AF1177" s="454"/>
      <c r="AG1177" s="455"/>
    </row>
    <row r="1178" spans="1:33" x14ac:dyDescent="0.2">
      <c r="A1178" s="415">
        <f t="shared" si="37"/>
        <v>1510</v>
      </c>
      <c r="B1178" s="416" t="str">
        <f t="shared" si="36"/>
        <v>Summer</v>
      </c>
      <c r="C1178" s="453"/>
      <c r="D1178" s="454"/>
      <c r="E1178" s="455"/>
      <c r="F1178" s="454"/>
      <c r="G1178" s="455"/>
      <c r="H1178" s="454"/>
      <c r="I1178" s="455"/>
      <c r="J1178" s="454"/>
      <c r="K1178" s="455"/>
      <c r="L1178" s="454"/>
      <c r="M1178" s="455"/>
      <c r="N1178" s="454"/>
      <c r="O1178" s="455"/>
      <c r="P1178" s="454"/>
      <c r="Q1178" s="455"/>
      <c r="R1178" s="454"/>
      <c r="S1178" s="455"/>
      <c r="T1178" s="454"/>
      <c r="U1178" s="455"/>
      <c r="V1178" s="454"/>
      <c r="W1178" s="455"/>
      <c r="X1178" s="454"/>
      <c r="Y1178" s="455"/>
      <c r="Z1178" s="454"/>
      <c r="AA1178" s="455"/>
      <c r="AB1178" s="454"/>
      <c r="AC1178" s="455"/>
      <c r="AD1178" s="454"/>
      <c r="AE1178" s="455"/>
      <c r="AF1178" s="454"/>
      <c r="AG1178" s="455"/>
    </row>
    <row r="1179" spans="1:33" x14ac:dyDescent="0.2">
      <c r="A1179" s="415">
        <f t="shared" si="37"/>
        <v>1510</v>
      </c>
      <c r="B1179" s="416" t="str">
        <f t="shared" si="36"/>
        <v>Autumn</v>
      </c>
      <c r="C1179" s="453"/>
      <c r="D1179" s="454"/>
      <c r="E1179" s="455"/>
      <c r="F1179" s="454"/>
      <c r="G1179" s="455"/>
      <c r="H1179" s="454"/>
      <c r="I1179" s="455"/>
      <c r="J1179" s="454"/>
      <c r="K1179" s="455"/>
      <c r="L1179" s="454"/>
      <c r="M1179" s="455"/>
      <c r="N1179" s="454"/>
      <c r="O1179" s="455"/>
      <c r="P1179" s="454"/>
      <c r="Q1179" s="455"/>
      <c r="R1179" s="454"/>
      <c r="S1179" s="455"/>
      <c r="T1179" s="454"/>
      <c r="U1179" s="455"/>
      <c r="V1179" s="454"/>
      <c r="W1179" s="455"/>
      <c r="X1179" s="454"/>
      <c r="Y1179" s="455"/>
      <c r="Z1179" s="454"/>
      <c r="AA1179" s="455"/>
      <c r="AB1179" s="454"/>
      <c r="AC1179" s="455"/>
      <c r="AD1179" s="454"/>
      <c r="AE1179" s="455"/>
      <c r="AF1179" s="454"/>
      <c r="AG1179" s="455"/>
    </row>
    <row r="1180" spans="1:33" x14ac:dyDescent="0.2">
      <c r="A1180" s="415">
        <f t="shared" si="37"/>
        <v>1511</v>
      </c>
      <c r="B1180" s="416" t="str">
        <f t="shared" si="36"/>
        <v>Winter</v>
      </c>
      <c r="C1180" s="453"/>
      <c r="D1180" s="454"/>
      <c r="E1180" s="455"/>
      <c r="F1180" s="454"/>
      <c r="G1180" s="455"/>
      <c r="H1180" s="454"/>
      <c r="I1180" s="455"/>
      <c r="J1180" s="454"/>
      <c r="K1180" s="455"/>
      <c r="L1180" s="454"/>
      <c r="M1180" s="455"/>
      <c r="N1180" s="454"/>
      <c r="O1180" s="455"/>
      <c r="P1180" s="454"/>
      <c r="Q1180" s="455"/>
      <c r="R1180" s="454"/>
      <c r="S1180" s="455"/>
      <c r="T1180" s="454"/>
      <c r="U1180" s="455"/>
      <c r="V1180" s="454"/>
      <c r="W1180" s="455"/>
      <c r="X1180" s="454"/>
      <c r="Y1180" s="455"/>
      <c r="Z1180" s="454"/>
      <c r="AA1180" s="455"/>
      <c r="AB1180" s="454"/>
      <c r="AC1180" s="455"/>
      <c r="AD1180" s="454"/>
      <c r="AE1180" s="455"/>
      <c r="AF1180" s="454"/>
      <c r="AG1180" s="455"/>
    </row>
    <row r="1181" spans="1:33" x14ac:dyDescent="0.2">
      <c r="A1181" s="415">
        <f t="shared" si="37"/>
        <v>1511</v>
      </c>
      <c r="B1181" s="416" t="str">
        <f t="shared" si="36"/>
        <v>Spring</v>
      </c>
      <c r="C1181" s="453"/>
      <c r="D1181" s="454"/>
      <c r="E1181" s="455"/>
      <c r="F1181" s="454"/>
      <c r="G1181" s="455"/>
      <c r="H1181" s="454"/>
      <c r="I1181" s="455"/>
      <c r="J1181" s="454"/>
      <c r="K1181" s="455"/>
      <c r="L1181" s="454"/>
      <c r="M1181" s="455"/>
      <c r="N1181" s="454"/>
      <c r="O1181" s="455"/>
      <c r="P1181" s="454"/>
      <c r="Q1181" s="455"/>
      <c r="R1181" s="454"/>
      <c r="S1181" s="455"/>
      <c r="T1181" s="454"/>
      <c r="U1181" s="455"/>
      <c r="V1181" s="454"/>
      <c r="W1181" s="455"/>
      <c r="X1181" s="454"/>
      <c r="Y1181" s="455"/>
      <c r="Z1181" s="454"/>
      <c r="AA1181" s="455"/>
      <c r="AB1181" s="454"/>
      <c r="AC1181" s="455"/>
      <c r="AD1181" s="454"/>
      <c r="AE1181" s="455"/>
      <c r="AF1181" s="454"/>
      <c r="AG1181" s="455"/>
    </row>
    <row r="1182" spans="1:33" x14ac:dyDescent="0.2">
      <c r="A1182" s="415">
        <f t="shared" si="37"/>
        <v>1511</v>
      </c>
      <c r="B1182" s="416" t="str">
        <f t="shared" si="36"/>
        <v>Summer</v>
      </c>
      <c r="C1182" s="453"/>
      <c r="D1182" s="454"/>
      <c r="E1182" s="455"/>
      <c r="F1182" s="454"/>
      <c r="G1182" s="455"/>
      <c r="H1182" s="454"/>
      <c r="I1182" s="455"/>
      <c r="J1182" s="454"/>
      <c r="K1182" s="455"/>
      <c r="L1182" s="454"/>
      <c r="M1182" s="455"/>
      <c r="N1182" s="454"/>
      <c r="O1182" s="455"/>
      <c r="P1182" s="454"/>
      <c r="Q1182" s="455"/>
      <c r="R1182" s="454"/>
      <c r="S1182" s="455"/>
      <c r="T1182" s="454"/>
      <c r="U1182" s="455"/>
      <c r="V1182" s="454"/>
      <c r="W1182" s="455"/>
      <c r="X1182" s="454"/>
      <c r="Y1182" s="455"/>
      <c r="Z1182" s="454"/>
      <c r="AA1182" s="455"/>
      <c r="AB1182" s="454"/>
      <c r="AC1182" s="455"/>
      <c r="AD1182" s="454"/>
      <c r="AE1182" s="455"/>
      <c r="AF1182" s="454"/>
      <c r="AG1182" s="455"/>
    </row>
    <row r="1183" spans="1:33" x14ac:dyDescent="0.2">
      <c r="A1183" s="415">
        <f t="shared" si="37"/>
        <v>1511</v>
      </c>
      <c r="B1183" s="416" t="str">
        <f t="shared" si="36"/>
        <v>Autumn</v>
      </c>
      <c r="C1183" s="453"/>
      <c r="D1183" s="454"/>
      <c r="E1183" s="455"/>
      <c r="F1183" s="454"/>
      <c r="G1183" s="455"/>
      <c r="H1183" s="454"/>
      <c r="I1183" s="455"/>
      <c r="J1183" s="454"/>
      <c r="K1183" s="455"/>
      <c r="L1183" s="454"/>
      <c r="M1183" s="455"/>
      <c r="N1183" s="454"/>
      <c r="O1183" s="455"/>
      <c r="P1183" s="454"/>
      <c r="Q1183" s="455"/>
      <c r="R1183" s="454"/>
      <c r="S1183" s="455"/>
      <c r="T1183" s="454"/>
      <c r="U1183" s="455"/>
      <c r="V1183" s="454"/>
      <c r="W1183" s="455"/>
      <c r="X1183" s="454"/>
      <c r="Y1183" s="455"/>
      <c r="Z1183" s="454"/>
      <c r="AA1183" s="455"/>
      <c r="AB1183" s="454"/>
      <c r="AC1183" s="455"/>
      <c r="AD1183" s="454"/>
      <c r="AE1183" s="455"/>
      <c r="AF1183" s="454"/>
      <c r="AG1183" s="455"/>
    </row>
    <row r="1184" spans="1:33" x14ac:dyDescent="0.2">
      <c r="A1184" s="415">
        <f t="shared" si="37"/>
        <v>1512</v>
      </c>
      <c r="B1184" s="416" t="str">
        <f t="shared" si="36"/>
        <v>Winter</v>
      </c>
      <c r="C1184" s="453"/>
      <c r="D1184" s="454"/>
      <c r="E1184" s="455"/>
      <c r="F1184" s="454"/>
      <c r="G1184" s="455"/>
      <c r="H1184" s="454"/>
      <c r="I1184" s="455"/>
      <c r="J1184" s="454"/>
      <c r="K1184" s="455"/>
      <c r="L1184" s="454"/>
      <c r="M1184" s="455"/>
      <c r="N1184" s="454"/>
      <c r="O1184" s="455"/>
      <c r="P1184" s="454"/>
      <c r="Q1184" s="455"/>
      <c r="R1184" s="454"/>
      <c r="S1184" s="455"/>
      <c r="T1184" s="454"/>
      <c r="U1184" s="455"/>
      <c r="V1184" s="454"/>
      <c r="W1184" s="455"/>
      <c r="X1184" s="454"/>
      <c r="Y1184" s="455"/>
      <c r="Z1184" s="454"/>
      <c r="AA1184" s="455"/>
      <c r="AB1184" s="454"/>
      <c r="AC1184" s="455"/>
      <c r="AD1184" s="454"/>
      <c r="AE1184" s="455"/>
      <c r="AF1184" s="454"/>
      <c r="AG1184" s="455"/>
    </row>
    <row r="1185" spans="1:33" x14ac:dyDescent="0.2">
      <c r="A1185" s="415">
        <f t="shared" si="37"/>
        <v>1512</v>
      </c>
      <c r="B1185" s="416" t="str">
        <f t="shared" si="36"/>
        <v>Spring</v>
      </c>
      <c r="C1185" s="453"/>
      <c r="D1185" s="454"/>
      <c r="E1185" s="455"/>
      <c r="F1185" s="454"/>
      <c r="G1185" s="455"/>
      <c r="H1185" s="454"/>
      <c r="I1185" s="455"/>
      <c r="J1185" s="454"/>
      <c r="K1185" s="455"/>
      <c r="L1185" s="454"/>
      <c r="M1185" s="455"/>
      <c r="N1185" s="454"/>
      <c r="O1185" s="455"/>
      <c r="P1185" s="454"/>
      <c r="Q1185" s="455"/>
      <c r="R1185" s="454"/>
      <c r="S1185" s="455"/>
      <c r="T1185" s="454"/>
      <c r="U1185" s="455"/>
      <c r="V1185" s="454"/>
      <c r="W1185" s="455"/>
      <c r="X1185" s="454"/>
      <c r="Y1185" s="455"/>
      <c r="Z1185" s="454"/>
      <c r="AA1185" s="455"/>
      <c r="AB1185" s="454"/>
      <c r="AC1185" s="455"/>
      <c r="AD1185" s="454"/>
      <c r="AE1185" s="455"/>
      <c r="AF1185" s="454"/>
      <c r="AG1185" s="455"/>
    </row>
    <row r="1186" spans="1:33" x14ac:dyDescent="0.2">
      <c r="A1186" s="415">
        <f t="shared" si="37"/>
        <v>1512</v>
      </c>
      <c r="B1186" s="416" t="str">
        <f t="shared" si="36"/>
        <v>Summer</v>
      </c>
      <c r="C1186" s="453"/>
      <c r="D1186" s="454"/>
      <c r="E1186" s="455"/>
      <c r="F1186" s="454"/>
      <c r="G1186" s="455"/>
      <c r="H1186" s="454"/>
      <c r="I1186" s="455"/>
      <c r="J1186" s="454"/>
      <c r="K1186" s="455"/>
      <c r="L1186" s="454"/>
      <c r="M1186" s="455"/>
      <c r="N1186" s="454"/>
      <c r="O1186" s="455"/>
      <c r="P1186" s="454"/>
      <c r="Q1186" s="455"/>
      <c r="R1186" s="454"/>
      <c r="S1186" s="455"/>
      <c r="T1186" s="454"/>
      <c r="U1186" s="455"/>
      <c r="V1186" s="454"/>
      <c r="W1186" s="455"/>
      <c r="X1186" s="454"/>
      <c r="Y1186" s="455"/>
      <c r="Z1186" s="454"/>
      <c r="AA1186" s="455"/>
      <c r="AB1186" s="454"/>
      <c r="AC1186" s="455"/>
      <c r="AD1186" s="454"/>
      <c r="AE1186" s="455"/>
      <c r="AF1186" s="454"/>
      <c r="AG1186" s="455"/>
    </row>
    <row r="1187" spans="1:33" x14ac:dyDescent="0.2">
      <c r="A1187" s="415">
        <f t="shared" si="37"/>
        <v>1512</v>
      </c>
      <c r="B1187" s="416" t="str">
        <f t="shared" si="36"/>
        <v>Autumn</v>
      </c>
      <c r="C1187" s="453"/>
      <c r="D1187" s="454"/>
      <c r="E1187" s="455"/>
      <c r="F1187" s="454"/>
      <c r="G1187" s="455"/>
      <c r="H1187" s="454"/>
      <c r="I1187" s="455"/>
      <c r="J1187" s="454"/>
      <c r="K1187" s="455"/>
      <c r="L1187" s="454"/>
      <c r="M1187" s="455"/>
      <c r="N1187" s="454"/>
      <c r="O1187" s="455"/>
      <c r="P1187" s="454"/>
      <c r="Q1187" s="455"/>
      <c r="R1187" s="454"/>
      <c r="S1187" s="455"/>
      <c r="T1187" s="454"/>
      <c r="U1187" s="455"/>
      <c r="V1187" s="454"/>
      <c r="W1187" s="455"/>
      <c r="X1187" s="454"/>
      <c r="Y1187" s="455"/>
      <c r="Z1187" s="454"/>
      <c r="AA1187" s="455"/>
      <c r="AB1187" s="454"/>
      <c r="AC1187" s="455"/>
      <c r="AD1187" s="454"/>
      <c r="AE1187" s="455"/>
      <c r="AF1187" s="454"/>
      <c r="AG1187" s="455"/>
    </row>
    <row r="1188" spans="1:33" x14ac:dyDescent="0.2">
      <c r="A1188" s="415">
        <f t="shared" si="37"/>
        <v>1513</v>
      </c>
      <c r="B1188" s="416" t="str">
        <f t="shared" si="36"/>
        <v>Winter</v>
      </c>
      <c r="C1188" s="453"/>
      <c r="D1188" s="454"/>
      <c r="E1188" s="455"/>
      <c r="F1188" s="454"/>
      <c r="G1188" s="455"/>
      <c r="H1188" s="454"/>
      <c r="I1188" s="455"/>
      <c r="J1188" s="454"/>
      <c r="K1188" s="455"/>
      <c r="L1188" s="454"/>
      <c r="M1188" s="455"/>
      <c r="N1188" s="454"/>
      <c r="O1188" s="455"/>
      <c r="P1188" s="454"/>
      <c r="Q1188" s="455"/>
      <c r="R1188" s="454"/>
      <c r="S1188" s="455"/>
      <c r="T1188" s="454"/>
      <c r="U1188" s="455"/>
      <c r="V1188" s="454"/>
      <c r="W1188" s="455"/>
      <c r="X1188" s="454"/>
      <c r="Y1188" s="455"/>
      <c r="Z1188" s="454"/>
      <c r="AA1188" s="455"/>
      <c r="AB1188" s="454"/>
      <c r="AC1188" s="455"/>
      <c r="AD1188" s="454"/>
      <c r="AE1188" s="455"/>
      <c r="AF1188" s="454"/>
      <c r="AG1188" s="455"/>
    </row>
    <row r="1189" spans="1:33" x14ac:dyDescent="0.2">
      <c r="A1189" s="415">
        <f t="shared" si="37"/>
        <v>1513</v>
      </c>
      <c r="B1189" s="416" t="str">
        <f t="shared" si="36"/>
        <v>Spring</v>
      </c>
      <c r="C1189" s="453"/>
      <c r="D1189" s="454"/>
      <c r="E1189" s="455"/>
      <c r="F1189" s="454"/>
      <c r="G1189" s="455"/>
      <c r="H1189" s="454"/>
      <c r="I1189" s="455"/>
      <c r="J1189" s="454"/>
      <c r="K1189" s="455"/>
      <c r="L1189" s="454"/>
      <c r="M1189" s="455"/>
      <c r="N1189" s="454"/>
      <c r="O1189" s="455"/>
      <c r="P1189" s="454"/>
      <c r="Q1189" s="455"/>
      <c r="R1189" s="454"/>
      <c r="S1189" s="455"/>
      <c r="T1189" s="454"/>
      <c r="U1189" s="455"/>
      <c r="V1189" s="454"/>
      <c r="W1189" s="455"/>
      <c r="X1189" s="454"/>
      <c r="Y1189" s="455"/>
      <c r="Z1189" s="454"/>
      <c r="AA1189" s="455"/>
      <c r="AB1189" s="454"/>
      <c r="AC1189" s="455"/>
      <c r="AD1189" s="454"/>
      <c r="AE1189" s="455"/>
      <c r="AF1189" s="454"/>
      <c r="AG1189" s="455"/>
    </row>
    <row r="1190" spans="1:33" x14ac:dyDescent="0.2">
      <c r="A1190" s="415">
        <f t="shared" si="37"/>
        <v>1513</v>
      </c>
      <c r="B1190" s="416" t="str">
        <f t="shared" si="36"/>
        <v>Summer</v>
      </c>
      <c r="C1190" s="453"/>
      <c r="D1190" s="454"/>
      <c r="E1190" s="455"/>
      <c r="F1190" s="454"/>
      <c r="G1190" s="455"/>
      <c r="H1190" s="454"/>
      <c r="I1190" s="455"/>
      <c r="J1190" s="454"/>
      <c r="K1190" s="455"/>
      <c r="L1190" s="454"/>
      <c r="M1190" s="455"/>
      <c r="N1190" s="454"/>
      <c r="O1190" s="455"/>
      <c r="P1190" s="454"/>
      <c r="Q1190" s="455"/>
      <c r="R1190" s="454"/>
      <c r="S1190" s="455"/>
      <c r="T1190" s="454"/>
      <c r="U1190" s="455"/>
      <c r="V1190" s="454"/>
      <c r="W1190" s="455"/>
      <c r="X1190" s="454"/>
      <c r="Y1190" s="455"/>
      <c r="Z1190" s="454"/>
      <c r="AA1190" s="455"/>
      <c r="AB1190" s="454"/>
      <c r="AC1190" s="455"/>
      <c r="AD1190" s="454"/>
      <c r="AE1190" s="455"/>
      <c r="AF1190" s="454"/>
      <c r="AG1190" s="455"/>
    </row>
    <row r="1191" spans="1:33" x14ac:dyDescent="0.2">
      <c r="A1191" s="415">
        <f t="shared" si="37"/>
        <v>1513</v>
      </c>
      <c r="B1191" s="416" t="str">
        <f t="shared" si="36"/>
        <v>Autumn</v>
      </c>
      <c r="C1191" s="453"/>
      <c r="D1191" s="454"/>
      <c r="E1191" s="455"/>
      <c r="F1191" s="454"/>
      <c r="G1191" s="455"/>
      <c r="H1191" s="454"/>
      <c r="I1191" s="455"/>
      <c r="J1191" s="454"/>
      <c r="K1191" s="455"/>
      <c r="L1191" s="454"/>
      <c r="M1191" s="455"/>
      <c r="N1191" s="454"/>
      <c r="O1191" s="455"/>
      <c r="P1191" s="454"/>
      <c r="Q1191" s="455"/>
      <c r="R1191" s="454"/>
      <c r="S1191" s="455"/>
      <c r="T1191" s="454"/>
      <c r="U1191" s="455"/>
      <c r="V1191" s="454"/>
      <c r="W1191" s="455"/>
      <c r="X1191" s="454"/>
      <c r="Y1191" s="455"/>
      <c r="Z1191" s="454"/>
      <c r="AA1191" s="455"/>
      <c r="AB1191" s="454"/>
      <c r="AC1191" s="455"/>
      <c r="AD1191" s="454"/>
      <c r="AE1191" s="455"/>
      <c r="AF1191" s="454"/>
      <c r="AG1191" s="455"/>
    </row>
    <row r="1192" spans="1:33" x14ac:dyDescent="0.2">
      <c r="A1192" s="415">
        <f t="shared" si="37"/>
        <v>1514</v>
      </c>
      <c r="B1192" s="416" t="str">
        <f t="shared" si="36"/>
        <v>Winter</v>
      </c>
      <c r="C1192" s="453"/>
      <c r="D1192" s="454"/>
      <c r="E1192" s="455"/>
      <c r="F1192" s="454"/>
      <c r="G1192" s="455"/>
      <c r="H1192" s="454"/>
      <c r="I1192" s="455"/>
      <c r="J1192" s="454"/>
      <c r="K1192" s="455"/>
      <c r="L1192" s="454"/>
      <c r="M1192" s="455"/>
      <c r="N1192" s="454"/>
      <c r="O1192" s="455"/>
      <c r="P1192" s="454"/>
      <c r="Q1192" s="455"/>
      <c r="R1192" s="454"/>
      <c r="S1192" s="455"/>
      <c r="T1192" s="454"/>
      <c r="U1192" s="455"/>
      <c r="V1192" s="454"/>
      <c r="W1192" s="455"/>
      <c r="X1192" s="454"/>
      <c r="Y1192" s="455"/>
      <c r="Z1192" s="454"/>
      <c r="AA1192" s="455"/>
      <c r="AB1192" s="454"/>
      <c r="AC1192" s="455"/>
      <c r="AD1192" s="454"/>
      <c r="AE1192" s="455"/>
      <c r="AF1192" s="454"/>
      <c r="AG1192" s="455"/>
    </row>
    <row r="1193" spans="1:33" x14ac:dyDescent="0.2">
      <c r="A1193" s="415">
        <f t="shared" si="37"/>
        <v>1514</v>
      </c>
      <c r="B1193" s="416" t="str">
        <f t="shared" si="36"/>
        <v>Spring</v>
      </c>
      <c r="C1193" s="453"/>
      <c r="D1193" s="454"/>
      <c r="E1193" s="455"/>
      <c r="F1193" s="454"/>
      <c r="G1193" s="455"/>
      <c r="H1193" s="454"/>
      <c r="I1193" s="455"/>
      <c r="J1193" s="454"/>
      <c r="K1193" s="455"/>
      <c r="L1193" s="454"/>
      <c r="M1193" s="455"/>
      <c r="N1193" s="454"/>
      <c r="O1193" s="455"/>
      <c r="P1193" s="454"/>
      <c r="Q1193" s="455"/>
      <c r="R1193" s="454"/>
      <c r="S1193" s="455"/>
      <c r="T1193" s="454"/>
      <c r="U1193" s="455"/>
      <c r="V1193" s="454"/>
      <c r="W1193" s="455"/>
      <c r="X1193" s="454"/>
      <c r="Y1193" s="455"/>
      <c r="Z1193" s="454"/>
      <c r="AA1193" s="455"/>
      <c r="AB1193" s="454"/>
      <c r="AC1193" s="455"/>
      <c r="AD1193" s="454"/>
      <c r="AE1193" s="455"/>
      <c r="AF1193" s="454"/>
      <c r="AG1193" s="455"/>
    </row>
    <row r="1194" spans="1:33" x14ac:dyDescent="0.2">
      <c r="A1194" s="415">
        <f t="shared" si="37"/>
        <v>1514</v>
      </c>
      <c r="B1194" s="416" t="str">
        <f t="shared" si="36"/>
        <v>Summer</v>
      </c>
      <c r="C1194" s="453"/>
      <c r="D1194" s="454"/>
      <c r="E1194" s="455"/>
      <c r="F1194" s="454"/>
      <c r="G1194" s="455"/>
      <c r="H1194" s="454"/>
      <c r="I1194" s="455"/>
      <c r="J1194" s="454"/>
      <c r="K1194" s="455"/>
      <c r="L1194" s="454"/>
      <c r="M1194" s="455"/>
      <c r="N1194" s="454"/>
      <c r="O1194" s="455"/>
      <c r="P1194" s="454"/>
      <c r="Q1194" s="455"/>
      <c r="R1194" s="454"/>
      <c r="S1194" s="455"/>
      <c r="T1194" s="454"/>
      <c r="U1194" s="455"/>
      <c r="V1194" s="454"/>
      <c r="W1194" s="455"/>
      <c r="X1194" s="454"/>
      <c r="Y1194" s="455"/>
      <c r="Z1194" s="454"/>
      <c r="AA1194" s="455"/>
      <c r="AB1194" s="454"/>
      <c r="AC1194" s="455"/>
      <c r="AD1194" s="454"/>
      <c r="AE1194" s="455"/>
      <c r="AF1194" s="454"/>
      <c r="AG1194" s="455"/>
    </row>
    <row r="1195" spans="1:33" x14ac:dyDescent="0.2">
      <c r="A1195" s="415">
        <f t="shared" si="37"/>
        <v>1514</v>
      </c>
      <c r="B1195" s="416" t="str">
        <f t="shared" ref="B1195:B1258" si="38">IF(B1194="spring","Summer",IF(B1194="Summer","Autumn",IF(B1194="Autumn","Winter",IF(B1194="Winter","Spring"," "))))</f>
        <v>Autumn</v>
      </c>
      <c r="C1195" s="453"/>
      <c r="D1195" s="454"/>
      <c r="E1195" s="455"/>
      <c r="F1195" s="454"/>
      <c r="G1195" s="455"/>
      <c r="H1195" s="454"/>
      <c r="I1195" s="455"/>
      <c r="J1195" s="454"/>
      <c r="K1195" s="455"/>
      <c r="L1195" s="454"/>
      <c r="M1195" s="455"/>
      <c r="N1195" s="454"/>
      <c r="O1195" s="455"/>
      <c r="P1195" s="454"/>
      <c r="Q1195" s="455"/>
      <c r="R1195" s="454"/>
      <c r="S1195" s="455"/>
      <c r="T1195" s="454"/>
      <c r="U1195" s="455"/>
      <c r="V1195" s="454"/>
      <c r="W1195" s="455"/>
      <c r="X1195" s="454"/>
      <c r="Y1195" s="455"/>
      <c r="Z1195" s="454"/>
      <c r="AA1195" s="455"/>
      <c r="AB1195" s="454"/>
      <c r="AC1195" s="455"/>
      <c r="AD1195" s="454"/>
      <c r="AE1195" s="455"/>
      <c r="AF1195" s="454"/>
      <c r="AG1195" s="455"/>
    </row>
    <row r="1196" spans="1:33" x14ac:dyDescent="0.2">
      <c r="A1196" s="415">
        <f t="shared" si="37"/>
        <v>1515</v>
      </c>
      <c r="B1196" s="416" t="str">
        <f t="shared" si="38"/>
        <v>Winter</v>
      </c>
      <c r="C1196" s="453"/>
      <c r="D1196" s="454"/>
      <c r="E1196" s="455"/>
      <c r="F1196" s="454"/>
      <c r="G1196" s="455"/>
      <c r="H1196" s="454"/>
      <c r="I1196" s="455"/>
      <c r="J1196" s="454"/>
      <c r="K1196" s="455"/>
      <c r="L1196" s="454"/>
      <c r="M1196" s="455"/>
      <c r="N1196" s="454"/>
      <c r="O1196" s="455"/>
      <c r="P1196" s="454"/>
      <c r="Q1196" s="455"/>
      <c r="R1196" s="454"/>
      <c r="S1196" s="455"/>
      <c r="T1196" s="454"/>
      <c r="U1196" s="455"/>
      <c r="V1196" s="454"/>
      <c r="W1196" s="455"/>
      <c r="X1196" s="454"/>
      <c r="Y1196" s="455"/>
      <c r="Z1196" s="454"/>
      <c r="AA1196" s="455"/>
      <c r="AB1196" s="454"/>
      <c r="AC1196" s="455"/>
      <c r="AD1196" s="454"/>
      <c r="AE1196" s="455"/>
      <c r="AF1196" s="454"/>
      <c r="AG1196" s="455"/>
    </row>
    <row r="1197" spans="1:33" x14ac:dyDescent="0.2">
      <c r="A1197" s="415">
        <f t="shared" si="37"/>
        <v>1515</v>
      </c>
      <c r="B1197" s="416" t="str">
        <f t="shared" si="38"/>
        <v>Spring</v>
      </c>
      <c r="C1197" s="453"/>
      <c r="D1197" s="454"/>
      <c r="E1197" s="455"/>
      <c r="F1197" s="454"/>
      <c r="G1197" s="455"/>
      <c r="H1197" s="454"/>
      <c r="I1197" s="455"/>
      <c r="J1197" s="454"/>
      <c r="K1197" s="455"/>
      <c r="L1197" s="454"/>
      <c r="M1197" s="455"/>
      <c r="N1197" s="454"/>
      <c r="O1197" s="455"/>
      <c r="P1197" s="454"/>
      <c r="Q1197" s="455"/>
      <c r="R1197" s="454"/>
      <c r="S1197" s="455"/>
      <c r="T1197" s="454"/>
      <c r="U1197" s="455"/>
      <c r="V1197" s="454"/>
      <c r="W1197" s="455"/>
      <c r="X1197" s="454"/>
      <c r="Y1197" s="455"/>
      <c r="Z1197" s="454"/>
      <c r="AA1197" s="455"/>
      <c r="AB1197" s="454"/>
      <c r="AC1197" s="455"/>
      <c r="AD1197" s="454"/>
      <c r="AE1197" s="455"/>
      <c r="AF1197" s="454"/>
      <c r="AG1197" s="455"/>
    </row>
    <row r="1198" spans="1:33" x14ac:dyDescent="0.2">
      <c r="A1198" s="415">
        <f t="shared" si="37"/>
        <v>1515</v>
      </c>
      <c r="B1198" s="416" t="str">
        <f t="shared" si="38"/>
        <v>Summer</v>
      </c>
      <c r="C1198" s="453"/>
      <c r="D1198" s="454"/>
      <c r="E1198" s="455"/>
      <c r="F1198" s="454"/>
      <c r="G1198" s="455"/>
      <c r="H1198" s="454"/>
      <c r="I1198" s="455"/>
      <c r="J1198" s="454"/>
      <c r="K1198" s="455"/>
      <c r="L1198" s="454"/>
      <c r="M1198" s="455"/>
      <c r="N1198" s="454"/>
      <c r="O1198" s="455"/>
      <c r="P1198" s="454"/>
      <c r="Q1198" s="455"/>
      <c r="R1198" s="454"/>
      <c r="S1198" s="455"/>
      <c r="T1198" s="454"/>
      <c r="U1198" s="455"/>
      <c r="V1198" s="454"/>
      <c r="W1198" s="455"/>
      <c r="X1198" s="454"/>
      <c r="Y1198" s="455"/>
      <c r="Z1198" s="454"/>
      <c r="AA1198" s="455"/>
      <c r="AB1198" s="454"/>
      <c r="AC1198" s="455"/>
      <c r="AD1198" s="454"/>
      <c r="AE1198" s="455"/>
      <c r="AF1198" s="454"/>
      <c r="AG1198" s="455"/>
    </row>
    <row r="1199" spans="1:33" x14ac:dyDescent="0.2">
      <c r="A1199" s="415">
        <f t="shared" si="37"/>
        <v>1515</v>
      </c>
      <c r="B1199" s="416" t="str">
        <f t="shared" si="38"/>
        <v>Autumn</v>
      </c>
      <c r="C1199" s="453"/>
      <c r="D1199" s="454"/>
      <c r="E1199" s="455"/>
      <c r="F1199" s="454"/>
      <c r="G1199" s="455"/>
      <c r="H1199" s="454"/>
      <c r="I1199" s="455"/>
      <c r="J1199" s="454"/>
      <c r="K1199" s="455"/>
      <c r="L1199" s="454"/>
      <c r="M1199" s="455"/>
      <c r="N1199" s="454"/>
      <c r="O1199" s="455"/>
      <c r="P1199" s="454"/>
      <c r="Q1199" s="455"/>
      <c r="R1199" s="454"/>
      <c r="S1199" s="455"/>
      <c r="T1199" s="454"/>
      <c r="U1199" s="455"/>
      <c r="V1199" s="454"/>
      <c r="W1199" s="455"/>
      <c r="X1199" s="454"/>
      <c r="Y1199" s="455"/>
      <c r="Z1199" s="454"/>
      <c r="AA1199" s="455"/>
      <c r="AB1199" s="454"/>
      <c r="AC1199" s="455"/>
      <c r="AD1199" s="454"/>
      <c r="AE1199" s="455"/>
      <c r="AF1199" s="454"/>
      <c r="AG1199" s="455"/>
    </row>
    <row r="1200" spans="1:33" x14ac:dyDescent="0.2">
      <c r="A1200" s="415">
        <f t="shared" si="37"/>
        <v>1516</v>
      </c>
      <c r="B1200" s="416" t="str">
        <f t="shared" si="38"/>
        <v>Winter</v>
      </c>
      <c r="C1200" s="453"/>
      <c r="D1200" s="454"/>
      <c r="E1200" s="455"/>
      <c r="F1200" s="454"/>
      <c r="G1200" s="455"/>
      <c r="H1200" s="454"/>
      <c r="I1200" s="455"/>
      <c r="J1200" s="454"/>
      <c r="K1200" s="455"/>
      <c r="L1200" s="454"/>
      <c r="M1200" s="455"/>
      <c r="N1200" s="454"/>
      <c r="O1200" s="455"/>
      <c r="P1200" s="454"/>
      <c r="Q1200" s="455"/>
      <c r="R1200" s="454"/>
      <c r="S1200" s="455"/>
      <c r="T1200" s="454"/>
      <c r="U1200" s="455"/>
      <c r="V1200" s="454"/>
      <c r="W1200" s="455"/>
      <c r="X1200" s="454"/>
      <c r="Y1200" s="455"/>
      <c r="Z1200" s="454"/>
      <c r="AA1200" s="455"/>
      <c r="AB1200" s="454"/>
      <c r="AC1200" s="455"/>
      <c r="AD1200" s="454"/>
      <c r="AE1200" s="455"/>
      <c r="AF1200" s="454"/>
      <c r="AG1200" s="455"/>
    </row>
    <row r="1201" spans="1:33" x14ac:dyDescent="0.2">
      <c r="A1201" s="415">
        <f t="shared" si="37"/>
        <v>1516</v>
      </c>
      <c r="B1201" s="416" t="str">
        <f t="shared" si="38"/>
        <v>Spring</v>
      </c>
      <c r="C1201" s="453"/>
      <c r="D1201" s="454"/>
      <c r="E1201" s="455"/>
      <c r="F1201" s="454"/>
      <c r="G1201" s="455"/>
      <c r="H1201" s="454"/>
      <c r="I1201" s="455"/>
      <c r="J1201" s="454"/>
      <c r="K1201" s="455"/>
      <c r="L1201" s="454"/>
      <c r="M1201" s="455"/>
      <c r="N1201" s="454"/>
      <c r="O1201" s="455"/>
      <c r="P1201" s="454"/>
      <c r="Q1201" s="455"/>
      <c r="R1201" s="454"/>
      <c r="S1201" s="455"/>
      <c r="T1201" s="454"/>
      <c r="U1201" s="455"/>
      <c r="V1201" s="454"/>
      <c r="W1201" s="455"/>
      <c r="X1201" s="454"/>
      <c r="Y1201" s="455"/>
      <c r="Z1201" s="454"/>
      <c r="AA1201" s="455"/>
      <c r="AB1201" s="454"/>
      <c r="AC1201" s="455"/>
      <c r="AD1201" s="454"/>
      <c r="AE1201" s="455"/>
      <c r="AF1201" s="454"/>
      <c r="AG1201" s="455"/>
    </row>
    <row r="1202" spans="1:33" x14ac:dyDescent="0.2">
      <c r="A1202" s="415">
        <f t="shared" si="37"/>
        <v>1516</v>
      </c>
      <c r="B1202" s="416" t="str">
        <f t="shared" si="38"/>
        <v>Summer</v>
      </c>
      <c r="C1202" s="453"/>
      <c r="D1202" s="454"/>
      <c r="E1202" s="455"/>
      <c r="F1202" s="454"/>
      <c r="G1202" s="455"/>
      <c r="H1202" s="454"/>
      <c r="I1202" s="455"/>
      <c r="J1202" s="454"/>
      <c r="K1202" s="455"/>
      <c r="L1202" s="454"/>
      <c r="M1202" s="455"/>
      <c r="N1202" s="454"/>
      <c r="O1202" s="455"/>
      <c r="P1202" s="454"/>
      <c r="Q1202" s="455"/>
      <c r="R1202" s="454"/>
      <c r="S1202" s="455"/>
      <c r="T1202" s="454"/>
      <c r="U1202" s="455"/>
      <c r="V1202" s="454"/>
      <c r="W1202" s="455"/>
      <c r="X1202" s="454"/>
      <c r="Y1202" s="455"/>
      <c r="Z1202" s="454"/>
      <c r="AA1202" s="455"/>
      <c r="AB1202" s="454"/>
      <c r="AC1202" s="455"/>
      <c r="AD1202" s="454"/>
      <c r="AE1202" s="455"/>
      <c r="AF1202" s="454"/>
      <c r="AG1202" s="455"/>
    </row>
    <row r="1203" spans="1:33" x14ac:dyDescent="0.2">
      <c r="A1203" s="415">
        <f t="shared" si="37"/>
        <v>1516</v>
      </c>
      <c r="B1203" s="416" t="str">
        <f t="shared" si="38"/>
        <v>Autumn</v>
      </c>
      <c r="C1203" s="453"/>
      <c r="D1203" s="454"/>
      <c r="E1203" s="455"/>
      <c r="F1203" s="454"/>
      <c r="G1203" s="455"/>
      <c r="H1203" s="454"/>
      <c r="I1203" s="455"/>
      <c r="J1203" s="454"/>
      <c r="K1203" s="455"/>
      <c r="L1203" s="454"/>
      <c r="M1203" s="455"/>
      <c r="N1203" s="454"/>
      <c r="O1203" s="455"/>
      <c r="P1203" s="454"/>
      <c r="Q1203" s="455"/>
      <c r="R1203" s="454"/>
      <c r="S1203" s="455"/>
      <c r="T1203" s="454"/>
      <c r="U1203" s="455"/>
      <c r="V1203" s="454"/>
      <c r="W1203" s="455"/>
      <c r="X1203" s="454"/>
      <c r="Y1203" s="455"/>
      <c r="Z1203" s="454"/>
      <c r="AA1203" s="455"/>
      <c r="AB1203" s="454"/>
      <c r="AC1203" s="455"/>
      <c r="AD1203" s="454"/>
      <c r="AE1203" s="455"/>
      <c r="AF1203" s="454"/>
      <c r="AG1203" s="455"/>
    </row>
    <row r="1204" spans="1:33" x14ac:dyDescent="0.2">
      <c r="A1204" s="415">
        <f t="shared" si="37"/>
        <v>1517</v>
      </c>
      <c r="B1204" s="416" t="str">
        <f t="shared" si="38"/>
        <v>Winter</v>
      </c>
      <c r="C1204" s="453"/>
      <c r="D1204" s="454"/>
      <c r="E1204" s="455"/>
      <c r="F1204" s="454"/>
      <c r="G1204" s="455"/>
      <c r="H1204" s="454"/>
      <c r="I1204" s="455"/>
      <c r="J1204" s="454"/>
      <c r="K1204" s="455"/>
      <c r="L1204" s="454"/>
      <c r="M1204" s="455"/>
      <c r="N1204" s="454"/>
      <c r="O1204" s="455"/>
      <c r="P1204" s="454"/>
      <c r="Q1204" s="455"/>
      <c r="R1204" s="454"/>
      <c r="S1204" s="455"/>
      <c r="T1204" s="454"/>
      <c r="U1204" s="455"/>
      <c r="V1204" s="454"/>
      <c r="W1204" s="455"/>
      <c r="X1204" s="454"/>
      <c r="Y1204" s="455"/>
      <c r="Z1204" s="454"/>
      <c r="AA1204" s="455"/>
      <c r="AB1204" s="454"/>
      <c r="AC1204" s="455"/>
      <c r="AD1204" s="454"/>
      <c r="AE1204" s="455"/>
      <c r="AF1204" s="454"/>
      <c r="AG1204" s="455"/>
    </row>
    <row r="1205" spans="1:33" x14ac:dyDescent="0.2">
      <c r="A1205" s="415">
        <f t="shared" si="37"/>
        <v>1517</v>
      </c>
      <c r="B1205" s="416" t="str">
        <f t="shared" si="38"/>
        <v>Spring</v>
      </c>
      <c r="C1205" s="453"/>
      <c r="D1205" s="454"/>
      <c r="E1205" s="455"/>
      <c r="F1205" s="454"/>
      <c r="G1205" s="455"/>
      <c r="H1205" s="454"/>
      <c r="I1205" s="455"/>
      <c r="J1205" s="454"/>
      <c r="K1205" s="455"/>
      <c r="L1205" s="454"/>
      <c r="M1205" s="455"/>
      <c r="N1205" s="454"/>
      <c r="O1205" s="455"/>
      <c r="P1205" s="454"/>
      <c r="Q1205" s="455"/>
      <c r="R1205" s="454"/>
      <c r="S1205" s="455"/>
      <c r="T1205" s="454"/>
      <c r="U1205" s="455"/>
      <c r="V1205" s="454"/>
      <c r="W1205" s="455"/>
      <c r="X1205" s="454"/>
      <c r="Y1205" s="455"/>
      <c r="Z1205" s="454"/>
      <c r="AA1205" s="455"/>
      <c r="AB1205" s="454"/>
      <c r="AC1205" s="455"/>
      <c r="AD1205" s="454"/>
      <c r="AE1205" s="455"/>
      <c r="AF1205" s="454"/>
      <c r="AG1205" s="455"/>
    </row>
    <row r="1206" spans="1:33" x14ac:dyDescent="0.2">
      <c r="A1206" s="415">
        <f t="shared" si="37"/>
        <v>1517</v>
      </c>
      <c r="B1206" s="416" t="str">
        <f t="shared" si="38"/>
        <v>Summer</v>
      </c>
      <c r="C1206" s="453"/>
      <c r="D1206" s="454"/>
      <c r="E1206" s="455"/>
      <c r="F1206" s="454"/>
      <c r="G1206" s="455"/>
      <c r="H1206" s="454"/>
      <c r="I1206" s="455"/>
      <c r="J1206" s="454"/>
      <c r="K1206" s="455"/>
      <c r="L1206" s="454"/>
      <c r="M1206" s="455"/>
      <c r="N1206" s="454"/>
      <c r="O1206" s="455"/>
      <c r="P1206" s="454"/>
      <c r="Q1206" s="455"/>
      <c r="R1206" s="454"/>
      <c r="S1206" s="455"/>
      <c r="T1206" s="454"/>
      <c r="U1206" s="455"/>
      <c r="V1206" s="454"/>
      <c r="W1206" s="455"/>
      <c r="X1206" s="454"/>
      <c r="Y1206" s="455"/>
      <c r="Z1206" s="454"/>
      <c r="AA1206" s="455"/>
      <c r="AB1206" s="454"/>
      <c r="AC1206" s="455"/>
      <c r="AD1206" s="454"/>
      <c r="AE1206" s="455"/>
      <c r="AF1206" s="454"/>
      <c r="AG1206" s="455"/>
    </row>
    <row r="1207" spans="1:33" x14ac:dyDescent="0.2">
      <c r="A1207" s="415">
        <f t="shared" si="37"/>
        <v>1517</v>
      </c>
      <c r="B1207" s="416" t="str">
        <f t="shared" si="38"/>
        <v>Autumn</v>
      </c>
      <c r="C1207" s="453"/>
      <c r="D1207" s="454"/>
      <c r="E1207" s="455"/>
      <c r="F1207" s="454"/>
      <c r="G1207" s="455"/>
      <c r="H1207" s="454"/>
      <c r="I1207" s="455"/>
      <c r="J1207" s="454"/>
      <c r="K1207" s="455"/>
      <c r="L1207" s="454"/>
      <c r="M1207" s="455"/>
      <c r="N1207" s="454"/>
      <c r="O1207" s="455"/>
      <c r="P1207" s="454"/>
      <c r="Q1207" s="455"/>
      <c r="R1207" s="454"/>
      <c r="S1207" s="455"/>
      <c r="T1207" s="454"/>
      <c r="U1207" s="455"/>
      <c r="V1207" s="454"/>
      <c r="W1207" s="455"/>
      <c r="X1207" s="454"/>
      <c r="Y1207" s="455"/>
      <c r="Z1207" s="454"/>
      <c r="AA1207" s="455"/>
      <c r="AB1207" s="454"/>
      <c r="AC1207" s="455"/>
      <c r="AD1207" s="454"/>
      <c r="AE1207" s="455"/>
      <c r="AF1207" s="454"/>
      <c r="AG1207" s="455"/>
    </row>
    <row r="1208" spans="1:33" x14ac:dyDescent="0.2">
      <c r="A1208" s="415">
        <f t="shared" si="37"/>
        <v>1518</v>
      </c>
      <c r="B1208" s="416" t="str">
        <f t="shared" si="38"/>
        <v>Winter</v>
      </c>
      <c r="C1208" s="453"/>
      <c r="D1208" s="454"/>
      <c r="E1208" s="455"/>
      <c r="F1208" s="454"/>
      <c r="G1208" s="455"/>
      <c r="H1208" s="454"/>
      <c r="I1208" s="455"/>
      <c r="J1208" s="454"/>
      <c r="K1208" s="455"/>
      <c r="L1208" s="454"/>
      <c r="M1208" s="455"/>
      <c r="N1208" s="454"/>
      <c r="O1208" s="455"/>
      <c r="P1208" s="454"/>
      <c r="Q1208" s="455"/>
      <c r="R1208" s="454"/>
      <c r="S1208" s="455"/>
      <c r="T1208" s="454"/>
      <c r="U1208" s="455"/>
      <c r="V1208" s="454"/>
      <c r="W1208" s="455"/>
      <c r="X1208" s="454"/>
      <c r="Y1208" s="455"/>
      <c r="Z1208" s="454"/>
      <c r="AA1208" s="455"/>
      <c r="AB1208" s="454"/>
      <c r="AC1208" s="455"/>
      <c r="AD1208" s="454"/>
      <c r="AE1208" s="455"/>
      <c r="AF1208" s="454"/>
      <c r="AG1208" s="455"/>
    </row>
    <row r="1209" spans="1:33" x14ac:dyDescent="0.2">
      <c r="A1209" s="415">
        <f t="shared" si="37"/>
        <v>1518</v>
      </c>
      <c r="B1209" s="416" t="str">
        <f t="shared" si="38"/>
        <v>Spring</v>
      </c>
      <c r="C1209" s="453"/>
      <c r="D1209" s="454"/>
      <c r="E1209" s="455"/>
      <c r="F1209" s="454"/>
      <c r="G1209" s="455"/>
      <c r="H1209" s="454"/>
      <c r="I1209" s="455"/>
      <c r="J1209" s="454"/>
      <c r="K1209" s="455"/>
      <c r="L1209" s="454"/>
      <c r="M1209" s="455"/>
      <c r="N1209" s="454"/>
      <c r="O1209" s="455"/>
      <c r="P1209" s="454"/>
      <c r="Q1209" s="455"/>
      <c r="R1209" s="454"/>
      <c r="S1209" s="455"/>
      <c r="T1209" s="454"/>
      <c r="U1209" s="455"/>
      <c r="V1209" s="454"/>
      <c r="W1209" s="455"/>
      <c r="X1209" s="454"/>
      <c r="Y1209" s="455"/>
      <c r="Z1209" s="454"/>
      <c r="AA1209" s="455"/>
      <c r="AB1209" s="454"/>
      <c r="AC1209" s="455"/>
      <c r="AD1209" s="454"/>
      <c r="AE1209" s="455"/>
      <c r="AF1209" s="454"/>
      <c r="AG1209" s="455"/>
    </row>
    <row r="1210" spans="1:33" x14ac:dyDescent="0.2">
      <c r="A1210" s="415">
        <f t="shared" si="37"/>
        <v>1518</v>
      </c>
      <c r="B1210" s="416" t="str">
        <f t="shared" si="38"/>
        <v>Summer</v>
      </c>
      <c r="C1210" s="453"/>
      <c r="D1210" s="454"/>
      <c r="E1210" s="455"/>
      <c r="F1210" s="454"/>
      <c r="G1210" s="455"/>
      <c r="H1210" s="454"/>
      <c r="I1210" s="455"/>
      <c r="J1210" s="454"/>
      <c r="K1210" s="455"/>
      <c r="L1210" s="454"/>
      <c r="M1210" s="455"/>
      <c r="N1210" s="454"/>
      <c r="O1210" s="455"/>
      <c r="P1210" s="454"/>
      <c r="Q1210" s="455"/>
      <c r="R1210" s="454"/>
      <c r="S1210" s="455"/>
      <c r="T1210" s="454"/>
      <c r="U1210" s="455"/>
      <c r="V1210" s="454"/>
      <c r="W1210" s="455"/>
      <c r="X1210" s="454"/>
      <c r="Y1210" s="455"/>
      <c r="Z1210" s="454"/>
      <c r="AA1210" s="455"/>
      <c r="AB1210" s="454"/>
      <c r="AC1210" s="455"/>
      <c r="AD1210" s="454"/>
      <c r="AE1210" s="455"/>
      <c r="AF1210" s="454"/>
      <c r="AG1210" s="455"/>
    </row>
    <row r="1211" spans="1:33" x14ac:dyDescent="0.2">
      <c r="A1211" s="415">
        <f t="shared" si="37"/>
        <v>1518</v>
      </c>
      <c r="B1211" s="416" t="str">
        <f t="shared" si="38"/>
        <v>Autumn</v>
      </c>
      <c r="C1211" s="453"/>
      <c r="D1211" s="454"/>
      <c r="E1211" s="455"/>
      <c r="F1211" s="454"/>
      <c r="G1211" s="455"/>
      <c r="H1211" s="454"/>
      <c r="I1211" s="455"/>
      <c r="J1211" s="454"/>
      <c r="K1211" s="455"/>
      <c r="L1211" s="454"/>
      <c r="M1211" s="455"/>
      <c r="N1211" s="454"/>
      <c r="O1211" s="455"/>
      <c r="P1211" s="454"/>
      <c r="Q1211" s="455"/>
      <c r="R1211" s="454"/>
      <c r="S1211" s="455"/>
      <c r="T1211" s="454"/>
      <c r="U1211" s="455"/>
      <c r="V1211" s="454"/>
      <c r="W1211" s="455"/>
      <c r="X1211" s="454"/>
      <c r="Y1211" s="455"/>
      <c r="Z1211" s="454"/>
      <c r="AA1211" s="455"/>
      <c r="AB1211" s="454"/>
      <c r="AC1211" s="455"/>
      <c r="AD1211" s="454"/>
      <c r="AE1211" s="455"/>
      <c r="AF1211" s="454"/>
      <c r="AG1211" s="455"/>
    </row>
    <row r="1212" spans="1:33" x14ac:dyDescent="0.2">
      <c r="A1212" s="415">
        <f t="shared" si="37"/>
        <v>1519</v>
      </c>
      <c r="B1212" s="416" t="str">
        <f t="shared" si="38"/>
        <v>Winter</v>
      </c>
      <c r="C1212" s="453"/>
      <c r="D1212" s="454"/>
      <c r="E1212" s="455"/>
      <c r="F1212" s="454"/>
      <c r="G1212" s="455"/>
      <c r="H1212" s="454"/>
      <c r="I1212" s="455"/>
      <c r="J1212" s="454"/>
      <c r="K1212" s="455"/>
      <c r="L1212" s="454"/>
      <c r="M1212" s="455"/>
      <c r="N1212" s="454"/>
      <c r="O1212" s="455"/>
      <c r="P1212" s="454"/>
      <c r="Q1212" s="455"/>
      <c r="R1212" s="454"/>
      <c r="S1212" s="455"/>
      <c r="T1212" s="454"/>
      <c r="U1212" s="455"/>
      <c r="V1212" s="454"/>
      <c r="W1212" s="455"/>
      <c r="X1212" s="454"/>
      <c r="Y1212" s="455"/>
      <c r="Z1212" s="454"/>
      <c r="AA1212" s="455"/>
      <c r="AB1212" s="454"/>
      <c r="AC1212" s="455"/>
      <c r="AD1212" s="454"/>
      <c r="AE1212" s="455"/>
      <c r="AF1212" s="454"/>
      <c r="AG1212" s="455"/>
    </row>
    <row r="1213" spans="1:33" x14ac:dyDescent="0.2">
      <c r="A1213" s="415">
        <f t="shared" si="37"/>
        <v>1519</v>
      </c>
      <c r="B1213" s="416" t="str">
        <f t="shared" si="38"/>
        <v>Spring</v>
      </c>
      <c r="C1213" s="453"/>
      <c r="D1213" s="454"/>
      <c r="E1213" s="455"/>
      <c r="F1213" s="454"/>
      <c r="G1213" s="455"/>
      <c r="H1213" s="454"/>
      <c r="I1213" s="455"/>
      <c r="J1213" s="454"/>
      <c r="K1213" s="455"/>
      <c r="L1213" s="454"/>
      <c r="M1213" s="455"/>
      <c r="N1213" s="454"/>
      <c r="O1213" s="455"/>
      <c r="P1213" s="454"/>
      <c r="Q1213" s="455"/>
      <c r="R1213" s="454"/>
      <c r="S1213" s="455"/>
      <c r="T1213" s="454"/>
      <c r="U1213" s="455"/>
      <c r="V1213" s="454"/>
      <c r="W1213" s="455"/>
      <c r="X1213" s="454"/>
      <c r="Y1213" s="455"/>
      <c r="Z1213" s="454"/>
      <c r="AA1213" s="455"/>
      <c r="AB1213" s="454"/>
      <c r="AC1213" s="455"/>
      <c r="AD1213" s="454"/>
      <c r="AE1213" s="455"/>
      <c r="AF1213" s="454"/>
      <c r="AG1213" s="455"/>
    </row>
    <row r="1214" spans="1:33" x14ac:dyDescent="0.2">
      <c r="A1214" s="415">
        <f t="shared" si="37"/>
        <v>1519</v>
      </c>
      <c r="B1214" s="416" t="str">
        <f t="shared" si="38"/>
        <v>Summer</v>
      </c>
      <c r="C1214" s="453"/>
      <c r="D1214" s="454"/>
      <c r="E1214" s="455"/>
      <c r="F1214" s="454"/>
      <c r="G1214" s="455"/>
      <c r="H1214" s="454"/>
      <c r="I1214" s="455"/>
      <c r="J1214" s="454"/>
      <c r="K1214" s="455"/>
      <c r="L1214" s="454"/>
      <c r="M1214" s="455"/>
      <c r="N1214" s="454"/>
      <c r="O1214" s="455"/>
      <c r="P1214" s="454"/>
      <c r="Q1214" s="455"/>
      <c r="R1214" s="454"/>
      <c r="S1214" s="455"/>
      <c r="T1214" s="454"/>
      <c r="U1214" s="455"/>
      <c r="V1214" s="454"/>
      <c r="W1214" s="455"/>
      <c r="X1214" s="454"/>
      <c r="Y1214" s="455"/>
      <c r="Z1214" s="454"/>
      <c r="AA1214" s="455"/>
      <c r="AB1214" s="454"/>
      <c r="AC1214" s="455"/>
      <c r="AD1214" s="454"/>
      <c r="AE1214" s="455"/>
      <c r="AF1214" s="454"/>
      <c r="AG1214" s="455"/>
    </row>
    <row r="1215" spans="1:33" x14ac:dyDescent="0.2">
      <c r="A1215" s="415">
        <f t="shared" si="37"/>
        <v>1519</v>
      </c>
      <c r="B1215" s="416" t="str">
        <f t="shared" si="38"/>
        <v>Autumn</v>
      </c>
      <c r="C1215" s="453"/>
      <c r="D1215" s="454"/>
      <c r="E1215" s="455"/>
      <c r="F1215" s="454"/>
      <c r="G1215" s="455"/>
      <c r="H1215" s="454"/>
      <c r="I1215" s="455"/>
      <c r="J1215" s="454"/>
      <c r="K1215" s="455"/>
      <c r="L1215" s="454"/>
      <c r="M1215" s="455"/>
      <c r="N1215" s="454"/>
      <c r="O1215" s="455"/>
      <c r="P1215" s="454"/>
      <c r="Q1215" s="455"/>
      <c r="R1215" s="454"/>
      <c r="S1215" s="455"/>
      <c r="T1215" s="454"/>
      <c r="U1215" s="455"/>
      <c r="V1215" s="454"/>
      <c r="W1215" s="455"/>
      <c r="X1215" s="454"/>
      <c r="Y1215" s="455"/>
      <c r="Z1215" s="454"/>
      <c r="AA1215" s="455"/>
      <c r="AB1215" s="454"/>
      <c r="AC1215" s="455"/>
      <c r="AD1215" s="454"/>
      <c r="AE1215" s="455"/>
      <c r="AF1215" s="454"/>
      <c r="AG1215" s="455"/>
    </row>
    <row r="1216" spans="1:33" x14ac:dyDescent="0.2">
      <c r="A1216" s="415">
        <f t="shared" si="37"/>
        <v>1520</v>
      </c>
      <c r="B1216" s="416" t="str">
        <f t="shared" si="38"/>
        <v>Winter</v>
      </c>
      <c r="C1216" s="453"/>
      <c r="D1216" s="454"/>
      <c r="E1216" s="455"/>
      <c r="F1216" s="454"/>
      <c r="G1216" s="455"/>
      <c r="H1216" s="454"/>
      <c r="I1216" s="455"/>
      <c r="J1216" s="454"/>
      <c r="K1216" s="455"/>
      <c r="L1216" s="454"/>
      <c r="M1216" s="455"/>
      <c r="N1216" s="454"/>
      <c r="O1216" s="455"/>
      <c r="P1216" s="454"/>
      <c r="Q1216" s="455"/>
      <c r="R1216" s="454"/>
      <c r="S1216" s="455"/>
      <c r="T1216" s="454"/>
      <c r="U1216" s="455"/>
      <c r="V1216" s="454"/>
      <c r="W1216" s="455"/>
      <c r="X1216" s="454"/>
      <c r="Y1216" s="455"/>
      <c r="Z1216" s="454"/>
      <c r="AA1216" s="455"/>
      <c r="AB1216" s="454"/>
      <c r="AC1216" s="455"/>
      <c r="AD1216" s="454"/>
      <c r="AE1216" s="455"/>
      <c r="AF1216" s="454"/>
      <c r="AG1216" s="455"/>
    </row>
    <row r="1217" spans="1:33" x14ac:dyDescent="0.2">
      <c r="A1217" s="415">
        <f t="shared" si="37"/>
        <v>1520</v>
      </c>
      <c r="B1217" s="416" t="str">
        <f t="shared" si="38"/>
        <v>Spring</v>
      </c>
      <c r="C1217" s="453"/>
      <c r="D1217" s="454"/>
      <c r="E1217" s="455"/>
      <c r="F1217" s="454"/>
      <c r="G1217" s="455"/>
      <c r="H1217" s="454"/>
      <c r="I1217" s="455"/>
      <c r="J1217" s="454"/>
      <c r="K1217" s="455"/>
      <c r="L1217" s="454"/>
      <c r="M1217" s="455"/>
      <c r="N1217" s="454"/>
      <c r="O1217" s="455"/>
      <c r="P1217" s="454"/>
      <c r="Q1217" s="455"/>
      <c r="R1217" s="454"/>
      <c r="S1217" s="455"/>
      <c r="T1217" s="454"/>
      <c r="U1217" s="455"/>
      <c r="V1217" s="454"/>
      <c r="W1217" s="455"/>
      <c r="X1217" s="454"/>
      <c r="Y1217" s="455"/>
      <c r="Z1217" s="454"/>
      <c r="AA1217" s="455"/>
      <c r="AB1217" s="454"/>
      <c r="AC1217" s="455"/>
      <c r="AD1217" s="454"/>
      <c r="AE1217" s="455"/>
      <c r="AF1217" s="454"/>
      <c r="AG1217" s="455"/>
    </row>
    <row r="1218" spans="1:33" x14ac:dyDescent="0.2">
      <c r="A1218" s="415">
        <f t="shared" si="37"/>
        <v>1520</v>
      </c>
      <c r="B1218" s="416" t="str">
        <f t="shared" si="38"/>
        <v>Summer</v>
      </c>
      <c r="C1218" s="453"/>
      <c r="D1218" s="454"/>
      <c r="E1218" s="455"/>
      <c r="F1218" s="454"/>
      <c r="G1218" s="455"/>
      <c r="H1218" s="454"/>
      <c r="I1218" s="455"/>
      <c r="J1218" s="454"/>
      <c r="K1218" s="455"/>
      <c r="L1218" s="454"/>
      <c r="M1218" s="455"/>
      <c r="N1218" s="454"/>
      <c r="O1218" s="455"/>
      <c r="P1218" s="454"/>
      <c r="Q1218" s="455"/>
      <c r="R1218" s="454"/>
      <c r="S1218" s="455"/>
      <c r="T1218" s="454"/>
      <c r="U1218" s="455"/>
      <c r="V1218" s="454"/>
      <c r="W1218" s="455"/>
      <c r="X1218" s="454"/>
      <c r="Y1218" s="455"/>
      <c r="Z1218" s="454"/>
      <c r="AA1218" s="455"/>
      <c r="AB1218" s="454"/>
      <c r="AC1218" s="455"/>
      <c r="AD1218" s="454"/>
      <c r="AE1218" s="455"/>
      <c r="AF1218" s="454"/>
      <c r="AG1218" s="455"/>
    </row>
    <row r="1219" spans="1:33" x14ac:dyDescent="0.2">
      <c r="A1219" s="415">
        <f t="shared" si="37"/>
        <v>1520</v>
      </c>
      <c r="B1219" s="416" t="str">
        <f t="shared" si="38"/>
        <v>Autumn</v>
      </c>
      <c r="C1219" s="453"/>
      <c r="D1219" s="454"/>
      <c r="E1219" s="455"/>
      <c r="F1219" s="454"/>
      <c r="G1219" s="455"/>
      <c r="H1219" s="454"/>
      <c r="I1219" s="455"/>
      <c r="J1219" s="454"/>
      <c r="K1219" s="455"/>
      <c r="L1219" s="454"/>
      <c r="M1219" s="455"/>
      <c r="N1219" s="454"/>
      <c r="O1219" s="455"/>
      <c r="P1219" s="454"/>
      <c r="Q1219" s="455"/>
      <c r="R1219" s="454"/>
      <c r="S1219" s="455"/>
      <c r="T1219" s="454"/>
      <c r="U1219" s="455"/>
      <c r="V1219" s="454"/>
      <c r="W1219" s="455"/>
      <c r="X1219" s="454"/>
      <c r="Y1219" s="455"/>
      <c r="Z1219" s="454"/>
      <c r="AA1219" s="455"/>
      <c r="AB1219" s="454"/>
      <c r="AC1219" s="455"/>
      <c r="AD1219" s="454"/>
      <c r="AE1219" s="455"/>
      <c r="AF1219" s="454"/>
      <c r="AG1219" s="455"/>
    </row>
    <row r="1220" spans="1:33" x14ac:dyDescent="0.2">
      <c r="A1220" s="415">
        <f t="shared" si="37"/>
        <v>1521</v>
      </c>
      <c r="B1220" s="416" t="str">
        <f t="shared" si="38"/>
        <v>Winter</v>
      </c>
      <c r="C1220" s="453"/>
      <c r="D1220" s="454"/>
      <c r="E1220" s="455"/>
      <c r="F1220" s="454"/>
      <c r="G1220" s="455"/>
      <c r="H1220" s="454"/>
      <c r="I1220" s="455"/>
      <c r="J1220" s="454"/>
      <c r="K1220" s="455"/>
      <c r="L1220" s="454"/>
      <c r="M1220" s="455"/>
      <c r="N1220" s="454"/>
      <c r="O1220" s="455"/>
      <c r="P1220" s="454"/>
      <c r="Q1220" s="455"/>
      <c r="R1220" s="454"/>
      <c r="S1220" s="455"/>
      <c r="T1220" s="454"/>
      <c r="U1220" s="455"/>
      <c r="V1220" s="454"/>
      <c r="W1220" s="455"/>
      <c r="X1220" s="454"/>
      <c r="Y1220" s="455"/>
      <c r="Z1220" s="454"/>
      <c r="AA1220" s="455"/>
      <c r="AB1220" s="454"/>
      <c r="AC1220" s="455"/>
      <c r="AD1220" s="454"/>
      <c r="AE1220" s="455"/>
      <c r="AF1220" s="454"/>
      <c r="AG1220" s="455"/>
    </row>
    <row r="1221" spans="1:33" x14ac:dyDescent="0.2">
      <c r="A1221" s="415">
        <f t="shared" ref="A1221:A1284" si="39">IF(B1220="Autumn",A1220+1,A1220)</f>
        <v>1521</v>
      </c>
      <c r="B1221" s="416" t="str">
        <f t="shared" si="38"/>
        <v>Spring</v>
      </c>
      <c r="C1221" s="453"/>
      <c r="D1221" s="454"/>
      <c r="E1221" s="455"/>
      <c r="F1221" s="454"/>
      <c r="G1221" s="455"/>
      <c r="H1221" s="454"/>
      <c r="I1221" s="455"/>
      <c r="J1221" s="454"/>
      <c r="K1221" s="455"/>
      <c r="L1221" s="454"/>
      <c r="M1221" s="455"/>
      <c r="N1221" s="454"/>
      <c r="O1221" s="455"/>
      <c r="P1221" s="454"/>
      <c r="Q1221" s="455"/>
      <c r="R1221" s="454"/>
      <c r="S1221" s="455"/>
      <c r="T1221" s="454"/>
      <c r="U1221" s="455"/>
      <c r="V1221" s="454"/>
      <c r="W1221" s="455"/>
      <c r="X1221" s="454"/>
      <c r="Y1221" s="455"/>
      <c r="Z1221" s="454"/>
      <c r="AA1221" s="455"/>
      <c r="AB1221" s="454"/>
      <c r="AC1221" s="455"/>
      <c r="AD1221" s="454"/>
      <c r="AE1221" s="455"/>
      <c r="AF1221" s="454"/>
      <c r="AG1221" s="455"/>
    </row>
    <row r="1222" spans="1:33" x14ac:dyDescent="0.2">
      <c r="A1222" s="415">
        <f t="shared" si="39"/>
        <v>1521</v>
      </c>
      <c r="B1222" s="416" t="str">
        <f t="shared" si="38"/>
        <v>Summer</v>
      </c>
      <c r="C1222" s="453"/>
      <c r="D1222" s="454"/>
      <c r="E1222" s="455"/>
      <c r="F1222" s="454"/>
      <c r="G1222" s="455"/>
      <c r="H1222" s="454"/>
      <c r="I1222" s="455"/>
      <c r="J1222" s="454"/>
      <c r="K1222" s="455"/>
      <c r="L1222" s="454"/>
      <c r="M1222" s="455"/>
      <c r="N1222" s="454"/>
      <c r="O1222" s="455"/>
      <c r="P1222" s="454"/>
      <c r="Q1222" s="455"/>
      <c r="R1222" s="454"/>
      <c r="S1222" s="455"/>
      <c r="T1222" s="454"/>
      <c r="U1222" s="455"/>
      <c r="V1222" s="454"/>
      <c r="W1222" s="455"/>
      <c r="X1222" s="454"/>
      <c r="Y1222" s="455"/>
      <c r="Z1222" s="454"/>
      <c r="AA1222" s="455"/>
      <c r="AB1222" s="454"/>
      <c r="AC1222" s="455"/>
      <c r="AD1222" s="454"/>
      <c r="AE1222" s="455"/>
      <c r="AF1222" s="454"/>
      <c r="AG1222" s="455"/>
    </row>
    <row r="1223" spans="1:33" x14ac:dyDescent="0.2">
      <c r="A1223" s="415">
        <f t="shared" si="39"/>
        <v>1521</v>
      </c>
      <c r="B1223" s="416" t="str">
        <f t="shared" si="38"/>
        <v>Autumn</v>
      </c>
      <c r="C1223" s="453"/>
      <c r="D1223" s="454"/>
      <c r="E1223" s="455"/>
      <c r="F1223" s="454"/>
      <c r="G1223" s="455"/>
      <c r="H1223" s="454"/>
      <c r="I1223" s="455"/>
      <c r="J1223" s="454"/>
      <c r="K1223" s="455"/>
      <c r="L1223" s="454"/>
      <c r="M1223" s="455"/>
      <c r="N1223" s="454"/>
      <c r="O1223" s="455"/>
      <c r="P1223" s="454"/>
      <c r="Q1223" s="455"/>
      <c r="R1223" s="454"/>
      <c r="S1223" s="455"/>
      <c r="T1223" s="454"/>
      <c r="U1223" s="455"/>
      <c r="V1223" s="454"/>
      <c r="W1223" s="455"/>
      <c r="X1223" s="454"/>
      <c r="Y1223" s="455"/>
      <c r="Z1223" s="454"/>
      <c r="AA1223" s="455"/>
      <c r="AB1223" s="454"/>
      <c r="AC1223" s="455"/>
      <c r="AD1223" s="454"/>
      <c r="AE1223" s="455"/>
      <c r="AF1223" s="454"/>
      <c r="AG1223" s="455"/>
    </row>
    <row r="1224" spans="1:33" x14ac:dyDescent="0.2">
      <c r="A1224" s="415">
        <f t="shared" si="39"/>
        <v>1522</v>
      </c>
      <c r="B1224" s="416" t="str">
        <f t="shared" si="38"/>
        <v>Winter</v>
      </c>
      <c r="C1224" s="453"/>
      <c r="D1224" s="454"/>
      <c r="E1224" s="455"/>
      <c r="F1224" s="454"/>
      <c r="G1224" s="455"/>
      <c r="H1224" s="454"/>
      <c r="I1224" s="455"/>
      <c r="J1224" s="454"/>
      <c r="K1224" s="455"/>
      <c r="L1224" s="454"/>
      <c r="M1224" s="455"/>
      <c r="N1224" s="454"/>
      <c r="O1224" s="455"/>
      <c r="P1224" s="454"/>
      <c r="Q1224" s="455"/>
      <c r="R1224" s="454"/>
      <c r="S1224" s="455"/>
      <c r="T1224" s="454"/>
      <c r="U1224" s="455"/>
      <c r="V1224" s="454"/>
      <c r="W1224" s="455"/>
      <c r="X1224" s="454"/>
      <c r="Y1224" s="455"/>
      <c r="Z1224" s="454"/>
      <c r="AA1224" s="455"/>
      <c r="AB1224" s="454"/>
      <c r="AC1224" s="455"/>
      <c r="AD1224" s="454"/>
      <c r="AE1224" s="455"/>
      <c r="AF1224" s="454"/>
      <c r="AG1224" s="455"/>
    </row>
    <row r="1225" spans="1:33" x14ac:dyDescent="0.2">
      <c r="A1225" s="415">
        <f t="shared" si="39"/>
        <v>1522</v>
      </c>
      <c r="B1225" s="416" t="str">
        <f t="shared" si="38"/>
        <v>Spring</v>
      </c>
      <c r="C1225" s="453"/>
      <c r="D1225" s="454"/>
      <c r="E1225" s="455"/>
      <c r="F1225" s="454"/>
      <c r="G1225" s="455"/>
      <c r="H1225" s="454"/>
      <c r="I1225" s="455"/>
      <c r="J1225" s="454"/>
      <c r="K1225" s="455"/>
      <c r="L1225" s="454"/>
      <c r="M1225" s="455"/>
      <c r="N1225" s="454"/>
      <c r="O1225" s="455"/>
      <c r="P1225" s="454"/>
      <c r="Q1225" s="455"/>
      <c r="R1225" s="454"/>
      <c r="S1225" s="455"/>
      <c r="T1225" s="454"/>
      <c r="U1225" s="455"/>
      <c r="V1225" s="454"/>
      <c r="W1225" s="455"/>
      <c r="X1225" s="454"/>
      <c r="Y1225" s="455"/>
      <c r="Z1225" s="454"/>
      <c r="AA1225" s="455"/>
      <c r="AB1225" s="454"/>
      <c r="AC1225" s="455"/>
      <c r="AD1225" s="454"/>
      <c r="AE1225" s="455"/>
      <c r="AF1225" s="454"/>
      <c r="AG1225" s="455"/>
    </row>
    <row r="1226" spans="1:33" x14ac:dyDescent="0.2">
      <c r="A1226" s="415">
        <f t="shared" si="39"/>
        <v>1522</v>
      </c>
      <c r="B1226" s="416" t="str">
        <f t="shared" si="38"/>
        <v>Summer</v>
      </c>
      <c r="C1226" s="453"/>
      <c r="D1226" s="454"/>
      <c r="E1226" s="455"/>
      <c r="F1226" s="454"/>
      <c r="G1226" s="455"/>
      <c r="H1226" s="454"/>
      <c r="I1226" s="455"/>
      <c r="J1226" s="454"/>
      <c r="K1226" s="455"/>
      <c r="L1226" s="454"/>
      <c r="M1226" s="455"/>
      <c r="N1226" s="454"/>
      <c r="O1226" s="455"/>
      <c r="P1226" s="454"/>
      <c r="Q1226" s="455"/>
      <c r="R1226" s="454"/>
      <c r="S1226" s="455"/>
      <c r="T1226" s="454"/>
      <c r="U1226" s="455"/>
      <c r="V1226" s="454"/>
      <c r="W1226" s="455"/>
      <c r="X1226" s="454"/>
      <c r="Y1226" s="455"/>
      <c r="Z1226" s="454"/>
      <c r="AA1226" s="455"/>
      <c r="AB1226" s="454"/>
      <c r="AC1226" s="455"/>
      <c r="AD1226" s="454"/>
      <c r="AE1226" s="455"/>
      <c r="AF1226" s="454"/>
      <c r="AG1226" s="455"/>
    </row>
    <row r="1227" spans="1:33" x14ac:dyDescent="0.2">
      <c r="A1227" s="415">
        <f t="shared" si="39"/>
        <v>1522</v>
      </c>
      <c r="B1227" s="416" t="str">
        <f t="shared" si="38"/>
        <v>Autumn</v>
      </c>
      <c r="C1227" s="453"/>
      <c r="D1227" s="454"/>
      <c r="E1227" s="455"/>
      <c r="F1227" s="454"/>
      <c r="G1227" s="455"/>
      <c r="H1227" s="454"/>
      <c r="I1227" s="455"/>
      <c r="J1227" s="454"/>
      <c r="K1227" s="455"/>
      <c r="L1227" s="454"/>
      <c r="M1227" s="455"/>
      <c r="N1227" s="454"/>
      <c r="O1227" s="455"/>
      <c r="P1227" s="454"/>
      <c r="Q1227" s="455"/>
      <c r="R1227" s="454"/>
      <c r="S1227" s="455"/>
      <c r="T1227" s="454"/>
      <c r="U1227" s="455"/>
      <c r="V1227" s="454"/>
      <c r="W1227" s="455"/>
      <c r="X1227" s="454"/>
      <c r="Y1227" s="455"/>
      <c r="Z1227" s="454"/>
      <c r="AA1227" s="455"/>
      <c r="AB1227" s="454"/>
      <c r="AC1227" s="455"/>
      <c r="AD1227" s="454"/>
      <c r="AE1227" s="455"/>
      <c r="AF1227" s="454"/>
      <c r="AG1227" s="455"/>
    </row>
    <row r="1228" spans="1:33" x14ac:dyDescent="0.2">
      <c r="A1228" s="415">
        <f t="shared" si="39"/>
        <v>1523</v>
      </c>
      <c r="B1228" s="416" t="str">
        <f t="shared" si="38"/>
        <v>Winter</v>
      </c>
      <c r="C1228" s="453"/>
      <c r="D1228" s="454"/>
      <c r="E1228" s="455"/>
      <c r="F1228" s="454"/>
      <c r="G1228" s="455"/>
      <c r="H1228" s="454"/>
      <c r="I1228" s="455"/>
      <c r="J1228" s="454"/>
      <c r="K1228" s="455"/>
      <c r="L1228" s="454"/>
      <c r="M1228" s="455"/>
      <c r="N1228" s="454"/>
      <c r="O1228" s="455"/>
      <c r="P1228" s="454"/>
      <c r="Q1228" s="455"/>
      <c r="R1228" s="454"/>
      <c r="S1228" s="455"/>
      <c r="T1228" s="454"/>
      <c r="U1228" s="455"/>
      <c r="V1228" s="454"/>
      <c r="W1228" s="455"/>
      <c r="X1228" s="454"/>
      <c r="Y1228" s="455"/>
      <c r="Z1228" s="454"/>
      <c r="AA1228" s="455"/>
      <c r="AB1228" s="454"/>
      <c r="AC1228" s="455"/>
      <c r="AD1228" s="454"/>
      <c r="AE1228" s="455"/>
      <c r="AF1228" s="454"/>
      <c r="AG1228" s="455"/>
    </row>
    <row r="1229" spans="1:33" x14ac:dyDescent="0.2">
      <c r="A1229" s="415">
        <f t="shared" si="39"/>
        <v>1523</v>
      </c>
      <c r="B1229" s="416" t="str">
        <f t="shared" si="38"/>
        <v>Spring</v>
      </c>
      <c r="C1229" s="453"/>
      <c r="D1229" s="454"/>
      <c r="E1229" s="455"/>
      <c r="F1229" s="454"/>
      <c r="G1229" s="455"/>
      <c r="H1229" s="454"/>
      <c r="I1229" s="455"/>
      <c r="J1229" s="454"/>
      <c r="K1229" s="455"/>
      <c r="L1229" s="454"/>
      <c r="M1229" s="455"/>
      <c r="N1229" s="454"/>
      <c r="O1229" s="455"/>
      <c r="P1229" s="454"/>
      <c r="Q1229" s="455"/>
      <c r="R1229" s="454"/>
      <c r="S1229" s="455"/>
      <c r="T1229" s="454"/>
      <c r="U1229" s="455"/>
      <c r="V1229" s="454"/>
      <c r="W1229" s="455"/>
      <c r="X1229" s="454"/>
      <c r="Y1229" s="455"/>
      <c r="Z1229" s="454"/>
      <c r="AA1229" s="455"/>
      <c r="AB1229" s="454"/>
      <c r="AC1229" s="455"/>
      <c r="AD1229" s="454"/>
      <c r="AE1229" s="455"/>
      <c r="AF1229" s="454"/>
      <c r="AG1229" s="455"/>
    </row>
    <row r="1230" spans="1:33" x14ac:dyDescent="0.2">
      <c r="A1230" s="415">
        <f t="shared" si="39"/>
        <v>1523</v>
      </c>
      <c r="B1230" s="416" t="str">
        <f t="shared" si="38"/>
        <v>Summer</v>
      </c>
      <c r="C1230" s="453"/>
      <c r="D1230" s="454"/>
      <c r="E1230" s="455"/>
      <c r="F1230" s="454"/>
      <c r="G1230" s="455"/>
      <c r="H1230" s="454"/>
      <c r="I1230" s="455"/>
      <c r="J1230" s="454"/>
      <c r="K1230" s="455"/>
      <c r="L1230" s="454"/>
      <c r="M1230" s="455"/>
      <c r="N1230" s="454"/>
      <c r="O1230" s="455"/>
      <c r="P1230" s="454"/>
      <c r="Q1230" s="455"/>
      <c r="R1230" s="454"/>
      <c r="S1230" s="455"/>
      <c r="T1230" s="454"/>
      <c r="U1230" s="455"/>
      <c r="V1230" s="454"/>
      <c r="W1230" s="455"/>
      <c r="X1230" s="454"/>
      <c r="Y1230" s="455"/>
      <c r="Z1230" s="454"/>
      <c r="AA1230" s="455"/>
      <c r="AB1230" s="454"/>
      <c r="AC1230" s="455"/>
      <c r="AD1230" s="454"/>
      <c r="AE1230" s="455"/>
      <c r="AF1230" s="454"/>
      <c r="AG1230" s="455"/>
    </row>
    <row r="1231" spans="1:33" x14ac:dyDescent="0.2">
      <c r="A1231" s="415">
        <f t="shared" si="39"/>
        <v>1523</v>
      </c>
      <c r="B1231" s="416" t="str">
        <f t="shared" si="38"/>
        <v>Autumn</v>
      </c>
      <c r="C1231" s="453"/>
      <c r="D1231" s="454"/>
      <c r="E1231" s="455"/>
      <c r="F1231" s="454"/>
      <c r="G1231" s="455"/>
      <c r="H1231" s="454"/>
      <c r="I1231" s="455"/>
      <c r="J1231" s="454"/>
      <c r="K1231" s="455"/>
      <c r="L1231" s="454"/>
      <c r="M1231" s="455"/>
      <c r="N1231" s="454"/>
      <c r="O1231" s="455"/>
      <c r="P1231" s="454"/>
      <c r="Q1231" s="455"/>
      <c r="R1231" s="454"/>
      <c r="S1231" s="455"/>
      <c r="T1231" s="454"/>
      <c r="U1231" s="455"/>
      <c r="V1231" s="454"/>
      <c r="W1231" s="455"/>
      <c r="X1231" s="454"/>
      <c r="Y1231" s="455"/>
      <c r="Z1231" s="454"/>
      <c r="AA1231" s="455"/>
      <c r="AB1231" s="454"/>
      <c r="AC1231" s="455"/>
      <c r="AD1231" s="454"/>
      <c r="AE1231" s="455"/>
      <c r="AF1231" s="454"/>
      <c r="AG1231" s="455"/>
    </row>
    <row r="1232" spans="1:33" x14ac:dyDescent="0.2">
      <c r="A1232" s="415">
        <f t="shared" si="39"/>
        <v>1524</v>
      </c>
      <c r="B1232" s="416" t="str">
        <f t="shared" si="38"/>
        <v>Winter</v>
      </c>
      <c r="C1232" s="453"/>
      <c r="D1232" s="454"/>
      <c r="E1232" s="455"/>
      <c r="F1232" s="454"/>
      <c r="G1232" s="455"/>
      <c r="H1232" s="454"/>
      <c r="I1232" s="455"/>
      <c r="J1232" s="454"/>
      <c r="K1232" s="455"/>
      <c r="L1232" s="454"/>
      <c r="M1232" s="455"/>
      <c r="N1232" s="454"/>
      <c r="O1232" s="455"/>
      <c r="P1232" s="454"/>
      <c r="Q1232" s="455"/>
      <c r="R1232" s="454"/>
      <c r="S1232" s="455"/>
      <c r="T1232" s="454"/>
      <c r="U1232" s="455"/>
      <c r="V1232" s="454"/>
      <c r="W1232" s="455"/>
      <c r="X1232" s="454"/>
      <c r="Y1232" s="455"/>
      <c r="Z1232" s="454"/>
      <c r="AA1232" s="455"/>
      <c r="AB1232" s="454"/>
      <c r="AC1232" s="455"/>
      <c r="AD1232" s="454"/>
      <c r="AE1232" s="455"/>
      <c r="AF1232" s="454"/>
      <c r="AG1232" s="455"/>
    </row>
    <row r="1233" spans="1:33" x14ac:dyDescent="0.2">
      <c r="A1233" s="415">
        <f t="shared" si="39"/>
        <v>1524</v>
      </c>
      <c r="B1233" s="416" t="str">
        <f t="shared" si="38"/>
        <v>Spring</v>
      </c>
      <c r="C1233" s="453"/>
      <c r="D1233" s="454"/>
      <c r="E1233" s="455"/>
      <c r="F1233" s="454"/>
      <c r="G1233" s="455"/>
      <c r="H1233" s="454"/>
      <c r="I1233" s="455"/>
      <c r="J1233" s="454"/>
      <c r="K1233" s="455"/>
      <c r="L1233" s="454"/>
      <c r="M1233" s="455"/>
      <c r="N1233" s="454"/>
      <c r="O1233" s="455"/>
      <c r="P1233" s="454"/>
      <c r="Q1233" s="455"/>
      <c r="R1233" s="454"/>
      <c r="S1233" s="455"/>
      <c r="T1233" s="454"/>
      <c r="U1233" s="455"/>
      <c r="V1233" s="454"/>
      <c r="W1233" s="455"/>
      <c r="X1233" s="454"/>
      <c r="Y1233" s="455"/>
      <c r="Z1233" s="454"/>
      <c r="AA1233" s="455"/>
      <c r="AB1233" s="454"/>
      <c r="AC1233" s="455"/>
      <c r="AD1233" s="454"/>
      <c r="AE1233" s="455"/>
      <c r="AF1233" s="454"/>
      <c r="AG1233" s="455"/>
    </row>
    <row r="1234" spans="1:33" x14ac:dyDescent="0.2">
      <c r="A1234" s="415">
        <f t="shared" si="39"/>
        <v>1524</v>
      </c>
      <c r="B1234" s="416" t="str">
        <f t="shared" si="38"/>
        <v>Summer</v>
      </c>
      <c r="C1234" s="453"/>
      <c r="D1234" s="454"/>
      <c r="E1234" s="455"/>
      <c r="F1234" s="454"/>
      <c r="G1234" s="455"/>
      <c r="H1234" s="454"/>
      <c r="I1234" s="455"/>
      <c r="J1234" s="454"/>
      <c r="K1234" s="455"/>
      <c r="L1234" s="454"/>
      <c r="M1234" s="455"/>
      <c r="N1234" s="454"/>
      <c r="O1234" s="455"/>
      <c r="P1234" s="454"/>
      <c r="Q1234" s="455"/>
      <c r="R1234" s="454"/>
      <c r="S1234" s="455"/>
      <c r="T1234" s="454"/>
      <c r="U1234" s="455"/>
      <c r="V1234" s="454"/>
      <c r="W1234" s="455"/>
      <c r="X1234" s="454"/>
      <c r="Y1234" s="455"/>
      <c r="Z1234" s="454"/>
      <c r="AA1234" s="455"/>
      <c r="AB1234" s="454"/>
      <c r="AC1234" s="455"/>
      <c r="AD1234" s="454"/>
      <c r="AE1234" s="455"/>
      <c r="AF1234" s="454"/>
      <c r="AG1234" s="455"/>
    </row>
    <row r="1235" spans="1:33" x14ac:dyDescent="0.2">
      <c r="A1235" s="415">
        <f t="shared" si="39"/>
        <v>1524</v>
      </c>
      <c r="B1235" s="416" t="str">
        <f t="shared" si="38"/>
        <v>Autumn</v>
      </c>
      <c r="C1235" s="453"/>
      <c r="D1235" s="454"/>
      <c r="E1235" s="455"/>
      <c r="F1235" s="454"/>
      <c r="G1235" s="455"/>
      <c r="H1235" s="454"/>
      <c r="I1235" s="455"/>
      <c r="J1235" s="454"/>
      <c r="K1235" s="455"/>
      <c r="L1235" s="454"/>
      <c r="M1235" s="455"/>
      <c r="N1235" s="454"/>
      <c r="O1235" s="455"/>
      <c r="P1235" s="454"/>
      <c r="Q1235" s="455"/>
      <c r="R1235" s="454"/>
      <c r="S1235" s="455"/>
      <c r="T1235" s="454"/>
      <c r="U1235" s="455"/>
      <c r="V1235" s="454"/>
      <c r="W1235" s="455"/>
      <c r="X1235" s="454"/>
      <c r="Y1235" s="455"/>
      <c r="Z1235" s="454"/>
      <c r="AA1235" s="455"/>
      <c r="AB1235" s="454"/>
      <c r="AC1235" s="455"/>
      <c r="AD1235" s="454"/>
      <c r="AE1235" s="455"/>
      <c r="AF1235" s="454"/>
      <c r="AG1235" s="455"/>
    </row>
    <row r="1236" spans="1:33" x14ac:dyDescent="0.2">
      <c r="A1236" s="415">
        <f t="shared" si="39"/>
        <v>1525</v>
      </c>
      <c r="B1236" s="416" t="str">
        <f t="shared" si="38"/>
        <v>Winter</v>
      </c>
      <c r="C1236" s="453"/>
      <c r="D1236" s="454"/>
      <c r="E1236" s="455"/>
      <c r="F1236" s="454"/>
      <c r="G1236" s="455"/>
      <c r="H1236" s="454"/>
      <c r="I1236" s="455"/>
      <c r="J1236" s="454"/>
      <c r="K1236" s="455"/>
      <c r="L1236" s="454"/>
      <c r="M1236" s="455"/>
      <c r="N1236" s="454"/>
      <c r="O1236" s="455"/>
      <c r="P1236" s="454"/>
      <c r="Q1236" s="455"/>
      <c r="R1236" s="454"/>
      <c r="S1236" s="455"/>
      <c r="T1236" s="454"/>
      <c r="U1236" s="455"/>
      <c r="V1236" s="454"/>
      <c r="W1236" s="455"/>
      <c r="X1236" s="454"/>
      <c r="Y1236" s="455"/>
      <c r="Z1236" s="454"/>
      <c r="AA1236" s="455"/>
      <c r="AB1236" s="454"/>
      <c r="AC1236" s="455"/>
      <c r="AD1236" s="454"/>
      <c r="AE1236" s="455"/>
      <c r="AF1236" s="454"/>
      <c r="AG1236" s="455"/>
    </row>
    <row r="1237" spans="1:33" x14ac:dyDescent="0.2">
      <c r="A1237" s="415">
        <f t="shared" si="39"/>
        <v>1525</v>
      </c>
      <c r="B1237" s="416" t="str">
        <f t="shared" si="38"/>
        <v>Spring</v>
      </c>
      <c r="C1237" s="453"/>
      <c r="D1237" s="454"/>
      <c r="E1237" s="455"/>
      <c r="F1237" s="454"/>
      <c r="G1237" s="455"/>
      <c r="H1237" s="454"/>
      <c r="I1237" s="455"/>
      <c r="J1237" s="454"/>
      <c r="K1237" s="455"/>
      <c r="L1237" s="454"/>
      <c r="M1237" s="455"/>
      <c r="N1237" s="454"/>
      <c r="O1237" s="455"/>
      <c r="P1237" s="454"/>
      <c r="Q1237" s="455"/>
      <c r="R1237" s="454"/>
      <c r="S1237" s="455"/>
      <c r="T1237" s="454"/>
      <c r="U1237" s="455"/>
      <c r="V1237" s="454"/>
      <c r="W1237" s="455"/>
      <c r="X1237" s="454"/>
      <c r="Y1237" s="455"/>
      <c r="Z1237" s="454"/>
      <c r="AA1237" s="455"/>
      <c r="AB1237" s="454"/>
      <c r="AC1237" s="455"/>
      <c r="AD1237" s="454"/>
      <c r="AE1237" s="455"/>
      <c r="AF1237" s="454"/>
      <c r="AG1237" s="455"/>
    </row>
    <row r="1238" spans="1:33" x14ac:dyDescent="0.2">
      <c r="A1238" s="415">
        <f t="shared" si="39"/>
        <v>1525</v>
      </c>
      <c r="B1238" s="416" t="str">
        <f t="shared" si="38"/>
        <v>Summer</v>
      </c>
      <c r="C1238" s="453"/>
      <c r="D1238" s="454"/>
      <c r="E1238" s="455"/>
      <c r="F1238" s="454"/>
      <c r="G1238" s="455"/>
      <c r="H1238" s="454"/>
      <c r="I1238" s="455"/>
      <c r="J1238" s="454"/>
      <c r="K1238" s="455"/>
      <c r="L1238" s="454"/>
      <c r="M1238" s="455"/>
      <c r="N1238" s="454"/>
      <c r="O1238" s="455"/>
      <c r="P1238" s="454"/>
      <c r="Q1238" s="455"/>
      <c r="R1238" s="454"/>
      <c r="S1238" s="455"/>
      <c r="T1238" s="454"/>
      <c r="U1238" s="455"/>
      <c r="V1238" s="454"/>
      <c r="W1238" s="455"/>
      <c r="X1238" s="454"/>
      <c r="Y1238" s="455"/>
      <c r="Z1238" s="454"/>
      <c r="AA1238" s="455"/>
      <c r="AB1238" s="454"/>
      <c r="AC1238" s="455"/>
      <c r="AD1238" s="454"/>
      <c r="AE1238" s="455"/>
      <c r="AF1238" s="454"/>
      <c r="AG1238" s="455"/>
    </row>
    <row r="1239" spans="1:33" x14ac:dyDescent="0.2">
      <c r="A1239" s="415">
        <f t="shared" si="39"/>
        <v>1525</v>
      </c>
      <c r="B1239" s="416" t="str">
        <f t="shared" si="38"/>
        <v>Autumn</v>
      </c>
      <c r="C1239" s="453"/>
      <c r="D1239" s="454"/>
      <c r="E1239" s="455"/>
      <c r="F1239" s="454"/>
      <c r="G1239" s="455"/>
      <c r="H1239" s="454"/>
      <c r="I1239" s="455"/>
      <c r="J1239" s="454"/>
      <c r="K1239" s="455"/>
      <c r="L1239" s="454"/>
      <c r="M1239" s="455"/>
      <c r="N1239" s="454"/>
      <c r="O1239" s="455"/>
      <c r="P1239" s="454"/>
      <c r="Q1239" s="455"/>
      <c r="R1239" s="454"/>
      <c r="S1239" s="455"/>
      <c r="T1239" s="454"/>
      <c r="U1239" s="455"/>
      <c r="V1239" s="454"/>
      <c r="W1239" s="455"/>
      <c r="X1239" s="454"/>
      <c r="Y1239" s="455"/>
      <c r="Z1239" s="454"/>
      <c r="AA1239" s="455"/>
      <c r="AB1239" s="454"/>
      <c r="AC1239" s="455"/>
      <c r="AD1239" s="454"/>
      <c r="AE1239" s="455"/>
      <c r="AF1239" s="454"/>
      <c r="AG1239" s="455"/>
    </row>
    <row r="1240" spans="1:33" x14ac:dyDescent="0.2">
      <c r="A1240" s="415">
        <f t="shared" si="39"/>
        <v>1526</v>
      </c>
      <c r="B1240" s="416" t="str">
        <f t="shared" si="38"/>
        <v>Winter</v>
      </c>
      <c r="C1240" s="453"/>
      <c r="D1240" s="454"/>
      <c r="E1240" s="455"/>
      <c r="F1240" s="454"/>
      <c r="G1240" s="455"/>
      <c r="H1240" s="454"/>
      <c r="I1240" s="455"/>
      <c r="J1240" s="454"/>
      <c r="K1240" s="455"/>
      <c r="L1240" s="454"/>
      <c r="M1240" s="455"/>
      <c r="N1240" s="454"/>
      <c r="O1240" s="455"/>
      <c r="P1240" s="454"/>
      <c r="Q1240" s="455"/>
      <c r="R1240" s="454"/>
      <c r="S1240" s="455"/>
      <c r="T1240" s="454"/>
      <c r="U1240" s="455"/>
      <c r="V1240" s="454"/>
      <c r="W1240" s="455"/>
      <c r="X1240" s="454"/>
      <c r="Y1240" s="455"/>
      <c r="Z1240" s="454"/>
      <c r="AA1240" s="455"/>
      <c r="AB1240" s="454"/>
      <c r="AC1240" s="455"/>
      <c r="AD1240" s="454"/>
      <c r="AE1240" s="455"/>
      <c r="AF1240" s="454"/>
      <c r="AG1240" s="455"/>
    </row>
    <row r="1241" spans="1:33" x14ac:dyDescent="0.2">
      <c r="A1241" s="415">
        <f t="shared" si="39"/>
        <v>1526</v>
      </c>
      <c r="B1241" s="416" t="str">
        <f t="shared" si="38"/>
        <v>Spring</v>
      </c>
      <c r="C1241" s="453"/>
      <c r="D1241" s="454"/>
      <c r="E1241" s="455"/>
      <c r="F1241" s="454"/>
      <c r="G1241" s="455"/>
      <c r="H1241" s="454"/>
      <c r="I1241" s="455"/>
      <c r="J1241" s="454"/>
      <c r="K1241" s="455"/>
      <c r="L1241" s="454"/>
      <c r="M1241" s="455"/>
      <c r="N1241" s="454"/>
      <c r="O1241" s="455"/>
      <c r="P1241" s="454"/>
      <c r="Q1241" s="455"/>
      <c r="R1241" s="454"/>
      <c r="S1241" s="455"/>
      <c r="T1241" s="454"/>
      <c r="U1241" s="455"/>
      <c r="V1241" s="454"/>
      <c r="W1241" s="455"/>
      <c r="X1241" s="454"/>
      <c r="Y1241" s="455"/>
      <c r="Z1241" s="454"/>
      <c r="AA1241" s="455"/>
      <c r="AB1241" s="454"/>
      <c r="AC1241" s="455"/>
      <c r="AD1241" s="454"/>
      <c r="AE1241" s="455"/>
      <c r="AF1241" s="454"/>
      <c r="AG1241" s="455"/>
    </row>
    <row r="1242" spans="1:33" x14ac:dyDescent="0.2">
      <c r="A1242" s="415">
        <f t="shared" si="39"/>
        <v>1526</v>
      </c>
      <c r="B1242" s="416" t="str">
        <f t="shared" si="38"/>
        <v>Summer</v>
      </c>
      <c r="C1242" s="453"/>
      <c r="D1242" s="454"/>
      <c r="E1242" s="455"/>
      <c r="F1242" s="454"/>
      <c r="G1242" s="455"/>
      <c r="H1242" s="454"/>
      <c r="I1242" s="455"/>
      <c r="J1242" s="454"/>
      <c r="K1242" s="455"/>
      <c r="L1242" s="454"/>
      <c r="M1242" s="455"/>
      <c r="N1242" s="454"/>
      <c r="O1242" s="455"/>
      <c r="P1242" s="454"/>
      <c r="Q1242" s="455"/>
      <c r="R1242" s="454"/>
      <c r="S1242" s="455"/>
      <c r="T1242" s="454"/>
      <c r="U1242" s="455"/>
      <c r="V1242" s="454"/>
      <c r="W1242" s="455"/>
      <c r="X1242" s="454"/>
      <c r="Y1242" s="455"/>
      <c r="Z1242" s="454"/>
      <c r="AA1242" s="455"/>
      <c r="AB1242" s="454"/>
      <c r="AC1242" s="455"/>
      <c r="AD1242" s="454"/>
      <c r="AE1242" s="455"/>
      <c r="AF1242" s="454"/>
      <c r="AG1242" s="455"/>
    </row>
    <row r="1243" spans="1:33" x14ac:dyDescent="0.2">
      <c r="A1243" s="415">
        <f t="shared" si="39"/>
        <v>1526</v>
      </c>
      <c r="B1243" s="416" t="str">
        <f t="shared" si="38"/>
        <v>Autumn</v>
      </c>
      <c r="C1243" s="453"/>
      <c r="D1243" s="454"/>
      <c r="E1243" s="455"/>
      <c r="F1243" s="454"/>
      <c r="G1243" s="455"/>
      <c r="H1243" s="454"/>
      <c r="I1243" s="455"/>
      <c r="J1243" s="454"/>
      <c r="K1243" s="455"/>
      <c r="L1243" s="454"/>
      <c r="M1243" s="455"/>
      <c r="N1243" s="454"/>
      <c r="O1243" s="455"/>
      <c r="P1243" s="454"/>
      <c r="Q1243" s="455"/>
      <c r="R1243" s="454"/>
      <c r="S1243" s="455"/>
      <c r="T1243" s="454"/>
      <c r="U1243" s="455"/>
      <c r="V1243" s="454"/>
      <c r="W1243" s="455"/>
      <c r="X1243" s="454"/>
      <c r="Y1243" s="455"/>
      <c r="Z1243" s="454"/>
      <c r="AA1243" s="455"/>
      <c r="AB1243" s="454"/>
      <c r="AC1243" s="455"/>
      <c r="AD1243" s="454"/>
      <c r="AE1243" s="455"/>
      <c r="AF1243" s="454"/>
      <c r="AG1243" s="455"/>
    </row>
    <row r="1244" spans="1:33" x14ac:dyDescent="0.2">
      <c r="A1244" s="415">
        <f t="shared" si="39"/>
        <v>1527</v>
      </c>
      <c r="B1244" s="416" t="str">
        <f t="shared" si="38"/>
        <v>Winter</v>
      </c>
      <c r="C1244" s="453"/>
      <c r="D1244" s="454"/>
      <c r="E1244" s="455"/>
      <c r="F1244" s="454"/>
      <c r="G1244" s="455"/>
      <c r="H1244" s="454"/>
      <c r="I1244" s="455"/>
      <c r="J1244" s="454"/>
      <c r="K1244" s="455"/>
      <c r="L1244" s="454"/>
      <c r="M1244" s="455"/>
      <c r="N1244" s="454"/>
      <c r="O1244" s="455"/>
      <c r="P1244" s="454"/>
      <c r="Q1244" s="455"/>
      <c r="R1244" s="454"/>
      <c r="S1244" s="455"/>
      <c r="T1244" s="454"/>
      <c r="U1244" s="455"/>
      <c r="V1244" s="454"/>
      <c r="W1244" s="455"/>
      <c r="X1244" s="454"/>
      <c r="Y1244" s="455"/>
      <c r="Z1244" s="454"/>
      <c r="AA1244" s="455"/>
      <c r="AB1244" s="454"/>
      <c r="AC1244" s="455"/>
      <c r="AD1244" s="454"/>
      <c r="AE1244" s="455"/>
      <c r="AF1244" s="454"/>
      <c r="AG1244" s="455"/>
    </row>
    <row r="1245" spans="1:33" x14ac:dyDescent="0.2">
      <c r="A1245" s="415">
        <f t="shared" si="39"/>
        <v>1527</v>
      </c>
      <c r="B1245" s="416" t="str">
        <f t="shared" si="38"/>
        <v>Spring</v>
      </c>
      <c r="C1245" s="453"/>
      <c r="D1245" s="454"/>
      <c r="E1245" s="455"/>
      <c r="F1245" s="454"/>
      <c r="G1245" s="455"/>
      <c r="H1245" s="454"/>
      <c r="I1245" s="455"/>
      <c r="J1245" s="454"/>
      <c r="K1245" s="455"/>
      <c r="L1245" s="454"/>
      <c r="M1245" s="455"/>
      <c r="N1245" s="454"/>
      <c r="O1245" s="455"/>
      <c r="P1245" s="454"/>
      <c r="Q1245" s="455"/>
      <c r="R1245" s="454"/>
      <c r="S1245" s="455"/>
      <c r="T1245" s="454"/>
      <c r="U1245" s="455"/>
      <c r="V1245" s="454"/>
      <c r="W1245" s="455"/>
      <c r="X1245" s="454"/>
      <c r="Y1245" s="455"/>
      <c r="Z1245" s="454"/>
      <c r="AA1245" s="455"/>
      <c r="AB1245" s="454"/>
      <c r="AC1245" s="455"/>
      <c r="AD1245" s="454"/>
      <c r="AE1245" s="455"/>
      <c r="AF1245" s="454"/>
      <c r="AG1245" s="455"/>
    </row>
    <row r="1246" spans="1:33" x14ac:dyDescent="0.2">
      <c r="A1246" s="415">
        <f t="shared" si="39"/>
        <v>1527</v>
      </c>
      <c r="B1246" s="416" t="str">
        <f t="shared" si="38"/>
        <v>Summer</v>
      </c>
      <c r="C1246" s="453"/>
      <c r="D1246" s="454"/>
      <c r="E1246" s="455"/>
      <c r="F1246" s="454"/>
      <c r="G1246" s="455"/>
      <c r="H1246" s="454"/>
      <c r="I1246" s="455"/>
      <c r="J1246" s="454"/>
      <c r="K1246" s="455"/>
      <c r="L1246" s="454"/>
      <c r="M1246" s="455"/>
      <c r="N1246" s="454"/>
      <c r="O1246" s="455"/>
      <c r="P1246" s="454"/>
      <c r="Q1246" s="455"/>
      <c r="R1246" s="454"/>
      <c r="S1246" s="455"/>
      <c r="T1246" s="454"/>
      <c r="U1246" s="455"/>
      <c r="V1246" s="454"/>
      <c r="W1246" s="455"/>
      <c r="X1246" s="454"/>
      <c r="Y1246" s="455"/>
      <c r="Z1246" s="454"/>
      <c r="AA1246" s="455"/>
      <c r="AB1246" s="454"/>
      <c r="AC1246" s="455"/>
      <c r="AD1246" s="454"/>
      <c r="AE1246" s="455"/>
      <c r="AF1246" s="454"/>
      <c r="AG1246" s="455"/>
    </row>
    <row r="1247" spans="1:33" x14ac:dyDescent="0.2">
      <c r="A1247" s="415">
        <f t="shared" si="39"/>
        <v>1527</v>
      </c>
      <c r="B1247" s="416" t="str">
        <f t="shared" si="38"/>
        <v>Autumn</v>
      </c>
      <c r="C1247" s="453"/>
      <c r="D1247" s="454"/>
      <c r="E1247" s="455"/>
      <c r="F1247" s="454"/>
      <c r="G1247" s="455"/>
      <c r="H1247" s="454"/>
      <c r="I1247" s="455"/>
      <c r="J1247" s="454"/>
      <c r="K1247" s="455"/>
      <c r="L1247" s="454"/>
      <c r="M1247" s="455"/>
      <c r="N1247" s="454"/>
      <c r="O1247" s="455"/>
      <c r="P1247" s="454"/>
      <c r="Q1247" s="455"/>
      <c r="R1247" s="454"/>
      <c r="S1247" s="455"/>
      <c r="T1247" s="454"/>
      <c r="U1247" s="455"/>
      <c r="V1247" s="454"/>
      <c r="W1247" s="455"/>
      <c r="X1247" s="454"/>
      <c r="Y1247" s="455"/>
      <c r="Z1247" s="454"/>
      <c r="AA1247" s="455"/>
      <c r="AB1247" s="454"/>
      <c r="AC1247" s="455"/>
      <c r="AD1247" s="454"/>
      <c r="AE1247" s="455"/>
      <c r="AF1247" s="454"/>
      <c r="AG1247" s="455"/>
    </row>
    <row r="1248" spans="1:33" x14ac:dyDescent="0.2">
      <c r="A1248" s="415">
        <f t="shared" si="39"/>
        <v>1528</v>
      </c>
      <c r="B1248" s="416" t="str">
        <f t="shared" si="38"/>
        <v>Winter</v>
      </c>
      <c r="C1248" s="453"/>
      <c r="D1248" s="454"/>
      <c r="E1248" s="455"/>
      <c r="F1248" s="454"/>
      <c r="G1248" s="455"/>
      <c r="H1248" s="454"/>
      <c r="I1248" s="455"/>
      <c r="J1248" s="454"/>
      <c r="K1248" s="455"/>
      <c r="L1248" s="454"/>
      <c r="M1248" s="455"/>
      <c r="N1248" s="454"/>
      <c r="O1248" s="455"/>
      <c r="P1248" s="454"/>
      <c r="Q1248" s="455"/>
      <c r="R1248" s="454"/>
      <c r="S1248" s="455"/>
      <c r="T1248" s="454"/>
      <c r="U1248" s="455"/>
      <c r="V1248" s="454"/>
      <c r="W1248" s="455"/>
      <c r="X1248" s="454"/>
      <c r="Y1248" s="455"/>
      <c r="Z1248" s="454"/>
      <c r="AA1248" s="455"/>
      <c r="AB1248" s="454"/>
      <c r="AC1248" s="455"/>
      <c r="AD1248" s="454"/>
      <c r="AE1248" s="455"/>
      <c r="AF1248" s="454"/>
      <c r="AG1248" s="455"/>
    </row>
    <row r="1249" spans="1:33" x14ac:dyDescent="0.2">
      <c r="A1249" s="415">
        <f t="shared" si="39"/>
        <v>1528</v>
      </c>
      <c r="B1249" s="416" t="str">
        <f t="shared" si="38"/>
        <v>Spring</v>
      </c>
      <c r="C1249" s="453"/>
      <c r="D1249" s="454"/>
      <c r="E1249" s="455"/>
      <c r="F1249" s="454"/>
      <c r="G1249" s="455"/>
      <c r="H1249" s="454"/>
      <c r="I1249" s="455"/>
      <c r="J1249" s="454"/>
      <c r="K1249" s="455"/>
      <c r="L1249" s="454"/>
      <c r="M1249" s="455"/>
      <c r="N1249" s="454"/>
      <c r="O1249" s="455"/>
      <c r="P1249" s="454"/>
      <c r="Q1249" s="455"/>
      <c r="R1249" s="454"/>
      <c r="S1249" s="455"/>
      <c r="T1249" s="454"/>
      <c r="U1249" s="455"/>
      <c r="V1249" s="454"/>
      <c r="W1249" s="455"/>
      <c r="X1249" s="454"/>
      <c r="Y1249" s="455"/>
      <c r="Z1249" s="454"/>
      <c r="AA1249" s="455"/>
      <c r="AB1249" s="454"/>
      <c r="AC1249" s="455"/>
      <c r="AD1249" s="454"/>
      <c r="AE1249" s="455"/>
      <c r="AF1249" s="454"/>
      <c r="AG1249" s="455"/>
    </row>
    <row r="1250" spans="1:33" x14ac:dyDescent="0.2">
      <c r="A1250" s="415">
        <f t="shared" si="39"/>
        <v>1528</v>
      </c>
      <c r="B1250" s="416" t="str">
        <f t="shared" si="38"/>
        <v>Summer</v>
      </c>
      <c r="C1250" s="453"/>
      <c r="D1250" s="454"/>
      <c r="E1250" s="455"/>
      <c r="F1250" s="454"/>
      <c r="G1250" s="455"/>
      <c r="H1250" s="454"/>
      <c r="I1250" s="455"/>
      <c r="J1250" s="454"/>
      <c r="K1250" s="455"/>
      <c r="L1250" s="454"/>
      <c r="M1250" s="455"/>
      <c r="N1250" s="454"/>
      <c r="O1250" s="455"/>
      <c r="P1250" s="454"/>
      <c r="Q1250" s="455"/>
      <c r="R1250" s="454"/>
      <c r="S1250" s="455"/>
      <c r="T1250" s="454"/>
      <c r="U1250" s="455"/>
      <c r="V1250" s="454"/>
      <c r="W1250" s="455"/>
      <c r="X1250" s="454"/>
      <c r="Y1250" s="455"/>
      <c r="Z1250" s="454"/>
      <c r="AA1250" s="455"/>
      <c r="AB1250" s="454"/>
      <c r="AC1250" s="455"/>
      <c r="AD1250" s="454"/>
      <c r="AE1250" s="455"/>
      <c r="AF1250" s="454"/>
      <c r="AG1250" s="455"/>
    </row>
    <row r="1251" spans="1:33" x14ac:dyDescent="0.2">
      <c r="A1251" s="415">
        <f t="shared" si="39"/>
        <v>1528</v>
      </c>
      <c r="B1251" s="416" t="str">
        <f t="shared" si="38"/>
        <v>Autumn</v>
      </c>
      <c r="C1251" s="453"/>
      <c r="D1251" s="454"/>
      <c r="E1251" s="455"/>
      <c r="F1251" s="454"/>
      <c r="G1251" s="455"/>
      <c r="H1251" s="454"/>
      <c r="I1251" s="455"/>
      <c r="J1251" s="454"/>
      <c r="K1251" s="455"/>
      <c r="L1251" s="454"/>
      <c r="M1251" s="455"/>
      <c r="N1251" s="454"/>
      <c r="O1251" s="455"/>
      <c r="P1251" s="454"/>
      <c r="Q1251" s="455"/>
      <c r="R1251" s="454"/>
      <c r="S1251" s="455"/>
      <c r="T1251" s="454"/>
      <c r="U1251" s="455"/>
      <c r="V1251" s="454"/>
      <c r="W1251" s="455"/>
      <c r="X1251" s="454"/>
      <c r="Y1251" s="455"/>
      <c r="Z1251" s="454"/>
      <c r="AA1251" s="455"/>
      <c r="AB1251" s="454"/>
      <c r="AC1251" s="455"/>
      <c r="AD1251" s="454"/>
      <c r="AE1251" s="455"/>
      <c r="AF1251" s="454"/>
      <c r="AG1251" s="455"/>
    </row>
    <row r="1252" spans="1:33" x14ac:dyDescent="0.2">
      <c r="A1252" s="415">
        <f t="shared" si="39"/>
        <v>1529</v>
      </c>
      <c r="B1252" s="416" t="str">
        <f t="shared" si="38"/>
        <v>Winter</v>
      </c>
      <c r="C1252" s="453"/>
      <c r="D1252" s="454"/>
      <c r="E1252" s="455"/>
      <c r="F1252" s="454"/>
      <c r="G1252" s="455"/>
      <c r="H1252" s="454"/>
      <c r="I1252" s="455"/>
      <c r="J1252" s="454"/>
      <c r="K1252" s="455"/>
      <c r="L1252" s="454"/>
      <c r="M1252" s="455"/>
      <c r="N1252" s="454"/>
      <c r="O1252" s="455"/>
      <c r="P1252" s="454"/>
      <c r="Q1252" s="455"/>
      <c r="R1252" s="454"/>
      <c r="S1252" s="455"/>
      <c r="T1252" s="454"/>
      <c r="U1252" s="455"/>
      <c r="V1252" s="454"/>
      <c r="W1252" s="455"/>
      <c r="X1252" s="454"/>
      <c r="Y1252" s="455"/>
      <c r="Z1252" s="454"/>
      <c r="AA1252" s="455"/>
      <c r="AB1252" s="454"/>
      <c r="AC1252" s="455"/>
      <c r="AD1252" s="454"/>
      <c r="AE1252" s="455"/>
      <c r="AF1252" s="454"/>
      <c r="AG1252" s="455"/>
    </row>
    <row r="1253" spans="1:33" x14ac:dyDescent="0.2">
      <c r="A1253" s="415">
        <f t="shared" si="39"/>
        <v>1529</v>
      </c>
      <c r="B1253" s="416" t="str">
        <f t="shared" si="38"/>
        <v>Spring</v>
      </c>
      <c r="C1253" s="453"/>
      <c r="D1253" s="454"/>
      <c r="E1253" s="455"/>
      <c r="F1253" s="454"/>
      <c r="G1253" s="455"/>
      <c r="H1253" s="454"/>
      <c r="I1253" s="455"/>
      <c r="J1253" s="454"/>
      <c r="K1253" s="455"/>
      <c r="L1253" s="454"/>
      <c r="M1253" s="455"/>
      <c r="N1253" s="454"/>
      <c r="O1253" s="455"/>
      <c r="P1253" s="454"/>
      <c r="Q1253" s="455"/>
      <c r="R1253" s="454"/>
      <c r="S1253" s="455"/>
      <c r="T1253" s="454"/>
      <c r="U1253" s="455"/>
      <c r="V1253" s="454"/>
      <c r="W1253" s="455"/>
      <c r="X1253" s="454"/>
      <c r="Y1253" s="455"/>
      <c r="Z1253" s="454"/>
      <c r="AA1253" s="455"/>
      <c r="AB1253" s="454"/>
      <c r="AC1253" s="455"/>
      <c r="AD1253" s="454"/>
      <c r="AE1253" s="455"/>
      <c r="AF1253" s="454"/>
      <c r="AG1253" s="455"/>
    </row>
    <row r="1254" spans="1:33" x14ac:dyDescent="0.2">
      <c r="A1254" s="415">
        <f t="shared" si="39"/>
        <v>1529</v>
      </c>
      <c r="B1254" s="416" t="str">
        <f t="shared" si="38"/>
        <v>Summer</v>
      </c>
      <c r="C1254" s="453"/>
      <c r="D1254" s="454"/>
      <c r="E1254" s="455"/>
      <c r="F1254" s="454"/>
      <c r="G1254" s="455"/>
      <c r="H1254" s="454"/>
      <c r="I1254" s="455"/>
      <c r="J1254" s="454"/>
      <c r="K1254" s="455"/>
      <c r="L1254" s="454"/>
      <c r="M1254" s="455"/>
      <c r="N1254" s="454"/>
      <c r="O1254" s="455"/>
      <c r="P1254" s="454"/>
      <c r="Q1254" s="455"/>
      <c r="R1254" s="454"/>
      <c r="S1254" s="455"/>
      <c r="T1254" s="454"/>
      <c r="U1254" s="455"/>
      <c r="V1254" s="454"/>
      <c r="W1254" s="455"/>
      <c r="X1254" s="454"/>
      <c r="Y1254" s="455"/>
      <c r="Z1254" s="454"/>
      <c r="AA1254" s="455"/>
      <c r="AB1254" s="454"/>
      <c r="AC1254" s="455"/>
      <c r="AD1254" s="454"/>
      <c r="AE1254" s="455"/>
      <c r="AF1254" s="454"/>
      <c r="AG1254" s="455"/>
    </row>
    <row r="1255" spans="1:33" x14ac:dyDescent="0.2">
      <c r="A1255" s="415">
        <f t="shared" si="39"/>
        <v>1529</v>
      </c>
      <c r="B1255" s="416" t="str">
        <f t="shared" si="38"/>
        <v>Autumn</v>
      </c>
      <c r="C1255" s="453"/>
      <c r="D1255" s="454"/>
      <c r="E1255" s="455"/>
      <c r="F1255" s="454"/>
      <c r="G1255" s="455"/>
      <c r="H1255" s="454"/>
      <c r="I1255" s="455"/>
      <c r="J1255" s="454"/>
      <c r="K1255" s="455"/>
      <c r="L1255" s="454"/>
      <c r="M1255" s="455"/>
      <c r="N1255" s="454"/>
      <c r="O1255" s="455"/>
      <c r="P1255" s="454"/>
      <c r="Q1255" s="455"/>
      <c r="R1255" s="454"/>
      <c r="S1255" s="455"/>
      <c r="T1255" s="454"/>
      <c r="U1255" s="455"/>
      <c r="V1255" s="454"/>
      <c r="W1255" s="455"/>
      <c r="X1255" s="454"/>
      <c r="Y1255" s="455"/>
      <c r="Z1255" s="454"/>
      <c r="AA1255" s="455"/>
      <c r="AB1255" s="454"/>
      <c r="AC1255" s="455"/>
      <c r="AD1255" s="454"/>
      <c r="AE1255" s="455"/>
      <c r="AF1255" s="454"/>
      <c r="AG1255" s="455"/>
    </row>
    <row r="1256" spans="1:33" x14ac:dyDescent="0.2">
      <c r="A1256" s="415">
        <f t="shared" si="39"/>
        <v>1530</v>
      </c>
      <c r="B1256" s="416" t="str">
        <f t="shared" si="38"/>
        <v>Winter</v>
      </c>
      <c r="C1256" s="453"/>
      <c r="D1256" s="454"/>
      <c r="E1256" s="455"/>
      <c r="F1256" s="454"/>
      <c r="G1256" s="455"/>
      <c r="H1256" s="454"/>
      <c r="I1256" s="455"/>
      <c r="J1256" s="454"/>
      <c r="K1256" s="455"/>
      <c r="L1256" s="454"/>
      <c r="M1256" s="455"/>
      <c r="N1256" s="454"/>
      <c r="O1256" s="455"/>
      <c r="P1256" s="454"/>
      <c r="Q1256" s="455"/>
      <c r="R1256" s="454"/>
      <c r="S1256" s="455"/>
      <c r="T1256" s="454"/>
      <c r="U1256" s="455"/>
      <c r="V1256" s="454"/>
      <c r="W1256" s="455"/>
      <c r="X1256" s="454"/>
      <c r="Y1256" s="455"/>
      <c r="Z1256" s="454"/>
      <c r="AA1256" s="455"/>
      <c r="AB1256" s="454"/>
      <c r="AC1256" s="455"/>
      <c r="AD1256" s="454"/>
      <c r="AE1256" s="455"/>
      <c r="AF1256" s="454"/>
      <c r="AG1256" s="455"/>
    </row>
    <row r="1257" spans="1:33" x14ac:dyDescent="0.2">
      <c r="A1257" s="415">
        <f t="shared" si="39"/>
        <v>1530</v>
      </c>
      <c r="B1257" s="416" t="str">
        <f t="shared" si="38"/>
        <v>Spring</v>
      </c>
      <c r="C1257" s="453"/>
      <c r="D1257" s="454"/>
      <c r="E1257" s="455"/>
      <c r="F1257" s="454"/>
      <c r="G1257" s="455"/>
      <c r="H1257" s="454"/>
      <c r="I1257" s="455"/>
      <c r="J1257" s="454"/>
      <c r="K1257" s="455"/>
      <c r="L1257" s="454"/>
      <c r="M1257" s="455"/>
      <c r="N1257" s="454"/>
      <c r="O1257" s="455"/>
      <c r="P1257" s="454"/>
      <c r="Q1257" s="455"/>
      <c r="R1257" s="454"/>
      <c r="S1257" s="455"/>
      <c r="T1257" s="454"/>
      <c r="U1257" s="455"/>
      <c r="V1257" s="454"/>
      <c r="W1257" s="455"/>
      <c r="X1257" s="454"/>
      <c r="Y1257" s="455"/>
      <c r="Z1257" s="454"/>
      <c r="AA1257" s="455"/>
      <c r="AB1257" s="454"/>
      <c r="AC1257" s="455"/>
      <c r="AD1257" s="454"/>
      <c r="AE1257" s="455"/>
      <c r="AF1257" s="454"/>
      <c r="AG1257" s="455"/>
    </row>
    <row r="1258" spans="1:33" x14ac:dyDescent="0.2">
      <c r="A1258" s="415">
        <f t="shared" si="39"/>
        <v>1530</v>
      </c>
      <c r="B1258" s="416" t="str">
        <f t="shared" si="38"/>
        <v>Summer</v>
      </c>
      <c r="C1258" s="453"/>
      <c r="D1258" s="454"/>
      <c r="E1258" s="455"/>
      <c r="F1258" s="454"/>
      <c r="G1258" s="455"/>
      <c r="H1258" s="454"/>
      <c r="I1258" s="455"/>
      <c r="J1258" s="454"/>
      <c r="K1258" s="455"/>
      <c r="L1258" s="454"/>
      <c r="M1258" s="455"/>
      <c r="N1258" s="454"/>
      <c r="O1258" s="455"/>
      <c r="P1258" s="454"/>
      <c r="Q1258" s="455"/>
      <c r="R1258" s="454"/>
      <c r="S1258" s="455"/>
      <c r="T1258" s="454"/>
      <c r="U1258" s="455"/>
      <c r="V1258" s="454"/>
      <c r="W1258" s="455"/>
      <c r="X1258" s="454"/>
      <c r="Y1258" s="455"/>
      <c r="Z1258" s="454"/>
      <c r="AA1258" s="455"/>
      <c r="AB1258" s="454"/>
      <c r="AC1258" s="455"/>
      <c r="AD1258" s="454"/>
      <c r="AE1258" s="455"/>
      <c r="AF1258" s="454"/>
      <c r="AG1258" s="455"/>
    </row>
    <row r="1259" spans="1:33" x14ac:dyDescent="0.2">
      <c r="A1259" s="415">
        <f t="shared" si="39"/>
        <v>1530</v>
      </c>
      <c r="B1259" s="416" t="str">
        <f t="shared" ref="B1259:B1322" si="40">IF(B1258="spring","Summer",IF(B1258="Summer","Autumn",IF(B1258="Autumn","Winter",IF(B1258="Winter","Spring"," "))))</f>
        <v>Autumn</v>
      </c>
      <c r="C1259" s="453"/>
      <c r="D1259" s="454"/>
      <c r="E1259" s="455"/>
      <c r="F1259" s="454"/>
      <c r="G1259" s="455"/>
      <c r="H1259" s="454"/>
      <c r="I1259" s="455"/>
      <c r="J1259" s="454"/>
      <c r="K1259" s="455"/>
      <c r="L1259" s="454"/>
      <c r="M1259" s="455"/>
      <c r="N1259" s="454"/>
      <c r="O1259" s="455"/>
      <c r="P1259" s="454"/>
      <c r="Q1259" s="455"/>
      <c r="R1259" s="454"/>
      <c r="S1259" s="455"/>
      <c r="T1259" s="454"/>
      <c r="U1259" s="455"/>
      <c r="V1259" s="454"/>
      <c r="W1259" s="455"/>
      <c r="X1259" s="454"/>
      <c r="Y1259" s="455"/>
      <c r="Z1259" s="454"/>
      <c r="AA1259" s="455"/>
      <c r="AB1259" s="454"/>
      <c r="AC1259" s="455"/>
      <c r="AD1259" s="454"/>
      <c r="AE1259" s="455"/>
      <c r="AF1259" s="454"/>
      <c r="AG1259" s="455"/>
    </row>
    <row r="1260" spans="1:33" x14ac:dyDescent="0.2">
      <c r="A1260" s="415">
        <f t="shared" si="39"/>
        <v>1531</v>
      </c>
      <c r="B1260" s="416" t="str">
        <f t="shared" si="40"/>
        <v>Winter</v>
      </c>
      <c r="C1260" s="453"/>
      <c r="D1260" s="454"/>
      <c r="E1260" s="455"/>
      <c r="F1260" s="454"/>
      <c r="G1260" s="455"/>
      <c r="H1260" s="454"/>
      <c r="I1260" s="455"/>
      <c r="J1260" s="454"/>
      <c r="K1260" s="455"/>
      <c r="L1260" s="454"/>
      <c r="M1260" s="455"/>
      <c r="N1260" s="454"/>
      <c r="O1260" s="455"/>
      <c r="P1260" s="454"/>
      <c r="Q1260" s="455"/>
      <c r="R1260" s="454"/>
      <c r="S1260" s="455"/>
      <c r="T1260" s="454"/>
      <c r="U1260" s="455"/>
      <c r="V1260" s="454"/>
      <c r="W1260" s="455"/>
      <c r="X1260" s="454"/>
      <c r="Y1260" s="455"/>
      <c r="Z1260" s="454"/>
      <c r="AA1260" s="455"/>
      <c r="AB1260" s="454"/>
      <c r="AC1260" s="455"/>
      <c r="AD1260" s="454"/>
      <c r="AE1260" s="455"/>
      <c r="AF1260" s="454"/>
      <c r="AG1260" s="455"/>
    </row>
    <row r="1261" spans="1:33" x14ac:dyDescent="0.2">
      <c r="A1261" s="415">
        <f t="shared" si="39"/>
        <v>1531</v>
      </c>
      <c r="B1261" s="416" t="str">
        <f t="shared" si="40"/>
        <v>Spring</v>
      </c>
      <c r="C1261" s="453"/>
      <c r="D1261" s="454"/>
      <c r="E1261" s="455"/>
      <c r="F1261" s="454"/>
      <c r="G1261" s="455"/>
      <c r="H1261" s="454"/>
      <c r="I1261" s="455"/>
      <c r="J1261" s="454"/>
      <c r="K1261" s="455"/>
      <c r="L1261" s="454"/>
      <c r="M1261" s="455"/>
      <c r="N1261" s="454"/>
      <c r="O1261" s="455"/>
      <c r="P1261" s="454"/>
      <c r="Q1261" s="455"/>
      <c r="R1261" s="454"/>
      <c r="S1261" s="455"/>
      <c r="T1261" s="454"/>
      <c r="U1261" s="455"/>
      <c r="V1261" s="454"/>
      <c r="W1261" s="455"/>
      <c r="X1261" s="454"/>
      <c r="Y1261" s="455"/>
      <c r="Z1261" s="454"/>
      <c r="AA1261" s="455"/>
      <c r="AB1261" s="454"/>
      <c r="AC1261" s="455"/>
      <c r="AD1261" s="454"/>
      <c r="AE1261" s="455"/>
      <c r="AF1261" s="454"/>
      <c r="AG1261" s="455"/>
    </row>
    <row r="1262" spans="1:33" x14ac:dyDescent="0.2">
      <c r="A1262" s="415">
        <f t="shared" si="39"/>
        <v>1531</v>
      </c>
      <c r="B1262" s="416" t="str">
        <f t="shared" si="40"/>
        <v>Summer</v>
      </c>
      <c r="C1262" s="453"/>
      <c r="D1262" s="454"/>
      <c r="E1262" s="455"/>
      <c r="F1262" s="454"/>
      <c r="G1262" s="455"/>
      <c r="H1262" s="454"/>
      <c r="I1262" s="455"/>
      <c r="J1262" s="454"/>
      <c r="K1262" s="455"/>
      <c r="L1262" s="454"/>
      <c r="M1262" s="455"/>
      <c r="N1262" s="454"/>
      <c r="O1262" s="455"/>
      <c r="P1262" s="454"/>
      <c r="Q1262" s="455"/>
      <c r="R1262" s="454"/>
      <c r="S1262" s="455"/>
      <c r="T1262" s="454"/>
      <c r="U1262" s="455"/>
      <c r="V1262" s="454"/>
      <c r="W1262" s="455"/>
      <c r="X1262" s="454"/>
      <c r="Y1262" s="455"/>
      <c r="Z1262" s="454"/>
      <c r="AA1262" s="455"/>
      <c r="AB1262" s="454"/>
      <c r="AC1262" s="455"/>
      <c r="AD1262" s="454"/>
      <c r="AE1262" s="455"/>
      <c r="AF1262" s="454"/>
      <c r="AG1262" s="455"/>
    </row>
    <row r="1263" spans="1:33" x14ac:dyDescent="0.2">
      <c r="A1263" s="415">
        <f t="shared" si="39"/>
        <v>1531</v>
      </c>
      <c r="B1263" s="416" t="str">
        <f t="shared" si="40"/>
        <v>Autumn</v>
      </c>
      <c r="C1263" s="453"/>
      <c r="D1263" s="454"/>
      <c r="E1263" s="455"/>
      <c r="F1263" s="454"/>
      <c r="G1263" s="455"/>
      <c r="H1263" s="454"/>
      <c r="I1263" s="455"/>
      <c r="J1263" s="454"/>
      <c r="K1263" s="455"/>
      <c r="L1263" s="454"/>
      <c r="M1263" s="455"/>
      <c r="N1263" s="454"/>
      <c r="O1263" s="455"/>
      <c r="P1263" s="454"/>
      <c r="Q1263" s="455"/>
      <c r="R1263" s="454"/>
      <c r="S1263" s="455"/>
      <c r="T1263" s="454"/>
      <c r="U1263" s="455"/>
      <c r="V1263" s="454"/>
      <c r="W1263" s="455"/>
      <c r="X1263" s="454"/>
      <c r="Y1263" s="455"/>
      <c r="Z1263" s="454"/>
      <c r="AA1263" s="455"/>
      <c r="AB1263" s="454"/>
      <c r="AC1263" s="455"/>
      <c r="AD1263" s="454"/>
      <c r="AE1263" s="455"/>
      <c r="AF1263" s="454"/>
      <c r="AG1263" s="455"/>
    </row>
    <row r="1264" spans="1:33" x14ac:dyDescent="0.2">
      <c r="A1264" s="415">
        <f t="shared" si="39"/>
        <v>1532</v>
      </c>
      <c r="B1264" s="416" t="str">
        <f t="shared" si="40"/>
        <v>Winter</v>
      </c>
      <c r="C1264" s="453"/>
      <c r="D1264" s="454"/>
      <c r="E1264" s="455"/>
      <c r="F1264" s="454"/>
      <c r="G1264" s="455"/>
      <c r="H1264" s="454"/>
      <c r="I1264" s="455"/>
      <c r="J1264" s="454"/>
      <c r="K1264" s="455"/>
      <c r="L1264" s="454"/>
      <c r="M1264" s="455"/>
      <c r="N1264" s="454"/>
      <c r="O1264" s="455"/>
      <c r="P1264" s="454"/>
      <c r="Q1264" s="455"/>
      <c r="R1264" s="454"/>
      <c r="S1264" s="455"/>
      <c r="T1264" s="454"/>
      <c r="U1264" s="455"/>
      <c r="V1264" s="454"/>
      <c r="W1264" s="455"/>
      <c r="X1264" s="454"/>
      <c r="Y1264" s="455"/>
      <c r="Z1264" s="454"/>
      <c r="AA1264" s="455"/>
      <c r="AB1264" s="454"/>
      <c r="AC1264" s="455"/>
      <c r="AD1264" s="454"/>
      <c r="AE1264" s="455"/>
      <c r="AF1264" s="454"/>
      <c r="AG1264" s="455"/>
    </row>
    <row r="1265" spans="1:33" x14ac:dyDescent="0.2">
      <c r="A1265" s="415">
        <f t="shared" si="39"/>
        <v>1532</v>
      </c>
      <c r="B1265" s="416" t="str">
        <f t="shared" si="40"/>
        <v>Spring</v>
      </c>
      <c r="C1265" s="453"/>
      <c r="D1265" s="454"/>
      <c r="E1265" s="455"/>
      <c r="F1265" s="454"/>
      <c r="G1265" s="455"/>
      <c r="H1265" s="454"/>
      <c r="I1265" s="455"/>
      <c r="J1265" s="454"/>
      <c r="K1265" s="455"/>
      <c r="L1265" s="454"/>
      <c r="M1265" s="455"/>
      <c r="N1265" s="454"/>
      <c r="O1265" s="455"/>
      <c r="P1265" s="454"/>
      <c r="Q1265" s="455"/>
      <c r="R1265" s="454"/>
      <c r="S1265" s="455"/>
      <c r="T1265" s="454"/>
      <c r="U1265" s="455"/>
      <c r="V1265" s="454"/>
      <c r="W1265" s="455"/>
      <c r="X1265" s="454"/>
      <c r="Y1265" s="455"/>
      <c r="Z1265" s="454"/>
      <c r="AA1265" s="455"/>
      <c r="AB1265" s="454"/>
      <c r="AC1265" s="455"/>
      <c r="AD1265" s="454"/>
      <c r="AE1265" s="455"/>
      <c r="AF1265" s="454"/>
      <c r="AG1265" s="455"/>
    </row>
    <row r="1266" spans="1:33" x14ac:dyDescent="0.2">
      <c r="A1266" s="415">
        <f t="shared" si="39"/>
        <v>1532</v>
      </c>
      <c r="B1266" s="416" t="str">
        <f t="shared" si="40"/>
        <v>Summer</v>
      </c>
      <c r="C1266" s="453"/>
      <c r="D1266" s="454"/>
      <c r="E1266" s="455"/>
      <c r="F1266" s="454"/>
      <c r="G1266" s="455"/>
      <c r="H1266" s="454"/>
      <c r="I1266" s="455"/>
      <c r="J1266" s="454"/>
      <c r="K1266" s="455"/>
      <c r="L1266" s="454"/>
      <c r="M1266" s="455"/>
      <c r="N1266" s="454"/>
      <c r="O1266" s="455"/>
      <c r="P1266" s="454"/>
      <c r="Q1266" s="455"/>
      <c r="R1266" s="454"/>
      <c r="S1266" s="455"/>
      <c r="T1266" s="454"/>
      <c r="U1266" s="455"/>
      <c r="V1266" s="454"/>
      <c r="W1266" s="455"/>
      <c r="X1266" s="454"/>
      <c r="Y1266" s="455"/>
      <c r="Z1266" s="454"/>
      <c r="AA1266" s="455"/>
      <c r="AB1266" s="454"/>
      <c r="AC1266" s="455"/>
      <c r="AD1266" s="454"/>
      <c r="AE1266" s="455"/>
      <c r="AF1266" s="454"/>
      <c r="AG1266" s="455"/>
    </row>
    <row r="1267" spans="1:33" x14ac:dyDescent="0.2">
      <c r="A1267" s="415">
        <f t="shared" si="39"/>
        <v>1532</v>
      </c>
      <c r="B1267" s="416" t="str">
        <f t="shared" si="40"/>
        <v>Autumn</v>
      </c>
      <c r="C1267" s="453"/>
      <c r="D1267" s="454"/>
      <c r="E1267" s="455"/>
      <c r="F1267" s="454"/>
      <c r="G1267" s="455"/>
      <c r="H1267" s="454"/>
      <c r="I1267" s="455"/>
      <c r="J1267" s="454"/>
      <c r="K1267" s="455"/>
      <c r="L1267" s="454"/>
      <c r="M1267" s="455"/>
      <c r="N1267" s="454"/>
      <c r="O1267" s="455"/>
      <c r="P1267" s="454"/>
      <c r="Q1267" s="455"/>
      <c r="R1267" s="454"/>
      <c r="S1267" s="455"/>
      <c r="T1267" s="454"/>
      <c r="U1267" s="455"/>
      <c r="V1267" s="454"/>
      <c r="W1267" s="455"/>
      <c r="X1267" s="454"/>
      <c r="Y1267" s="455"/>
      <c r="Z1267" s="454"/>
      <c r="AA1267" s="455"/>
      <c r="AB1267" s="454"/>
      <c r="AC1267" s="455"/>
      <c r="AD1267" s="454"/>
      <c r="AE1267" s="455"/>
      <c r="AF1267" s="454"/>
      <c r="AG1267" s="455"/>
    </row>
    <row r="1268" spans="1:33" x14ac:dyDescent="0.2">
      <c r="A1268" s="415">
        <f t="shared" si="39"/>
        <v>1533</v>
      </c>
      <c r="B1268" s="416" t="str">
        <f t="shared" si="40"/>
        <v>Winter</v>
      </c>
      <c r="C1268" s="453"/>
      <c r="D1268" s="454"/>
      <c r="E1268" s="455"/>
      <c r="F1268" s="454"/>
      <c r="G1268" s="455"/>
      <c r="H1268" s="454"/>
      <c r="I1268" s="455"/>
      <c r="J1268" s="454"/>
      <c r="K1268" s="455"/>
      <c r="L1268" s="454"/>
      <c r="M1268" s="455"/>
      <c r="N1268" s="454"/>
      <c r="O1268" s="455"/>
      <c r="P1268" s="454"/>
      <c r="Q1268" s="455"/>
      <c r="R1268" s="454"/>
      <c r="S1268" s="455"/>
      <c r="T1268" s="454"/>
      <c r="U1268" s="455"/>
      <c r="V1268" s="454"/>
      <c r="W1268" s="455"/>
      <c r="X1268" s="454"/>
      <c r="Y1268" s="455"/>
      <c r="Z1268" s="454"/>
      <c r="AA1268" s="455"/>
      <c r="AB1268" s="454"/>
      <c r="AC1268" s="455"/>
      <c r="AD1268" s="454"/>
      <c r="AE1268" s="455"/>
      <c r="AF1268" s="454"/>
      <c r="AG1268" s="455"/>
    </row>
    <row r="1269" spans="1:33" x14ac:dyDescent="0.2">
      <c r="A1269" s="415">
        <f t="shared" si="39"/>
        <v>1533</v>
      </c>
      <c r="B1269" s="416" t="str">
        <f t="shared" si="40"/>
        <v>Spring</v>
      </c>
      <c r="C1269" s="453"/>
      <c r="D1269" s="454"/>
      <c r="E1269" s="455"/>
      <c r="F1269" s="454"/>
      <c r="G1269" s="455"/>
      <c r="H1269" s="454"/>
      <c r="I1269" s="455"/>
      <c r="J1269" s="454"/>
      <c r="K1269" s="455"/>
      <c r="L1269" s="454"/>
      <c r="M1269" s="455"/>
      <c r="N1269" s="454"/>
      <c r="O1269" s="455"/>
      <c r="P1269" s="454"/>
      <c r="Q1269" s="455"/>
      <c r="R1269" s="454"/>
      <c r="S1269" s="455"/>
      <c r="T1269" s="454"/>
      <c r="U1269" s="455"/>
      <c r="V1269" s="454"/>
      <c r="W1269" s="455"/>
      <c r="X1269" s="454"/>
      <c r="Y1269" s="455"/>
      <c r="Z1269" s="454"/>
      <c r="AA1269" s="455"/>
      <c r="AB1269" s="454"/>
      <c r="AC1269" s="455"/>
      <c r="AD1269" s="454"/>
      <c r="AE1269" s="455"/>
      <c r="AF1269" s="454"/>
      <c r="AG1269" s="455"/>
    </row>
    <row r="1270" spans="1:33" x14ac:dyDescent="0.2">
      <c r="A1270" s="415">
        <f t="shared" si="39"/>
        <v>1533</v>
      </c>
      <c r="B1270" s="416" t="str">
        <f t="shared" si="40"/>
        <v>Summer</v>
      </c>
      <c r="C1270" s="453"/>
      <c r="D1270" s="454"/>
      <c r="E1270" s="455"/>
      <c r="F1270" s="454"/>
      <c r="G1270" s="455"/>
      <c r="H1270" s="454"/>
      <c r="I1270" s="455"/>
      <c r="J1270" s="454"/>
      <c r="K1270" s="455"/>
      <c r="L1270" s="454"/>
      <c r="M1270" s="455"/>
      <c r="N1270" s="454"/>
      <c r="O1270" s="455"/>
      <c r="P1270" s="454"/>
      <c r="Q1270" s="455"/>
      <c r="R1270" s="454"/>
      <c r="S1270" s="455"/>
      <c r="T1270" s="454"/>
      <c r="U1270" s="455"/>
      <c r="V1270" s="454"/>
      <c r="W1270" s="455"/>
      <c r="X1270" s="454"/>
      <c r="Y1270" s="455"/>
      <c r="Z1270" s="454"/>
      <c r="AA1270" s="455"/>
      <c r="AB1270" s="454"/>
      <c r="AC1270" s="455"/>
      <c r="AD1270" s="454"/>
      <c r="AE1270" s="455"/>
      <c r="AF1270" s="454"/>
      <c r="AG1270" s="455"/>
    </row>
    <row r="1271" spans="1:33" x14ac:dyDescent="0.2">
      <c r="A1271" s="415">
        <f t="shared" si="39"/>
        <v>1533</v>
      </c>
      <c r="B1271" s="416" t="str">
        <f t="shared" si="40"/>
        <v>Autumn</v>
      </c>
      <c r="C1271" s="453"/>
      <c r="D1271" s="454"/>
      <c r="E1271" s="455"/>
      <c r="F1271" s="454"/>
      <c r="G1271" s="455"/>
      <c r="H1271" s="454"/>
      <c r="I1271" s="455"/>
      <c r="J1271" s="454"/>
      <c r="K1271" s="455"/>
      <c r="L1271" s="454"/>
      <c r="M1271" s="455"/>
      <c r="N1271" s="454"/>
      <c r="O1271" s="455"/>
      <c r="P1271" s="454"/>
      <c r="Q1271" s="455"/>
      <c r="R1271" s="454"/>
      <c r="S1271" s="455"/>
      <c r="T1271" s="454"/>
      <c r="U1271" s="455"/>
      <c r="V1271" s="454"/>
      <c r="W1271" s="455"/>
      <c r="X1271" s="454"/>
      <c r="Y1271" s="455"/>
      <c r="Z1271" s="454"/>
      <c r="AA1271" s="455"/>
      <c r="AB1271" s="454"/>
      <c r="AC1271" s="455"/>
      <c r="AD1271" s="454"/>
      <c r="AE1271" s="455"/>
      <c r="AF1271" s="454"/>
      <c r="AG1271" s="455"/>
    </row>
    <row r="1272" spans="1:33" x14ac:dyDescent="0.2">
      <c r="A1272" s="415">
        <f t="shared" si="39"/>
        <v>1534</v>
      </c>
      <c r="B1272" s="416" t="str">
        <f t="shared" si="40"/>
        <v>Winter</v>
      </c>
      <c r="C1272" s="453"/>
      <c r="D1272" s="454"/>
      <c r="E1272" s="455"/>
      <c r="F1272" s="454"/>
      <c r="G1272" s="455"/>
      <c r="H1272" s="454"/>
      <c r="I1272" s="455"/>
      <c r="J1272" s="454"/>
      <c r="K1272" s="455"/>
      <c r="L1272" s="454"/>
      <c r="M1272" s="455"/>
      <c r="N1272" s="454"/>
      <c r="O1272" s="455"/>
      <c r="P1272" s="454"/>
      <c r="Q1272" s="455"/>
      <c r="R1272" s="454"/>
      <c r="S1272" s="455"/>
      <c r="T1272" s="454"/>
      <c r="U1272" s="455"/>
      <c r="V1272" s="454"/>
      <c r="W1272" s="455"/>
      <c r="X1272" s="454"/>
      <c r="Y1272" s="455"/>
      <c r="Z1272" s="454"/>
      <c r="AA1272" s="455"/>
      <c r="AB1272" s="454"/>
      <c r="AC1272" s="455"/>
      <c r="AD1272" s="454"/>
      <c r="AE1272" s="455"/>
      <c r="AF1272" s="454"/>
      <c r="AG1272" s="455"/>
    </row>
    <row r="1273" spans="1:33" x14ac:dyDescent="0.2">
      <c r="A1273" s="415">
        <f t="shared" si="39"/>
        <v>1534</v>
      </c>
      <c r="B1273" s="416" t="str">
        <f t="shared" si="40"/>
        <v>Spring</v>
      </c>
      <c r="C1273" s="453"/>
      <c r="D1273" s="454"/>
      <c r="E1273" s="455"/>
      <c r="F1273" s="454"/>
      <c r="G1273" s="455"/>
      <c r="H1273" s="454"/>
      <c r="I1273" s="455"/>
      <c r="J1273" s="454"/>
      <c r="K1273" s="455"/>
      <c r="L1273" s="454"/>
      <c r="M1273" s="455"/>
      <c r="N1273" s="454"/>
      <c r="O1273" s="455"/>
      <c r="P1273" s="454"/>
      <c r="Q1273" s="455"/>
      <c r="R1273" s="454"/>
      <c r="S1273" s="455"/>
      <c r="T1273" s="454"/>
      <c r="U1273" s="455"/>
      <c r="V1273" s="454"/>
      <c r="W1273" s="455"/>
      <c r="X1273" s="454"/>
      <c r="Y1273" s="455"/>
      <c r="Z1273" s="454"/>
      <c r="AA1273" s="455"/>
      <c r="AB1273" s="454"/>
      <c r="AC1273" s="455"/>
      <c r="AD1273" s="454"/>
      <c r="AE1273" s="455"/>
      <c r="AF1273" s="454"/>
      <c r="AG1273" s="455"/>
    </row>
    <row r="1274" spans="1:33" x14ac:dyDescent="0.2">
      <c r="A1274" s="415">
        <f t="shared" si="39"/>
        <v>1534</v>
      </c>
      <c r="B1274" s="416" t="str">
        <f t="shared" si="40"/>
        <v>Summer</v>
      </c>
      <c r="C1274" s="453"/>
      <c r="D1274" s="454"/>
      <c r="E1274" s="455"/>
      <c r="F1274" s="454"/>
      <c r="G1274" s="455"/>
      <c r="H1274" s="454"/>
      <c r="I1274" s="455"/>
      <c r="J1274" s="454"/>
      <c r="K1274" s="455"/>
      <c r="L1274" s="454"/>
      <c r="M1274" s="455"/>
      <c r="N1274" s="454"/>
      <c r="O1274" s="455"/>
      <c r="P1274" s="454"/>
      <c r="Q1274" s="455"/>
      <c r="R1274" s="454"/>
      <c r="S1274" s="455"/>
      <c r="T1274" s="454"/>
      <c r="U1274" s="455"/>
      <c r="V1274" s="454"/>
      <c r="W1274" s="455"/>
      <c r="X1274" s="454"/>
      <c r="Y1274" s="455"/>
      <c r="Z1274" s="454"/>
      <c r="AA1274" s="455"/>
      <c r="AB1274" s="454"/>
      <c r="AC1274" s="455"/>
      <c r="AD1274" s="454"/>
      <c r="AE1274" s="455"/>
      <c r="AF1274" s="454"/>
      <c r="AG1274" s="455"/>
    </row>
    <row r="1275" spans="1:33" x14ac:dyDescent="0.2">
      <c r="A1275" s="415">
        <f t="shared" si="39"/>
        <v>1534</v>
      </c>
      <c r="B1275" s="416" t="str">
        <f t="shared" si="40"/>
        <v>Autumn</v>
      </c>
      <c r="C1275" s="453"/>
      <c r="D1275" s="454"/>
      <c r="E1275" s="455"/>
      <c r="F1275" s="454"/>
      <c r="G1275" s="455"/>
      <c r="H1275" s="454"/>
      <c r="I1275" s="455"/>
      <c r="J1275" s="454"/>
      <c r="K1275" s="455"/>
      <c r="L1275" s="454"/>
      <c r="M1275" s="455"/>
      <c r="N1275" s="454"/>
      <c r="O1275" s="455"/>
      <c r="P1275" s="454"/>
      <c r="Q1275" s="455"/>
      <c r="R1275" s="454"/>
      <c r="S1275" s="455"/>
      <c r="T1275" s="454"/>
      <c r="U1275" s="455"/>
      <c r="V1275" s="454"/>
      <c r="W1275" s="455"/>
      <c r="X1275" s="454"/>
      <c r="Y1275" s="455"/>
      <c r="Z1275" s="454"/>
      <c r="AA1275" s="455"/>
      <c r="AB1275" s="454"/>
      <c r="AC1275" s="455"/>
      <c r="AD1275" s="454"/>
      <c r="AE1275" s="455"/>
      <c r="AF1275" s="454"/>
      <c r="AG1275" s="455"/>
    </row>
    <row r="1276" spans="1:33" x14ac:dyDescent="0.2">
      <c r="A1276" s="415">
        <f t="shared" si="39"/>
        <v>1535</v>
      </c>
      <c r="B1276" s="416" t="str">
        <f t="shared" si="40"/>
        <v>Winter</v>
      </c>
      <c r="C1276" s="453"/>
      <c r="D1276" s="454"/>
      <c r="E1276" s="455"/>
      <c r="F1276" s="454"/>
      <c r="G1276" s="455"/>
      <c r="H1276" s="454"/>
      <c r="I1276" s="455"/>
      <c r="J1276" s="454"/>
      <c r="K1276" s="455"/>
      <c r="L1276" s="454"/>
      <c r="M1276" s="455"/>
      <c r="N1276" s="454"/>
      <c r="O1276" s="455"/>
      <c r="P1276" s="454"/>
      <c r="Q1276" s="455"/>
      <c r="R1276" s="454"/>
      <c r="S1276" s="455"/>
      <c r="T1276" s="454"/>
      <c r="U1276" s="455"/>
      <c r="V1276" s="454"/>
      <c r="W1276" s="455"/>
      <c r="X1276" s="454"/>
      <c r="Y1276" s="455"/>
      <c r="Z1276" s="454"/>
      <c r="AA1276" s="455"/>
      <c r="AB1276" s="454"/>
      <c r="AC1276" s="455"/>
      <c r="AD1276" s="454"/>
      <c r="AE1276" s="455"/>
      <c r="AF1276" s="454"/>
      <c r="AG1276" s="455"/>
    </row>
    <row r="1277" spans="1:33" x14ac:dyDescent="0.2">
      <c r="A1277" s="415">
        <f t="shared" si="39"/>
        <v>1535</v>
      </c>
      <c r="B1277" s="416" t="str">
        <f t="shared" si="40"/>
        <v>Spring</v>
      </c>
      <c r="C1277" s="453"/>
      <c r="D1277" s="454"/>
      <c r="E1277" s="455"/>
      <c r="F1277" s="454"/>
      <c r="G1277" s="455"/>
      <c r="H1277" s="454"/>
      <c r="I1277" s="455"/>
      <c r="J1277" s="454"/>
      <c r="K1277" s="455"/>
      <c r="L1277" s="454"/>
      <c r="M1277" s="455"/>
      <c r="N1277" s="454"/>
      <c r="O1277" s="455"/>
      <c r="P1277" s="454"/>
      <c r="Q1277" s="455"/>
      <c r="R1277" s="454"/>
      <c r="S1277" s="455"/>
      <c r="T1277" s="454"/>
      <c r="U1277" s="455"/>
      <c r="V1277" s="454"/>
      <c r="W1277" s="455"/>
      <c r="X1277" s="454"/>
      <c r="Y1277" s="455"/>
      <c r="Z1277" s="454"/>
      <c r="AA1277" s="455"/>
      <c r="AB1277" s="454"/>
      <c r="AC1277" s="455"/>
      <c r="AD1277" s="454"/>
      <c r="AE1277" s="455"/>
      <c r="AF1277" s="454"/>
      <c r="AG1277" s="455"/>
    </row>
    <row r="1278" spans="1:33" x14ac:dyDescent="0.2">
      <c r="A1278" s="415">
        <f t="shared" si="39"/>
        <v>1535</v>
      </c>
      <c r="B1278" s="416" t="str">
        <f t="shared" si="40"/>
        <v>Summer</v>
      </c>
      <c r="C1278" s="453"/>
      <c r="D1278" s="454"/>
      <c r="E1278" s="455"/>
      <c r="F1278" s="454"/>
      <c r="G1278" s="455"/>
      <c r="H1278" s="454"/>
      <c r="I1278" s="455"/>
      <c r="J1278" s="454"/>
      <c r="K1278" s="455"/>
      <c r="L1278" s="454"/>
      <c r="M1278" s="455"/>
      <c r="N1278" s="454"/>
      <c r="O1278" s="455"/>
      <c r="P1278" s="454"/>
      <c r="Q1278" s="455"/>
      <c r="R1278" s="454"/>
      <c r="S1278" s="455"/>
      <c r="T1278" s="454"/>
      <c r="U1278" s="455"/>
      <c r="V1278" s="454"/>
      <c r="W1278" s="455"/>
      <c r="X1278" s="454"/>
      <c r="Y1278" s="455"/>
      <c r="Z1278" s="454"/>
      <c r="AA1278" s="455"/>
      <c r="AB1278" s="454"/>
      <c r="AC1278" s="455"/>
      <c r="AD1278" s="454"/>
      <c r="AE1278" s="455"/>
      <c r="AF1278" s="454"/>
      <c r="AG1278" s="455"/>
    </row>
    <row r="1279" spans="1:33" x14ac:dyDescent="0.2">
      <c r="A1279" s="415">
        <f t="shared" si="39"/>
        <v>1535</v>
      </c>
      <c r="B1279" s="416" t="str">
        <f t="shared" si="40"/>
        <v>Autumn</v>
      </c>
      <c r="C1279" s="453"/>
      <c r="D1279" s="454"/>
      <c r="E1279" s="455"/>
      <c r="F1279" s="454"/>
      <c r="G1279" s="455"/>
      <c r="H1279" s="454"/>
      <c r="I1279" s="455"/>
      <c r="J1279" s="454"/>
      <c r="K1279" s="455"/>
      <c r="L1279" s="454"/>
      <c r="M1279" s="455"/>
      <c r="N1279" s="454"/>
      <c r="O1279" s="455"/>
      <c r="P1279" s="454"/>
      <c r="Q1279" s="455"/>
      <c r="R1279" s="454"/>
      <c r="S1279" s="455"/>
      <c r="T1279" s="454"/>
      <c r="U1279" s="455"/>
      <c r="V1279" s="454"/>
      <c r="W1279" s="455"/>
      <c r="X1279" s="454"/>
      <c r="Y1279" s="455"/>
      <c r="Z1279" s="454"/>
      <c r="AA1279" s="455"/>
      <c r="AB1279" s="454"/>
      <c r="AC1279" s="455"/>
      <c r="AD1279" s="454"/>
      <c r="AE1279" s="455"/>
      <c r="AF1279" s="454"/>
      <c r="AG1279" s="455"/>
    </row>
    <row r="1280" spans="1:33" x14ac:dyDescent="0.2">
      <c r="A1280" s="415">
        <f t="shared" si="39"/>
        <v>1536</v>
      </c>
      <c r="B1280" s="416" t="str">
        <f t="shared" si="40"/>
        <v>Winter</v>
      </c>
      <c r="C1280" s="453"/>
      <c r="D1280" s="454"/>
      <c r="E1280" s="455"/>
      <c r="F1280" s="454"/>
      <c r="G1280" s="455"/>
      <c r="H1280" s="454"/>
      <c r="I1280" s="455"/>
      <c r="J1280" s="454"/>
      <c r="K1280" s="455"/>
      <c r="L1280" s="454"/>
      <c r="M1280" s="455"/>
      <c r="N1280" s="454"/>
      <c r="O1280" s="455"/>
      <c r="P1280" s="454"/>
      <c r="Q1280" s="455"/>
      <c r="R1280" s="454"/>
      <c r="S1280" s="455"/>
      <c r="T1280" s="454"/>
      <c r="U1280" s="455"/>
      <c r="V1280" s="454"/>
      <c r="W1280" s="455"/>
      <c r="X1280" s="454"/>
      <c r="Y1280" s="455"/>
      <c r="Z1280" s="454"/>
      <c r="AA1280" s="455"/>
      <c r="AB1280" s="454"/>
      <c r="AC1280" s="455"/>
      <c r="AD1280" s="454"/>
      <c r="AE1280" s="455"/>
      <c r="AF1280" s="454"/>
      <c r="AG1280" s="455"/>
    </row>
    <row r="1281" spans="1:33" x14ac:dyDescent="0.2">
      <c r="A1281" s="415">
        <f t="shared" si="39"/>
        <v>1536</v>
      </c>
      <c r="B1281" s="416" t="str">
        <f t="shared" si="40"/>
        <v>Spring</v>
      </c>
      <c r="C1281" s="453"/>
      <c r="D1281" s="454"/>
      <c r="E1281" s="455"/>
      <c r="F1281" s="454"/>
      <c r="G1281" s="455"/>
      <c r="H1281" s="454"/>
      <c r="I1281" s="455"/>
      <c r="J1281" s="454"/>
      <c r="K1281" s="455"/>
      <c r="L1281" s="454"/>
      <c r="M1281" s="455"/>
      <c r="N1281" s="454"/>
      <c r="O1281" s="455"/>
      <c r="P1281" s="454"/>
      <c r="Q1281" s="455"/>
      <c r="R1281" s="454"/>
      <c r="S1281" s="455"/>
      <c r="T1281" s="454"/>
      <c r="U1281" s="455"/>
      <c r="V1281" s="454"/>
      <c r="W1281" s="455"/>
      <c r="X1281" s="454"/>
      <c r="Y1281" s="455"/>
      <c r="Z1281" s="454"/>
      <c r="AA1281" s="455"/>
      <c r="AB1281" s="454"/>
      <c r="AC1281" s="455"/>
      <c r="AD1281" s="454"/>
      <c r="AE1281" s="455"/>
      <c r="AF1281" s="454"/>
      <c r="AG1281" s="455"/>
    </row>
    <row r="1282" spans="1:33" x14ac:dyDescent="0.2">
      <c r="A1282" s="415">
        <f t="shared" si="39"/>
        <v>1536</v>
      </c>
      <c r="B1282" s="416" t="str">
        <f t="shared" si="40"/>
        <v>Summer</v>
      </c>
      <c r="C1282" s="453"/>
      <c r="D1282" s="454"/>
      <c r="E1282" s="455"/>
      <c r="F1282" s="454"/>
      <c r="G1282" s="455"/>
      <c r="H1282" s="454"/>
      <c r="I1282" s="455"/>
      <c r="J1282" s="454"/>
      <c r="K1282" s="455"/>
      <c r="L1282" s="454"/>
      <c r="M1282" s="455"/>
      <c r="N1282" s="454"/>
      <c r="O1282" s="455"/>
      <c r="P1282" s="454"/>
      <c r="Q1282" s="455"/>
      <c r="R1282" s="454"/>
      <c r="S1282" s="455"/>
      <c r="T1282" s="454"/>
      <c r="U1282" s="455"/>
      <c r="V1282" s="454"/>
      <c r="W1282" s="455"/>
      <c r="X1282" s="454"/>
      <c r="Y1282" s="455"/>
      <c r="Z1282" s="454"/>
      <c r="AA1282" s="455"/>
      <c r="AB1282" s="454"/>
      <c r="AC1282" s="455"/>
      <c r="AD1282" s="454"/>
      <c r="AE1282" s="455"/>
      <c r="AF1282" s="454"/>
      <c r="AG1282" s="455"/>
    </row>
    <row r="1283" spans="1:33" x14ac:dyDescent="0.2">
      <c r="A1283" s="415">
        <f t="shared" si="39"/>
        <v>1536</v>
      </c>
      <c r="B1283" s="416" t="str">
        <f t="shared" si="40"/>
        <v>Autumn</v>
      </c>
      <c r="C1283" s="453"/>
      <c r="D1283" s="454"/>
      <c r="E1283" s="455"/>
      <c r="F1283" s="454"/>
      <c r="G1283" s="455"/>
      <c r="H1283" s="454"/>
      <c r="I1283" s="455"/>
      <c r="J1283" s="454"/>
      <c r="K1283" s="455"/>
      <c r="L1283" s="454"/>
      <c r="M1283" s="455"/>
      <c r="N1283" s="454"/>
      <c r="O1283" s="455"/>
      <c r="P1283" s="454"/>
      <c r="Q1283" s="455"/>
      <c r="R1283" s="454"/>
      <c r="S1283" s="455"/>
      <c r="T1283" s="454"/>
      <c r="U1283" s="455"/>
      <c r="V1283" s="454"/>
      <c r="W1283" s="455"/>
      <c r="X1283" s="454"/>
      <c r="Y1283" s="455"/>
      <c r="Z1283" s="454"/>
      <c r="AA1283" s="455"/>
      <c r="AB1283" s="454"/>
      <c r="AC1283" s="455"/>
      <c r="AD1283" s="454"/>
      <c r="AE1283" s="455"/>
      <c r="AF1283" s="454"/>
      <c r="AG1283" s="455"/>
    </row>
    <row r="1284" spans="1:33" x14ac:dyDescent="0.2">
      <c r="A1284" s="415">
        <f t="shared" si="39"/>
        <v>1537</v>
      </c>
      <c r="B1284" s="416" t="str">
        <f t="shared" si="40"/>
        <v>Winter</v>
      </c>
      <c r="C1284" s="453"/>
      <c r="D1284" s="454"/>
      <c r="E1284" s="455"/>
      <c r="F1284" s="454"/>
      <c r="G1284" s="455"/>
      <c r="H1284" s="454"/>
      <c r="I1284" s="455"/>
      <c r="J1284" s="454"/>
      <c r="K1284" s="455"/>
      <c r="L1284" s="454"/>
      <c r="M1284" s="455"/>
      <c r="N1284" s="454"/>
      <c r="O1284" s="455"/>
      <c r="P1284" s="454"/>
      <c r="Q1284" s="455"/>
      <c r="R1284" s="454"/>
      <c r="S1284" s="455"/>
      <c r="T1284" s="454"/>
      <c r="U1284" s="455"/>
      <c r="V1284" s="454"/>
      <c r="W1284" s="455"/>
      <c r="X1284" s="454"/>
      <c r="Y1284" s="455"/>
      <c r="Z1284" s="454"/>
      <c r="AA1284" s="455"/>
      <c r="AB1284" s="454"/>
      <c r="AC1284" s="455"/>
      <c r="AD1284" s="454"/>
      <c r="AE1284" s="455"/>
      <c r="AF1284" s="454"/>
      <c r="AG1284" s="455"/>
    </row>
    <row r="1285" spans="1:33" x14ac:dyDescent="0.2">
      <c r="A1285" s="415">
        <f t="shared" ref="A1285:A1348" si="41">IF(B1284="Autumn",A1284+1,A1284)</f>
        <v>1537</v>
      </c>
      <c r="B1285" s="416" t="str">
        <f t="shared" si="40"/>
        <v>Spring</v>
      </c>
      <c r="C1285" s="453"/>
      <c r="D1285" s="454"/>
      <c r="E1285" s="455"/>
      <c r="F1285" s="454"/>
      <c r="G1285" s="455"/>
      <c r="H1285" s="454"/>
      <c r="I1285" s="455"/>
      <c r="J1285" s="454"/>
      <c r="K1285" s="455"/>
      <c r="L1285" s="454"/>
      <c r="M1285" s="455"/>
      <c r="N1285" s="454"/>
      <c r="O1285" s="455"/>
      <c r="P1285" s="454"/>
      <c r="Q1285" s="455"/>
      <c r="R1285" s="454"/>
      <c r="S1285" s="455"/>
      <c r="T1285" s="454"/>
      <c r="U1285" s="455"/>
      <c r="V1285" s="454"/>
      <c r="W1285" s="455"/>
      <c r="X1285" s="454"/>
      <c r="Y1285" s="455"/>
      <c r="Z1285" s="454"/>
      <c r="AA1285" s="455"/>
      <c r="AB1285" s="454"/>
      <c r="AC1285" s="455"/>
      <c r="AD1285" s="454"/>
      <c r="AE1285" s="455"/>
      <c r="AF1285" s="454"/>
      <c r="AG1285" s="455"/>
    </row>
    <row r="1286" spans="1:33" x14ac:dyDescent="0.2">
      <c r="A1286" s="415">
        <f t="shared" si="41"/>
        <v>1537</v>
      </c>
      <c r="B1286" s="416" t="str">
        <f t="shared" si="40"/>
        <v>Summer</v>
      </c>
      <c r="C1286" s="453"/>
      <c r="D1286" s="454"/>
      <c r="E1286" s="455"/>
      <c r="F1286" s="454"/>
      <c r="G1286" s="455"/>
      <c r="H1286" s="454"/>
      <c r="I1286" s="455"/>
      <c r="J1286" s="454"/>
      <c r="K1286" s="455"/>
      <c r="L1286" s="454"/>
      <c r="M1286" s="455"/>
      <c r="N1286" s="454"/>
      <c r="O1286" s="455"/>
      <c r="P1286" s="454"/>
      <c r="Q1286" s="455"/>
      <c r="R1286" s="454"/>
      <c r="S1286" s="455"/>
      <c r="T1286" s="454"/>
      <c r="U1286" s="455"/>
      <c r="V1286" s="454"/>
      <c r="W1286" s="455"/>
      <c r="X1286" s="454"/>
      <c r="Y1286" s="455"/>
      <c r="Z1286" s="454"/>
      <c r="AA1286" s="455"/>
      <c r="AB1286" s="454"/>
      <c r="AC1286" s="455"/>
      <c r="AD1286" s="454"/>
      <c r="AE1286" s="455"/>
      <c r="AF1286" s="454"/>
      <c r="AG1286" s="455"/>
    </row>
    <row r="1287" spans="1:33" x14ac:dyDescent="0.2">
      <c r="A1287" s="415">
        <f t="shared" si="41"/>
        <v>1537</v>
      </c>
      <c r="B1287" s="416" t="str">
        <f t="shared" si="40"/>
        <v>Autumn</v>
      </c>
      <c r="C1287" s="453"/>
      <c r="D1287" s="454"/>
      <c r="E1287" s="455"/>
      <c r="F1287" s="454"/>
      <c r="G1287" s="455"/>
      <c r="H1287" s="454"/>
      <c r="I1287" s="455"/>
      <c r="J1287" s="454"/>
      <c r="K1287" s="455"/>
      <c r="L1287" s="454"/>
      <c r="M1287" s="455"/>
      <c r="N1287" s="454"/>
      <c r="O1287" s="455"/>
      <c r="P1287" s="454"/>
      <c r="Q1287" s="455"/>
      <c r="R1287" s="454"/>
      <c r="S1287" s="455"/>
      <c r="T1287" s="454"/>
      <c r="U1287" s="455"/>
      <c r="V1287" s="454"/>
      <c r="W1287" s="455"/>
      <c r="X1287" s="454"/>
      <c r="Y1287" s="455"/>
      <c r="Z1287" s="454"/>
      <c r="AA1287" s="455"/>
      <c r="AB1287" s="454"/>
      <c r="AC1287" s="455"/>
      <c r="AD1287" s="454"/>
      <c r="AE1287" s="455"/>
      <c r="AF1287" s="454"/>
      <c r="AG1287" s="455"/>
    </row>
    <row r="1288" spans="1:33" x14ac:dyDescent="0.2">
      <c r="A1288" s="415">
        <f t="shared" si="41"/>
        <v>1538</v>
      </c>
      <c r="B1288" s="416" t="str">
        <f t="shared" si="40"/>
        <v>Winter</v>
      </c>
      <c r="C1288" s="453"/>
      <c r="D1288" s="454"/>
      <c r="E1288" s="455"/>
      <c r="F1288" s="454"/>
      <c r="G1288" s="455"/>
      <c r="H1288" s="454"/>
      <c r="I1288" s="455"/>
      <c r="J1288" s="454"/>
      <c r="K1288" s="455"/>
      <c r="L1288" s="454"/>
      <c r="M1288" s="455"/>
      <c r="N1288" s="454"/>
      <c r="O1288" s="455"/>
      <c r="P1288" s="454"/>
      <c r="Q1288" s="455"/>
      <c r="R1288" s="454"/>
      <c r="S1288" s="455"/>
      <c r="T1288" s="454"/>
      <c r="U1288" s="455"/>
      <c r="V1288" s="454"/>
      <c r="W1288" s="455"/>
      <c r="X1288" s="454"/>
      <c r="Y1288" s="455"/>
      <c r="Z1288" s="454"/>
      <c r="AA1288" s="455"/>
      <c r="AB1288" s="454"/>
      <c r="AC1288" s="455"/>
      <c r="AD1288" s="454"/>
      <c r="AE1288" s="455"/>
      <c r="AF1288" s="454"/>
      <c r="AG1288" s="455"/>
    </row>
    <row r="1289" spans="1:33" x14ac:dyDescent="0.2">
      <c r="A1289" s="415">
        <f t="shared" si="41"/>
        <v>1538</v>
      </c>
      <c r="B1289" s="416" t="str">
        <f t="shared" si="40"/>
        <v>Spring</v>
      </c>
      <c r="C1289" s="453"/>
      <c r="D1289" s="454"/>
      <c r="E1289" s="455"/>
      <c r="F1289" s="454"/>
      <c r="G1289" s="455"/>
      <c r="H1289" s="454"/>
      <c r="I1289" s="455"/>
      <c r="J1289" s="454"/>
      <c r="K1289" s="455"/>
      <c r="L1289" s="454"/>
      <c r="M1289" s="455"/>
      <c r="N1289" s="454"/>
      <c r="O1289" s="455"/>
      <c r="P1289" s="454"/>
      <c r="Q1289" s="455"/>
      <c r="R1289" s="454"/>
      <c r="S1289" s="455"/>
      <c r="T1289" s="454"/>
      <c r="U1289" s="455"/>
      <c r="V1289" s="454"/>
      <c r="W1289" s="455"/>
      <c r="X1289" s="454"/>
      <c r="Y1289" s="455"/>
      <c r="Z1289" s="454"/>
      <c r="AA1289" s="455"/>
      <c r="AB1289" s="454"/>
      <c r="AC1289" s="455"/>
      <c r="AD1289" s="454"/>
      <c r="AE1289" s="455"/>
      <c r="AF1289" s="454"/>
      <c r="AG1289" s="455"/>
    </row>
    <row r="1290" spans="1:33" x14ac:dyDescent="0.2">
      <c r="A1290" s="415">
        <f t="shared" si="41"/>
        <v>1538</v>
      </c>
      <c r="B1290" s="416" t="str">
        <f t="shared" si="40"/>
        <v>Summer</v>
      </c>
      <c r="C1290" s="453"/>
      <c r="D1290" s="454"/>
      <c r="E1290" s="455"/>
      <c r="F1290" s="454"/>
      <c r="G1290" s="455"/>
      <c r="H1290" s="454"/>
      <c r="I1290" s="455"/>
      <c r="J1290" s="454"/>
      <c r="K1290" s="455"/>
      <c r="L1290" s="454"/>
      <c r="M1290" s="455"/>
      <c r="N1290" s="454"/>
      <c r="O1290" s="455"/>
      <c r="P1290" s="454"/>
      <c r="Q1290" s="455"/>
      <c r="R1290" s="454"/>
      <c r="S1290" s="455"/>
      <c r="T1290" s="454"/>
      <c r="U1290" s="455"/>
      <c r="V1290" s="454"/>
      <c r="W1290" s="455"/>
      <c r="X1290" s="454"/>
      <c r="Y1290" s="455"/>
      <c r="Z1290" s="454"/>
      <c r="AA1290" s="455"/>
      <c r="AB1290" s="454"/>
      <c r="AC1290" s="455"/>
      <c r="AD1290" s="454"/>
      <c r="AE1290" s="455"/>
      <c r="AF1290" s="454"/>
      <c r="AG1290" s="455"/>
    </row>
    <row r="1291" spans="1:33" x14ac:dyDescent="0.2">
      <c r="A1291" s="415">
        <f t="shared" si="41"/>
        <v>1538</v>
      </c>
      <c r="B1291" s="416" t="str">
        <f t="shared" si="40"/>
        <v>Autumn</v>
      </c>
      <c r="C1291" s="453"/>
      <c r="D1291" s="454"/>
      <c r="E1291" s="455"/>
      <c r="F1291" s="454"/>
      <c r="G1291" s="455"/>
      <c r="H1291" s="454"/>
      <c r="I1291" s="455"/>
      <c r="J1291" s="454"/>
      <c r="K1291" s="455"/>
      <c r="L1291" s="454"/>
      <c r="M1291" s="455"/>
      <c r="N1291" s="454"/>
      <c r="O1291" s="455"/>
      <c r="P1291" s="454"/>
      <c r="Q1291" s="455"/>
      <c r="R1291" s="454"/>
      <c r="S1291" s="455"/>
      <c r="T1291" s="454"/>
      <c r="U1291" s="455"/>
      <c r="V1291" s="454"/>
      <c r="W1291" s="455"/>
      <c r="X1291" s="454"/>
      <c r="Y1291" s="455"/>
      <c r="Z1291" s="454"/>
      <c r="AA1291" s="455"/>
      <c r="AB1291" s="454"/>
      <c r="AC1291" s="455"/>
      <c r="AD1291" s="454"/>
      <c r="AE1291" s="455"/>
      <c r="AF1291" s="454"/>
      <c r="AG1291" s="455"/>
    </row>
    <row r="1292" spans="1:33" x14ac:dyDescent="0.2">
      <c r="A1292" s="415">
        <f t="shared" si="41"/>
        <v>1539</v>
      </c>
      <c r="B1292" s="416" t="str">
        <f t="shared" si="40"/>
        <v>Winter</v>
      </c>
      <c r="C1292" s="453"/>
      <c r="D1292" s="454"/>
      <c r="E1292" s="455"/>
      <c r="F1292" s="454"/>
      <c r="G1292" s="455"/>
      <c r="H1292" s="454"/>
      <c r="I1292" s="455"/>
      <c r="J1292" s="454"/>
      <c r="K1292" s="455"/>
      <c r="L1292" s="454"/>
      <c r="M1292" s="455"/>
      <c r="N1292" s="454"/>
      <c r="O1292" s="455"/>
      <c r="P1292" s="454"/>
      <c r="Q1292" s="455"/>
      <c r="R1292" s="454"/>
      <c r="S1292" s="455"/>
      <c r="T1292" s="454"/>
      <c r="U1292" s="455"/>
      <c r="V1292" s="454"/>
      <c r="W1292" s="455"/>
      <c r="X1292" s="454"/>
      <c r="Y1292" s="455"/>
      <c r="Z1292" s="454"/>
      <c r="AA1292" s="455"/>
      <c r="AB1292" s="454"/>
      <c r="AC1292" s="455"/>
      <c r="AD1292" s="454"/>
      <c r="AE1292" s="455"/>
      <c r="AF1292" s="454"/>
      <c r="AG1292" s="455"/>
    </row>
    <row r="1293" spans="1:33" x14ac:dyDescent="0.2">
      <c r="A1293" s="415">
        <f t="shared" si="41"/>
        <v>1539</v>
      </c>
      <c r="B1293" s="416" t="str">
        <f t="shared" si="40"/>
        <v>Spring</v>
      </c>
      <c r="C1293" s="453"/>
      <c r="D1293" s="454"/>
      <c r="E1293" s="455"/>
      <c r="F1293" s="454"/>
      <c r="G1293" s="455"/>
      <c r="H1293" s="454"/>
      <c r="I1293" s="455"/>
      <c r="J1293" s="454"/>
      <c r="K1293" s="455"/>
      <c r="L1293" s="454"/>
      <c r="M1293" s="455"/>
      <c r="N1293" s="454"/>
      <c r="O1293" s="455"/>
      <c r="P1293" s="454"/>
      <c r="Q1293" s="455"/>
      <c r="R1293" s="454"/>
      <c r="S1293" s="455"/>
      <c r="T1293" s="454"/>
      <c r="U1293" s="455"/>
      <c r="V1293" s="454"/>
      <c r="W1293" s="455"/>
      <c r="X1293" s="454"/>
      <c r="Y1293" s="455"/>
      <c r="Z1293" s="454"/>
      <c r="AA1293" s="455"/>
      <c r="AB1293" s="454"/>
      <c r="AC1293" s="455"/>
      <c r="AD1293" s="454"/>
      <c r="AE1293" s="455"/>
      <c r="AF1293" s="454"/>
      <c r="AG1293" s="455"/>
    </row>
    <row r="1294" spans="1:33" x14ac:dyDescent="0.2">
      <c r="A1294" s="415">
        <f t="shared" si="41"/>
        <v>1539</v>
      </c>
      <c r="B1294" s="416" t="str">
        <f t="shared" si="40"/>
        <v>Summer</v>
      </c>
      <c r="C1294" s="453"/>
      <c r="D1294" s="454"/>
      <c r="E1294" s="455"/>
      <c r="F1294" s="454"/>
      <c r="G1294" s="455"/>
      <c r="H1294" s="454"/>
      <c r="I1294" s="455"/>
      <c r="J1294" s="454"/>
      <c r="K1294" s="455"/>
      <c r="L1294" s="454"/>
      <c r="M1294" s="455"/>
      <c r="N1294" s="454"/>
      <c r="O1294" s="455"/>
      <c r="P1294" s="454"/>
      <c r="Q1294" s="455"/>
      <c r="R1294" s="454"/>
      <c r="S1294" s="455"/>
      <c r="T1294" s="454"/>
      <c r="U1294" s="455"/>
      <c r="V1294" s="454"/>
      <c r="W1294" s="455"/>
      <c r="X1294" s="454"/>
      <c r="Y1294" s="455"/>
      <c r="Z1294" s="454"/>
      <c r="AA1294" s="455"/>
      <c r="AB1294" s="454"/>
      <c r="AC1294" s="455"/>
      <c r="AD1294" s="454"/>
      <c r="AE1294" s="455"/>
      <c r="AF1294" s="454"/>
      <c r="AG1294" s="455"/>
    </row>
    <row r="1295" spans="1:33" x14ac:dyDescent="0.2">
      <c r="A1295" s="415">
        <f t="shared" si="41"/>
        <v>1539</v>
      </c>
      <c r="B1295" s="416" t="str">
        <f t="shared" si="40"/>
        <v>Autumn</v>
      </c>
      <c r="C1295" s="453"/>
      <c r="D1295" s="454"/>
      <c r="E1295" s="455"/>
      <c r="F1295" s="454"/>
      <c r="G1295" s="455"/>
      <c r="H1295" s="454"/>
      <c r="I1295" s="455"/>
      <c r="J1295" s="454"/>
      <c r="K1295" s="455"/>
      <c r="L1295" s="454"/>
      <c r="M1295" s="455"/>
      <c r="N1295" s="454"/>
      <c r="O1295" s="455"/>
      <c r="P1295" s="454"/>
      <c r="Q1295" s="455"/>
      <c r="R1295" s="454"/>
      <c r="S1295" s="455"/>
      <c r="T1295" s="454"/>
      <c r="U1295" s="455"/>
      <c r="V1295" s="454"/>
      <c r="W1295" s="455"/>
      <c r="X1295" s="454"/>
      <c r="Y1295" s="455"/>
      <c r="Z1295" s="454"/>
      <c r="AA1295" s="455"/>
      <c r="AB1295" s="454"/>
      <c r="AC1295" s="455"/>
      <c r="AD1295" s="454"/>
      <c r="AE1295" s="455"/>
      <c r="AF1295" s="454"/>
      <c r="AG1295" s="455"/>
    </row>
    <row r="1296" spans="1:33" x14ac:dyDescent="0.2">
      <c r="A1296" s="415">
        <f t="shared" si="41"/>
        <v>1540</v>
      </c>
      <c r="B1296" s="416" t="str">
        <f t="shared" si="40"/>
        <v>Winter</v>
      </c>
      <c r="C1296" s="453"/>
      <c r="D1296" s="454"/>
      <c r="E1296" s="455"/>
      <c r="F1296" s="454"/>
      <c r="G1296" s="455"/>
      <c r="H1296" s="454"/>
      <c r="I1296" s="455"/>
      <c r="J1296" s="454"/>
      <c r="K1296" s="455"/>
      <c r="L1296" s="454"/>
      <c r="M1296" s="455"/>
      <c r="N1296" s="454"/>
      <c r="O1296" s="455"/>
      <c r="P1296" s="454"/>
      <c r="Q1296" s="455"/>
      <c r="R1296" s="454"/>
      <c r="S1296" s="455"/>
      <c r="T1296" s="454"/>
      <c r="U1296" s="455"/>
      <c r="V1296" s="454"/>
      <c r="W1296" s="455"/>
      <c r="X1296" s="454"/>
      <c r="Y1296" s="455"/>
      <c r="Z1296" s="454"/>
      <c r="AA1296" s="455"/>
      <c r="AB1296" s="454"/>
      <c r="AC1296" s="455"/>
      <c r="AD1296" s="454"/>
      <c r="AE1296" s="455"/>
      <c r="AF1296" s="454"/>
      <c r="AG1296" s="455"/>
    </row>
    <row r="1297" spans="1:33" x14ac:dyDescent="0.2">
      <c r="A1297" s="415">
        <f t="shared" si="41"/>
        <v>1540</v>
      </c>
      <c r="B1297" s="416" t="str">
        <f t="shared" si="40"/>
        <v>Spring</v>
      </c>
      <c r="C1297" s="453"/>
      <c r="D1297" s="454"/>
      <c r="E1297" s="455"/>
      <c r="F1297" s="454"/>
      <c r="G1297" s="455"/>
      <c r="H1297" s="454"/>
      <c r="I1297" s="455"/>
      <c r="J1297" s="454"/>
      <c r="K1297" s="455"/>
      <c r="L1297" s="454"/>
      <c r="M1297" s="455"/>
      <c r="N1297" s="454"/>
      <c r="O1297" s="455"/>
      <c r="P1297" s="454"/>
      <c r="Q1297" s="455"/>
      <c r="R1297" s="454"/>
      <c r="S1297" s="455"/>
      <c r="T1297" s="454"/>
      <c r="U1297" s="455"/>
      <c r="V1297" s="454"/>
      <c r="W1297" s="455"/>
      <c r="X1297" s="454"/>
      <c r="Y1297" s="455"/>
      <c r="Z1297" s="454"/>
      <c r="AA1297" s="455"/>
      <c r="AB1297" s="454"/>
      <c r="AC1297" s="455"/>
      <c r="AD1297" s="454"/>
      <c r="AE1297" s="455"/>
      <c r="AF1297" s="454"/>
      <c r="AG1297" s="455"/>
    </row>
    <row r="1298" spans="1:33" x14ac:dyDescent="0.2">
      <c r="A1298" s="415">
        <f t="shared" si="41"/>
        <v>1540</v>
      </c>
      <c r="B1298" s="416" t="str">
        <f t="shared" si="40"/>
        <v>Summer</v>
      </c>
      <c r="C1298" s="453"/>
      <c r="D1298" s="454"/>
      <c r="E1298" s="455"/>
      <c r="F1298" s="454"/>
      <c r="G1298" s="455"/>
      <c r="H1298" s="454"/>
      <c r="I1298" s="455"/>
      <c r="J1298" s="454"/>
      <c r="K1298" s="455"/>
      <c r="L1298" s="454"/>
      <c r="M1298" s="455"/>
      <c r="N1298" s="454"/>
      <c r="O1298" s="455"/>
      <c r="P1298" s="454"/>
      <c r="Q1298" s="455"/>
      <c r="R1298" s="454"/>
      <c r="S1298" s="455"/>
      <c r="T1298" s="454"/>
      <c r="U1298" s="455"/>
      <c r="V1298" s="454"/>
      <c r="W1298" s="455"/>
      <c r="X1298" s="454"/>
      <c r="Y1298" s="455"/>
      <c r="Z1298" s="454"/>
      <c r="AA1298" s="455"/>
      <c r="AB1298" s="454"/>
      <c r="AC1298" s="455"/>
      <c r="AD1298" s="454"/>
      <c r="AE1298" s="455"/>
      <c r="AF1298" s="454"/>
      <c r="AG1298" s="455"/>
    </row>
    <row r="1299" spans="1:33" x14ac:dyDescent="0.2">
      <c r="A1299" s="415">
        <f t="shared" si="41"/>
        <v>1540</v>
      </c>
      <c r="B1299" s="416" t="str">
        <f t="shared" si="40"/>
        <v>Autumn</v>
      </c>
      <c r="C1299" s="453"/>
      <c r="D1299" s="454"/>
      <c r="E1299" s="455"/>
      <c r="F1299" s="454"/>
      <c r="G1299" s="455"/>
      <c r="H1299" s="454"/>
      <c r="I1299" s="455"/>
      <c r="J1299" s="454"/>
      <c r="K1299" s="455"/>
      <c r="L1299" s="454"/>
      <c r="M1299" s="455"/>
      <c r="N1299" s="454"/>
      <c r="O1299" s="455"/>
      <c r="P1299" s="454"/>
      <c r="Q1299" s="455"/>
      <c r="R1299" s="454"/>
      <c r="S1299" s="455"/>
      <c r="T1299" s="454"/>
      <c r="U1299" s="455"/>
      <c r="V1299" s="454"/>
      <c r="W1299" s="455"/>
      <c r="X1299" s="454"/>
      <c r="Y1299" s="455"/>
      <c r="Z1299" s="454"/>
      <c r="AA1299" s="455"/>
      <c r="AB1299" s="454"/>
      <c r="AC1299" s="455"/>
      <c r="AD1299" s="454"/>
      <c r="AE1299" s="455"/>
      <c r="AF1299" s="454"/>
      <c r="AG1299" s="455"/>
    </row>
    <row r="1300" spans="1:33" x14ac:dyDescent="0.2">
      <c r="A1300" s="415">
        <f t="shared" si="41"/>
        <v>1541</v>
      </c>
      <c r="B1300" s="416" t="str">
        <f t="shared" si="40"/>
        <v>Winter</v>
      </c>
      <c r="C1300" s="453"/>
      <c r="D1300" s="454"/>
      <c r="E1300" s="455"/>
      <c r="F1300" s="454"/>
      <c r="G1300" s="455"/>
      <c r="H1300" s="454"/>
      <c r="I1300" s="455"/>
      <c r="J1300" s="454"/>
      <c r="K1300" s="455"/>
      <c r="L1300" s="454"/>
      <c r="M1300" s="455"/>
      <c r="N1300" s="454"/>
      <c r="O1300" s="455"/>
      <c r="P1300" s="454"/>
      <c r="Q1300" s="455"/>
      <c r="R1300" s="454"/>
      <c r="S1300" s="455"/>
      <c r="T1300" s="454"/>
      <c r="U1300" s="455"/>
      <c r="V1300" s="454"/>
      <c r="W1300" s="455"/>
      <c r="X1300" s="454"/>
      <c r="Y1300" s="455"/>
      <c r="Z1300" s="454"/>
      <c r="AA1300" s="455"/>
      <c r="AB1300" s="454"/>
      <c r="AC1300" s="455"/>
      <c r="AD1300" s="454"/>
      <c r="AE1300" s="455"/>
      <c r="AF1300" s="454"/>
      <c r="AG1300" s="455"/>
    </row>
    <row r="1301" spans="1:33" x14ac:dyDescent="0.2">
      <c r="A1301" s="415">
        <f t="shared" si="41"/>
        <v>1541</v>
      </c>
      <c r="B1301" s="416" t="str">
        <f t="shared" si="40"/>
        <v>Spring</v>
      </c>
      <c r="C1301" s="453"/>
      <c r="D1301" s="454"/>
      <c r="E1301" s="455"/>
      <c r="F1301" s="454"/>
      <c r="G1301" s="455"/>
      <c r="H1301" s="454"/>
      <c r="I1301" s="455"/>
      <c r="J1301" s="454"/>
      <c r="K1301" s="455"/>
      <c r="L1301" s="454"/>
      <c r="M1301" s="455"/>
      <c r="N1301" s="454"/>
      <c r="O1301" s="455"/>
      <c r="P1301" s="454"/>
      <c r="Q1301" s="455"/>
      <c r="R1301" s="454"/>
      <c r="S1301" s="455"/>
      <c r="T1301" s="454"/>
      <c r="U1301" s="455"/>
      <c r="V1301" s="454"/>
      <c r="W1301" s="455"/>
      <c r="X1301" s="454"/>
      <c r="Y1301" s="455"/>
      <c r="Z1301" s="454"/>
      <c r="AA1301" s="455"/>
      <c r="AB1301" s="454"/>
      <c r="AC1301" s="455"/>
      <c r="AD1301" s="454"/>
      <c r="AE1301" s="455"/>
      <c r="AF1301" s="454"/>
      <c r="AG1301" s="455"/>
    </row>
    <row r="1302" spans="1:33" x14ac:dyDescent="0.2">
      <c r="A1302" s="415">
        <f t="shared" si="41"/>
        <v>1541</v>
      </c>
      <c r="B1302" s="416" t="str">
        <f t="shared" si="40"/>
        <v>Summer</v>
      </c>
      <c r="C1302" s="453"/>
      <c r="D1302" s="454"/>
      <c r="E1302" s="455"/>
      <c r="F1302" s="454"/>
      <c r="G1302" s="455"/>
      <c r="H1302" s="454"/>
      <c r="I1302" s="455"/>
      <c r="J1302" s="454"/>
      <c r="K1302" s="455"/>
      <c r="L1302" s="454"/>
      <c r="M1302" s="455"/>
      <c r="N1302" s="454"/>
      <c r="O1302" s="455"/>
      <c r="P1302" s="454"/>
      <c r="Q1302" s="455"/>
      <c r="R1302" s="454"/>
      <c r="S1302" s="455"/>
      <c r="T1302" s="454"/>
      <c r="U1302" s="455"/>
      <c r="V1302" s="454"/>
      <c r="W1302" s="455"/>
      <c r="X1302" s="454"/>
      <c r="Y1302" s="455"/>
      <c r="Z1302" s="454"/>
      <c r="AA1302" s="455"/>
      <c r="AB1302" s="454"/>
      <c r="AC1302" s="455"/>
      <c r="AD1302" s="454"/>
      <c r="AE1302" s="455"/>
      <c r="AF1302" s="454"/>
      <c r="AG1302" s="455"/>
    </row>
    <row r="1303" spans="1:33" x14ac:dyDescent="0.2">
      <c r="A1303" s="415">
        <f t="shared" si="41"/>
        <v>1541</v>
      </c>
      <c r="B1303" s="416" t="str">
        <f t="shared" si="40"/>
        <v>Autumn</v>
      </c>
      <c r="C1303" s="453"/>
      <c r="D1303" s="454"/>
      <c r="E1303" s="455"/>
      <c r="F1303" s="454"/>
      <c r="G1303" s="455"/>
      <c r="H1303" s="454"/>
      <c r="I1303" s="455"/>
      <c r="J1303" s="454"/>
      <c r="K1303" s="455"/>
      <c r="L1303" s="454"/>
      <c r="M1303" s="455"/>
      <c r="N1303" s="454"/>
      <c r="O1303" s="455"/>
      <c r="P1303" s="454"/>
      <c r="Q1303" s="455"/>
      <c r="R1303" s="454"/>
      <c r="S1303" s="455"/>
      <c r="T1303" s="454"/>
      <c r="U1303" s="455"/>
      <c r="V1303" s="454"/>
      <c r="W1303" s="455"/>
      <c r="X1303" s="454"/>
      <c r="Y1303" s="455"/>
      <c r="Z1303" s="454"/>
      <c r="AA1303" s="455"/>
      <c r="AB1303" s="454"/>
      <c r="AC1303" s="455"/>
      <c r="AD1303" s="454"/>
      <c r="AE1303" s="455"/>
      <c r="AF1303" s="454"/>
      <c r="AG1303" s="455"/>
    </row>
    <row r="1304" spans="1:33" x14ac:dyDescent="0.2">
      <c r="A1304" s="415">
        <f t="shared" si="41"/>
        <v>1542</v>
      </c>
      <c r="B1304" s="416" t="str">
        <f t="shared" si="40"/>
        <v>Winter</v>
      </c>
      <c r="C1304" s="453"/>
      <c r="D1304" s="454"/>
      <c r="E1304" s="455"/>
      <c r="F1304" s="454"/>
      <c r="G1304" s="455"/>
      <c r="H1304" s="454"/>
      <c r="I1304" s="455"/>
      <c r="J1304" s="454"/>
      <c r="K1304" s="455"/>
      <c r="L1304" s="454"/>
      <c r="M1304" s="455"/>
      <c r="N1304" s="454"/>
      <c r="O1304" s="455"/>
      <c r="P1304" s="454"/>
      <c r="Q1304" s="455"/>
      <c r="R1304" s="454"/>
      <c r="S1304" s="455"/>
      <c r="T1304" s="454"/>
      <c r="U1304" s="455"/>
      <c r="V1304" s="454"/>
      <c r="W1304" s="455"/>
      <c r="X1304" s="454"/>
      <c r="Y1304" s="455"/>
      <c r="Z1304" s="454"/>
      <c r="AA1304" s="455"/>
      <c r="AB1304" s="454"/>
      <c r="AC1304" s="455"/>
      <c r="AD1304" s="454"/>
      <c r="AE1304" s="455"/>
      <c r="AF1304" s="454"/>
      <c r="AG1304" s="455"/>
    </row>
    <row r="1305" spans="1:33" x14ac:dyDescent="0.2">
      <c r="A1305" s="415">
        <f t="shared" si="41"/>
        <v>1542</v>
      </c>
      <c r="B1305" s="416" t="str">
        <f t="shared" si="40"/>
        <v>Spring</v>
      </c>
      <c r="C1305" s="453"/>
      <c r="D1305" s="454"/>
      <c r="E1305" s="455"/>
      <c r="F1305" s="454"/>
      <c r="G1305" s="455"/>
      <c r="H1305" s="454"/>
      <c r="I1305" s="455"/>
      <c r="J1305" s="454"/>
      <c r="K1305" s="455"/>
      <c r="L1305" s="454"/>
      <c r="M1305" s="455"/>
      <c r="N1305" s="454"/>
      <c r="O1305" s="455"/>
      <c r="P1305" s="454"/>
      <c r="Q1305" s="455"/>
      <c r="R1305" s="454"/>
      <c r="S1305" s="455"/>
      <c r="T1305" s="454"/>
      <c r="U1305" s="455"/>
      <c r="V1305" s="454"/>
      <c r="W1305" s="455"/>
      <c r="X1305" s="454"/>
      <c r="Y1305" s="455"/>
      <c r="Z1305" s="454"/>
      <c r="AA1305" s="455"/>
      <c r="AB1305" s="454"/>
      <c r="AC1305" s="455"/>
      <c r="AD1305" s="454"/>
      <c r="AE1305" s="455"/>
      <c r="AF1305" s="454"/>
      <c r="AG1305" s="455"/>
    </row>
    <row r="1306" spans="1:33" x14ac:dyDescent="0.2">
      <c r="A1306" s="415">
        <f t="shared" si="41"/>
        <v>1542</v>
      </c>
      <c r="B1306" s="416" t="str">
        <f t="shared" si="40"/>
        <v>Summer</v>
      </c>
      <c r="C1306" s="453"/>
      <c r="D1306" s="454"/>
      <c r="E1306" s="455"/>
      <c r="F1306" s="454"/>
      <c r="G1306" s="455"/>
      <c r="H1306" s="454"/>
      <c r="I1306" s="455"/>
      <c r="J1306" s="454"/>
      <c r="K1306" s="455"/>
      <c r="L1306" s="454"/>
      <c r="M1306" s="455"/>
      <c r="N1306" s="454"/>
      <c r="O1306" s="455"/>
      <c r="P1306" s="454"/>
      <c r="Q1306" s="455"/>
      <c r="R1306" s="454"/>
      <c r="S1306" s="455"/>
      <c r="T1306" s="454"/>
      <c r="U1306" s="455"/>
      <c r="V1306" s="454"/>
      <c r="W1306" s="455"/>
      <c r="X1306" s="454"/>
      <c r="Y1306" s="455"/>
      <c r="Z1306" s="454"/>
      <c r="AA1306" s="455"/>
      <c r="AB1306" s="454"/>
      <c r="AC1306" s="455"/>
      <c r="AD1306" s="454"/>
      <c r="AE1306" s="455"/>
      <c r="AF1306" s="454"/>
      <c r="AG1306" s="455"/>
    </row>
    <row r="1307" spans="1:33" x14ac:dyDescent="0.2">
      <c r="A1307" s="415">
        <f t="shared" si="41"/>
        <v>1542</v>
      </c>
      <c r="B1307" s="416" t="str">
        <f t="shared" si="40"/>
        <v>Autumn</v>
      </c>
      <c r="C1307" s="453"/>
      <c r="D1307" s="454"/>
      <c r="E1307" s="455"/>
      <c r="F1307" s="454"/>
      <c r="G1307" s="455"/>
      <c r="H1307" s="454"/>
      <c r="I1307" s="455"/>
      <c r="J1307" s="454"/>
      <c r="K1307" s="455"/>
      <c r="L1307" s="454"/>
      <c r="M1307" s="455"/>
      <c r="N1307" s="454"/>
      <c r="O1307" s="455"/>
      <c r="P1307" s="454"/>
      <c r="Q1307" s="455"/>
      <c r="R1307" s="454"/>
      <c r="S1307" s="455"/>
      <c r="T1307" s="454"/>
      <c r="U1307" s="455"/>
      <c r="V1307" s="454"/>
      <c r="W1307" s="455"/>
      <c r="X1307" s="454"/>
      <c r="Y1307" s="455"/>
      <c r="Z1307" s="454"/>
      <c r="AA1307" s="455"/>
      <c r="AB1307" s="454"/>
      <c r="AC1307" s="455"/>
      <c r="AD1307" s="454"/>
      <c r="AE1307" s="455"/>
      <c r="AF1307" s="454"/>
      <c r="AG1307" s="455"/>
    </row>
    <row r="1308" spans="1:33" x14ac:dyDescent="0.2">
      <c r="A1308" s="415">
        <f t="shared" si="41"/>
        <v>1543</v>
      </c>
      <c r="B1308" s="416" t="str">
        <f t="shared" si="40"/>
        <v>Winter</v>
      </c>
      <c r="C1308" s="453"/>
      <c r="D1308" s="454"/>
      <c r="E1308" s="455"/>
      <c r="F1308" s="454"/>
      <c r="G1308" s="455"/>
      <c r="H1308" s="454"/>
      <c r="I1308" s="455"/>
      <c r="J1308" s="454"/>
      <c r="K1308" s="455"/>
      <c r="L1308" s="454"/>
      <c r="M1308" s="455"/>
      <c r="N1308" s="454"/>
      <c r="O1308" s="455"/>
      <c r="P1308" s="454"/>
      <c r="Q1308" s="455"/>
      <c r="R1308" s="454"/>
      <c r="S1308" s="455"/>
      <c r="T1308" s="454"/>
      <c r="U1308" s="455"/>
      <c r="V1308" s="454"/>
      <c r="W1308" s="455"/>
      <c r="X1308" s="454"/>
      <c r="Y1308" s="455"/>
      <c r="Z1308" s="454"/>
      <c r="AA1308" s="455"/>
      <c r="AB1308" s="454"/>
      <c r="AC1308" s="455"/>
      <c r="AD1308" s="454"/>
      <c r="AE1308" s="455"/>
      <c r="AF1308" s="454"/>
      <c r="AG1308" s="455"/>
    </row>
    <row r="1309" spans="1:33" x14ac:dyDescent="0.2">
      <c r="A1309" s="415">
        <f t="shared" si="41"/>
        <v>1543</v>
      </c>
      <c r="B1309" s="416" t="str">
        <f t="shared" si="40"/>
        <v>Spring</v>
      </c>
      <c r="C1309" s="453"/>
      <c r="D1309" s="454"/>
      <c r="E1309" s="455"/>
      <c r="F1309" s="454"/>
      <c r="G1309" s="455"/>
      <c r="H1309" s="454"/>
      <c r="I1309" s="455"/>
      <c r="J1309" s="454"/>
      <c r="K1309" s="455"/>
      <c r="L1309" s="454"/>
      <c r="M1309" s="455"/>
      <c r="N1309" s="454"/>
      <c r="O1309" s="455"/>
      <c r="P1309" s="454"/>
      <c r="Q1309" s="455"/>
      <c r="R1309" s="454"/>
      <c r="S1309" s="455"/>
      <c r="T1309" s="454"/>
      <c r="U1309" s="455"/>
      <c r="V1309" s="454"/>
      <c r="W1309" s="455"/>
      <c r="X1309" s="454"/>
      <c r="Y1309" s="455"/>
      <c r="Z1309" s="454"/>
      <c r="AA1309" s="455"/>
      <c r="AB1309" s="454"/>
      <c r="AC1309" s="455"/>
      <c r="AD1309" s="454"/>
      <c r="AE1309" s="455"/>
      <c r="AF1309" s="454"/>
      <c r="AG1309" s="455"/>
    </row>
    <row r="1310" spans="1:33" x14ac:dyDescent="0.2">
      <c r="A1310" s="415">
        <f t="shared" si="41"/>
        <v>1543</v>
      </c>
      <c r="B1310" s="416" t="str">
        <f t="shared" si="40"/>
        <v>Summer</v>
      </c>
      <c r="C1310" s="453"/>
      <c r="D1310" s="454"/>
      <c r="E1310" s="455"/>
      <c r="F1310" s="454"/>
      <c r="G1310" s="455"/>
      <c r="H1310" s="454"/>
      <c r="I1310" s="455"/>
      <c r="J1310" s="454"/>
      <c r="K1310" s="455"/>
      <c r="L1310" s="454"/>
      <c r="M1310" s="455"/>
      <c r="N1310" s="454"/>
      <c r="O1310" s="455"/>
      <c r="P1310" s="454"/>
      <c r="Q1310" s="455"/>
      <c r="R1310" s="454"/>
      <c r="S1310" s="455"/>
      <c r="T1310" s="454"/>
      <c r="U1310" s="455"/>
      <c r="V1310" s="454"/>
      <c r="W1310" s="455"/>
      <c r="X1310" s="454"/>
      <c r="Y1310" s="455"/>
      <c r="Z1310" s="454"/>
      <c r="AA1310" s="455"/>
      <c r="AB1310" s="454"/>
      <c r="AC1310" s="455"/>
      <c r="AD1310" s="454"/>
      <c r="AE1310" s="455"/>
      <c r="AF1310" s="454"/>
      <c r="AG1310" s="455"/>
    </row>
    <row r="1311" spans="1:33" x14ac:dyDescent="0.2">
      <c r="A1311" s="415">
        <f t="shared" si="41"/>
        <v>1543</v>
      </c>
      <c r="B1311" s="416" t="str">
        <f t="shared" si="40"/>
        <v>Autumn</v>
      </c>
      <c r="C1311" s="453"/>
      <c r="D1311" s="454"/>
      <c r="E1311" s="455"/>
      <c r="F1311" s="454"/>
      <c r="G1311" s="455"/>
      <c r="H1311" s="454"/>
      <c r="I1311" s="455"/>
      <c r="J1311" s="454"/>
      <c r="K1311" s="455"/>
      <c r="L1311" s="454"/>
      <c r="M1311" s="455"/>
      <c r="N1311" s="454"/>
      <c r="O1311" s="455"/>
      <c r="P1311" s="454"/>
      <c r="Q1311" s="455"/>
      <c r="R1311" s="454"/>
      <c r="S1311" s="455"/>
      <c r="T1311" s="454"/>
      <c r="U1311" s="455"/>
      <c r="V1311" s="454"/>
      <c r="W1311" s="455"/>
      <c r="X1311" s="454"/>
      <c r="Y1311" s="455"/>
      <c r="Z1311" s="454"/>
      <c r="AA1311" s="455"/>
      <c r="AB1311" s="454"/>
      <c r="AC1311" s="455"/>
      <c r="AD1311" s="454"/>
      <c r="AE1311" s="455"/>
      <c r="AF1311" s="454"/>
      <c r="AG1311" s="455"/>
    </row>
    <row r="1312" spans="1:33" x14ac:dyDescent="0.2">
      <c r="A1312" s="415">
        <f t="shared" si="41"/>
        <v>1544</v>
      </c>
      <c r="B1312" s="416" t="str">
        <f t="shared" si="40"/>
        <v>Winter</v>
      </c>
      <c r="C1312" s="453"/>
      <c r="D1312" s="454"/>
      <c r="E1312" s="455"/>
      <c r="F1312" s="454"/>
      <c r="G1312" s="455"/>
      <c r="H1312" s="454"/>
      <c r="I1312" s="455"/>
      <c r="J1312" s="454"/>
      <c r="K1312" s="455"/>
      <c r="L1312" s="454"/>
      <c r="M1312" s="455"/>
      <c r="N1312" s="454"/>
      <c r="O1312" s="455"/>
      <c r="P1312" s="454"/>
      <c r="Q1312" s="455"/>
      <c r="R1312" s="454"/>
      <c r="S1312" s="455"/>
      <c r="T1312" s="454"/>
      <c r="U1312" s="455"/>
      <c r="V1312" s="454"/>
      <c r="W1312" s="455"/>
      <c r="X1312" s="454"/>
      <c r="Y1312" s="455"/>
      <c r="Z1312" s="454"/>
      <c r="AA1312" s="455"/>
      <c r="AB1312" s="454"/>
      <c r="AC1312" s="455"/>
      <c r="AD1312" s="454"/>
      <c r="AE1312" s="455"/>
      <c r="AF1312" s="454"/>
      <c r="AG1312" s="455"/>
    </row>
    <row r="1313" spans="1:33" x14ac:dyDescent="0.2">
      <c r="A1313" s="415">
        <f t="shared" si="41"/>
        <v>1544</v>
      </c>
      <c r="B1313" s="416" t="str">
        <f t="shared" si="40"/>
        <v>Spring</v>
      </c>
      <c r="C1313" s="453"/>
      <c r="D1313" s="454"/>
      <c r="E1313" s="455"/>
      <c r="F1313" s="454"/>
      <c r="G1313" s="455"/>
      <c r="H1313" s="454"/>
      <c r="I1313" s="455"/>
      <c r="J1313" s="454"/>
      <c r="K1313" s="455"/>
      <c r="L1313" s="454"/>
      <c r="M1313" s="455"/>
      <c r="N1313" s="454"/>
      <c r="O1313" s="455"/>
      <c r="P1313" s="454"/>
      <c r="Q1313" s="455"/>
      <c r="R1313" s="454"/>
      <c r="S1313" s="455"/>
      <c r="T1313" s="454"/>
      <c r="U1313" s="455"/>
      <c r="V1313" s="454"/>
      <c r="W1313" s="455"/>
      <c r="X1313" s="454"/>
      <c r="Y1313" s="455"/>
      <c r="Z1313" s="454"/>
      <c r="AA1313" s="455"/>
      <c r="AB1313" s="454"/>
      <c r="AC1313" s="455"/>
      <c r="AD1313" s="454"/>
      <c r="AE1313" s="455"/>
      <c r="AF1313" s="454"/>
      <c r="AG1313" s="455"/>
    </row>
    <row r="1314" spans="1:33" x14ac:dyDescent="0.2">
      <c r="A1314" s="415">
        <f t="shared" si="41"/>
        <v>1544</v>
      </c>
      <c r="B1314" s="416" t="str">
        <f t="shared" si="40"/>
        <v>Summer</v>
      </c>
      <c r="C1314" s="453"/>
      <c r="D1314" s="454"/>
      <c r="E1314" s="455"/>
      <c r="F1314" s="454"/>
      <c r="G1314" s="455"/>
      <c r="H1314" s="454"/>
      <c r="I1314" s="455"/>
      <c r="J1314" s="454"/>
      <c r="K1314" s="455"/>
      <c r="L1314" s="454"/>
      <c r="M1314" s="455"/>
      <c r="N1314" s="454"/>
      <c r="O1314" s="455"/>
      <c r="P1314" s="454"/>
      <c r="Q1314" s="455"/>
      <c r="R1314" s="454"/>
      <c r="S1314" s="455"/>
      <c r="T1314" s="454"/>
      <c r="U1314" s="455"/>
      <c r="V1314" s="454"/>
      <c r="W1314" s="455"/>
      <c r="X1314" s="454"/>
      <c r="Y1314" s="455"/>
      <c r="Z1314" s="454"/>
      <c r="AA1314" s="455"/>
      <c r="AB1314" s="454"/>
      <c r="AC1314" s="455"/>
      <c r="AD1314" s="454"/>
      <c r="AE1314" s="455"/>
      <c r="AF1314" s="454"/>
      <c r="AG1314" s="455"/>
    </row>
    <row r="1315" spans="1:33" x14ac:dyDescent="0.2">
      <c r="A1315" s="415">
        <f t="shared" si="41"/>
        <v>1544</v>
      </c>
      <c r="B1315" s="416" t="str">
        <f t="shared" si="40"/>
        <v>Autumn</v>
      </c>
      <c r="C1315" s="453"/>
      <c r="D1315" s="454"/>
      <c r="E1315" s="455"/>
      <c r="F1315" s="454"/>
      <c r="G1315" s="455"/>
      <c r="H1315" s="454"/>
      <c r="I1315" s="455"/>
      <c r="J1315" s="454"/>
      <c r="K1315" s="455"/>
      <c r="L1315" s="454"/>
      <c r="M1315" s="455"/>
      <c r="N1315" s="454"/>
      <c r="O1315" s="455"/>
      <c r="P1315" s="454"/>
      <c r="Q1315" s="455"/>
      <c r="R1315" s="454"/>
      <c r="S1315" s="455"/>
      <c r="T1315" s="454"/>
      <c r="U1315" s="455"/>
      <c r="V1315" s="454"/>
      <c r="W1315" s="455"/>
      <c r="X1315" s="454"/>
      <c r="Y1315" s="455"/>
      <c r="Z1315" s="454"/>
      <c r="AA1315" s="455"/>
      <c r="AB1315" s="454"/>
      <c r="AC1315" s="455"/>
      <c r="AD1315" s="454"/>
      <c r="AE1315" s="455"/>
      <c r="AF1315" s="454"/>
      <c r="AG1315" s="455"/>
    </row>
    <row r="1316" spans="1:33" x14ac:dyDescent="0.2">
      <c r="A1316" s="415">
        <f t="shared" si="41"/>
        <v>1545</v>
      </c>
      <c r="B1316" s="416" t="str">
        <f t="shared" si="40"/>
        <v>Winter</v>
      </c>
      <c r="C1316" s="453"/>
      <c r="D1316" s="454"/>
      <c r="E1316" s="455"/>
      <c r="F1316" s="454"/>
      <c r="G1316" s="455"/>
      <c r="H1316" s="454"/>
      <c r="I1316" s="455"/>
      <c r="J1316" s="454"/>
      <c r="K1316" s="455"/>
      <c r="L1316" s="454"/>
      <c r="M1316" s="455"/>
      <c r="N1316" s="454"/>
      <c r="O1316" s="455"/>
      <c r="P1316" s="454"/>
      <c r="Q1316" s="455"/>
      <c r="R1316" s="454"/>
      <c r="S1316" s="455"/>
      <c r="T1316" s="454"/>
      <c r="U1316" s="455"/>
      <c r="V1316" s="454"/>
      <c r="W1316" s="455"/>
      <c r="X1316" s="454"/>
      <c r="Y1316" s="455"/>
      <c r="Z1316" s="454"/>
      <c r="AA1316" s="455"/>
      <c r="AB1316" s="454"/>
      <c r="AC1316" s="455"/>
      <c r="AD1316" s="454"/>
      <c r="AE1316" s="455"/>
      <c r="AF1316" s="454"/>
      <c r="AG1316" s="455"/>
    </row>
    <row r="1317" spans="1:33" x14ac:dyDescent="0.2">
      <c r="A1317" s="415">
        <f t="shared" si="41"/>
        <v>1545</v>
      </c>
      <c r="B1317" s="416" t="str">
        <f t="shared" si="40"/>
        <v>Spring</v>
      </c>
      <c r="C1317" s="453"/>
      <c r="D1317" s="454"/>
      <c r="E1317" s="455"/>
      <c r="F1317" s="454"/>
      <c r="G1317" s="455"/>
      <c r="H1317" s="454"/>
      <c r="I1317" s="455"/>
      <c r="J1317" s="454"/>
      <c r="K1317" s="455"/>
      <c r="L1317" s="454"/>
      <c r="M1317" s="455"/>
      <c r="N1317" s="454"/>
      <c r="O1317" s="455"/>
      <c r="P1317" s="454"/>
      <c r="Q1317" s="455"/>
      <c r="R1317" s="454"/>
      <c r="S1317" s="455"/>
      <c r="T1317" s="454"/>
      <c r="U1317" s="455"/>
      <c r="V1317" s="454"/>
      <c r="W1317" s="455"/>
      <c r="X1317" s="454"/>
      <c r="Y1317" s="455"/>
      <c r="Z1317" s="454"/>
      <c r="AA1317" s="455"/>
      <c r="AB1317" s="454"/>
      <c r="AC1317" s="455"/>
      <c r="AD1317" s="454"/>
      <c r="AE1317" s="455"/>
      <c r="AF1317" s="454"/>
      <c r="AG1317" s="455"/>
    </row>
    <row r="1318" spans="1:33" x14ac:dyDescent="0.2">
      <c r="A1318" s="415">
        <f t="shared" si="41"/>
        <v>1545</v>
      </c>
      <c r="B1318" s="416" t="str">
        <f t="shared" si="40"/>
        <v>Summer</v>
      </c>
      <c r="C1318" s="453"/>
      <c r="D1318" s="454"/>
      <c r="E1318" s="455"/>
      <c r="F1318" s="454"/>
      <c r="G1318" s="455"/>
      <c r="H1318" s="454"/>
      <c r="I1318" s="455"/>
      <c r="J1318" s="454"/>
      <c r="K1318" s="455"/>
      <c r="L1318" s="454"/>
      <c r="M1318" s="455"/>
      <c r="N1318" s="454"/>
      <c r="O1318" s="455"/>
      <c r="P1318" s="454"/>
      <c r="Q1318" s="455"/>
      <c r="R1318" s="454"/>
      <c r="S1318" s="455"/>
      <c r="T1318" s="454"/>
      <c r="U1318" s="455"/>
      <c r="V1318" s="454"/>
      <c r="W1318" s="455"/>
      <c r="X1318" s="454"/>
      <c r="Y1318" s="455"/>
      <c r="Z1318" s="454"/>
      <c r="AA1318" s="455"/>
      <c r="AB1318" s="454"/>
      <c r="AC1318" s="455"/>
      <c r="AD1318" s="454"/>
      <c r="AE1318" s="455"/>
      <c r="AF1318" s="454"/>
      <c r="AG1318" s="455"/>
    </row>
    <row r="1319" spans="1:33" x14ac:dyDescent="0.2">
      <c r="A1319" s="415">
        <f t="shared" si="41"/>
        <v>1545</v>
      </c>
      <c r="B1319" s="416" t="str">
        <f t="shared" si="40"/>
        <v>Autumn</v>
      </c>
      <c r="C1319" s="453"/>
      <c r="D1319" s="454"/>
      <c r="E1319" s="455"/>
      <c r="F1319" s="454"/>
      <c r="G1319" s="455"/>
      <c r="H1319" s="454"/>
      <c r="I1319" s="455"/>
      <c r="J1319" s="454"/>
      <c r="K1319" s="455"/>
      <c r="L1319" s="454"/>
      <c r="M1319" s="455"/>
      <c r="N1319" s="454"/>
      <c r="O1319" s="455"/>
      <c r="P1319" s="454"/>
      <c r="Q1319" s="455"/>
      <c r="R1319" s="454"/>
      <c r="S1319" s="455"/>
      <c r="T1319" s="454"/>
      <c r="U1319" s="455"/>
      <c r="V1319" s="454"/>
      <c r="W1319" s="455"/>
      <c r="X1319" s="454"/>
      <c r="Y1319" s="455"/>
      <c r="Z1319" s="454"/>
      <c r="AA1319" s="455"/>
      <c r="AB1319" s="454"/>
      <c r="AC1319" s="455"/>
      <c r="AD1319" s="454"/>
      <c r="AE1319" s="455"/>
      <c r="AF1319" s="454"/>
      <c r="AG1319" s="455"/>
    </row>
    <row r="1320" spans="1:33" x14ac:dyDescent="0.2">
      <c r="A1320" s="415">
        <f t="shared" si="41"/>
        <v>1546</v>
      </c>
      <c r="B1320" s="416" t="str">
        <f t="shared" si="40"/>
        <v>Winter</v>
      </c>
      <c r="C1320" s="453"/>
      <c r="D1320" s="454"/>
      <c r="E1320" s="455"/>
      <c r="F1320" s="454"/>
      <c r="G1320" s="455"/>
      <c r="H1320" s="454"/>
      <c r="I1320" s="455"/>
      <c r="J1320" s="454"/>
      <c r="K1320" s="455"/>
      <c r="L1320" s="454"/>
      <c r="M1320" s="455"/>
      <c r="N1320" s="454"/>
      <c r="O1320" s="455"/>
      <c r="P1320" s="454"/>
      <c r="Q1320" s="455"/>
      <c r="R1320" s="454"/>
      <c r="S1320" s="455"/>
      <c r="T1320" s="454"/>
      <c r="U1320" s="455"/>
      <c r="V1320" s="454"/>
      <c r="W1320" s="455"/>
      <c r="X1320" s="454"/>
      <c r="Y1320" s="455"/>
      <c r="Z1320" s="454"/>
      <c r="AA1320" s="455"/>
      <c r="AB1320" s="454"/>
      <c r="AC1320" s="455"/>
      <c r="AD1320" s="454"/>
      <c r="AE1320" s="455"/>
      <c r="AF1320" s="454"/>
      <c r="AG1320" s="455"/>
    </row>
    <row r="1321" spans="1:33" x14ac:dyDescent="0.2">
      <c r="A1321" s="415">
        <f t="shared" si="41"/>
        <v>1546</v>
      </c>
      <c r="B1321" s="416" t="str">
        <f t="shared" si="40"/>
        <v>Spring</v>
      </c>
      <c r="C1321" s="453"/>
      <c r="D1321" s="454"/>
      <c r="E1321" s="455"/>
      <c r="F1321" s="454"/>
      <c r="G1321" s="455"/>
      <c r="H1321" s="454"/>
      <c r="I1321" s="455"/>
      <c r="J1321" s="454"/>
      <c r="K1321" s="455"/>
      <c r="L1321" s="454"/>
      <c r="M1321" s="455"/>
      <c r="N1321" s="454"/>
      <c r="O1321" s="455"/>
      <c r="P1321" s="454"/>
      <c r="Q1321" s="455"/>
      <c r="R1321" s="454"/>
      <c r="S1321" s="455"/>
      <c r="T1321" s="454"/>
      <c r="U1321" s="455"/>
      <c r="V1321" s="454"/>
      <c r="W1321" s="455"/>
      <c r="X1321" s="454"/>
      <c r="Y1321" s="455"/>
      <c r="Z1321" s="454"/>
      <c r="AA1321" s="455"/>
      <c r="AB1321" s="454"/>
      <c r="AC1321" s="455"/>
      <c r="AD1321" s="454"/>
      <c r="AE1321" s="455"/>
      <c r="AF1321" s="454"/>
      <c r="AG1321" s="455"/>
    </row>
    <row r="1322" spans="1:33" x14ac:dyDescent="0.2">
      <c r="A1322" s="415">
        <f t="shared" si="41"/>
        <v>1546</v>
      </c>
      <c r="B1322" s="416" t="str">
        <f t="shared" si="40"/>
        <v>Summer</v>
      </c>
      <c r="C1322" s="453"/>
      <c r="D1322" s="454"/>
      <c r="E1322" s="455"/>
      <c r="F1322" s="454"/>
      <c r="G1322" s="455"/>
      <c r="H1322" s="454"/>
      <c r="I1322" s="455"/>
      <c r="J1322" s="454"/>
      <c r="K1322" s="455"/>
      <c r="L1322" s="454"/>
      <c r="M1322" s="455"/>
      <c r="N1322" s="454"/>
      <c r="O1322" s="455"/>
      <c r="P1322" s="454"/>
      <c r="Q1322" s="455"/>
      <c r="R1322" s="454"/>
      <c r="S1322" s="455"/>
      <c r="T1322" s="454"/>
      <c r="U1322" s="455"/>
      <c r="V1322" s="454"/>
      <c r="W1322" s="455"/>
      <c r="X1322" s="454"/>
      <c r="Y1322" s="455"/>
      <c r="Z1322" s="454"/>
      <c r="AA1322" s="455"/>
      <c r="AB1322" s="454"/>
      <c r="AC1322" s="455"/>
      <c r="AD1322" s="454"/>
      <c r="AE1322" s="455"/>
      <c r="AF1322" s="454"/>
      <c r="AG1322" s="455"/>
    </row>
    <row r="1323" spans="1:33" x14ac:dyDescent="0.2">
      <c r="A1323" s="415">
        <f t="shared" si="41"/>
        <v>1546</v>
      </c>
      <c r="B1323" s="416" t="str">
        <f t="shared" ref="B1323:B1386" si="42">IF(B1322="spring","Summer",IF(B1322="Summer","Autumn",IF(B1322="Autumn","Winter",IF(B1322="Winter","Spring"," "))))</f>
        <v>Autumn</v>
      </c>
      <c r="C1323" s="453"/>
      <c r="D1323" s="454"/>
      <c r="E1323" s="455"/>
      <c r="F1323" s="454"/>
      <c r="G1323" s="455"/>
      <c r="H1323" s="454"/>
      <c r="I1323" s="455"/>
      <c r="J1323" s="454"/>
      <c r="K1323" s="455"/>
      <c r="L1323" s="454"/>
      <c r="M1323" s="455"/>
      <c r="N1323" s="454"/>
      <c r="O1323" s="455"/>
      <c r="P1323" s="454"/>
      <c r="Q1323" s="455"/>
      <c r="R1323" s="454"/>
      <c r="S1323" s="455"/>
      <c r="T1323" s="454"/>
      <c r="U1323" s="455"/>
      <c r="V1323" s="454"/>
      <c r="W1323" s="455"/>
      <c r="X1323" s="454"/>
      <c r="Y1323" s="455"/>
      <c r="Z1323" s="454"/>
      <c r="AA1323" s="455"/>
      <c r="AB1323" s="454"/>
      <c r="AC1323" s="455"/>
      <c r="AD1323" s="454"/>
      <c r="AE1323" s="455"/>
      <c r="AF1323" s="454"/>
      <c r="AG1323" s="455"/>
    </row>
    <row r="1324" spans="1:33" x14ac:dyDescent="0.2">
      <c r="A1324" s="415">
        <f t="shared" si="41"/>
        <v>1547</v>
      </c>
      <c r="B1324" s="416" t="str">
        <f t="shared" si="42"/>
        <v>Winter</v>
      </c>
      <c r="C1324" s="453"/>
      <c r="D1324" s="454"/>
      <c r="E1324" s="455"/>
      <c r="F1324" s="454"/>
      <c r="G1324" s="455"/>
      <c r="H1324" s="454"/>
      <c r="I1324" s="455"/>
      <c r="J1324" s="454"/>
      <c r="K1324" s="455"/>
      <c r="L1324" s="454"/>
      <c r="M1324" s="455"/>
      <c r="N1324" s="454"/>
      <c r="O1324" s="455"/>
      <c r="P1324" s="454"/>
      <c r="Q1324" s="455"/>
      <c r="R1324" s="454"/>
      <c r="S1324" s="455"/>
      <c r="T1324" s="454"/>
      <c r="U1324" s="455"/>
      <c r="V1324" s="454"/>
      <c r="W1324" s="455"/>
      <c r="X1324" s="454"/>
      <c r="Y1324" s="455"/>
      <c r="Z1324" s="454"/>
      <c r="AA1324" s="455"/>
      <c r="AB1324" s="454"/>
      <c r="AC1324" s="455"/>
      <c r="AD1324" s="454"/>
      <c r="AE1324" s="455"/>
      <c r="AF1324" s="454"/>
      <c r="AG1324" s="455"/>
    </row>
    <row r="1325" spans="1:33" x14ac:dyDescent="0.2">
      <c r="A1325" s="415">
        <f t="shared" si="41"/>
        <v>1547</v>
      </c>
      <c r="B1325" s="416" t="str">
        <f t="shared" si="42"/>
        <v>Spring</v>
      </c>
      <c r="C1325" s="453"/>
      <c r="D1325" s="454"/>
      <c r="E1325" s="455"/>
      <c r="F1325" s="454"/>
      <c r="G1325" s="455"/>
      <c r="H1325" s="454"/>
      <c r="I1325" s="455"/>
      <c r="J1325" s="454"/>
      <c r="K1325" s="455"/>
      <c r="L1325" s="454"/>
      <c r="M1325" s="455"/>
      <c r="N1325" s="454"/>
      <c r="O1325" s="455"/>
      <c r="P1325" s="454"/>
      <c r="Q1325" s="455"/>
      <c r="R1325" s="454"/>
      <c r="S1325" s="455"/>
      <c r="T1325" s="454"/>
      <c r="U1325" s="455"/>
      <c r="V1325" s="454"/>
      <c r="W1325" s="455"/>
      <c r="X1325" s="454"/>
      <c r="Y1325" s="455"/>
      <c r="Z1325" s="454"/>
      <c r="AA1325" s="455"/>
      <c r="AB1325" s="454"/>
      <c r="AC1325" s="455"/>
      <c r="AD1325" s="454"/>
      <c r="AE1325" s="455"/>
      <c r="AF1325" s="454"/>
      <c r="AG1325" s="455"/>
    </row>
    <row r="1326" spans="1:33" x14ac:dyDescent="0.2">
      <c r="A1326" s="415">
        <f t="shared" si="41"/>
        <v>1547</v>
      </c>
      <c r="B1326" s="416" t="str">
        <f t="shared" si="42"/>
        <v>Summer</v>
      </c>
      <c r="C1326" s="453"/>
      <c r="D1326" s="454"/>
      <c r="E1326" s="455"/>
      <c r="F1326" s="454"/>
      <c r="G1326" s="455"/>
      <c r="H1326" s="454"/>
      <c r="I1326" s="455"/>
      <c r="J1326" s="454"/>
      <c r="K1326" s="455"/>
      <c r="L1326" s="454"/>
      <c r="M1326" s="455"/>
      <c r="N1326" s="454"/>
      <c r="O1326" s="455"/>
      <c r="P1326" s="454"/>
      <c r="Q1326" s="455"/>
      <c r="R1326" s="454"/>
      <c r="S1326" s="455"/>
      <c r="T1326" s="454"/>
      <c r="U1326" s="455"/>
      <c r="V1326" s="454"/>
      <c r="W1326" s="455"/>
      <c r="X1326" s="454"/>
      <c r="Y1326" s="455"/>
      <c r="Z1326" s="454"/>
      <c r="AA1326" s="455"/>
      <c r="AB1326" s="454"/>
      <c r="AC1326" s="455"/>
      <c r="AD1326" s="454"/>
      <c r="AE1326" s="455"/>
      <c r="AF1326" s="454"/>
      <c r="AG1326" s="455"/>
    </row>
    <row r="1327" spans="1:33" x14ac:dyDescent="0.2">
      <c r="A1327" s="415">
        <f t="shared" si="41"/>
        <v>1547</v>
      </c>
      <c r="B1327" s="416" t="str">
        <f t="shared" si="42"/>
        <v>Autumn</v>
      </c>
      <c r="C1327" s="453"/>
      <c r="D1327" s="454"/>
      <c r="E1327" s="455"/>
      <c r="F1327" s="454"/>
      <c r="G1327" s="455"/>
      <c r="H1327" s="454"/>
      <c r="I1327" s="455"/>
      <c r="J1327" s="454"/>
      <c r="K1327" s="455"/>
      <c r="L1327" s="454"/>
      <c r="M1327" s="455"/>
      <c r="N1327" s="454"/>
      <c r="O1327" s="455"/>
      <c r="P1327" s="454"/>
      <c r="Q1327" s="455"/>
      <c r="R1327" s="454"/>
      <c r="S1327" s="455"/>
      <c r="T1327" s="454"/>
      <c r="U1327" s="455"/>
      <c r="V1327" s="454"/>
      <c r="W1327" s="455"/>
      <c r="X1327" s="454"/>
      <c r="Y1327" s="455"/>
      <c r="Z1327" s="454"/>
      <c r="AA1327" s="455"/>
      <c r="AB1327" s="454"/>
      <c r="AC1327" s="455"/>
      <c r="AD1327" s="454"/>
      <c r="AE1327" s="455"/>
      <c r="AF1327" s="454"/>
      <c r="AG1327" s="455"/>
    </row>
    <row r="1328" spans="1:33" x14ac:dyDescent="0.2">
      <c r="A1328" s="415">
        <f t="shared" si="41"/>
        <v>1548</v>
      </c>
      <c r="B1328" s="416" t="str">
        <f t="shared" si="42"/>
        <v>Winter</v>
      </c>
      <c r="C1328" s="453"/>
      <c r="D1328" s="454"/>
      <c r="E1328" s="455"/>
      <c r="F1328" s="454"/>
      <c r="G1328" s="455"/>
      <c r="H1328" s="454"/>
      <c r="I1328" s="455"/>
      <c r="J1328" s="454"/>
      <c r="K1328" s="455"/>
      <c r="L1328" s="454"/>
      <c r="M1328" s="455"/>
      <c r="N1328" s="454"/>
      <c r="O1328" s="455"/>
      <c r="P1328" s="454"/>
      <c r="Q1328" s="455"/>
      <c r="R1328" s="454"/>
      <c r="S1328" s="455"/>
      <c r="T1328" s="454"/>
      <c r="U1328" s="455"/>
      <c r="V1328" s="454"/>
      <c r="W1328" s="455"/>
      <c r="X1328" s="454"/>
      <c r="Y1328" s="455"/>
      <c r="Z1328" s="454"/>
      <c r="AA1328" s="455"/>
      <c r="AB1328" s="454"/>
      <c r="AC1328" s="455"/>
      <c r="AD1328" s="454"/>
      <c r="AE1328" s="455"/>
      <c r="AF1328" s="454"/>
      <c r="AG1328" s="455"/>
    </row>
    <row r="1329" spans="1:33" x14ac:dyDescent="0.2">
      <c r="A1329" s="415">
        <f t="shared" si="41"/>
        <v>1548</v>
      </c>
      <c r="B1329" s="416" t="str">
        <f t="shared" si="42"/>
        <v>Spring</v>
      </c>
      <c r="C1329" s="453"/>
      <c r="D1329" s="454"/>
      <c r="E1329" s="455"/>
      <c r="F1329" s="454"/>
      <c r="G1329" s="455"/>
      <c r="H1329" s="454"/>
      <c r="I1329" s="455"/>
      <c r="J1329" s="454"/>
      <c r="K1329" s="455"/>
      <c r="L1329" s="454"/>
      <c r="M1329" s="455"/>
      <c r="N1329" s="454"/>
      <c r="O1329" s="455"/>
      <c r="P1329" s="454"/>
      <c r="Q1329" s="455"/>
      <c r="R1329" s="454"/>
      <c r="S1329" s="455"/>
      <c r="T1329" s="454"/>
      <c r="U1329" s="455"/>
      <c r="V1329" s="454"/>
      <c r="W1329" s="455"/>
      <c r="X1329" s="454"/>
      <c r="Y1329" s="455"/>
      <c r="Z1329" s="454"/>
      <c r="AA1329" s="455"/>
      <c r="AB1329" s="454"/>
      <c r="AC1329" s="455"/>
      <c r="AD1329" s="454"/>
      <c r="AE1329" s="455"/>
      <c r="AF1329" s="454"/>
      <c r="AG1329" s="455"/>
    </row>
    <row r="1330" spans="1:33" x14ac:dyDescent="0.2">
      <c r="A1330" s="415">
        <f t="shared" si="41"/>
        <v>1548</v>
      </c>
      <c r="B1330" s="416" t="str">
        <f t="shared" si="42"/>
        <v>Summer</v>
      </c>
      <c r="C1330" s="453"/>
      <c r="D1330" s="454"/>
      <c r="E1330" s="455"/>
      <c r="F1330" s="454"/>
      <c r="G1330" s="455"/>
      <c r="H1330" s="454"/>
      <c r="I1330" s="455"/>
      <c r="J1330" s="454"/>
      <c r="K1330" s="455"/>
      <c r="L1330" s="454"/>
      <c r="M1330" s="455"/>
      <c r="N1330" s="454"/>
      <c r="O1330" s="455"/>
      <c r="P1330" s="454"/>
      <c r="Q1330" s="455"/>
      <c r="R1330" s="454"/>
      <c r="S1330" s="455"/>
      <c r="T1330" s="454"/>
      <c r="U1330" s="455"/>
      <c r="V1330" s="454"/>
      <c r="W1330" s="455"/>
      <c r="X1330" s="454"/>
      <c r="Y1330" s="455"/>
      <c r="Z1330" s="454"/>
      <c r="AA1330" s="455"/>
      <c r="AB1330" s="454"/>
      <c r="AC1330" s="455"/>
      <c r="AD1330" s="454"/>
      <c r="AE1330" s="455"/>
      <c r="AF1330" s="454"/>
      <c r="AG1330" s="455"/>
    </row>
    <row r="1331" spans="1:33" x14ac:dyDescent="0.2">
      <c r="A1331" s="415">
        <f t="shared" si="41"/>
        <v>1548</v>
      </c>
      <c r="B1331" s="416" t="str">
        <f t="shared" si="42"/>
        <v>Autumn</v>
      </c>
      <c r="C1331" s="453"/>
      <c r="D1331" s="454"/>
      <c r="E1331" s="455"/>
      <c r="F1331" s="454"/>
      <c r="G1331" s="455"/>
      <c r="H1331" s="454"/>
      <c r="I1331" s="455"/>
      <c r="J1331" s="454"/>
      <c r="K1331" s="455"/>
      <c r="L1331" s="454"/>
      <c r="M1331" s="455"/>
      <c r="N1331" s="454"/>
      <c r="O1331" s="455"/>
      <c r="P1331" s="454"/>
      <c r="Q1331" s="455"/>
      <c r="R1331" s="454"/>
      <c r="S1331" s="455"/>
      <c r="T1331" s="454"/>
      <c r="U1331" s="455"/>
      <c r="V1331" s="454"/>
      <c r="W1331" s="455"/>
      <c r="X1331" s="454"/>
      <c r="Y1331" s="455"/>
      <c r="Z1331" s="454"/>
      <c r="AA1331" s="455"/>
      <c r="AB1331" s="454"/>
      <c r="AC1331" s="455"/>
      <c r="AD1331" s="454"/>
      <c r="AE1331" s="455"/>
      <c r="AF1331" s="454"/>
      <c r="AG1331" s="455"/>
    </row>
    <row r="1332" spans="1:33" x14ac:dyDescent="0.2">
      <c r="A1332" s="415">
        <f t="shared" si="41"/>
        <v>1549</v>
      </c>
      <c r="B1332" s="416" t="str">
        <f t="shared" si="42"/>
        <v>Winter</v>
      </c>
      <c r="C1332" s="453"/>
      <c r="D1332" s="454"/>
      <c r="E1332" s="455"/>
      <c r="F1332" s="454"/>
      <c r="G1332" s="455"/>
      <c r="H1332" s="454"/>
      <c r="I1332" s="455"/>
      <c r="J1332" s="454"/>
      <c r="K1332" s="455"/>
      <c r="L1332" s="454"/>
      <c r="M1332" s="455"/>
      <c r="N1332" s="454"/>
      <c r="O1332" s="455"/>
      <c r="P1332" s="454"/>
      <c r="Q1332" s="455"/>
      <c r="R1332" s="454"/>
      <c r="S1332" s="455"/>
      <c r="T1332" s="454"/>
      <c r="U1332" s="455"/>
      <c r="V1332" s="454"/>
      <c r="W1332" s="455"/>
      <c r="X1332" s="454"/>
      <c r="Y1332" s="455"/>
      <c r="Z1332" s="454"/>
      <c r="AA1332" s="455"/>
      <c r="AB1332" s="454"/>
      <c r="AC1332" s="455"/>
      <c r="AD1332" s="454"/>
      <c r="AE1332" s="455"/>
      <c r="AF1332" s="454"/>
      <c r="AG1332" s="455"/>
    </row>
    <row r="1333" spans="1:33" x14ac:dyDescent="0.2">
      <c r="A1333" s="415">
        <f t="shared" si="41"/>
        <v>1549</v>
      </c>
      <c r="B1333" s="416" t="str">
        <f t="shared" si="42"/>
        <v>Spring</v>
      </c>
      <c r="C1333" s="453"/>
      <c r="D1333" s="454"/>
      <c r="E1333" s="455"/>
      <c r="F1333" s="454"/>
      <c r="G1333" s="455"/>
      <c r="H1333" s="454"/>
      <c r="I1333" s="455"/>
      <c r="J1333" s="454"/>
      <c r="K1333" s="455"/>
      <c r="L1333" s="454"/>
      <c r="M1333" s="455"/>
      <c r="N1333" s="454"/>
      <c r="O1333" s="455"/>
      <c r="P1333" s="454"/>
      <c r="Q1333" s="455"/>
      <c r="R1333" s="454"/>
      <c r="S1333" s="455"/>
      <c r="T1333" s="454"/>
      <c r="U1333" s="455"/>
      <c r="V1333" s="454"/>
      <c r="W1333" s="455"/>
      <c r="X1333" s="454"/>
      <c r="Y1333" s="455"/>
      <c r="Z1333" s="454"/>
      <c r="AA1333" s="455"/>
      <c r="AB1333" s="454"/>
      <c r="AC1333" s="455"/>
      <c r="AD1333" s="454"/>
      <c r="AE1333" s="455"/>
      <c r="AF1333" s="454"/>
      <c r="AG1333" s="455"/>
    </row>
    <row r="1334" spans="1:33" x14ac:dyDescent="0.2">
      <c r="A1334" s="415">
        <f t="shared" si="41"/>
        <v>1549</v>
      </c>
      <c r="B1334" s="416" t="str">
        <f t="shared" si="42"/>
        <v>Summer</v>
      </c>
      <c r="C1334" s="453"/>
      <c r="D1334" s="454"/>
      <c r="E1334" s="455"/>
      <c r="F1334" s="454"/>
      <c r="G1334" s="455"/>
      <c r="H1334" s="454"/>
      <c r="I1334" s="455"/>
      <c r="J1334" s="454"/>
      <c r="K1334" s="455"/>
      <c r="L1334" s="454"/>
      <c r="M1334" s="455"/>
      <c r="N1334" s="454"/>
      <c r="O1334" s="455"/>
      <c r="P1334" s="454"/>
      <c r="Q1334" s="455"/>
      <c r="R1334" s="454"/>
      <c r="S1334" s="455"/>
      <c r="T1334" s="454"/>
      <c r="U1334" s="455"/>
      <c r="V1334" s="454"/>
      <c r="W1334" s="455"/>
      <c r="X1334" s="454"/>
      <c r="Y1334" s="455"/>
      <c r="Z1334" s="454"/>
      <c r="AA1334" s="455"/>
      <c r="AB1334" s="454"/>
      <c r="AC1334" s="455"/>
      <c r="AD1334" s="454"/>
      <c r="AE1334" s="455"/>
      <c r="AF1334" s="454"/>
      <c r="AG1334" s="455"/>
    </row>
    <row r="1335" spans="1:33" x14ac:dyDescent="0.2">
      <c r="A1335" s="415">
        <f t="shared" si="41"/>
        <v>1549</v>
      </c>
      <c r="B1335" s="416" t="str">
        <f t="shared" si="42"/>
        <v>Autumn</v>
      </c>
      <c r="C1335" s="453"/>
      <c r="D1335" s="454"/>
      <c r="E1335" s="455"/>
      <c r="F1335" s="454"/>
      <c r="G1335" s="455"/>
      <c r="H1335" s="454"/>
      <c r="I1335" s="455"/>
      <c r="J1335" s="454"/>
      <c r="K1335" s="455"/>
      <c r="L1335" s="454"/>
      <c r="M1335" s="455"/>
      <c r="N1335" s="454"/>
      <c r="O1335" s="455"/>
      <c r="P1335" s="454"/>
      <c r="Q1335" s="455"/>
      <c r="R1335" s="454"/>
      <c r="S1335" s="455"/>
      <c r="T1335" s="454"/>
      <c r="U1335" s="455"/>
      <c r="V1335" s="454"/>
      <c r="W1335" s="455"/>
      <c r="X1335" s="454"/>
      <c r="Y1335" s="455"/>
      <c r="Z1335" s="454"/>
      <c r="AA1335" s="455"/>
      <c r="AB1335" s="454"/>
      <c r="AC1335" s="455"/>
      <c r="AD1335" s="454"/>
      <c r="AE1335" s="455"/>
      <c r="AF1335" s="454"/>
      <c r="AG1335" s="455"/>
    </row>
    <row r="1336" spans="1:33" x14ac:dyDescent="0.2">
      <c r="A1336" s="415">
        <f t="shared" si="41"/>
        <v>1550</v>
      </c>
      <c r="B1336" s="416" t="str">
        <f t="shared" si="42"/>
        <v>Winter</v>
      </c>
      <c r="C1336" s="453"/>
      <c r="D1336" s="454"/>
      <c r="E1336" s="455"/>
      <c r="F1336" s="454"/>
      <c r="G1336" s="455"/>
      <c r="H1336" s="454"/>
      <c r="I1336" s="455"/>
      <c r="J1336" s="454"/>
      <c r="K1336" s="455"/>
      <c r="L1336" s="454"/>
      <c r="M1336" s="455"/>
      <c r="N1336" s="454"/>
      <c r="O1336" s="455"/>
      <c r="P1336" s="454"/>
      <c r="Q1336" s="455"/>
      <c r="R1336" s="454"/>
      <c r="S1336" s="455"/>
      <c r="T1336" s="454"/>
      <c r="U1336" s="455"/>
      <c r="V1336" s="454"/>
      <c r="W1336" s="455"/>
      <c r="X1336" s="454"/>
      <c r="Y1336" s="455"/>
      <c r="Z1336" s="454"/>
      <c r="AA1336" s="455"/>
      <c r="AB1336" s="454"/>
      <c r="AC1336" s="455"/>
      <c r="AD1336" s="454"/>
      <c r="AE1336" s="455"/>
      <c r="AF1336" s="454"/>
      <c r="AG1336" s="455"/>
    </row>
    <row r="1337" spans="1:33" x14ac:dyDescent="0.2">
      <c r="A1337" s="415">
        <f t="shared" si="41"/>
        <v>1550</v>
      </c>
      <c r="B1337" s="416" t="str">
        <f t="shared" si="42"/>
        <v>Spring</v>
      </c>
      <c r="C1337" s="453"/>
      <c r="D1337" s="454"/>
      <c r="E1337" s="455"/>
      <c r="F1337" s="454"/>
      <c r="G1337" s="455"/>
      <c r="H1337" s="454"/>
      <c r="I1337" s="455"/>
      <c r="J1337" s="454"/>
      <c r="K1337" s="455"/>
      <c r="L1337" s="454"/>
      <c r="M1337" s="455"/>
      <c r="N1337" s="454"/>
      <c r="O1337" s="455"/>
      <c r="P1337" s="454"/>
      <c r="Q1337" s="455"/>
      <c r="R1337" s="454"/>
      <c r="S1337" s="455"/>
      <c r="T1337" s="454"/>
      <c r="U1337" s="455"/>
      <c r="V1337" s="454"/>
      <c r="W1337" s="455"/>
      <c r="X1337" s="454"/>
      <c r="Y1337" s="455"/>
      <c r="Z1337" s="454"/>
      <c r="AA1337" s="455"/>
      <c r="AB1337" s="454"/>
      <c r="AC1337" s="455"/>
      <c r="AD1337" s="454"/>
      <c r="AE1337" s="455"/>
      <c r="AF1337" s="454"/>
      <c r="AG1337" s="455"/>
    </row>
    <row r="1338" spans="1:33" x14ac:dyDescent="0.2">
      <c r="A1338" s="415">
        <f t="shared" si="41"/>
        <v>1550</v>
      </c>
      <c r="B1338" s="416" t="str">
        <f t="shared" si="42"/>
        <v>Summer</v>
      </c>
      <c r="C1338" s="453"/>
      <c r="D1338" s="454"/>
      <c r="E1338" s="455"/>
      <c r="F1338" s="454"/>
      <c r="G1338" s="455"/>
      <c r="H1338" s="454"/>
      <c r="I1338" s="455"/>
      <c r="J1338" s="454"/>
      <c r="K1338" s="455"/>
      <c r="L1338" s="454"/>
      <c r="M1338" s="455"/>
      <c r="N1338" s="454"/>
      <c r="O1338" s="455"/>
      <c r="P1338" s="454"/>
      <c r="Q1338" s="455"/>
      <c r="R1338" s="454"/>
      <c r="S1338" s="455"/>
      <c r="T1338" s="454"/>
      <c r="U1338" s="455"/>
      <c r="V1338" s="454"/>
      <c r="W1338" s="455"/>
      <c r="X1338" s="454"/>
      <c r="Y1338" s="455"/>
      <c r="Z1338" s="454"/>
      <c r="AA1338" s="455"/>
      <c r="AB1338" s="454"/>
      <c r="AC1338" s="455"/>
      <c r="AD1338" s="454"/>
      <c r="AE1338" s="455"/>
      <c r="AF1338" s="454"/>
      <c r="AG1338" s="455"/>
    </row>
    <row r="1339" spans="1:33" x14ac:dyDescent="0.2">
      <c r="A1339" s="415">
        <f t="shared" si="41"/>
        <v>1550</v>
      </c>
      <c r="B1339" s="416" t="str">
        <f t="shared" si="42"/>
        <v>Autumn</v>
      </c>
      <c r="C1339" s="453"/>
      <c r="D1339" s="454"/>
      <c r="E1339" s="455"/>
      <c r="F1339" s="454"/>
      <c r="G1339" s="455"/>
      <c r="H1339" s="454"/>
      <c r="I1339" s="455"/>
      <c r="J1339" s="454"/>
      <c r="K1339" s="455"/>
      <c r="L1339" s="454"/>
      <c r="M1339" s="455"/>
      <c r="N1339" s="454"/>
      <c r="O1339" s="455"/>
      <c r="P1339" s="454"/>
      <c r="Q1339" s="455"/>
      <c r="R1339" s="454"/>
      <c r="S1339" s="455"/>
      <c r="T1339" s="454"/>
      <c r="U1339" s="455"/>
      <c r="V1339" s="454"/>
      <c r="W1339" s="455"/>
      <c r="X1339" s="454"/>
      <c r="Y1339" s="455"/>
      <c r="Z1339" s="454"/>
      <c r="AA1339" s="455"/>
      <c r="AB1339" s="454"/>
      <c r="AC1339" s="455"/>
      <c r="AD1339" s="454"/>
      <c r="AE1339" s="455"/>
      <c r="AF1339" s="454"/>
      <c r="AG1339" s="455"/>
    </row>
    <row r="1340" spans="1:33" x14ac:dyDescent="0.2">
      <c r="A1340" s="415">
        <f t="shared" si="41"/>
        <v>1551</v>
      </c>
      <c r="B1340" s="416" t="str">
        <f t="shared" si="42"/>
        <v>Winter</v>
      </c>
      <c r="C1340" s="453"/>
      <c r="D1340" s="454"/>
      <c r="E1340" s="455"/>
      <c r="F1340" s="454"/>
      <c r="G1340" s="455"/>
      <c r="H1340" s="454"/>
      <c r="I1340" s="455"/>
      <c r="J1340" s="454"/>
      <c r="K1340" s="455"/>
      <c r="L1340" s="454"/>
      <c r="M1340" s="455"/>
      <c r="N1340" s="454"/>
      <c r="O1340" s="455"/>
      <c r="P1340" s="454"/>
      <c r="Q1340" s="455"/>
      <c r="R1340" s="454"/>
      <c r="S1340" s="455"/>
      <c r="T1340" s="454"/>
      <c r="U1340" s="455"/>
      <c r="V1340" s="454"/>
      <c r="W1340" s="455"/>
      <c r="X1340" s="454"/>
      <c r="Y1340" s="455"/>
      <c r="Z1340" s="454"/>
      <c r="AA1340" s="455"/>
      <c r="AB1340" s="454"/>
      <c r="AC1340" s="455"/>
      <c r="AD1340" s="454"/>
      <c r="AE1340" s="455"/>
      <c r="AF1340" s="454"/>
      <c r="AG1340" s="455"/>
    </row>
    <row r="1341" spans="1:33" x14ac:dyDescent="0.2">
      <c r="A1341" s="415">
        <f t="shared" si="41"/>
        <v>1551</v>
      </c>
      <c r="B1341" s="416" t="str">
        <f t="shared" si="42"/>
        <v>Spring</v>
      </c>
      <c r="C1341" s="453"/>
      <c r="D1341" s="454"/>
      <c r="E1341" s="455"/>
      <c r="F1341" s="454"/>
      <c r="G1341" s="455"/>
      <c r="H1341" s="454"/>
      <c r="I1341" s="455"/>
      <c r="J1341" s="454"/>
      <c r="K1341" s="455"/>
      <c r="L1341" s="454"/>
      <c r="M1341" s="455"/>
      <c r="N1341" s="454"/>
      <c r="O1341" s="455"/>
      <c r="P1341" s="454"/>
      <c r="Q1341" s="455"/>
      <c r="R1341" s="454"/>
      <c r="S1341" s="455"/>
      <c r="T1341" s="454"/>
      <c r="U1341" s="455"/>
      <c r="V1341" s="454"/>
      <c r="W1341" s="455"/>
      <c r="X1341" s="454"/>
      <c r="Y1341" s="455"/>
      <c r="Z1341" s="454"/>
      <c r="AA1341" s="455"/>
      <c r="AB1341" s="454"/>
      <c r="AC1341" s="455"/>
      <c r="AD1341" s="454"/>
      <c r="AE1341" s="455"/>
      <c r="AF1341" s="454"/>
      <c r="AG1341" s="455"/>
    </row>
    <row r="1342" spans="1:33" x14ac:dyDescent="0.2">
      <c r="A1342" s="415">
        <f t="shared" si="41"/>
        <v>1551</v>
      </c>
      <c r="B1342" s="416" t="str">
        <f t="shared" si="42"/>
        <v>Summer</v>
      </c>
      <c r="C1342" s="453"/>
      <c r="D1342" s="454"/>
      <c r="E1342" s="455"/>
      <c r="F1342" s="454"/>
      <c r="G1342" s="455"/>
      <c r="H1342" s="454"/>
      <c r="I1342" s="455"/>
      <c r="J1342" s="454"/>
      <c r="K1342" s="455"/>
      <c r="L1342" s="454"/>
      <c r="M1342" s="455"/>
      <c r="N1342" s="454"/>
      <c r="O1342" s="455"/>
      <c r="P1342" s="454"/>
      <c r="Q1342" s="455"/>
      <c r="R1342" s="454"/>
      <c r="S1342" s="455"/>
      <c r="T1342" s="454"/>
      <c r="U1342" s="455"/>
      <c r="V1342" s="454"/>
      <c r="W1342" s="455"/>
      <c r="X1342" s="454"/>
      <c r="Y1342" s="455"/>
      <c r="Z1342" s="454"/>
      <c r="AA1342" s="455"/>
      <c r="AB1342" s="454"/>
      <c r="AC1342" s="455"/>
      <c r="AD1342" s="454"/>
      <c r="AE1342" s="455"/>
      <c r="AF1342" s="454"/>
      <c r="AG1342" s="455"/>
    </row>
    <row r="1343" spans="1:33" x14ac:dyDescent="0.2">
      <c r="A1343" s="415">
        <f t="shared" si="41"/>
        <v>1551</v>
      </c>
      <c r="B1343" s="416" t="str">
        <f t="shared" si="42"/>
        <v>Autumn</v>
      </c>
      <c r="C1343" s="453"/>
      <c r="D1343" s="454"/>
      <c r="E1343" s="455"/>
      <c r="F1343" s="454"/>
      <c r="G1343" s="455"/>
      <c r="H1343" s="454"/>
      <c r="I1343" s="455"/>
      <c r="J1343" s="454"/>
      <c r="K1343" s="455"/>
      <c r="L1343" s="454"/>
      <c r="M1343" s="455"/>
      <c r="N1343" s="454"/>
      <c r="O1343" s="455"/>
      <c r="P1343" s="454"/>
      <c r="Q1343" s="455"/>
      <c r="R1343" s="454"/>
      <c r="S1343" s="455"/>
      <c r="T1343" s="454"/>
      <c r="U1343" s="455"/>
      <c r="V1343" s="454"/>
      <c r="W1343" s="455"/>
      <c r="X1343" s="454"/>
      <c r="Y1343" s="455"/>
      <c r="Z1343" s="454"/>
      <c r="AA1343" s="455"/>
      <c r="AB1343" s="454"/>
      <c r="AC1343" s="455"/>
      <c r="AD1343" s="454"/>
      <c r="AE1343" s="455"/>
      <c r="AF1343" s="454"/>
      <c r="AG1343" s="455"/>
    </row>
    <row r="1344" spans="1:33" x14ac:dyDescent="0.2">
      <c r="A1344" s="415">
        <f t="shared" si="41"/>
        <v>1552</v>
      </c>
      <c r="B1344" s="416" t="str">
        <f t="shared" si="42"/>
        <v>Winter</v>
      </c>
      <c r="C1344" s="453"/>
      <c r="D1344" s="454"/>
      <c r="E1344" s="455"/>
      <c r="F1344" s="454"/>
      <c r="G1344" s="455"/>
      <c r="H1344" s="454"/>
      <c r="I1344" s="455"/>
      <c r="J1344" s="454"/>
      <c r="K1344" s="455"/>
      <c r="L1344" s="454"/>
      <c r="M1344" s="455"/>
      <c r="N1344" s="454"/>
      <c r="O1344" s="455"/>
      <c r="P1344" s="454"/>
      <c r="Q1344" s="455"/>
      <c r="R1344" s="454"/>
      <c r="S1344" s="455"/>
      <c r="T1344" s="454"/>
      <c r="U1344" s="455"/>
      <c r="V1344" s="454"/>
      <c r="W1344" s="455"/>
      <c r="X1344" s="454"/>
      <c r="Y1344" s="455"/>
      <c r="Z1344" s="454"/>
      <c r="AA1344" s="455"/>
      <c r="AB1344" s="454"/>
      <c r="AC1344" s="455"/>
      <c r="AD1344" s="454"/>
      <c r="AE1344" s="455"/>
      <c r="AF1344" s="454"/>
      <c r="AG1344" s="455"/>
    </row>
    <row r="1345" spans="1:33" x14ac:dyDescent="0.2">
      <c r="A1345" s="415">
        <f t="shared" si="41"/>
        <v>1552</v>
      </c>
      <c r="B1345" s="416" t="str">
        <f t="shared" si="42"/>
        <v>Spring</v>
      </c>
      <c r="C1345" s="453"/>
      <c r="D1345" s="454"/>
      <c r="E1345" s="455"/>
      <c r="F1345" s="454"/>
      <c r="G1345" s="455"/>
      <c r="H1345" s="454"/>
      <c r="I1345" s="455"/>
      <c r="J1345" s="454"/>
      <c r="K1345" s="455"/>
      <c r="L1345" s="454"/>
      <c r="M1345" s="455"/>
      <c r="N1345" s="454"/>
      <c r="O1345" s="455"/>
      <c r="P1345" s="454"/>
      <c r="Q1345" s="455"/>
      <c r="R1345" s="454"/>
      <c r="S1345" s="455"/>
      <c r="T1345" s="454"/>
      <c r="U1345" s="455"/>
      <c r="V1345" s="454"/>
      <c r="W1345" s="455"/>
      <c r="X1345" s="454"/>
      <c r="Y1345" s="455"/>
      <c r="Z1345" s="454"/>
      <c r="AA1345" s="455"/>
      <c r="AB1345" s="454"/>
      <c r="AC1345" s="455"/>
      <c r="AD1345" s="454"/>
      <c r="AE1345" s="455"/>
      <c r="AF1345" s="454"/>
      <c r="AG1345" s="455"/>
    </row>
    <row r="1346" spans="1:33" x14ac:dyDescent="0.2">
      <c r="A1346" s="415">
        <f t="shared" si="41"/>
        <v>1552</v>
      </c>
      <c r="B1346" s="416" t="str">
        <f t="shared" si="42"/>
        <v>Summer</v>
      </c>
      <c r="C1346" s="453"/>
      <c r="D1346" s="454"/>
      <c r="E1346" s="455"/>
      <c r="F1346" s="454"/>
      <c r="G1346" s="455"/>
      <c r="H1346" s="454"/>
      <c r="I1346" s="455"/>
      <c r="J1346" s="454"/>
      <c r="K1346" s="455"/>
      <c r="L1346" s="454"/>
      <c r="M1346" s="455"/>
      <c r="N1346" s="454"/>
      <c r="O1346" s="455"/>
      <c r="P1346" s="454"/>
      <c r="Q1346" s="455"/>
      <c r="R1346" s="454"/>
      <c r="S1346" s="455"/>
      <c r="T1346" s="454"/>
      <c r="U1346" s="455"/>
      <c r="V1346" s="454"/>
      <c r="W1346" s="455"/>
      <c r="X1346" s="454"/>
      <c r="Y1346" s="455"/>
      <c r="Z1346" s="454"/>
      <c r="AA1346" s="455"/>
      <c r="AB1346" s="454"/>
      <c r="AC1346" s="455"/>
      <c r="AD1346" s="454"/>
      <c r="AE1346" s="455"/>
      <c r="AF1346" s="454"/>
      <c r="AG1346" s="455"/>
    </row>
    <row r="1347" spans="1:33" x14ac:dyDescent="0.2">
      <c r="A1347" s="415">
        <f t="shared" si="41"/>
        <v>1552</v>
      </c>
      <c r="B1347" s="416" t="str">
        <f t="shared" si="42"/>
        <v>Autumn</v>
      </c>
      <c r="C1347" s="453"/>
      <c r="D1347" s="454"/>
      <c r="E1347" s="455"/>
      <c r="F1347" s="454"/>
      <c r="G1347" s="455"/>
      <c r="H1347" s="454"/>
      <c r="I1347" s="455"/>
      <c r="J1347" s="454"/>
      <c r="K1347" s="455"/>
      <c r="L1347" s="454"/>
      <c r="M1347" s="455"/>
      <c r="N1347" s="454"/>
      <c r="O1347" s="455"/>
      <c r="P1347" s="454"/>
      <c r="Q1347" s="455"/>
      <c r="R1347" s="454"/>
      <c r="S1347" s="455"/>
      <c r="T1347" s="454"/>
      <c r="U1347" s="455"/>
      <c r="V1347" s="454"/>
      <c r="W1347" s="455"/>
      <c r="X1347" s="454"/>
      <c r="Y1347" s="455"/>
      <c r="Z1347" s="454"/>
      <c r="AA1347" s="455"/>
      <c r="AB1347" s="454"/>
      <c r="AC1347" s="455"/>
      <c r="AD1347" s="454"/>
      <c r="AE1347" s="455"/>
      <c r="AF1347" s="454"/>
      <c r="AG1347" s="455"/>
    </row>
    <row r="1348" spans="1:33" x14ac:dyDescent="0.2">
      <c r="A1348" s="415">
        <f t="shared" si="41"/>
        <v>1553</v>
      </c>
      <c r="B1348" s="416" t="str">
        <f t="shared" si="42"/>
        <v>Winter</v>
      </c>
      <c r="C1348" s="453"/>
      <c r="D1348" s="454"/>
      <c r="E1348" s="455"/>
      <c r="F1348" s="454"/>
      <c r="G1348" s="455"/>
      <c r="H1348" s="454"/>
      <c r="I1348" s="455"/>
      <c r="J1348" s="454"/>
      <c r="K1348" s="455"/>
      <c r="L1348" s="454"/>
      <c r="M1348" s="455"/>
      <c r="N1348" s="454"/>
      <c r="O1348" s="455"/>
      <c r="P1348" s="454"/>
      <c r="Q1348" s="455"/>
      <c r="R1348" s="454"/>
      <c r="S1348" s="455"/>
      <c r="T1348" s="454"/>
      <c r="U1348" s="455"/>
      <c r="V1348" s="454"/>
      <c r="W1348" s="455"/>
      <c r="X1348" s="454"/>
      <c r="Y1348" s="455"/>
      <c r="Z1348" s="454"/>
      <c r="AA1348" s="455"/>
      <c r="AB1348" s="454"/>
      <c r="AC1348" s="455"/>
      <c r="AD1348" s="454"/>
      <c r="AE1348" s="455"/>
      <c r="AF1348" s="454"/>
      <c r="AG1348" s="455"/>
    </row>
    <row r="1349" spans="1:33" x14ac:dyDescent="0.2">
      <c r="A1349" s="415">
        <f t="shared" ref="A1349:A1412" si="43">IF(B1348="Autumn",A1348+1,A1348)</f>
        <v>1553</v>
      </c>
      <c r="B1349" s="416" t="str">
        <f t="shared" si="42"/>
        <v>Spring</v>
      </c>
      <c r="C1349" s="453"/>
      <c r="D1349" s="454"/>
      <c r="E1349" s="455"/>
      <c r="F1349" s="454"/>
      <c r="G1349" s="455"/>
      <c r="H1349" s="454"/>
      <c r="I1349" s="455"/>
      <c r="J1349" s="454"/>
      <c r="K1349" s="455"/>
      <c r="L1349" s="454"/>
      <c r="M1349" s="455"/>
      <c r="N1349" s="454"/>
      <c r="O1349" s="455"/>
      <c r="P1349" s="454"/>
      <c r="Q1349" s="455"/>
      <c r="R1349" s="454"/>
      <c r="S1349" s="455"/>
      <c r="T1349" s="454"/>
      <c r="U1349" s="455"/>
      <c r="V1349" s="454"/>
      <c r="W1349" s="455"/>
      <c r="X1349" s="454"/>
      <c r="Y1349" s="455"/>
      <c r="Z1349" s="454"/>
      <c r="AA1349" s="455"/>
      <c r="AB1349" s="454"/>
      <c r="AC1349" s="455"/>
      <c r="AD1349" s="454"/>
      <c r="AE1349" s="455"/>
      <c r="AF1349" s="454"/>
      <c r="AG1349" s="455"/>
    </row>
    <row r="1350" spans="1:33" x14ac:dyDescent="0.2">
      <c r="A1350" s="415">
        <f t="shared" si="43"/>
        <v>1553</v>
      </c>
      <c r="B1350" s="416" t="str">
        <f t="shared" si="42"/>
        <v>Summer</v>
      </c>
      <c r="C1350" s="453"/>
      <c r="D1350" s="454"/>
      <c r="E1350" s="455"/>
      <c r="F1350" s="454"/>
      <c r="G1350" s="455"/>
      <c r="H1350" s="454"/>
      <c r="I1350" s="455"/>
      <c r="J1350" s="454"/>
      <c r="K1350" s="455"/>
      <c r="L1350" s="454"/>
      <c r="M1350" s="455"/>
      <c r="N1350" s="454"/>
      <c r="O1350" s="455"/>
      <c r="P1350" s="454"/>
      <c r="Q1350" s="455"/>
      <c r="R1350" s="454"/>
      <c r="S1350" s="455"/>
      <c r="T1350" s="454"/>
      <c r="U1350" s="455"/>
      <c r="V1350" s="454"/>
      <c r="W1350" s="455"/>
      <c r="X1350" s="454"/>
      <c r="Y1350" s="455"/>
      <c r="Z1350" s="454"/>
      <c r="AA1350" s="455"/>
      <c r="AB1350" s="454"/>
      <c r="AC1350" s="455"/>
      <c r="AD1350" s="454"/>
      <c r="AE1350" s="455"/>
      <c r="AF1350" s="454"/>
      <c r="AG1350" s="455"/>
    </row>
    <row r="1351" spans="1:33" x14ac:dyDescent="0.2">
      <c r="A1351" s="415">
        <f t="shared" si="43"/>
        <v>1553</v>
      </c>
      <c r="B1351" s="416" t="str">
        <f t="shared" si="42"/>
        <v>Autumn</v>
      </c>
      <c r="C1351" s="453"/>
      <c r="D1351" s="454"/>
      <c r="E1351" s="455"/>
      <c r="F1351" s="454"/>
      <c r="G1351" s="455"/>
      <c r="H1351" s="454"/>
      <c r="I1351" s="455"/>
      <c r="J1351" s="454"/>
      <c r="K1351" s="455"/>
      <c r="L1351" s="454"/>
      <c r="M1351" s="455"/>
      <c r="N1351" s="454"/>
      <c r="O1351" s="455"/>
      <c r="P1351" s="454"/>
      <c r="Q1351" s="455"/>
      <c r="R1351" s="454"/>
      <c r="S1351" s="455"/>
      <c r="T1351" s="454"/>
      <c r="U1351" s="455"/>
      <c r="V1351" s="454"/>
      <c r="W1351" s="455"/>
      <c r="X1351" s="454"/>
      <c r="Y1351" s="455"/>
      <c r="Z1351" s="454"/>
      <c r="AA1351" s="455"/>
      <c r="AB1351" s="454"/>
      <c r="AC1351" s="455"/>
      <c r="AD1351" s="454"/>
      <c r="AE1351" s="455"/>
      <c r="AF1351" s="454"/>
      <c r="AG1351" s="455"/>
    </row>
    <row r="1352" spans="1:33" x14ac:dyDescent="0.2">
      <c r="A1352" s="415">
        <f t="shared" si="43"/>
        <v>1554</v>
      </c>
      <c r="B1352" s="416" t="str">
        <f t="shared" si="42"/>
        <v>Winter</v>
      </c>
      <c r="C1352" s="453"/>
      <c r="D1352" s="454"/>
      <c r="E1352" s="455"/>
      <c r="F1352" s="454"/>
      <c r="G1352" s="455"/>
      <c r="H1352" s="454"/>
      <c r="I1352" s="455"/>
      <c r="J1352" s="454"/>
      <c r="K1352" s="455"/>
      <c r="L1352" s="454"/>
      <c r="M1352" s="455"/>
      <c r="N1352" s="454"/>
      <c r="O1352" s="455"/>
      <c r="P1352" s="454"/>
      <c r="Q1352" s="455"/>
      <c r="R1352" s="454"/>
      <c r="S1352" s="455"/>
      <c r="T1352" s="454"/>
      <c r="U1352" s="455"/>
      <c r="V1352" s="454"/>
      <c r="W1352" s="455"/>
      <c r="X1352" s="454"/>
      <c r="Y1352" s="455"/>
      <c r="Z1352" s="454"/>
      <c r="AA1352" s="455"/>
      <c r="AB1352" s="454"/>
      <c r="AC1352" s="455"/>
      <c r="AD1352" s="454"/>
      <c r="AE1352" s="455"/>
      <c r="AF1352" s="454"/>
      <c r="AG1352" s="455"/>
    </row>
    <row r="1353" spans="1:33" x14ac:dyDescent="0.2">
      <c r="A1353" s="415">
        <f t="shared" si="43"/>
        <v>1554</v>
      </c>
      <c r="B1353" s="416" t="str">
        <f t="shared" si="42"/>
        <v>Spring</v>
      </c>
      <c r="C1353" s="453"/>
      <c r="D1353" s="454"/>
      <c r="E1353" s="455"/>
      <c r="F1353" s="454"/>
      <c r="G1353" s="455"/>
      <c r="H1353" s="454"/>
      <c r="I1353" s="455"/>
      <c r="J1353" s="454"/>
      <c r="K1353" s="455"/>
      <c r="L1353" s="454"/>
      <c r="M1353" s="455"/>
      <c r="N1353" s="454"/>
      <c r="O1353" s="455"/>
      <c r="P1353" s="454"/>
      <c r="Q1353" s="455"/>
      <c r="R1353" s="454"/>
      <c r="S1353" s="455"/>
      <c r="T1353" s="454"/>
      <c r="U1353" s="455"/>
      <c r="V1353" s="454"/>
      <c r="W1353" s="455"/>
      <c r="X1353" s="454"/>
      <c r="Y1353" s="455"/>
      <c r="Z1353" s="454"/>
      <c r="AA1353" s="455"/>
      <c r="AB1353" s="454"/>
      <c r="AC1353" s="455"/>
      <c r="AD1353" s="454"/>
      <c r="AE1353" s="455"/>
      <c r="AF1353" s="454"/>
      <c r="AG1353" s="455"/>
    </row>
    <row r="1354" spans="1:33" x14ac:dyDescent="0.2">
      <c r="A1354" s="415">
        <f t="shared" si="43"/>
        <v>1554</v>
      </c>
      <c r="B1354" s="416" t="str">
        <f t="shared" si="42"/>
        <v>Summer</v>
      </c>
      <c r="C1354" s="453"/>
      <c r="D1354" s="454"/>
      <c r="E1354" s="455"/>
      <c r="F1354" s="454"/>
      <c r="G1354" s="455"/>
      <c r="H1354" s="454"/>
      <c r="I1354" s="455"/>
      <c r="J1354" s="454"/>
      <c r="K1354" s="455"/>
      <c r="L1354" s="454"/>
      <c r="M1354" s="455"/>
      <c r="N1354" s="454"/>
      <c r="O1354" s="455"/>
      <c r="P1354" s="454"/>
      <c r="Q1354" s="455"/>
      <c r="R1354" s="454"/>
      <c r="S1354" s="455"/>
      <c r="T1354" s="454"/>
      <c r="U1354" s="455"/>
      <c r="V1354" s="454"/>
      <c r="W1354" s="455"/>
      <c r="X1354" s="454"/>
      <c r="Y1354" s="455"/>
      <c r="Z1354" s="454"/>
      <c r="AA1354" s="455"/>
      <c r="AB1354" s="454"/>
      <c r="AC1354" s="455"/>
      <c r="AD1354" s="454"/>
      <c r="AE1354" s="455"/>
      <c r="AF1354" s="454"/>
      <c r="AG1354" s="455"/>
    </row>
    <row r="1355" spans="1:33" x14ac:dyDescent="0.2">
      <c r="A1355" s="415">
        <f t="shared" si="43"/>
        <v>1554</v>
      </c>
      <c r="B1355" s="416" t="str">
        <f t="shared" si="42"/>
        <v>Autumn</v>
      </c>
      <c r="C1355" s="453"/>
      <c r="D1355" s="454"/>
      <c r="E1355" s="455"/>
      <c r="F1355" s="454"/>
      <c r="G1355" s="455"/>
      <c r="H1355" s="454"/>
      <c r="I1355" s="455"/>
      <c r="J1355" s="454"/>
      <c r="K1355" s="455"/>
      <c r="L1355" s="454"/>
      <c r="M1355" s="455"/>
      <c r="N1355" s="454"/>
      <c r="O1355" s="455"/>
      <c r="P1355" s="454"/>
      <c r="Q1355" s="455"/>
      <c r="R1355" s="454"/>
      <c r="S1355" s="455"/>
      <c r="T1355" s="454"/>
      <c r="U1355" s="455"/>
      <c r="V1355" s="454"/>
      <c r="W1355" s="455"/>
      <c r="X1355" s="454"/>
      <c r="Y1355" s="455"/>
      <c r="Z1355" s="454"/>
      <c r="AA1355" s="455"/>
      <c r="AB1355" s="454"/>
      <c r="AC1355" s="455"/>
      <c r="AD1355" s="454"/>
      <c r="AE1355" s="455"/>
      <c r="AF1355" s="454"/>
      <c r="AG1355" s="455"/>
    </row>
    <row r="1356" spans="1:33" x14ac:dyDescent="0.2">
      <c r="A1356" s="415">
        <f t="shared" si="43"/>
        <v>1555</v>
      </c>
      <c r="B1356" s="416" t="str">
        <f t="shared" si="42"/>
        <v>Winter</v>
      </c>
      <c r="C1356" s="453"/>
      <c r="D1356" s="454"/>
      <c r="E1356" s="455"/>
      <c r="F1356" s="454"/>
      <c r="G1356" s="455"/>
      <c r="H1356" s="454"/>
      <c r="I1356" s="455"/>
      <c r="J1356" s="454"/>
      <c r="K1356" s="455"/>
      <c r="L1356" s="454"/>
      <c r="M1356" s="455"/>
      <c r="N1356" s="454"/>
      <c r="O1356" s="455"/>
      <c r="P1356" s="454"/>
      <c r="Q1356" s="455"/>
      <c r="R1356" s="454"/>
      <c r="S1356" s="455"/>
      <c r="T1356" s="454"/>
      <c r="U1356" s="455"/>
      <c r="V1356" s="454"/>
      <c r="W1356" s="455"/>
      <c r="X1356" s="454"/>
      <c r="Y1356" s="455"/>
      <c r="Z1356" s="454"/>
      <c r="AA1356" s="455"/>
      <c r="AB1356" s="454"/>
      <c r="AC1356" s="455"/>
      <c r="AD1356" s="454"/>
      <c r="AE1356" s="455"/>
      <c r="AF1356" s="454"/>
      <c r="AG1356" s="455"/>
    </row>
    <row r="1357" spans="1:33" x14ac:dyDescent="0.2">
      <c r="A1357" s="415">
        <f t="shared" si="43"/>
        <v>1555</v>
      </c>
      <c r="B1357" s="416" t="str">
        <f t="shared" si="42"/>
        <v>Spring</v>
      </c>
      <c r="C1357" s="453"/>
      <c r="D1357" s="454"/>
      <c r="E1357" s="455"/>
      <c r="F1357" s="454"/>
      <c r="G1357" s="455"/>
      <c r="H1357" s="454"/>
      <c r="I1357" s="455"/>
      <c r="J1357" s="454"/>
      <c r="K1357" s="455"/>
      <c r="L1357" s="454"/>
      <c r="M1357" s="455"/>
      <c r="N1357" s="454"/>
      <c r="O1357" s="455"/>
      <c r="P1357" s="454"/>
      <c r="Q1357" s="455"/>
      <c r="R1357" s="454"/>
      <c r="S1357" s="455"/>
      <c r="T1357" s="454"/>
      <c r="U1357" s="455"/>
      <c r="V1357" s="454"/>
      <c r="W1357" s="455"/>
      <c r="X1357" s="454"/>
      <c r="Y1357" s="455"/>
      <c r="Z1357" s="454"/>
      <c r="AA1357" s="455"/>
      <c r="AB1357" s="454"/>
      <c r="AC1357" s="455"/>
      <c r="AD1357" s="454"/>
      <c r="AE1357" s="455"/>
      <c r="AF1357" s="454"/>
      <c r="AG1357" s="455"/>
    </row>
    <row r="1358" spans="1:33" x14ac:dyDescent="0.2">
      <c r="A1358" s="415">
        <f t="shared" si="43"/>
        <v>1555</v>
      </c>
      <c r="B1358" s="416" t="str">
        <f t="shared" si="42"/>
        <v>Summer</v>
      </c>
      <c r="C1358" s="453"/>
      <c r="D1358" s="454"/>
      <c r="E1358" s="455"/>
      <c r="F1358" s="454"/>
      <c r="G1358" s="455"/>
      <c r="H1358" s="454"/>
      <c r="I1358" s="455"/>
      <c r="J1358" s="454"/>
      <c r="K1358" s="455"/>
      <c r="L1358" s="454"/>
      <c r="M1358" s="455"/>
      <c r="N1358" s="454"/>
      <c r="O1358" s="455"/>
      <c r="P1358" s="454"/>
      <c r="Q1358" s="455"/>
      <c r="R1358" s="454"/>
      <c r="S1358" s="455"/>
      <c r="T1358" s="454"/>
      <c r="U1358" s="455"/>
      <c r="V1358" s="454"/>
      <c r="W1358" s="455"/>
      <c r="X1358" s="454"/>
      <c r="Y1358" s="455"/>
      <c r="Z1358" s="454"/>
      <c r="AA1358" s="455"/>
      <c r="AB1358" s="454"/>
      <c r="AC1358" s="455"/>
      <c r="AD1358" s="454"/>
      <c r="AE1358" s="455"/>
      <c r="AF1358" s="454"/>
      <c r="AG1358" s="455"/>
    </row>
    <row r="1359" spans="1:33" x14ac:dyDescent="0.2">
      <c r="A1359" s="415">
        <f t="shared" si="43"/>
        <v>1555</v>
      </c>
      <c r="B1359" s="416" t="str">
        <f t="shared" si="42"/>
        <v>Autumn</v>
      </c>
      <c r="C1359" s="453"/>
      <c r="D1359" s="454"/>
      <c r="E1359" s="455"/>
      <c r="F1359" s="454"/>
      <c r="G1359" s="455"/>
      <c r="H1359" s="454"/>
      <c r="I1359" s="455"/>
      <c r="J1359" s="454"/>
      <c r="K1359" s="455"/>
      <c r="L1359" s="454"/>
      <c r="M1359" s="455"/>
      <c r="N1359" s="454"/>
      <c r="O1359" s="455"/>
      <c r="P1359" s="454"/>
      <c r="Q1359" s="455"/>
      <c r="R1359" s="454"/>
      <c r="S1359" s="455"/>
      <c r="T1359" s="454"/>
      <c r="U1359" s="455"/>
      <c r="V1359" s="454"/>
      <c r="W1359" s="455"/>
      <c r="X1359" s="454"/>
      <c r="Y1359" s="455"/>
      <c r="Z1359" s="454"/>
      <c r="AA1359" s="455"/>
      <c r="AB1359" s="454"/>
      <c r="AC1359" s="455"/>
      <c r="AD1359" s="454"/>
      <c r="AE1359" s="455"/>
      <c r="AF1359" s="454"/>
      <c r="AG1359" s="455"/>
    </row>
    <row r="1360" spans="1:33" x14ac:dyDescent="0.2">
      <c r="A1360" s="415">
        <f t="shared" si="43"/>
        <v>1556</v>
      </c>
      <c r="B1360" s="416" t="str">
        <f t="shared" si="42"/>
        <v>Winter</v>
      </c>
      <c r="C1360" s="453"/>
      <c r="D1360" s="454"/>
      <c r="E1360" s="455"/>
      <c r="F1360" s="454"/>
      <c r="G1360" s="455"/>
      <c r="H1360" s="454"/>
      <c r="I1360" s="455"/>
      <c r="J1360" s="454"/>
      <c r="K1360" s="455"/>
      <c r="L1360" s="454"/>
      <c r="M1360" s="455"/>
      <c r="N1360" s="454"/>
      <c r="O1360" s="455"/>
      <c r="P1360" s="454"/>
      <c r="Q1360" s="455"/>
      <c r="R1360" s="454"/>
      <c r="S1360" s="455"/>
      <c r="T1360" s="454"/>
      <c r="U1360" s="455"/>
      <c r="V1360" s="454"/>
      <c r="W1360" s="455"/>
      <c r="X1360" s="454"/>
      <c r="Y1360" s="455"/>
      <c r="Z1360" s="454"/>
      <c r="AA1360" s="455"/>
      <c r="AB1360" s="454"/>
      <c r="AC1360" s="455"/>
      <c r="AD1360" s="454"/>
      <c r="AE1360" s="455"/>
      <c r="AF1360" s="454"/>
      <c r="AG1360" s="455"/>
    </row>
    <row r="1361" spans="1:33" x14ac:dyDescent="0.2">
      <c r="A1361" s="415">
        <f t="shared" si="43"/>
        <v>1556</v>
      </c>
      <c r="B1361" s="416" t="str">
        <f t="shared" si="42"/>
        <v>Spring</v>
      </c>
      <c r="C1361" s="453"/>
      <c r="D1361" s="454"/>
      <c r="E1361" s="455"/>
      <c r="F1361" s="454"/>
      <c r="G1361" s="455"/>
      <c r="H1361" s="454"/>
      <c r="I1361" s="455"/>
      <c r="J1361" s="454"/>
      <c r="K1361" s="455"/>
      <c r="L1361" s="454"/>
      <c r="M1361" s="455"/>
      <c r="N1361" s="454"/>
      <c r="O1361" s="455"/>
      <c r="P1361" s="454"/>
      <c r="Q1361" s="455"/>
      <c r="R1361" s="454"/>
      <c r="S1361" s="455"/>
      <c r="T1361" s="454"/>
      <c r="U1361" s="455"/>
      <c r="V1361" s="454"/>
      <c r="W1361" s="455"/>
      <c r="X1361" s="454"/>
      <c r="Y1361" s="455"/>
      <c r="Z1361" s="454"/>
      <c r="AA1361" s="455"/>
      <c r="AB1361" s="454"/>
      <c r="AC1361" s="455"/>
      <c r="AD1361" s="454"/>
      <c r="AE1361" s="455"/>
      <c r="AF1361" s="454"/>
      <c r="AG1361" s="455"/>
    </row>
    <row r="1362" spans="1:33" x14ac:dyDescent="0.2">
      <c r="A1362" s="415">
        <f t="shared" si="43"/>
        <v>1556</v>
      </c>
      <c r="B1362" s="416" t="str">
        <f t="shared" si="42"/>
        <v>Summer</v>
      </c>
      <c r="C1362" s="453"/>
      <c r="D1362" s="454"/>
      <c r="E1362" s="455"/>
      <c r="F1362" s="454"/>
      <c r="G1362" s="455"/>
      <c r="H1362" s="454"/>
      <c r="I1362" s="455"/>
      <c r="J1362" s="454"/>
      <c r="K1362" s="455"/>
      <c r="L1362" s="454"/>
      <c r="M1362" s="455"/>
      <c r="N1362" s="454"/>
      <c r="O1362" s="455"/>
      <c r="P1362" s="454"/>
      <c r="Q1362" s="455"/>
      <c r="R1362" s="454"/>
      <c r="S1362" s="455"/>
      <c r="T1362" s="454"/>
      <c r="U1362" s="455"/>
      <c r="V1362" s="454"/>
      <c r="W1362" s="455"/>
      <c r="X1362" s="454"/>
      <c r="Y1362" s="455"/>
      <c r="Z1362" s="454"/>
      <c r="AA1362" s="455"/>
      <c r="AB1362" s="454"/>
      <c r="AC1362" s="455"/>
      <c r="AD1362" s="454"/>
      <c r="AE1362" s="455"/>
      <c r="AF1362" s="454"/>
      <c r="AG1362" s="455"/>
    </row>
    <row r="1363" spans="1:33" x14ac:dyDescent="0.2">
      <c r="A1363" s="415">
        <f t="shared" si="43"/>
        <v>1556</v>
      </c>
      <c r="B1363" s="416" t="str">
        <f t="shared" si="42"/>
        <v>Autumn</v>
      </c>
      <c r="C1363" s="453"/>
      <c r="D1363" s="454"/>
      <c r="E1363" s="455"/>
      <c r="F1363" s="454"/>
      <c r="G1363" s="455"/>
      <c r="H1363" s="454"/>
      <c r="I1363" s="455"/>
      <c r="J1363" s="454"/>
      <c r="K1363" s="455"/>
      <c r="L1363" s="454"/>
      <c r="M1363" s="455"/>
      <c r="N1363" s="454"/>
      <c r="O1363" s="455"/>
      <c r="P1363" s="454"/>
      <c r="Q1363" s="455"/>
      <c r="R1363" s="454"/>
      <c r="S1363" s="455"/>
      <c r="T1363" s="454"/>
      <c r="U1363" s="455"/>
      <c r="V1363" s="454"/>
      <c r="W1363" s="455"/>
      <c r="X1363" s="454"/>
      <c r="Y1363" s="455"/>
      <c r="Z1363" s="454"/>
      <c r="AA1363" s="455"/>
      <c r="AB1363" s="454"/>
      <c r="AC1363" s="455"/>
      <c r="AD1363" s="454"/>
      <c r="AE1363" s="455"/>
      <c r="AF1363" s="454"/>
      <c r="AG1363" s="455"/>
    </row>
    <row r="1364" spans="1:33" x14ac:dyDescent="0.2">
      <c r="A1364" s="415">
        <f t="shared" si="43"/>
        <v>1557</v>
      </c>
      <c r="B1364" s="416" t="str">
        <f t="shared" si="42"/>
        <v>Winter</v>
      </c>
      <c r="C1364" s="453"/>
      <c r="D1364" s="454"/>
      <c r="E1364" s="455"/>
      <c r="F1364" s="454"/>
      <c r="G1364" s="455"/>
      <c r="H1364" s="454"/>
      <c r="I1364" s="455"/>
      <c r="J1364" s="454"/>
      <c r="K1364" s="455"/>
      <c r="L1364" s="454"/>
      <c r="M1364" s="455"/>
      <c r="N1364" s="454"/>
      <c r="O1364" s="455"/>
      <c r="P1364" s="454"/>
      <c r="Q1364" s="455"/>
      <c r="R1364" s="454"/>
      <c r="S1364" s="455"/>
      <c r="T1364" s="454"/>
      <c r="U1364" s="455"/>
      <c r="V1364" s="454"/>
      <c r="W1364" s="455"/>
      <c r="X1364" s="454"/>
      <c r="Y1364" s="455"/>
      <c r="Z1364" s="454"/>
      <c r="AA1364" s="455"/>
      <c r="AB1364" s="454"/>
      <c r="AC1364" s="455"/>
      <c r="AD1364" s="454"/>
      <c r="AE1364" s="455"/>
      <c r="AF1364" s="454"/>
      <c r="AG1364" s="455"/>
    </row>
    <row r="1365" spans="1:33" x14ac:dyDescent="0.2">
      <c r="A1365" s="415">
        <f t="shared" si="43"/>
        <v>1557</v>
      </c>
      <c r="B1365" s="416" t="str">
        <f t="shared" si="42"/>
        <v>Spring</v>
      </c>
      <c r="C1365" s="453"/>
      <c r="D1365" s="454"/>
      <c r="E1365" s="455"/>
      <c r="F1365" s="454"/>
      <c r="G1365" s="455"/>
      <c r="H1365" s="454"/>
      <c r="I1365" s="455"/>
      <c r="J1365" s="454"/>
      <c r="K1365" s="455"/>
      <c r="L1365" s="454"/>
      <c r="M1365" s="455"/>
      <c r="N1365" s="454"/>
      <c r="O1365" s="455"/>
      <c r="P1365" s="454"/>
      <c r="Q1365" s="455"/>
      <c r="R1365" s="454"/>
      <c r="S1365" s="455"/>
      <c r="T1365" s="454"/>
      <c r="U1365" s="455"/>
      <c r="V1365" s="454"/>
      <c r="W1365" s="455"/>
      <c r="X1365" s="454"/>
      <c r="Y1365" s="455"/>
      <c r="Z1365" s="454"/>
      <c r="AA1365" s="455"/>
      <c r="AB1365" s="454"/>
      <c r="AC1365" s="455"/>
      <c r="AD1365" s="454"/>
      <c r="AE1365" s="455"/>
      <c r="AF1365" s="454"/>
      <c r="AG1365" s="455"/>
    </row>
    <row r="1366" spans="1:33" x14ac:dyDescent="0.2">
      <c r="A1366" s="415">
        <f t="shared" si="43"/>
        <v>1557</v>
      </c>
      <c r="B1366" s="416" t="str">
        <f t="shared" si="42"/>
        <v>Summer</v>
      </c>
      <c r="C1366" s="453"/>
      <c r="D1366" s="454"/>
      <c r="E1366" s="455"/>
      <c r="F1366" s="454"/>
      <c r="G1366" s="455"/>
      <c r="H1366" s="454"/>
      <c r="I1366" s="455"/>
      <c r="J1366" s="454"/>
      <c r="K1366" s="455"/>
      <c r="L1366" s="454"/>
      <c r="M1366" s="455"/>
      <c r="N1366" s="454"/>
      <c r="O1366" s="455"/>
      <c r="P1366" s="454"/>
      <c r="Q1366" s="455"/>
      <c r="R1366" s="454"/>
      <c r="S1366" s="455"/>
      <c r="T1366" s="454"/>
      <c r="U1366" s="455"/>
      <c r="V1366" s="454"/>
      <c r="W1366" s="455"/>
      <c r="X1366" s="454"/>
      <c r="Y1366" s="455"/>
      <c r="Z1366" s="454"/>
      <c r="AA1366" s="455"/>
      <c r="AB1366" s="454"/>
      <c r="AC1366" s="455"/>
      <c r="AD1366" s="454"/>
      <c r="AE1366" s="455"/>
      <c r="AF1366" s="454"/>
      <c r="AG1366" s="455"/>
    </row>
    <row r="1367" spans="1:33" x14ac:dyDescent="0.2">
      <c r="A1367" s="415">
        <f t="shared" si="43"/>
        <v>1557</v>
      </c>
      <c r="B1367" s="416" t="str">
        <f t="shared" si="42"/>
        <v>Autumn</v>
      </c>
      <c r="C1367" s="453"/>
      <c r="D1367" s="454"/>
      <c r="E1367" s="455"/>
      <c r="F1367" s="454"/>
      <c r="G1367" s="455"/>
      <c r="H1367" s="454"/>
      <c r="I1367" s="455"/>
      <c r="J1367" s="454"/>
      <c r="K1367" s="455"/>
      <c r="L1367" s="454"/>
      <c r="M1367" s="455"/>
      <c r="N1367" s="454"/>
      <c r="O1367" s="455"/>
      <c r="P1367" s="454"/>
      <c r="Q1367" s="455"/>
      <c r="R1367" s="454"/>
      <c r="S1367" s="455"/>
      <c r="T1367" s="454"/>
      <c r="U1367" s="455"/>
      <c r="V1367" s="454"/>
      <c r="W1367" s="455"/>
      <c r="X1367" s="454"/>
      <c r="Y1367" s="455"/>
      <c r="Z1367" s="454"/>
      <c r="AA1367" s="455"/>
      <c r="AB1367" s="454"/>
      <c r="AC1367" s="455"/>
      <c r="AD1367" s="454"/>
      <c r="AE1367" s="455"/>
      <c r="AF1367" s="454"/>
      <c r="AG1367" s="455"/>
    </row>
    <row r="1368" spans="1:33" x14ac:dyDescent="0.2">
      <c r="A1368" s="415">
        <f t="shared" si="43"/>
        <v>1558</v>
      </c>
      <c r="B1368" s="416" t="str">
        <f t="shared" si="42"/>
        <v>Winter</v>
      </c>
      <c r="C1368" s="453"/>
      <c r="D1368" s="454"/>
      <c r="E1368" s="455"/>
      <c r="F1368" s="454"/>
      <c r="G1368" s="455"/>
      <c r="H1368" s="454"/>
      <c r="I1368" s="455"/>
      <c r="J1368" s="454"/>
      <c r="K1368" s="455"/>
      <c r="L1368" s="454"/>
      <c r="M1368" s="455"/>
      <c r="N1368" s="454"/>
      <c r="O1368" s="455"/>
      <c r="P1368" s="454"/>
      <c r="Q1368" s="455"/>
      <c r="R1368" s="454"/>
      <c r="S1368" s="455"/>
      <c r="T1368" s="454"/>
      <c r="U1368" s="455"/>
      <c r="V1368" s="454"/>
      <c r="W1368" s="455"/>
      <c r="X1368" s="454"/>
      <c r="Y1368" s="455"/>
      <c r="Z1368" s="454"/>
      <c r="AA1368" s="455"/>
      <c r="AB1368" s="454"/>
      <c r="AC1368" s="455"/>
      <c r="AD1368" s="454"/>
      <c r="AE1368" s="455"/>
      <c r="AF1368" s="454"/>
      <c r="AG1368" s="455"/>
    </row>
    <row r="1369" spans="1:33" x14ac:dyDescent="0.2">
      <c r="A1369" s="415">
        <f t="shared" si="43"/>
        <v>1558</v>
      </c>
      <c r="B1369" s="416" t="str">
        <f t="shared" si="42"/>
        <v>Spring</v>
      </c>
      <c r="C1369" s="453"/>
      <c r="D1369" s="454"/>
      <c r="E1369" s="455"/>
      <c r="F1369" s="454"/>
      <c r="G1369" s="455"/>
      <c r="H1369" s="454"/>
      <c r="I1369" s="455"/>
      <c r="J1369" s="454"/>
      <c r="K1369" s="455"/>
      <c r="L1369" s="454"/>
      <c r="M1369" s="455"/>
      <c r="N1369" s="454"/>
      <c r="O1369" s="455"/>
      <c r="P1369" s="454"/>
      <c r="Q1369" s="455"/>
      <c r="R1369" s="454"/>
      <c r="S1369" s="455"/>
      <c r="T1369" s="454"/>
      <c r="U1369" s="455"/>
      <c r="V1369" s="454"/>
      <c r="W1369" s="455"/>
      <c r="X1369" s="454"/>
      <c r="Y1369" s="455"/>
      <c r="Z1369" s="454"/>
      <c r="AA1369" s="455"/>
      <c r="AB1369" s="454"/>
      <c r="AC1369" s="455"/>
      <c r="AD1369" s="454"/>
      <c r="AE1369" s="455"/>
      <c r="AF1369" s="454"/>
      <c r="AG1369" s="455"/>
    </row>
    <row r="1370" spans="1:33" x14ac:dyDescent="0.2">
      <c r="A1370" s="415">
        <f t="shared" si="43"/>
        <v>1558</v>
      </c>
      <c r="B1370" s="416" t="str">
        <f t="shared" si="42"/>
        <v>Summer</v>
      </c>
      <c r="C1370" s="453"/>
      <c r="D1370" s="454"/>
      <c r="E1370" s="455"/>
      <c r="F1370" s="454"/>
      <c r="G1370" s="455"/>
      <c r="H1370" s="454"/>
      <c r="I1370" s="455"/>
      <c r="J1370" s="454"/>
      <c r="K1370" s="455"/>
      <c r="L1370" s="454"/>
      <c r="M1370" s="455"/>
      <c r="N1370" s="454"/>
      <c r="O1370" s="455"/>
      <c r="P1370" s="454"/>
      <c r="Q1370" s="455"/>
      <c r="R1370" s="454"/>
      <c r="S1370" s="455"/>
      <c r="T1370" s="454"/>
      <c r="U1370" s="455"/>
      <c r="V1370" s="454"/>
      <c r="W1370" s="455"/>
      <c r="X1370" s="454"/>
      <c r="Y1370" s="455"/>
      <c r="Z1370" s="454"/>
      <c r="AA1370" s="455"/>
      <c r="AB1370" s="454"/>
      <c r="AC1370" s="455"/>
      <c r="AD1370" s="454"/>
      <c r="AE1370" s="455"/>
      <c r="AF1370" s="454"/>
      <c r="AG1370" s="455"/>
    </row>
    <row r="1371" spans="1:33" x14ac:dyDescent="0.2">
      <c r="A1371" s="415">
        <f t="shared" si="43"/>
        <v>1558</v>
      </c>
      <c r="B1371" s="416" t="str">
        <f t="shared" si="42"/>
        <v>Autumn</v>
      </c>
      <c r="C1371" s="453"/>
      <c r="D1371" s="454"/>
      <c r="E1371" s="455"/>
      <c r="F1371" s="454"/>
      <c r="G1371" s="455"/>
      <c r="H1371" s="454"/>
      <c r="I1371" s="455"/>
      <c r="J1371" s="454"/>
      <c r="K1371" s="455"/>
      <c r="L1371" s="454"/>
      <c r="M1371" s="455"/>
      <c r="N1371" s="454"/>
      <c r="O1371" s="455"/>
      <c r="P1371" s="454"/>
      <c r="Q1371" s="455"/>
      <c r="R1371" s="454"/>
      <c r="S1371" s="455"/>
      <c r="T1371" s="454"/>
      <c r="U1371" s="455"/>
      <c r="V1371" s="454"/>
      <c r="W1371" s="455"/>
      <c r="X1371" s="454"/>
      <c r="Y1371" s="455"/>
      <c r="Z1371" s="454"/>
      <c r="AA1371" s="455"/>
      <c r="AB1371" s="454"/>
      <c r="AC1371" s="455"/>
      <c r="AD1371" s="454"/>
      <c r="AE1371" s="455"/>
      <c r="AF1371" s="454"/>
      <c r="AG1371" s="455"/>
    </row>
    <row r="1372" spans="1:33" x14ac:dyDescent="0.2">
      <c r="A1372" s="415">
        <f t="shared" si="43"/>
        <v>1559</v>
      </c>
      <c r="B1372" s="416" t="str">
        <f t="shared" si="42"/>
        <v>Winter</v>
      </c>
      <c r="C1372" s="453"/>
      <c r="D1372" s="454"/>
      <c r="E1372" s="455"/>
      <c r="F1372" s="454"/>
      <c r="G1372" s="455"/>
      <c r="H1372" s="454"/>
      <c r="I1372" s="455"/>
      <c r="J1372" s="454"/>
      <c r="K1372" s="455"/>
      <c r="L1372" s="454"/>
      <c r="M1372" s="455"/>
      <c r="N1372" s="454"/>
      <c r="O1372" s="455"/>
      <c r="P1372" s="454"/>
      <c r="Q1372" s="455"/>
      <c r="R1372" s="454"/>
      <c r="S1372" s="455"/>
      <c r="T1372" s="454"/>
      <c r="U1372" s="455"/>
      <c r="V1372" s="454"/>
      <c r="W1372" s="455"/>
      <c r="X1372" s="454"/>
      <c r="Y1372" s="455"/>
      <c r="Z1372" s="454"/>
      <c r="AA1372" s="455"/>
      <c r="AB1372" s="454"/>
      <c r="AC1372" s="455"/>
      <c r="AD1372" s="454"/>
      <c r="AE1372" s="455"/>
      <c r="AF1372" s="454"/>
      <c r="AG1372" s="455"/>
    </row>
    <row r="1373" spans="1:33" x14ac:dyDescent="0.2">
      <c r="A1373" s="415">
        <f t="shared" si="43"/>
        <v>1559</v>
      </c>
      <c r="B1373" s="416" t="str">
        <f t="shared" si="42"/>
        <v>Spring</v>
      </c>
      <c r="C1373" s="453"/>
      <c r="D1373" s="454"/>
      <c r="E1373" s="455"/>
      <c r="F1373" s="454"/>
      <c r="G1373" s="455"/>
      <c r="H1373" s="454"/>
      <c r="I1373" s="455"/>
      <c r="J1373" s="454"/>
      <c r="K1373" s="455"/>
      <c r="L1373" s="454"/>
      <c r="M1373" s="455"/>
      <c r="N1373" s="454"/>
      <c r="O1373" s="455"/>
      <c r="P1373" s="454"/>
      <c r="Q1373" s="455"/>
      <c r="R1373" s="454"/>
      <c r="S1373" s="455"/>
      <c r="T1373" s="454"/>
      <c r="U1373" s="455"/>
      <c r="V1373" s="454"/>
      <c r="W1373" s="455"/>
      <c r="X1373" s="454"/>
      <c r="Y1373" s="455"/>
      <c r="Z1373" s="454"/>
      <c r="AA1373" s="455"/>
      <c r="AB1373" s="454"/>
      <c r="AC1373" s="455"/>
      <c r="AD1373" s="454"/>
      <c r="AE1373" s="455"/>
      <c r="AF1373" s="454"/>
      <c r="AG1373" s="455"/>
    </row>
    <row r="1374" spans="1:33" x14ac:dyDescent="0.2">
      <c r="A1374" s="415">
        <f t="shared" si="43"/>
        <v>1559</v>
      </c>
      <c r="B1374" s="416" t="str">
        <f t="shared" si="42"/>
        <v>Summer</v>
      </c>
      <c r="C1374" s="453"/>
      <c r="D1374" s="454"/>
      <c r="E1374" s="455"/>
      <c r="F1374" s="454"/>
      <c r="G1374" s="455"/>
      <c r="H1374" s="454"/>
      <c r="I1374" s="455"/>
      <c r="J1374" s="454"/>
      <c r="K1374" s="455"/>
      <c r="L1374" s="454"/>
      <c r="M1374" s="455"/>
      <c r="N1374" s="454"/>
      <c r="O1374" s="455"/>
      <c r="P1374" s="454"/>
      <c r="Q1374" s="455"/>
      <c r="R1374" s="454"/>
      <c r="S1374" s="455"/>
      <c r="T1374" s="454"/>
      <c r="U1374" s="455"/>
      <c r="V1374" s="454"/>
      <c r="W1374" s="455"/>
      <c r="X1374" s="454"/>
      <c r="Y1374" s="455"/>
      <c r="Z1374" s="454"/>
      <c r="AA1374" s="455"/>
      <c r="AB1374" s="454"/>
      <c r="AC1374" s="455"/>
      <c r="AD1374" s="454"/>
      <c r="AE1374" s="455"/>
      <c r="AF1374" s="454"/>
      <c r="AG1374" s="455"/>
    </row>
    <row r="1375" spans="1:33" x14ac:dyDescent="0.2">
      <c r="A1375" s="415">
        <f t="shared" si="43"/>
        <v>1559</v>
      </c>
      <c r="B1375" s="416" t="str">
        <f t="shared" si="42"/>
        <v>Autumn</v>
      </c>
      <c r="C1375" s="453"/>
      <c r="D1375" s="454"/>
      <c r="E1375" s="455"/>
      <c r="F1375" s="454"/>
      <c r="G1375" s="455"/>
      <c r="H1375" s="454"/>
      <c r="I1375" s="455"/>
      <c r="J1375" s="454"/>
      <c r="K1375" s="455"/>
      <c r="L1375" s="454"/>
      <c r="M1375" s="455"/>
      <c r="N1375" s="454"/>
      <c r="O1375" s="455"/>
      <c r="P1375" s="454"/>
      <c r="Q1375" s="455"/>
      <c r="R1375" s="454"/>
      <c r="S1375" s="455"/>
      <c r="T1375" s="454"/>
      <c r="U1375" s="455"/>
      <c r="V1375" s="454"/>
      <c r="W1375" s="455"/>
      <c r="X1375" s="454"/>
      <c r="Y1375" s="455"/>
      <c r="Z1375" s="454"/>
      <c r="AA1375" s="455"/>
      <c r="AB1375" s="454"/>
      <c r="AC1375" s="455"/>
      <c r="AD1375" s="454"/>
      <c r="AE1375" s="455"/>
      <c r="AF1375" s="454"/>
      <c r="AG1375" s="455"/>
    </row>
    <row r="1376" spans="1:33" x14ac:dyDescent="0.2">
      <c r="A1376" s="415">
        <f t="shared" si="43"/>
        <v>1560</v>
      </c>
      <c r="B1376" s="416" t="str">
        <f t="shared" si="42"/>
        <v>Winter</v>
      </c>
      <c r="C1376" s="453"/>
      <c r="D1376" s="454"/>
      <c r="E1376" s="455"/>
      <c r="F1376" s="454"/>
      <c r="G1376" s="455"/>
      <c r="H1376" s="454"/>
      <c r="I1376" s="455"/>
      <c r="J1376" s="454"/>
      <c r="K1376" s="455"/>
      <c r="L1376" s="454"/>
      <c r="M1376" s="455"/>
      <c r="N1376" s="454"/>
      <c r="O1376" s="455"/>
      <c r="P1376" s="454"/>
      <c r="Q1376" s="455"/>
      <c r="R1376" s="454"/>
      <c r="S1376" s="455"/>
      <c r="T1376" s="454"/>
      <c r="U1376" s="455"/>
      <c r="V1376" s="454"/>
      <c r="W1376" s="455"/>
      <c r="X1376" s="454"/>
      <c r="Y1376" s="455"/>
      <c r="Z1376" s="454"/>
      <c r="AA1376" s="455"/>
      <c r="AB1376" s="454"/>
      <c r="AC1376" s="455"/>
      <c r="AD1376" s="454"/>
      <c r="AE1376" s="455"/>
      <c r="AF1376" s="454"/>
      <c r="AG1376" s="455"/>
    </row>
    <row r="1377" spans="1:33" x14ac:dyDescent="0.2">
      <c r="A1377" s="415">
        <f t="shared" si="43"/>
        <v>1560</v>
      </c>
      <c r="B1377" s="416" t="str">
        <f t="shared" si="42"/>
        <v>Spring</v>
      </c>
      <c r="C1377" s="453"/>
      <c r="D1377" s="454"/>
      <c r="E1377" s="455"/>
      <c r="F1377" s="454"/>
      <c r="G1377" s="455"/>
      <c r="H1377" s="454"/>
      <c r="I1377" s="455"/>
      <c r="J1377" s="454"/>
      <c r="K1377" s="455"/>
      <c r="L1377" s="454"/>
      <c r="M1377" s="455"/>
      <c r="N1377" s="454"/>
      <c r="O1377" s="455"/>
      <c r="P1377" s="454"/>
      <c r="Q1377" s="455"/>
      <c r="R1377" s="454"/>
      <c r="S1377" s="455"/>
      <c r="T1377" s="454"/>
      <c r="U1377" s="455"/>
      <c r="V1377" s="454"/>
      <c r="W1377" s="455"/>
      <c r="X1377" s="454"/>
      <c r="Y1377" s="455"/>
      <c r="Z1377" s="454"/>
      <c r="AA1377" s="455"/>
      <c r="AB1377" s="454"/>
      <c r="AC1377" s="455"/>
      <c r="AD1377" s="454"/>
      <c r="AE1377" s="455"/>
      <c r="AF1377" s="454"/>
      <c r="AG1377" s="455"/>
    </row>
    <row r="1378" spans="1:33" x14ac:dyDescent="0.2">
      <c r="A1378" s="415">
        <f t="shared" si="43"/>
        <v>1560</v>
      </c>
      <c r="B1378" s="416" t="str">
        <f t="shared" si="42"/>
        <v>Summer</v>
      </c>
      <c r="C1378" s="453"/>
      <c r="D1378" s="454"/>
      <c r="E1378" s="455"/>
      <c r="F1378" s="454"/>
      <c r="G1378" s="455"/>
      <c r="H1378" s="454"/>
      <c r="I1378" s="455"/>
      <c r="J1378" s="454"/>
      <c r="K1378" s="455"/>
      <c r="L1378" s="454"/>
      <c r="M1378" s="455"/>
      <c r="N1378" s="454"/>
      <c r="O1378" s="455"/>
      <c r="P1378" s="454"/>
      <c r="Q1378" s="455"/>
      <c r="R1378" s="454"/>
      <c r="S1378" s="455"/>
      <c r="T1378" s="454"/>
      <c r="U1378" s="455"/>
      <c r="V1378" s="454"/>
      <c r="W1378" s="455"/>
      <c r="X1378" s="454"/>
      <c r="Y1378" s="455"/>
      <c r="Z1378" s="454"/>
      <c r="AA1378" s="455"/>
      <c r="AB1378" s="454"/>
      <c r="AC1378" s="455"/>
      <c r="AD1378" s="454"/>
      <c r="AE1378" s="455"/>
      <c r="AF1378" s="454"/>
      <c r="AG1378" s="455"/>
    </row>
    <row r="1379" spans="1:33" x14ac:dyDescent="0.2">
      <c r="A1379" s="415">
        <f t="shared" si="43"/>
        <v>1560</v>
      </c>
      <c r="B1379" s="416" t="str">
        <f t="shared" si="42"/>
        <v>Autumn</v>
      </c>
      <c r="C1379" s="453"/>
      <c r="D1379" s="454"/>
      <c r="E1379" s="455"/>
      <c r="F1379" s="454"/>
      <c r="G1379" s="455"/>
      <c r="H1379" s="454"/>
      <c r="I1379" s="455"/>
      <c r="J1379" s="454"/>
      <c r="K1379" s="455"/>
      <c r="L1379" s="454"/>
      <c r="M1379" s="455"/>
      <c r="N1379" s="454"/>
      <c r="O1379" s="455"/>
      <c r="P1379" s="454"/>
      <c r="Q1379" s="455"/>
      <c r="R1379" s="454"/>
      <c r="S1379" s="455"/>
      <c r="T1379" s="454"/>
      <c r="U1379" s="455"/>
      <c r="V1379" s="454"/>
      <c r="W1379" s="455"/>
      <c r="X1379" s="454"/>
      <c r="Y1379" s="455"/>
      <c r="Z1379" s="454"/>
      <c r="AA1379" s="455"/>
      <c r="AB1379" s="454"/>
      <c r="AC1379" s="455"/>
      <c r="AD1379" s="454"/>
      <c r="AE1379" s="455"/>
      <c r="AF1379" s="454"/>
      <c r="AG1379" s="455"/>
    </row>
    <row r="1380" spans="1:33" x14ac:dyDescent="0.2">
      <c r="A1380" s="415">
        <f t="shared" si="43"/>
        <v>1561</v>
      </c>
      <c r="B1380" s="416" t="str">
        <f t="shared" si="42"/>
        <v>Winter</v>
      </c>
      <c r="C1380" s="453"/>
      <c r="D1380" s="454"/>
      <c r="E1380" s="455"/>
      <c r="F1380" s="454"/>
      <c r="G1380" s="455"/>
      <c r="H1380" s="454"/>
      <c r="I1380" s="455"/>
      <c r="J1380" s="454"/>
      <c r="K1380" s="455"/>
      <c r="L1380" s="454"/>
      <c r="M1380" s="455"/>
      <c r="N1380" s="454"/>
      <c r="O1380" s="455"/>
      <c r="P1380" s="454"/>
      <c r="Q1380" s="455"/>
      <c r="R1380" s="454"/>
      <c r="S1380" s="455"/>
      <c r="T1380" s="454"/>
      <c r="U1380" s="455"/>
      <c r="V1380" s="454"/>
      <c r="W1380" s="455"/>
      <c r="X1380" s="454"/>
      <c r="Y1380" s="455"/>
      <c r="Z1380" s="454"/>
      <c r="AA1380" s="455"/>
      <c r="AB1380" s="454"/>
      <c r="AC1380" s="455"/>
      <c r="AD1380" s="454"/>
      <c r="AE1380" s="455"/>
      <c r="AF1380" s="454"/>
      <c r="AG1380" s="455"/>
    </row>
    <row r="1381" spans="1:33" x14ac:dyDescent="0.2">
      <c r="A1381" s="415">
        <f t="shared" si="43"/>
        <v>1561</v>
      </c>
      <c r="B1381" s="416" t="str">
        <f t="shared" si="42"/>
        <v>Spring</v>
      </c>
      <c r="C1381" s="453"/>
      <c r="D1381" s="454"/>
      <c r="E1381" s="455"/>
      <c r="F1381" s="454"/>
      <c r="G1381" s="455"/>
      <c r="H1381" s="454"/>
      <c r="I1381" s="455"/>
      <c r="J1381" s="454"/>
      <c r="K1381" s="455"/>
      <c r="L1381" s="454"/>
      <c r="M1381" s="455"/>
      <c r="N1381" s="454"/>
      <c r="O1381" s="455"/>
      <c r="P1381" s="454"/>
      <c r="Q1381" s="455"/>
      <c r="R1381" s="454"/>
      <c r="S1381" s="455"/>
      <c r="T1381" s="454"/>
      <c r="U1381" s="455"/>
      <c r="V1381" s="454"/>
      <c r="W1381" s="455"/>
      <c r="X1381" s="454"/>
      <c r="Y1381" s="455"/>
      <c r="Z1381" s="454"/>
      <c r="AA1381" s="455"/>
      <c r="AB1381" s="454"/>
      <c r="AC1381" s="455"/>
      <c r="AD1381" s="454"/>
      <c r="AE1381" s="455"/>
      <c r="AF1381" s="454"/>
      <c r="AG1381" s="455"/>
    </row>
    <row r="1382" spans="1:33" x14ac:dyDescent="0.2">
      <c r="A1382" s="415">
        <f t="shared" si="43"/>
        <v>1561</v>
      </c>
      <c r="B1382" s="416" t="str">
        <f t="shared" si="42"/>
        <v>Summer</v>
      </c>
      <c r="C1382" s="453"/>
      <c r="D1382" s="454"/>
      <c r="E1382" s="455"/>
      <c r="F1382" s="454"/>
      <c r="G1382" s="455"/>
      <c r="H1382" s="454"/>
      <c r="I1382" s="455"/>
      <c r="J1382" s="454"/>
      <c r="K1382" s="455"/>
      <c r="L1382" s="454"/>
      <c r="M1382" s="455"/>
      <c r="N1382" s="454"/>
      <c r="O1382" s="455"/>
      <c r="P1382" s="454"/>
      <c r="Q1382" s="455"/>
      <c r="R1382" s="454"/>
      <c r="S1382" s="455"/>
      <c r="T1382" s="454"/>
      <c r="U1382" s="455"/>
      <c r="V1382" s="454"/>
      <c r="W1382" s="455"/>
      <c r="X1382" s="454"/>
      <c r="Y1382" s="455"/>
      <c r="Z1382" s="454"/>
      <c r="AA1382" s="455"/>
      <c r="AB1382" s="454"/>
      <c r="AC1382" s="455"/>
      <c r="AD1382" s="454"/>
      <c r="AE1382" s="455"/>
      <c r="AF1382" s="454"/>
      <c r="AG1382" s="455"/>
    </row>
    <row r="1383" spans="1:33" x14ac:dyDescent="0.2">
      <c r="A1383" s="415">
        <f t="shared" si="43"/>
        <v>1561</v>
      </c>
      <c r="B1383" s="416" t="str">
        <f t="shared" si="42"/>
        <v>Autumn</v>
      </c>
      <c r="C1383" s="453"/>
      <c r="D1383" s="454"/>
      <c r="E1383" s="455"/>
      <c r="F1383" s="454"/>
      <c r="G1383" s="455"/>
      <c r="H1383" s="454"/>
      <c r="I1383" s="455"/>
      <c r="J1383" s="454"/>
      <c r="K1383" s="455"/>
      <c r="L1383" s="454"/>
      <c r="M1383" s="455"/>
      <c r="N1383" s="454"/>
      <c r="O1383" s="455"/>
      <c r="P1383" s="454"/>
      <c r="Q1383" s="455"/>
      <c r="R1383" s="454"/>
      <c r="S1383" s="455"/>
      <c r="T1383" s="454"/>
      <c r="U1383" s="455"/>
      <c r="V1383" s="454"/>
      <c r="W1383" s="455"/>
      <c r="X1383" s="454"/>
      <c r="Y1383" s="455"/>
      <c r="Z1383" s="454"/>
      <c r="AA1383" s="455"/>
      <c r="AB1383" s="454"/>
      <c r="AC1383" s="455"/>
      <c r="AD1383" s="454"/>
      <c r="AE1383" s="455"/>
      <c r="AF1383" s="454"/>
      <c r="AG1383" s="455"/>
    </row>
    <row r="1384" spans="1:33" x14ac:dyDescent="0.2">
      <c r="A1384" s="415">
        <f t="shared" si="43"/>
        <v>1562</v>
      </c>
      <c r="B1384" s="416" t="str">
        <f t="shared" si="42"/>
        <v>Winter</v>
      </c>
      <c r="C1384" s="453"/>
      <c r="D1384" s="454"/>
      <c r="E1384" s="455"/>
      <c r="F1384" s="454"/>
      <c r="G1384" s="455"/>
      <c r="H1384" s="454"/>
      <c r="I1384" s="455"/>
      <c r="J1384" s="454"/>
      <c r="K1384" s="455"/>
      <c r="L1384" s="454"/>
      <c r="M1384" s="455"/>
      <c r="N1384" s="454"/>
      <c r="O1384" s="455"/>
      <c r="P1384" s="454"/>
      <c r="Q1384" s="455"/>
      <c r="R1384" s="454"/>
      <c r="S1384" s="455"/>
      <c r="T1384" s="454"/>
      <c r="U1384" s="455"/>
      <c r="V1384" s="454"/>
      <c r="W1384" s="455"/>
      <c r="X1384" s="454"/>
      <c r="Y1384" s="455"/>
      <c r="Z1384" s="454"/>
      <c r="AA1384" s="455"/>
      <c r="AB1384" s="454"/>
      <c r="AC1384" s="455"/>
      <c r="AD1384" s="454"/>
      <c r="AE1384" s="455"/>
      <c r="AF1384" s="454"/>
      <c r="AG1384" s="455"/>
    </row>
    <row r="1385" spans="1:33" x14ac:dyDescent="0.2">
      <c r="A1385" s="415">
        <f t="shared" si="43"/>
        <v>1562</v>
      </c>
      <c r="B1385" s="416" t="str">
        <f t="shared" si="42"/>
        <v>Spring</v>
      </c>
      <c r="C1385" s="453"/>
      <c r="D1385" s="454"/>
      <c r="E1385" s="455"/>
      <c r="F1385" s="454"/>
      <c r="G1385" s="455"/>
      <c r="H1385" s="454"/>
      <c r="I1385" s="455"/>
      <c r="J1385" s="454"/>
      <c r="K1385" s="455"/>
      <c r="L1385" s="454"/>
      <c r="M1385" s="455"/>
      <c r="N1385" s="454"/>
      <c r="O1385" s="455"/>
      <c r="P1385" s="454"/>
      <c r="Q1385" s="455"/>
      <c r="R1385" s="454"/>
      <c r="S1385" s="455"/>
      <c r="T1385" s="454"/>
      <c r="U1385" s="455"/>
      <c r="V1385" s="454"/>
      <c r="W1385" s="455"/>
      <c r="X1385" s="454"/>
      <c r="Y1385" s="455"/>
      <c r="Z1385" s="454"/>
      <c r="AA1385" s="455"/>
      <c r="AB1385" s="454"/>
      <c r="AC1385" s="455"/>
      <c r="AD1385" s="454"/>
      <c r="AE1385" s="455"/>
      <c r="AF1385" s="454"/>
      <c r="AG1385" s="455"/>
    </row>
    <row r="1386" spans="1:33" x14ac:dyDescent="0.2">
      <c r="A1386" s="415">
        <f t="shared" si="43"/>
        <v>1562</v>
      </c>
      <c r="B1386" s="416" t="str">
        <f t="shared" si="42"/>
        <v>Summer</v>
      </c>
      <c r="C1386" s="453"/>
      <c r="D1386" s="454"/>
      <c r="E1386" s="455"/>
      <c r="F1386" s="454"/>
      <c r="G1386" s="455"/>
      <c r="H1386" s="454"/>
      <c r="I1386" s="455"/>
      <c r="J1386" s="454"/>
      <c r="K1386" s="455"/>
      <c r="L1386" s="454"/>
      <c r="M1386" s="455"/>
      <c r="N1386" s="454"/>
      <c r="O1386" s="455"/>
      <c r="P1386" s="454"/>
      <c r="Q1386" s="455"/>
      <c r="R1386" s="454"/>
      <c r="S1386" s="455"/>
      <c r="T1386" s="454"/>
      <c r="U1386" s="455"/>
      <c r="V1386" s="454"/>
      <c r="W1386" s="455"/>
      <c r="X1386" s="454"/>
      <c r="Y1386" s="455"/>
      <c r="Z1386" s="454"/>
      <c r="AA1386" s="455"/>
      <c r="AB1386" s="454"/>
      <c r="AC1386" s="455"/>
      <c r="AD1386" s="454"/>
      <c r="AE1386" s="455"/>
      <c r="AF1386" s="454"/>
      <c r="AG1386" s="455"/>
    </row>
    <row r="1387" spans="1:33" x14ac:dyDescent="0.2">
      <c r="A1387" s="415">
        <f t="shared" si="43"/>
        <v>1562</v>
      </c>
      <c r="B1387" s="416" t="str">
        <f t="shared" ref="B1387:B1450" si="44">IF(B1386="spring","Summer",IF(B1386="Summer","Autumn",IF(B1386="Autumn","Winter",IF(B1386="Winter","Spring"," "))))</f>
        <v>Autumn</v>
      </c>
      <c r="C1387" s="453"/>
      <c r="D1387" s="454"/>
      <c r="E1387" s="455"/>
      <c r="F1387" s="454"/>
      <c r="G1387" s="455"/>
      <c r="H1387" s="454"/>
      <c r="I1387" s="455"/>
      <c r="J1387" s="454"/>
      <c r="K1387" s="455"/>
      <c r="L1387" s="454"/>
      <c r="M1387" s="455"/>
      <c r="N1387" s="454"/>
      <c r="O1387" s="455"/>
      <c r="P1387" s="454"/>
      <c r="Q1387" s="455"/>
      <c r="R1387" s="454"/>
      <c r="S1387" s="455"/>
      <c r="T1387" s="454"/>
      <c r="U1387" s="455"/>
      <c r="V1387" s="454"/>
      <c r="W1387" s="455"/>
      <c r="X1387" s="454"/>
      <c r="Y1387" s="455"/>
      <c r="Z1387" s="454"/>
      <c r="AA1387" s="455"/>
      <c r="AB1387" s="454"/>
      <c r="AC1387" s="455"/>
      <c r="AD1387" s="454"/>
      <c r="AE1387" s="455"/>
      <c r="AF1387" s="454"/>
      <c r="AG1387" s="455"/>
    </row>
    <row r="1388" spans="1:33" x14ac:dyDescent="0.2">
      <c r="A1388" s="415">
        <f t="shared" si="43"/>
        <v>1563</v>
      </c>
      <c r="B1388" s="416" t="str">
        <f t="shared" si="44"/>
        <v>Winter</v>
      </c>
      <c r="C1388" s="453"/>
      <c r="D1388" s="454"/>
      <c r="E1388" s="455"/>
      <c r="F1388" s="454"/>
      <c r="G1388" s="455"/>
      <c r="H1388" s="454"/>
      <c r="I1388" s="455"/>
      <c r="J1388" s="454"/>
      <c r="K1388" s="455"/>
      <c r="L1388" s="454"/>
      <c r="M1388" s="455"/>
      <c r="N1388" s="454"/>
      <c r="O1388" s="455"/>
      <c r="P1388" s="454"/>
      <c r="Q1388" s="455"/>
      <c r="R1388" s="454"/>
      <c r="S1388" s="455"/>
      <c r="T1388" s="454"/>
      <c r="U1388" s="455"/>
      <c r="V1388" s="454"/>
      <c r="W1388" s="455"/>
      <c r="X1388" s="454"/>
      <c r="Y1388" s="455"/>
      <c r="Z1388" s="454"/>
      <c r="AA1388" s="455"/>
      <c r="AB1388" s="454"/>
      <c r="AC1388" s="455"/>
      <c r="AD1388" s="454"/>
      <c r="AE1388" s="455"/>
      <c r="AF1388" s="454"/>
      <c r="AG1388" s="455"/>
    </row>
    <row r="1389" spans="1:33" x14ac:dyDescent="0.2">
      <c r="A1389" s="415">
        <f t="shared" si="43"/>
        <v>1563</v>
      </c>
      <c r="B1389" s="416" t="str">
        <f t="shared" si="44"/>
        <v>Spring</v>
      </c>
      <c r="C1389" s="453"/>
      <c r="D1389" s="454"/>
      <c r="E1389" s="455"/>
      <c r="F1389" s="454"/>
      <c r="G1389" s="455"/>
      <c r="H1389" s="454"/>
      <c r="I1389" s="455"/>
      <c r="J1389" s="454"/>
      <c r="K1389" s="455"/>
      <c r="L1389" s="454"/>
      <c r="M1389" s="455"/>
      <c r="N1389" s="454"/>
      <c r="O1389" s="455"/>
      <c r="P1389" s="454"/>
      <c r="Q1389" s="455"/>
      <c r="R1389" s="454"/>
      <c r="S1389" s="455"/>
      <c r="T1389" s="454"/>
      <c r="U1389" s="455"/>
      <c r="V1389" s="454"/>
      <c r="W1389" s="455"/>
      <c r="X1389" s="454"/>
      <c r="Y1389" s="455"/>
      <c r="Z1389" s="454"/>
      <c r="AA1389" s="455"/>
      <c r="AB1389" s="454"/>
      <c r="AC1389" s="455"/>
      <c r="AD1389" s="454"/>
      <c r="AE1389" s="455"/>
      <c r="AF1389" s="454"/>
      <c r="AG1389" s="455"/>
    </row>
    <row r="1390" spans="1:33" x14ac:dyDescent="0.2">
      <c r="A1390" s="415">
        <f t="shared" si="43"/>
        <v>1563</v>
      </c>
      <c r="B1390" s="416" t="str">
        <f t="shared" si="44"/>
        <v>Summer</v>
      </c>
      <c r="C1390" s="453"/>
      <c r="D1390" s="454"/>
      <c r="E1390" s="455"/>
      <c r="F1390" s="454"/>
      <c r="G1390" s="455"/>
      <c r="H1390" s="454"/>
      <c r="I1390" s="455"/>
      <c r="J1390" s="454"/>
      <c r="K1390" s="455"/>
      <c r="L1390" s="454"/>
      <c r="M1390" s="455"/>
      <c r="N1390" s="454"/>
      <c r="O1390" s="455"/>
      <c r="P1390" s="454"/>
      <c r="Q1390" s="455"/>
      <c r="R1390" s="454"/>
      <c r="S1390" s="455"/>
      <c r="T1390" s="454"/>
      <c r="U1390" s="455"/>
      <c r="V1390" s="454"/>
      <c r="W1390" s="455"/>
      <c r="X1390" s="454"/>
      <c r="Y1390" s="455"/>
      <c r="Z1390" s="454"/>
      <c r="AA1390" s="455"/>
      <c r="AB1390" s="454"/>
      <c r="AC1390" s="455"/>
      <c r="AD1390" s="454"/>
      <c r="AE1390" s="455"/>
      <c r="AF1390" s="454"/>
      <c r="AG1390" s="455"/>
    </row>
    <row r="1391" spans="1:33" x14ac:dyDescent="0.2">
      <c r="A1391" s="415">
        <f t="shared" si="43"/>
        <v>1563</v>
      </c>
      <c r="B1391" s="416" t="str">
        <f t="shared" si="44"/>
        <v>Autumn</v>
      </c>
      <c r="C1391" s="453"/>
      <c r="D1391" s="454"/>
      <c r="E1391" s="455"/>
      <c r="F1391" s="454"/>
      <c r="G1391" s="455"/>
      <c r="H1391" s="454"/>
      <c r="I1391" s="455"/>
      <c r="J1391" s="454"/>
      <c r="K1391" s="455"/>
      <c r="L1391" s="454"/>
      <c r="M1391" s="455"/>
      <c r="N1391" s="454"/>
      <c r="O1391" s="455"/>
      <c r="P1391" s="454"/>
      <c r="Q1391" s="455"/>
      <c r="R1391" s="454"/>
      <c r="S1391" s="455"/>
      <c r="T1391" s="454"/>
      <c r="U1391" s="455"/>
      <c r="V1391" s="454"/>
      <c r="W1391" s="455"/>
      <c r="X1391" s="454"/>
      <c r="Y1391" s="455"/>
      <c r="Z1391" s="454"/>
      <c r="AA1391" s="455"/>
      <c r="AB1391" s="454"/>
      <c r="AC1391" s="455"/>
      <c r="AD1391" s="454"/>
      <c r="AE1391" s="455"/>
      <c r="AF1391" s="454"/>
      <c r="AG1391" s="455"/>
    </row>
    <row r="1392" spans="1:33" x14ac:dyDescent="0.2">
      <c r="A1392" s="415">
        <f t="shared" si="43"/>
        <v>1564</v>
      </c>
      <c r="B1392" s="416" t="str">
        <f t="shared" si="44"/>
        <v>Winter</v>
      </c>
      <c r="C1392" s="453"/>
      <c r="D1392" s="454"/>
      <c r="E1392" s="455"/>
      <c r="F1392" s="454"/>
      <c r="G1392" s="455"/>
      <c r="H1392" s="454"/>
      <c r="I1392" s="455"/>
      <c r="J1392" s="454"/>
      <c r="K1392" s="455"/>
      <c r="L1392" s="454"/>
      <c r="M1392" s="455"/>
      <c r="N1392" s="454"/>
      <c r="O1392" s="455"/>
      <c r="P1392" s="454"/>
      <c r="Q1392" s="455"/>
      <c r="R1392" s="454"/>
      <c r="S1392" s="455"/>
      <c r="T1392" s="454"/>
      <c r="U1392" s="455"/>
      <c r="V1392" s="454"/>
      <c r="W1392" s="455"/>
      <c r="X1392" s="454"/>
      <c r="Y1392" s="455"/>
      <c r="Z1392" s="454"/>
      <c r="AA1392" s="455"/>
      <c r="AB1392" s="454"/>
      <c r="AC1392" s="455"/>
      <c r="AD1392" s="454"/>
      <c r="AE1392" s="455"/>
      <c r="AF1392" s="454"/>
      <c r="AG1392" s="455"/>
    </row>
    <row r="1393" spans="1:33" x14ac:dyDescent="0.2">
      <c r="A1393" s="415">
        <f t="shared" si="43"/>
        <v>1564</v>
      </c>
      <c r="B1393" s="416" t="str">
        <f t="shared" si="44"/>
        <v>Spring</v>
      </c>
      <c r="C1393" s="453"/>
      <c r="D1393" s="454"/>
      <c r="E1393" s="455"/>
      <c r="F1393" s="454"/>
      <c r="G1393" s="455"/>
      <c r="H1393" s="454"/>
      <c r="I1393" s="455"/>
      <c r="J1393" s="454"/>
      <c r="K1393" s="455"/>
      <c r="L1393" s="454"/>
      <c r="M1393" s="455"/>
      <c r="N1393" s="454"/>
      <c r="O1393" s="455"/>
      <c r="P1393" s="454"/>
      <c r="Q1393" s="455"/>
      <c r="R1393" s="454"/>
      <c r="S1393" s="455"/>
      <c r="T1393" s="454"/>
      <c r="U1393" s="455"/>
      <c r="V1393" s="454"/>
      <c r="W1393" s="455"/>
      <c r="X1393" s="454"/>
      <c r="Y1393" s="455"/>
      <c r="Z1393" s="454"/>
      <c r="AA1393" s="455"/>
      <c r="AB1393" s="454"/>
      <c r="AC1393" s="455"/>
      <c r="AD1393" s="454"/>
      <c r="AE1393" s="455"/>
      <c r="AF1393" s="454"/>
      <c r="AG1393" s="455"/>
    </row>
    <row r="1394" spans="1:33" x14ac:dyDescent="0.2">
      <c r="A1394" s="415">
        <f t="shared" si="43"/>
        <v>1564</v>
      </c>
      <c r="B1394" s="416" t="str">
        <f t="shared" si="44"/>
        <v>Summer</v>
      </c>
      <c r="C1394" s="453"/>
      <c r="D1394" s="454"/>
      <c r="E1394" s="455"/>
      <c r="F1394" s="454"/>
      <c r="G1394" s="455"/>
      <c r="H1394" s="454"/>
      <c r="I1394" s="455"/>
      <c r="J1394" s="454"/>
      <c r="K1394" s="455"/>
      <c r="L1394" s="454"/>
      <c r="M1394" s="455"/>
      <c r="N1394" s="454"/>
      <c r="O1394" s="455"/>
      <c r="P1394" s="454"/>
      <c r="Q1394" s="455"/>
      <c r="R1394" s="454"/>
      <c r="S1394" s="455"/>
      <c r="T1394" s="454"/>
      <c r="U1394" s="455"/>
      <c r="V1394" s="454"/>
      <c r="W1394" s="455"/>
      <c r="X1394" s="454"/>
      <c r="Y1394" s="455"/>
      <c r="Z1394" s="454"/>
      <c r="AA1394" s="455"/>
      <c r="AB1394" s="454"/>
      <c r="AC1394" s="455"/>
      <c r="AD1394" s="454"/>
      <c r="AE1394" s="455"/>
      <c r="AF1394" s="454"/>
      <c r="AG1394" s="455"/>
    </row>
    <row r="1395" spans="1:33" x14ac:dyDescent="0.2">
      <c r="A1395" s="415">
        <f t="shared" si="43"/>
        <v>1564</v>
      </c>
      <c r="B1395" s="416" t="str">
        <f t="shared" si="44"/>
        <v>Autumn</v>
      </c>
      <c r="C1395" s="453"/>
      <c r="D1395" s="454"/>
      <c r="E1395" s="455"/>
      <c r="F1395" s="454"/>
      <c r="G1395" s="455"/>
      <c r="H1395" s="454"/>
      <c r="I1395" s="455"/>
      <c r="J1395" s="454"/>
      <c r="K1395" s="455"/>
      <c r="L1395" s="454"/>
      <c r="M1395" s="455"/>
      <c r="N1395" s="454"/>
      <c r="O1395" s="455"/>
      <c r="P1395" s="454"/>
      <c r="Q1395" s="455"/>
      <c r="R1395" s="454"/>
      <c r="S1395" s="455"/>
      <c r="T1395" s="454"/>
      <c r="U1395" s="455"/>
      <c r="V1395" s="454"/>
      <c r="W1395" s="455"/>
      <c r="X1395" s="454"/>
      <c r="Y1395" s="455"/>
      <c r="Z1395" s="454"/>
      <c r="AA1395" s="455"/>
      <c r="AB1395" s="454"/>
      <c r="AC1395" s="455"/>
      <c r="AD1395" s="454"/>
      <c r="AE1395" s="455"/>
      <c r="AF1395" s="454"/>
      <c r="AG1395" s="455"/>
    </row>
    <row r="1396" spans="1:33" x14ac:dyDescent="0.2">
      <c r="A1396" s="415">
        <f t="shared" si="43"/>
        <v>1565</v>
      </c>
      <c r="B1396" s="416" t="str">
        <f t="shared" si="44"/>
        <v>Winter</v>
      </c>
      <c r="C1396" s="453"/>
      <c r="D1396" s="454"/>
      <c r="E1396" s="455"/>
      <c r="F1396" s="454"/>
      <c r="G1396" s="455"/>
      <c r="H1396" s="454"/>
      <c r="I1396" s="455"/>
      <c r="J1396" s="454"/>
      <c r="K1396" s="455"/>
      <c r="L1396" s="454"/>
      <c r="M1396" s="455"/>
      <c r="N1396" s="454"/>
      <c r="O1396" s="455"/>
      <c r="P1396" s="454"/>
      <c r="Q1396" s="455"/>
      <c r="R1396" s="454"/>
      <c r="S1396" s="455"/>
      <c r="T1396" s="454"/>
      <c r="U1396" s="455"/>
      <c r="V1396" s="454"/>
      <c r="W1396" s="455"/>
      <c r="X1396" s="454"/>
      <c r="Y1396" s="455"/>
      <c r="Z1396" s="454"/>
      <c r="AA1396" s="455"/>
      <c r="AB1396" s="454"/>
      <c r="AC1396" s="455"/>
      <c r="AD1396" s="454"/>
      <c r="AE1396" s="455"/>
      <c r="AF1396" s="454"/>
      <c r="AG1396" s="455"/>
    </row>
    <row r="1397" spans="1:33" x14ac:dyDescent="0.2">
      <c r="A1397" s="415">
        <f t="shared" si="43"/>
        <v>1565</v>
      </c>
      <c r="B1397" s="416" t="str">
        <f t="shared" si="44"/>
        <v>Spring</v>
      </c>
      <c r="C1397" s="453"/>
      <c r="D1397" s="454"/>
      <c r="E1397" s="455"/>
      <c r="F1397" s="454"/>
      <c r="G1397" s="455"/>
      <c r="H1397" s="454"/>
      <c r="I1397" s="455"/>
      <c r="J1397" s="454"/>
      <c r="K1397" s="455"/>
      <c r="L1397" s="454"/>
      <c r="M1397" s="455"/>
      <c r="N1397" s="454"/>
      <c r="O1397" s="455"/>
      <c r="P1397" s="454"/>
      <c r="Q1397" s="455"/>
      <c r="R1397" s="454"/>
      <c r="S1397" s="455"/>
      <c r="T1397" s="454"/>
      <c r="U1397" s="455"/>
      <c r="V1397" s="454"/>
      <c r="W1397" s="455"/>
      <c r="X1397" s="454"/>
      <c r="Y1397" s="455"/>
      <c r="Z1397" s="454"/>
      <c r="AA1397" s="455"/>
      <c r="AB1397" s="454"/>
      <c r="AC1397" s="455"/>
      <c r="AD1397" s="454"/>
      <c r="AE1397" s="455"/>
      <c r="AF1397" s="454"/>
      <c r="AG1397" s="455"/>
    </row>
    <row r="1398" spans="1:33" x14ac:dyDescent="0.2">
      <c r="A1398" s="415">
        <f t="shared" si="43"/>
        <v>1565</v>
      </c>
      <c r="B1398" s="416" t="str">
        <f t="shared" si="44"/>
        <v>Summer</v>
      </c>
      <c r="C1398" s="453"/>
      <c r="D1398" s="454"/>
      <c r="E1398" s="455"/>
      <c r="F1398" s="454"/>
      <c r="G1398" s="455"/>
      <c r="H1398" s="454"/>
      <c r="I1398" s="455"/>
      <c r="J1398" s="454"/>
      <c r="K1398" s="455"/>
      <c r="L1398" s="454"/>
      <c r="M1398" s="455"/>
      <c r="N1398" s="454"/>
      <c r="O1398" s="455"/>
      <c r="P1398" s="454"/>
      <c r="Q1398" s="455"/>
      <c r="R1398" s="454"/>
      <c r="S1398" s="455"/>
      <c r="T1398" s="454"/>
      <c r="U1398" s="455"/>
      <c r="V1398" s="454"/>
      <c r="W1398" s="455"/>
      <c r="X1398" s="454"/>
      <c r="Y1398" s="455"/>
      <c r="Z1398" s="454"/>
      <c r="AA1398" s="455"/>
      <c r="AB1398" s="454"/>
      <c r="AC1398" s="455"/>
      <c r="AD1398" s="454"/>
      <c r="AE1398" s="455"/>
      <c r="AF1398" s="454"/>
      <c r="AG1398" s="455"/>
    </row>
    <row r="1399" spans="1:33" x14ac:dyDescent="0.2">
      <c r="A1399" s="415">
        <f t="shared" si="43"/>
        <v>1565</v>
      </c>
      <c r="B1399" s="416" t="str">
        <f t="shared" si="44"/>
        <v>Autumn</v>
      </c>
      <c r="C1399" s="453"/>
      <c r="D1399" s="454"/>
      <c r="E1399" s="455"/>
      <c r="F1399" s="454"/>
      <c r="G1399" s="455"/>
      <c r="H1399" s="454"/>
      <c r="I1399" s="455"/>
      <c r="J1399" s="454"/>
      <c r="K1399" s="455"/>
      <c r="L1399" s="454"/>
      <c r="M1399" s="455"/>
      <c r="N1399" s="454"/>
      <c r="O1399" s="455"/>
      <c r="P1399" s="454"/>
      <c r="Q1399" s="455"/>
      <c r="R1399" s="454"/>
      <c r="S1399" s="455"/>
      <c r="T1399" s="454"/>
      <c r="U1399" s="455"/>
      <c r="V1399" s="454"/>
      <c r="W1399" s="455"/>
      <c r="X1399" s="454"/>
      <c r="Y1399" s="455"/>
      <c r="Z1399" s="454"/>
      <c r="AA1399" s="455"/>
      <c r="AB1399" s="454"/>
      <c r="AC1399" s="455"/>
      <c r="AD1399" s="454"/>
      <c r="AE1399" s="455"/>
      <c r="AF1399" s="454"/>
      <c r="AG1399" s="455"/>
    </row>
    <row r="1400" spans="1:33" x14ac:dyDescent="0.2">
      <c r="A1400" s="415">
        <f t="shared" si="43"/>
        <v>1566</v>
      </c>
      <c r="B1400" s="416" t="str">
        <f t="shared" si="44"/>
        <v>Winter</v>
      </c>
      <c r="C1400" s="453"/>
      <c r="D1400" s="454"/>
      <c r="E1400" s="455"/>
      <c r="F1400" s="454"/>
      <c r="G1400" s="455"/>
      <c r="H1400" s="454"/>
      <c r="I1400" s="455"/>
      <c r="J1400" s="454"/>
      <c r="K1400" s="455"/>
      <c r="L1400" s="454"/>
      <c r="M1400" s="455"/>
      <c r="N1400" s="454"/>
      <c r="O1400" s="455"/>
      <c r="P1400" s="454"/>
      <c r="Q1400" s="455"/>
      <c r="R1400" s="454"/>
      <c r="S1400" s="455"/>
      <c r="T1400" s="454"/>
      <c r="U1400" s="455"/>
      <c r="V1400" s="454"/>
      <c r="W1400" s="455"/>
      <c r="X1400" s="454"/>
      <c r="Y1400" s="455"/>
      <c r="Z1400" s="454"/>
      <c r="AA1400" s="455"/>
      <c r="AB1400" s="454"/>
      <c r="AC1400" s="455"/>
      <c r="AD1400" s="454"/>
      <c r="AE1400" s="455"/>
      <c r="AF1400" s="454"/>
      <c r="AG1400" s="455"/>
    </row>
    <row r="1401" spans="1:33" x14ac:dyDescent="0.2">
      <c r="A1401" s="415">
        <f t="shared" si="43"/>
        <v>1566</v>
      </c>
      <c r="B1401" s="416" t="str">
        <f t="shared" si="44"/>
        <v>Spring</v>
      </c>
      <c r="C1401" s="453"/>
      <c r="D1401" s="454"/>
      <c r="E1401" s="455"/>
      <c r="F1401" s="454"/>
      <c r="G1401" s="455"/>
      <c r="H1401" s="454"/>
      <c r="I1401" s="455"/>
      <c r="J1401" s="454"/>
      <c r="K1401" s="455"/>
      <c r="L1401" s="454"/>
      <c r="M1401" s="455"/>
      <c r="N1401" s="454"/>
      <c r="O1401" s="455"/>
      <c r="P1401" s="454"/>
      <c r="Q1401" s="455"/>
      <c r="R1401" s="454"/>
      <c r="S1401" s="455"/>
      <c r="T1401" s="454"/>
      <c r="U1401" s="455"/>
      <c r="V1401" s="454"/>
      <c r="W1401" s="455"/>
      <c r="X1401" s="454"/>
      <c r="Y1401" s="455"/>
      <c r="Z1401" s="454"/>
      <c r="AA1401" s="455"/>
      <c r="AB1401" s="454"/>
      <c r="AC1401" s="455"/>
      <c r="AD1401" s="454"/>
      <c r="AE1401" s="455"/>
      <c r="AF1401" s="454"/>
      <c r="AG1401" s="455"/>
    </row>
    <row r="1402" spans="1:33" x14ac:dyDescent="0.2">
      <c r="A1402" s="415">
        <f t="shared" si="43"/>
        <v>1566</v>
      </c>
      <c r="B1402" s="416" t="str">
        <f t="shared" si="44"/>
        <v>Summer</v>
      </c>
      <c r="C1402" s="453"/>
      <c r="D1402" s="454"/>
      <c r="E1402" s="455"/>
      <c r="F1402" s="454"/>
      <c r="G1402" s="455"/>
      <c r="H1402" s="454"/>
      <c r="I1402" s="455"/>
      <c r="J1402" s="454"/>
      <c r="K1402" s="455"/>
      <c r="L1402" s="454"/>
      <c r="M1402" s="455"/>
      <c r="N1402" s="454"/>
      <c r="O1402" s="455"/>
      <c r="P1402" s="454"/>
      <c r="Q1402" s="455"/>
      <c r="R1402" s="454"/>
      <c r="S1402" s="455"/>
      <c r="T1402" s="454"/>
      <c r="U1402" s="455"/>
      <c r="V1402" s="454"/>
      <c r="W1402" s="455"/>
      <c r="X1402" s="454"/>
      <c r="Y1402" s="455"/>
      <c r="Z1402" s="454"/>
      <c r="AA1402" s="455"/>
      <c r="AB1402" s="454"/>
      <c r="AC1402" s="455"/>
      <c r="AD1402" s="454"/>
      <c r="AE1402" s="455"/>
      <c r="AF1402" s="454"/>
      <c r="AG1402" s="455"/>
    </row>
    <row r="1403" spans="1:33" x14ac:dyDescent="0.2">
      <c r="A1403" s="415">
        <f t="shared" si="43"/>
        <v>1566</v>
      </c>
      <c r="B1403" s="416" t="str">
        <f t="shared" si="44"/>
        <v>Autumn</v>
      </c>
      <c r="C1403" s="453"/>
      <c r="D1403" s="454"/>
      <c r="E1403" s="455"/>
      <c r="F1403" s="454"/>
      <c r="G1403" s="455"/>
      <c r="H1403" s="454"/>
      <c r="I1403" s="455"/>
      <c r="J1403" s="454"/>
      <c r="K1403" s="455"/>
      <c r="L1403" s="454"/>
      <c r="M1403" s="455"/>
      <c r="N1403" s="454"/>
      <c r="O1403" s="455"/>
      <c r="P1403" s="454"/>
      <c r="Q1403" s="455"/>
      <c r="R1403" s="454"/>
      <c r="S1403" s="455"/>
      <c r="T1403" s="454"/>
      <c r="U1403" s="455"/>
      <c r="V1403" s="454"/>
      <c r="W1403" s="455"/>
      <c r="X1403" s="454"/>
      <c r="Y1403" s="455"/>
      <c r="Z1403" s="454"/>
      <c r="AA1403" s="455"/>
      <c r="AB1403" s="454"/>
      <c r="AC1403" s="455"/>
      <c r="AD1403" s="454"/>
      <c r="AE1403" s="455"/>
      <c r="AF1403" s="454"/>
      <c r="AG1403" s="455"/>
    </row>
    <row r="1404" spans="1:33" x14ac:dyDescent="0.2">
      <c r="A1404" s="415">
        <f t="shared" si="43"/>
        <v>1567</v>
      </c>
      <c r="B1404" s="416" t="str">
        <f t="shared" si="44"/>
        <v>Winter</v>
      </c>
      <c r="C1404" s="453"/>
      <c r="D1404" s="454"/>
      <c r="E1404" s="455"/>
      <c r="F1404" s="454"/>
      <c r="G1404" s="455"/>
      <c r="H1404" s="454"/>
      <c r="I1404" s="455"/>
      <c r="J1404" s="454"/>
      <c r="K1404" s="455"/>
      <c r="L1404" s="454"/>
      <c r="M1404" s="455"/>
      <c r="N1404" s="454"/>
      <c r="O1404" s="455"/>
      <c r="P1404" s="454"/>
      <c r="Q1404" s="455"/>
      <c r="R1404" s="454"/>
      <c r="S1404" s="455"/>
      <c r="T1404" s="454"/>
      <c r="U1404" s="455"/>
      <c r="V1404" s="454"/>
      <c r="W1404" s="455"/>
      <c r="X1404" s="454"/>
      <c r="Y1404" s="455"/>
      <c r="Z1404" s="454"/>
      <c r="AA1404" s="455"/>
      <c r="AB1404" s="454"/>
      <c r="AC1404" s="455"/>
      <c r="AD1404" s="454"/>
      <c r="AE1404" s="455"/>
      <c r="AF1404" s="454"/>
      <c r="AG1404" s="455"/>
    </row>
    <row r="1405" spans="1:33" x14ac:dyDescent="0.2">
      <c r="A1405" s="415">
        <f t="shared" si="43"/>
        <v>1567</v>
      </c>
      <c r="B1405" s="416" t="str">
        <f t="shared" si="44"/>
        <v>Spring</v>
      </c>
      <c r="C1405" s="453"/>
      <c r="D1405" s="454"/>
      <c r="E1405" s="455"/>
      <c r="F1405" s="454"/>
      <c r="G1405" s="455"/>
      <c r="H1405" s="454"/>
      <c r="I1405" s="455"/>
      <c r="J1405" s="454"/>
      <c r="K1405" s="455"/>
      <c r="L1405" s="454"/>
      <c r="M1405" s="455"/>
      <c r="N1405" s="454"/>
      <c r="O1405" s="455"/>
      <c r="P1405" s="454"/>
      <c r="Q1405" s="455"/>
      <c r="R1405" s="454"/>
      <c r="S1405" s="455"/>
      <c r="T1405" s="454"/>
      <c r="U1405" s="455"/>
      <c r="V1405" s="454"/>
      <c r="W1405" s="455"/>
      <c r="X1405" s="454"/>
      <c r="Y1405" s="455"/>
      <c r="Z1405" s="454"/>
      <c r="AA1405" s="455"/>
      <c r="AB1405" s="454"/>
      <c r="AC1405" s="455"/>
      <c r="AD1405" s="454"/>
      <c r="AE1405" s="455"/>
      <c r="AF1405" s="454"/>
      <c r="AG1405" s="455"/>
    </row>
    <row r="1406" spans="1:33" x14ac:dyDescent="0.2">
      <c r="A1406" s="415">
        <f t="shared" si="43"/>
        <v>1567</v>
      </c>
      <c r="B1406" s="416" t="str">
        <f t="shared" si="44"/>
        <v>Summer</v>
      </c>
      <c r="C1406" s="453"/>
      <c r="D1406" s="454"/>
      <c r="E1406" s="455"/>
      <c r="F1406" s="454"/>
      <c r="G1406" s="455"/>
      <c r="H1406" s="454"/>
      <c r="I1406" s="455"/>
      <c r="J1406" s="454"/>
      <c r="K1406" s="455"/>
      <c r="L1406" s="454"/>
      <c r="M1406" s="455"/>
      <c r="N1406" s="454"/>
      <c r="O1406" s="455"/>
      <c r="P1406" s="454"/>
      <c r="Q1406" s="455"/>
      <c r="R1406" s="454"/>
      <c r="S1406" s="455"/>
      <c r="T1406" s="454"/>
      <c r="U1406" s="455"/>
      <c r="V1406" s="454"/>
      <c r="W1406" s="455"/>
      <c r="X1406" s="454"/>
      <c r="Y1406" s="455"/>
      <c r="Z1406" s="454"/>
      <c r="AA1406" s="455"/>
      <c r="AB1406" s="454"/>
      <c r="AC1406" s="455"/>
      <c r="AD1406" s="454"/>
      <c r="AE1406" s="455"/>
      <c r="AF1406" s="454"/>
      <c r="AG1406" s="455"/>
    </row>
    <row r="1407" spans="1:33" x14ac:dyDescent="0.2">
      <c r="A1407" s="415">
        <f t="shared" si="43"/>
        <v>1567</v>
      </c>
      <c r="B1407" s="416" t="str">
        <f t="shared" si="44"/>
        <v>Autumn</v>
      </c>
      <c r="C1407" s="453"/>
      <c r="D1407" s="454"/>
      <c r="E1407" s="455"/>
      <c r="F1407" s="454"/>
      <c r="G1407" s="455"/>
      <c r="H1407" s="454"/>
      <c r="I1407" s="455"/>
      <c r="J1407" s="454"/>
      <c r="K1407" s="455"/>
      <c r="L1407" s="454"/>
      <c r="M1407" s="455"/>
      <c r="N1407" s="454"/>
      <c r="O1407" s="455"/>
      <c r="P1407" s="454"/>
      <c r="Q1407" s="455"/>
      <c r="R1407" s="454"/>
      <c r="S1407" s="455"/>
      <c r="T1407" s="454"/>
      <c r="U1407" s="455"/>
      <c r="V1407" s="454"/>
      <c r="W1407" s="455"/>
      <c r="X1407" s="454"/>
      <c r="Y1407" s="455"/>
      <c r="Z1407" s="454"/>
      <c r="AA1407" s="455"/>
      <c r="AB1407" s="454"/>
      <c r="AC1407" s="455"/>
      <c r="AD1407" s="454"/>
      <c r="AE1407" s="455"/>
      <c r="AF1407" s="454"/>
      <c r="AG1407" s="455"/>
    </row>
    <row r="1408" spans="1:33" x14ac:dyDescent="0.2">
      <c r="A1408" s="415">
        <f t="shared" si="43"/>
        <v>1568</v>
      </c>
      <c r="B1408" s="416" t="str">
        <f t="shared" si="44"/>
        <v>Winter</v>
      </c>
      <c r="C1408" s="453"/>
      <c r="D1408" s="454"/>
      <c r="E1408" s="455"/>
      <c r="F1408" s="454"/>
      <c r="G1408" s="455"/>
      <c r="H1408" s="454"/>
      <c r="I1408" s="455"/>
      <c r="J1408" s="454"/>
      <c r="K1408" s="455"/>
      <c r="L1408" s="454"/>
      <c r="M1408" s="455"/>
      <c r="N1408" s="454"/>
      <c r="O1408" s="455"/>
      <c r="P1408" s="454"/>
      <c r="Q1408" s="455"/>
      <c r="R1408" s="454"/>
      <c r="S1408" s="455"/>
      <c r="T1408" s="454"/>
      <c r="U1408" s="455"/>
      <c r="V1408" s="454"/>
      <c r="W1408" s="455"/>
      <c r="X1408" s="454"/>
      <c r="Y1408" s="455"/>
      <c r="Z1408" s="454"/>
      <c r="AA1408" s="455"/>
      <c r="AB1408" s="454"/>
      <c r="AC1408" s="455"/>
      <c r="AD1408" s="454"/>
      <c r="AE1408" s="455"/>
      <c r="AF1408" s="454"/>
      <c r="AG1408" s="455"/>
    </row>
    <row r="1409" spans="1:33" x14ac:dyDescent="0.2">
      <c r="A1409" s="415">
        <f t="shared" si="43"/>
        <v>1568</v>
      </c>
      <c r="B1409" s="416" t="str">
        <f t="shared" si="44"/>
        <v>Spring</v>
      </c>
      <c r="C1409" s="453"/>
      <c r="D1409" s="454"/>
      <c r="E1409" s="455"/>
      <c r="F1409" s="454"/>
      <c r="G1409" s="455"/>
      <c r="H1409" s="454"/>
      <c r="I1409" s="455"/>
      <c r="J1409" s="454"/>
      <c r="K1409" s="455"/>
      <c r="L1409" s="454"/>
      <c r="M1409" s="455"/>
      <c r="N1409" s="454"/>
      <c r="O1409" s="455"/>
      <c r="P1409" s="454"/>
      <c r="Q1409" s="455"/>
      <c r="R1409" s="454"/>
      <c r="S1409" s="455"/>
      <c r="T1409" s="454"/>
      <c r="U1409" s="455"/>
      <c r="V1409" s="454"/>
      <c r="W1409" s="455"/>
      <c r="X1409" s="454"/>
      <c r="Y1409" s="455"/>
      <c r="Z1409" s="454"/>
      <c r="AA1409" s="455"/>
      <c r="AB1409" s="454"/>
      <c r="AC1409" s="455"/>
      <c r="AD1409" s="454"/>
      <c r="AE1409" s="455"/>
      <c r="AF1409" s="454"/>
      <c r="AG1409" s="455"/>
    </row>
    <row r="1410" spans="1:33" x14ac:dyDescent="0.2">
      <c r="A1410" s="415">
        <f t="shared" si="43"/>
        <v>1568</v>
      </c>
      <c r="B1410" s="416" t="str">
        <f t="shared" si="44"/>
        <v>Summer</v>
      </c>
      <c r="C1410" s="453"/>
      <c r="D1410" s="454"/>
      <c r="E1410" s="455"/>
      <c r="F1410" s="454"/>
      <c r="G1410" s="455"/>
      <c r="H1410" s="454"/>
      <c r="I1410" s="455"/>
      <c r="J1410" s="454"/>
      <c r="K1410" s="455"/>
      <c r="L1410" s="454"/>
      <c r="M1410" s="455"/>
      <c r="N1410" s="454"/>
      <c r="O1410" s="455"/>
      <c r="P1410" s="454"/>
      <c r="Q1410" s="455"/>
      <c r="R1410" s="454"/>
      <c r="S1410" s="455"/>
      <c r="T1410" s="454"/>
      <c r="U1410" s="455"/>
      <c r="V1410" s="454"/>
      <c r="W1410" s="455"/>
      <c r="X1410" s="454"/>
      <c r="Y1410" s="455"/>
      <c r="Z1410" s="454"/>
      <c r="AA1410" s="455"/>
      <c r="AB1410" s="454"/>
      <c r="AC1410" s="455"/>
      <c r="AD1410" s="454"/>
      <c r="AE1410" s="455"/>
      <c r="AF1410" s="454"/>
      <c r="AG1410" s="455"/>
    </row>
    <row r="1411" spans="1:33" x14ac:dyDescent="0.2">
      <c r="A1411" s="415">
        <f t="shared" si="43"/>
        <v>1568</v>
      </c>
      <c r="B1411" s="416" t="str">
        <f t="shared" si="44"/>
        <v>Autumn</v>
      </c>
      <c r="C1411" s="453"/>
      <c r="D1411" s="454"/>
      <c r="E1411" s="455"/>
      <c r="F1411" s="454"/>
      <c r="G1411" s="455"/>
      <c r="H1411" s="454"/>
      <c r="I1411" s="455"/>
      <c r="J1411" s="454"/>
      <c r="K1411" s="455"/>
      <c r="L1411" s="454"/>
      <c r="M1411" s="455"/>
      <c r="N1411" s="454"/>
      <c r="O1411" s="455"/>
      <c r="P1411" s="454"/>
      <c r="Q1411" s="455"/>
      <c r="R1411" s="454"/>
      <c r="S1411" s="455"/>
      <c r="T1411" s="454"/>
      <c r="U1411" s="455"/>
      <c r="V1411" s="454"/>
      <c r="W1411" s="455"/>
      <c r="X1411" s="454"/>
      <c r="Y1411" s="455"/>
      <c r="Z1411" s="454"/>
      <c r="AA1411" s="455"/>
      <c r="AB1411" s="454"/>
      <c r="AC1411" s="455"/>
      <c r="AD1411" s="454"/>
      <c r="AE1411" s="455"/>
      <c r="AF1411" s="454"/>
      <c r="AG1411" s="455"/>
    </row>
    <row r="1412" spans="1:33" x14ac:dyDescent="0.2">
      <c r="A1412" s="415">
        <f t="shared" si="43"/>
        <v>1569</v>
      </c>
      <c r="B1412" s="416" t="str">
        <f t="shared" si="44"/>
        <v>Winter</v>
      </c>
      <c r="C1412" s="453"/>
      <c r="D1412" s="454"/>
      <c r="E1412" s="455"/>
      <c r="F1412" s="454"/>
      <c r="G1412" s="455"/>
      <c r="H1412" s="454"/>
      <c r="I1412" s="455"/>
      <c r="J1412" s="454"/>
      <c r="K1412" s="455"/>
      <c r="L1412" s="454"/>
      <c r="M1412" s="455"/>
      <c r="N1412" s="454"/>
      <c r="O1412" s="455"/>
      <c r="P1412" s="454"/>
      <c r="Q1412" s="455"/>
      <c r="R1412" s="454"/>
      <c r="S1412" s="455"/>
      <c r="T1412" s="454"/>
      <c r="U1412" s="455"/>
      <c r="V1412" s="454"/>
      <c r="W1412" s="455"/>
      <c r="X1412" s="454"/>
      <c r="Y1412" s="455"/>
      <c r="Z1412" s="454"/>
      <c r="AA1412" s="455"/>
      <c r="AB1412" s="454"/>
      <c r="AC1412" s="455"/>
      <c r="AD1412" s="454"/>
      <c r="AE1412" s="455"/>
      <c r="AF1412" s="454"/>
      <c r="AG1412" s="455"/>
    </row>
    <row r="1413" spans="1:33" x14ac:dyDescent="0.2">
      <c r="A1413" s="415">
        <f t="shared" ref="A1413:A1476" si="45">IF(B1412="Autumn",A1412+1,A1412)</f>
        <v>1569</v>
      </c>
      <c r="B1413" s="416" t="str">
        <f t="shared" si="44"/>
        <v>Spring</v>
      </c>
      <c r="C1413" s="453"/>
      <c r="D1413" s="454"/>
      <c r="E1413" s="455"/>
      <c r="F1413" s="454"/>
      <c r="G1413" s="455"/>
      <c r="H1413" s="454"/>
      <c r="I1413" s="455"/>
      <c r="J1413" s="454"/>
      <c r="K1413" s="455"/>
      <c r="L1413" s="454"/>
      <c r="M1413" s="455"/>
      <c r="N1413" s="454"/>
      <c r="O1413" s="455"/>
      <c r="P1413" s="454"/>
      <c r="Q1413" s="455"/>
      <c r="R1413" s="454"/>
      <c r="S1413" s="455"/>
      <c r="T1413" s="454"/>
      <c r="U1413" s="455"/>
      <c r="V1413" s="454"/>
      <c r="W1413" s="455"/>
      <c r="X1413" s="454"/>
      <c r="Y1413" s="455"/>
      <c r="Z1413" s="454"/>
      <c r="AA1413" s="455"/>
      <c r="AB1413" s="454"/>
      <c r="AC1413" s="455"/>
      <c r="AD1413" s="454"/>
      <c r="AE1413" s="455"/>
      <c r="AF1413" s="454"/>
      <c r="AG1413" s="455"/>
    </row>
    <row r="1414" spans="1:33" x14ac:dyDescent="0.2">
      <c r="A1414" s="415">
        <f t="shared" si="45"/>
        <v>1569</v>
      </c>
      <c r="B1414" s="416" t="str">
        <f t="shared" si="44"/>
        <v>Summer</v>
      </c>
      <c r="C1414" s="453"/>
      <c r="D1414" s="454"/>
      <c r="E1414" s="455"/>
      <c r="F1414" s="454"/>
      <c r="G1414" s="455"/>
      <c r="H1414" s="454"/>
      <c r="I1414" s="455"/>
      <c r="J1414" s="454"/>
      <c r="K1414" s="455"/>
      <c r="L1414" s="454"/>
      <c r="M1414" s="455"/>
      <c r="N1414" s="454"/>
      <c r="O1414" s="455"/>
      <c r="P1414" s="454"/>
      <c r="Q1414" s="455"/>
      <c r="R1414" s="454"/>
      <c r="S1414" s="455"/>
      <c r="T1414" s="454"/>
      <c r="U1414" s="455"/>
      <c r="V1414" s="454"/>
      <c r="W1414" s="455"/>
      <c r="X1414" s="454"/>
      <c r="Y1414" s="455"/>
      <c r="Z1414" s="454"/>
      <c r="AA1414" s="455"/>
      <c r="AB1414" s="454"/>
      <c r="AC1414" s="455"/>
      <c r="AD1414" s="454"/>
      <c r="AE1414" s="455"/>
      <c r="AF1414" s="454"/>
      <c r="AG1414" s="455"/>
    </row>
    <row r="1415" spans="1:33" x14ac:dyDescent="0.2">
      <c r="A1415" s="415">
        <f t="shared" si="45"/>
        <v>1569</v>
      </c>
      <c r="B1415" s="416" t="str">
        <f t="shared" si="44"/>
        <v>Autumn</v>
      </c>
      <c r="C1415" s="453"/>
      <c r="D1415" s="454"/>
      <c r="E1415" s="455"/>
      <c r="F1415" s="454"/>
      <c r="G1415" s="455"/>
      <c r="H1415" s="454"/>
      <c r="I1415" s="455"/>
      <c r="J1415" s="454"/>
      <c r="K1415" s="455"/>
      <c r="L1415" s="454"/>
      <c r="M1415" s="455"/>
      <c r="N1415" s="454"/>
      <c r="O1415" s="455"/>
      <c r="P1415" s="454"/>
      <c r="Q1415" s="455"/>
      <c r="R1415" s="454"/>
      <c r="S1415" s="455"/>
      <c r="T1415" s="454"/>
      <c r="U1415" s="455"/>
      <c r="V1415" s="454"/>
      <c r="W1415" s="455"/>
      <c r="X1415" s="454"/>
      <c r="Y1415" s="455"/>
      <c r="Z1415" s="454"/>
      <c r="AA1415" s="455"/>
      <c r="AB1415" s="454"/>
      <c r="AC1415" s="455"/>
      <c r="AD1415" s="454"/>
      <c r="AE1415" s="455"/>
      <c r="AF1415" s="454"/>
      <c r="AG1415" s="455"/>
    </row>
    <row r="1416" spans="1:33" x14ac:dyDescent="0.2">
      <c r="A1416" s="415">
        <f t="shared" si="45"/>
        <v>1570</v>
      </c>
      <c r="B1416" s="416" t="str">
        <f t="shared" si="44"/>
        <v>Winter</v>
      </c>
      <c r="C1416" s="453"/>
      <c r="D1416" s="454"/>
      <c r="E1416" s="455"/>
      <c r="F1416" s="454"/>
      <c r="G1416" s="455"/>
      <c r="H1416" s="454"/>
      <c r="I1416" s="455"/>
      <c r="J1416" s="454"/>
      <c r="K1416" s="455"/>
      <c r="L1416" s="454"/>
      <c r="M1416" s="455"/>
      <c r="N1416" s="454"/>
      <c r="O1416" s="455"/>
      <c r="P1416" s="454"/>
      <c r="Q1416" s="455"/>
      <c r="R1416" s="454"/>
      <c r="S1416" s="455"/>
      <c r="T1416" s="454"/>
      <c r="U1416" s="455"/>
      <c r="V1416" s="454"/>
      <c r="W1416" s="455"/>
      <c r="X1416" s="454"/>
      <c r="Y1416" s="455"/>
      <c r="Z1416" s="454"/>
      <c r="AA1416" s="455"/>
      <c r="AB1416" s="454"/>
      <c r="AC1416" s="455"/>
      <c r="AD1416" s="454"/>
      <c r="AE1416" s="455"/>
      <c r="AF1416" s="454"/>
      <c r="AG1416" s="455"/>
    </row>
    <row r="1417" spans="1:33" x14ac:dyDescent="0.2">
      <c r="A1417" s="415">
        <f t="shared" si="45"/>
        <v>1570</v>
      </c>
      <c r="B1417" s="416" t="str">
        <f t="shared" si="44"/>
        <v>Spring</v>
      </c>
      <c r="C1417" s="453"/>
      <c r="D1417" s="454"/>
      <c r="E1417" s="455"/>
      <c r="F1417" s="454"/>
      <c r="G1417" s="455"/>
      <c r="H1417" s="454"/>
      <c r="I1417" s="455"/>
      <c r="J1417" s="454"/>
      <c r="K1417" s="455"/>
      <c r="L1417" s="454"/>
      <c r="M1417" s="455"/>
      <c r="N1417" s="454"/>
      <c r="O1417" s="455"/>
      <c r="P1417" s="454"/>
      <c r="Q1417" s="455"/>
      <c r="R1417" s="454"/>
      <c r="S1417" s="455"/>
      <c r="T1417" s="454"/>
      <c r="U1417" s="455"/>
      <c r="V1417" s="454"/>
      <c r="W1417" s="455"/>
      <c r="X1417" s="454"/>
      <c r="Y1417" s="455"/>
      <c r="Z1417" s="454"/>
      <c r="AA1417" s="455"/>
      <c r="AB1417" s="454"/>
      <c r="AC1417" s="455"/>
      <c r="AD1417" s="454"/>
      <c r="AE1417" s="455"/>
      <c r="AF1417" s="454"/>
      <c r="AG1417" s="455"/>
    </row>
    <row r="1418" spans="1:33" x14ac:dyDescent="0.2">
      <c r="A1418" s="415">
        <f t="shared" si="45"/>
        <v>1570</v>
      </c>
      <c r="B1418" s="416" t="str">
        <f t="shared" si="44"/>
        <v>Summer</v>
      </c>
      <c r="C1418" s="453"/>
      <c r="D1418" s="454"/>
      <c r="E1418" s="455"/>
      <c r="F1418" s="454"/>
      <c r="G1418" s="455"/>
      <c r="H1418" s="454"/>
      <c r="I1418" s="455"/>
      <c r="J1418" s="454"/>
      <c r="K1418" s="455"/>
      <c r="L1418" s="454"/>
      <c r="M1418" s="455"/>
      <c r="N1418" s="454"/>
      <c r="O1418" s="455"/>
      <c r="P1418" s="454"/>
      <c r="Q1418" s="455"/>
      <c r="R1418" s="454"/>
      <c r="S1418" s="455"/>
      <c r="T1418" s="454"/>
      <c r="U1418" s="455"/>
      <c r="V1418" s="454"/>
      <c r="W1418" s="455"/>
      <c r="X1418" s="454"/>
      <c r="Y1418" s="455"/>
      <c r="Z1418" s="454"/>
      <c r="AA1418" s="455"/>
      <c r="AB1418" s="454"/>
      <c r="AC1418" s="455"/>
      <c r="AD1418" s="454"/>
      <c r="AE1418" s="455"/>
      <c r="AF1418" s="454"/>
      <c r="AG1418" s="455"/>
    </row>
    <row r="1419" spans="1:33" x14ac:dyDescent="0.2">
      <c r="A1419" s="415">
        <f t="shared" si="45"/>
        <v>1570</v>
      </c>
      <c r="B1419" s="416" t="str">
        <f t="shared" si="44"/>
        <v>Autumn</v>
      </c>
      <c r="C1419" s="453"/>
      <c r="D1419" s="454"/>
      <c r="E1419" s="455"/>
      <c r="F1419" s="454"/>
      <c r="G1419" s="455"/>
      <c r="H1419" s="454"/>
      <c r="I1419" s="455"/>
      <c r="J1419" s="454"/>
      <c r="K1419" s="455"/>
      <c r="L1419" s="454"/>
      <c r="M1419" s="455"/>
      <c r="N1419" s="454"/>
      <c r="O1419" s="455"/>
      <c r="P1419" s="454"/>
      <c r="Q1419" s="455"/>
      <c r="R1419" s="454"/>
      <c r="S1419" s="455"/>
      <c r="T1419" s="454"/>
      <c r="U1419" s="455"/>
      <c r="V1419" s="454"/>
      <c r="W1419" s="455"/>
      <c r="X1419" s="454"/>
      <c r="Y1419" s="455"/>
      <c r="Z1419" s="454"/>
      <c r="AA1419" s="455"/>
      <c r="AB1419" s="454"/>
      <c r="AC1419" s="455"/>
      <c r="AD1419" s="454"/>
      <c r="AE1419" s="455"/>
      <c r="AF1419" s="454"/>
      <c r="AG1419" s="455"/>
    </row>
    <row r="1420" spans="1:33" x14ac:dyDescent="0.2">
      <c r="A1420" s="415">
        <f t="shared" si="45"/>
        <v>1571</v>
      </c>
      <c r="B1420" s="416" t="str">
        <f t="shared" si="44"/>
        <v>Winter</v>
      </c>
      <c r="C1420" s="453"/>
      <c r="D1420" s="454"/>
      <c r="E1420" s="455"/>
      <c r="F1420" s="454"/>
      <c r="G1420" s="455"/>
      <c r="H1420" s="454"/>
      <c r="I1420" s="455"/>
      <c r="J1420" s="454"/>
      <c r="K1420" s="455"/>
      <c r="L1420" s="454"/>
      <c r="M1420" s="455"/>
      <c r="N1420" s="454"/>
      <c r="O1420" s="455"/>
      <c r="P1420" s="454"/>
      <c r="Q1420" s="455"/>
      <c r="R1420" s="454"/>
      <c r="S1420" s="455"/>
      <c r="T1420" s="454"/>
      <c r="U1420" s="455"/>
      <c r="V1420" s="454"/>
      <c r="W1420" s="455"/>
      <c r="X1420" s="454"/>
      <c r="Y1420" s="455"/>
      <c r="Z1420" s="454"/>
      <c r="AA1420" s="455"/>
      <c r="AB1420" s="454"/>
      <c r="AC1420" s="455"/>
      <c r="AD1420" s="454"/>
      <c r="AE1420" s="455"/>
      <c r="AF1420" s="454"/>
      <c r="AG1420" s="455"/>
    </row>
    <row r="1421" spans="1:33" x14ac:dyDescent="0.2">
      <c r="A1421" s="415">
        <f t="shared" si="45"/>
        <v>1571</v>
      </c>
      <c r="B1421" s="416" t="str">
        <f t="shared" si="44"/>
        <v>Spring</v>
      </c>
      <c r="C1421" s="453"/>
      <c r="D1421" s="454"/>
      <c r="E1421" s="455"/>
      <c r="F1421" s="454"/>
      <c r="G1421" s="455"/>
      <c r="H1421" s="454"/>
      <c r="I1421" s="455"/>
      <c r="J1421" s="454"/>
      <c r="K1421" s="455"/>
      <c r="L1421" s="454"/>
      <c r="M1421" s="455"/>
      <c r="N1421" s="454"/>
      <c r="O1421" s="455"/>
      <c r="P1421" s="454"/>
      <c r="Q1421" s="455"/>
      <c r="R1421" s="454"/>
      <c r="S1421" s="455"/>
      <c r="T1421" s="454"/>
      <c r="U1421" s="455"/>
      <c r="V1421" s="454"/>
      <c r="W1421" s="455"/>
      <c r="X1421" s="454"/>
      <c r="Y1421" s="455"/>
      <c r="Z1421" s="454"/>
      <c r="AA1421" s="455"/>
      <c r="AB1421" s="454"/>
      <c r="AC1421" s="455"/>
      <c r="AD1421" s="454"/>
      <c r="AE1421" s="455"/>
      <c r="AF1421" s="454"/>
      <c r="AG1421" s="455"/>
    </row>
    <row r="1422" spans="1:33" x14ac:dyDescent="0.2">
      <c r="A1422" s="415">
        <f t="shared" si="45"/>
        <v>1571</v>
      </c>
      <c r="B1422" s="416" t="str">
        <f t="shared" si="44"/>
        <v>Summer</v>
      </c>
      <c r="C1422" s="453"/>
      <c r="D1422" s="454"/>
      <c r="E1422" s="455"/>
      <c r="F1422" s="454"/>
      <c r="G1422" s="455"/>
      <c r="H1422" s="454"/>
      <c r="I1422" s="455"/>
      <c r="J1422" s="454"/>
      <c r="K1422" s="455"/>
      <c r="L1422" s="454"/>
      <c r="M1422" s="455"/>
      <c r="N1422" s="454"/>
      <c r="O1422" s="455"/>
      <c r="P1422" s="454"/>
      <c r="Q1422" s="455"/>
      <c r="R1422" s="454"/>
      <c r="S1422" s="455"/>
      <c r="T1422" s="454"/>
      <c r="U1422" s="455"/>
      <c r="V1422" s="454"/>
      <c r="W1422" s="455"/>
      <c r="X1422" s="454"/>
      <c r="Y1422" s="455"/>
      <c r="Z1422" s="454"/>
      <c r="AA1422" s="455"/>
      <c r="AB1422" s="454"/>
      <c r="AC1422" s="455"/>
      <c r="AD1422" s="454"/>
      <c r="AE1422" s="455"/>
      <c r="AF1422" s="454"/>
      <c r="AG1422" s="455"/>
    </row>
    <row r="1423" spans="1:33" x14ac:dyDescent="0.2">
      <c r="A1423" s="415">
        <f t="shared" si="45"/>
        <v>1571</v>
      </c>
      <c r="B1423" s="416" t="str">
        <f t="shared" si="44"/>
        <v>Autumn</v>
      </c>
      <c r="C1423" s="453"/>
      <c r="D1423" s="454"/>
      <c r="E1423" s="455"/>
      <c r="F1423" s="454"/>
      <c r="G1423" s="455"/>
      <c r="H1423" s="454"/>
      <c r="I1423" s="455"/>
      <c r="J1423" s="454"/>
      <c r="K1423" s="455"/>
      <c r="L1423" s="454"/>
      <c r="M1423" s="455"/>
      <c r="N1423" s="454"/>
      <c r="O1423" s="455"/>
      <c r="P1423" s="454"/>
      <c r="Q1423" s="455"/>
      <c r="R1423" s="454"/>
      <c r="S1423" s="455"/>
      <c r="T1423" s="454"/>
      <c r="U1423" s="455"/>
      <c r="V1423" s="454"/>
      <c r="W1423" s="455"/>
      <c r="X1423" s="454"/>
      <c r="Y1423" s="455"/>
      <c r="Z1423" s="454"/>
      <c r="AA1423" s="455"/>
      <c r="AB1423" s="454"/>
      <c r="AC1423" s="455"/>
      <c r="AD1423" s="454"/>
      <c r="AE1423" s="455"/>
      <c r="AF1423" s="454"/>
      <c r="AG1423" s="455"/>
    </row>
    <row r="1424" spans="1:33" x14ac:dyDescent="0.2">
      <c r="A1424" s="415">
        <f t="shared" si="45"/>
        <v>1572</v>
      </c>
      <c r="B1424" s="416" t="str">
        <f t="shared" si="44"/>
        <v>Winter</v>
      </c>
      <c r="C1424" s="453"/>
      <c r="D1424" s="454"/>
      <c r="E1424" s="455"/>
      <c r="F1424" s="454"/>
      <c r="G1424" s="455"/>
      <c r="H1424" s="454"/>
      <c r="I1424" s="455"/>
      <c r="J1424" s="454"/>
      <c r="K1424" s="455"/>
      <c r="L1424" s="454"/>
      <c r="M1424" s="455"/>
      <c r="N1424" s="454"/>
      <c r="O1424" s="455"/>
      <c r="P1424" s="454"/>
      <c r="Q1424" s="455"/>
      <c r="R1424" s="454"/>
      <c r="S1424" s="455"/>
      <c r="T1424" s="454"/>
      <c r="U1424" s="455"/>
      <c r="V1424" s="454"/>
      <c r="W1424" s="455"/>
      <c r="X1424" s="454"/>
      <c r="Y1424" s="455"/>
      <c r="Z1424" s="454"/>
      <c r="AA1424" s="455"/>
      <c r="AB1424" s="454"/>
      <c r="AC1424" s="455"/>
      <c r="AD1424" s="454"/>
      <c r="AE1424" s="455"/>
      <c r="AF1424" s="454"/>
      <c r="AG1424" s="455"/>
    </row>
    <row r="1425" spans="1:33" x14ac:dyDescent="0.2">
      <c r="A1425" s="415">
        <f t="shared" si="45"/>
        <v>1572</v>
      </c>
      <c r="B1425" s="416" t="str">
        <f t="shared" si="44"/>
        <v>Spring</v>
      </c>
      <c r="C1425" s="453"/>
      <c r="D1425" s="454"/>
      <c r="E1425" s="455"/>
      <c r="F1425" s="454"/>
      <c r="G1425" s="455"/>
      <c r="H1425" s="454"/>
      <c r="I1425" s="455"/>
      <c r="J1425" s="454"/>
      <c r="K1425" s="455"/>
      <c r="L1425" s="454"/>
      <c r="M1425" s="455"/>
      <c r="N1425" s="454"/>
      <c r="O1425" s="455"/>
      <c r="P1425" s="454"/>
      <c r="Q1425" s="455"/>
      <c r="R1425" s="454"/>
      <c r="S1425" s="455"/>
      <c r="T1425" s="454"/>
      <c r="U1425" s="455"/>
      <c r="V1425" s="454"/>
      <c r="W1425" s="455"/>
      <c r="X1425" s="454"/>
      <c r="Y1425" s="455"/>
      <c r="Z1425" s="454"/>
      <c r="AA1425" s="455"/>
      <c r="AB1425" s="454"/>
      <c r="AC1425" s="455"/>
      <c r="AD1425" s="454"/>
      <c r="AE1425" s="455"/>
      <c r="AF1425" s="454"/>
      <c r="AG1425" s="455"/>
    </row>
    <row r="1426" spans="1:33" x14ac:dyDescent="0.2">
      <c r="A1426" s="415">
        <f t="shared" si="45"/>
        <v>1572</v>
      </c>
      <c r="B1426" s="416" t="str">
        <f t="shared" si="44"/>
        <v>Summer</v>
      </c>
      <c r="C1426" s="453"/>
      <c r="D1426" s="454"/>
      <c r="E1426" s="455"/>
      <c r="F1426" s="454"/>
      <c r="G1426" s="455"/>
      <c r="H1426" s="454"/>
      <c r="I1426" s="455"/>
      <c r="J1426" s="454"/>
      <c r="K1426" s="455"/>
      <c r="L1426" s="454"/>
      <c r="M1426" s="455"/>
      <c r="N1426" s="454"/>
      <c r="O1426" s="455"/>
      <c r="P1426" s="454"/>
      <c r="Q1426" s="455"/>
      <c r="R1426" s="454"/>
      <c r="S1426" s="455"/>
      <c r="T1426" s="454"/>
      <c r="U1426" s="455"/>
      <c r="V1426" s="454"/>
      <c r="W1426" s="455"/>
      <c r="X1426" s="454"/>
      <c r="Y1426" s="455"/>
      <c r="Z1426" s="454"/>
      <c r="AA1426" s="455"/>
      <c r="AB1426" s="454"/>
      <c r="AC1426" s="455"/>
      <c r="AD1426" s="454"/>
      <c r="AE1426" s="455"/>
      <c r="AF1426" s="454"/>
      <c r="AG1426" s="455"/>
    </row>
    <row r="1427" spans="1:33" x14ac:dyDescent="0.2">
      <c r="A1427" s="415">
        <f t="shared" si="45"/>
        <v>1572</v>
      </c>
      <c r="B1427" s="416" t="str">
        <f t="shared" si="44"/>
        <v>Autumn</v>
      </c>
      <c r="C1427" s="453"/>
      <c r="D1427" s="454"/>
      <c r="E1427" s="455"/>
      <c r="F1427" s="454"/>
      <c r="G1427" s="455"/>
      <c r="H1427" s="454"/>
      <c r="I1427" s="455"/>
      <c r="J1427" s="454"/>
      <c r="K1427" s="455"/>
      <c r="L1427" s="454"/>
      <c r="M1427" s="455"/>
      <c r="N1427" s="454"/>
      <c r="O1427" s="455"/>
      <c r="P1427" s="454"/>
      <c r="Q1427" s="455"/>
      <c r="R1427" s="454"/>
      <c r="S1427" s="455"/>
      <c r="T1427" s="454"/>
      <c r="U1427" s="455"/>
      <c r="V1427" s="454"/>
      <c r="W1427" s="455"/>
      <c r="X1427" s="454"/>
      <c r="Y1427" s="455"/>
      <c r="Z1427" s="454"/>
      <c r="AA1427" s="455"/>
      <c r="AB1427" s="454"/>
      <c r="AC1427" s="455"/>
      <c r="AD1427" s="454"/>
      <c r="AE1427" s="455"/>
      <c r="AF1427" s="454"/>
      <c r="AG1427" s="455"/>
    </row>
    <row r="1428" spans="1:33" x14ac:dyDescent="0.2">
      <c r="A1428" s="415">
        <f t="shared" si="45"/>
        <v>1573</v>
      </c>
      <c r="B1428" s="416" t="str">
        <f t="shared" si="44"/>
        <v>Winter</v>
      </c>
      <c r="C1428" s="453"/>
      <c r="D1428" s="454"/>
      <c r="E1428" s="455"/>
      <c r="F1428" s="454"/>
      <c r="G1428" s="455"/>
      <c r="H1428" s="454"/>
      <c r="I1428" s="455"/>
      <c r="J1428" s="454"/>
      <c r="K1428" s="455"/>
      <c r="L1428" s="454"/>
      <c r="M1428" s="455"/>
      <c r="N1428" s="454"/>
      <c r="O1428" s="455"/>
      <c r="P1428" s="454"/>
      <c r="Q1428" s="455"/>
      <c r="R1428" s="454"/>
      <c r="S1428" s="455"/>
      <c r="T1428" s="454"/>
      <c r="U1428" s="455"/>
      <c r="V1428" s="454"/>
      <c r="W1428" s="455"/>
      <c r="X1428" s="454"/>
      <c r="Y1428" s="455"/>
      <c r="Z1428" s="454"/>
      <c r="AA1428" s="455"/>
      <c r="AB1428" s="454"/>
      <c r="AC1428" s="455"/>
      <c r="AD1428" s="454"/>
      <c r="AE1428" s="455"/>
      <c r="AF1428" s="454"/>
      <c r="AG1428" s="455"/>
    </row>
    <row r="1429" spans="1:33" x14ac:dyDescent="0.2">
      <c r="A1429" s="415">
        <f t="shared" si="45"/>
        <v>1573</v>
      </c>
      <c r="B1429" s="416" t="str">
        <f t="shared" si="44"/>
        <v>Spring</v>
      </c>
      <c r="C1429" s="453"/>
      <c r="D1429" s="454"/>
      <c r="E1429" s="455"/>
      <c r="F1429" s="454"/>
      <c r="G1429" s="455"/>
      <c r="H1429" s="454"/>
      <c r="I1429" s="455"/>
      <c r="J1429" s="454"/>
      <c r="K1429" s="455"/>
      <c r="L1429" s="454"/>
      <c r="M1429" s="455"/>
      <c r="N1429" s="454"/>
      <c r="O1429" s="455"/>
      <c r="P1429" s="454"/>
      <c r="Q1429" s="455"/>
      <c r="R1429" s="454"/>
      <c r="S1429" s="455"/>
      <c r="T1429" s="454"/>
      <c r="U1429" s="455"/>
      <c r="V1429" s="454"/>
      <c r="W1429" s="455"/>
      <c r="X1429" s="454"/>
      <c r="Y1429" s="455"/>
      <c r="Z1429" s="454"/>
      <c r="AA1429" s="455"/>
      <c r="AB1429" s="454"/>
      <c r="AC1429" s="455"/>
      <c r="AD1429" s="454"/>
      <c r="AE1429" s="455"/>
      <c r="AF1429" s="454"/>
      <c r="AG1429" s="455"/>
    </row>
    <row r="1430" spans="1:33" x14ac:dyDescent="0.2">
      <c r="A1430" s="415">
        <f t="shared" si="45"/>
        <v>1573</v>
      </c>
      <c r="B1430" s="416" t="str">
        <f t="shared" si="44"/>
        <v>Summer</v>
      </c>
      <c r="C1430" s="453"/>
      <c r="D1430" s="454"/>
      <c r="E1430" s="455"/>
      <c r="F1430" s="454"/>
      <c r="G1430" s="455"/>
      <c r="H1430" s="454"/>
      <c r="I1430" s="455"/>
      <c r="J1430" s="454"/>
      <c r="K1430" s="455"/>
      <c r="L1430" s="454"/>
      <c r="M1430" s="455"/>
      <c r="N1430" s="454"/>
      <c r="O1430" s="455"/>
      <c r="P1430" s="454"/>
      <c r="Q1430" s="455"/>
      <c r="R1430" s="454"/>
      <c r="S1430" s="455"/>
      <c r="T1430" s="454"/>
      <c r="U1430" s="455"/>
      <c r="V1430" s="454"/>
      <c r="W1430" s="455"/>
      <c r="X1430" s="454"/>
      <c r="Y1430" s="455"/>
      <c r="Z1430" s="454"/>
      <c r="AA1430" s="455"/>
      <c r="AB1430" s="454"/>
      <c r="AC1430" s="455"/>
      <c r="AD1430" s="454"/>
      <c r="AE1430" s="455"/>
      <c r="AF1430" s="454"/>
      <c r="AG1430" s="455"/>
    </row>
    <row r="1431" spans="1:33" x14ac:dyDescent="0.2">
      <c r="A1431" s="415">
        <f t="shared" si="45"/>
        <v>1573</v>
      </c>
      <c r="B1431" s="416" t="str">
        <f t="shared" si="44"/>
        <v>Autumn</v>
      </c>
      <c r="C1431" s="453"/>
      <c r="D1431" s="454"/>
      <c r="E1431" s="455"/>
      <c r="F1431" s="454"/>
      <c r="G1431" s="455"/>
      <c r="H1431" s="454"/>
      <c r="I1431" s="455"/>
      <c r="J1431" s="454"/>
      <c r="K1431" s="455"/>
      <c r="L1431" s="454"/>
      <c r="M1431" s="455"/>
      <c r="N1431" s="454"/>
      <c r="O1431" s="455"/>
      <c r="P1431" s="454"/>
      <c r="Q1431" s="455"/>
      <c r="R1431" s="454"/>
      <c r="S1431" s="455"/>
      <c r="T1431" s="454"/>
      <c r="U1431" s="455"/>
      <c r="V1431" s="454"/>
      <c r="W1431" s="455"/>
      <c r="X1431" s="454"/>
      <c r="Y1431" s="455"/>
      <c r="Z1431" s="454"/>
      <c r="AA1431" s="455"/>
      <c r="AB1431" s="454"/>
      <c r="AC1431" s="455"/>
      <c r="AD1431" s="454"/>
      <c r="AE1431" s="455"/>
      <c r="AF1431" s="454"/>
      <c r="AG1431" s="455"/>
    </row>
    <row r="1432" spans="1:33" x14ac:dyDescent="0.2">
      <c r="A1432" s="415">
        <f t="shared" si="45"/>
        <v>1574</v>
      </c>
      <c r="B1432" s="416" t="str">
        <f t="shared" si="44"/>
        <v>Winter</v>
      </c>
      <c r="C1432" s="453"/>
      <c r="D1432" s="454"/>
      <c r="E1432" s="455"/>
      <c r="F1432" s="454"/>
      <c r="G1432" s="455"/>
      <c r="H1432" s="454"/>
      <c r="I1432" s="455"/>
      <c r="J1432" s="454"/>
      <c r="K1432" s="455"/>
      <c r="L1432" s="454"/>
      <c r="M1432" s="455"/>
      <c r="N1432" s="454"/>
      <c r="O1432" s="455"/>
      <c r="P1432" s="454"/>
      <c r="Q1432" s="455"/>
      <c r="R1432" s="454"/>
      <c r="S1432" s="455"/>
      <c r="T1432" s="454"/>
      <c r="U1432" s="455"/>
      <c r="V1432" s="454"/>
      <c r="W1432" s="455"/>
      <c r="X1432" s="454"/>
      <c r="Y1432" s="455"/>
      <c r="Z1432" s="454"/>
      <c r="AA1432" s="455"/>
      <c r="AB1432" s="454"/>
      <c r="AC1432" s="455"/>
      <c r="AD1432" s="454"/>
      <c r="AE1432" s="455"/>
      <c r="AF1432" s="454"/>
      <c r="AG1432" s="455"/>
    </row>
    <row r="1433" spans="1:33" x14ac:dyDescent="0.2">
      <c r="A1433" s="415">
        <f t="shared" si="45"/>
        <v>1574</v>
      </c>
      <c r="B1433" s="416" t="str">
        <f t="shared" si="44"/>
        <v>Spring</v>
      </c>
      <c r="C1433" s="453"/>
      <c r="D1433" s="454"/>
      <c r="E1433" s="455"/>
      <c r="F1433" s="454"/>
      <c r="G1433" s="455"/>
      <c r="H1433" s="454"/>
      <c r="I1433" s="455"/>
      <c r="J1433" s="454"/>
      <c r="K1433" s="455"/>
      <c r="L1433" s="454"/>
      <c r="M1433" s="455"/>
      <c r="N1433" s="454"/>
      <c r="O1433" s="455"/>
      <c r="P1433" s="454"/>
      <c r="Q1433" s="455"/>
      <c r="R1433" s="454"/>
      <c r="S1433" s="455"/>
      <c r="T1433" s="454"/>
      <c r="U1433" s="455"/>
      <c r="V1433" s="454"/>
      <c r="W1433" s="455"/>
      <c r="X1433" s="454"/>
      <c r="Y1433" s="455"/>
      <c r="Z1433" s="454"/>
      <c r="AA1433" s="455"/>
      <c r="AB1433" s="454"/>
      <c r="AC1433" s="455"/>
      <c r="AD1433" s="454"/>
      <c r="AE1433" s="455"/>
      <c r="AF1433" s="454"/>
      <c r="AG1433" s="455"/>
    </row>
    <row r="1434" spans="1:33" x14ac:dyDescent="0.2">
      <c r="A1434" s="415">
        <f t="shared" si="45"/>
        <v>1574</v>
      </c>
      <c r="B1434" s="416" t="str">
        <f t="shared" si="44"/>
        <v>Summer</v>
      </c>
      <c r="C1434" s="453"/>
      <c r="D1434" s="454"/>
      <c r="E1434" s="455"/>
      <c r="F1434" s="454"/>
      <c r="G1434" s="455"/>
      <c r="H1434" s="454"/>
      <c r="I1434" s="455"/>
      <c r="J1434" s="454"/>
      <c r="K1434" s="455"/>
      <c r="L1434" s="454"/>
      <c r="M1434" s="455"/>
      <c r="N1434" s="454"/>
      <c r="O1434" s="455"/>
      <c r="P1434" s="454"/>
      <c r="Q1434" s="455"/>
      <c r="R1434" s="454"/>
      <c r="S1434" s="455"/>
      <c r="T1434" s="454"/>
      <c r="U1434" s="455"/>
      <c r="V1434" s="454"/>
      <c r="W1434" s="455"/>
      <c r="X1434" s="454"/>
      <c r="Y1434" s="455"/>
      <c r="Z1434" s="454"/>
      <c r="AA1434" s="455"/>
      <c r="AB1434" s="454"/>
      <c r="AC1434" s="455"/>
      <c r="AD1434" s="454"/>
      <c r="AE1434" s="455"/>
      <c r="AF1434" s="454"/>
      <c r="AG1434" s="455"/>
    </row>
    <row r="1435" spans="1:33" x14ac:dyDescent="0.2">
      <c r="A1435" s="415">
        <f t="shared" si="45"/>
        <v>1574</v>
      </c>
      <c r="B1435" s="416" t="str">
        <f t="shared" si="44"/>
        <v>Autumn</v>
      </c>
      <c r="C1435" s="453"/>
      <c r="D1435" s="454"/>
      <c r="E1435" s="455"/>
      <c r="F1435" s="454"/>
      <c r="G1435" s="455"/>
      <c r="H1435" s="454"/>
      <c r="I1435" s="455"/>
      <c r="J1435" s="454"/>
      <c r="K1435" s="455"/>
      <c r="L1435" s="454"/>
      <c r="M1435" s="455"/>
      <c r="N1435" s="454"/>
      <c r="O1435" s="455"/>
      <c r="P1435" s="454"/>
      <c r="Q1435" s="455"/>
      <c r="R1435" s="454"/>
      <c r="S1435" s="455"/>
      <c r="T1435" s="454"/>
      <c r="U1435" s="455"/>
      <c r="V1435" s="454"/>
      <c r="W1435" s="455"/>
      <c r="X1435" s="454"/>
      <c r="Y1435" s="455"/>
      <c r="Z1435" s="454"/>
      <c r="AA1435" s="455"/>
      <c r="AB1435" s="454"/>
      <c r="AC1435" s="455"/>
      <c r="AD1435" s="454"/>
      <c r="AE1435" s="455"/>
      <c r="AF1435" s="454"/>
      <c r="AG1435" s="455"/>
    </row>
    <row r="1436" spans="1:33" x14ac:dyDescent="0.2">
      <c r="A1436" s="415">
        <f t="shared" si="45"/>
        <v>1575</v>
      </c>
      <c r="B1436" s="416" t="str">
        <f t="shared" si="44"/>
        <v>Winter</v>
      </c>
      <c r="C1436" s="453"/>
      <c r="D1436" s="454"/>
      <c r="E1436" s="455"/>
      <c r="F1436" s="454"/>
      <c r="G1436" s="455"/>
      <c r="H1436" s="454"/>
      <c r="I1436" s="455"/>
      <c r="J1436" s="454"/>
      <c r="K1436" s="455"/>
      <c r="L1436" s="454"/>
      <c r="M1436" s="455"/>
      <c r="N1436" s="454"/>
      <c r="O1436" s="455"/>
      <c r="P1436" s="454"/>
      <c r="Q1436" s="455"/>
      <c r="R1436" s="454"/>
      <c r="S1436" s="455"/>
      <c r="T1436" s="454"/>
      <c r="U1436" s="455"/>
      <c r="V1436" s="454"/>
      <c r="W1436" s="455"/>
      <c r="X1436" s="454"/>
      <c r="Y1436" s="455"/>
      <c r="Z1436" s="454"/>
      <c r="AA1436" s="455"/>
      <c r="AB1436" s="454"/>
      <c r="AC1436" s="455"/>
      <c r="AD1436" s="454"/>
      <c r="AE1436" s="455"/>
      <c r="AF1436" s="454"/>
      <c r="AG1436" s="455"/>
    </row>
    <row r="1437" spans="1:33" x14ac:dyDescent="0.2">
      <c r="A1437" s="415">
        <f t="shared" si="45"/>
        <v>1575</v>
      </c>
      <c r="B1437" s="416" t="str">
        <f t="shared" si="44"/>
        <v>Spring</v>
      </c>
      <c r="C1437" s="453"/>
      <c r="D1437" s="454"/>
      <c r="E1437" s="455"/>
      <c r="F1437" s="454"/>
      <c r="G1437" s="455"/>
      <c r="H1437" s="454"/>
      <c r="I1437" s="455"/>
      <c r="J1437" s="454"/>
      <c r="K1437" s="455"/>
      <c r="L1437" s="454"/>
      <c r="M1437" s="455"/>
      <c r="N1437" s="454"/>
      <c r="O1437" s="455"/>
      <c r="P1437" s="454"/>
      <c r="Q1437" s="455"/>
      <c r="R1437" s="454"/>
      <c r="S1437" s="455"/>
      <c r="T1437" s="454"/>
      <c r="U1437" s="455"/>
      <c r="V1437" s="454"/>
      <c r="W1437" s="455"/>
      <c r="X1437" s="454"/>
      <c r="Y1437" s="455"/>
      <c r="Z1437" s="454"/>
      <c r="AA1437" s="455"/>
      <c r="AB1437" s="454"/>
      <c r="AC1437" s="455"/>
      <c r="AD1437" s="454"/>
      <c r="AE1437" s="455"/>
      <c r="AF1437" s="454"/>
      <c r="AG1437" s="455"/>
    </row>
    <row r="1438" spans="1:33" x14ac:dyDescent="0.2">
      <c r="A1438" s="415">
        <f t="shared" si="45"/>
        <v>1575</v>
      </c>
      <c r="B1438" s="416" t="str">
        <f t="shared" si="44"/>
        <v>Summer</v>
      </c>
      <c r="C1438" s="453"/>
      <c r="D1438" s="454"/>
      <c r="E1438" s="455"/>
      <c r="F1438" s="454"/>
      <c r="G1438" s="455"/>
      <c r="H1438" s="454"/>
      <c r="I1438" s="455"/>
      <c r="J1438" s="454"/>
      <c r="K1438" s="455"/>
      <c r="L1438" s="454"/>
      <c r="M1438" s="455"/>
      <c r="N1438" s="454"/>
      <c r="O1438" s="455"/>
      <c r="P1438" s="454"/>
      <c r="Q1438" s="455"/>
      <c r="R1438" s="454"/>
      <c r="S1438" s="455"/>
      <c r="T1438" s="454"/>
      <c r="U1438" s="455"/>
      <c r="V1438" s="454"/>
      <c r="W1438" s="455"/>
      <c r="X1438" s="454"/>
      <c r="Y1438" s="455"/>
      <c r="Z1438" s="454"/>
      <c r="AA1438" s="455"/>
      <c r="AB1438" s="454"/>
      <c r="AC1438" s="455"/>
      <c r="AD1438" s="454"/>
      <c r="AE1438" s="455"/>
      <c r="AF1438" s="454"/>
      <c r="AG1438" s="455"/>
    </row>
    <row r="1439" spans="1:33" x14ac:dyDescent="0.2">
      <c r="A1439" s="415">
        <f t="shared" si="45"/>
        <v>1575</v>
      </c>
      <c r="B1439" s="416" t="str">
        <f t="shared" si="44"/>
        <v>Autumn</v>
      </c>
      <c r="C1439" s="453"/>
      <c r="D1439" s="454"/>
      <c r="E1439" s="455"/>
      <c r="F1439" s="454"/>
      <c r="G1439" s="455"/>
      <c r="H1439" s="454"/>
      <c r="I1439" s="455"/>
      <c r="J1439" s="454"/>
      <c r="K1439" s="455"/>
      <c r="L1439" s="454"/>
      <c r="M1439" s="455"/>
      <c r="N1439" s="454"/>
      <c r="O1439" s="455"/>
      <c r="P1439" s="454"/>
      <c r="Q1439" s="455"/>
      <c r="R1439" s="454"/>
      <c r="S1439" s="455"/>
      <c r="T1439" s="454"/>
      <c r="U1439" s="455"/>
      <c r="V1439" s="454"/>
      <c r="W1439" s="455"/>
      <c r="X1439" s="454"/>
      <c r="Y1439" s="455"/>
      <c r="Z1439" s="454"/>
      <c r="AA1439" s="455"/>
      <c r="AB1439" s="454"/>
      <c r="AC1439" s="455"/>
      <c r="AD1439" s="454"/>
      <c r="AE1439" s="455"/>
      <c r="AF1439" s="454"/>
      <c r="AG1439" s="455"/>
    </row>
    <row r="1440" spans="1:33" x14ac:dyDescent="0.2">
      <c r="A1440" s="415">
        <f t="shared" si="45"/>
        <v>1576</v>
      </c>
      <c r="B1440" s="416" t="str">
        <f t="shared" si="44"/>
        <v>Winter</v>
      </c>
      <c r="C1440" s="453"/>
      <c r="D1440" s="454"/>
      <c r="E1440" s="455"/>
      <c r="F1440" s="454"/>
      <c r="G1440" s="455"/>
      <c r="H1440" s="454"/>
      <c r="I1440" s="455"/>
      <c r="J1440" s="454"/>
      <c r="K1440" s="455"/>
      <c r="L1440" s="454"/>
      <c r="M1440" s="455"/>
      <c r="N1440" s="454"/>
      <c r="O1440" s="455"/>
      <c r="P1440" s="454"/>
      <c r="Q1440" s="455"/>
      <c r="R1440" s="454"/>
      <c r="S1440" s="455"/>
      <c r="T1440" s="454"/>
      <c r="U1440" s="455"/>
      <c r="V1440" s="454"/>
      <c r="W1440" s="455"/>
      <c r="X1440" s="454"/>
      <c r="Y1440" s="455"/>
      <c r="Z1440" s="454"/>
      <c r="AA1440" s="455"/>
      <c r="AB1440" s="454"/>
      <c r="AC1440" s="455"/>
      <c r="AD1440" s="454"/>
      <c r="AE1440" s="455"/>
      <c r="AF1440" s="454"/>
      <c r="AG1440" s="455"/>
    </row>
    <row r="1441" spans="1:33" x14ac:dyDescent="0.2">
      <c r="A1441" s="415">
        <f t="shared" si="45"/>
        <v>1576</v>
      </c>
      <c r="B1441" s="416" t="str">
        <f t="shared" si="44"/>
        <v>Spring</v>
      </c>
      <c r="C1441" s="453"/>
      <c r="D1441" s="454"/>
      <c r="E1441" s="455"/>
      <c r="F1441" s="454"/>
      <c r="G1441" s="455"/>
      <c r="H1441" s="454"/>
      <c r="I1441" s="455"/>
      <c r="J1441" s="454"/>
      <c r="K1441" s="455"/>
      <c r="L1441" s="454"/>
      <c r="M1441" s="455"/>
      <c r="N1441" s="454"/>
      <c r="O1441" s="455"/>
      <c r="P1441" s="454"/>
      <c r="Q1441" s="455"/>
      <c r="R1441" s="454"/>
      <c r="S1441" s="455"/>
      <c r="T1441" s="454"/>
      <c r="U1441" s="455"/>
      <c r="V1441" s="454"/>
      <c r="W1441" s="455"/>
      <c r="X1441" s="454"/>
      <c r="Y1441" s="455"/>
      <c r="Z1441" s="454"/>
      <c r="AA1441" s="455"/>
      <c r="AB1441" s="454"/>
      <c r="AC1441" s="455"/>
      <c r="AD1441" s="454"/>
      <c r="AE1441" s="455"/>
      <c r="AF1441" s="454"/>
      <c r="AG1441" s="455"/>
    </row>
    <row r="1442" spans="1:33" x14ac:dyDescent="0.2">
      <c r="A1442" s="415">
        <f t="shared" si="45"/>
        <v>1576</v>
      </c>
      <c r="B1442" s="416" t="str">
        <f t="shared" si="44"/>
        <v>Summer</v>
      </c>
      <c r="C1442" s="453"/>
      <c r="D1442" s="454"/>
      <c r="E1442" s="455"/>
      <c r="F1442" s="454"/>
      <c r="G1442" s="455"/>
      <c r="H1442" s="454"/>
      <c r="I1442" s="455"/>
      <c r="J1442" s="454"/>
      <c r="K1442" s="455"/>
      <c r="L1442" s="454"/>
      <c r="M1442" s="455"/>
      <c r="N1442" s="454"/>
      <c r="O1442" s="455"/>
      <c r="P1442" s="454"/>
      <c r="Q1442" s="455"/>
      <c r="R1442" s="454"/>
      <c r="S1442" s="455"/>
      <c r="T1442" s="454"/>
      <c r="U1442" s="455"/>
      <c r="V1442" s="454"/>
      <c r="W1442" s="455"/>
      <c r="X1442" s="454"/>
      <c r="Y1442" s="455"/>
      <c r="Z1442" s="454"/>
      <c r="AA1442" s="455"/>
      <c r="AB1442" s="454"/>
      <c r="AC1442" s="455"/>
      <c r="AD1442" s="454"/>
      <c r="AE1442" s="455"/>
      <c r="AF1442" s="454"/>
      <c r="AG1442" s="455"/>
    </row>
    <row r="1443" spans="1:33" x14ac:dyDescent="0.2">
      <c r="A1443" s="415">
        <f t="shared" si="45"/>
        <v>1576</v>
      </c>
      <c r="B1443" s="416" t="str">
        <f t="shared" si="44"/>
        <v>Autumn</v>
      </c>
      <c r="C1443" s="453"/>
      <c r="D1443" s="454"/>
      <c r="E1443" s="455"/>
      <c r="F1443" s="454"/>
      <c r="G1443" s="455"/>
      <c r="H1443" s="454"/>
      <c r="I1443" s="455"/>
      <c r="J1443" s="454"/>
      <c r="K1443" s="455"/>
      <c r="L1443" s="454"/>
      <c r="M1443" s="455"/>
      <c r="N1443" s="454"/>
      <c r="O1443" s="455"/>
      <c r="P1443" s="454"/>
      <c r="Q1443" s="455"/>
      <c r="R1443" s="454"/>
      <c r="S1443" s="455"/>
      <c r="T1443" s="454"/>
      <c r="U1443" s="455"/>
      <c r="V1443" s="454"/>
      <c r="W1443" s="455"/>
      <c r="X1443" s="454"/>
      <c r="Y1443" s="455"/>
      <c r="Z1443" s="454"/>
      <c r="AA1443" s="455"/>
      <c r="AB1443" s="454"/>
      <c r="AC1443" s="455"/>
      <c r="AD1443" s="454"/>
      <c r="AE1443" s="455"/>
      <c r="AF1443" s="454"/>
      <c r="AG1443" s="455"/>
    </row>
    <row r="1444" spans="1:33" x14ac:dyDescent="0.2">
      <c r="A1444" s="415">
        <f t="shared" si="45"/>
        <v>1577</v>
      </c>
      <c r="B1444" s="416" t="str">
        <f t="shared" si="44"/>
        <v>Winter</v>
      </c>
      <c r="C1444" s="453"/>
      <c r="D1444" s="454"/>
      <c r="E1444" s="455"/>
      <c r="F1444" s="454"/>
      <c r="G1444" s="455"/>
      <c r="H1444" s="454"/>
      <c r="I1444" s="455"/>
      <c r="J1444" s="454"/>
      <c r="K1444" s="455"/>
      <c r="L1444" s="454"/>
      <c r="M1444" s="455"/>
      <c r="N1444" s="454"/>
      <c r="O1444" s="455"/>
      <c r="P1444" s="454"/>
      <c r="Q1444" s="455"/>
      <c r="R1444" s="454"/>
      <c r="S1444" s="455"/>
      <c r="T1444" s="454"/>
      <c r="U1444" s="455"/>
      <c r="V1444" s="454"/>
      <c r="W1444" s="455"/>
      <c r="X1444" s="454"/>
      <c r="Y1444" s="455"/>
      <c r="Z1444" s="454"/>
      <c r="AA1444" s="455"/>
      <c r="AB1444" s="454"/>
      <c r="AC1444" s="455"/>
      <c r="AD1444" s="454"/>
      <c r="AE1444" s="455"/>
      <c r="AF1444" s="454"/>
      <c r="AG1444" s="455"/>
    </row>
    <row r="1445" spans="1:33" x14ac:dyDescent="0.2">
      <c r="A1445" s="415">
        <f t="shared" si="45"/>
        <v>1577</v>
      </c>
      <c r="B1445" s="416" t="str">
        <f t="shared" si="44"/>
        <v>Spring</v>
      </c>
      <c r="C1445" s="453"/>
      <c r="D1445" s="454"/>
      <c r="E1445" s="455"/>
      <c r="F1445" s="454"/>
      <c r="G1445" s="455"/>
      <c r="H1445" s="454"/>
      <c r="I1445" s="455"/>
      <c r="J1445" s="454"/>
      <c r="K1445" s="455"/>
      <c r="L1445" s="454"/>
      <c r="M1445" s="455"/>
      <c r="N1445" s="454"/>
      <c r="O1445" s="455"/>
      <c r="P1445" s="454"/>
      <c r="Q1445" s="455"/>
      <c r="R1445" s="454"/>
      <c r="S1445" s="455"/>
      <c r="T1445" s="454"/>
      <c r="U1445" s="455"/>
      <c r="V1445" s="454"/>
      <c r="W1445" s="455"/>
      <c r="X1445" s="454"/>
      <c r="Y1445" s="455"/>
      <c r="Z1445" s="454"/>
      <c r="AA1445" s="455"/>
      <c r="AB1445" s="454"/>
      <c r="AC1445" s="455"/>
      <c r="AD1445" s="454"/>
      <c r="AE1445" s="455"/>
      <c r="AF1445" s="454"/>
      <c r="AG1445" s="455"/>
    </row>
    <row r="1446" spans="1:33" x14ac:dyDescent="0.2">
      <c r="A1446" s="415">
        <f t="shared" si="45"/>
        <v>1577</v>
      </c>
      <c r="B1446" s="416" t="str">
        <f t="shared" si="44"/>
        <v>Summer</v>
      </c>
      <c r="C1446" s="453"/>
      <c r="D1446" s="454"/>
      <c r="E1446" s="455"/>
      <c r="F1446" s="454"/>
      <c r="G1446" s="455"/>
      <c r="H1446" s="454"/>
      <c r="I1446" s="455"/>
      <c r="J1446" s="454"/>
      <c r="K1446" s="455"/>
      <c r="L1446" s="454"/>
      <c r="M1446" s="455"/>
      <c r="N1446" s="454"/>
      <c r="O1446" s="455"/>
      <c r="P1446" s="454"/>
      <c r="Q1446" s="455"/>
      <c r="R1446" s="454"/>
      <c r="S1446" s="455"/>
      <c r="T1446" s="454"/>
      <c r="U1446" s="455"/>
      <c r="V1446" s="454"/>
      <c r="W1446" s="455"/>
      <c r="X1446" s="454"/>
      <c r="Y1446" s="455"/>
      <c r="Z1446" s="454"/>
      <c r="AA1446" s="455"/>
      <c r="AB1446" s="454"/>
      <c r="AC1446" s="455"/>
      <c r="AD1446" s="454"/>
      <c r="AE1446" s="455"/>
      <c r="AF1446" s="454"/>
      <c r="AG1446" s="455"/>
    </row>
    <row r="1447" spans="1:33" x14ac:dyDescent="0.2">
      <c r="A1447" s="415">
        <f t="shared" si="45"/>
        <v>1577</v>
      </c>
      <c r="B1447" s="416" t="str">
        <f t="shared" si="44"/>
        <v>Autumn</v>
      </c>
      <c r="C1447" s="453"/>
      <c r="D1447" s="454"/>
      <c r="E1447" s="455"/>
      <c r="F1447" s="454"/>
      <c r="G1447" s="455"/>
      <c r="H1447" s="454"/>
      <c r="I1447" s="455"/>
      <c r="J1447" s="454"/>
      <c r="K1447" s="455"/>
      <c r="L1447" s="454"/>
      <c r="M1447" s="455"/>
      <c r="N1447" s="454"/>
      <c r="O1447" s="455"/>
      <c r="P1447" s="454"/>
      <c r="Q1447" s="455"/>
      <c r="R1447" s="454"/>
      <c r="S1447" s="455"/>
      <c r="T1447" s="454"/>
      <c r="U1447" s="455"/>
      <c r="V1447" s="454"/>
      <c r="W1447" s="455"/>
      <c r="X1447" s="454"/>
      <c r="Y1447" s="455"/>
      <c r="Z1447" s="454"/>
      <c r="AA1447" s="455"/>
      <c r="AB1447" s="454"/>
      <c r="AC1447" s="455"/>
      <c r="AD1447" s="454"/>
      <c r="AE1447" s="455"/>
      <c r="AF1447" s="454"/>
      <c r="AG1447" s="455"/>
    </row>
    <row r="1448" spans="1:33" x14ac:dyDescent="0.2">
      <c r="A1448" s="415">
        <f t="shared" si="45"/>
        <v>1578</v>
      </c>
      <c r="B1448" s="416" t="str">
        <f t="shared" si="44"/>
        <v>Winter</v>
      </c>
      <c r="C1448" s="453"/>
      <c r="D1448" s="454"/>
      <c r="E1448" s="455"/>
      <c r="F1448" s="454"/>
      <c r="G1448" s="455"/>
      <c r="H1448" s="454"/>
      <c r="I1448" s="455"/>
      <c r="J1448" s="454"/>
      <c r="K1448" s="455"/>
      <c r="L1448" s="454"/>
      <c r="M1448" s="455"/>
      <c r="N1448" s="454"/>
      <c r="O1448" s="455"/>
      <c r="P1448" s="454"/>
      <c r="Q1448" s="455"/>
      <c r="R1448" s="454"/>
      <c r="S1448" s="455"/>
      <c r="T1448" s="454"/>
      <c r="U1448" s="455"/>
      <c r="V1448" s="454"/>
      <c r="W1448" s="455"/>
      <c r="X1448" s="454"/>
      <c r="Y1448" s="455"/>
      <c r="Z1448" s="454"/>
      <c r="AA1448" s="455"/>
      <c r="AB1448" s="454"/>
      <c r="AC1448" s="455"/>
      <c r="AD1448" s="454"/>
      <c r="AE1448" s="455"/>
      <c r="AF1448" s="454"/>
      <c r="AG1448" s="455"/>
    </row>
    <row r="1449" spans="1:33" x14ac:dyDescent="0.2">
      <c r="A1449" s="415">
        <f t="shared" si="45"/>
        <v>1578</v>
      </c>
      <c r="B1449" s="416" t="str">
        <f t="shared" si="44"/>
        <v>Spring</v>
      </c>
      <c r="C1449" s="453"/>
      <c r="D1449" s="454"/>
      <c r="E1449" s="455"/>
      <c r="F1449" s="454"/>
      <c r="G1449" s="455"/>
      <c r="H1449" s="454"/>
      <c r="I1449" s="455"/>
      <c r="J1449" s="454"/>
      <c r="K1449" s="455"/>
      <c r="L1449" s="454"/>
      <c r="M1449" s="455"/>
      <c r="N1449" s="454"/>
      <c r="O1449" s="455"/>
      <c r="P1449" s="454"/>
      <c r="Q1449" s="455"/>
      <c r="R1449" s="454"/>
      <c r="S1449" s="455"/>
      <c r="T1449" s="454"/>
      <c r="U1449" s="455"/>
      <c r="V1449" s="454"/>
      <c r="W1449" s="455"/>
      <c r="X1449" s="454"/>
      <c r="Y1449" s="455"/>
      <c r="Z1449" s="454"/>
      <c r="AA1449" s="455"/>
      <c r="AB1449" s="454"/>
      <c r="AC1449" s="455"/>
      <c r="AD1449" s="454"/>
      <c r="AE1449" s="455"/>
      <c r="AF1449" s="454"/>
      <c r="AG1449" s="455"/>
    </row>
    <row r="1450" spans="1:33" x14ac:dyDescent="0.2">
      <c r="A1450" s="415">
        <f t="shared" si="45"/>
        <v>1578</v>
      </c>
      <c r="B1450" s="416" t="str">
        <f t="shared" si="44"/>
        <v>Summer</v>
      </c>
      <c r="C1450" s="453"/>
      <c r="D1450" s="454"/>
      <c r="E1450" s="455"/>
      <c r="F1450" s="454"/>
      <c r="G1450" s="455"/>
      <c r="H1450" s="454"/>
      <c r="I1450" s="455"/>
      <c r="J1450" s="454"/>
      <c r="K1450" s="455"/>
      <c r="L1450" s="454"/>
      <c r="M1450" s="455"/>
      <c r="N1450" s="454"/>
      <c r="O1450" s="455"/>
      <c r="P1450" s="454"/>
      <c r="Q1450" s="455"/>
      <c r="R1450" s="454"/>
      <c r="S1450" s="455"/>
      <c r="T1450" s="454"/>
      <c r="U1450" s="455"/>
      <c r="V1450" s="454"/>
      <c r="W1450" s="455"/>
      <c r="X1450" s="454"/>
      <c r="Y1450" s="455"/>
      <c r="Z1450" s="454"/>
      <c r="AA1450" s="455"/>
      <c r="AB1450" s="454"/>
      <c r="AC1450" s="455"/>
      <c r="AD1450" s="454"/>
      <c r="AE1450" s="455"/>
      <c r="AF1450" s="454"/>
      <c r="AG1450" s="455"/>
    </row>
    <row r="1451" spans="1:33" x14ac:dyDescent="0.2">
      <c r="A1451" s="415">
        <f t="shared" si="45"/>
        <v>1578</v>
      </c>
      <c r="B1451" s="416" t="str">
        <f t="shared" ref="B1451:B1500" si="46">IF(B1450="spring","Summer",IF(B1450="Summer","Autumn",IF(B1450="Autumn","Winter",IF(B1450="Winter","Spring"," "))))</f>
        <v>Autumn</v>
      </c>
      <c r="C1451" s="453"/>
      <c r="D1451" s="454"/>
      <c r="E1451" s="455"/>
      <c r="F1451" s="454"/>
      <c r="G1451" s="455"/>
      <c r="H1451" s="454"/>
      <c r="I1451" s="455"/>
      <c r="J1451" s="454"/>
      <c r="K1451" s="455"/>
      <c r="L1451" s="454"/>
      <c r="M1451" s="455"/>
      <c r="N1451" s="454"/>
      <c r="O1451" s="455"/>
      <c r="P1451" s="454"/>
      <c r="Q1451" s="455"/>
      <c r="R1451" s="454"/>
      <c r="S1451" s="455"/>
      <c r="T1451" s="454"/>
      <c r="U1451" s="455"/>
      <c r="V1451" s="454"/>
      <c r="W1451" s="455"/>
      <c r="X1451" s="454"/>
      <c r="Y1451" s="455"/>
      <c r="Z1451" s="454"/>
      <c r="AA1451" s="455"/>
      <c r="AB1451" s="454"/>
      <c r="AC1451" s="455"/>
      <c r="AD1451" s="454"/>
      <c r="AE1451" s="455"/>
      <c r="AF1451" s="454"/>
      <c r="AG1451" s="455"/>
    </row>
    <row r="1452" spans="1:33" x14ac:dyDescent="0.2">
      <c r="A1452" s="415">
        <f t="shared" si="45"/>
        <v>1579</v>
      </c>
      <c r="B1452" s="416" t="str">
        <f t="shared" si="46"/>
        <v>Winter</v>
      </c>
      <c r="C1452" s="453"/>
      <c r="D1452" s="454"/>
      <c r="E1452" s="455"/>
      <c r="F1452" s="454"/>
      <c r="G1452" s="455"/>
      <c r="H1452" s="454"/>
      <c r="I1452" s="455"/>
      <c r="J1452" s="454"/>
      <c r="K1452" s="455"/>
      <c r="L1452" s="454"/>
      <c r="M1452" s="455"/>
      <c r="N1452" s="454"/>
      <c r="O1452" s="455"/>
      <c r="P1452" s="454"/>
      <c r="Q1452" s="455"/>
      <c r="R1452" s="454"/>
      <c r="S1452" s="455"/>
      <c r="T1452" s="454"/>
      <c r="U1452" s="455"/>
      <c r="V1452" s="454"/>
      <c r="W1452" s="455"/>
      <c r="X1452" s="454"/>
      <c r="Y1452" s="455"/>
      <c r="Z1452" s="454"/>
      <c r="AA1452" s="455"/>
      <c r="AB1452" s="454"/>
      <c r="AC1452" s="455"/>
      <c r="AD1452" s="454"/>
      <c r="AE1452" s="455"/>
      <c r="AF1452" s="454"/>
      <c r="AG1452" s="455"/>
    </row>
    <row r="1453" spans="1:33" x14ac:dyDescent="0.2">
      <c r="A1453" s="415">
        <f t="shared" si="45"/>
        <v>1579</v>
      </c>
      <c r="B1453" s="416" t="str">
        <f t="shared" si="46"/>
        <v>Spring</v>
      </c>
      <c r="C1453" s="453"/>
      <c r="D1453" s="454"/>
      <c r="E1453" s="455"/>
      <c r="F1453" s="454"/>
      <c r="G1453" s="455"/>
      <c r="H1453" s="454"/>
      <c r="I1453" s="455"/>
      <c r="J1453" s="454"/>
      <c r="K1453" s="455"/>
      <c r="L1453" s="454"/>
      <c r="M1453" s="455"/>
      <c r="N1453" s="454"/>
      <c r="O1453" s="455"/>
      <c r="P1453" s="454"/>
      <c r="Q1453" s="455"/>
      <c r="R1453" s="454"/>
      <c r="S1453" s="455"/>
      <c r="T1453" s="454"/>
      <c r="U1453" s="455"/>
      <c r="V1453" s="454"/>
      <c r="W1453" s="455"/>
      <c r="X1453" s="454"/>
      <c r="Y1453" s="455"/>
      <c r="Z1453" s="454"/>
      <c r="AA1453" s="455"/>
      <c r="AB1453" s="454"/>
      <c r="AC1453" s="455"/>
      <c r="AD1453" s="454"/>
      <c r="AE1453" s="455"/>
      <c r="AF1453" s="454"/>
      <c r="AG1453" s="455"/>
    </row>
    <row r="1454" spans="1:33" x14ac:dyDescent="0.2">
      <c r="A1454" s="415">
        <f t="shared" si="45"/>
        <v>1579</v>
      </c>
      <c r="B1454" s="416" t="str">
        <f t="shared" si="46"/>
        <v>Summer</v>
      </c>
      <c r="C1454" s="453"/>
      <c r="D1454" s="454"/>
      <c r="E1454" s="455"/>
      <c r="F1454" s="454"/>
      <c r="G1454" s="455"/>
      <c r="H1454" s="454"/>
      <c r="I1454" s="455"/>
      <c r="J1454" s="454"/>
      <c r="K1454" s="455"/>
      <c r="L1454" s="454"/>
      <c r="M1454" s="455"/>
      <c r="N1454" s="454"/>
      <c r="O1454" s="455"/>
      <c r="P1454" s="454"/>
      <c r="Q1454" s="455"/>
      <c r="R1454" s="454"/>
      <c r="S1454" s="455"/>
      <c r="T1454" s="454"/>
      <c r="U1454" s="455"/>
      <c r="V1454" s="454"/>
      <c r="W1454" s="455"/>
      <c r="X1454" s="454"/>
      <c r="Y1454" s="455"/>
      <c r="Z1454" s="454"/>
      <c r="AA1454" s="455"/>
      <c r="AB1454" s="454"/>
      <c r="AC1454" s="455"/>
      <c r="AD1454" s="454"/>
      <c r="AE1454" s="455"/>
      <c r="AF1454" s="454"/>
      <c r="AG1454" s="455"/>
    </row>
    <row r="1455" spans="1:33" x14ac:dyDescent="0.2">
      <c r="A1455" s="415">
        <f t="shared" si="45"/>
        <v>1579</v>
      </c>
      <c r="B1455" s="416" t="str">
        <f t="shared" si="46"/>
        <v>Autumn</v>
      </c>
      <c r="C1455" s="453"/>
      <c r="D1455" s="454"/>
      <c r="E1455" s="455"/>
      <c r="F1455" s="454"/>
      <c r="G1455" s="455"/>
      <c r="H1455" s="454"/>
      <c r="I1455" s="455"/>
      <c r="J1455" s="454"/>
      <c r="K1455" s="455"/>
      <c r="L1455" s="454"/>
      <c r="M1455" s="455"/>
      <c r="N1455" s="454"/>
      <c r="O1455" s="455"/>
      <c r="P1455" s="454"/>
      <c r="Q1455" s="455"/>
      <c r="R1455" s="454"/>
      <c r="S1455" s="455"/>
      <c r="T1455" s="454"/>
      <c r="U1455" s="455"/>
      <c r="V1455" s="454"/>
      <c r="W1455" s="455"/>
      <c r="X1455" s="454"/>
      <c r="Y1455" s="455"/>
      <c r="Z1455" s="454"/>
      <c r="AA1455" s="455"/>
      <c r="AB1455" s="454"/>
      <c r="AC1455" s="455"/>
      <c r="AD1455" s="454"/>
      <c r="AE1455" s="455"/>
      <c r="AF1455" s="454"/>
      <c r="AG1455" s="455"/>
    </row>
    <row r="1456" spans="1:33" x14ac:dyDescent="0.2">
      <c r="A1456" s="415">
        <f t="shared" si="45"/>
        <v>1580</v>
      </c>
      <c r="B1456" s="416" t="str">
        <f t="shared" si="46"/>
        <v>Winter</v>
      </c>
      <c r="C1456" s="453"/>
      <c r="D1456" s="454"/>
      <c r="E1456" s="455"/>
      <c r="F1456" s="454"/>
      <c r="G1456" s="455"/>
      <c r="H1456" s="454"/>
      <c r="I1456" s="455"/>
      <c r="J1456" s="454"/>
      <c r="K1456" s="455"/>
      <c r="L1456" s="454"/>
      <c r="M1456" s="455"/>
      <c r="N1456" s="454"/>
      <c r="O1456" s="455"/>
      <c r="P1456" s="454"/>
      <c r="Q1456" s="455"/>
      <c r="R1456" s="454"/>
      <c r="S1456" s="455"/>
      <c r="T1456" s="454"/>
      <c r="U1456" s="455"/>
      <c r="V1456" s="454"/>
      <c r="W1456" s="455"/>
      <c r="X1456" s="454"/>
      <c r="Y1456" s="455"/>
      <c r="Z1456" s="454"/>
      <c r="AA1456" s="455"/>
      <c r="AB1456" s="454"/>
      <c r="AC1456" s="455"/>
      <c r="AD1456" s="454"/>
      <c r="AE1456" s="455"/>
      <c r="AF1456" s="454"/>
      <c r="AG1456" s="455"/>
    </row>
    <row r="1457" spans="1:33" x14ac:dyDescent="0.2">
      <c r="A1457" s="415">
        <f t="shared" si="45"/>
        <v>1580</v>
      </c>
      <c r="B1457" s="416" t="str">
        <f t="shared" si="46"/>
        <v>Spring</v>
      </c>
      <c r="C1457" s="453"/>
      <c r="D1457" s="454"/>
      <c r="E1457" s="455"/>
      <c r="F1457" s="454"/>
      <c r="G1457" s="455"/>
      <c r="H1457" s="454"/>
      <c r="I1457" s="455"/>
      <c r="J1457" s="454"/>
      <c r="K1457" s="455"/>
      <c r="L1457" s="454"/>
      <c r="M1457" s="455"/>
      <c r="N1457" s="454"/>
      <c r="O1457" s="455"/>
      <c r="P1457" s="454"/>
      <c r="Q1457" s="455"/>
      <c r="R1457" s="454"/>
      <c r="S1457" s="455"/>
      <c r="T1457" s="454"/>
      <c r="U1457" s="455"/>
      <c r="V1457" s="454"/>
      <c r="W1457" s="455"/>
      <c r="X1457" s="454"/>
      <c r="Y1457" s="455"/>
      <c r="Z1457" s="454"/>
      <c r="AA1457" s="455"/>
      <c r="AB1457" s="454"/>
      <c r="AC1457" s="455"/>
      <c r="AD1457" s="454"/>
      <c r="AE1457" s="455"/>
      <c r="AF1457" s="454"/>
      <c r="AG1457" s="455"/>
    </row>
    <row r="1458" spans="1:33" x14ac:dyDescent="0.2">
      <c r="A1458" s="415">
        <f t="shared" si="45"/>
        <v>1580</v>
      </c>
      <c r="B1458" s="416" t="str">
        <f t="shared" si="46"/>
        <v>Summer</v>
      </c>
      <c r="C1458" s="453"/>
      <c r="D1458" s="454"/>
      <c r="E1458" s="455"/>
      <c r="F1458" s="454"/>
      <c r="G1458" s="455"/>
      <c r="H1458" s="454"/>
      <c r="I1458" s="455"/>
      <c r="J1458" s="454"/>
      <c r="K1458" s="455"/>
      <c r="L1458" s="454"/>
      <c r="M1458" s="455"/>
      <c r="N1458" s="454"/>
      <c r="O1458" s="455"/>
      <c r="P1458" s="454"/>
      <c r="Q1458" s="455"/>
      <c r="R1458" s="454"/>
      <c r="S1458" s="455"/>
      <c r="T1458" s="454"/>
      <c r="U1458" s="455"/>
      <c r="V1458" s="454"/>
      <c r="W1458" s="455"/>
      <c r="X1458" s="454"/>
      <c r="Y1458" s="455"/>
      <c r="Z1458" s="454"/>
      <c r="AA1458" s="455"/>
      <c r="AB1458" s="454"/>
      <c r="AC1458" s="455"/>
      <c r="AD1458" s="454"/>
      <c r="AE1458" s="455"/>
      <c r="AF1458" s="454"/>
      <c r="AG1458" s="455"/>
    </row>
    <row r="1459" spans="1:33" x14ac:dyDescent="0.2">
      <c r="A1459" s="415">
        <f t="shared" si="45"/>
        <v>1580</v>
      </c>
      <c r="B1459" s="416" t="str">
        <f t="shared" si="46"/>
        <v>Autumn</v>
      </c>
      <c r="C1459" s="453"/>
      <c r="D1459" s="454"/>
      <c r="E1459" s="455"/>
      <c r="F1459" s="454"/>
      <c r="G1459" s="455"/>
      <c r="H1459" s="454"/>
      <c r="I1459" s="455"/>
      <c r="J1459" s="454"/>
      <c r="K1459" s="455"/>
      <c r="L1459" s="454"/>
      <c r="M1459" s="455"/>
      <c r="N1459" s="454"/>
      <c r="O1459" s="455"/>
      <c r="P1459" s="454"/>
      <c r="Q1459" s="455"/>
      <c r="R1459" s="454"/>
      <c r="S1459" s="455"/>
      <c r="T1459" s="454"/>
      <c r="U1459" s="455"/>
      <c r="V1459" s="454"/>
      <c r="W1459" s="455"/>
      <c r="X1459" s="454"/>
      <c r="Y1459" s="455"/>
      <c r="Z1459" s="454"/>
      <c r="AA1459" s="455"/>
      <c r="AB1459" s="454"/>
      <c r="AC1459" s="455"/>
      <c r="AD1459" s="454"/>
      <c r="AE1459" s="455"/>
      <c r="AF1459" s="454"/>
      <c r="AG1459" s="455"/>
    </row>
    <row r="1460" spans="1:33" x14ac:dyDescent="0.2">
      <c r="A1460" s="415">
        <f t="shared" si="45"/>
        <v>1581</v>
      </c>
      <c r="B1460" s="416" t="str">
        <f t="shared" si="46"/>
        <v>Winter</v>
      </c>
      <c r="C1460" s="453"/>
      <c r="D1460" s="454"/>
      <c r="E1460" s="455"/>
      <c r="F1460" s="454"/>
      <c r="G1460" s="455"/>
      <c r="H1460" s="454"/>
      <c r="I1460" s="455"/>
      <c r="J1460" s="454"/>
      <c r="K1460" s="455"/>
      <c r="L1460" s="454"/>
      <c r="M1460" s="455"/>
      <c r="N1460" s="454"/>
      <c r="O1460" s="455"/>
      <c r="P1460" s="454"/>
      <c r="Q1460" s="455"/>
      <c r="R1460" s="454"/>
      <c r="S1460" s="455"/>
      <c r="T1460" s="454"/>
      <c r="U1460" s="455"/>
      <c r="V1460" s="454"/>
      <c r="W1460" s="455"/>
      <c r="X1460" s="454"/>
      <c r="Y1460" s="455"/>
      <c r="Z1460" s="454"/>
      <c r="AA1460" s="455"/>
      <c r="AB1460" s="454"/>
      <c r="AC1460" s="455"/>
      <c r="AD1460" s="454"/>
      <c r="AE1460" s="455"/>
      <c r="AF1460" s="454"/>
      <c r="AG1460" s="455"/>
    </row>
    <row r="1461" spans="1:33" x14ac:dyDescent="0.2">
      <c r="A1461" s="415">
        <f t="shared" si="45"/>
        <v>1581</v>
      </c>
      <c r="B1461" s="416" t="str">
        <f t="shared" si="46"/>
        <v>Spring</v>
      </c>
      <c r="C1461" s="453"/>
      <c r="D1461" s="454"/>
      <c r="E1461" s="455"/>
      <c r="F1461" s="454"/>
      <c r="G1461" s="455"/>
      <c r="H1461" s="454"/>
      <c r="I1461" s="455"/>
      <c r="J1461" s="454"/>
      <c r="K1461" s="455"/>
      <c r="L1461" s="454"/>
      <c r="M1461" s="455"/>
      <c r="N1461" s="454"/>
      <c r="O1461" s="455"/>
      <c r="P1461" s="454"/>
      <c r="Q1461" s="455"/>
      <c r="R1461" s="454"/>
      <c r="S1461" s="455"/>
      <c r="T1461" s="454"/>
      <c r="U1461" s="455"/>
      <c r="V1461" s="454"/>
      <c r="W1461" s="455"/>
      <c r="X1461" s="454"/>
      <c r="Y1461" s="455"/>
      <c r="Z1461" s="454"/>
      <c r="AA1461" s="455"/>
      <c r="AB1461" s="454"/>
      <c r="AC1461" s="455"/>
      <c r="AD1461" s="454"/>
      <c r="AE1461" s="455"/>
      <c r="AF1461" s="454"/>
      <c r="AG1461" s="455"/>
    </row>
    <row r="1462" spans="1:33" x14ac:dyDescent="0.2">
      <c r="A1462" s="415">
        <f t="shared" si="45"/>
        <v>1581</v>
      </c>
      <c r="B1462" s="416" t="str">
        <f t="shared" si="46"/>
        <v>Summer</v>
      </c>
      <c r="C1462" s="453"/>
      <c r="D1462" s="454"/>
      <c r="E1462" s="455"/>
      <c r="F1462" s="454"/>
      <c r="G1462" s="455"/>
      <c r="H1462" s="454"/>
      <c r="I1462" s="455"/>
      <c r="J1462" s="454"/>
      <c r="K1462" s="455"/>
      <c r="L1462" s="454"/>
      <c r="M1462" s="455"/>
      <c r="N1462" s="454"/>
      <c r="O1462" s="455"/>
      <c r="P1462" s="454"/>
      <c r="Q1462" s="455"/>
      <c r="R1462" s="454"/>
      <c r="S1462" s="455"/>
      <c r="T1462" s="454"/>
      <c r="U1462" s="455"/>
      <c r="V1462" s="454"/>
      <c r="W1462" s="455"/>
      <c r="X1462" s="454"/>
      <c r="Y1462" s="455"/>
      <c r="Z1462" s="454"/>
      <c r="AA1462" s="455"/>
      <c r="AB1462" s="454"/>
      <c r="AC1462" s="455"/>
      <c r="AD1462" s="454"/>
      <c r="AE1462" s="455"/>
      <c r="AF1462" s="454"/>
      <c r="AG1462" s="455"/>
    </row>
    <row r="1463" spans="1:33" x14ac:dyDescent="0.2">
      <c r="A1463" s="415">
        <f t="shared" si="45"/>
        <v>1581</v>
      </c>
      <c r="B1463" s="416" t="str">
        <f t="shared" si="46"/>
        <v>Autumn</v>
      </c>
      <c r="C1463" s="453"/>
      <c r="D1463" s="454"/>
      <c r="E1463" s="455"/>
      <c r="F1463" s="454"/>
      <c r="G1463" s="455"/>
      <c r="H1463" s="454"/>
      <c r="I1463" s="455"/>
      <c r="J1463" s="454"/>
      <c r="K1463" s="455"/>
      <c r="L1463" s="454"/>
      <c r="M1463" s="455"/>
      <c r="N1463" s="454"/>
      <c r="O1463" s="455"/>
      <c r="P1463" s="454"/>
      <c r="Q1463" s="455"/>
      <c r="R1463" s="454"/>
      <c r="S1463" s="455"/>
      <c r="T1463" s="454"/>
      <c r="U1463" s="455"/>
      <c r="V1463" s="454"/>
      <c r="W1463" s="455"/>
      <c r="X1463" s="454"/>
      <c r="Y1463" s="455"/>
      <c r="Z1463" s="454"/>
      <c r="AA1463" s="455"/>
      <c r="AB1463" s="454"/>
      <c r="AC1463" s="455"/>
      <c r="AD1463" s="454"/>
      <c r="AE1463" s="455"/>
      <c r="AF1463" s="454"/>
      <c r="AG1463" s="455"/>
    </row>
    <row r="1464" spans="1:33" x14ac:dyDescent="0.2">
      <c r="A1464" s="415">
        <f t="shared" si="45"/>
        <v>1582</v>
      </c>
      <c r="B1464" s="416" t="str">
        <f t="shared" si="46"/>
        <v>Winter</v>
      </c>
      <c r="C1464" s="453"/>
      <c r="D1464" s="454"/>
      <c r="E1464" s="455"/>
      <c r="F1464" s="454"/>
      <c r="G1464" s="455"/>
      <c r="H1464" s="454"/>
      <c r="I1464" s="455"/>
      <c r="J1464" s="454"/>
      <c r="K1464" s="455"/>
      <c r="L1464" s="454"/>
      <c r="M1464" s="455"/>
      <c r="N1464" s="454"/>
      <c r="O1464" s="455"/>
      <c r="P1464" s="454"/>
      <c r="Q1464" s="455"/>
      <c r="R1464" s="454"/>
      <c r="S1464" s="455"/>
      <c r="T1464" s="454"/>
      <c r="U1464" s="455"/>
      <c r="V1464" s="454"/>
      <c r="W1464" s="455"/>
      <c r="X1464" s="454"/>
      <c r="Y1464" s="455"/>
      <c r="Z1464" s="454"/>
      <c r="AA1464" s="455"/>
      <c r="AB1464" s="454"/>
      <c r="AC1464" s="455"/>
      <c r="AD1464" s="454"/>
      <c r="AE1464" s="455"/>
      <c r="AF1464" s="454"/>
      <c r="AG1464" s="455"/>
    </row>
    <row r="1465" spans="1:33" x14ac:dyDescent="0.2">
      <c r="A1465" s="415">
        <f t="shared" si="45"/>
        <v>1582</v>
      </c>
      <c r="B1465" s="416" t="str">
        <f t="shared" si="46"/>
        <v>Spring</v>
      </c>
      <c r="C1465" s="453"/>
      <c r="D1465" s="454"/>
      <c r="E1465" s="455"/>
      <c r="F1465" s="454"/>
      <c r="G1465" s="455"/>
      <c r="H1465" s="454"/>
      <c r="I1465" s="455"/>
      <c r="J1465" s="454"/>
      <c r="K1465" s="455"/>
      <c r="L1465" s="454"/>
      <c r="M1465" s="455"/>
      <c r="N1465" s="454"/>
      <c r="O1465" s="455"/>
      <c r="P1465" s="454"/>
      <c r="Q1465" s="455"/>
      <c r="R1465" s="454"/>
      <c r="S1465" s="455"/>
      <c r="T1465" s="454"/>
      <c r="U1465" s="455"/>
      <c r="V1465" s="454"/>
      <c r="W1465" s="455"/>
      <c r="X1465" s="454"/>
      <c r="Y1465" s="455"/>
      <c r="Z1465" s="454"/>
      <c r="AA1465" s="455"/>
      <c r="AB1465" s="454"/>
      <c r="AC1465" s="455"/>
      <c r="AD1465" s="454"/>
      <c r="AE1465" s="455"/>
      <c r="AF1465" s="454"/>
      <c r="AG1465" s="455"/>
    </row>
    <row r="1466" spans="1:33" x14ac:dyDescent="0.2">
      <c r="A1466" s="415">
        <f t="shared" si="45"/>
        <v>1582</v>
      </c>
      <c r="B1466" s="416" t="str">
        <f t="shared" si="46"/>
        <v>Summer</v>
      </c>
      <c r="C1466" s="453"/>
      <c r="D1466" s="454"/>
      <c r="E1466" s="455"/>
      <c r="F1466" s="454"/>
      <c r="G1466" s="455"/>
      <c r="H1466" s="454"/>
      <c r="I1466" s="455"/>
      <c r="J1466" s="454"/>
      <c r="K1466" s="455"/>
      <c r="L1466" s="454"/>
      <c r="M1466" s="455"/>
      <c r="N1466" s="454"/>
      <c r="O1466" s="455"/>
      <c r="P1466" s="454"/>
      <c r="Q1466" s="455"/>
      <c r="R1466" s="454"/>
      <c r="S1466" s="455"/>
      <c r="T1466" s="454"/>
      <c r="U1466" s="455"/>
      <c r="V1466" s="454"/>
      <c r="W1466" s="455"/>
      <c r="X1466" s="454"/>
      <c r="Y1466" s="455"/>
      <c r="Z1466" s="454"/>
      <c r="AA1466" s="455"/>
      <c r="AB1466" s="454"/>
      <c r="AC1466" s="455"/>
      <c r="AD1466" s="454"/>
      <c r="AE1466" s="455"/>
      <c r="AF1466" s="454"/>
      <c r="AG1466" s="455"/>
    </row>
    <row r="1467" spans="1:33" x14ac:dyDescent="0.2">
      <c r="A1467" s="415">
        <f t="shared" si="45"/>
        <v>1582</v>
      </c>
      <c r="B1467" s="416" t="str">
        <f t="shared" si="46"/>
        <v>Autumn</v>
      </c>
      <c r="C1467" s="453"/>
      <c r="D1467" s="454"/>
      <c r="E1467" s="455"/>
      <c r="F1467" s="454"/>
      <c r="G1467" s="455"/>
      <c r="H1467" s="454"/>
      <c r="I1467" s="455"/>
      <c r="J1467" s="454"/>
      <c r="K1467" s="455"/>
      <c r="L1467" s="454"/>
      <c r="M1467" s="455"/>
      <c r="N1467" s="454"/>
      <c r="O1467" s="455"/>
      <c r="P1467" s="454"/>
      <c r="Q1467" s="455"/>
      <c r="R1467" s="454"/>
      <c r="S1467" s="455"/>
      <c r="T1467" s="454"/>
      <c r="U1467" s="455"/>
      <c r="V1467" s="454"/>
      <c r="W1467" s="455"/>
      <c r="X1467" s="454"/>
      <c r="Y1467" s="455"/>
      <c r="Z1467" s="454"/>
      <c r="AA1467" s="455"/>
      <c r="AB1467" s="454"/>
      <c r="AC1467" s="455"/>
      <c r="AD1467" s="454"/>
      <c r="AE1467" s="455"/>
      <c r="AF1467" s="454"/>
      <c r="AG1467" s="455"/>
    </row>
    <row r="1468" spans="1:33" x14ac:dyDescent="0.2">
      <c r="A1468" s="415">
        <f t="shared" si="45"/>
        <v>1583</v>
      </c>
      <c r="B1468" s="416" t="str">
        <f t="shared" si="46"/>
        <v>Winter</v>
      </c>
      <c r="C1468" s="453"/>
      <c r="D1468" s="454"/>
      <c r="E1468" s="455"/>
      <c r="F1468" s="454"/>
      <c r="G1468" s="455"/>
      <c r="H1468" s="454"/>
      <c r="I1468" s="455"/>
      <c r="J1468" s="454"/>
      <c r="K1468" s="455"/>
      <c r="L1468" s="454"/>
      <c r="M1468" s="455"/>
      <c r="N1468" s="454"/>
      <c r="O1468" s="455"/>
      <c r="P1468" s="454"/>
      <c r="Q1468" s="455"/>
      <c r="R1468" s="454"/>
      <c r="S1468" s="455"/>
      <c r="T1468" s="454"/>
      <c r="U1468" s="455"/>
      <c r="V1468" s="454"/>
      <c r="W1468" s="455"/>
      <c r="X1468" s="454"/>
      <c r="Y1468" s="455"/>
      <c r="Z1468" s="454"/>
      <c r="AA1468" s="455"/>
      <c r="AB1468" s="454"/>
      <c r="AC1468" s="455"/>
      <c r="AD1468" s="454"/>
      <c r="AE1468" s="455"/>
      <c r="AF1468" s="454"/>
      <c r="AG1468" s="455"/>
    </row>
    <row r="1469" spans="1:33" x14ac:dyDescent="0.2">
      <c r="A1469" s="415">
        <f t="shared" si="45"/>
        <v>1583</v>
      </c>
      <c r="B1469" s="416" t="str">
        <f t="shared" si="46"/>
        <v>Spring</v>
      </c>
      <c r="C1469" s="453"/>
      <c r="D1469" s="454"/>
      <c r="E1469" s="455"/>
      <c r="F1469" s="454"/>
      <c r="G1469" s="455"/>
      <c r="H1469" s="454"/>
      <c r="I1469" s="455"/>
      <c r="J1469" s="454"/>
      <c r="K1469" s="455"/>
      <c r="L1469" s="454"/>
      <c r="M1469" s="455"/>
      <c r="N1469" s="454"/>
      <c r="O1469" s="455"/>
      <c r="P1469" s="454"/>
      <c r="Q1469" s="455"/>
      <c r="R1469" s="454"/>
      <c r="S1469" s="455"/>
      <c r="T1469" s="454"/>
      <c r="U1469" s="455"/>
      <c r="V1469" s="454"/>
      <c r="W1469" s="455"/>
      <c r="X1469" s="454"/>
      <c r="Y1469" s="455"/>
      <c r="Z1469" s="454"/>
      <c r="AA1469" s="455"/>
      <c r="AB1469" s="454"/>
      <c r="AC1469" s="455"/>
      <c r="AD1469" s="454"/>
      <c r="AE1469" s="455"/>
      <c r="AF1469" s="454"/>
      <c r="AG1469" s="455"/>
    </row>
    <row r="1470" spans="1:33" x14ac:dyDescent="0.2">
      <c r="A1470" s="415">
        <f t="shared" si="45"/>
        <v>1583</v>
      </c>
      <c r="B1470" s="416" t="str">
        <f t="shared" si="46"/>
        <v>Summer</v>
      </c>
      <c r="C1470" s="453"/>
      <c r="D1470" s="454"/>
      <c r="E1470" s="455"/>
      <c r="F1470" s="454"/>
      <c r="G1470" s="455"/>
      <c r="H1470" s="454"/>
      <c r="I1470" s="455"/>
      <c r="J1470" s="454"/>
      <c r="K1470" s="455"/>
      <c r="L1470" s="454"/>
      <c r="M1470" s="455"/>
      <c r="N1470" s="454"/>
      <c r="O1470" s="455"/>
      <c r="P1470" s="454"/>
      <c r="Q1470" s="455"/>
      <c r="R1470" s="454"/>
      <c r="S1470" s="455"/>
      <c r="T1470" s="454"/>
      <c r="U1470" s="455"/>
      <c r="V1470" s="454"/>
      <c r="W1470" s="455"/>
      <c r="X1470" s="454"/>
      <c r="Y1470" s="455"/>
      <c r="Z1470" s="454"/>
      <c r="AA1470" s="455"/>
      <c r="AB1470" s="454"/>
      <c r="AC1470" s="455"/>
      <c r="AD1470" s="454"/>
      <c r="AE1470" s="455"/>
      <c r="AF1470" s="454"/>
      <c r="AG1470" s="455"/>
    </row>
    <row r="1471" spans="1:33" x14ac:dyDescent="0.2">
      <c r="A1471" s="415">
        <f t="shared" si="45"/>
        <v>1583</v>
      </c>
      <c r="B1471" s="416" t="str">
        <f t="shared" si="46"/>
        <v>Autumn</v>
      </c>
      <c r="C1471" s="453"/>
      <c r="D1471" s="454"/>
      <c r="E1471" s="455"/>
      <c r="F1471" s="454"/>
      <c r="G1471" s="455"/>
      <c r="H1471" s="454"/>
      <c r="I1471" s="455"/>
      <c r="J1471" s="454"/>
      <c r="K1471" s="455"/>
      <c r="L1471" s="454"/>
      <c r="M1471" s="455"/>
      <c r="N1471" s="454"/>
      <c r="O1471" s="455"/>
      <c r="P1471" s="454"/>
      <c r="Q1471" s="455"/>
      <c r="R1471" s="454"/>
      <c r="S1471" s="455"/>
      <c r="T1471" s="454"/>
      <c r="U1471" s="455"/>
      <c r="V1471" s="454"/>
      <c r="W1471" s="455"/>
      <c r="X1471" s="454"/>
      <c r="Y1471" s="455"/>
      <c r="Z1471" s="454"/>
      <c r="AA1471" s="455"/>
      <c r="AB1471" s="454"/>
      <c r="AC1471" s="455"/>
      <c r="AD1471" s="454"/>
      <c r="AE1471" s="455"/>
      <c r="AF1471" s="454"/>
      <c r="AG1471" s="455"/>
    </row>
    <row r="1472" spans="1:33" x14ac:dyDescent="0.2">
      <c r="A1472" s="415">
        <f t="shared" si="45"/>
        <v>1584</v>
      </c>
      <c r="B1472" s="416" t="str">
        <f t="shared" si="46"/>
        <v>Winter</v>
      </c>
      <c r="C1472" s="453"/>
      <c r="D1472" s="454"/>
      <c r="E1472" s="455"/>
      <c r="F1472" s="454"/>
      <c r="G1472" s="455"/>
      <c r="H1472" s="454"/>
      <c r="I1472" s="455"/>
      <c r="J1472" s="454"/>
      <c r="K1472" s="455"/>
      <c r="L1472" s="454"/>
      <c r="M1472" s="455"/>
      <c r="N1472" s="454"/>
      <c r="O1472" s="455"/>
      <c r="P1472" s="454"/>
      <c r="Q1472" s="455"/>
      <c r="R1472" s="454"/>
      <c r="S1472" s="455"/>
      <c r="T1472" s="454"/>
      <c r="U1472" s="455"/>
      <c r="V1472" s="454"/>
      <c r="W1472" s="455"/>
      <c r="X1472" s="454"/>
      <c r="Y1472" s="455"/>
      <c r="Z1472" s="454"/>
      <c r="AA1472" s="455"/>
      <c r="AB1472" s="454"/>
      <c r="AC1472" s="455"/>
      <c r="AD1472" s="454"/>
      <c r="AE1472" s="455"/>
      <c r="AF1472" s="454"/>
      <c r="AG1472" s="455"/>
    </row>
    <row r="1473" spans="1:33" x14ac:dyDescent="0.2">
      <c r="A1473" s="415">
        <f t="shared" si="45"/>
        <v>1584</v>
      </c>
      <c r="B1473" s="416" t="str">
        <f t="shared" si="46"/>
        <v>Spring</v>
      </c>
      <c r="C1473" s="453"/>
      <c r="D1473" s="454"/>
      <c r="E1473" s="455"/>
      <c r="F1473" s="454"/>
      <c r="G1473" s="455"/>
      <c r="H1473" s="454"/>
      <c r="I1473" s="455"/>
      <c r="J1473" s="454"/>
      <c r="K1473" s="455"/>
      <c r="L1473" s="454"/>
      <c r="M1473" s="455"/>
      <c r="N1473" s="454"/>
      <c r="O1473" s="455"/>
      <c r="P1473" s="454"/>
      <c r="Q1473" s="455"/>
      <c r="R1473" s="454"/>
      <c r="S1473" s="455"/>
      <c r="T1473" s="454"/>
      <c r="U1473" s="455"/>
      <c r="V1473" s="454"/>
      <c r="W1473" s="455"/>
      <c r="X1473" s="454"/>
      <c r="Y1473" s="455"/>
      <c r="Z1473" s="454"/>
      <c r="AA1473" s="455"/>
      <c r="AB1473" s="454"/>
      <c r="AC1473" s="455"/>
      <c r="AD1473" s="454"/>
      <c r="AE1473" s="455"/>
      <c r="AF1473" s="454"/>
      <c r="AG1473" s="455"/>
    </row>
    <row r="1474" spans="1:33" x14ac:dyDescent="0.2">
      <c r="A1474" s="415">
        <f t="shared" si="45"/>
        <v>1584</v>
      </c>
      <c r="B1474" s="416" t="str">
        <f t="shared" si="46"/>
        <v>Summer</v>
      </c>
      <c r="C1474" s="453"/>
      <c r="D1474" s="454"/>
      <c r="E1474" s="455"/>
      <c r="F1474" s="454"/>
      <c r="G1474" s="455"/>
      <c r="H1474" s="454"/>
      <c r="I1474" s="455"/>
      <c r="J1474" s="454"/>
      <c r="K1474" s="455"/>
      <c r="L1474" s="454"/>
      <c r="M1474" s="455"/>
      <c r="N1474" s="454"/>
      <c r="O1474" s="455"/>
      <c r="P1474" s="454"/>
      <c r="Q1474" s="455"/>
      <c r="R1474" s="454"/>
      <c r="S1474" s="455"/>
      <c r="T1474" s="454"/>
      <c r="U1474" s="455"/>
      <c r="V1474" s="454"/>
      <c r="W1474" s="455"/>
      <c r="X1474" s="454"/>
      <c r="Y1474" s="455"/>
      <c r="Z1474" s="454"/>
      <c r="AA1474" s="455"/>
      <c r="AB1474" s="454"/>
      <c r="AC1474" s="455"/>
      <c r="AD1474" s="454"/>
      <c r="AE1474" s="455"/>
      <c r="AF1474" s="454"/>
      <c r="AG1474" s="455"/>
    </row>
    <row r="1475" spans="1:33" x14ac:dyDescent="0.2">
      <c r="A1475" s="415">
        <f t="shared" si="45"/>
        <v>1584</v>
      </c>
      <c r="B1475" s="416" t="str">
        <f t="shared" si="46"/>
        <v>Autumn</v>
      </c>
      <c r="C1475" s="453"/>
      <c r="D1475" s="454"/>
      <c r="E1475" s="455"/>
      <c r="F1475" s="454"/>
      <c r="G1475" s="455"/>
      <c r="H1475" s="454"/>
      <c r="I1475" s="455"/>
      <c r="J1475" s="454"/>
      <c r="K1475" s="455"/>
      <c r="L1475" s="454"/>
      <c r="M1475" s="455"/>
      <c r="N1475" s="454"/>
      <c r="O1475" s="455"/>
      <c r="P1475" s="454"/>
      <c r="Q1475" s="455"/>
      <c r="R1475" s="454"/>
      <c r="S1475" s="455"/>
      <c r="T1475" s="454"/>
      <c r="U1475" s="455"/>
      <c r="V1475" s="454"/>
      <c r="W1475" s="455"/>
      <c r="X1475" s="454"/>
      <c r="Y1475" s="455"/>
      <c r="Z1475" s="454"/>
      <c r="AA1475" s="455"/>
      <c r="AB1475" s="454"/>
      <c r="AC1475" s="455"/>
      <c r="AD1475" s="454"/>
      <c r="AE1475" s="455"/>
      <c r="AF1475" s="454"/>
      <c r="AG1475" s="455"/>
    </row>
    <row r="1476" spans="1:33" x14ac:dyDescent="0.2">
      <c r="A1476" s="415">
        <f t="shared" si="45"/>
        <v>1585</v>
      </c>
      <c r="B1476" s="416" t="str">
        <f t="shared" si="46"/>
        <v>Winter</v>
      </c>
      <c r="C1476" s="453"/>
      <c r="D1476" s="454"/>
      <c r="E1476" s="455"/>
      <c r="F1476" s="454"/>
      <c r="G1476" s="455"/>
      <c r="H1476" s="454"/>
      <c r="I1476" s="455"/>
      <c r="J1476" s="454"/>
      <c r="K1476" s="455"/>
      <c r="L1476" s="454"/>
      <c r="M1476" s="455"/>
      <c r="N1476" s="454"/>
      <c r="O1476" s="455"/>
      <c r="P1476" s="454"/>
      <c r="Q1476" s="455"/>
      <c r="R1476" s="454"/>
      <c r="S1476" s="455"/>
      <c r="T1476" s="454"/>
      <c r="U1476" s="455"/>
      <c r="V1476" s="454"/>
      <c r="W1476" s="455"/>
      <c r="X1476" s="454"/>
      <c r="Y1476" s="455"/>
      <c r="Z1476" s="454"/>
      <c r="AA1476" s="455"/>
      <c r="AB1476" s="454"/>
      <c r="AC1476" s="455"/>
      <c r="AD1476" s="454"/>
      <c r="AE1476" s="455"/>
      <c r="AF1476" s="454"/>
      <c r="AG1476" s="455"/>
    </row>
    <row r="1477" spans="1:33" x14ac:dyDescent="0.2">
      <c r="A1477" s="415">
        <f t="shared" ref="A1477:A1500" si="47">IF(B1476="Autumn",A1476+1,A1476)</f>
        <v>1585</v>
      </c>
      <c r="B1477" s="416" t="str">
        <f t="shared" si="46"/>
        <v>Spring</v>
      </c>
      <c r="C1477" s="453"/>
      <c r="D1477" s="454"/>
      <c r="E1477" s="455"/>
      <c r="F1477" s="454"/>
      <c r="G1477" s="455"/>
      <c r="H1477" s="454"/>
      <c r="I1477" s="455"/>
      <c r="J1477" s="454"/>
      <c r="K1477" s="455"/>
      <c r="L1477" s="454"/>
      <c r="M1477" s="455"/>
      <c r="N1477" s="454"/>
      <c r="O1477" s="455"/>
      <c r="P1477" s="454"/>
      <c r="Q1477" s="455"/>
      <c r="R1477" s="454"/>
      <c r="S1477" s="455"/>
      <c r="T1477" s="454"/>
      <c r="U1477" s="455"/>
      <c r="V1477" s="454"/>
      <c r="W1477" s="455"/>
      <c r="X1477" s="454"/>
      <c r="Y1477" s="455"/>
      <c r="Z1477" s="454"/>
      <c r="AA1477" s="455"/>
      <c r="AB1477" s="454"/>
      <c r="AC1477" s="455"/>
      <c r="AD1477" s="454"/>
      <c r="AE1477" s="455"/>
      <c r="AF1477" s="454"/>
      <c r="AG1477" s="455"/>
    </row>
    <row r="1478" spans="1:33" x14ac:dyDescent="0.2">
      <c r="A1478" s="415">
        <f t="shared" si="47"/>
        <v>1585</v>
      </c>
      <c r="B1478" s="416" t="str">
        <f t="shared" si="46"/>
        <v>Summer</v>
      </c>
      <c r="C1478" s="453"/>
      <c r="D1478" s="454"/>
      <c r="E1478" s="455"/>
      <c r="F1478" s="454"/>
      <c r="G1478" s="455"/>
      <c r="H1478" s="454"/>
      <c r="I1478" s="455"/>
      <c r="J1478" s="454"/>
      <c r="K1478" s="455"/>
      <c r="L1478" s="454"/>
      <c r="M1478" s="455"/>
      <c r="N1478" s="454"/>
      <c r="O1478" s="455"/>
      <c r="P1478" s="454"/>
      <c r="Q1478" s="455"/>
      <c r="R1478" s="454"/>
      <c r="S1478" s="455"/>
      <c r="T1478" s="454"/>
      <c r="U1478" s="455"/>
      <c r="V1478" s="454"/>
      <c r="W1478" s="455"/>
      <c r="X1478" s="454"/>
      <c r="Y1478" s="455"/>
      <c r="Z1478" s="454"/>
      <c r="AA1478" s="455"/>
      <c r="AB1478" s="454"/>
      <c r="AC1478" s="455"/>
      <c r="AD1478" s="454"/>
      <c r="AE1478" s="455"/>
      <c r="AF1478" s="454"/>
      <c r="AG1478" s="455"/>
    </row>
    <row r="1479" spans="1:33" x14ac:dyDescent="0.2">
      <c r="A1479" s="415">
        <f t="shared" si="47"/>
        <v>1585</v>
      </c>
      <c r="B1479" s="416" t="str">
        <f t="shared" si="46"/>
        <v>Autumn</v>
      </c>
      <c r="C1479" s="453"/>
      <c r="D1479" s="454"/>
      <c r="E1479" s="455"/>
      <c r="F1479" s="454"/>
      <c r="G1479" s="455"/>
      <c r="H1479" s="454"/>
      <c r="I1479" s="455"/>
      <c r="J1479" s="454"/>
      <c r="K1479" s="455"/>
      <c r="L1479" s="454"/>
      <c r="M1479" s="455"/>
      <c r="N1479" s="454"/>
      <c r="O1479" s="455"/>
      <c r="P1479" s="454"/>
      <c r="Q1479" s="455"/>
      <c r="R1479" s="454"/>
      <c r="S1479" s="455"/>
      <c r="T1479" s="454"/>
      <c r="U1479" s="455"/>
      <c r="V1479" s="454"/>
      <c r="W1479" s="455"/>
      <c r="X1479" s="454"/>
      <c r="Y1479" s="455"/>
      <c r="Z1479" s="454"/>
      <c r="AA1479" s="455"/>
      <c r="AB1479" s="454"/>
      <c r="AC1479" s="455"/>
      <c r="AD1479" s="454"/>
      <c r="AE1479" s="455"/>
      <c r="AF1479" s="454"/>
      <c r="AG1479" s="455"/>
    </row>
    <row r="1480" spans="1:33" x14ac:dyDescent="0.2">
      <c r="A1480" s="415">
        <f t="shared" si="47"/>
        <v>1586</v>
      </c>
      <c r="B1480" s="416" t="str">
        <f t="shared" si="46"/>
        <v>Winter</v>
      </c>
      <c r="C1480" s="453"/>
      <c r="D1480" s="454"/>
      <c r="E1480" s="455"/>
      <c r="F1480" s="454"/>
      <c r="G1480" s="455"/>
      <c r="H1480" s="454"/>
      <c r="I1480" s="455"/>
      <c r="J1480" s="454"/>
      <c r="K1480" s="455"/>
      <c r="L1480" s="454"/>
      <c r="M1480" s="455"/>
      <c r="N1480" s="454"/>
      <c r="O1480" s="455"/>
      <c r="P1480" s="454"/>
      <c r="Q1480" s="455"/>
      <c r="R1480" s="454"/>
      <c r="S1480" s="455"/>
      <c r="T1480" s="454"/>
      <c r="U1480" s="455"/>
      <c r="V1480" s="454"/>
      <c r="W1480" s="455"/>
      <c r="X1480" s="454"/>
      <c r="Y1480" s="455"/>
      <c r="Z1480" s="454"/>
      <c r="AA1480" s="455"/>
      <c r="AB1480" s="454"/>
      <c r="AC1480" s="455"/>
      <c r="AD1480" s="454"/>
      <c r="AE1480" s="455"/>
      <c r="AF1480" s="454"/>
      <c r="AG1480" s="455"/>
    </row>
    <row r="1481" spans="1:33" x14ac:dyDescent="0.2">
      <c r="A1481" s="415">
        <f t="shared" si="47"/>
        <v>1586</v>
      </c>
      <c r="B1481" s="416" t="str">
        <f t="shared" si="46"/>
        <v>Spring</v>
      </c>
      <c r="C1481" s="453"/>
      <c r="D1481" s="454"/>
      <c r="E1481" s="455"/>
      <c r="F1481" s="454"/>
      <c r="G1481" s="455"/>
      <c r="H1481" s="454"/>
      <c r="I1481" s="455"/>
      <c r="J1481" s="454"/>
      <c r="K1481" s="455"/>
      <c r="L1481" s="454"/>
      <c r="M1481" s="455"/>
      <c r="N1481" s="454"/>
      <c r="O1481" s="455"/>
      <c r="P1481" s="454"/>
      <c r="Q1481" s="455"/>
      <c r="R1481" s="454"/>
      <c r="S1481" s="455"/>
      <c r="T1481" s="454"/>
      <c r="U1481" s="455"/>
      <c r="V1481" s="454"/>
      <c r="W1481" s="455"/>
      <c r="X1481" s="454"/>
      <c r="Y1481" s="455"/>
      <c r="Z1481" s="454"/>
      <c r="AA1481" s="455"/>
      <c r="AB1481" s="454"/>
      <c r="AC1481" s="455"/>
      <c r="AD1481" s="454"/>
      <c r="AE1481" s="455"/>
      <c r="AF1481" s="454"/>
      <c r="AG1481" s="455"/>
    </row>
    <row r="1482" spans="1:33" x14ac:dyDescent="0.2">
      <c r="A1482" s="415">
        <f t="shared" si="47"/>
        <v>1586</v>
      </c>
      <c r="B1482" s="416" t="str">
        <f t="shared" si="46"/>
        <v>Summer</v>
      </c>
      <c r="C1482" s="453"/>
      <c r="D1482" s="454"/>
      <c r="E1482" s="455"/>
      <c r="F1482" s="454"/>
      <c r="G1482" s="455"/>
      <c r="H1482" s="454"/>
      <c r="I1482" s="455"/>
      <c r="J1482" s="454"/>
      <c r="K1482" s="455"/>
      <c r="L1482" s="454"/>
      <c r="M1482" s="455"/>
      <c r="N1482" s="454"/>
      <c r="O1482" s="455"/>
      <c r="P1482" s="454"/>
      <c r="Q1482" s="455"/>
      <c r="R1482" s="454"/>
      <c r="S1482" s="455"/>
      <c r="T1482" s="454"/>
      <c r="U1482" s="455"/>
      <c r="V1482" s="454"/>
      <c r="W1482" s="455"/>
      <c r="X1482" s="454"/>
      <c r="Y1482" s="455"/>
      <c r="Z1482" s="454"/>
      <c r="AA1482" s="455"/>
      <c r="AB1482" s="454"/>
      <c r="AC1482" s="455"/>
      <c r="AD1482" s="454"/>
      <c r="AE1482" s="455"/>
      <c r="AF1482" s="454"/>
      <c r="AG1482" s="455"/>
    </row>
    <row r="1483" spans="1:33" x14ac:dyDescent="0.2">
      <c r="A1483" s="415">
        <f t="shared" si="47"/>
        <v>1586</v>
      </c>
      <c r="B1483" s="416" t="str">
        <f t="shared" si="46"/>
        <v>Autumn</v>
      </c>
      <c r="C1483" s="453"/>
      <c r="D1483" s="454"/>
      <c r="E1483" s="455"/>
      <c r="F1483" s="454"/>
      <c r="G1483" s="455"/>
      <c r="H1483" s="454"/>
      <c r="I1483" s="455"/>
      <c r="J1483" s="454"/>
      <c r="K1483" s="455"/>
      <c r="L1483" s="454"/>
      <c r="M1483" s="455"/>
      <c r="N1483" s="454"/>
      <c r="O1483" s="455"/>
      <c r="P1483" s="454"/>
      <c r="Q1483" s="455"/>
      <c r="R1483" s="454"/>
      <c r="S1483" s="455"/>
      <c r="T1483" s="454"/>
      <c r="U1483" s="455"/>
      <c r="V1483" s="454"/>
      <c r="W1483" s="455"/>
      <c r="X1483" s="454"/>
      <c r="Y1483" s="455"/>
      <c r="Z1483" s="454"/>
      <c r="AA1483" s="455"/>
      <c r="AB1483" s="454"/>
      <c r="AC1483" s="455"/>
      <c r="AD1483" s="454"/>
      <c r="AE1483" s="455"/>
      <c r="AF1483" s="454"/>
      <c r="AG1483" s="455"/>
    </row>
    <row r="1484" spans="1:33" x14ac:dyDescent="0.2">
      <c r="A1484" s="415">
        <f t="shared" si="47"/>
        <v>1587</v>
      </c>
      <c r="B1484" s="416" t="str">
        <f t="shared" si="46"/>
        <v>Winter</v>
      </c>
      <c r="C1484" s="453"/>
      <c r="D1484" s="454"/>
      <c r="E1484" s="455"/>
      <c r="F1484" s="454"/>
      <c r="G1484" s="455"/>
      <c r="H1484" s="454"/>
      <c r="I1484" s="455"/>
      <c r="J1484" s="454"/>
      <c r="K1484" s="455"/>
      <c r="L1484" s="454"/>
      <c r="M1484" s="455"/>
      <c r="N1484" s="454"/>
      <c r="O1484" s="455"/>
      <c r="P1484" s="454"/>
      <c r="Q1484" s="455"/>
      <c r="R1484" s="454"/>
      <c r="S1484" s="455"/>
      <c r="T1484" s="454"/>
      <c r="U1484" s="455"/>
      <c r="V1484" s="454"/>
      <c r="W1484" s="455"/>
      <c r="X1484" s="454"/>
      <c r="Y1484" s="455"/>
      <c r="Z1484" s="454"/>
      <c r="AA1484" s="455"/>
      <c r="AB1484" s="454"/>
      <c r="AC1484" s="455"/>
      <c r="AD1484" s="454"/>
      <c r="AE1484" s="455"/>
      <c r="AF1484" s="454"/>
      <c r="AG1484" s="455"/>
    </row>
    <row r="1485" spans="1:33" x14ac:dyDescent="0.2">
      <c r="A1485" s="415">
        <f t="shared" si="47"/>
        <v>1587</v>
      </c>
      <c r="B1485" s="416" t="str">
        <f t="shared" si="46"/>
        <v>Spring</v>
      </c>
      <c r="C1485" s="453"/>
      <c r="D1485" s="454"/>
      <c r="E1485" s="455"/>
      <c r="F1485" s="454"/>
      <c r="G1485" s="455"/>
      <c r="H1485" s="454"/>
      <c r="I1485" s="455"/>
      <c r="J1485" s="454"/>
      <c r="K1485" s="455"/>
      <c r="L1485" s="454"/>
      <c r="M1485" s="455"/>
      <c r="N1485" s="454"/>
      <c r="O1485" s="455"/>
      <c r="P1485" s="454"/>
      <c r="Q1485" s="455"/>
      <c r="R1485" s="454"/>
      <c r="S1485" s="455"/>
      <c r="T1485" s="454"/>
      <c r="U1485" s="455"/>
      <c r="V1485" s="454"/>
      <c r="W1485" s="455"/>
      <c r="X1485" s="454"/>
      <c r="Y1485" s="455"/>
      <c r="Z1485" s="454"/>
      <c r="AA1485" s="455"/>
      <c r="AB1485" s="454"/>
      <c r="AC1485" s="455"/>
      <c r="AD1485" s="454"/>
      <c r="AE1485" s="455"/>
      <c r="AF1485" s="454"/>
      <c r="AG1485" s="455"/>
    </row>
    <row r="1486" spans="1:33" x14ac:dyDescent="0.2">
      <c r="A1486" s="415">
        <f t="shared" si="47"/>
        <v>1587</v>
      </c>
      <c r="B1486" s="416" t="str">
        <f t="shared" si="46"/>
        <v>Summer</v>
      </c>
      <c r="C1486" s="453"/>
      <c r="D1486" s="454"/>
      <c r="E1486" s="455"/>
      <c r="F1486" s="454"/>
      <c r="G1486" s="455"/>
      <c r="H1486" s="454"/>
      <c r="I1486" s="455"/>
      <c r="J1486" s="454"/>
      <c r="K1486" s="455"/>
      <c r="L1486" s="454"/>
      <c r="M1486" s="455"/>
      <c r="N1486" s="454"/>
      <c r="O1486" s="455"/>
      <c r="P1486" s="454"/>
      <c r="Q1486" s="455"/>
      <c r="R1486" s="454"/>
      <c r="S1486" s="455"/>
      <c r="T1486" s="454"/>
      <c r="U1486" s="455"/>
      <c r="V1486" s="454"/>
      <c r="W1486" s="455"/>
      <c r="X1486" s="454"/>
      <c r="Y1486" s="455"/>
      <c r="Z1486" s="454"/>
      <c r="AA1486" s="455"/>
      <c r="AB1486" s="454"/>
      <c r="AC1486" s="455"/>
      <c r="AD1486" s="454"/>
      <c r="AE1486" s="455"/>
      <c r="AF1486" s="454"/>
      <c r="AG1486" s="455"/>
    </row>
    <row r="1487" spans="1:33" x14ac:dyDescent="0.2">
      <c r="A1487" s="415">
        <f t="shared" si="47"/>
        <v>1587</v>
      </c>
      <c r="B1487" s="416" t="str">
        <f t="shared" si="46"/>
        <v>Autumn</v>
      </c>
      <c r="C1487" s="453"/>
      <c r="D1487" s="454"/>
      <c r="E1487" s="455"/>
      <c r="F1487" s="454"/>
      <c r="G1487" s="455"/>
      <c r="H1487" s="454"/>
      <c r="I1487" s="455"/>
      <c r="J1487" s="454"/>
      <c r="K1487" s="455"/>
      <c r="L1487" s="454"/>
      <c r="M1487" s="455"/>
      <c r="N1487" s="454"/>
      <c r="O1487" s="455"/>
      <c r="P1487" s="454"/>
      <c r="Q1487" s="455"/>
      <c r="R1487" s="454"/>
      <c r="S1487" s="455"/>
      <c r="T1487" s="454"/>
      <c r="U1487" s="455"/>
      <c r="V1487" s="454"/>
      <c r="W1487" s="455"/>
      <c r="X1487" s="454"/>
      <c r="Y1487" s="455"/>
      <c r="Z1487" s="454"/>
      <c r="AA1487" s="455"/>
      <c r="AB1487" s="454"/>
      <c r="AC1487" s="455"/>
      <c r="AD1487" s="454"/>
      <c r="AE1487" s="455"/>
      <c r="AF1487" s="454"/>
      <c r="AG1487" s="455"/>
    </row>
    <row r="1488" spans="1:33" x14ac:dyDescent="0.2">
      <c r="A1488" s="415">
        <f t="shared" si="47"/>
        <v>1588</v>
      </c>
      <c r="B1488" s="416" t="str">
        <f t="shared" si="46"/>
        <v>Winter</v>
      </c>
      <c r="C1488" s="453"/>
      <c r="D1488" s="454"/>
      <c r="E1488" s="455"/>
      <c r="F1488" s="454"/>
      <c r="G1488" s="455"/>
      <c r="H1488" s="454"/>
      <c r="I1488" s="455"/>
      <c r="J1488" s="454"/>
      <c r="K1488" s="455"/>
      <c r="L1488" s="454"/>
      <c r="M1488" s="455"/>
      <c r="N1488" s="454"/>
      <c r="O1488" s="455"/>
      <c r="P1488" s="454"/>
      <c r="Q1488" s="455"/>
      <c r="R1488" s="454"/>
      <c r="S1488" s="455"/>
      <c r="T1488" s="454"/>
      <c r="U1488" s="455"/>
      <c r="V1488" s="454"/>
      <c r="W1488" s="455"/>
      <c r="X1488" s="454"/>
      <c r="Y1488" s="455"/>
      <c r="Z1488" s="454"/>
      <c r="AA1488" s="455"/>
      <c r="AB1488" s="454"/>
      <c r="AC1488" s="455"/>
      <c r="AD1488" s="454"/>
      <c r="AE1488" s="455"/>
      <c r="AF1488" s="454"/>
      <c r="AG1488" s="455"/>
    </row>
    <row r="1489" spans="1:33" x14ac:dyDescent="0.2">
      <c r="A1489" s="415">
        <f t="shared" si="47"/>
        <v>1588</v>
      </c>
      <c r="B1489" s="416" t="str">
        <f t="shared" si="46"/>
        <v>Spring</v>
      </c>
      <c r="C1489" s="453"/>
      <c r="D1489" s="454"/>
      <c r="E1489" s="455"/>
      <c r="F1489" s="454"/>
      <c r="G1489" s="455"/>
      <c r="H1489" s="454"/>
      <c r="I1489" s="455"/>
      <c r="J1489" s="454"/>
      <c r="K1489" s="455"/>
      <c r="L1489" s="454"/>
      <c r="M1489" s="455"/>
      <c r="N1489" s="454"/>
      <c r="O1489" s="455"/>
      <c r="P1489" s="454"/>
      <c r="Q1489" s="455"/>
      <c r="R1489" s="454"/>
      <c r="S1489" s="455"/>
      <c r="T1489" s="454"/>
      <c r="U1489" s="455"/>
      <c r="V1489" s="454"/>
      <c r="W1489" s="455"/>
      <c r="X1489" s="454"/>
      <c r="Y1489" s="455"/>
      <c r="Z1489" s="454"/>
      <c r="AA1489" s="455"/>
      <c r="AB1489" s="454"/>
      <c r="AC1489" s="455"/>
      <c r="AD1489" s="454"/>
      <c r="AE1489" s="455"/>
      <c r="AF1489" s="454"/>
      <c r="AG1489" s="455"/>
    </row>
    <row r="1490" spans="1:33" x14ac:dyDescent="0.2">
      <c r="A1490" s="415">
        <f t="shared" si="47"/>
        <v>1588</v>
      </c>
      <c r="B1490" s="416" t="str">
        <f t="shared" si="46"/>
        <v>Summer</v>
      </c>
      <c r="C1490" s="453"/>
      <c r="D1490" s="454"/>
      <c r="E1490" s="455"/>
      <c r="F1490" s="454"/>
      <c r="G1490" s="455"/>
      <c r="H1490" s="454"/>
      <c r="I1490" s="455"/>
      <c r="J1490" s="454"/>
      <c r="K1490" s="455"/>
      <c r="L1490" s="454"/>
      <c r="M1490" s="455"/>
      <c r="N1490" s="454"/>
      <c r="O1490" s="455"/>
      <c r="P1490" s="454"/>
      <c r="Q1490" s="455"/>
      <c r="R1490" s="454"/>
      <c r="S1490" s="455"/>
      <c r="T1490" s="454"/>
      <c r="U1490" s="455"/>
      <c r="V1490" s="454"/>
      <c r="W1490" s="455"/>
      <c r="X1490" s="454"/>
      <c r="Y1490" s="455"/>
      <c r="Z1490" s="454"/>
      <c r="AA1490" s="455"/>
      <c r="AB1490" s="454"/>
      <c r="AC1490" s="455"/>
      <c r="AD1490" s="454"/>
      <c r="AE1490" s="455"/>
      <c r="AF1490" s="454"/>
      <c r="AG1490" s="455"/>
    </row>
    <row r="1491" spans="1:33" x14ac:dyDescent="0.2">
      <c r="A1491" s="415">
        <f t="shared" si="47"/>
        <v>1588</v>
      </c>
      <c r="B1491" s="416" t="str">
        <f t="shared" si="46"/>
        <v>Autumn</v>
      </c>
      <c r="C1491" s="453"/>
      <c r="D1491" s="454"/>
      <c r="E1491" s="455"/>
      <c r="F1491" s="454"/>
      <c r="G1491" s="455"/>
      <c r="H1491" s="454"/>
      <c r="I1491" s="455"/>
      <c r="J1491" s="454"/>
      <c r="K1491" s="455"/>
      <c r="L1491" s="454"/>
      <c r="M1491" s="455"/>
      <c r="N1491" s="454"/>
      <c r="O1491" s="455"/>
      <c r="P1491" s="454"/>
      <c r="Q1491" s="455"/>
      <c r="R1491" s="454"/>
      <c r="S1491" s="455"/>
      <c r="T1491" s="454"/>
      <c r="U1491" s="455"/>
      <c r="V1491" s="454"/>
      <c r="W1491" s="455"/>
      <c r="X1491" s="454"/>
      <c r="Y1491" s="455"/>
      <c r="Z1491" s="454"/>
      <c r="AA1491" s="455"/>
      <c r="AB1491" s="454"/>
      <c r="AC1491" s="455"/>
      <c r="AD1491" s="454"/>
      <c r="AE1491" s="455"/>
      <c r="AF1491" s="454"/>
      <c r="AG1491" s="455"/>
    </row>
    <row r="1492" spans="1:33" x14ac:dyDescent="0.2">
      <c r="A1492" s="415">
        <f t="shared" si="47"/>
        <v>1589</v>
      </c>
      <c r="B1492" s="416" t="str">
        <f t="shared" si="46"/>
        <v>Winter</v>
      </c>
      <c r="C1492" s="453"/>
      <c r="D1492" s="454"/>
      <c r="E1492" s="455"/>
      <c r="F1492" s="454"/>
      <c r="G1492" s="455"/>
      <c r="H1492" s="454"/>
      <c r="I1492" s="455"/>
      <c r="J1492" s="454"/>
      <c r="K1492" s="455"/>
      <c r="L1492" s="454"/>
      <c r="M1492" s="455"/>
      <c r="N1492" s="454"/>
      <c r="O1492" s="455"/>
      <c r="P1492" s="454"/>
      <c r="Q1492" s="455"/>
      <c r="R1492" s="454"/>
      <c r="S1492" s="455"/>
      <c r="T1492" s="454"/>
      <c r="U1492" s="455"/>
      <c r="V1492" s="454"/>
      <c r="W1492" s="455"/>
      <c r="X1492" s="454"/>
      <c r="Y1492" s="455"/>
      <c r="Z1492" s="454"/>
      <c r="AA1492" s="455"/>
      <c r="AB1492" s="454"/>
      <c r="AC1492" s="455"/>
      <c r="AD1492" s="454"/>
      <c r="AE1492" s="455"/>
      <c r="AF1492" s="454"/>
      <c r="AG1492" s="455"/>
    </row>
    <row r="1493" spans="1:33" x14ac:dyDescent="0.2">
      <c r="A1493" s="415">
        <f t="shared" si="47"/>
        <v>1589</v>
      </c>
      <c r="B1493" s="416" t="str">
        <f t="shared" si="46"/>
        <v>Spring</v>
      </c>
      <c r="C1493" s="453"/>
      <c r="D1493" s="454"/>
      <c r="E1493" s="455"/>
      <c r="F1493" s="454"/>
      <c r="G1493" s="455"/>
      <c r="H1493" s="454"/>
      <c r="I1493" s="455"/>
      <c r="J1493" s="454"/>
      <c r="K1493" s="455"/>
      <c r="L1493" s="454"/>
      <c r="M1493" s="455"/>
      <c r="N1493" s="454"/>
      <c r="O1493" s="455"/>
      <c r="P1493" s="454"/>
      <c r="Q1493" s="455"/>
      <c r="R1493" s="454"/>
      <c r="S1493" s="455"/>
      <c r="T1493" s="454"/>
      <c r="U1493" s="455"/>
      <c r="V1493" s="454"/>
      <c r="W1493" s="455"/>
      <c r="X1493" s="454"/>
      <c r="Y1493" s="455"/>
      <c r="Z1493" s="454"/>
      <c r="AA1493" s="455"/>
      <c r="AB1493" s="454"/>
      <c r="AC1493" s="455"/>
      <c r="AD1493" s="454"/>
      <c r="AE1493" s="455"/>
      <c r="AF1493" s="454"/>
      <c r="AG1493" s="455"/>
    </row>
    <row r="1494" spans="1:33" x14ac:dyDescent="0.2">
      <c r="A1494" s="415">
        <f t="shared" si="47"/>
        <v>1589</v>
      </c>
      <c r="B1494" s="416" t="str">
        <f t="shared" si="46"/>
        <v>Summer</v>
      </c>
      <c r="C1494" s="453"/>
      <c r="D1494" s="454"/>
      <c r="E1494" s="455"/>
      <c r="F1494" s="454"/>
      <c r="G1494" s="455"/>
      <c r="H1494" s="454"/>
      <c r="I1494" s="455"/>
      <c r="J1494" s="454"/>
      <c r="K1494" s="455"/>
      <c r="L1494" s="454"/>
      <c r="M1494" s="455"/>
      <c r="N1494" s="454"/>
      <c r="O1494" s="455"/>
      <c r="P1494" s="454"/>
      <c r="Q1494" s="455"/>
      <c r="R1494" s="454"/>
      <c r="S1494" s="455"/>
      <c r="T1494" s="454"/>
      <c r="U1494" s="455"/>
      <c r="V1494" s="454"/>
      <c r="W1494" s="455"/>
      <c r="X1494" s="454"/>
      <c r="Y1494" s="455"/>
      <c r="Z1494" s="454"/>
      <c r="AA1494" s="455"/>
      <c r="AB1494" s="454"/>
      <c r="AC1494" s="455"/>
      <c r="AD1494" s="454"/>
      <c r="AE1494" s="455"/>
      <c r="AF1494" s="454"/>
      <c r="AG1494" s="455"/>
    </row>
    <row r="1495" spans="1:33" x14ac:dyDescent="0.2">
      <c r="A1495" s="415">
        <f t="shared" si="47"/>
        <v>1589</v>
      </c>
      <c r="B1495" s="416" t="str">
        <f t="shared" si="46"/>
        <v>Autumn</v>
      </c>
      <c r="C1495" s="453"/>
      <c r="D1495" s="454"/>
      <c r="E1495" s="455"/>
      <c r="F1495" s="454"/>
      <c r="G1495" s="455"/>
      <c r="H1495" s="454"/>
      <c r="I1495" s="455"/>
      <c r="J1495" s="454"/>
      <c r="K1495" s="455"/>
      <c r="L1495" s="454"/>
      <c r="M1495" s="455"/>
      <c r="N1495" s="454"/>
      <c r="O1495" s="455"/>
      <c r="P1495" s="454"/>
      <c r="Q1495" s="455"/>
      <c r="R1495" s="454"/>
      <c r="S1495" s="455"/>
      <c r="T1495" s="454"/>
      <c r="U1495" s="455"/>
      <c r="V1495" s="454"/>
      <c r="W1495" s="455"/>
      <c r="X1495" s="454"/>
      <c r="Y1495" s="455"/>
      <c r="Z1495" s="454"/>
      <c r="AA1495" s="455"/>
      <c r="AB1495" s="454"/>
      <c r="AC1495" s="455"/>
      <c r="AD1495" s="454"/>
      <c r="AE1495" s="455"/>
      <c r="AF1495" s="454"/>
      <c r="AG1495" s="455"/>
    </row>
    <row r="1496" spans="1:33" x14ac:dyDescent="0.2">
      <c r="A1496" s="415">
        <f t="shared" si="47"/>
        <v>1590</v>
      </c>
      <c r="B1496" s="416" t="str">
        <f t="shared" si="46"/>
        <v>Winter</v>
      </c>
      <c r="C1496" s="453"/>
      <c r="D1496" s="454"/>
      <c r="E1496" s="455"/>
      <c r="F1496" s="454"/>
      <c r="G1496" s="455"/>
      <c r="H1496" s="454"/>
      <c r="I1496" s="455"/>
      <c r="J1496" s="454"/>
      <c r="K1496" s="455"/>
      <c r="L1496" s="454"/>
      <c r="M1496" s="455"/>
      <c r="N1496" s="454"/>
      <c r="O1496" s="455"/>
      <c r="P1496" s="454"/>
      <c r="Q1496" s="455"/>
      <c r="R1496" s="454"/>
      <c r="S1496" s="455"/>
      <c r="T1496" s="454"/>
      <c r="U1496" s="455"/>
      <c r="V1496" s="454"/>
      <c r="W1496" s="455"/>
      <c r="X1496" s="454"/>
      <c r="Y1496" s="455"/>
      <c r="Z1496" s="454"/>
      <c r="AA1496" s="455"/>
      <c r="AB1496" s="454"/>
      <c r="AC1496" s="455"/>
      <c r="AD1496" s="454"/>
      <c r="AE1496" s="455"/>
      <c r="AF1496" s="454"/>
      <c r="AG1496" s="455"/>
    </row>
    <row r="1497" spans="1:33" x14ac:dyDescent="0.2">
      <c r="A1497" s="415">
        <f t="shared" si="47"/>
        <v>1590</v>
      </c>
      <c r="B1497" s="416" t="str">
        <f t="shared" si="46"/>
        <v>Spring</v>
      </c>
      <c r="C1497" s="453"/>
      <c r="D1497" s="454"/>
      <c r="E1497" s="455"/>
      <c r="F1497" s="454"/>
      <c r="G1497" s="455"/>
      <c r="H1497" s="454"/>
      <c r="I1497" s="455"/>
      <c r="J1497" s="454"/>
      <c r="K1497" s="455"/>
      <c r="L1497" s="454"/>
      <c r="M1497" s="455"/>
      <c r="N1497" s="454"/>
      <c r="O1497" s="455"/>
      <c r="P1497" s="454"/>
      <c r="Q1497" s="455"/>
      <c r="R1497" s="454"/>
      <c r="S1497" s="455"/>
      <c r="T1497" s="454"/>
      <c r="U1497" s="455"/>
      <c r="V1497" s="454"/>
      <c r="W1497" s="455"/>
      <c r="X1497" s="454"/>
      <c r="Y1497" s="455"/>
      <c r="Z1497" s="454"/>
      <c r="AA1497" s="455"/>
      <c r="AB1497" s="454"/>
      <c r="AC1497" s="455"/>
      <c r="AD1497" s="454"/>
      <c r="AE1497" s="455"/>
      <c r="AF1497" s="454"/>
      <c r="AG1497" s="455"/>
    </row>
    <row r="1498" spans="1:33" x14ac:dyDescent="0.2">
      <c r="A1498" s="415">
        <f t="shared" si="47"/>
        <v>1590</v>
      </c>
      <c r="B1498" s="416" t="str">
        <f t="shared" si="46"/>
        <v>Summer</v>
      </c>
      <c r="C1498" s="453"/>
      <c r="D1498" s="454"/>
      <c r="E1498" s="455"/>
      <c r="F1498" s="454"/>
      <c r="G1498" s="455"/>
      <c r="H1498" s="454"/>
      <c r="I1498" s="455"/>
      <c r="J1498" s="454"/>
      <c r="K1498" s="455"/>
      <c r="L1498" s="454"/>
      <c r="M1498" s="455"/>
      <c r="N1498" s="454"/>
      <c r="O1498" s="455"/>
      <c r="P1498" s="454"/>
      <c r="Q1498" s="455"/>
      <c r="R1498" s="454"/>
      <c r="S1498" s="455"/>
      <c r="T1498" s="454"/>
      <c r="U1498" s="455"/>
      <c r="V1498" s="454"/>
      <c r="W1498" s="455"/>
      <c r="X1498" s="454"/>
      <c r="Y1498" s="455"/>
      <c r="Z1498" s="454"/>
      <c r="AA1498" s="455"/>
      <c r="AB1498" s="454"/>
      <c r="AC1498" s="455"/>
      <c r="AD1498" s="454"/>
      <c r="AE1498" s="455"/>
      <c r="AF1498" s="454"/>
      <c r="AG1498" s="455"/>
    </row>
    <row r="1499" spans="1:33" x14ac:dyDescent="0.2">
      <c r="A1499" s="415">
        <f t="shared" si="47"/>
        <v>1590</v>
      </c>
      <c r="B1499" s="416" t="str">
        <f t="shared" si="46"/>
        <v>Autumn</v>
      </c>
      <c r="C1499" s="453"/>
      <c r="D1499" s="454"/>
      <c r="E1499" s="455"/>
      <c r="F1499" s="454"/>
      <c r="G1499" s="455"/>
      <c r="H1499" s="454"/>
      <c r="I1499" s="455"/>
      <c r="J1499" s="454"/>
      <c r="K1499" s="455"/>
      <c r="L1499" s="454"/>
      <c r="M1499" s="455"/>
      <c r="N1499" s="454"/>
      <c r="O1499" s="455"/>
      <c r="P1499" s="454"/>
      <c r="Q1499" s="455"/>
      <c r="R1499" s="454"/>
      <c r="S1499" s="455"/>
      <c r="T1499" s="454"/>
      <c r="U1499" s="455"/>
      <c r="V1499" s="454"/>
      <c r="W1499" s="455"/>
      <c r="X1499" s="454"/>
      <c r="Y1499" s="455"/>
      <c r="Z1499" s="454"/>
      <c r="AA1499" s="455"/>
      <c r="AB1499" s="454"/>
      <c r="AC1499" s="455"/>
      <c r="AD1499" s="454"/>
      <c r="AE1499" s="455"/>
      <c r="AF1499" s="454"/>
      <c r="AG1499" s="455"/>
    </row>
    <row r="1500" spans="1:33" ht="13.5" thickBot="1" x14ac:dyDescent="0.25">
      <c r="A1500" s="417">
        <f t="shared" si="47"/>
        <v>1591</v>
      </c>
      <c r="B1500" s="418" t="str">
        <f t="shared" si="46"/>
        <v>Winter</v>
      </c>
      <c r="C1500" s="456"/>
      <c r="D1500" s="457"/>
      <c r="E1500" s="458"/>
      <c r="F1500" s="457"/>
      <c r="G1500" s="458"/>
      <c r="H1500" s="457"/>
      <c r="I1500" s="458"/>
      <c r="J1500" s="457"/>
      <c r="K1500" s="458"/>
      <c r="L1500" s="457"/>
      <c r="M1500" s="458"/>
      <c r="N1500" s="457"/>
      <c r="O1500" s="458"/>
      <c r="P1500" s="457"/>
      <c r="Q1500" s="458"/>
      <c r="R1500" s="457"/>
      <c r="S1500" s="458"/>
      <c r="T1500" s="457"/>
      <c r="U1500" s="458"/>
      <c r="V1500" s="457"/>
      <c r="W1500" s="458"/>
      <c r="X1500" s="457"/>
      <c r="Y1500" s="458"/>
      <c r="Z1500" s="457"/>
      <c r="AA1500" s="458"/>
      <c r="AB1500" s="457"/>
      <c r="AC1500" s="458"/>
      <c r="AD1500" s="457"/>
      <c r="AE1500" s="458"/>
      <c r="AF1500" s="457"/>
      <c r="AG1500" s="458"/>
    </row>
  </sheetData>
  <sheetProtection selectLockedCells="1" selectUnlockedCells="1"/>
  <mergeCells count="1">
    <mergeCell ref="A1:AG1"/>
  </mergeCells>
  <pageMargins left="0.78749999999999998" right="0.78749999999999998" top="1.0249999999999999" bottom="1.0249999999999999" header="0.78749999999999998" footer="0.78749999999999998"/>
  <pageSetup paperSize="9" scale="85" orientation="portrait" horizontalDpi="300" verticalDpi="300"/>
  <headerFooter alignWithMargins="0">
    <oddHeader>&amp;C&amp;A</oddHeader>
    <oddFooter>&amp;CPage &amp;P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28" id="{F6649E0D-1342-4057-A945-C10ED5C89BAF}">
            <xm:f>AND(ISBLANK(C3),OR($A3&lt;Calcs!$F$21,AND($A3=Calcs!$F$21,VLOOKUP($B3,Calcs!$E$43:$F$46,2,FALSE)&lt;VLOOKUP(Calcs!$F$23,Calcs!$E$43:$F$46,2,FALSE))))</xm:f>
            <x14:dxf>
              <fill>
                <patternFill>
                  <bgColor rgb="FFE9E9F2"/>
                </patternFill>
              </fill>
            </x14:dxf>
          </x14:cfRule>
          <xm:sqref>C3:AG1500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6</vt:i4>
      </vt:variant>
    </vt:vector>
  </HeadingPairs>
  <TitlesOfParts>
    <vt:vector size="23" baseType="lpstr">
      <vt:lpstr>Character</vt:lpstr>
      <vt:lpstr>Non-Human</vt:lpstr>
      <vt:lpstr>Skills</vt:lpstr>
      <vt:lpstr>Magic</vt:lpstr>
      <vt:lpstr>Spells or Powers</vt:lpstr>
      <vt:lpstr>Posessions</vt:lpstr>
      <vt:lpstr>Aging</vt:lpstr>
      <vt:lpstr>Twilight</vt:lpstr>
      <vt:lpstr>Timeline</vt:lpstr>
      <vt:lpstr>XP</vt:lpstr>
      <vt:lpstr>Start Character</vt:lpstr>
      <vt:lpstr>Calcs</vt:lpstr>
      <vt:lpstr>Wiki - Main</vt:lpstr>
      <vt:lpstr>Wiki - Magic</vt:lpstr>
      <vt:lpstr>Wiki - Powers</vt:lpstr>
      <vt:lpstr>Wiki - Skills</vt:lpstr>
      <vt:lpstr>Wiki - Stats</vt:lpstr>
      <vt:lpstr>Characteristics</vt:lpstr>
      <vt:lpstr>Character!index5h2</vt:lpstr>
      <vt:lpstr>'Start Character'!index5h2</vt:lpstr>
      <vt:lpstr>'Start Character'!Print_Area</vt:lpstr>
      <vt:lpstr>TypesofCharacter</vt:lpstr>
      <vt:lpstr>VirtuesandFlaws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Shadow</dc:creator>
  <cp:lastModifiedBy>Shadow</cp:lastModifiedBy>
  <cp:lastPrinted>2015-10-17T11:58:39Z</cp:lastPrinted>
  <dcterms:created xsi:type="dcterms:W3CDTF">2015-09-29T23:28:47Z</dcterms:created>
  <dcterms:modified xsi:type="dcterms:W3CDTF">2015-12-20T21:25:25Z</dcterms:modified>
</cp:coreProperties>
</file>